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H9" i="7"/>
  <c r="C9" i="7"/>
  <c r="V10" i="7"/>
  <c r="X9" i="7"/>
  <c r="U10" i="7"/>
  <c r="I9" i="7" l="1"/>
  <c r="N9" i="7"/>
  <c r="T9" i="7" l="1"/>
  <c r="O9" i="7"/>
  <c r="Z9" i="7" l="1"/>
  <c r="U9" i="7"/>
  <c r="AF9" i="7" l="1"/>
  <c r="AA9" i="7"/>
  <c r="AG9" i="7" l="1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B380" i="17" l="1"/>
  <c r="B71" i="17"/>
  <c r="B274" i="17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I37" i="27" l="1"/>
  <c r="I38" i="27" s="1"/>
  <c r="I39" i="27" s="1"/>
  <c r="H37" i="27"/>
  <c r="H38" i="27" s="1"/>
  <c r="H39" i="27" s="1"/>
  <c r="S5" i="27"/>
  <c r="N14" i="27"/>
  <c r="R5" i="27"/>
  <c r="H35" i="27" s="1"/>
  <c r="H34" i="27" l="1"/>
  <c r="E11" i="27"/>
  <c r="D11" i="27"/>
  <c r="H40" i="27" l="1"/>
  <c r="I40" i="27"/>
  <c r="H33" i="27"/>
  <c r="D12" i="27"/>
  <c r="E12" i="27"/>
  <c r="D10" i="27"/>
  <c r="E10" i="27" s="1"/>
  <c r="W12" i="27"/>
  <c r="W11" i="27"/>
  <c r="I5" i="27" l="1"/>
  <c r="H27" i="27" l="1"/>
  <c r="H24" i="27"/>
  <c r="H23" i="27"/>
  <c r="H28" i="27"/>
  <c r="A1" i="27" l="1"/>
  <c r="M5" i="27" l="1"/>
  <c r="M32" i="19" l="1"/>
  <c r="H10" i="7"/>
  <c r="Z10" i="7"/>
  <c r="L32" i="19"/>
  <c r="K32" i="19"/>
  <c r="AB10" i="7" l="1"/>
  <c r="AD9" i="7"/>
  <c r="AF10" i="7" s="1"/>
  <c r="K10" i="7"/>
  <c r="Q10" i="7" s="1"/>
  <c r="W10" i="7" s="1"/>
  <c r="AC10" i="7" s="1"/>
  <c r="J10" i="7"/>
  <c r="L9" i="7"/>
  <c r="R9" i="7" s="1"/>
  <c r="K19" i="27"/>
  <c r="J19" i="27"/>
  <c r="K18" i="27"/>
  <c r="K17" i="27"/>
  <c r="K16" i="27"/>
  <c r="M42" i="27"/>
  <c r="N78" i="27" s="1"/>
  <c r="K42" i="27"/>
  <c r="J42" i="27"/>
  <c r="L42" i="27" s="1"/>
  <c r="F78" i="27" s="1"/>
  <c r="M41" i="27"/>
  <c r="N77" i="27" s="1"/>
  <c r="K41" i="27"/>
  <c r="J41" i="27"/>
  <c r="M40" i="27"/>
  <c r="N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N70" i="27" s="1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Y79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P54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BP14" i="6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H21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S29" i="6"/>
  <c r="T31" i="6" s="1"/>
  <c r="AI10" i="7" l="1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O44" i="6"/>
  <c r="P46" i="6" s="1"/>
  <c r="E120" i="6"/>
  <c r="L41" i="27"/>
  <c r="K77" i="27" s="1"/>
  <c r="L40" i="27"/>
  <c r="K76" i="27" s="1"/>
  <c r="G12" i="27"/>
  <c r="I12" i="27" s="1"/>
  <c r="E78" i="6"/>
  <c r="E358" i="6"/>
  <c r="AE16" i="6"/>
  <c r="R44" i="6"/>
  <c r="Q50" i="6" s="1"/>
  <c r="E232" i="6"/>
  <c r="AC18" i="6"/>
  <c r="AC20" i="6"/>
  <c r="R35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S46" i="6"/>
  <c r="AB20" i="6"/>
  <c r="AB24" i="6" s="1"/>
  <c r="AB23" i="6" s="1"/>
  <c r="AB25" i="6" s="1"/>
  <c r="X20" i="6"/>
  <c r="V16" i="6"/>
  <c r="E64" i="6"/>
  <c r="R16" i="6"/>
  <c r="N20" i="6"/>
  <c r="E204" i="6"/>
  <c r="Q48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S33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AD24" i="6" s="1"/>
  <c r="AD23" i="6" s="1"/>
  <c r="AD25" i="6" s="1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N50" i="6"/>
  <c r="R18" i="6"/>
  <c r="P33" i="6"/>
  <c r="O35" i="6"/>
  <c r="Q31" i="6"/>
  <c r="Q16" i="6"/>
  <c r="AB29" i="6"/>
  <c r="AA35" i="6" s="1"/>
  <c r="P20" i="6"/>
  <c r="AB44" i="6"/>
  <c r="AA50" i="6" s="1"/>
  <c r="E22" i="6"/>
  <c r="AN13" i="6"/>
  <c r="N29" i="6"/>
  <c r="N33" i="6" s="1"/>
  <c r="O16" i="6"/>
  <c r="M20" i="6"/>
  <c r="O55" i="27"/>
  <c r="H26" i="27"/>
  <c r="Q54" i="27"/>
  <c r="P70" i="27"/>
  <c r="I41" i="27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Y75" i="27"/>
  <c r="AY77" i="27"/>
  <c r="H31" i="27"/>
  <c r="AE66" i="27" s="1"/>
  <c r="H32" i="27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E63" i="27"/>
  <c r="AO79" i="27"/>
  <c r="C78" i="27"/>
  <c r="D78" i="27"/>
  <c r="H56" i="27"/>
  <c r="E78" i="27"/>
  <c r="G56" i="27"/>
  <c r="J77" i="27"/>
  <c r="I78" i="27"/>
  <c r="L78" i="27"/>
  <c r="C5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K68" i="27"/>
  <c r="F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A35" i="19" s="1"/>
  <c r="O11" i="1"/>
  <c r="BX13" i="7" s="1"/>
  <c r="F14" i="15"/>
  <c r="L1" i="1"/>
  <c r="A15" i="1"/>
  <c r="F7" i="1"/>
  <c r="AC12" i="1" s="1"/>
  <c r="X1" i="1"/>
  <c r="A61" i="19"/>
  <c r="F14" i="1"/>
  <c r="L12" i="1"/>
  <c r="H77" i="27"/>
  <c r="G77" i="27"/>
  <c r="E77" i="27"/>
  <c r="G78" i="27"/>
  <c r="H78" i="27"/>
  <c r="P71" i="27"/>
  <c r="H20" i="27"/>
  <c r="P56" i="27" s="1"/>
  <c r="BH9" i="6"/>
  <c r="U12" i="1" s="1"/>
  <c r="P65" i="27"/>
  <c r="AE65" i="27"/>
  <c r="AE64" i="27"/>
  <c r="AE58" i="27"/>
  <c r="P59" i="27"/>
  <c r="P57" i="27"/>
  <c r="AE57" i="27"/>
  <c r="AE60" i="27"/>
  <c r="AE59" i="27"/>
  <c r="E7" i="1"/>
  <c r="J1" i="16"/>
  <c r="L1" i="16" s="1"/>
  <c r="A12" i="19"/>
  <c r="A36" i="19" s="1"/>
  <c r="BJ13" i="7"/>
  <c r="B15" i="7"/>
  <c r="P11" i="1"/>
  <c r="E8" i="1"/>
  <c r="K11" i="19" s="1"/>
  <c r="K35" i="19" s="1"/>
  <c r="AJ380" i="1"/>
  <c r="BM13" i="7"/>
  <c r="BY13" i="7"/>
  <c r="J1" i="17"/>
  <c r="C6" i="6"/>
  <c r="AB15" i="1"/>
  <c r="A16" i="1"/>
  <c r="BV13" i="7"/>
  <c r="B13" i="7"/>
  <c r="AV9" i="7" l="1"/>
  <c r="AX10" i="7" s="1"/>
  <c r="BB9" i="7" s="1"/>
  <c r="BD10" i="7" s="1"/>
  <c r="O46" i="6"/>
  <c r="P50" i="6"/>
  <c r="AC9" i="1"/>
  <c r="O48" i="6"/>
  <c r="N48" i="6"/>
  <c r="R48" i="6"/>
  <c r="R54" i="6" s="1"/>
  <c r="R53" i="6" s="1"/>
  <c r="R55" i="6" s="1"/>
  <c r="AO72" i="27"/>
  <c r="J76" i="27"/>
  <c r="F76" i="27"/>
  <c r="C76" i="27"/>
  <c r="M77" i="27"/>
  <c r="D77" i="27"/>
  <c r="L77" i="27"/>
  <c r="C77" i="27"/>
  <c r="I77" i="27"/>
  <c r="D76" i="27"/>
  <c r="I76" i="27"/>
  <c r="L76" i="27"/>
  <c r="E76" i="27"/>
  <c r="M76" i="27"/>
  <c r="G76" i="27"/>
  <c r="H76" i="27"/>
  <c r="AO78" i="27"/>
  <c r="AO65" i="27"/>
  <c r="AO73" i="27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Z31" i="6"/>
  <c r="Y24" i="6"/>
  <c r="Y23" i="6" s="1"/>
  <c r="Y25" i="6" s="1"/>
  <c r="P48" i="6"/>
  <c r="Q54" i="6"/>
  <c r="Q53" i="6" s="1"/>
  <c r="Q55" i="6" s="1"/>
  <c r="Q24" i="6"/>
  <c r="Q23" i="6" s="1"/>
  <c r="Q25" i="6" s="1"/>
  <c r="J227" i="6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J316" i="6"/>
  <c r="X48" i="6"/>
  <c r="Y46" i="6"/>
  <c r="W50" i="6"/>
  <c r="J324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R39" i="6"/>
  <c r="R38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5" i="27" s="1"/>
  <c r="AE72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J33" i="27"/>
  <c r="L33" i="27" s="1"/>
  <c r="J38" i="27"/>
  <c r="L38" i="27" s="1"/>
  <c r="M74" i="27" s="1"/>
  <c r="J36" i="27"/>
  <c r="L36" i="27" s="1"/>
  <c r="J34" i="27"/>
  <c r="L34" i="27" s="1"/>
  <c r="P73" i="27"/>
  <c r="E68" i="27"/>
  <c r="J68" i="27"/>
  <c r="J18" i="27"/>
  <c r="J17" i="27"/>
  <c r="L17" i="27" s="1"/>
  <c r="J16" i="27"/>
  <c r="J30" i="27"/>
  <c r="L30" i="27" s="1"/>
  <c r="J28" i="27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AI12" i="1"/>
  <c r="G20" i="27"/>
  <c r="BL13" i="7"/>
  <c r="D13" i="7"/>
  <c r="J237" i="6"/>
  <c r="B6" i="6"/>
  <c r="X1" i="15"/>
  <c r="G3" i="7"/>
  <c r="V14" i="15"/>
  <c r="L15" i="1"/>
  <c r="K15" i="1"/>
  <c r="AB15" i="15"/>
  <c r="X15" i="1"/>
  <c r="AK15" i="1"/>
  <c r="AJ15" i="1"/>
  <c r="L12" i="15"/>
  <c r="L11" i="15"/>
  <c r="G34" i="27"/>
  <c r="AT56" i="27"/>
  <c r="AV56" i="27"/>
  <c r="AE56" i="27"/>
  <c r="AP56" i="27"/>
  <c r="AR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H9" i="7" l="1"/>
  <c r="BJ10" i="7" s="1"/>
  <c r="P54" i="6"/>
  <c r="P53" i="6" s="1"/>
  <c r="P55" i="6" s="1"/>
  <c r="AY113" i="6" s="1"/>
  <c r="O54" i="6"/>
  <c r="O53" i="6" s="1"/>
  <c r="J268" i="6"/>
  <c r="J229" i="6"/>
  <c r="J238" i="6"/>
  <c r="L28" i="27"/>
  <c r="F64" i="27" s="1"/>
  <c r="H72" i="27"/>
  <c r="F71" i="27"/>
  <c r="G36" i="27"/>
  <c r="L19" i="27"/>
  <c r="L18" i="27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R40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P74" i="27"/>
  <c r="G37" i="27" s="1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L16" i="27"/>
  <c r="H62" i="27"/>
  <c r="C65" i="27"/>
  <c r="L65" i="27"/>
  <c r="D65" i="27"/>
  <c r="G60" i="27"/>
  <c r="M60" i="27"/>
  <c r="H64" i="27"/>
  <c r="G62" i="27"/>
  <c r="F62" i="27"/>
  <c r="G65" i="27"/>
  <c r="M65" i="27"/>
  <c r="F65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A17" i="15"/>
  <c r="L16" i="15"/>
  <c r="D16" i="15" s="1"/>
  <c r="L15" i="15"/>
  <c r="D15" i="15" s="1"/>
  <c r="L11" i="16"/>
  <c r="AE74" i="27"/>
  <c r="G39" i="27"/>
  <c r="P75" i="27"/>
  <c r="BH11" i="6"/>
  <c r="BH12" i="6" s="1"/>
  <c r="BH220" i="6" s="1"/>
  <c r="L12" i="16"/>
  <c r="L15" i="16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AT311" i="6" l="1"/>
  <c r="BK10" i="7"/>
  <c r="BN9" i="7"/>
  <c r="BP10" i="7" s="1"/>
  <c r="BH161" i="6"/>
  <c r="BH337" i="6"/>
  <c r="AY109" i="6"/>
  <c r="AY99" i="6"/>
  <c r="BH286" i="6"/>
  <c r="BH327" i="6"/>
  <c r="G64" i="27"/>
  <c r="J64" i="27"/>
  <c r="M64" i="27"/>
  <c r="L64" i="27"/>
  <c r="D64" i="27"/>
  <c r="C64" i="27"/>
  <c r="G38" i="27"/>
  <c r="BH290" i="6"/>
  <c r="BH104" i="6"/>
  <c r="BH45" i="6"/>
  <c r="L14" i="27"/>
  <c r="R3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Z109" i="6" s="1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BQ10" i="7" l="1"/>
  <c r="BT9" i="7"/>
  <c r="BV10" i="7" s="1"/>
  <c r="AZ85" i="6"/>
  <c r="AF17" i="1"/>
  <c r="AD17" i="1" s="1"/>
  <c r="AZ99" i="6"/>
  <c r="E7" i="15"/>
  <c r="AC10" i="15" s="1"/>
  <c r="AD46" i="1"/>
  <c r="AD244" i="1"/>
  <c r="AD301" i="1"/>
  <c r="AD221" i="1"/>
  <c r="AD322" i="1"/>
  <c r="AD149" i="1"/>
  <c r="AD194" i="1"/>
  <c r="I24" i="27"/>
  <c r="I33" i="27"/>
  <c r="I32" i="27"/>
  <c r="I25" i="27"/>
  <c r="I21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Z234" i="6" s="1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1" i="18"/>
  <c r="L15" i="18" s="1"/>
  <c r="H42" i="27"/>
  <c r="G41" i="27" s="1"/>
  <c r="AE76" i="27"/>
  <c r="P77" i="27"/>
  <c r="G40" i="27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AZ236" i="6" l="1"/>
  <c r="J13" i="7"/>
  <c r="K13" i="7"/>
  <c r="BW10" i="7"/>
  <c r="BZ9" i="7"/>
  <c r="U11" i="7"/>
  <c r="Q11" i="17" s="1"/>
  <c r="AD378" i="1"/>
  <c r="O10" i="15"/>
  <c r="O20" i="15" s="1"/>
  <c r="AD377" i="1"/>
  <c r="AD376" i="1"/>
  <c r="AZ210" i="6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G42" i="27" s="1"/>
  <c r="AE77" i="27"/>
  <c r="P78" i="27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AA11" i="7" l="1"/>
  <c r="Q11" i="18" s="1"/>
  <c r="O18" i="15"/>
  <c r="E18" i="15" s="1"/>
  <c r="O15" i="15"/>
  <c r="E15" i="15" s="1"/>
  <c r="I13" i="7"/>
  <c r="E7" i="16" s="1"/>
  <c r="O17" i="15"/>
  <c r="E17" i="15" s="1"/>
  <c r="O19" i="15"/>
  <c r="E19" i="15" s="1"/>
  <c r="O16" i="15"/>
  <c r="E16" i="15" s="1"/>
  <c r="AY13" i="6"/>
  <c r="AY12" i="6"/>
  <c r="AT12" i="6"/>
  <c r="AT13" i="6"/>
  <c r="AJ380" i="6"/>
  <c r="AJ381" i="6" s="1"/>
  <c r="AZ12" i="6"/>
  <c r="AZ13" i="6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E8" i="16"/>
  <c r="K13" i="19" s="1"/>
  <c r="K37" i="19" s="1"/>
  <c r="AG11" i="7"/>
  <c r="Q11" i="20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E21" i="15" s="1"/>
  <c r="L11" i="23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W13" i="7" l="1"/>
  <c r="AC15" i="16"/>
  <c r="AC18" i="16"/>
  <c r="AC20" i="16"/>
  <c r="AC17" i="16"/>
  <c r="AC16" i="16"/>
  <c r="AM11" i="7"/>
  <c r="Q11" i="22" s="1"/>
  <c r="AN56" i="27"/>
  <c r="AK61" i="27" s="1"/>
  <c r="AC20" i="17"/>
  <c r="O9" i="22"/>
  <c r="AJ18" i="22" s="1"/>
  <c r="O12" i="18"/>
  <c r="AC12" i="18"/>
  <c r="AC9" i="18"/>
  <c r="AJ16" i="20"/>
  <c r="AF13" i="7"/>
  <c r="F7" i="20"/>
  <c r="AJ15" i="20"/>
  <c r="AJ17" i="20"/>
  <c r="AB13" i="7"/>
  <c r="O11" i="20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S11" i="7"/>
  <c r="Q11" i="23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4" i="27"/>
  <c r="AM68" i="27"/>
  <c r="AM69" i="27"/>
  <c r="AL67" i="27"/>
  <c r="AM58" i="27"/>
  <c r="AM60" i="27"/>
  <c r="AL65" i="27"/>
  <c r="AM61" i="27"/>
  <c r="AL61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71" i="27"/>
  <c r="AM73" i="27"/>
  <c r="AJ73" i="27" s="1"/>
  <c r="R73" i="27" s="1"/>
  <c r="AM56" i="27"/>
  <c r="AJ56" i="27" s="1"/>
  <c r="AA56" i="27" s="1"/>
  <c r="AM76" i="27"/>
  <c r="AJ76" i="27" s="1"/>
  <c r="Y76" i="27" s="1"/>
  <c r="AM66" i="27"/>
  <c r="AJ66" i="27" s="1"/>
  <c r="Q66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7" i="27"/>
  <c r="T67" i="27" s="1"/>
  <c r="AJ69" i="27"/>
  <c r="R69" i="27" s="1"/>
  <c r="AJ68" i="27"/>
  <c r="V68" i="27" s="1"/>
  <c r="AJ64" i="27"/>
  <c r="Q64" i="27" s="1"/>
  <c r="AJ61" i="27"/>
  <c r="U61" i="27" s="1"/>
  <c r="AJ65" i="27"/>
  <c r="AJ60" i="27"/>
  <c r="AJ57" i="27"/>
  <c r="AJ71" i="27"/>
  <c r="X71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AC22" i="18" s="1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AF63" i="27" s="1"/>
  <c r="P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C18" i="18"/>
  <c r="AC19" i="18"/>
  <c r="AC15" i="18"/>
  <c r="AC16" i="18"/>
  <c r="AC17" i="18"/>
  <c r="AC20" i="18"/>
  <c r="AC21" i="18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U13" i="7" l="1"/>
  <c r="AZ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F68" i="27" s="1"/>
  <c r="P68" i="27" s="1"/>
  <c r="AB67" i="27"/>
  <c r="AC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B61" i="27"/>
  <c r="AC61" i="27" s="1"/>
  <c r="AF62" i="27" s="1"/>
  <c r="P62" i="27" s="1"/>
  <c r="G26" i="27" s="1"/>
  <c r="AD62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BA13" i="7" l="1"/>
  <c r="AF67" i="27"/>
  <c r="P67" i="27" s="1"/>
  <c r="G31" i="27" s="1"/>
  <c r="AD67" i="27" s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4" i="20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30" i="27" l="1"/>
  <c r="AD66" i="27" s="1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7" i="22" l="1"/>
  <c r="E8" i="22"/>
  <c r="K17" i="19" s="1"/>
  <c r="K41" i="19" s="1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AC10" i="22" l="1"/>
  <c r="AC28" i="23" s="1"/>
  <c r="O10" i="22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2" l="1"/>
  <c r="AM13" i="7"/>
  <c r="AS10" i="7" s="1"/>
  <c r="O15" i="22"/>
  <c r="O16" i="22"/>
  <c r="O19" i="22"/>
  <c r="O21" i="22"/>
  <c r="O23" i="22"/>
  <c r="O25" i="22"/>
  <c r="O28" i="22"/>
  <c r="O17" i="22"/>
  <c r="O18" i="22"/>
  <c r="O20" i="22"/>
  <c r="O22" i="22"/>
  <c r="O24" i="22"/>
  <c r="O26" i="22"/>
  <c r="O29" i="22"/>
  <c r="AG32" i="7" s="1"/>
  <c r="AC26" i="23"/>
  <c r="AC16" i="23"/>
  <c r="AC15" i="23"/>
  <c r="AC18" i="23"/>
  <c r="AC22" i="23"/>
  <c r="AC24" i="23"/>
  <c r="AC17" i="23"/>
  <c r="AC20" i="23"/>
  <c r="AC19" i="23"/>
  <c r="AC21" i="23"/>
  <c r="AC23" i="23"/>
  <c r="AC25" i="23"/>
  <c r="AC27" i="23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29" i="24"/>
  <c r="AC16" i="24"/>
  <c r="AC20" i="24"/>
  <c r="AC24" i="24"/>
  <c r="AC18" i="24"/>
  <c r="AC21" i="24"/>
  <c r="AC25" i="24"/>
  <c r="AS13" i="7"/>
  <c r="AY10" i="7" s="1"/>
  <c r="O18" i="23"/>
  <c r="O15" i="23"/>
  <c r="O20" i="23"/>
  <c r="O22" i="23"/>
  <c r="O28" i="23"/>
  <c r="O25" i="23"/>
  <c r="O21" i="23"/>
  <c r="O17" i="23"/>
  <c r="O29" i="23"/>
  <c r="AG44" i="7" s="1"/>
  <c r="O24" i="23"/>
  <c r="O26" i="23"/>
  <c r="O27" i="23"/>
  <c r="O23" i="23"/>
  <c r="O19" i="23"/>
  <c r="O16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8" i="24" l="1"/>
  <c r="K19" i="19" s="1"/>
  <c r="K43" i="19" s="1"/>
  <c r="E7" i="24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AC10" i="24" l="1"/>
  <c r="O10" i="24"/>
  <c r="O33" i="24" s="1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27" i="24"/>
  <c r="O17" i="24"/>
  <c r="O22" i="24"/>
  <c r="O26" i="24"/>
  <c r="O18" i="24"/>
  <c r="O19" i="24"/>
  <c r="O23" i="24"/>
  <c r="O28" i="24"/>
  <c r="O30" i="24"/>
  <c r="O15" i="24"/>
  <c r="O20" i="24"/>
  <c r="O24" i="24"/>
  <c r="AY13" i="7"/>
  <c r="BE10" i="7" s="1"/>
  <c r="O16" i="24"/>
  <c r="O21" i="24"/>
  <c r="O25" i="24"/>
  <c r="O31" i="24"/>
  <c r="O32" i="24"/>
  <c r="AC26" i="25"/>
  <c r="AC16" i="25"/>
  <c r="AC23" i="25"/>
  <c r="AC19" i="25"/>
  <c r="AC17" i="25"/>
  <c r="AC22" i="25"/>
  <c r="AC27" i="25"/>
  <c r="AC29" i="25"/>
  <c r="AC18" i="25"/>
  <c r="AC21" i="25"/>
  <c r="AC25" i="25"/>
  <c r="AC15" i="25"/>
  <c r="AC20" i="25"/>
  <c r="AC24" i="25"/>
  <c r="AC28" i="25"/>
  <c r="AC30" i="25"/>
  <c r="AC31" i="25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8" i="25"/>
  <c r="O17" i="25"/>
  <c r="O16" i="25"/>
  <c r="O24" i="25"/>
  <c r="O27" i="25"/>
  <c r="O21" i="25"/>
  <c r="O26" i="25"/>
  <c r="O15" i="25"/>
  <c r="O30" i="25"/>
  <c r="O33" i="25"/>
  <c r="O23" i="25"/>
  <c r="O25" i="25"/>
  <c r="O20" i="25"/>
  <c r="O29" i="25"/>
  <c r="AG68" i="7" s="1"/>
  <c r="O19" i="25"/>
  <c r="O28" i="25"/>
  <c r="O22" i="25"/>
  <c r="O31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L48" i="15" l="1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7" i="15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L76" i="15" l="1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AA96" i="1" l="1"/>
  <c r="Z96" i="1" s="1"/>
  <c r="Y96" i="1" s="1"/>
  <c r="L98" i="15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G98" i="1" l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F117" i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9" i="15" l="1"/>
  <c r="AA138" i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V142" i="1" s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A141" i="1" l="1"/>
  <c r="Z141" i="1" s="1"/>
  <c r="Y141" i="1" s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3" i="15" l="1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5" l="1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G238" i="1" l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A248" i="15" l="1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G248" i="1" l="1"/>
  <c r="BW248" i="6" s="1"/>
  <c r="I248" i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I251" i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G251" i="1" l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3" i="15" l="1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P257" i="1" l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2" i="15" l="1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5" l="1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E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AA294" i="1" l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9" i="15" l="1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L312" i="15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V322" i="1"/>
  <c r="AA319" i="1"/>
  <c r="Z319" i="1" s="1"/>
  <c r="Y319" i="1" s="1"/>
  <c r="G319" i="1"/>
  <c r="BW319" i="6" s="1"/>
  <c r="I319" i="1"/>
  <c r="E322" i="15" l="1"/>
  <c r="P323" i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V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I331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AB333" i="15" l="1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G375" i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AK6" i="15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70" i="15" s="1"/>
  <c r="T70" i="15" s="1"/>
  <c r="S70" i="15" s="1"/>
  <c r="R7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I16" i="7"/>
  <c r="U38" i="15"/>
  <c r="T38" i="15" s="1"/>
  <c r="S38" i="15" s="1"/>
  <c r="R38" i="15" s="1"/>
  <c r="U239" i="15"/>
  <c r="T239" i="15" s="1"/>
  <c r="S239" i="15" s="1"/>
  <c r="R239" i="15" s="1"/>
  <c r="U367" i="15"/>
  <c r="T367" i="15" s="1"/>
  <c r="S367" i="15" s="1"/>
  <c r="R367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16" i="15"/>
  <c r="AI114" i="15"/>
  <c r="AI178" i="15"/>
  <c r="AI240" i="15"/>
  <c r="AH240" i="15" s="1"/>
  <c r="AI272" i="15"/>
  <c r="AI304" i="15"/>
  <c r="AI336" i="15"/>
  <c r="AH336" i="15" s="1"/>
  <c r="AI368" i="15"/>
  <c r="AH368" i="15" s="1"/>
  <c r="A374" i="25"/>
  <c r="L373" i="25"/>
  <c r="K373" i="25"/>
  <c r="AJ373" i="25"/>
  <c r="AK373" i="25"/>
  <c r="X373" i="25"/>
  <c r="AB373" i="25"/>
  <c r="O373" i="25"/>
  <c r="AC373" i="25"/>
  <c r="AI352" i="15" l="1"/>
  <c r="AI320" i="15"/>
  <c r="AI288" i="15"/>
  <c r="AH288" i="15" s="1"/>
  <c r="AI256" i="15"/>
  <c r="AI210" i="15"/>
  <c r="AH210" i="15" s="1"/>
  <c r="AI146" i="15"/>
  <c r="AI82" i="15"/>
  <c r="U303" i="15"/>
  <c r="T303" i="15" s="1"/>
  <c r="S303" i="15" s="1"/>
  <c r="R303" i="15" s="1"/>
  <c r="U166" i="15"/>
  <c r="T166" i="15" s="1"/>
  <c r="S166" i="15" s="1"/>
  <c r="R166" i="15" s="1"/>
  <c r="AI376" i="15"/>
  <c r="AH376" i="15" s="1"/>
  <c r="AI360" i="15"/>
  <c r="AH360" i="15" s="1"/>
  <c r="AG360" i="15" s="1"/>
  <c r="AF360" i="15" s="1"/>
  <c r="AI344" i="15"/>
  <c r="AH344" i="15" s="1"/>
  <c r="AI328" i="15"/>
  <c r="AI312" i="15"/>
  <c r="AH312" i="15" s="1"/>
  <c r="AI296" i="15"/>
  <c r="AH296" i="15" s="1"/>
  <c r="AI280" i="15"/>
  <c r="AH280" i="15" s="1"/>
  <c r="AI264" i="15"/>
  <c r="AH264" i="15" s="1"/>
  <c r="AI248" i="15"/>
  <c r="AH248" i="15" s="1"/>
  <c r="AI226" i="15"/>
  <c r="AI194" i="15"/>
  <c r="AI162" i="15"/>
  <c r="AH162" i="15" s="1"/>
  <c r="AI130" i="15"/>
  <c r="AH130" i="15" s="1"/>
  <c r="AG130" i="15" s="1"/>
  <c r="AF130" i="15" s="1"/>
  <c r="AI98" i="15"/>
  <c r="AH98" i="15" s="1"/>
  <c r="AI58" i="15"/>
  <c r="AH58" i="15" s="1"/>
  <c r="U335" i="15"/>
  <c r="T335" i="15" s="1"/>
  <c r="S335" i="15" s="1"/>
  <c r="R335" i="15" s="1"/>
  <c r="U271" i="15"/>
  <c r="T271" i="15" s="1"/>
  <c r="S271" i="15" s="1"/>
  <c r="R271" i="15" s="1"/>
  <c r="U207" i="15"/>
  <c r="T207" i="15" s="1"/>
  <c r="S207" i="15" s="1"/>
  <c r="R207" i="15" s="1"/>
  <c r="U102" i="15"/>
  <c r="T102" i="15" s="1"/>
  <c r="S102" i="15" s="1"/>
  <c r="R102" i="15" s="1"/>
  <c r="AI372" i="15"/>
  <c r="AH372" i="15" s="1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I260" i="15"/>
  <c r="AH260" i="15" s="1"/>
  <c r="AI252" i="15"/>
  <c r="AH252" i="15" s="1"/>
  <c r="AI244" i="15"/>
  <c r="AH244" i="15" s="1"/>
  <c r="AG244" i="15" s="1"/>
  <c r="AF244" i="15" s="1"/>
  <c r="AI234" i="15"/>
  <c r="AH234" i="15" s="1"/>
  <c r="AG234" i="15" s="1"/>
  <c r="AF234" i="15" s="1"/>
  <c r="AI218" i="15"/>
  <c r="AH218" i="15" s="1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I122" i="15"/>
  <c r="AH122" i="15" s="1"/>
  <c r="AI106" i="15"/>
  <c r="AH106" i="15" s="1"/>
  <c r="AI90" i="15"/>
  <c r="AH90" i="15" s="1"/>
  <c r="AI74" i="15"/>
  <c r="AH74" i="15" s="1"/>
  <c r="AI42" i="15"/>
  <c r="AH42" i="15" s="1"/>
  <c r="AG42" i="15" s="1"/>
  <c r="AF42" i="15" s="1"/>
  <c r="U351" i="15"/>
  <c r="T351" i="15" s="1"/>
  <c r="S351" i="15" s="1"/>
  <c r="R351" i="15" s="1"/>
  <c r="U319" i="15"/>
  <c r="T319" i="15" s="1"/>
  <c r="S319" i="15" s="1"/>
  <c r="R319" i="15" s="1"/>
  <c r="U287" i="15"/>
  <c r="T287" i="15" s="1"/>
  <c r="S287" i="15" s="1"/>
  <c r="R287" i="15" s="1"/>
  <c r="U255" i="15"/>
  <c r="T255" i="15" s="1"/>
  <c r="S255" i="15" s="1"/>
  <c r="R255" i="15" s="1"/>
  <c r="U223" i="15"/>
  <c r="T223" i="15" s="1"/>
  <c r="S223" i="15" s="1"/>
  <c r="R223" i="15" s="1"/>
  <c r="U191" i="15"/>
  <c r="T191" i="15" s="1"/>
  <c r="S191" i="15" s="1"/>
  <c r="R191" i="15" s="1"/>
  <c r="U134" i="15"/>
  <c r="T134" i="15" s="1"/>
  <c r="L36" i="19"/>
  <c r="D379" i="16"/>
  <c r="B37" i="19"/>
  <c r="AJ11" i="15"/>
  <c r="Q37" i="15"/>
  <c r="Q195" i="15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P195" i="15" s="1"/>
  <c r="V195" i="15" s="1"/>
  <c r="F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I76" i="15"/>
  <c r="AH76" i="15" s="1"/>
  <c r="AG76" i="15" s="1"/>
  <c r="AF76" i="15" s="1"/>
  <c r="AI80" i="15"/>
  <c r="AH80" i="15" s="1"/>
  <c r="AI84" i="15"/>
  <c r="AI88" i="15"/>
  <c r="AH88" i="15" s="1"/>
  <c r="AI92" i="15"/>
  <c r="AH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I216" i="15"/>
  <c r="AH216" i="15" s="1"/>
  <c r="AG216" i="15" s="1"/>
  <c r="AF216" i="15" s="1"/>
  <c r="AI220" i="15"/>
  <c r="AH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I322" i="15"/>
  <c r="AH322" i="15" s="1"/>
  <c r="AG322" i="15" s="1"/>
  <c r="AF322" i="15" s="1"/>
  <c r="AI318" i="15"/>
  <c r="AH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I258" i="15"/>
  <c r="AH258" i="15" s="1"/>
  <c r="AG258" i="15" s="1"/>
  <c r="AF258" i="15" s="1"/>
  <c r="AI254" i="15"/>
  <c r="AH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0" i="15"/>
  <c r="AH230" i="15" s="1"/>
  <c r="AG230" i="15" s="1"/>
  <c r="AF230" i="15" s="1"/>
  <c r="AI222" i="15"/>
  <c r="AH222" i="15" s="1"/>
  <c r="AI214" i="15"/>
  <c r="AI206" i="15"/>
  <c r="AH206" i="15" s="1"/>
  <c r="AI198" i="15"/>
  <c r="AI190" i="15"/>
  <c r="AH190" i="15" s="1"/>
  <c r="AI182" i="15"/>
  <c r="AH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I126" i="15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I78" i="15"/>
  <c r="AH78" i="15" s="1"/>
  <c r="AI66" i="15"/>
  <c r="AH66" i="15" s="1"/>
  <c r="AI50" i="15"/>
  <c r="AH50" i="15" s="1"/>
  <c r="AG50" i="15" s="1"/>
  <c r="AF50" i="15" s="1"/>
  <c r="AI34" i="15"/>
  <c r="AH34" i="15" s="1"/>
  <c r="AG34" i="15" s="1"/>
  <c r="AF34" i="15" s="1"/>
  <c r="AI18" i="15"/>
  <c r="AH18" i="15" s="1"/>
  <c r="U375" i="15"/>
  <c r="T375" i="15" s="1"/>
  <c r="S375" i="15" s="1"/>
  <c r="R375" i="15" s="1"/>
  <c r="U359" i="15"/>
  <c r="T359" i="15" s="1"/>
  <c r="S359" i="15" s="1"/>
  <c r="R359" i="15" s="1"/>
  <c r="U343" i="15"/>
  <c r="T343" i="15" s="1"/>
  <c r="S343" i="15" s="1"/>
  <c r="R343" i="15" s="1"/>
  <c r="U327" i="15"/>
  <c r="T327" i="15" s="1"/>
  <c r="S327" i="15" s="1"/>
  <c r="R327" i="15" s="1"/>
  <c r="U311" i="15"/>
  <c r="T311" i="15" s="1"/>
  <c r="S311" i="15" s="1"/>
  <c r="R311" i="15" s="1"/>
  <c r="U295" i="15"/>
  <c r="T295" i="15" s="1"/>
  <c r="S295" i="15" s="1"/>
  <c r="R295" i="15" s="1"/>
  <c r="U279" i="15"/>
  <c r="T279" i="15" s="1"/>
  <c r="S279" i="15" s="1"/>
  <c r="R279" i="15" s="1"/>
  <c r="U263" i="15"/>
  <c r="T263" i="15" s="1"/>
  <c r="S263" i="15" s="1"/>
  <c r="R263" i="15" s="1"/>
  <c r="U247" i="15"/>
  <c r="T247" i="15" s="1"/>
  <c r="S247" i="15" s="1"/>
  <c r="R247" i="15" s="1"/>
  <c r="U231" i="15"/>
  <c r="T231" i="15" s="1"/>
  <c r="S231" i="15" s="1"/>
  <c r="R231" i="15" s="1"/>
  <c r="U215" i="15"/>
  <c r="T215" i="15" s="1"/>
  <c r="S215" i="15" s="1"/>
  <c r="R215" i="15" s="1"/>
  <c r="U199" i="15"/>
  <c r="T199" i="15" s="1"/>
  <c r="S199" i="15" s="1"/>
  <c r="R199" i="15" s="1"/>
  <c r="U182" i="15"/>
  <c r="T182" i="15" s="1"/>
  <c r="S182" i="15" s="1"/>
  <c r="R182" i="15" s="1"/>
  <c r="U150" i="15"/>
  <c r="T150" i="15" s="1"/>
  <c r="S150" i="15" s="1"/>
  <c r="R150" i="15" s="1"/>
  <c r="U118" i="15"/>
  <c r="T118" i="15" s="1"/>
  <c r="S118" i="15" s="1"/>
  <c r="R118" i="15" s="1"/>
  <c r="U86" i="15"/>
  <c r="T86" i="15" s="1"/>
  <c r="S86" i="15" s="1"/>
  <c r="R86" i="15" s="1"/>
  <c r="U54" i="15"/>
  <c r="T54" i="15" s="1"/>
  <c r="S54" i="15" s="1"/>
  <c r="R54" i="15" s="1"/>
  <c r="U15" i="15"/>
  <c r="T15" i="15" s="1"/>
  <c r="Q319" i="15"/>
  <c r="P319" i="15" s="1"/>
  <c r="V319" i="15" s="1"/>
  <c r="F319" i="15" s="1"/>
  <c r="Q351" i="15"/>
  <c r="P351" i="15" s="1"/>
  <c r="V351" i="15" s="1"/>
  <c r="F351" i="15" s="1"/>
  <c r="Q259" i="15"/>
  <c r="Q131" i="15"/>
  <c r="Q367" i="15"/>
  <c r="P367" i="15" s="1"/>
  <c r="V367" i="15" s="1"/>
  <c r="F367" i="15" s="1"/>
  <c r="Q335" i="15"/>
  <c r="Q291" i="15"/>
  <c r="Q227" i="15"/>
  <c r="Q163" i="15"/>
  <c r="Q99" i="15"/>
  <c r="Q375" i="15"/>
  <c r="Q359" i="15"/>
  <c r="Q343" i="15"/>
  <c r="Q327" i="15"/>
  <c r="Q307" i="15"/>
  <c r="Q275" i="15"/>
  <c r="Q243" i="15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S326" i="15" s="1"/>
  <c r="R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9" i="15"/>
  <c r="AH39" i="15" s="1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G47" i="15" s="1"/>
  <c r="AF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H55" i="15" s="1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H63" i="15" s="1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G71" i="15" s="1"/>
  <c r="AF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J15" i="7" s="1"/>
  <c r="Q371" i="15"/>
  <c r="Q363" i="15"/>
  <c r="Q355" i="15"/>
  <c r="Q347" i="15"/>
  <c r="Q339" i="15"/>
  <c r="Q331" i="15"/>
  <c r="Q323" i="15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P295" i="15" s="1"/>
  <c r="V295" i="15" s="1"/>
  <c r="F295" i="15" s="1"/>
  <c r="Q287" i="15"/>
  <c r="Q279" i="15"/>
  <c r="Q271" i="15"/>
  <c r="Q263" i="15"/>
  <c r="P263" i="15" s="1"/>
  <c r="V263" i="15" s="1"/>
  <c r="F263" i="15" s="1"/>
  <c r="Q255" i="15"/>
  <c r="P255" i="15" s="1"/>
  <c r="V255" i="15" s="1"/>
  <c r="F255" i="15" s="1"/>
  <c r="Q247" i="15"/>
  <c r="Q239" i="15"/>
  <c r="P239" i="15" s="1"/>
  <c r="V239" i="15" s="1"/>
  <c r="F239" i="15" s="1"/>
  <c r="Q231" i="15"/>
  <c r="Q223" i="15"/>
  <c r="Q215" i="15"/>
  <c r="Q207" i="15"/>
  <c r="Q199" i="15"/>
  <c r="P199" i="15" s="1"/>
  <c r="V199" i="15" s="1"/>
  <c r="F199" i="15" s="1"/>
  <c r="Q191" i="15"/>
  <c r="P191" i="15" s="1"/>
  <c r="V191" i="15" s="1"/>
  <c r="F191" i="15" s="1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P79" i="15" s="1"/>
  <c r="V79" i="15" s="1"/>
  <c r="F79" i="15" s="1"/>
  <c r="Q75" i="15"/>
  <c r="Q71" i="15"/>
  <c r="Q67" i="15"/>
  <c r="Q61" i="15"/>
  <c r="Q45" i="15"/>
  <c r="Q19" i="15"/>
  <c r="Q25" i="15"/>
  <c r="Q33" i="15"/>
  <c r="Q41" i="15"/>
  <c r="Q49" i="15"/>
  <c r="Q57" i="15"/>
  <c r="Q63" i="15"/>
  <c r="P63" i="15" s="1"/>
  <c r="V63" i="15" s="1"/>
  <c r="F63" i="15" s="1"/>
  <c r="Q66" i="15"/>
  <c r="Q68" i="15"/>
  <c r="P68" i="15" s="1"/>
  <c r="V68" i="15" s="1"/>
  <c r="F68" i="15" s="1"/>
  <c r="Q70" i="15"/>
  <c r="P70" i="15" s="1"/>
  <c r="V70" i="15" s="1"/>
  <c r="F70" i="15" s="1"/>
  <c r="Q72" i="15"/>
  <c r="Q74" i="15"/>
  <c r="Q76" i="15"/>
  <c r="P76" i="15" s="1"/>
  <c r="V76" i="15" s="1"/>
  <c r="F76" i="15" s="1"/>
  <c r="Q78" i="15"/>
  <c r="P78" i="15" s="1"/>
  <c r="V78" i="15" s="1"/>
  <c r="F78" i="15" s="1"/>
  <c r="Q80" i="15"/>
  <c r="Q82" i="15"/>
  <c r="Q84" i="15"/>
  <c r="P84" i="15" s="1"/>
  <c r="V84" i="15" s="1"/>
  <c r="F84" i="15" s="1"/>
  <c r="Q86" i="15"/>
  <c r="P86" i="15" s="1"/>
  <c r="V86" i="15" s="1"/>
  <c r="F86" i="15" s="1"/>
  <c r="Q88" i="15"/>
  <c r="Q90" i="15"/>
  <c r="Q92" i="15"/>
  <c r="Q94" i="15"/>
  <c r="Q96" i="15"/>
  <c r="Q98" i="15"/>
  <c r="Q100" i="15"/>
  <c r="Q102" i="15"/>
  <c r="P102" i="15" s="1"/>
  <c r="V102" i="15" s="1"/>
  <c r="F102" i="15" s="1"/>
  <c r="Q104" i="15"/>
  <c r="Q106" i="15"/>
  <c r="Q108" i="15"/>
  <c r="Q110" i="15"/>
  <c r="P110" i="15" s="1"/>
  <c r="V110" i="15" s="1"/>
  <c r="F110" i="15" s="1"/>
  <c r="Q112" i="15"/>
  <c r="Q114" i="15"/>
  <c r="Q116" i="15"/>
  <c r="P116" i="15" s="1"/>
  <c r="V116" i="15" s="1"/>
  <c r="F116" i="15" s="1"/>
  <c r="Q118" i="15"/>
  <c r="Q120" i="15"/>
  <c r="Q122" i="15"/>
  <c r="Q124" i="15"/>
  <c r="P124" i="15" s="1"/>
  <c r="V124" i="15" s="1"/>
  <c r="F124" i="15" s="1"/>
  <c r="Q126" i="15"/>
  <c r="Q128" i="15"/>
  <c r="Q130" i="15"/>
  <c r="Q132" i="15"/>
  <c r="P132" i="15" s="1"/>
  <c r="V132" i="15" s="1"/>
  <c r="F132" i="15" s="1"/>
  <c r="Q134" i="15"/>
  <c r="Q136" i="15"/>
  <c r="Q138" i="15"/>
  <c r="Q140" i="15"/>
  <c r="P140" i="15" s="1"/>
  <c r="V140" i="15" s="1"/>
  <c r="F140" i="15" s="1"/>
  <c r="Q142" i="15"/>
  <c r="P142" i="15" s="1"/>
  <c r="V142" i="15" s="1"/>
  <c r="F142" i="15" s="1"/>
  <c r="Q144" i="15"/>
  <c r="Q146" i="15"/>
  <c r="Q148" i="15"/>
  <c r="P148" i="15" s="1"/>
  <c r="V148" i="15" s="1"/>
  <c r="F148" i="15" s="1"/>
  <c r="Q150" i="15"/>
  <c r="Q152" i="15"/>
  <c r="Q154" i="15"/>
  <c r="Q156" i="15"/>
  <c r="P156" i="15" s="1"/>
  <c r="V156" i="15" s="1"/>
  <c r="F156" i="15" s="1"/>
  <c r="Q158" i="15"/>
  <c r="Q160" i="15"/>
  <c r="Q162" i="15"/>
  <c r="Q164" i="15"/>
  <c r="P164" i="15" s="1"/>
  <c r="V164" i="15" s="1"/>
  <c r="F164" i="15" s="1"/>
  <c r="Q166" i="15"/>
  <c r="Q168" i="15"/>
  <c r="Q170" i="15"/>
  <c r="Q172" i="15"/>
  <c r="Q174" i="15"/>
  <c r="P174" i="15" s="1"/>
  <c r="V174" i="15" s="1"/>
  <c r="F174" i="15" s="1"/>
  <c r="Q176" i="15"/>
  <c r="Q178" i="15"/>
  <c r="Q180" i="15"/>
  <c r="P180" i="15" s="1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P47" i="15" s="1"/>
  <c r="V47" i="15" s="1"/>
  <c r="F47" i="15" s="1"/>
  <c r="Q43" i="15"/>
  <c r="Q39" i="15"/>
  <c r="Q35" i="15"/>
  <c r="Q31" i="15"/>
  <c r="P31" i="15" s="1"/>
  <c r="V31" i="15" s="1"/>
  <c r="F31" i="15" s="1"/>
  <c r="Q27" i="15"/>
  <c r="P55" i="15"/>
  <c r="V55" i="15" s="1"/>
  <c r="F55" i="15" s="1"/>
  <c r="AC382" i="17"/>
  <c r="AC383" i="17"/>
  <c r="AC381" i="17"/>
  <c r="R379" i="1"/>
  <c r="S381" i="1"/>
  <c r="S382" i="1"/>
  <c r="S383" i="1"/>
  <c r="AK380" i="16"/>
  <c r="K380" i="16"/>
  <c r="AJ380" i="16"/>
  <c r="E379" i="16"/>
  <c r="AG368" i="15"/>
  <c r="AF368" i="15" s="1"/>
  <c r="AH352" i="15"/>
  <c r="AG344" i="15"/>
  <c r="AF344" i="15" s="1"/>
  <c r="AG336" i="15"/>
  <c r="AF336" i="15" s="1"/>
  <c r="AH332" i="15"/>
  <c r="AH328" i="15"/>
  <c r="AH326" i="15"/>
  <c r="AH320" i="15"/>
  <c r="AG318" i="15"/>
  <c r="AF318" i="15" s="1"/>
  <c r="AH304" i="15"/>
  <c r="AG288" i="15"/>
  <c r="AF288" i="15" s="1"/>
  <c r="AG280" i="15"/>
  <c r="AF280" i="15" s="1"/>
  <c r="AH272" i="15"/>
  <c r="AH268" i="15"/>
  <c r="AG264" i="15"/>
  <c r="AF264" i="15" s="1"/>
  <c r="AG262" i="15"/>
  <c r="AF262" i="15" s="1"/>
  <c r="AH256" i="15"/>
  <c r="AG254" i="15"/>
  <c r="AF254" i="15" s="1"/>
  <c r="AG240" i="15"/>
  <c r="AF240" i="15" s="1"/>
  <c r="AH226" i="15"/>
  <c r="AG220" i="15"/>
  <c r="AF220" i="15" s="1"/>
  <c r="AH214" i="15"/>
  <c r="AH212" i="15"/>
  <c r="AG210" i="15"/>
  <c r="AF210" i="15" s="1"/>
  <c r="AG206" i="15"/>
  <c r="AF206" i="15" s="1"/>
  <c r="AH198" i="15"/>
  <c r="AH194" i="15"/>
  <c r="AG182" i="15"/>
  <c r="AF182" i="15" s="1"/>
  <c r="AH178" i="15"/>
  <c r="AH172" i="15"/>
  <c r="AG162" i="15"/>
  <c r="AF162" i="15" s="1"/>
  <c r="AH146" i="15"/>
  <c r="AG138" i="15"/>
  <c r="AF138" i="15" s="1"/>
  <c r="AG134" i="15"/>
  <c r="AF134" i="15" s="1"/>
  <c r="AH132" i="15"/>
  <c r="AH126" i="15"/>
  <c r="AH114" i="15"/>
  <c r="AG98" i="15"/>
  <c r="AF98" i="15" s="1"/>
  <c r="AG92" i="15"/>
  <c r="AF92" i="15" s="1"/>
  <c r="AH86" i="15"/>
  <c r="AH84" i="15"/>
  <c r="AH82" i="15"/>
  <c r="AG78" i="15"/>
  <c r="AF78" i="15" s="1"/>
  <c r="AG70" i="15"/>
  <c r="AF70" i="15" s="1"/>
  <c r="AG58" i="15"/>
  <c r="AF58" i="15" s="1"/>
  <c r="AH48" i="15"/>
  <c r="AH16" i="15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AJ5" i="17"/>
  <c r="L382" i="17"/>
  <c r="L381" i="17"/>
  <c r="L383" i="17"/>
  <c r="S227" i="15"/>
  <c r="R227" i="15" s="1"/>
  <c r="P227" i="15" s="1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39" i="15"/>
  <c r="AH275" i="15"/>
  <c r="AG211" i="15"/>
  <c r="AF211" i="15" s="1"/>
  <c r="AH141" i="15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134" i="15"/>
  <c r="R134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66" i="15" l="1"/>
  <c r="V166" i="15" s="1"/>
  <c r="F166" i="15" s="1"/>
  <c r="P335" i="15"/>
  <c r="V335" i="15" s="1"/>
  <c r="F335" i="15" s="1"/>
  <c r="P46" i="15"/>
  <c r="V46" i="15" s="1"/>
  <c r="F46" i="15" s="1"/>
  <c r="AI12" i="16"/>
  <c r="P287" i="15"/>
  <c r="V287" i="15" s="1"/>
  <c r="F287" i="15" s="1"/>
  <c r="G287" i="15" s="1"/>
  <c r="BX287" i="6" s="1"/>
  <c r="P323" i="15"/>
  <c r="V323" i="15" s="1"/>
  <c r="F323" i="15" s="1"/>
  <c r="G323" i="15" s="1"/>
  <c r="BX323" i="6" s="1"/>
  <c r="P339" i="15"/>
  <c r="V339" i="15" s="1"/>
  <c r="F339" i="15" s="1"/>
  <c r="H339" i="15" s="1"/>
  <c r="P355" i="15"/>
  <c r="V355" i="15" s="1"/>
  <c r="F355" i="15" s="1"/>
  <c r="H355" i="15" s="1"/>
  <c r="P371" i="15"/>
  <c r="V371" i="15" s="1"/>
  <c r="F371" i="15" s="1"/>
  <c r="G371" i="15" s="1"/>
  <c r="BX371" i="6" s="1"/>
  <c r="P277" i="15"/>
  <c r="V277" i="15" s="1"/>
  <c r="F277" i="15" s="1"/>
  <c r="G277" i="15" s="1"/>
  <c r="BX277" i="6" s="1"/>
  <c r="P23" i="15"/>
  <c r="P16" i="15"/>
  <c r="P36" i="15"/>
  <c r="V36" i="15" s="1"/>
  <c r="F36" i="15" s="1"/>
  <c r="P44" i="15"/>
  <c r="V44" i="15" s="1"/>
  <c r="F44" i="15" s="1"/>
  <c r="P52" i="15"/>
  <c r="V52" i="15" s="1"/>
  <c r="F52" i="15" s="1"/>
  <c r="P60" i="15"/>
  <c r="D33" i="7" s="1"/>
  <c r="P19" i="15"/>
  <c r="V19" i="15" s="1"/>
  <c r="F19" i="15" s="1"/>
  <c r="G19" i="15" s="1"/>
  <c r="BX19" i="6" s="1"/>
  <c r="P207" i="15"/>
  <c r="V207" i="15" s="1"/>
  <c r="F207" i="15" s="1"/>
  <c r="H207" i="15" s="1"/>
  <c r="P211" i="15"/>
  <c r="V211" i="15" s="1"/>
  <c r="F211" i="15" s="1"/>
  <c r="H211" i="15" s="1"/>
  <c r="P275" i="15"/>
  <c r="V275" i="15" s="1"/>
  <c r="F275" i="15" s="1"/>
  <c r="H275" i="15" s="1"/>
  <c r="P327" i="15"/>
  <c r="V327" i="15" s="1"/>
  <c r="F327" i="15" s="1"/>
  <c r="H327" i="15" s="1"/>
  <c r="P359" i="15"/>
  <c r="V359" i="15" s="1"/>
  <c r="F359" i="15" s="1"/>
  <c r="H359" i="15" s="1"/>
  <c r="L38" i="19"/>
  <c r="P131" i="15"/>
  <c r="V131" i="15" s="1"/>
  <c r="F131" i="15" s="1"/>
  <c r="G131" i="15" s="1"/>
  <c r="BX131" i="6" s="1"/>
  <c r="P99" i="15"/>
  <c r="V99" i="15" s="1"/>
  <c r="F99" i="15" s="1"/>
  <c r="H99" i="15" s="1"/>
  <c r="P243" i="15"/>
  <c r="V243" i="15" s="1"/>
  <c r="F243" i="15" s="1"/>
  <c r="G243" i="15" s="1"/>
  <c r="BX243" i="6" s="1"/>
  <c r="P307" i="15"/>
  <c r="V307" i="15" s="1"/>
  <c r="F307" i="15" s="1"/>
  <c r="H307" i="15" s="1"/>
  <c r="P291" i="15"/>
  <c r="V291" i="15" s="1"/>
  <c r="F291" i="15" s="1"/>
  <c r="G291" i="15" s="1"/>
  <c r="BX291" i="6" s="1"/>
  <c r="P259" i="15"/>
  <c r="V259" i="15" s="1"/>
  <c r="F259" i="15" s="1"/>
  <c r="G259" i="15" s="1"/>
  <c r="BX259" i="6" s="1"/>
  <c r="P150" i="15"/>
  <c r="V150" i="15" s="1"/>
  <c r="F150" i="15" s="1"/>
  <c r="G150" i="15" s="1"/>
  <c r="BX150" i="6" s="1"/>
  <c r="P171" i="15"/>
  <c r="V171" i="15" s="1"/>
  <c r="AD219" i="15"/>
  <c r="AD235" i="15"/>
  <c r="AD251" i="15"/>
  <c r="AD267" i="15"/>
  <c r="AD283" i="15"/>
  <c r="AD299" i="15"/>
  <c r="AD315" i="15"/>
  <c r="AD347" i="15"/>
  <c r="P100" i="15"/>
  <c r="V100" i="15" s="1"/>
  <c r="F100" i="15" s="1"/>
  <c r="H100" i="15" s="1"/>
  <c r="P17" i="15"/>
  <c r="V17" i="15" s="1"/>
  <c r="F17" i="15" s="1"/>
  <c r="Q12" i="16"/>
  <c r="Q10" i="16" s="1"/>
  <c r="Q202" i="16" s="1"/>
  <c r="P313" i="15"/>
  <c r="V313" i="15" s="1"/>
  <c r="F313" i="15" s="1"/>
  <c r="G313" i="15" s="1"/>
  <c r="BX313" i="6" s="1"/>
  <c r="P214" i="15"/>
  <c r="V214" i="15" s="1"/>
  <c r="F214" i="15" s="1"/>
  <c r="G214" i="15" s="1"/>
  <c r="BX214" i="6" s="1"/>
  <c r="P95" i="15"/>
  <c r="V95" i="15" s="1"/>
  <c r="F95" i="15" s="1"/>
  <c r="H95" i="15" s="1"/>
  <c r="P22" i="15"/>
  <c r="V22" i="15" s="1"/>
  <c r="F22" i="15" s="1"/>
  <c r="P50" i="15"/>
  <c r="AD195" i="15"/>
  <c r="AA195" i="15" s="1"/>
  <c r="Z195" i="15" s="1"/>
  <c r="Y195" i="15" s="1"/>
  <c r="AD211" i="15"/>
  <c r="AA211" i="15" s="1"/>
  <c r="Z211" i="15" s="1"/>
  <c r="Y211" i="15" s="1"/>
  <c r="AD227" i="15"/>
  <c r="AD259" i="15"/>
  <c r="AD291" i="15"/>
  <c r="AD307" i="15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161" i="15"/>
  <c r="V161" i="15" s="1"/>
  <c r="F161" i="15" s="1"/>
  <c r="H161" i="15" s="1"/>
  <c r="P81" i="15"/>
  <c r="V81" i="15" s="1"/>
  <c r="F81" i="15" s="1"/>
  <c r="G81" i="15" s="1"/>
  <c r="BX81" i="6" s="1"/>
  <c r="P201" i="15"/>
  <c r="V201" i="15" s="1"/>
  <c r="F201" i="15" s="1"/>
  <c r="G201" i="15" s="1"/>
  <c r="BX201" i="6" s="1"/>
  <c r="P377" i="15"/>
  <c r="V377" i="15" s="1"/>
  <c r="F377" i="15" s="1"/>
  <c r="H377" i="15" s="1"/>
  <c r="P333" i="15"/>
  <c r="D42" i="7" s="1"/>
  <c r="P203" i="15"/>
  <c r="V203" i="15" s="1"/>
  <c r="F203" i="15" s="1"/>
  <c r="H203" i="15" s="1"/>
  <c r="U12" i="16"/>
  <c r="J16" i="7"/>
  <c r="P11" i="7" s="1"/>
  <c r="U11" i="16" s="1"/>
  <c r="P54" i="15"/>
  <c r="V54" i="15" s="1"/>
  <c r="F54" i="15" s="1"/>
  <c r="P62" i="15"/>
  <c r="V62" i="15" s="1"/>
  <c r="F62" i="15" s="1"/>
  <c r="P284" i="15"/>
  <c r="V284" i="15" s="1"/>
  <c r="F284" i="15" s="1"/>
  <c r="G284" i="15" s="1"/>
  <c r="BX284" i="6" s="1"/>
  <c r="P296" i="15"/>
  <c r="V296" i="15" s="1"/>
  <c r="F296" i="15" s="1"/>
  <c r="H296" i="15" s="1"/>
  <c r="P316" i="15"/>
  <c r="V316" i="15" s="1"/>
  <c r="F316" i="15" s="1"/>
  <c r="H316" i="15" s="1"/>
  <c r="P324" i="15"/>
  <c r="V324" i="15" s="1"/>
  <c r="AD22" i="15"/>
  <c r="AD31" i="15"/>
  <c r="AA31" i="15" s="1"/>
  <c r="Z31" i="15" s="1"/>
  <c r="Y31" i="15" s="1"/>
  <c r="AD35" i="15"/>
  <c r="AD43" i="15"/>
  <c r="AD47" i="15"/>
  <c r="AA47" i="15" s="1"/>
  <c r="Z47" i="15" s="1"/>
  <c r="Y47" i="15" s="1"/>
  <c r="AD59" i="15"/>
  <c r="AD67" i="15"/>
  <c r="AD71" i="15"/>
  <c r="AD79" i="15"/>
  <c r="AA79" i="15" s="1"/>
  <c r="Z79" i="15" s="1"/>
  <c r="Y79" i="15" s="1"/>
  <c r="AD95" i="15"/>
  <c r="AA95" i="15" s="1"/>
  <c r="Z95" i="15" s="1"/>
  <c r="Y95" i="15" s="1"/>
  <c r="AD103" i="15"/>
  <c r="AD119" i="15"/>
  <c r="AD123" i="15"/>
  <c r="AD135" i="15"/>
  <c r="AD139" i="15"/>
  <c r="AA139" i="15" s="1"/>
  <c r="Z139" i="15" s="1"/>
  <c r="Y139" i="15" s="1"/>
  <c r="AD143" i="15"/>
  <c r="AD163" i="15"/>
  <c r="AD171" i="15"/>
  <c r="AD175" i="15"/>
  <c r="AA175" i="15" s="1"/>
  <c r="Z175" i="15" s="1"/>
  <c r="Y175" i="15" s="1"/>
  <c r="AD183" i="15"/>
  <c r="AD187" i="15"/>
  <c r="AD199" i="15"/>
  <c r="AA199" i="15" s="1"/>
  <c r="Z199" i="15" s="1"/>
  <c r="Y199" i="15" s="1"/>
  <c r="AD207" i="15"/>
  <c r="AA207" i="15" s="1"/>
  <c r="Z207" i="15" s="1"/>
  <c r="Y207" i="15" s="1"/>
  <c r="AD215" i="15"/>
  <c r="AD231" i="15"/>
  <c r="AD239" i="15"/>
  <c r="AA239" i="15" s="1"/>
  <c r="Z239" i="15" s="1"/>
  <c r="Y239" i="15" s="1"/>
  <c r="AD255" i="15"/>
  <c r="AA255" i="15" s="1"/>
  <c r="Z255" i="15" s="1"/>
  <c r="Y255" i="15" s="1"/>
  <c r="AD263" i="15"/>
  <c r="AA263" i="15" s="1"/>
  <c r="Z263" i="15" s="1"/>
  <c r="Y263" i="15" s="1"/>
  <c r="AD271" i="15"/>
  <c r="AD279" i="15"/>
  <c r="AD303" i="15"/>
  <c r="AA303" i="15" s="1"/>
  <c r="Z303" i="15" s="1"/>
  <c r="Y303" i="15" s="1"/>
  <c r="AD311" i="15"/>
  <c r="AD351" i="15"/>
  <c r="AA351" i="15" s="1"/>
  <c r="Z351" i="15" s="1"/>
  <c r="Y351" i="15" s="1"/>
  <c r="AD359" i="15"/>
  <c r="AD367" i="15"/>
  <c r="AA367" i="15" s="1"/>
  <c r="Z367" i="15" s="1"/>
  <c r="Y367" i="15" s="1"/>
  <c r="AD375" i="15"/>
  <c r="T379" i="15"/>
  <c r="T383" i="15" s="1"/>
  <c r="P235" i="15"/>
  <c r="V235" i="15" s="1"/>
  <c r="F235" i="15" s="1"/>
  <c r="AA235" i="15" s="1"/>
  <c r="Z235" i="15" s="1"/>
  <c r="Y235" i="15" s="1"/>
  <c r="P267" i="15"/>
  <c r="V267" i="15" s="1"/>
  <c r="F267" i="15" s="1"/>
  <c r="H267" i="15" s="1"/>
  <c r="P299" i="15"/>
  <c r="V299" i="15" s="1"/>
  <c r="F299" i="15" s="1"/>
  <c r="AI381" i="15"/>
  <c r="P163" i="15"/>
  <c r="V163" i="15" s="1"/>
  <c r="F163" i="15" s="1"/>
  <c r="H163" i="15" s="1"/>
  <c r="P143" i="15"/>
  <c r="V143" i="15" s="1"/>
  <c r="F143" i="15" s="1"/>
  <c r="G143" i="15" s="1"/>
  <c r="BX143" i="6" s="1"/>
  <c r="S43" i="15"/>
  <c r="R43" i="15" s="1"/>
  <c r="P43" i="15" s="1"/>
  <c r="V43" i="15" s="1"/>
  <c r="F43" i="15" s="1"/>
  <c r="G43" i="15" s="1"/>
  <c r="BX43" i="6" s="1"/>
  <c r="P343" i="15"/>
  <c r="V343" i="15" s="1"/>
  <c r="F343" i="15" s="1"/>
  <c r="H343" i="15" s="1"/>
  <c r="P375" i="15"/>
  <c r="V375" i="15" s="1"/>
  <c r="F375" i="15" s="1"/>
  <c r="G375" i="15" s="1"/>
  <c r="BX375" i="6" s="1"/>
  <c r="P20" i="15"/>
  <c r="V20" i="15" s="1"/>
  <c r="F20" i="15" s="1"/>
  <c r="P18" i="15"/>
  <c r="V18" i="15" s="1"/>
  <c r="F18" i="15" s="1"/>
  <c r="P223" i="15"/>
  <c r="V223" i="15" s="1"/>
  <c r="F223" i="15" s="1"/>
  <c r="H223" i="15" s="1"/>
  <c r="P271" i="15"/>
  <c r="V271" i="15" s="1"/>
  <c r="F271" i="15" s="1"/>
  <c r="P27" i="15"/>
  <c r="V27" i="15" s="1"/>
  <c r="F27" i="15" s="1"/>
  <c r="H27" i="15" s="1"/>
  <c r="P59" i="15"/>
  <c r="V59" i="15" s="1"/>
  <c r="F59" i="15" s="1"/>
  <c r="H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H350" i="15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G334" i="15" s="1"/>
  <c r="BX334" i="6" s="1"/>
  <c r="P330" i="15"/>
  <c r="V330" i="15" s="1"/>
  <c r="F330" i="15" s="1"/>
  <c r="H330" i="15" s="1"/>
  <c r="P322" i="15"/>
  <c r="V322" i="15" s="1"/>
  <c r="F322" i="15" s="1"/>
  <c r="G322" i="15" s="1"/>
  <c r="BX322" i="6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G290" i="15" s="1"/>
  <c r="BX290" i="6" s="1"/>
  <c r="P286" i="15"/>
  <c r="V286" i="15" s="1"/>
  <c r="F286" i="15" s="1"/>
  <c r="H286" i="15" s="1"/>
  <c r="P282" i="15"/>
  <c r="V282" i="15" s="1"/>
  <c r="F282" i="15" s="1"/>
  <c r="H282" i="15" s="1"/>
  <c r="P278" i="15"/>
  <c r="V278" i="15" s="1"/>
  <c r="F278" i="15" s="1"/>
  <c r="G278" i="15" s="1"/>
  <c r="BX278" i="6" s="1"/>
  <c r="P274" i="15"/>
  <c r="V274" i="15" s="1"/>
  <c r="F274" i="15" s="1"/>
  <c r="G274" i="15" s="1"/>
  <c r="BX274" i="6" s="1"/>
  <c r="P270" i="15"/>
  <c r="V270" i="15" s="1"/>
  <c r="F270" i="15" s="1"/>
  <c r="H270" i="15" s="1"/>
  <c r="P266" i="15"/>
  <c r="V266" i="15" s="1"/>
  <c r="F266" i="15" s="1"/>
  <c r="G266" i="15" s="1"/>
  <c r="BX266" i="6" s="1"/>
  <c r="P262" i="15"/>
  <c r="V262" i="15" s="1"/>
  <c r="F262" i="15" s="1"/>
  <c r="H262" i="15" s="1"/>
  <c r="P258" i="15"/>
  <c r="V258" i="15" s="1"/>
  <c r="F258" i="15" s="1"/>
  <c r="H258" i="15" s="1"/>
  <c r="P250" i="15"/>
  <c r="V250" i="15" s="1"/>
  <c r="F250" i="15" s="1"/>
  <c r="G250" i="15" s="1"/>
  <c r="BX250" i="6" s="1"/>
  <c r="P246" i="15"/>
  <c r="V246" i="15" s="1"/>
  <c r="F246" i="15" s="1"/>
  <c r="H246" i="15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V210" i="15" s="1"/>
  <c r="F210" i="15" s="1"/>
  <c r="G210" i="15" s="1"/>
  <c r="BX210" i="6" s="1"/>
  <c r="P206" i="15"/>
  <c r="V206" i="15" s="1"/>
  <c r="F206" i="15" s="1"/>
  <c r="G206" i="15" s="1"/>
  <c r="BX206" i="6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G182" i="15" s="1"/>
  <c r="BX182" i="6" s="1"/>
  <c r="P178" i="15"/>
  <c r="V178" i="15" s="1"/>
  <c r="F178" i="15" s="1"/>
  <c r="H178" i="15" s="1"/>
  <c r="P162" i="15"/>
  <c r="V162" i="15" s="1"/>
  <c r="F162" i="15" s="1"/>
  <c r="H162" i="15" s="1"/>
  <c r="P158" i="15"/>
  <c r="V158" i="15" s="1"/>
  <c r="F158" i="15" s="1"/>
  <c r="H158" i="15" s="1"/>
  <c r="P146" i="15"/>
  <c r="V146" i="15" s="1"/>
  <c r="F146" i="15" s="1"/>
  <c r="G146" i="15" s="1"/>
  <c r="BX146" i="6" s="1"/>
  <c r="P130" i="15"/>
  <c r="V130" i="15" s="1"/>
  <c r="F130" i="15" s="1"/>
  <c r="H130" i="15" s="1"/>
  <c r="P126" i="15"/>
  <c r="V126" i="15" s="1"/>
  <c r="F126" i="15" s="1"/>
  <c r="G126" i="15" s="1"/>
  <c r="BX126" i="6" s="1"/>
  <c r="P118" i="15"/>
  <c r="V118" i="15" s="1"/>
  <c r="F118" i="15" s="1"/>
  <c r="H118" i="15" s="1"/>
  <c r="P114" i="15"/>
  <c r="V114" i="15" s="1"/>
  <c r="F114" i="15" s="1"/>
  <c r="G114" i="15" s="1"/>
  <c r="BX114" i="6" s="1"/>
  <c r="P98" i="15"/>
  <c r="V98" i="15" s="1"/>
  <c r="F98" i="15" s="1"/>
  <c r="H98" i="15" s="1"/>
  <c r="P94" i="15"/>
  <c r="V94" i="15" s="1"/>
  <c r="F94" i="15" s="1"/>
  <c r="H94" i="15" s="1"/>
  <c r="P67" i="15"/>
  <c r="V67" i="15" s="1"/>
  <c r="F67" i="15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G87" i="15" s="1"/>
  <c r="BX87" i="6" s="1"/>
  <c r="P103" i="15"/>
  <c r="V103" i="15" s="1"/>
  <c r="F103" i="15" s="1"/>
  <c r="G103" i="15" s="1"/>
  <c r="BX103" i="6" s="1"/>
  <c r="P119" i="15"/>
  <c r="V119" i="15" s="1"/>
  <c r="F119" i="15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215" i="15"/>
  <c r="V215" i="15" s="1"/>
  <c r="F215" i="15" s="1"/>
  <c r="H215" i="15" s="1"/>
  <c r="P247" i="15"/>
  <c r="V247" i="15" s="1"/>
  <c r="F247" i="15" s="1"/>
  <c r="H247" i="15" s="1"/>
  <c r="P279" i="15"/>
  <c r="V279" i="15" s="1"/>
  <c r="F279" i="15" s="1"/>
  <c r="H279" i="15" s="1"/>
  <c r="P311" i="15"/>
  <c r="V311" i="15" s="1"/>
  <c r="F311" i="15" s="1"/>
  <c r="H311" i="15" s="1"/>
  <c r="P91" i="15"/>
  <c r="V91" i="15" s="1"/>
  <c r="F91" i="15" s="1"/>
  <c r="G91" i="15" s="1"/>
  <c r="BX91" i="6" s="1"/>
  <c r="P123" i="15"/>
  <c r="V123" i="15" s="1"/>
  <c r="F123" i="15" s="1"/>
  <c r="H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G283" i="15" s="1"/>
  <c r="BX283" i="6" s="1"/>
  <c r="P315" i="15"/>
  <c r="V315" i="15" s="1"/>
  <c r="F315" i="15" s="1"/>
  <c r="H315" i="15" s="1"/>
  <c r="P331" i="15"/>
  <c r="V331" i="15" s="1"/>
  <c r="F331" i="15" s="1"/>
  <c r="G331" i="15" s="1"/>
  <c r="BX331" i="6" s="1"/>
  <c r="P347" i="15"/>
  <c r="V347" i="15" s="1"/>
  <c r="F347" i="15" s="1"/>
  <c r="H347" i="15" s="1"/>
  <c r="P363" i="15"/>
  <c r="V363" i="15" s="1"/>
  <c r="F363" i="15" s="1"/>
  <c r="G363" i="15" s="1"/>
  <c r="BX363" i="6" s="1"/>
  <c r="P37" i="15"/>
  <c r="V37" i="15" s="1"/>
  <c r="F37" i="15" s="1"/>
  <c r="H37" i="15" s="1"/>
  <c r="P193" i="15"/>
  <c r="V193" i="15" s="1"/>
  <c r="F193" i="15" s="1"/>
  <c r="H193" i="15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G189" i="15" s="1"/>
  <c r="BX189" i="6" s="1"/>
  <c r="P205" i="15"/>
  <c r="V205" i="15" s="1"/>
  <c r="F205" i="15" s="1"/>
  <c r="G205" i="15" s="1"/>
  <c r="BX205" i="6" s="1"/>
  <c r="P213" i="15"/>
  <c r="V213" i="15" s="1"/>
  <c r="F213" i="15" s="1"/>
  <c r="G213" i="15" s="1"/>
  <c r="BX213" i="6" s="1"/>
  <c r="P221" i="15"/>
  <c r="V221" i="15" s="1"/>
  <c r="F221" i="15" s="1"/>
  <c r="G221" i="15" s="1"/>
  <c r="BX221" i="6" s="1"/>
  <c r="P229" i="15"/>
  <c r="V229" i="15" s="1"/>
  <c r="F229" i="15" s="1"/>
  <c r="H229" i="15" s="1"/>
  <c r="P237" i="15"/>
  <c r="V237" i="15" s="1"/>
  <c r="F237" i="15" s="1"/>
  <c r="G237" i="15" s="1"/>
  <c r="BX237" i="6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G293" i="15" s="1"/>
  <c r="BX293" i="6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G373" i="15" s="1"/>
  <c r="BX373" i="6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5" i="7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V180" i="15"/>
  <c r="F180" i="15" s="1"/>
  <c r="H180" i="15" s="1"/>
  <c r="D37" i="7"/>
  <c r="AD349" i="15"/>
  <c r="AD353" i="15"/>
  <c r="AD357" i="15"/>
  <c r="AD365" i="15"/>
  <c r="AD373" i="15"/>
  <c r="V302" i="15"/>
  <c r="F302" i="15" s="1"/>
  <c r="G302" i="15" s="1"/>
  <c r="BX302" i="6" s="1"/>
  <c r="D38" i="7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A76" i="15" s="1"/>
  <c r="Z76" i="15" s="1"/>
  <c r="Y76" i="15" s="1"/>
  <c r="AD92" i="15"/>
  <c r="AD104" i="15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AD34" i="15"/>
  <c r="AD42" i="15"/>
  <c r="AD50" i="15"/>
  <c r="AD58" i="15"/>
  <c r="AD70" i="15"/>
  <c r="AA70" i="15" s="1"/>
  <c r="Z70" i="15" s="1"/>
  <c r="Y70" i="15" s="1"/>
  <c r="AD78" i="15"/>
  <c r="AA78" i="15" s="1"/>
  <c r="Z78" i="15" s="1"/>
  <c r="Y78" i="15" s="1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A150" i="15" s="1"/>
  <c r="Z150" i="15" s="1"/>
  <c r="Y150" i="15" s="1"/>
  <c r="AD162" i="15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D234" i="15"/>
  <c r="AD238" i="15"/>
  <c r="AD254" i="15"/>
  <c r="AD258" i="15"/>
  <c r="AD262" i="15"/>
  <c r="AD278" i="15"/>
  <c r="AA278" i="15" s="1"/>
  <c r="Z278" i="15" s="1"/>
  <c r="Y278" i="15" s="1"/>
  <c r="AD282" i="15"/>
  <c r="AA282" i="15" s="1"/>
  <c r="Z282" i="15" s="1"/>
  <c r="Y282" i="15" s="1"/>
  <c r="AD290" i="15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D350" i="15"/>
  <c r="AA350" i="15" s="1"/>
  <c r="Z350" i="15" s="1"/>
  <c r="Y350" i="15" s="1"/>
  <c r="AD374" i="15"/>
  <c r="AA374" i="15" s="1"/>
  <c r="Z374" i="15" s="1"/>
  <c r="Y374" i="15" s="1"/>
  <c r="AD378" i="15"/>
  <c r="AA378" i="15" s="1"/>
  <c r="Z378" i="15" s="1"/>
  <c r="Y378" i="15" s="1"/>
  <c r="AC382" i="16"/>
  <c r="AC381" i="16"/>
  <c r="AC383" i="16"/>
  <c r="O383" i="16"/>
  <c r="O382" i="16"/>
  <c r="O381" i="16"/>
  <c r="V38" i="15"/>
  <c r="F38" i="15" s="1"/>
  <c r="V50" i="15"/>
  <c r="F50" i="15" s="1"/>
  <c r="G116" i="15"/>
  <c r="BX116" i="6" s="1"/>
  <c r="H116" i="15"/>
  <c r="G124" i="15"/>
  <c r="BX124" i="6" s="1"/>
  <c r="H124" i="15"/>
  <c r="G164" i="15"/>
  <c r="BX164" i="6" s="1"/>
  <c r="H164" i="15"/>
  <c r="H214" i="15"/>
  <c r="G127" i="15"/>
  <c r="BX127" i="6" s="1"/>
  <c r="H127" i="15"/>
  <c r="AA259" i="15"/>
  <c r="Z259" i="15" s="1"/>
  <c r="Y259" i="15" s="1"/>
  <c r="G263" i="15"/>
  <c r="BX263" i="6" s="1"/>
  <c r="H263" i="15"/>
  <c r="G275" i="15"/>
  <c r="BX275" i="6" s="1"/>
  <c r="H323" i="15"/>
  <c r="G339" i="15"/>
  <c r="BX339" i="6" s="1"/>
  <c r="G355" i="15"/>
  <c r="BX355" i="6" s="1"/>
  <c r="V23" i="15"/>
  <c r="F23" i="15" s="1"/>
  <c r="V16" i="15"/>
  <c r="F16" i="15" s="1"/>
  <c r="G102" i="15"/>
  <c r="BX102" i="6" s="1"/>
  <c r="H102" i="15"/>
  <c r="G110" i="15"/>
  <c r="BX110" i="6" s="1"/>
  <c r="H110" i="15"/>
  <c r="G142" i="15"/>
  <c r="BX142" i="6" s="1"/>
  <c r="H142" i="15"/>
  <c r="G166" i="15"/>
  <c r="BX166" i="6" s="1"/>
  <c r="H166" i="15"/>
  <c r="H174" i="15"/>
  <c r="G174" i="15"/>
  <c r="BX174" i="6" s="1"/>
  <c r="G125" i="15"/>
  <c r="BX125" i="6" s="1"/>
  <c r="H125" i="15"/>
  <c r="G133" i="15"/>
  <c r="BX133" i="6" s="1"/>
  <c r="H133" i="15"/>
  <c r="G141" i="15"/>
  <c r="BX141" i="6" s="1"/>
  <c r="H141" i="15"/>
  <c r="H132" i="15"/>
  <c r="G132" i="15"/>
  <c r="BX132" i="6" s="1"/>
  <c r="G140" i="15"/>
  <c r="BX140" i="6" s="1"/>
  <c r="H140" i="15"/>
  <c r="H148" i="15"/>
  <c r="G148" i="15"/>
  <c r="BX148" i="6" s="1"/>
  <c r="G156" i="15"/>
  <c r="BX156" i="6" s="1"/>
  <c r="H156" i="15"/>
  <c r="G139" i="15"/>
  <c r="BX139" i="6" s="1"/>
  <c r="H139" i="15"/>
  <c r="G255" i="15"/>
  <c r="BX255" i="6" s="1"/>
  <c r="H255" i="15"/>
  <c r="H287" i="15"/>
  <c r="H295" i="15"/>
  <c r="G295" i="15"/>
  <c r="BX295" i="6" s="1"/>
  <c r="G303" i="15"/>
  <c r="BX303" i="6" s="1"/>
  <c r="H303" i="15"/>
  <c r="G319" i="15"/>
  <c r="BX319" i="6" s="1"/>
  <c r="H319" i="15"/>
  <c r="G335" i="15"/>
  <c r="BX335" i="6" s="1"/>
  <c r="H335" i="15"/>
  <c r="G351" i="15"/>
  <c r="BX351" i="6" s="1"/>
  <c r="H351" i="15"/>
  <c r="G70" i="15"/>
  <c r="BX70" i="6" s="1"/>
  <c r="H70" i="15"/>
  <c r="G78" i="15"/>
  <c r="BX78" i="6" s="1"/>
  <c r="H78" i="15"/>
  <c r="G86" i="15"/>
  <c r="BX86" i="6" s="1"/>
  <c r="H86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1" i="15"/>
  <c r="BX31" i="6" s="1"/>
  <c r="H31" i="15"/>
  <c r="G47" i="15"/>
  <c r="BX47" i="6" s="1"/>
  <c r="H47" i="15"/>
  <c r="H53" i="15"/>
  <c r="G53" i="15"/>
  <c r="BX53" i="6" s="1"/>
  <c r="G55" i="15"/>
  <c r="BX55" i="6" s="1"/>
  <c r="H55" i="15"/>
  <c r="G63" i="15"/>
  <c r="BX63" i="6" s="1"/>
  <c r="H63" i="15"/>
  <c r="G79" i="15"/>
  <c r="BX79" i="6" s="1"/>
  <c r="H79" i="15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1" i="15"/>
  <c r="BX191" i="6" s="1"/>
  <c r="H191" i="15"/>
  <c r="G195" i="15"/>
  <c r="BX195" i="6" s="1"/>
  <c r="H195" i="15"/>
  <c r="G199" i="15"/>
  <c r="BX199" i="6" s="1"/>
  <c r="H199" i="15"/>
  <c r="V227" i="15"/>
  <c r="H239" i="15"/>
  <c r="G239" i="15"/>
  <c r="BX239" i="6" s="1"/>
  <c r="G367" i="15"/>
  <c r="BX367" i="6" s="1"/>
  <c r="H367" i="15"/>
  <c r="H371" i="15"/>
  <c r="AK3" i="17"/>
  <c r="Q14" i="19" s="1"/>
  <c r="AG15" i="15"/>
  <c r="AG379" i="15"/>
  <c r="AF379" i="15" s="1"/>
  <c r="AD379" i="15" s="1"/>
  <c r="E11" i="1"/>
  <c r="F35" i="19" s="1"/>
  <c r="S15" i="15"/>
  <c r="H68" i="15"/>
  <c r="G68" i="15"/>
  <c r="BX68" i="6" s="1"/>
  <c r="G76" i="15"/>
  <c r="BX76" i="6" s="1"/>
  <c r="H76" i="15"/>
  <c r="G84" i="15"/>
  <c r="BX84" i="6" s="1"/>
  <c r="H84" i="15"/>
  <c r="AJ13" i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A55" i="15" s="1"/>
  <c r="Z55" i="15" s="1"/>
  <c r="Y55" i="15" s="1"/>
  <c r="AG61" i="15"/>
  <c r="AF61" i="15" s="1"/>
  <c r="AD61" i="15" s="1"/>
  <c r="AG63" i="15"/>
  <c r="AF63" i="15" s="1"/>
  <c r="AD63" i="15" s="1"/>
  <c r="AA63" i="15" s="1"/>
  <c r="Z63" i="15" s="1"/>
  <c r="Y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A191" i="15" s="1"/>
  <c r="Z191" i="15" s="1"/>
  <c r="Y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AA287" i="15" l="1"/>
  <c r="Z287" i="15" s="1"/>
  <c r="Y287" i="15" s="1"/>
  <c r="AA355" i="15"/>
  <c r="Z355" i="15" s="1"/>
  <c r="Y355" i="15" s="1"/>
  <c r="AA323" i="15"/>
  <c r="Z323" i="15" s="1"/>
  <c r="Y323" i="15" s="1"/>
  <c r="L39" i="19"/>
  <c r="O15" i="7"/>
  <c r="H277" i="15"/>
  <c r="J277" i="15" s="1"/>
  <c r="AA299" i="15"/>
  <c r="Z299" i="15" s="1"/>
  <c r="Y299" i="15" s="1"/>
  <c r="G327" i="15"/>
  <c r="BX327" i="6" s="1"/>
  <c r="V60" i="15"/>
  <c r="F60" i="15" s="1"/>
  <c r="AA60" i="15" s="1"/>
  <c r="Z60" i="15" s="1"/>
  <c r="Y60" i="15" s="1"/>
  <c r="H19" i="15"/>
  <c r="I19" i="15" s="1"/>
  <c r="AA19" i="15"/>
  <c r="Z19" i="15" s="1"/>
  <c r="Y19" i="15" s="1"/>
  <c r="W2" i="7"/>
  <c r="G207" i="15"/>
  <c r="BX207" i="6" s="1"/>
  <c r="AA277" i="15"/>
  <c r="Z277" i="15" s="1"/>
  <c r="Y277" i="15" s="1"/>
  <c r="AA327" i="15"/>
  <c r="Z327" i="15" s="1"/>
  <c r="Y327" i="15" s="1"/>
  <c r="G211" i="15"/>
  <c r="BX211" i="6" s="1"/>
  <c r="AA275" i="15"/>
  <c r="Z275" i="15" s="1"/>
  <c r="Y275" i="15" s="1"/>
  <c r="G359" i="15"/>
  <c r="BX359" i="6" s="1"/>
  <c r="AA359" i="15"/>
  <c r="Z359" i="15" s="1"/>
  <c r="Y359" i="15" s="1"/>
  <c r="G99" i="15"/>
  <c r="BX99" i="6" s="1"/>
  <c r="G282" i="15"/>
  <c r="BX282" i="6" s="1"/>
  <c r="AA214" i="15"/>
  <c r="Z214" i="15" s="1"/>
  <c r="Y214" i="15" s="1"/>
  <c r="AA100" i="15"/>
  <c r="Z100" i="15" s="1"/>
  <c r="Y100" i="15" s="1"/>
  <c r="AA243" i="15"/>
  <c r="Z243" i="15" s="1"/>
  <c r="Y243" i="15" s="1"/>
  <c r="H201" i="15"/>
  <c r="I201" i="15" s="1"/>
  <c r="G37" i="15"/>
  <c r="BX37" i="6" s="1"/>
  <c r="H313" i="15"/>
  <c r="I313" i="15" s="1"/>
  <c r="G349" i="15"/>
  <c r="BX349" i="6" s="1"/>
  <c r="H299" i="15"/>
  <c r="J299" i="15" s="1"/>
  <c r="G343" i="15"/>
  <c r="BX343" i="6" s="1"/>
  <c r="G247" i="15"/>
  <c r="BX247" i="6" s="1"/>
  <c r="V333" i="15"/>
  <c r="F333" i="15" s="1"/>
  <c r="G333" i="15" s="1"/>
  <c r="BX333" i="6" s="1"/>
  <c r="H114" i="15"/>
  <c r="J114" i="15" s="1"/>
  <c r="H243" i="15"/>
  <c r="J243" i="15" s="1"/>
  <c r="G203" i="15"/>
  <c r="BX203" i="6" s="1"/>
  <c r="G95" i="15"/>
  <c r="BX95" i="6" s="1"/>
  <c r="G158" i="15"/>
  <c r="BX158" i="6" s="1"/>
  <c r="AA291" i="15"/>
  <c r="Z291" i="15" s="1"/>
  <c r="Y291" i="15" s="1"/>
  <c r="H334" i="15"/>
  <c r="I334" i="15" s="1"/>
  <c r="H131" i="15"/>
  <c r="J131" i="15" s="1"/>
  <c r="G234" i="15"/>
  <c r="BX234" i="6" s="1"/>
  <c r="H150" i="15"/>
  <c r="J150" i="15" s="1"/>
  <c r="H291" i="15"/>
  <c r="J291" i="15" s="1"/>
  <c r="G262" i="15"/>
  <c r="BX262" i="6" s="1"/>
  <c r="G100" i="15"/>
  <c r="BX100" i="6" s="1"/>
  <c r="AA131" i="15"/>
  <c r="Z131" i="15" s="1"/>
  <c r="Y131" i="15" s="1"/>
  <c r="G161" i="15"/>
  <c r="BX161" i="6" s="1"/>
  <c r="H378" i="15"/>
  <c r="I378" i="15" s="1"/>
  <c r="H206" i="15"/>
  <c r="I206" i="15" s="1"/>
  <c r="AA315" i="15"/>
  <c r="Z315" i="15" s="1"/>
  <c r="Y315" i="15" s="1"/>
  <c r="AA251" i="15"/>
  <c r="Z251" i="15" s="1"/>
  <c r="Y251" i="15" s="1"/>
  <c r="AA219" i="15"/>
  <c r="Z219" i="15" s="1"/>
  <c r="Y219" i="15" s="1"/>
  <c r="AA307" i="15"/>
  <c r="Z307" i="15" s="1"/>
  <c r="Y307" i="15" s="1"/>
  <c r="AA203" i="15"/>
  <c r="Z203" i="15" s="1"/>
  <c r="Y203" i="15" s="1"/>
  <c r="AA99" i="15"/>
  <c r="Z99" i="15" s="1"/>
  <c r="Y99" i="15" s="1"/>
  <c r="G377" i="15"/>
  <c r="BX377" i="6" s="1"/>
  <c r="G296" i="15"/>
  <c r="BX296" i="6" s="1"/>
  <c r="G307" i="15"/>
  <c r="BX307" i="6" s="1"/>
  <c r="H259" i="15"/>
  <c r="J259" i="15" s="1"/>
  <c r="L37" i="19"/>
  <c r="C12" i="19"/>
  <c r="F36" i="19"/>
  <c r="Q378" i="16"/>
  <c r="Q358" i="16"/>
  <c r="AA35" i="15"/>
  <c r="Z35" i="15" s="1"/>
  <c r="Y35" i="15" s="1"/>
  <c r="AA271" i="15"/>
  <c r="Z271" i="15" s="1"/>
  <c r="Y271" i="15" s="1"/>
  <c r="Q370" i="16"/>
  <c r="Q342" i="16"/>
  <c r="Q374" i="16"/>
  <c r="Q366" i="16"/>
  <c r="Q350" i="16"/>
  <c r="Q318" i="16"/>
  <c r="Q362" i="16"/>
  <c r="Q354" i="16"/>
  <c r="Q346" i="16"/>
  <c r="Q334" i="16"/>
  <c r="Q292" i="16"/>
  <c r="AA183" i="15"/>
  <c r="Z183" i="15" s="1"/>
  <c r="Y183" i="15" s="1"/>
  <c r="H151" i="15"/>
  <c r="I151" i="15" s="1"/>
  <c r="G350" i="15"/>
  <c r="BX350" i="6" s="1"/>
  <c r="H322" i="15"/>
  <c r="I322" i="15" s="1"/>
  <c r="G190" i="15"/>
  <c r="BX190" i="6" s="1"/>
  <c r="G286" i="15"/>
  <c r="BX286" i="6" s="1"/>
  <c r="H250" i="15"/>
  <c r="J250" i="15" s="1"/>
  <c r="G218" i="15"/>
  <c r="BX218" i="6" s="1"/>
  <c r="G245" i="15"/>
  <c r="BX245" i="6" s="1"/>
  <c r="G162" i="15"/>
  <c r="BX162" i="6" s="1"/>
  <c r="H146" i="15"/>
  <c r="J146" i="15" s="1"/>
  <c r="AA347" i="15"/>
  <c r="Z347" i="15" s="1"/>
  <c r="Y347" i="15" s="1"/>
  <c r="H278" i="15"/>
  <c r="I278" i="15" s="1"/>
  <c r="AA316" i="15"/>
  <c r="Z316" i="15" s="1"/>
  <c r="Y316" i="15" s="1"/>
  <c r="AA161" i="15"/>
  <c r="Z161" i="15" s="1"/>
  <c r="Y161" i="15" s="1"/>
  <c r="Q338" i="16"/>
  <c r="Q326" i="16"/>
  <c r="Q308" i="16"/>
  <c r="Q260" i="16"/>
  <c r="AJ11" i="16"/>
  <c r="AA377" i="15"/>
  <c r="Z377" i="15" s="1"/>
  <c r="Y377" i="15" s="1"/>
  <c r="AA81" i="15"/>
  <c r="Z81" i="15" s="1"/>
  <c r="Y81" i="15" s="1"/>
  <c r="H81" i="15"/>
  <c r="I81" i="15" s="1"/>
  <c r="AA119" i="15"/>
  <c r="Z119" i="15" s="1"/>
  <c r="Y119" i="15" s="1"/>
  <c r="Q276" i="16"/>
  <c r="Q228" i="16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146" i="15"/>
  <c r="Z146" i="15" s="1"/>
  <c r="Y146" i="15" s="1"/>
  <c r="AA126" i="15"/>
  <c r="Z126" i="15" s="1"/>
  <c r="Y126" i="15" s="1"/>
  <c r="AA245" i="15"/>
  <c r="Z245" i="15" s="1"/>
  <c r="Y245" i="15" s="1"/>
  <c r="AA151" i="15"/>
  <c r="Z151" i="15" s="1"/>
  <c r="Y151" i="15" s="1"/>
  <c r="G235" i="15"/>
  <c r="BX235" i="6" s="1"/>
  <c r="G223" i="15"/>
  <c r="BX223" i="6" s="1"/>
  <c r="G183" i="15"/>
  <c r="BX183" i="6" s="1"/>
  <c r="G163" i="15"/>
  <c r="BX163" i="6" s="1"/>
  <c r="H87" i="15"/>
  <c r="I87" i="15" s="1"/>
  <c r="H366" i="15"/>
  <c r="I366" i="15" s="1"/>
  <c r="H342" i="15"/>
  <c r="J342" i="15" s="1"/>
  <c r="G310" i="15"/>
  <c r="BX310" i="6" s="1"/>
  <c r="H198" i="15"/>
  <c r="J198" i="15" s="1"/>
  <c r="H182" i="15"/>
  <c r="I182" i="15" s="1"/>
  <c r="AA311" i="15"/>
  <c r="Z311" i="15" s="1"/>
  <c r="Y311" i="15" s="1"/>
  <c r="G123" i="15"/>
  <c r="BX123" i="6" s="1"/>
  <c r="G242" i="15"/>
  <c r="BX242" i="6" s="1"/>
  <c r="H226" i="15"/>
  <c r="I226" i="15" s="1"/>
  <c r="G27" i="15"/>
  <c r="BX27" i="6" s="1"/>
  <c r="G232" i="15"/>
  <c r="BX232" i="6" s="1"/>
  <c r="H126" i="15"/>
  <c r="I126" i="15" s="1"/>
  <c r="G94" i="15"/>
  <c r="BX94" i="6" s="1"/>
  <c r="G315" i="15"/>
  <c r="BX315" i="6" s="1"/>
  <c r="G299" i="15"/>
  <c r="BX299" i="6" s="1"/>
  <c r="H251" i="15"/>
  <c r="J251" i="15" s="1"/>
  <c r="G270" i="15"/>
  <c r="BX270" i="6" s="1"/>
  <c r="AA187" i="15"/>
  <c r="Z187" i="15" s="1"/>
  <c r="Y187" i="15" s="1"/>
  <c r="H354" i="15"/>
  <c r="J354" i="15" s="1"/>
  <c r="G202" i="15"/>
  <c r="BX202" i="6" s="1"/>
  <c r="H91" i="15"/>
  <c r="J91" i="15" s="1"/>
  <c r="AA273" i="15"/>
  <c r="Z273" i="15" s="1"/>
  <c r="Y273" i="15" s="1"/>
  <c r="AA85" i="15"/>
  <c r="Z85" i="15" s="1"/>
  <c r="Y85" i="15" s="1"/>
  <c r="AA45" i="15"/>
  <c r="Z45" i="15" s="1"/>
  <c r="Y45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118" i="15"/>
  <c r="Z118" i="15" s="1"/>
  <c r="Y118" i="15" s="1"/>
  <c r="AA167" i="15"/>
  <c r="Z167" i="15" s="1"/>
  <c r="Y167" i="15" s="1"/>
  <c r="AA155" i="15"/>
  <c r="Z155" i="15" s="1"/>
  <c r="Y155" i="15" s="1"/>
  <c r="H375" i="15"/>
  <c r="I375" i="15" s="1"/>
  <c r="AA215" i="15"/>
  <c r="Z215" i="15" s="1"/>
  <c r="Y215" i="15" s="1"/>
  <c r="H155" i="15"/>
  <c r="J155" i="15" s="1"/>
  <c r="H103" i="15"/>
  <c r="I103" i="15" s="1"/>
  <c r="H43" i="15"/>
  <c r="J43" i="15" s="1"/>
  <c r="G338" i="15"/>
  <c r="BX338" i="6" s="1"/>
  <c r="H314" i="15"/>
  <c r="J314" i="15" s="1"/>
  <c r="H186" i="15"/>
  <c r="J186" i="15" s="1"/>
  <c r="H266" i="15"/>
  <c r="I266" i="15" s="1"/>
  <c r="G246" i="15"/>
  <c r="BX246" i="6" s="1"/>
  <c r="G118" i="15"/>
  <c r="BX118" i="6" s="1"/>
  <c r="H283" i="15"/>
  <c r="J283" i="15" s="1"/>
  <c r="H230" i="15"/>
  <c r="J230" i="15" s="1"/>
  <c r="D34" i="7"/>
  <c r="D43" i="7"/>
  <c r="AA279" i="15"/>
  <c r="Z279" i="15" s="1"/>
  <c r="Y279" i="15" s="1"/>
  <c r="AA135" i="15"/>
  <c r="Z135" i="15" s="1"/>
  <c r="Y135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14" i="15"/>
  <c r="Z114" i="15" s="1"/>
  <c r="Y114" i="15" s="1"/>
  <c r="AA94" i="15"/>
  <c r="Z94" i="15" s="1"/>
  <c r="Y94" i="15" s="1"/>
  <c r="AA343" i="15"/>
  <c r="Z343" i="15" s="1"/>
  <c r="Y343" i="15" s="1"/>
  <c r="AA247" i="15"/>
  <c r="Z247" i="15" s="1"/>
  <c r="Y247" i="15" s="1"/>
  <c r="AA223" i="15"/>
  <c r="Z223" i="15" s="1"/>
  <c r="Y223" i="15" s="1"/>
  <c r="AA87" i="15"/>
  <c r="Z87" i="15" s="1"/>
  <c r="Y87" i="15" s="1"/>
  <c r="H235" i="15"/>
  <c r="J235" i="15" s="1"/>
  <c r="H187" i="15"/>
  <c r="J187" i="15" s="1"/>
  <c r="G311" i="15"/>
  <c r="BX311" i="6" s="1"/>
  <c r="G347" i="15"/>
  <c r="BX347" i="6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200" i="15"/>
  <c r="Z200" i="15" s="1"/>
  <c r="Y200" i="15" s="1"/>
  <c r="AA184" i="15"/>
  <c r="Z184" i="15" s="1"/>
  <c r="Y184" i="15" s="1"/>
  <c r="AA112" i="15"/>
  <c r="Z112" i="15" s="1"/>
  <c r="Y112" i="15" s="1"/>
  <c r="AA72" i="15"/>
  <c r="Z72" i="15" s="1"/>
  <c r="Y72" i="15" s="1"/>
  <c r="AA27" i="15"/>
  <c r="Z27" i="15" s="1"/>
  <c r="Y27" i="15" s="1"/>
  <c r="AA71" i="15"/>
  <c r="Z71" i="15" s="1"/>
  <c r="Y71" i="15" s="1"/>
  <c r="AA59" i="15"/>
  <c r="Z59" i="15" s="1"/>
  <c r="Y59" i="15" s="1"/>
  <c r="AA163" i="15"/>
  <c r="Z163" i="15" s="1"/>
  <c r="Y163" i="15" s="1"/>
  <c r="AA289" i="15"/>
  <c r="Z289" i="15" s="1"/>
  <c r="Y289" i="15" s="1"/>
  <c r="AA265" i="15"/>
  <c r="Z265" i="15" s="1"/>
  <c r="Y265" i="15" s="1"/>
  <c r="AA249" i="15"/>
  <c r="Z249" i="15" s="1"/>
  <c r="Y249" i="15" s="1"/>
  <c r="AA123" i="15"/>
  <c r="Z123" i="15" s="1"/>
  <c r="Y123" i="15" s="1"/>
  <c r="G219" i="15"/>
  <c r="BX219" i="6" s="1"/>
  <c r="H219" i="15"/>
  <c r="I219" i="15" s="1"/>
  <c r="AA67" i="15"/>
  <c r="Z67" i="15" s="1"/>
  <c r="Y67" i="15" s="1"/>
  <c r="H67" i="15"/>
  <c r="J67" i="15" s="1"/>
  <c r="H271" i="15"/>
  <c r="I271" i="15" s="1"/>
  <c r="G271" i="15"/>
  <c r="BX271" i="6" s="1"/>
  <c r="AA143" i="15"/>
  <c r="Z143" i="15" s="1"/>
  <c r="Y143" i="15" s="1"/>
  <c r="H143" i="15"/>
  <c r="J143" i="15" s="1"/>
  <c r="G267" i="15"/>
  <c r="BX267" i="6" s="1"/>
  <c r="AA267" i="15"/>
  <c r="Z267" i="15" s="1"/>
  <c r="Y267" i="15" s="1"/>
  <c r="S379" i="15"/>
  <c r="R379" i="15" s="1"/>
  <c r="P379" i="15" s="1"/>
  <c r="T381" i="15"/>
  <c r="O16" i="7"/>
  <c r="T382" i="15"/>
  <c r="AA375" i="15"/>
  <c r="Z375" i="15" s="1"/>
  <c r="Y375" i="15" s="1"/>
  <c r="G215" i="15"/>
  <c r="BX215" i="6" s="1"/>
  <c r="H167" i="15"/>
  <c r="J167" i="15" s="1"/>
  <c r="AA103" i="15"/>
  <c r="Z103" i="15" s="1"/>
  <c r="Y103" i="15" s="1"/>
  <c r="G67" i="15"/>
  <c r="BX67" i="6" s="1"/>
  <c r="G59" i="15"/>
  <c r="BX59" i="6" s="1"/>
  <c r="AA43" i="15"/>
  <c r="Z43" i="15" s="1"/>
  <c r="Y43" i="15" s="1"/>
  <c r="H374" i="15"/>
  <c r="I374" i="15" s="1"/>
  <c r="G346" i="15"/>
  <c r="BX346" i="6" s="1"/>
  <c r="G330" i="15"/>
  <c r="BX330" i="6" s="1"/>
  <c r="G316" i="15"/>
  <c r="BX316" i="6" s="1"/>
  <c r="G306" i="15"/>
  <c r="BX306" i="6" s="1"/>
  <c r="G194" i="15"/>
  <c r="BX194" i="6" s="1"/>
  <c r="G279" i="15"/>
  <c r="BX279" i="6" s="1"/>
  <c r="G135" i="15"/>
  <c r="BX135" i="6" s="1"/>
  <c r="H290" i="15"/>
  <c r="I290" i="15" s="1"/>
  <c r="H274" i="15"/>
  <c r="J274" i="15" s="1"/>
  <c r="G258" i="15"/>
  <c r="BX258" i="6" s="1"/>
  <c r="H293" i="15"/>
  <c r="I293" i="15" s="1"/>
  <c r="H284" i="15"/>
  <c r="J284" i="15" s="1"/>
  <c r="G178" i="15"/>
  <c r="BX178" i="6" s="1"/>
  <c r="G130" i="15"/>
  <c r="BX130" i="6" s="1"/>
  <c r="G98" i="15"/>
  <c r="BX98" i="6" s="1"/>
  <c r="H331" i="15"/>
  <c r="I331" i="15" s="1"/>
  <c r="AA283" i="15"/>
  <c r="Z283" i="15" s="1"/>
  <c r="Y283" i="15" s="1"/>
  <c r="G238" i="15"/>
  <c r="BX238" i="6" s="1"/>
  <c r="H222" i="15"/>
  <c r="J222" i="15" s="1"/>
  <c r="AA357" i="15"/>
  <c r="Z357" i="15" s="1"/>
  <c r="Y357" i="15" s="1"/>
  <c r="AA349" i="15"/>
  <c r="Z349" i="15" s="1"/>
  <c r="Y349" i="15" s="1"/>
  <c r="D32" i="7"/>
  <c r="AA261" i="15"/>
  <c r="Z261" i="15" s="1"/>
  <c r="Y261" i="15" s="1"/>
  <c r="AA221" i="15"/>
  <c r="Z221" i="15" s="1"/>
  <c r="Y221" i="15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58" i="15"/>
  <c r="Z158" i="15" s="1"/>
  <c r="Y158" i="15" s="1"/>
  <c r="AA331" i="15"/>
  <c r="Z331" i="15" s="1"/>
  <c r="Y331" i="15" s="1"/>
  <c r="AA91" i="15"/>
  <c r="Z91" i="15" s="1"/>
  <c r="Y91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30" i="15"/>
  <c r="Z130" i="15" s="1"/>
  <c r="Y130" i="15" s="1"/>
  <c r="AA98" i="15"/>
  <c r="Z98" i="15" s="1"/>
  <c r="Y98" i="15" s="1"/>
  <c r="U10" i="16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H192" i="15"/>
  <c r="I192" i="15" s="1"/>
  <c r="H357" i="15"/>
  <c r="J357" i="15" s="1"/>
  <c r="H237" i="15"/>
  <c r="I237" i="15" s="1"/>
  <c r="H348" i="15"/>
  <c r="J348" i="15" s="1"/>
  <c r="H66" i="15"/>
  <c r="J66" i="15" s="1"/>
  <c r="H128" i="15"/>
  <c r="J128" i="15" s="1"/>
  <c r="H309" i="15"/>
  <c r="J309" i="15" s="1"/>
  <c r="H261" i="15"/>
  <c r="J261" i="15" s="1"/>
  <c r="H268" i="15"/>
  <c r="J268" i="15" s="1"/>
  <c r="H189" i="15"/>
  <c r="I189" i="15" s="1"/>
  <c r="G341" i="15"/>
  <c r="BX341" i="6" s="1"/>
  <c r="G301" i="15"/>
  <c r="BX301" i="6" s="1"/>
  <c r="H285" i="15"/>
  <c r="I285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G80" i="15"/>
  <c r="BX80" i="6" s="1"/>
  <c r="G193" i="15"/>
  <c r="BX193" i="6" s="1"/>
  <c r="H97" i="15"/>
  <c r="I97" i="15" s="1"/>
  <c r="H364" i="15"/>
  <c r="J364" i="15" s="1"/>
  <c r="H332" i="15"/>
  <c r="I332" i="15" s="1"/>
  <c r="G320" i="15"/>
  <c r="BX320" i="6" s="1"/>
  <c r="G96" i="15"/>
  <c r="BX96" i="6" s="1"/>
  <c r="H345" i="15"/>
  <c r="I345" i="15" s="1"/>
  <c r="H329" i="15"/>
  <c r="I329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J184" i="15" s="1"/>
  <c r="G72" i="15"/>
  <c r="BX72" i="6" s="1"/>
  <c r="H221" i="15"/>
  <c r="J221" i="15" s="1"/>
  <c r="G217" i="15"/>
  <c r="BX217" i="6" s="1"/>
  <c r="H205" i="15"/>
  <c r="J205" i="15" s="1"/>
  <c r="H73" i="15"/>
  <c r="J73" i="15" s="1"/>
  <c r="H372" i="15"/>
  <c r="I372" i="15" s="1"/>
  <c r="H356" i="15"/>
  <c r="J356" i="15" s="1"/>
  <c r="H340" i="15"/>
  <c r="J340" i="15" s="1"/>
  <c r="H308" i="15"/>
  <c r="J308" i="15" s="1"/>
  <c r="G112" i="15"/>
  <c r="BX112" i="6" s="1"/>
  <c r="G361" i="15"/>
  <c r="BX361" i="6" s="1"/>
  <c r="H325" i="15"/>
  <c r="J325" i="15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J294" i="15" s="1"/>
  <c r="H152" i="15"/>
  <c r="J152" i="15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H373" i="15"/>
  <c r="I373" i="15" s="1"/>
  <c r="G229" i="15"/>
  <c r="BX229" i="6" s="1"/>
  <c r="H213" i="15"/>
  <c r="J213" i="15" s="1"/>
  <c r="G82" i="15"/>
  <c r="BX82" i="6" s="1"/>
  <c r="G317" i="15"/>
  <c r="BX317" i="6" s="1"/>
  <c r="H253" i="15"/>
  <c r="J253" i="15" s="1"/>
  <c r="AA82" i="15"/>
  <c r="Z82" i="15" s="1"/>
  <c r="Y82" i="15" s="1"/>
  <c r="AA229" i="15"/>
  <c r="Z229" i="15" s="1"/>
  <c r="Y229" i="15" s="1"/>
  <c r="H188" i="15"/>
  <c r="I188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76" i="16"/>
  <c r="Q372" i="16"/>
  <c r="Q368" i="16"/>
  <c r="Q364" i="16"/>
  <c r="Q360" i="16"/>
  <c r="Q356" i="16"/>
  <c r="Q352" i="16"/>
  <c r="Q348" i="16"/>
  <c r="Q344" i="16"/>
  <c r="Q340" i="16"/>
  <c r="Q336" i="16"/>
  <c r="Q330" i="16"/>
  <c r="Q322" i="16"/>
  <c r="Q314" i="16"/>
  <c r="Q300" i="16"/>
  <c r="Q284" i="16"/>
  <c r="Q268" i="16"/>
  <c r="Q244" i="16"/>
  <c r="Q212" i="16"/>
  <c r="Q252" i="16"/>
  <c r="Q236" i="16"/>
  <c r="Q220" i="16"/>
  <c r="AA61" i="15"/>
  <c r="Z61" i="15" s="1"/>
  <c r="Y61" i="15" s="1"/>
  <c r="G360" i="15"/>
  <c r="BX360" i="6" s="1"/>
  <c r="H212" i="15"/>
  <c r="J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P15" i="7" s="1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J236" i="15" s="1"/>
  <c r="G220" i="15"/>
  <c r="BX220" i="6" s="1"/>
  <c r="G170" i="15"/>
  <c r="BX170" i="6" s="1"/>
  <c r="H122" i="15"/>
  <c r="J122" i="15" s="1"/>
  <c r="H90" i="15"/>
  <c r="J90" i="15" s="1"/>
  <c r="H363" i="15"/>
  <c r="J363" i="15" s="1"/>
  <c r="H25" i="15"/>
  <c r="I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363" i="15"/>
  <c r="Z363" i="15" s="1"/>
  <c r="Y363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G119" i="15"/>
  <c r="BX119" i="6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119" i="15"/>
  <c r="I119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E62" i="19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I377" i="15"/>
  <c r="J377" i="15"/>
  <c r="I239" i="15"/>
  <c r="J239" i="15"/>
  <c r="I229" i="15"/>
  <c r="J229" i="15"/>
  <c r="J225" i="15"/>
  <c r="I225" i="15"/>
  <c r="J223" i="15"/>
  <c r="I223" i="15"/>
  <c r="J217" i="15"/>
  <c r="I217" i="15"/>
  <c r="J211" i="15"/>
  <c r="I211" i="15"/>
  <c r="J207" i="15"/>
  <c r="I207" i="15"/>
  <c r="J203" i="15"/>
  <c r="I203" i="15"/>
  <c r="J195" i="15"/>
  <c r="I195" i="15"/>
  <c r="J193" i="15"/>
  <c r="I193" i="15"/>
  <c r="I183" i="15"/>
  <c r="J183" i="15"/>
  <c r="J181" i="15"/>
  <c r="I181" i="15"/>
  <c r="I173" i="15"/>
  <c r="J173" i="15"/>
  <c r="I159" i="15"/>
  <c r="J159" i="15"/>
  <c r="I155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I95" i="15"/>
  <c r="J95" i="15"/>
  <c r="J93" i="15"/>
  <c r="I93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7" i="15"/>
  <c r="J47" i="15"/>
  <c r="I39" i="15"/>
  <c r="J39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J318" i="15"/>
  <c r="I318" i="15"/>
  <c r="J316" i="15"/>
  <c r="I316" i="15"/>
  <c r="I312" i="15"/>
  <c r="J312" i="15"/>
  <c r="I306" i="15"/>
  <c r="J306" i="15"/>
  <c r="J202" i="15"/>
  <c r="I202" i="15"/>
  <c r="J86" i="15"/>
  <c r="I86" i="15"/>
  <c r="J78" i="15"/>
  <c r="I78" i="15"/>
  <c r="I70" i="15"/>
  <c r="J70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J139" i="15"/>
  <c r="I139" i="15"/>
  <c r="J135" i="15"/>
  <c r="I135" i="15"/>
  <c r="J123" i="15"/>
  <c r="I123" i="15"/>
  <c r="J282" i="15"/>
  <c r="I282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6" i="15"/>
  <c r="J296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127" i="15"/>
  <c r="J127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84" i="15"/>
  <c r="J84" i="15"/>
  <c r="J80" i="15"/>
  <c r="I80" i="15"/>
  <c r="J76" i="15"/>
  <c r="I76" i="15"/>
  <c r="J68" i="15"/>
  <c r="I68" i="15"/>
  <c r="R15" i="15"/>
  <c r="J371" i="15"/>
  <c r="I371" i="15"/>
  <c r="J369" i="15"/>
  <c r="I369" i="15"/>
  <c r="I367" i="15"/>
  <c r="J367" i="15"/>
  <c r="I231" i="15"/>
  <c r="J231" i="15"/>
  <c r="F227" i="15"/>
  <c r="J215" i="15"/>
  <c r="I215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I161" i="15"/>
  <c r="J161" i="15"/>
  <c r="J157" i="15"/>
  <c r="I157" i="15"/>
  <c r="J117" i="15"/>
  <c r="I117" i="15"/>
  <c r="J115" i="15"/>
  <c r="I115" i="15"/>
  <c r="J107" i="15"/>
  <c r="I107" i="15"/>
  <c r="J63" i="15"/>
  <c r="I63" i="15"/>
  <c r="J59" i="15"/>
  <c r="I59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50" i="15"/>
  <c r="I350" i="15"/>
  <c r="J338" i="15"/>
  <c r="I338" i="15"/>
  <c r="J330" i="15"/>
  <c r="I330" i="15"/>
  <c r="J320" i="15"/>
  <c r="I320" i="15"/>
  <c r="J310" i="15"/>
  <c r="I310" i="15"/>
  <c r="I304" i="15"/>
  <c r="J304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I246" i="15"/>
  <c r="J246" i="15"/>
  <c r="J242" i="15"/>
  <c r="I242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81" i="15"/>
  <c r="I281" i="15"/>
  <c r="J245" i="15"/>
  <c r="I245" i="15"/>
  <c r="J141" i="15"/>
  <c r="I141" i="15"/>
  <c r="I137" i="15"/>
  <c r="J137" i="15"/>
  <c r="J125" i="15"/>
  <c r="I125" i="15"/>
  <c r="I27" i="15"/>
  <c r="J27" i="15"/>
  <c r="F264" i="15"/>
  <c r="I260" i="15"/>
  <c r="J260" i="15"/>
  <c r="J252" i="15"/>
  <c r="I252" i="15"/>
  <c r="J232" i="15"/>
  <c r="I232" i="15"/>
  <c r="J174" i="15"/>
  <c r="I174" i="15"/>
  <c r="J170" i="15"/>
  <c r="I170" i="15"/>
  <c r="J166" i="15"/>
  <c r="I166" i="15"/>
  <c r="J158" i="15"/>
  <c r="I158" i="15"/>
  <c r="J142" i="15"/>
  <c r="I14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I315" i="15"/>
  <c r="J315" i="15"/>
  <c r="J267" i="15"/>
  <c r="I267" i="15"/>
  <c r="I263" i="15"/>
  <c r="J263" i="15"/>
  <c r="J270" i="15"/>
  <c r="I270" i="15"/>
  <c r="I262" i="15"/>
  <c r="J262" i="15"/>
  <c r="I238" i="15"/>
  <c r="J238" i="15"/>
  <c r="I144" i="15"/>
  <c r="J144" i="15"/>
  <c r="J124" i="15"/>
  <c r="I124" i="15"/>
  <c r="J100" i="15"/>
  <c r="I100" i="15"/>
  <c r="J19" i="15" l="1"/>
  <c r="J219" i="15"/>
  <c r="I277" i="15"/>
  <c r="H60" i="15"/>
  <c r="J60" i="15" s="1"/>
  <c r="S382" i="15"/>
  <c r="AA333" i="15"/>
  <c r="Z333" i="15" s="1"/>
  <c r="Y333" i="15" s="1"/>
  <c r="I131" i="15"/>
  <c r="G60" i="15"/>
  <c r="BX60" i="6" s="1"/>
  <c r="J313" i="15"/>
  <c r="J201" i="15"/>
  <c r="S381" i="15"/>
  <c r="L40" i="19"/>
  <c r="I243" i="15"/>
  <c r="I198" i="15"/>
  <c r="J378" i="15"/>
  <c r="H333" i="15"/>
  <c r="I333" i="15" s="1"/>
  <c r="I114" i="15"/>
  <c r="I150" i="15"/>
  <c r="I299" i="15"/>
  <c r="I291" i="15"/>
  <c r="I143" i="15"/>
  <c r="J334" i="15"/>
  <c r="J206" i="15"/>
  <c r="J322" i="15"/>
  <c r="I259" i="15"/>
  <c r="J366" i="15"/>
  <c r="I91" i="15"/>
  <c r="J151" i="15"/>
  <c r="J103" i="15"/>
  <c r="I187" i="15"/>
  <c r="V379" i="15"/>
  <c r="F379" i="15" s="1"/>
  <c r="AA379" i="15" s="1"/>
  <c r="Z379" i="15" s="1"/>
  <c r="Y379" i="15" s="1"/>
  <c r="D36" i="19"/>
  <c r="I230" i="15"/>
  <c r="J226" i="15"/>
  <c r="J182" i="15"/>
  <c r="AA288" i="15"/>
  <c r="Z288" i="15" s="1"/>
  <c r="Y288" i="15" s="1"/>
  <c r="G379" i="15"/>
  <c r="BX379" i="6" s="1"/>
  <c r="J81" i="15"/>
  <c r="I283" i="15"/>
  <c r="Q12" i="17"/>
  <c r="U15" i="7" s="1"/>
  <c r="I251" i="15"/>
  <c r="J126" i="15"/>
  <c r="I284" i="15"/>
  <c r="I250" i="15"/>
  <c r="I186" i="15"/>
  <c r="I342" i="15"/>
  <c r="J374" i="15"/>
  <c r="I67" i="15"/>
  <c r="J87" i="15"/>
  <c r="J278" i="15"/>
  <c r="I146" i="15"/>
  <c r="J331" i="15"/>
  <c r="J290" i="15"/>
  <c r="I196" i="15"/>
  <c r="I354" i="15"/>
  <c r="J375" i="15"/>
  <c r="I314" i="15"/>
  <c r="J266" i="15"/>
  <c r="I43" i="15"/>
  <c r="I222" i="15"/>
  <c r="J271" i="15"/>
  <c r="I235" i="15"/>
  <c r="J293" i="15"/>
  <c r="I274" i="15"/>
  <c r="I167" i="15"/>
  <c r="Q16" i="7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AI105" i="16"/>
  <c r="AH105" i="16" s="1"/>
  <c r="AG105" i="16" s="1"/>
  <c r="AF105" i="16" s="1"/>
  <c r="AI107" i="16"/>
  <c r="AH107" i="16" s="1"/>
  <c r="AG107" i="16" s="1"/>
  <c r="AF107" i="16" s="1"/>
  <c r="AI109" i="16"/>
  <c r="AH109" i="16" s="1"/>
  <c r="AG109" i="16" s="1"/>
  <c r="AF109" i="16" s="1"/>
  <c r="AI111" i="16"/>
  <c r="AH111" i="16" s="1"/>
  <c r="AG111" i="16" s="1"/>
  <c r="AF111" i="16" s="1"/>
  <c r="AI113" i="16"/>
  <c r="AH113" i="16" s="1"/>
  <c r="AG113" i="16" s="1"/>
  <c r="AF113" i="16" s="1"/>
  <c r="AI115" i="16"/>
  <c r="AH115" i="16" s="1"/>
  <c r="AG115" i="16" s="1"/>
  <c r="AF115" i="16" s="1"/>
  <c r="AI117" i="16"/>
  <c r="AH117" i="16" s="1"/>
  <c r="AG117" i="16" s="1"/>
  <c r="AF117" i="16" s="1"/>
  <c r="AI119" i="16"/>
  <c r="AH119" i="16" s="1"/>
  <c r="AG119" i="16" s="1"/>
  <c r="AF119" i="16" s="1"/>
  <c r="AI121" i="16"/>
  <c r="AH121" i="16" s="1"/>
  <c r="AG121" i="16" s="1"/>
  <c r="AF121" i="16" s="1"/>
  <c r="AI123" i="16"/>
  <c r="AH123" i="16" s="1"/>
  <c r="AG123" i="16" s="1"/>
  <c r="AF123" i="16" s="1"/>
  <c r="AI125" i="16"/>
  <c r="AH125" i="16" s="1"/>
  <c r="AG125" i="16" s="1"/>
  <c r="AF125" i="16" s="1"/>
  <c r="AI127" i="16"/>
  <c r="AH127" i="16" s="1"/>
  <c r="AG127" i="16" s="1"/>
  <c r="AF127" i="16" s="1"/>
  <c r="AI129" i="16"/>
  <c r="AH129" i="16" s="1"/>
  <c r="AG129" i="16" s="1"/>
  <c r="AF129" i="16" s="1"/>
  <c r="AI131" i="16"/>
  <c r="AH131" i="16" s="1"/>
  <c r="AG131" i="16" s="1"/>
  <c r="AF131" i="16" s="1"/>
  <c r="AI133" i="16"/>
  <c r="AH133" i="16" s="1"/>
  <c r="AG133" i="16" s="1"/>
  <c r="AF133" i="16" s="1"/>
  <c r="AI135" i="16"/>
  <c r="AH135" i="16" s="1"/>
  <c r="AG135" i="16" s="1"/>
  <c r="AF135" i="16" s="1"/>
  <c r="AI137" i="16"/>
  <c r="AH137" i="16" s="1"/>
  <c r="AG137" i="16" s="1"/>
  <c r="AF137" i="16" s="1"/>
  <c r="AI139" i="16"/>
  <c r="AH139" i="16" s="1"/>
  <c r="AG139" i="16" s="1"/>
  <c r="AF139" i="16" s="1"/>
  <c r="AI141" i="16"/>
  <c r="AH141" i="16" s="1"/>
  <c r="AG141" i="16" s="1"/>
  <c r="AF141" i="16" s="1"/>
  <c r="AI143" i="16"/>
  <c r="AH143" i="16" s="1"/>
  <c r="AG143" i="16" s="1"/>
  <c r="AF143" i="16" s="1"/>
  <c r="AI145" i="16"/>
  <c r="AH145" i="16" s="1"/>
  <c r="AG145" i="16" s="1"/>
  <c r="AF145" i="16" s="1"/>
  <c r="AI147" i="16"/>
  <c r="AH147" i="16" s="1"/>
  <c r="AG147" i="16" s="1"/>
  <c r="AF147" i="16" s="1"/>
  <c r="AI149" i="16"/>
  <c r="AH149" i="16" s="1"/>
  <c r="AG149" i="16" s="1"/>
  <c r="AF149" i="16" s="1"/>
  <c r="AI151" i="16"/>
  <c r="AH151" i="16" s="1"/>
  <c r="AG151" i="16" s="1"/>
  <c r="AF151" i="16" s="1"/>
  <c r="AI153" i="16"/>
  <c r="AH153" i="16" s="1"/>
  <c r="AG153" i="16" s="1"/>
  <c r="AF153" i="16" s="1"/>
  <c r="AI155" i="16"/>
  <c r="AH155" i="16" s="1"/>
  <c r="AG155" i="16" s="1"/>
  <c r="AF155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G165" i="16" s="1"/>
  <c r="AF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8" i="16"/>
  <c r="AH108" i="16" s="1"/>
  <c r="AG108" i="16" s="1"/>
  <c r="AF108" i="16" s="1"/>
  <c r="AI112" i="16"/>
  <c r="AH112" i="16" s="1"/>
  <c r="AG112" i="16" s="1"/>
  <c r="AF112" i="16" s="1"/>
  <c r="AI116" i="16"/>
  <c r="AH116" i="16" s="1"/>
  <c r="AG116" i="16" s="1"/>
  <c r="AF116" i="16" s="1"/>
  <c r="AI120" i="16"/>
  <c r="AH120" i="16" s="1"/>
  <c r="AG120" i="16" s="1"/>
  <c r="AF120" i="16" s="1"/>
  <c r="AI124" i="16"/>
  <c r="AH124" i="16" s="1"/>
  <c r="AG124" i="16" s="1"/>
  <c r="AF124" i="16" s="1"/>
  <c r="AI128" i="16"/>
  <c r="AH128" i="16" s="1"/>
  <c r="AG128" i="16" s="1"/>
  <c r="AF128" i="16" s="1"/>
  <c r="AI132" i="16"/>
  <c r="AH132" i="16" s="1"/>
  <c r="AG132" i="16" s="1"/>
  <c r="AF132" i="16" s="1"/>
  <c r="AI136" i="16"/>
  <c r="AH136" i="16" s="1"/>
  <c r="AG136" i="16" s="1"/>
  <c r="AF136" i="16" s="1"/>
  <c r="AI140" i="16"/>
  <c r="AH140" i="16" s="1"/>
  <c r="AG140" i="16" s="1"/>
  <c r="AF140" i="16" s="1"/>
  <c r="AI144" i="16"/>
  <c r="AH144" i="16" s="1"/>
  <c r="AG144" i="16" s="1"/>
  <c r="AF144" i="16" s="1"/>
  <c r="AI148" i="16"/>
  <c r="AH148" i="16" s="1"/>
  <c r="AG148" i="16" s="1"/>
  <c r="AF148" i="16" s="1"/>
  <c r="AI152" i="16"/>
  <c r="AH152" i="16" s="1"/>
  <c r="AG152" i="16" s="1"/>
  <c r="AF152" i="16" s="1"/>
  <c r="AI156" i="16"/>
  <c r="AH156" i="16" s="1"/>
  <c r="AG156" i="16" s="1"/>
  <c r="AF156" i="16" s="1"/>
  <c r="AI160" i="16"/>
  <c r="AH160" i="16" s="1"/>
  <c r="AG160" i="16" s="1"/>
  <c r="AF160" i="16" s="1"/>
  <c r="AI164" i="16"/>
  <c r="AH164" i="16" s="1"/>
  <c r="AG164" i="16" s="1"/>
  <c r="AF164" i="16" s="1"/>
  <c r="AI168" i="16"/>
  <c r="AH168" i="16" s="1"/>
  <c r="AG168" i="16" s="1"/>
  <c r="AF168" i="16" s="1"/>
  <c r="AI172" i="16"/>
  <c r="AH172" i="16" s="1"/>
  <c r="AG172" i="16" s="1"/>
  <c r="AF172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G197" i="16" s="1"/>
  <c r="AF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G229" i="16" s="1"/>
  <c r="AF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D259" i="16" s="1"/>
  <c r="AI261" i="16"/>
  <c r="AH261" i="16" s="1"/>
  <c r="AG261" i="16" s="1"/>
  <c r="AF261" i="16" s="1"/>
  <c r="AI263" i="16"/>
  <c r="AH263" i="16" s="1"/>
  <c r="AG263" i="16" s="1"/>
  <c r="AF263" i="16" s="1"/>
  <c r="AI265" i="16"/>
  <c r="AH265" i="16" s="1"/>
  <c r="AG265" i="16" s="1"/>
  <c r="AF265" i="16" s="1"/>
  <c r="AI267" i="16"/>
  <c r="AH267" i="16" s="1"/>
  <c r="AG267" i="16" s="1"/>
  <c r="AF267" i="16" s="1"/>
  <c r="AD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375" i="16"/>
  <c r="AH375" i="16" s="1"/>
  <c r="AG375" i="16" s="1"/>
  <c r="AF375" i="16" s="1"/>
  <c r="AI377" i="16"/>
  <c r="AH377" i="16" s="1"/>
  <c r="AG377" i="16" s="1"/>
  <c r="AF377" i="16" s="1"/>
  <c r="AI379" i="16"/>
  <c r="U18" i="16"/>
  <c r="T18" i="16" s="1"/>
  <c r="S18" i="16" s="1"/>
  <c r="R18" i="16" s="1"/>
  <c r="U21" i="16"/>
  <c r="T21" i="16" s="1"/>
  <c r="S21" i="16" s="1"/>
  <c r="R21" i="16" s="1"/>
  <c r="P21" i="16" s="1"/>
  <c r="V21" i="16" s="1"/>
  <c r="U25" i="16"/>
  <c r="T25" i="16" s="1"/>
  <c r="S25" i="16" s="1"/>
  <c r="R25" i="16" s="1"/>
  <c r="P25" i="16" s="1"/>
  <c r="V25" i="16" s="1"/>
  <c r="U29" i="16"/>
  <c r="T29" i="16" s="1"/>
  <c r="S29" i="16" s="1"/>
  <c r="R29" i="16" s="1"/>
  <c r="U33" i="16"/>
  <c r="T33" i="16" s="1"/>
  <c r="S33" i="16" s="1"/>
  <c r="R33" i="16" s="1"/>
  <c r="U37" i="16"/>
  <c r="T37" i="16" s="1"/>
  <c r="S37" i="16" s="1"/>
  <c r="R37" i="16" s="1"/>
  <c r="U41" i="16"/>
  <c r="T41" i="16" s="1"/>
  <c r="S41" i="16" s="1"/>
  <c r="R41" i="16" s="1"/>
  <c r="U45" i="16"/>
  <c r="T45" i="16" s="1"/>
  <c r="S45" i="16" s="1"/>
  <c r="R45" i="16" s="1"/>
  <c r="U49" i="16"/>
  <c r="T49" i="16" s="1"/>
  <c r="S49" i="16" s="1"/>
  <c r="R49" i="16" s="1"/>
  <c r="U53" i="16"/>
  <c r="T53" i="16" s="1"/>
  <c r="S53" i="16" s="1"/>
  <c r="R53" i="16" s="1"/>
  <c r="U57" i="16"/>
  <c r="T57" i="16" s="1"/>
  <c r="S57" i="16" s="1"/>
  <c r="R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S69" i="16" s="1"/>
  <c r="R69" i="16" s="1"/>
  <c r="U73" i="16"/>
  <c r="T73" i="16" s="1"/>
  <c r="S73" i="16" s="1"/>
  <c r="R73" i="16" s="1"/>
  <c r="U77" i="16"/>
  <c r="T77" i="16" s="1"/>
  <c r="S77" i="16" s="1"/>
  <c r="R77" i="16" s="1"/>
  <c r="U81" i="16"/>
  <c r="T81" i="16" s="1"/>
  <c r="S81" i="16" s="1"/>
  <c r="R81" i="16" s="1"/>
  <c r="P81" i="16" s="1"/>
  <c r="V81" i="16" s="1"/>
  <c r="U85" i="16"/>
  <c r="T85" i="16" s="1"/>
  <c r="U89" i="16"/>
  <c r="T89" i="16" s="1"/>
  <c r="S89" i="16" s="1"/>
  <c r="R89" i="16" s="1"/>
  <c r="U93" i="16"/>
  <c r="T93" i="16" s="1"/>
  <c r="S93" i="16" s="1"/>
  <c r="R93" i="16" s="1"/>
  <c r="U97" i="16"/>
  <c r="T97" i="16" s="1"/>
  <c r="S97" i="16" s="1"/>
  <c r="R97" i="16" s="1"/>
  <c r="U101" i="16"/>
  <c r="T101" i="16" s="1"/>
  <c r="S101" i="16" s="1"/>
  <c r="R101" i="16" s="1"/>
  <c r="U105" i="16"/>
  <c r="T105" i="16" s="1"/>
  <c r="S105" i="16" s="1"/>
  <c r="R105" i="16" s="1"/>
  <c r="U109" i="16"/>
  <c r="T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S121" i="16" s="1"/>
  <c r="R121" i="16" s="1"/>
  <c r="P121" i="16" s="1"/>
  <c r="V121" i="16" s="1"/>
  <c r="U125" i="16"/>
  <c r="T125" i="16" s="1"/>
  <c r="S125" i="16" s="1"/>
  <c r="R125" i="16" s="1"/>
  <c r="U129" i="16"/>
  <c r="T129" i="16" s="1"/>
  <c r="S129" i="16" s="1"/>
  <c r="R129" i="16" s="1"/>
  <c r="U133" i="16"/>
  <c r="T133" i="16" s="1"/>
  <c r="S133" i="16" s="1"/>
  <c r="R133" i="16" s="1"/>
  <c r="U137" i="16"/>
  <c r="T137" i="16" s="1"/>
  <c r="S137" i="16" s="1"/>
  <c r="R137" i="16" s="1"/>
  <c r="U141" i="16"/>
  <c r="T141" i="16" s="1"/>
  <c r="S141" i="16" s="1"/>
  <c r="R141" i="16" s="1"/>
  <c r="U145" i="16"/>
  <c r="T145" i="16" s="1"/>
  <c r="S145" i="16" s="1"/>
  <c r="R145" i="16" s="1"/>
  <c r="U149" i="16"/>
  <c r="T149" i="16" s="1"/>
  <c r="S149" i="16" s="1"/>
  <c r="R149" i="16" s="1"/>
  <c r="P149" i="16" s="1"/>
  <c r="V149" i="16" s="1"/>
  <c r="U153" i="16"/>
  <c r="T153" i="16" s="1"/>
  <c r="S153" i="16" s="1"/>
  <c r="R153" i="16" s="1"/>
  <c r="U157" i="16"/>
  <c r="T157" i="16" s="1"/>
  <c r="S157" i="16" s="1"/>
  <c r="R157" i="16" s="1"/>
  <c r="U161" i="16"/>
  <c r="T161" i="16" s="1"/>
  <c r="S161" i="16" s="1"/>
  <c r="R161" i="16" s="1"/>
  <c r="P161" i="16" s="1"/>
  <c r="V161" i="16" s="1"/>
  <c r="U165" i="16"/>
  <c r="T165" i="16" s="1"/>
  <c r="S165" i="16" s="1"/>
  <c r="R165" i="16" s="1"/>
  <c r="U169" i="16"/>
  <c r="T169" i="16" s="1"/>
  <c r="S169" i="16" s="1"/>
  <c r="R169" i="16" s="1"/>
  <c r="P169" i="16" s="1"/>
  <c r="V169" i="16" s="1"/>
  <c r="F169" i="16" s="1"/>
  <c r="U173" i="16"/>
  <c r="T173" i="16" s="1"/>
  <c r="S173" i="16" s="1"/>
  <c r="R173" i="16" s="1"/>
  <c r="P173" i="16" s="1"/>
  <c r="V173" i="16" s="1"/>
  <c r="U177" i="16"/>
  <c r="T177" i="16" s="1"/>
  <c r="S177" i="16" s="1"/>
  <c r="R177" i="16" s="1"/>
  <c r="U181" i="16"/>
  <c r="T181" i="16" s="1"/>
  <c r="S181" i="16" s="1"/>
  <c r="R181" i="16" s="1"/>
  <c r="U185" i="16"/>
  <c r="T185" i="16" s="1"/>
  <c r="S185" i="16" s="1"/>
  <c r="R185" i="16" s="1"/>
  <c r="P185" i="16" s="1"/>
  <c r="V185" i="16" s="1"/>
  <c r="U189" i="16"/>
  <c r="T189" i="16" s="1"/>
  <c r="S189" i="16" s="1"/>
  <c r="R189" i="16" s="1"/>
  <c r="U193" i="16"/>
  <c r="T193" i="16" s="1"/>
  <c r="S193" i="16" s="1"/>
  <c r="R193" i="16" s="1"/>
  <c r="U197" i="16"/>
  <c r="T197" i="16" s="1"/>
  <c r="S197" i="16" s="1"/>
  <c r="R197" i="16" s="1"/>
  <c r="U201" i="16"/>
  <c r="T201" i="16" s="1"/>
  <c r="S201" i="16" s="1"/>
  <c r="R201" i="16" s="1"/>
  <c r="U205" i="16"/>
  <c r="T205" i="16" s="1"/>
  <c r="S205" i="16" s="1"/>
  <c r="R205" i="16" s="1"/>
  <c r="U209" i="16"/>
  <c r="T209" i="16" s="1"/>
  <c r="S209" i="16" s="1"/>
  <c r="R209" i="16" s="1"/>
  <c r="U213" i="16"/>
  <c r="T213" i="16" s="1"/>
  <c r="S213" i="16" s="1"/>
  <c r="R213" i="16" s="1"/>
  <c r="P213" i="16" s="1"/>
  <c r="V213" i="16" s="1"/>
  <c r="U217" i="16"/>
  <c r="T217" i="16" s="1"/>
  <c r="S217" i="16" s="1"/>
  <c r="R217" i="16" s="1"/>
  <c r="U221" i="16"/>
  <c r="T221" i="16" s="1"/>
  <c r="S221" i="16" s="1"/>
  <c r="R221" i="16" s="1"/>
  <c r="U225" i="16"/>
  <c r="T225" i="16" s="1"/>
  <c r="S225" i="16" s="1"/>
  <c r="R225" i="16" s="1"/>
  <c r="U229" i="16"/>
  <c r="T229" i="16" s="1"/>
  <c r="S229" i="16" s="1"/>
  <c r="R229" i="16" s="1"/>
  <c r="U233" i="16"/>
  <c r="T233" i="16" s="1"/>
  <c r="S233" i="16" s="1"/>
  <c r="R233" i="16" s="1"/>
  <c r="P233" i="16" s="1"/>
  <c r="V233" i="16" s="1"/>
  <c r="U237" i="16"/>
  <c r="T237" i="16" s="1"/>
  <c r="S237" i="16" s="1"/>
  <c r="R237" i="16" s="1"/>
  <c r="U241" i="16"/>
  <c r="T241" i="16" s="1"/>
  <c r="S241" i="16" s="1"/>
  <c r="R241" i="16" s="1"/>
  <c r="U245" i="16"/>
  <c r="T245" i="16" s="1"/>
  <c r="S245" i="16" s="1"/>
  <c r="R245" i="16" s="1"/>
  <c r="U249" i="16"/>
  <c r="T249" i="16" s="1"/>
  <c r="S249" i="16" s="1"/>
  <c r="R249" i="16" s="1"/>
  <c r="U253" i="16"/>
  <c r="T253" i="16" s="1"/>
  <c r="S253" i="16" s="1"/>
  <c r="R253" i="16" s="1"/>
  <c r="U257" i="16"/>
  <c r="T257" i="16" s="1"/>
  <c r="S257" i="16" s="1"/>
  <c r="R257" i="16" s="1"/>
  <c r="P257" i="16" s="1"/>
  <c r="V257" i="16" s="1"/>
  <c r="U261" i="16"/>
  <c r="T261" i="16" s="1"/>
  <c r="S261" i="16" s="1"/>
  <c r="R261" i="16" s="1"/>
  <c r="U265" i="16"/>
  <c r="T265" i="16" s="1"/>
  <c r="S265" i="16" s="1"/>
  <c r="R265" i="16" s="1"/>
  <c r="U269" i="16"/>
  <c r="T269" i="16" s="1"/>
  <c r="S269" i="16" s="1"/>
  <c r="R269" i="16" s="1"/>
  <c r="U273" i="16"/>
  <c r="T273" i="16" s="1"/>
  <c r="S273" i="16" s="1"/>
  <c r="R273" i="16" s="1"/>
  <c r="U277" i="16"/>
  <c r="T277" i="16" s="1"/>
  <c r="S277" i="16" s="1"/>
  <c r="R277" i="16" s="1"/>
  <c r="U281" i="16"/>
  <c r="T281" i="16" s="1"/>
  <c r="S281" i="16" s="1"/>
  <c r="R281" i="16" s="1"/>
  <c r="U285" i="16"/>
  <c r="T285" i="16" s="1"/>
  <c r="S285" i="16" s="1"/>
  <c r="R285" i="16" s="1"/>
  <c r="U289" i="16"/>
  <c r="T289" i="16" s="1"/>
  <c r="S289" i="16" s="1"/>
  <c r="R289" i="16" s="1"/>
  <c r="U293" i="16"/>
  <c r="T293" i="16" s="1"/>
  <c r="S293" i="16" s="1"/>
  <c r="R293" i="16" s="1"/>
  <c r="P293" i="16" s="1"/>
  <c r="V293" i="16" s="1"/>
  <c r="U297" i="16"/>
  <c r="T297" i="16" s="1"/>
  <c r="S297" i="16" s="1"/>
  <c r="R297" i="16" s="1"/>
  <c r="U301" i="16"/>
  <c r="T301" i="16" s="1"/>
  <c r="S301" i="16" s="1"/>
  <c r="R301" i="16" s="1"/>
  <c r="U305" i="16"/>
  <c r="T305" i="16" s="1"/>
  <c r="S305" i="16" s="1"/>
  <c r="R305" i="16" s="1"/>
  <c r="U309" i="16"/>
  <c r="T309" i="16" s="1"/>
  <c r="S309" i="16" s="1"/>
  <c r="R309" i="16" s="1"/>
  <c r="U313" i="16"/>
  <c r="T313" i="16" s="1"/>
  <c r="S313" i="16" s="1"/>
  <c r="R313" i="16" s="1"/>
  <c r="P313" i="16" s="1"/>
  <c r="V313" i="16" s="1"/>
  <c r="U317" i="16"/>
  <c r="T317" i="16" s="1"/>
  <c r="S317" i="16" s="1"/>
  <c r="R317" i="16" s="1"/>
  <c r="U321" i="16"/>
  <c r="T321" i="16" s="1"/>
  <c r="S321" i="16" s="1"/>
  <c r="R321" i="16" s="1"/>
  <c r="P321" i="16" s="1"/>
  <c r="V321" i="16" s="1"/>
  <c r="U325" i="16"/>
  <c r="T325" i="16" s="1"/>
  <c r="S325" i="16" s="1"/>
  <c r="R325" i="16" s="1"/>
  <c r="P325" i="16" s="1"/>
  <c r="V325" i="16" s="1"/>
  <c r="U329" i="16"/>
  <c r="T329" i="16" s="1"/>
  <c r="S329" i="16" s="1"/>
  <c r="R329" i="16" s="1"/>
  <c r="U333" i="16"/>
  <c r="T333" i="16" s="1"/>
  <c r="S333" i="16" s="1"/>
  <c r="R333" i="16" s="1"/>
  <c r="P333" i="16" s="1"/>
  <c r="D54" i="7" s="1"/>
  <c r="U337" i="16"/>
  <c r="T337" i="16" s="1"/>
  <c r="S337" i="16" s="1"/>
  <c r="R337" i="16" s="1"/>
  <c r="P337" i="16" s="1"/>
  <c r="V337" i="16" s="1"/>
  <c r="U341" i="16"/>
  <c r="T341" i="16" s="1"/>
  <c r="S341" i="16" s="1"/>
  <c r="R341" i="16" s="1"/>
  <c r="P341" i="16" s="1"/>
  <c r="V341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P369" i="16" s="1"/>
  <c r="V369" i="16" s="1"/>
  <c r="U373" i="16"/>
  <c r="T373" i="16" s="1"/>
  <c r="S373" i="16" s="1"/>
  <c r="R373" i="16" s="1"/>
  <c r="U377" i="16"/>
  <c r="T377" i="16" s="1"/>
  <c r="S377" i="16" s="1"/>
  <c r="R377" i="16" s="1"/>
  <c r="AI17" i="16"/>
  <c r="AH17" i="16" s="1"/>
  <c r="AG17" i="16" s="1"/>
  <c r="AF17" i="16" s="1"/>
  <c r="AI22" i="16"/>
  <c r="AH22" i="16" s="1"/>
  <c r="AG22" i="16" s="1"/>
  <c r="AF22" i="16" s="1"/>
  <c r="AI26" i="16"/>
  <c r="AH26" i="16" s="1"/>
  <c r="AG26" i="16" s="1"/>
  <c r="AF26" i="16" s="1"/>
  <c r="AI30" i="16"/>
  <c r="AH30" i="16" s="1"/>
  <c r="AG30" i="16" s="1"/>
  <c r="AF30" i="16" s="1"/>
  <c r="AI34" i="16"/>
  <c r="AH34" i="16" s="1"/>
  <c r="AG34" i="16" s="1"/>
  <c r="AF34" i="16" s="1"/>
  <c r="AI38" i="16"/>
  <c r="AH38" i="16" s="1"/>
  <c r="AG38" i="16" s="1"/>
  <c r="AF38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6" i="16"/>
  <c r="AH66" i="16" s="1"/>
  <c r="AG66" i="16" s="1"/>
  <c r="AF66" i="16" s="1"/>
  <c r="AI70" i="16"/>
  <c r="AH70" i="16" s="1"/>
  <c r="AG70" i="16" s="1"/>
  <c r="AF70" i="16" s="1"/>
  <c r="AI74" i="16"/>
  <c r="AH74" i="16" s="1"/>
  <c r="AG74" i="16" s="1"/>
  <c r="AF74" i="16" s="1"/>
  <c r="AI78" i="16"/>
  <c r="AH78" i="16" s="1"/>
  <c r="AG78" i="16" s="1"/>
  <c r="AF78" i="16" s="1"/>
  <c r="AI82" i="16"/>
  <c r="AH82" i="16" s="1"/>
  <c r="AG82" i="16" s="1"/>
  <c r="AF82" i="16" s="1"/>
  <c r="AI86" i="16"/>
  <c r="AH86" i="16" s="1"/>
  <c r="AG86" i="16" s="1"/>
  <c r="AF86" i="16" s="1"/>
  <c r="AI90" i="16"/>
  <c r="AH90" i="16" s="1"/>
  <c r="AG90" i="16" s="1"/>
  <c r="AF90" i="16" s="1"/>
  <c r="AI94" i="16"/>
  <c r="AH94" i="16" s="1"/>
  <c r="AG94" i="16" s="1"/>
  <c r="AF94" i="16" s="1"/>
  <c r="AI98" i="16"/>
  <c r="AH98" i="16" s="1"/>
  <c r="AG98" i="16" s="1"/>
  <c r="AF98" i="16" s="1"/>
  <c r="AI102" i="16"/>
  <c r="AH102" i="16" s="1"/>
  <c r="AG102" i="16" s="1"/>
  <c r="AF102" i="16" s="1"/>
  <c r="AI106" i="16"/>
  <c r="AH106" i="16" s="1"/>
  <c r="AG106" i="16" s="1"/>
  <c r="AF106" i="16" s="1"/>
  <c r="AI110" i="16"/>
  <c r="AH110" i="16" s="1"/>
  <c r="AG110" i="16" s="1"/>
  <c r="AF110" i="16" s="1"/>
  <c r="AI114" i="16"/>
  <c r="AH114" i="16" s="1"/>
  <c r="AG114" i="16" s="1"/>
  <c r="AF114" i="16" s="1"/>
  <c r="AI118" i="16"/>
  <c r="AH118" i="16" s="1"/>
  <c r="AG118" i="16" s="1"/>
  <c r="AF118" i="16" s="1"/>
  <c r="AI122" i="16"/>
  <c r="AH122" i="16" s="1"/>
  <c r="AG122" i="16" s="1"/>
  <c r="AF122" i="16" s="1"/>
  <c r="AI126" i="16"/>
  <c r="AH126" i="16" s="1"/>
  <c r="AG126" i="16" s="1"/>
  <c r="AF126" i="16" s="1"/>
  <c r="AI130" i="16"/>
  <c r="AH130" i="16" s="1"/>
  <c r="AG130" i="16" s="1"/>
  <c r="AF130" i="16" s="1"/>
  <c r="AI134" i="16"/>
  <c r="AH134" i="16" s="1"/>
  <c r="AG134" i="16" s="1"/>
  <c r="AF134" i="16" s="1"/>
  <c r="AI138" i="16"/>
  <c r="AH138" i="16" s="1"/>
  <c r="AG138" i="16" s="1"/>
  <c r="AF138" i="16" s="1"/>
  <c r="AI142" i="16"/>
  <c r="AH142" i="16" s="1"/>
  <c r="AG142" i="16" s="1"/>
  <c r="AF142" i="16" s="1"/>
  <c r="AI146" i="16"/>
  <c r="AH146" i="16" s="1"/>
  <c r="AG146" i="16" s="1"/>
  <c r="AF146" i="16" s="1"/>
  <c r="AI150" i="16"/>
  <c r="AH150" i="16" s="1"/>
  <c r="AG150" i="16" s="1"/>
  <c r="AF150" i="16" s="1"/>
  <c r="AI154" i="16"/>
  <c r="AH154" i="16" s="1"/>
  <c r="AG154" i="16" s="1"/>
  <c r="AF154" i="16" s="1"/>
  <c r="AI158" i="16"/>
  <c r="AH158" i="16" s="1"/>
  <c r="AG158" i="16" s="1"/>
  <c r="AF158" i="16" s="1"/>
  <c r="AI162" i="16"/>
  <c r="AH162" i="16" s="1"/>
  <c r="AG162" i="16" s="1"/>
  <c r="AF162" i="16" s="1"/>
  <c r="AI166" i="16"/>
  <c r="AH166" i="16" s="1"/>
  <c r="AG166" i="16" s="1"/>
  <c r="AF166" i="16" s="1"/>
  <c r="AI170" i="16"/>
  <c r="AH170" i="16" s="1"/>
  <c r="AG170" i="16" s="1"/>
  <c r="AF170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19" i="16"/>
  <c r="T19" i="16" s="1"/>
  <c r="S19" i="16" s="1"/>
  <c r="R19" i="16" s="1"/>
  <c r="P19" i="16" s="1"/>
  <c r="V19" i="16" s="1"/>
  <c r="U27" i="16"/>
  <c r="T27" i="16" s="1"/>
  <c r="S27" i="16" s="1"/>
  <c r="R27" i="16" s="1"/>
  <c r="U35" i="16"/>
  <c r="T35" i="16" s="1"/>
  <c r="S35" i="16" s="1"/>
  <c r="R35" i="16" s="1"/>
  <c r="U43" i="16"/>
  <c r="T43" i="16" s="1"/>
  <c r="S43" i="16" s="1"/>
  <c r="R43" i="16" s="1"/>
  <c r="U51" i="16"/>
  <c r="T51" i="16" s="1"/>
  <c r="S51" i="16" s="1"/>
  <c r="R51" i="16" s="1"/>
  <c r="P51" i="16" s="1"/>
  <c r="V51" i="16" s="1"/>
  <c r="U59" i="16"/>
  <c r="T59" i="16" s="1"/>
  <c r="S59" i="16" s="1"/>
  <c r="R59" i="16" s="1"/>
  <c r="P59" i="16" s="1"/>
  <c r="V59" i="16" s="1"/>
  <c r="U67" i="16"/>
  <c r="T67" i="16" s="1"/>
  <c r="S67" i="16" s="1"/>
  <c r="R67" i="16" s="1"/>
  <c r="P67" i="16" s="1"/>
  <c r="V67" i="16" s="1"/>
  <c r="U75" i="16"/>
  <c r="T75" i="16" s="1"/>
  <c r="S75" i="16" s="1"/>
  <c r="R75" i="16" s="1"/>
  <c r="P75" i="16" s="1"/>
  <c r="V75" i="16" s="1"/>
  <c r="U83" i="16"/>
  <c r="T83" i="16" s="1"/>
  <c r="S83" i="16" s="1"/>
  <c r="R83" i="16" s="1"/>
  <c r="U91" i="16"/>
  <c r="T91" i="16" s="1"/>
  <c r="S91" i="16" s="1"/>
  <c r="R91" i="16" s="1"/>
  <c r="U99" i="16"/>
  <c r="T99" i="16" s="1"/>
  <c r="S99" i="16" s="1"/>
  <c r="R99" i="16" s="1"/>
  <c r="U107" i="16"/>
  <c r="T107" i="16" s="1"/>
  <c r="S107" i="16" s="1"/>
  <c r="R107" i="16" s="1"/>
  <c r="U115" i="16"/>
  <c r="T115" i="16" s="1"/>
  <c r="S115" i="16" s="1"/>
  <c r="R115" i="16" s="1"/>
  <c r="U123" i="16"/>
  <c r="T123" i="16" s="1"/>
  <c r="S123" i="16" s="1"/>
  <c r="R123" i="16" s="1"/>
  <c r="U131" i="16"/>
  <c r="T131" i="16" s="1"/>
  <c r="S131" i="16" s="1"/>
  <c r="R131" i="16" s="1"/>
  <c r="U139" i="16"/>
  <c r="T139" i="16" s="1"/>
  <c r="S139" i="16" s="1"/>
  <c r="R139" i="16" s="1"/>
  <c r="P139" i="16" s="1"/>
  <c r="V139" i="16" s="1"/>
  <c r="U147" i="16"/>
  <c r="T147" i="16" s="1"/>
  <c r="S147" i="16" s="1"/>
  <c r="R147" i="16" s="1"/>
  <c r="U155" i="16"/>
  <c r="T155" i="16" s="1"/>
  <c r="S155" i="16" s="1"/>
  <c r="R155" i="16" s="1"/>
  <c r="U163" i="16"/>
  <c r="T163" i="16" s="1"/>
  <c r="S163" i="16" s="1"/>
  <c r="R163" i="16" s="1"/>
  <c r="U171" i="16"/>
  <c r="T171" i="16" s="1"/>
  <c r="S171" i="16" s="1"/>
  <c r="R171" i="16" s="1"/>
  <c r="U179" i="16"/>
  <c r="T179" i="16" s="1"/>
  <c r="S179" i="16" s="1"/>
  <c r="R179" i="16" s="1"/>
  <c r="U187" i="16"/>
  <c r="T187" i="16" s="1"/>
  <c r="S187" i="16" s="1"/>
  <c r="R187" i="16" s="1"/>
  <c r="U195" i="16"/>
  <c r="T195" i="16" s="1"/>
  <c r="S195" i="16" s="1"/>
  <c r="R195" i="16" s="1"/>
  <c r="U203" i="16"/>
  <c r="T203" i="16" s="1"/>
  <c r="S203" i="16" s="1"/>
  <c r="R203" i="16" s="1"/>
  <c r="U211" i="16"/>
  <c r="T211" i="16" s="1"/>
  <c r="S211" i="16" s="1"/>
  <c r="R211" i="16" s="1"/>
  <c r="U219" i="16"/>
  <c r="T219" i="16" s="1"/>
  <c r="S219" i="16" s="1"/>
  <c r="R219" i="16" s="1"/>
  <c r="P219" i="16" s="1"/>
  <c r="V219" i="16" s="1"/>
  <c r="U227" i="16"/>
  <c r="T227" i="16" s="1"/>
  <c r="S227" i="16" s="1"/>
  <c r="R227" i="16" s="1"/>
  <c r="U235" i="16"/>
  <c r="T235" i="16" s="1"/>
  <c r="S235" i="16" s="1"/>
  <c r="R235" i="16" s="1"/>
  <c r="U243" i="16"/>
  <c r="T243" i="16" s="1"/>
  <c r="S243" i="16" s="1"/>
  <c r="R243" i="16" s="1"/>
  <c r="P243" i="16" s="1"/>
  <c r="V243" i="16" s="1"/>
  <c r="U251" i="16"/>
  <c r="T251" i="16" s="1"/>
  <c r="S251" i="16" s="1"/>
  <c r="R251" i="16" s="1"/>
  <c r="U259" i="16"/>
  <c r="T259" i="16" s="1"/>
  <c r="S259" i="16" s="1"/>
  <c r="R259" i="16" s="1"/>
  <c r="U267" i="16"/>
  <c r="T267" i="16" s="1"/>
  <c r="S267" i="16" s="1"/>
  <c r="R267" i="16" s="1"/>
  <c r="U275" i="16"/>
  <c r="T275" i="16" s="1"/>
  <c r="S275" i="16" s="1"/>
  <c r="R275" i="16" s="1"/>
  <c r="U283" i="16"/>
  <c r="T283" i="16" s="1"/>
  <c r="S283" i="16" s="1"/>
  <c r="R283" i="16" s="1"/>
  <c r="U291" i="16"/>
  <c r="T291" i="16" s="1"/>
  <c r="S291" i="16" s="1"/>
  <c r="R291" i="16" s="1"/>
  <c r="U299" i="16"/>
  <c r="T299" i="16" s="1"/>
  <c r="S299" i="16" s="1"/>
  <c r="R299" i="16" s="1"/>
  <c r="P299" i="16" s="1"/>
  <c r="V299" i="16" s="1"/>
  <c r="U307" i="16"/>
  <c r="T307" i="16" s="1"/>
  <c r="S307" i="16" s="1"/>
  <c r="R307" i="16" s="1"/>
  <c r="P307" i="16" s="1"/>
  <c r="V307" i="16" s="1"/>
  <c r="U315" i="16"/>
  <c r="T315" i="16" s="1"/>
  <c r="S315" i="16" s="1"/>
  <c r="R315" i="16" s="1"/>
  <c r="P315" i="16" s="1"/>
  <c r="V315" i="16" s="1"/>
  <c r="U323" i="16"/>
  <c r="T323" i="16" s="1"/>
  <c r="U331" i="16"/>
  <c r="T331" i="16" s="1"/>
  <c r="U339" i="16"/>
  <c r="T339" i="16" s="1"/>
  <c r="S339" i="16" s="1"/>
  <c r="R339" i="16" s="1"/>
  <c r="U347" i="16"/>
  <c r="T347" i="16" s="1"/>
  <c r="S347" i="16" s="1"/>
  <c r="R347" i="16" s="1"/>
  <c r="P347" i="16" s="1"/>
  <c r="V347" i="16" s="1"/>
  <c r="U355" i="16"/>
  <c r="T355" i="16" s="1"/>
  <c r="S355" i="16" s="1"/>
  <c r="R355" i="16" s="1"/>
  <c r="P355" i="16" s="1"/>
  <c r="V355" i="16" s="1"/>
  <c r="U363" i="16"/>
  <c r="T363" i="16" s="1"/>
  <c r="S363" i="16" s="1"/>
  <c r="R363" i="16" s="1"/>
  <c r="P363" i="16" s="1"/>
  <c r="D55" i="7" s="1"/>
  <c r="U371" i="16"/>
  <c r="T371" i="16" s="1"/>
  <c r="S371" i="16" s="1"/>
  <c r="R371" i="16" s="1"/>
  <c r="U379" i="16"/>
  <c r="U378" i="16"/>
  <c r="T378" i="16" s="1"/>
  <c r="S378" i="16" s="1"/>
  <c r="R378" i="16" s="1"/>
  <c r="P378" i="16" s="1"/>
  <c r="V378" i="16" s="1"/>
  <c r="U374" i="16"/>
  <c r="T374" i="16" s="1"/>
  <c r="S374" i="16" s="1"/>
  <c r="R374" i="16" s="1"/>
  <c r="P374" i="16" s="1"/>
  <c r="V374" i="16" s="1"/>
  <c r="U370" i="16"/>
  <c r="T370" i="16" s="1"/>
  <c r="U366" i="16"/>
  <c r="T366" i="16" s="1"/>
  <c r="U362" i="16"/>
  <c r="T362" i="16" s="1"/>
  <c r="S362" i="16" s="1"/>
  <c r="R362" i="16" s="1"/>
  <c r="P362" i="16" s="1"/>
  <c r="V362" i="16" s="1"/>
  <c r="U358" i="16"/>
  <c r="T358" i="16" s="1"/>
  <c r="S358" i="16" s="1"/>
  <c r="R358" i="16" s="1"/>
  <c r="P358" i="16" s="1"/>
  <c r="V358" i="16" s="1"/>
  <c r="U354" i="16"/>
  <c r="T354" i="16" s="1"/>
  <c r="U350" i="16"/>
  <c r="T350" i="16" s="1"/>
  <c r="U346" i="16"/>
  <c r="T346" i="16" s="1"/>
  <c r="U342" i="16"/>
  <c r="T342" i="16" s="1"/>
  <c r="S342" i="16" s="1"/>
  <c r="R342" i="16" s="1"/>
  <c r="P342" i="16" s="1"/>
  <c r="V342" i="16" s="1"/>
  <c r="U338" i="16"/>
  <c r="T338" i="16" s="1"/>
  <c r="U334" i="16"/>
  <c r="T334" i="16" s="1"/>
  <c r="U330" i="16"/>
  <c r="T330" i="16" s="1"/>
  <c r="U326" i="16"/>
  <c r="T326" i="16" s="1"/>
  <c r="S326" i="16" s="1"/>
  <c r="R326" i="16" s="1"/>
  <c r="P326" i="16" s="1"/>
  <c r="V326" i="16" s="1"/>
  <c r="F326" i="16" s="1"/>
  <c r="H326" i="16" s="1"/>
  <c r="U322" i="16"/>
  <c r="T322" i="16" s="1"/>
  <c r="S322" i="16" s="1"/>
  <c r="R322" i="16" s="1"/>
  <c r="P322" i="16" s="1"/>
  <c r="V322" i="16" s="1"/>
  <c r="U318" i="16"/>
  <c r="T318" i="16" s="1"/>
  <c r="S318" i="16" s="1"/>
  <c r="R318" i="16" s="1"/>
  <c r="P318" i="16" s="1"/>
  <c r="V318" i="16" s="1"/>
  <c r="U314" i="16"/>
  <c r="T314" i="16" s="1"/>
  <c r="U310" i="16"/>
  <c r="T310" i="16" s="1"/>
  <c r="S310" i="16" s="1"/>
  <c r="R310" i="16" s="1"/>
  <c r="P310" i="16" s="1"/>
  <c r="V310" i="16" s="1"/>
  <c r="U306" i="16"/>
  <c r="T306" i="16" s="1"/>
  <c r="U302" i="16"/>
  <c r="T302" i="16" s="1"/>
  <c r="U298" i="16"/>
  <c r="T298" i="16" s="1"/>
  <c r="U294" i="16"/>
  <c r="T294" i="16" s="1"/>
  <c r="S294" i="16" s="1"/>
  <c r="R294" i="16" s="1"/>
  <c r="P294" i="16" s="1"/>
  <c r="V294" i="16" s="1"/>
  <c r="U290" i="16"/>
  <c r="T290" i="16" s="1"/>
  <c r="U286" i="16"/>
  <c r="T286" i="16" s="1"/>
  <c r="U282" i="16"/>
  <c r="T282" i="16" s="1"/>
  <c r="U278" i="16"/>
  <c r="T278" i="16" s="1"/>
  <c r="S278" i="16" s="1"/>
  <c r="R278" i="16" s="1"/>
  <c r="P278" i="16" s="1"/>
  <c r="V278" i="16" s="1"/>
  <c r="U274" i="16"/>
  <c r="T274" i="16" s="1"/>
  <c r="S274" i="16" s="1"/>
  <c r="R274" i="16" s="1"/>
  <c r="P274" i="16" s="1"/>
  <c r="V274" i="16" s="1"/>
  <c r="U270" i="16"/>
  <c r="T270" i="16" s="1"/>
  <c r="U266" i="16"/>
  <c r="T266" i="16" s="1"/>
  <c r="S266" i="16" s="1"/>
  <c r="R266" i="16" s="1"/>
  <c r="P266" i="16" s="1"/>
  <c r="V266" i="16" s="1"/>
  <c r="U262" i="16"/>
  <c r="T262" i="16" s="1"/>
  <c r="S262" i="16" s="1"/>
  <c r="R262" i="16" s="1"/>
  <c r="P262" i="16" s="1"/>
  <c r="V262" i="16" s="1"/>
  <c r="U258" i="16"/>
  <c r="T258" i="16" s="1"/>
  <c r="U254" i="16"/>
  <c r="T254" i="16" s="1"/>
  <c r="U250" i="16"/>
  <c r="T250" i="16" s="1"/>
  <c r="U246" i="16"/>
  <c r="T246" i="16" s="1"/>
  <c r="U242" i="16"/>
  <c r="T242" i="16" s="1"/>
  <c r="S242" i="16" s="1"/>
  <c r="R242" i="16" s="1"/>
  <c r="P242" i="16" s="1"/>
  <c r="V242" i="16" s="1"/>
  <c r="U238" i="16"/>
  <c r="T238" i="16" s="1"/>
  <c r="S238" i="16" s="1"/>
  <c r="R238" i="16" s="1"/>
  <c r="P238" i="16" s="1"/>
  <c r="V238" i="16" s="1"/>
  <c r="U234" i="16"/>
  <c r="T234" i="16" s="1"/>
  <c r="U230" i="16"/>
  <c r="T230" i="16" s="1"/>
  <c r="S230" i="16" s="1"/>
  <c r="R230" i="16" s="1"/>
  <c r="P230" i="16" s="1"/>
  <c r="V230" i="16" s="1"/>
  <c r="U226" i="16"/>
  <c r="T226" i="16" s="1"/>
  <c r="S226" i="16" s="1"/>
  <c r="R226" i="16" s="1"/>
  <c r="P226" i="16" s="1"/>
  <c r="V226" i="16" s="1"/>
  <c r="F226" i="16" s="1"/>
  <c r="H226" i="16" s="1"/>
  <c r="U222" i="16"/>
  <c r="T222" i="16" s="1"/>
  <c r="S222" i="16" s="1"/>
  <c r="R222" i="16" s="1"/>
  <c r="P222" i="16" s="1"/>
  <c r="V222" i="16" s="1"/>
  <c r="U218" i="16"/>
  <c r="T218" i="16" s="1"/>
  <c r="U214" i="16"/>
  <c r="T214" i="16" s="1"/>
  <c r="U210" i="16"/>
  <c r="T210" i="16" s="1"/>
  <c r="S210" i="16" s="1"/>
  <c r="R210" i="16" s="1"/>
  <c r="P210" i="16" s="1"/>
  <c r="D50" i="7" s="1"/>
  <c r="U206" i="16"/>
  <c r="T206" i="16" s="1"/>
  <c r="U202" i="16"/>
  <c r="T202" i="16" s="1"/>
  <c r="U198" i="16"/>
  <c r="T198" i="16" s="1"/>
  <c r="S198" i="16" s="1"/>
  <c r="R198" i="16" s="1"/>
  <c r="P198" i="16" s="1"/>
  <c r="V198" i="16" s="1"/>
  <c r="U194" i="16"/>
  <c r="T194" i="16" s="1"/>
  <c r="U190" i="16"/>
  <c r="T190" i="16" s="1"/>
  <c r="S190" i="16" s="1"/>
  <c r="R190" i="16" s="1"/>
  <c r="U186" i="16"/>
  <c r="T186" i="16" s="1"/>
  <c r="U182" i="16"/>
  <c r="T182" i="16" s="1"/>
  <c r="S182" i="16" s="1"/>
  <c r="R182" i="16" s="1"/>
  <c r="P182" i="16" s="1"/>
  <c r="V182" i="16" s="1"/>
  <c r="U178" i="16"/>
  <c r="T178" i="16" s="1"/>
  <c r="S178" i="16" s="1"/>
  <c r="R178" i="16" s="1"/>
  <c r="U174" i="16"/>
  <c r="T174" i="16" s="1"/>
  <c r="S174" i="16" s="1"/>
  <c r="R174" i="16" s="1"/>
  <c r="U170" i="16"/>
  <c r="T170" i="16" s="1"/>
  <c r="S170" i="16" s="1"/>
  <c r="R170" i="16" s="1"/>
  <c r="U166" i="16"/>
  <c r="T166" i="16" s="1"/>
  <c r="S166" i="16" s="1"/>
  <c r="R166" i="16" s="1"/>
  <c r="U162" i="16"/>
  <c r="T162" i="16" s="1"/>
  <c r="S162" i="16" s="1"/>
  <c r="R162" i="16" s="1"/>
  <c r="U158" i="16"/>
  <c r="T158" i="16" s="1"/>
  <c r="S158" i="16" s="1"/>
  <c r="R158" i="16" s="1"/>
  <c r="U154" i="16"/>
  <c r="T154" i="16" s="1"/>
  <c r="S154" i="16" s="1"/>
  <c r="R154" i="16" s="1"/>
  <c r="U150" i="16"/>
  <c r="T150" i="16" s="1"/>
  <c r="S150" i="16" s="1"/>
  <c r="R150" i="16" s="1"/>
  <c r="U146" i="16"/>
  <c r="T146" i="16" s="1"/>
  <c r="S146" i="16" s="1"/>
  <c r="R146" i="16" s="1"/>
  <c r="U142" i="16"/>
  <c r="T142" i="16" s="1"/>
  <c r="S142" i="16" s="1"/>
  <c r="R142" i="16" s="1"/>
  <c r="U138" i="16"/>
  <c r="T138" i="16" s="1"/>
  <c r="S138" i="16" s="1"/>
  <c r="R138" i="16" s="1"/>
  <c r="P138" i="16" s="1"/>
  <c r="V138" i="16" s="1"/>
  <c r="U134" i="16"/>
  <c r="T134" i="16" s="1"/>
  <c r="S134" i="16" s="1"/>
  <c r="R134" i="16" s="1"/>
  <c r="U130" i="16"/>
  <c r="T130" i="16" s="1"/>
  <c r="S130" i="16" s="1"/>
  <c r="R130" i="16" s="1"/>
  <c r="U126" i="16"/>
  <c r="T126" i="16" s="1"/>
  <c r="S126" i="16" s="1"/>
  <c r="R126" i="16" s="1"/>
  <c r="U122" i="16"/>
  <c r="T122" i="16" s="1"/>
  <c r="S122" i="16" s="1"/>
  <c r="R122" i="16" s="1"/>
  <c r="U118" i="16"/>
  <c r="T118" i="16" s="1"/>
  <c r="S118" i="16" s="1"/>
  <c r="R118" i="16" s="1"/>
  <c r="U114" i="16"/>
  <c r="T114" i="16" s="1"/>
  <c r="S114" i="16" s="1"/>
  <c r="R114" i="16" s="1"/>
  <c r="P114" i="16" s="1"/>
  <c r="V114" i="16" s="1"/>
  <c r="U110" i="16"/>
  <c r="T110" i="16" s="1"/>
  <c r="S110" i="16" s="1"/>
  <c r="R110" i="16" s="1"/>
  <c r="U106" i="16"/>
  <c r="T106" i="16" s="1"/>
  <c r="S106" i="16" s="1"/>
  <c r="R106" i="16" s="1"/>
  <c r="U102" i="16"/>
  <c r="T102" i="16" s="1"/>
  <c r="S102" i="16" s="1"/>
  <c r="R102" i="16" s="1"/>
  <c r="U98" i="16"/>
  <c r="T98" i="16" s="1"/>
  <c r="S98" i="16" s="1"/>
  <c r="R98" i="16" s="1"/>
  <c r="U94" i="16"/>
  <c r="T94" i="16" s="1"/>
  <c r="S94" i="16" s="1"/>
  <c r="R94" i="16" s="1"/>
  <c r="P94" i="16" s="1"/>
  <c r="V94" i="16" s="1"/>
  <c r="U90" i="16"/>
  <c r="T90" i="16" s="1"/>
  <c r="S90" i="16" s="1"/>
  <c r="R90" i="16" s="1"/>
  <c r="P90" i="16" s="1"/>
  <c r="V90" i="16" s="1"/>
  <c r="U86" i="16"/>
  <c r="T86" i="16" s="1"/>
  <c r="S86" i="16" s="1"/>
  <c r="R86" i="16" s="1"/>
  <c r="U82" i="16"/>
  <c r="T82" i="16" s="1"/>
  <c r="S82" i="16" s="1"/>
  <c r="R82" i="16" s="1"/>
  <c r="U78" i="16"/>
  <c r="T78" i="16" s="1"/>
  <c r="S78" i="16" s="1"/>
  <c r="R78" i="16" s="1"/>
  <c r="U74" i="16"/>
  <c r="T74" i="16" s="1"/>
  <c r="S74" i="16" s="1"/>
  <c r="R74" i="16" s="1"/>
  <c r="U70" i="16"/>
  <c r="T70" i="16" s="1"/>
  <c r="S70" i="16" s="1"/>
  <c r="R70" i="16" s="1"/>
  <c r="U66" i="16"/>
  <c r="T66" i="16" s="1"/>
  <c r="S66" i="16" s="1"/>
  <c r="R66" i="16" s="1"/>
  <c r="U62" i="16"/>
  <c r="T62" i="16" s="1"/>
  <c r="S62" i="16" s="1"/>
  <c r="R62" i="16" s="1"/>
  <c r="U58" i="16"/>
  <c r="T58" i="16" s="1"/>
  <c r="S58" i="16" s="1"/>
  <c r="R58" i="16" s="1"/>
  <c r="U54" i="16"/>
  <c r="T54" i="16" s="1"/>
  <c r="S54" i="16" s="1"/>
  <c r="R54" i="16" s="1"/>
  <c r="U50" i="16"/>
  <c r="T50" i="16" s="1"/>
  <c r="S50" i="16" s="1"/>
  <c r="R50" i="16" s="1"/>
  <c r="U46" i="16"/>
  <c r="T46" i="16" s="1"/>
  <c r="S46" i="16" s="1"/>
  <c r="R46" i="16" s="1"/>
  <c r="U42" i="16"/>
  <c r="T42" i="16" s="1"/>
  <c r="S42" i="16" s="1"/>
  <c r="R42" i="16" s="1"/>
  <c r="U38" i="16"/>
  <c r="T38" i="16" s="1"/>
  <c r="S38" i="16" s="1"/>
  <c r="R38" i="16" s="1"/>
  <c r="U34" i="16"/>
  <c r="T34" i="16" s="1"/>
  <c r="S34" i="16" s="1"/>
  <c r="R34" i="1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16" i="16"/>
  <c r="T16" i="16" s="1"/>
  <c r="S16" i="16" s="1"/>
  <c r="R16" i="16" s="1"/>
  <c r="AD22" i="16"/>
  <c r="AD42" i="16"/>
  <c r="AD62" i="16"/>
  <c r="AD162" i="16"/>
  <c r="AD198" i="16"/>
  <c r="S383" i="15"/>
  <c r="AD113" i="16"/>
  <c r="P146" i="16"/>
  <c r="V146" i="16" s="1"/>
  <c r="P122" i="16"/>
  <c r="V122" i="16" s="1"/>
  <c r="P82" i="16"/>
  <c r="V82" i="16" s="1"/>
  <c r="P245" i="16"/>
  <c r="V245" i="16" s="1"/>
  <c r="F245" i="16" s="1"/>
  <c r="U15" i="16"/>
  <c r="U23" i="16"/>
  <c r="T23" i="16" s="1"/>
  <c r="S23" i="16" s="1"/>
  <c r="R23" i="16" s="1"/>
  <c r="U31" i="16"/>
  <c r="T31" i="16" s="1"/>
  <c r="S31" i="16" s="1"/>
  <c r="R31" i="16" s="1"/>
  <c r="P31" i="16" s="1"/>
  <c r="V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P71" i="16" s="1"/>
  <c r="V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P135" i="16" s="1"/>
  <c r="V135" i="16" s="1"/>
  <c r="U143" i="16"/>
  <c r="T143" i="16" s="1"/>
  <c r="S143" i="16" s="1"/>
  <c r="R143" i="16" s="1"/>
  <c r="P143" i="16" s="1"/>
  <c r="V143" i="16" s="1"/>
  <c r="U151" i="16"/>
  <c r="T151" i="16" s="1"/>
  <c r="S151" i="16" s="1"/>
  <c r="R151" i="16" s="1"/>
  <c r="P151" i="16" s="1"/>
  <c r="V151" i="16" s="1"/>
  <c r="U159" i="16"/>
  <c r="T159" i="16" s="1"/>
  <c r="U167" i="16"/>
  <c r="T167" i="16" s="1"/>
  <c r="U175" i="16"/>
  <c r="T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P199" i="16" s="1"/>
  <c r="V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S263" i="16" s="1"/>
  <c r="R263" i="16" s="1"/>
  <c r="U271" i="16"/>
  <c r="T271" i="16" s="1"/>
  <c r="S271" i="16" s="1"/>
  <c r="R271" i="16" s="1"/>
  <c r="P271" i="16" s="1"/>
  <c r="V271" i="16" s="1"/>
  <c r="U279" i="16"/>
  <c r="T279" i="16" s="1"/>
  <c r="S279" i="16" s="1"/>
  <c r="R279" i="16" s="1"/>
  <c r="U287" i="16"/>
  <c r="T287" i="16" s="1"/>
  <c r="S287" i="16" s="1"/>
  <c r="R287" i="16" s="1"/>
  <c r="P287" i="16" s="1"/>
  <c r="V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P359" i="16" s="1"/>
  <c r="V359" i="16" s="1"/>
  <c r="U367" i="16"/>
  <c r="T367" i="16" s="1"/>
  <c r="S367" i="16" s="1"/>
  <c r="R367" i="16" s="1"/>
  <c r="U375" i="16"/>
  <c r="T375" i="16" s="1"/>
  <c r="S375" i="16" s="1"/>
  <c r="R375" i="16" s="1"/>
  <c r="U376" i="16"/>
  <c r="T376" i="16" s="1"/>
  <c r="S376" i="16" s="1"/>
  <c r="R376" i="16" s="1"/>
  <c r="P376" i="16" s="1"/>
  <c r="V376" i="16" s="1"/>
  <c r="F376" i="16" s="1"/>
  <c r="G376" i="16" s="1"/>
  <c r="BY376" i="6" s="1"/>
  <c r="U372" i="16"/>
  <c r="T372" i="16" s="1"/>
  <c r="S372" i="16" s="1"/>
  <c r="R372" i="16" s="1"/>
  <c r="P372" i="16" s="1"/>
  <c r="V372" i="16" s="1"/>
  <c r="U368" i="16"/>
  <c r="T368" i="16" s="1"/>
  <c r="S368" i="16" s="1"/>
  <c r="R368" i="16" s="1"/>
  <c r="P368" i="16" s="1"/>
  <c r="V368" i="16" s="1"/>
  <c r="U364" i="16"/>
  <c r="T364" i="16" s="1"/>
  <c r="S364" i="16" s="1"/>
  <c r="R364" i="16" s="1"/>
  <c r="P364" i="16" s="1"/>
  <c r="V364" i="16" s="1"/>
  <c r="U360" i="16"/>
  <c r="T360" i="16" s="1"/>
  <c r="U356" i="16"/>
  <c r="T356" i="16" s="1"/>
  <c r="U352" i="16"/>
  <c r="T352" i="16" s="1"/>
  <c r="U348" i="16"/>
  <c r="T348" i="16" s="1"/>
  <c r="U344" i="16"/>
  <c r="T344" i="16" s="1"/>
  <c r="U340" i="16"/>
  <c r="T340" i="16" s="1"/>
  <c r="U336" i="16"/>
  <c r="T336" i="16" s="1"/>
  <c r="U332" i="16"/>
  <c r="T332" i="16" s="1"/>
  <c r="U328" i="16"/>
  <c r="T328" i="16" s="1"/>
  <c r="S328" i="16" s="1"/>
  <c r="R328" i="16" s="1"/>
  <c r="P328" i="16" s="1"/>
  <c r="V328" i="16" s="1"/>
  <c r="U324" i="16"/>
  <c r="T324" i="16" s="1"/>
  <c r="U320" i="16"/>
  <c r="T320" i="16" s="1"/>
  <c r="U316" i="16"/>
  <c r="T316" i="16" s="1"/>
  <c r="S316" i="16" s="1"/>
  <c r="R316" i="16" s="1"/>
  <c r="P316" i="16" s="1"/>
  <c r="V316" i="16" s="1"/>
  <c r="U312" i="16"/>
  <c r="T312" i="16" s="1"/>
  <c r="U308" i="16"/>
  <c r="T308" i="16" s="1"/>
  <c r="S308" i="16" s="1"/>
  <c r="R308" i="16" s="1"/>
  <c r="P308" i="16" s="1"/>
  <c r="V308" i="16" s="1"/>
  <c r="U304" i="16"/>
  <c r="T304" i="16" s="1"/>
  <c r="S304" i="16" s="1"/>
  <c r="R304" i="16" s="1"/>
  <c r="P304" i="16" s="1"/>
  <c r="V304" i="16" s="1"/>
  <c r="U300" i="16"/>
  <c r="T300" i="16" s="1"/>
  <c r="S300" i="16" s="1"/>
  <c r="R300" i="16" s="1"/>
  <c r="P300" i="16" s="1"/>
  <c r="V300" i="16" s="1"/>
  <c r="U296" i="16"/>
  <c r="T296" i="16" s="1"/>
  <c r="S296" i="16" s="1"/>
  <c r="R296" i="16" s="1"/>
  <c r="P296" i="16" s="1"/>
  <c r="V296" i="16" s="1"/>
  <c r="U292" i="16"/>
  <c r="T292" i="16" s="1"/>
  <c r="U288" i="16"/>
  <c r="T288" i="16" s="1"/>
  <c r="U284" i="16"/>
  <c r="T284" i="16" s="1"/>
  <c r="S284" i="16" s="1"/>
  <c r="R284" i="16" s="1"/>
  <c r="P284" i="16" s="1"/>
  <c r="V284" i="16" s="1"/>
  <c r="U280" i="16"/>
  <c r="T280" i="16" s="1"/>
  <c r="U276" i="16"/>
  <c r="T276" i="16" s="1"/>
  <c r="U272" i="16"/>
  <c r="T272" i="16" s="1"/>
  <c r="U268" i="16"/>
  <c r="T268" i="16" s="1"/>
  <c r="U264" i="16"/>
  <c r="T264" i="16" s="1"/>
  <c r="U260" i="16"/>
  <c r="T260" i="16" s="1"/>
  <c r="S260" i="16" s="1"/>
  <c r="R260" i="16" s="1"/>
  <c r="P260" i="16" s="1"/>
  <c r="V260" i="16" s="1"/>
  <c r="U256" i="16"/>
  <c r="T256" i="16" s="1"/>
  <c r="U252" i="16"/>
  <c r="T252" i="16" s="1"/>
  <c r="U248" i="16"/>
  <c r="T248" i="16" s="1"/>
  <c r="U244" i="16"/>
  <c r="T244" i="16" s="1"/>
  <c r="U240" i="16"/>
  <c r="T240" i="16" s="1"/>
  <c r="U236" i="16"/>
  <c r="T236" i="16" s="1"/>
  <c r="U232" i="16"/>
  <c r="T232" i="16" s="1"/>
  <c r="U228" i="16"/>
  <c r="T228" i="16" s="1"/>
  <c r="S228" i="16" s="1"/>
  <c r="R228" i="16" s="1"/>
  <c r="P228" i="16" s="1"/>
  <c r="V228" i="16" s="1"/>
  <c r="U224" i="16"/>
  <c r="T224" i="16" s="1"/>
  <c r="S224" i="16" s="1"/>
  <c r="R224" i="16" s="1"/>
  <c r="P224" i="16" s="1"/>
  <c r="V224" i="16" s="1"/>
  <c r="U220" i="16"/>
  <c r="T220" i="16" s="1"/>
  <c r="U216" i="16"/>
  <c r="T216" i="16" s="1"/>
  <c r="U212" i="16"/>
  <c r="T212" i="16" s="1"/>
  <c r="S212" i="16" s="1"/>
  <c r="R212" i="16" s="1"/>
  <c r="P212" i="16" s="1"/>
  <c r="V212" i="16" s="1"/>
  <c r="U208" i="16"/>
  <c r="T208" i="16" s="1"/>
  <c r="S208" i="16" s="1"/>
  <c r="R208" i="16" s="1"/>
  <c r="P208" i="16" s="1"/>
  <c r="V208" i="16" s="1"/>
  <c r="U204" i="16"/>
  <c r="T204" i="16" s="1"/>
  <c r="U200" i="16"/>
  <c r="T200" i="16" s="1"/>
  <c r="S200" i="16" s="1"/>
  <c r="R200" i="16" s="1"/>
  <c r="P200" i="16" s="1"/>
  <c r="V200" i="16" s="1"/>
  <c r="U196" i="16"/>
  <c r="T196" i="16" s="1"/>
  <c r="U192" i="16"/>
  <c r="T192" i="16" s="1"/>
  <c r="U188" i="16"/>
  <c r="T188" i="16" s="1"/>
  <c r="S188" i="16" s="1"/>
  <c r="R188" i="16" s="1"/>
  <c r="P188" i="16" s="1"/>
  <c r="V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S176" i="16" s="1"/>
  <c r="R176" i="16" s="1"/>
  <c r="U172" i="16"/>
  <c r="T172" i="16" s="1"/>
  <c r="S172" i="16" s="1"/>
  <c r="R172" i="16" s="1"/>
  <c r="U168" i="16"/>
  <c r="T168" i="16" s="1"/>
  <c r="S168" i="16" s="1"/>
  <c r="R168" i="16" s="1"/>
  <c r="U164" i="16"/>
  <c r="T164" i="16" s="1"/>
  <c r="S164" i="16" s="1"/>
  <c r="R164" i="16" s="1"/>
  <c r="U160" i="16"/>
  <c r="T160" i="16" s="1"/>
  <c r="S160" i="16" s="1"/>
  <c r="R160" i="16" s="1"/>
  <c r="U156" i="16"/>
  <c r="T156" i="16" s="1"/>
  <c r="S156" i="16" s="1"/>
  <c r="R156" i="16" s="1"/>
  <c r="U152" i="16"/>
  <c r="T152" i="16" s="1"/>
  <c r="S152" i="16" s="1"/>
  <c r="R152" i="16" s="1"/>
  <c r="U148" i="16"/>
  <c r="T148" i="16" s="1"/>
  <c r="S148" i="16" s="1"/>
  <c r="R148" i="16" s="1"/>
  <c r="U144" i="16"/>
  <c r="T144" i="16" s="1"/>
  <c r="S144" i="16" s="1"/>
  <c r="R144" i="16" s="1"/>
  <c r="U140" i="16"/>
  <c r="T140" i="16" s="1"/>
  <c r="S140" i="16" s="1"/>
  <c r="R140" i="16" s="1"/>
  <c r="U136" i="16"/>
  <c r="T136" i="16" s="1"/>
  <c r="S136" i="16" s="1"/>
  <c r="R136" i="16" s="1"/>
  <c r="U132" i="16"/>
  <c r="T132" i="16" s="1"/>
  <c r="S132" i="16" s="1"/>
  <c r="R132" i="16" s="1"/>
  <c r="U128" i="16"/>
  <c r="T128" i="16" s="1"/>
  <c r="S128" i="16" s="1"/>
  <c r="R128" i="16" s="1"/>
  <c r="U124" i="16"/>
  <c r="T124" i="16" s="1"/>
  <c r="S124" i="16" s="1"/>
  <c r="R124" i="16" s="1"/>
  <c r="U120" i="16"/>
  <c r="T120" i="16" s="1"/>
  <c r="S120" i="16" s="1"/>
  <c r="R120" i="16" s="1"/>
  <c r="U116" i="16"/>
  <c r="T116" i="16" s="1"/>
  <c r="S116" i="16" s="1"/>
  <c r="R116" i="16" s="1"/>
  <c r="U112" i="16"/>
  <c r="T112" i="16" s="1"/>
  <c r="S112" i="16" s="1"/>
  <c r="R112" i="16" s="1"/>
  <c r="U108" i="16"/>
  <c r="T108" i="16" s="1"/>
  <c r="S108" i="16" s="1"/>
  <c r="R108" i="16" s="1"/>
  <c r="U104" i="16"/>
  <c r="T104" i="16" s="1"/>
  <c r="S104" i="16" s="1"/>
  <c r="R104" i="16" s="1"/>
  <c r="U100" i="16"/>
  <c r="T100" i="16" s="1"/>
  <c r="S100" i="16" s="1"/>
  <c r="R100" i="16" s="1"/>
  <c r="U96" i="16"/>
  <c r="T96" i="16" s="1"/>
  <c r="S96" i="16" s="1"/>
  <c r="R96" i="16" s="1"/>
  <c r="U92" i="16"/>
  <c r="T92" i="16" s="1"/>
  <c r="S92" i="16" s="1"/>
  <c r="R92" i="16" s="1"/>
  <c r="U88" i="16"/>
  <c r="T88" i="16" s="1"/>
  <c r="S88" i="16" s="1"/>
  <c r="R88" i="16" s="1"/>
  <c r="U84" i="16"/>
  <c r="T84" i="16" s="1"/>
  <c r="S84" i="16" s="1"/>
  <c r="R84" i="16" s="1"/>
  <c r="U80" i="16"/>
  <c r="T80" i="16" s="1"/>
  <c r="S80" i="16" s="1"/>
  <c r="R80" i="16" s="1"/>
  <c r="U76" i="16"/>
  <c r="T76" i="16" s="1"/>
  <c r="S76" i="16" s="1"/>
  <c r="R76" i="16" s="1"/>
  <c r="U72" i="16"/>
  <c r="T72" i="16" s="1"/>
  <c r="S72" i="16" s="1"/>
  <c r="R72" i="16" s="1"/>
  <c r="U68" i="16"/>
  <c r="T68" i="16" s="1"/>
  <c r="S68" i="16" s="1"/>
  <c r="R68" i="16" s="1"/>
  <c r="U64" i="16"/>
  <c r="T64" i="16" s="1"/>
  <c r="S64" i="16" s="1"/>
  <c r="R64" i="16" s="1"/>
  <c r="U60" i="16"/>
  <c r="T60" i="16" s="1"/>
  <c r="S60" i="16" s="1"/>
  <c r="R60" i="16" s="1"/>
  <c r="U56" i="16"/>
  <c r="T56" i="16" s="1"/>
  <c r="S56" i="16" s="1"/>
  <c r="R56" i="16" s="1"/>
  <c r="U52" i="16"/>
  <c r="T52" i="16" s="1"/>
  <c r="S52" i="16" s="1"/>
  <c r="R52" i="16" s="1"/>
  <c r="U48" i="16"/>
  <c r="T48" i="16" s="1"/>
  <c r="S48" i="16" s="1"/>
  <c r="R48" i="16" s="1"/>
  <c r="U44" i="16"/>
  <c r="T44" i="16" s="1"/>
  <c r="S44" i="16" s="1"/>
  <c r="R44" i="16" s="1"/>
  <c r="U40" i="16"/>
  <c r="T40" i="16" s="1"/>
  <c r="S40" i="16" s="1"/>
  <c r="R40" i="16" s="1"/>
  <c r="U36" i="16"/>
  <c r="T36" i="16" s="1"/>
  <c r="S36" i="16" s="1"/>
  <c r="R36" i="16" s="1"/>
  <c r="U32" i="16"/>
  <c r="T32" i="16" s="1"/>
  <c r="S32" i="16" s="1"/>
  <c r="R32" i="16" s="1"/>
  <c r="U28" i="16"/>
  <c r="T28" i="16" s="1"/>
  <c r="S28" i="16" s="1"/>
  <c r="R28" i="16" s="1"/>
  <c r="U24" i="16"/>
  <c r="T24" i="16" s="1"/>
  <c r="S24" i="16" s="1"/>
  <c r="R24" i="16" s="1"/>
  <c r="U20" i="16"/>
  <c r="T20" i="16" s="1"/>
  <c r="S20" i="16" s="1"/>
  <c r="R20" i="16" s="1"/>
  <c r="U17" i="16"/>
  <c r="T17" i="16" s="1"/>
  <c r="S17" i="16" s="1"/>
  <c r="R17" i="16" s="1"/>
  <c r="I152" i="15"/>
  <c r="I236" i="15"/>
  <c r="I325" i="15"/>
  <c r="J345" i="15"/>
  <c r="J372" i="15"/>
  <c r="I221" i="15"/>
  <c r="I184" i="15"/>
  <c r="I205" i="15"/>
  <c r="I240" i="15"/>
  <c r="I300" i="15"/>
  <c r="I348" i="15"/>
  <c r="I261" i="15"/>
  <c r="I357" i="15"/>
  <c r="I128" i="15"/>
  <c r="I340" i="15"/>
  <c r="I364" i="15"/>
  <c r="J189" i="15"/>
  <c r="J373" i="15"/>
  <c r="I212" i="15"/>
  <c r="I213" i="15"/>
  <c r="I90" i="15"/>
  <c r="J188" i="15"/>
  <c r="I309" i="15"/>
  <c r="I66" i="15"/>
  <c r="I294" i="15"/>
  <c r="J192" i="15"/>
  <c r="I268" i="15"/>
  <c r="J237" i="15"/>
  <c r="J285" i="15"/>
  <c r="I73" i="15"/>
  <c r="I216" i="15"/>
  <c r="J97" i="15"/>
  <c r="J329" i="15"/>
  <c r="J332" i="15"/>
  <c r="H288" i="15"/>
  <c r="J288" i="15" s="1"/>
  <c r="J337" i="15"/>
  <c r="I308" i="15"/>
  <c r="J200" i="15"/>
  <c r="I256" i="15"/>
  <c r="I356" i="15"/>
  <c r="J25" i="15"/>
  <c r="I104" i="15"/>
  <c r="I69" i="15"/>
  <c r="I122" i="15"/>
  <c r="I228" i="15"/>
  <c r="J336" i="15"/>
  <c r="I253" i="15"/>
  <c r="J269" i="15"/>
  <c r="J74" i="15"/>
  <c r="I363" i="15"/>
  <c r="J321" i="15"/>
  <c r="J353" i="15"/>
  <c r="I273" i="15"/>
  <c r="I376" i="15"/>
  <c r="I62" i="19"/>
  <c r="AD83" i="16"/>
  <c r="AD143" i="16"/>
  <c r="I71" i="15"/>
  <c r="AD43" i="16"/>
  <c r="AD355" i="16"/>
  <c r="I121" i="15"/>
  <c r="I265" i="15"/>
  <c r="I370" i="15"/>
  <c r="I129" i="15"/>
  <c r="I92" i="15"/>
  <c r="J105" i="15"/>
  <c r="I249" i="15"/>
  <c r="I45" i="15"/>
  <c r="J119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AD34" i="16"/>
  <c r="J35" i="15"/>
  <c r="J365" i="15"/>
  <c r="G241" i="15"/>
  <c r="BX241" i="6" s="1"/>
  <c r="AA241" i="15"/>
  <c r="Z241" i="15" s="1"/>
  <c r="Y241" i="15" s="1"/>
  <c r="H241" i="15"/>
  <c r="I85" i="15"/>
  <c r="P178" i="16"/>
  <c r="V178" i="16" s="1"/>
  <c r="F178" i="16" s="1"/>
  <c r="AD147" i="16"/>
  <c r="AD275" i="16"/>
  <c r="I34" i="15"/>
  <c r="P197" i="16"/>
  <c r="V197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H136" i="15"/>
  <c r="J136" i="15" s="1"/>
  <c r="H108" i="15"/>
  <c r="J108" i="15" s="1"/>
  <c r="AD65" i="16"/>
  <c r="P42" i="16"/>
  <c r="V42" i="16" s="1"/>
  <c r="AD176" i="16"/>
  <c r="AD229" i="16"/>
  <c r="AD120" i="16"/>
  <c r="F379" i="1"/>
  <c r="V382" i="1"/>
  <c r="V383" i="1"/>
  <c r="V381" i="1"/>
  <c r="M61" i="19"/>
  <c r="AD16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I60" i="15" l="1"/>
  <c r="AD33" i="16"/>
  <c r="P18" i="16"/>
  <c r="V18" i="16" s="1"/>
  <c r="AD277" i="16"/>
  <c r="AD317" i="16"/>
  <c r="AD358" i="16"/>
  <c r="AD84" i="16"/>
  <c r="AD253" i="16"/>
  <c r="AD201" i="16"/>
  <c r="AD244" i="16"/>
  <c r="AD212" i="16"/>
  <c r="AD74" i="16"/>
  <c r="AD56" i="16"/>
  <c r="AD324" i="16"/>
  <c r="AD90" i="16"/>
  <c r="P69" i="16"/>
  <c r="V69" i="16" s="1"/>
  <c r="AD331" i="16"/>
  <c r="AD247" i="16"/>
  <c r="AD87" i="16"/>
  <c r="P98" i="16"/>
  <c r="V98" i="16" s="1"/>
  <c r="F98" i="16" s="1"/>
  <c r="G98" i="16" s="1"/>
  <c r="BY98" i="6" s="1"/>
  <c r="P93" i="16"/>
  <c r="V93" i="16" s="1"/>
  <c r="AD175" i="16"/>
  <c r="AD111" i="16"/>
  <c r="P163" i="16"/>
  <c r="V163" i="16" s="1"/>
  <c r="F163" i="16" s="1"/>
  <c r="H163" i="16" s="1"/>
  <c r="P301" i="16"/>
  <c r="V301" i="16" s="1"/>
  <c r="F301" i="16" s="1"/>
  <c r="P106" i="16"/>
  <c r="V106" i="16" s="1"/>
  <c r="P130" i="16"/>
  <c r="V130" i="16" s="1"/>
  <c r="AD318" i="16"/>
  <c r="P193" i="16"/>
  <c r="V193" i="16" s="1"/>
  <c r="F193" i="16" s="1"/>
  <c r="P265" i="16"/>
  <c r="V265" i="16" s="1"/>
  <c r="F265" i="16" s="1"/>
  <c r="G265" i="16" s="1"/>
  <c r="BY265" i="6" s="1"/>
  <c r="Q10" i="17"/>
  <c r="AD140" i="16"/>
  <c r="AD105" i="16"/>
  <c r="AD53" i="16"/>
  <c r="AD233" i="16"/>
  <c r="P27" i="16"/>
  <c r="V27" i="16" s="1"/>
  <c r="F27" i="16" s="1"/>
  <c r="G27" i="16" s="1"/>
  <c r="BY27" i="6" s="1"/>
  <c r="AD133" i="16"/>
  <c r="AD52" i="16"/>
  <c r="AD186" i="16"/>
  <c r="AD158" i="16"/>
  <c r="P153" i="16"/>
  <c r="P89" i="16"/>
  <c r="V89" i="16" s="1"/>
  <c r="F89" i="16" s="1"/>
  <c r="AD377" i="16"/>
  <c r="AD269" i="16"/>
  <c r="AD157" i="16"/>
  <c r="AD25" i="16"/>
  <c r="AD314" i="16"/>
  <c r="AD378" i="16"/>
  <c r="AD238" i="16"/>
  <c r="M62" i="19"/>
  <c r="AD274" i="16"/>
  <c r="AD206" i="16"/>
  <c r="AD254" i="16"/>
  <c r="P289" i="16"/>
  <c r="V289" i="16" s="1"/>
  <c r="F289" i="16" s="1"/>
  <c r="P91" i="16"/>
  <c r="V91" i="16" s="1"/>
  <c r="F91" i="16" s="1"/>
  <c r="AD366" i="16"/>
  <c r="P137" i="16"/>
  <c r="V137" i="16" s="1"/>
  <c r="F137" i="16" s="1"/>
  <c r="AD353" i="16"/>
  <c r="AD289" i="16"/>
  <c r="AD245" i="16"/>
  <c r="AA245" i="16" s="1"/>
  <c r="Z245" i="16" s="1"/>
  <c r="Y245" i="16" s="1"/>
  <c r="AD181" i="16"/>
  <c r="AD137" i="16"/>
  <c r="AD85" i="16"/>
  <c r="AD350" i="16"/>
  <c r="AD282" i="16"/>
  <c r="AD218" i="16"/>
  <c r="AD178" i="16"/>
  <c r="AA178" i="16" s="1"/>
  <c r="Z178" i="16" s="1"/>
  <c r="Y178" i="16" s="1"/>
  <c r="AD118" i="16"/>
  <c r="P127" i="16"/>
  <c r="V127" i="16" s="1"/>
  <c r="F127" i="16" s="1"/>
  <c r="AD306" i="16"/>
  <c r="AD110" i="16"/>
  <c r="AD60" i="16"/>
  <c r="AD333" i="16"/>
  <c r="AD298" i="16"/>
  <c r="AD94" i="16"/>
  <c r="AD30" i="16"/>
  <c r="AD221" i="16"/>
  <c r="AD69" i="16"/>
  <c r="AD16" i="16"/>
  <c r="AD132" i="16"/>
  <c r="AD109" i="16"/>
  <c r="P70" i="16"/>
  <c r="V70" i="16" s="1"/>
  <c r="F70" i="16" s="1"/>
  <c r="H70" i="16" s="1"/>
  <c r="AD301" i="16"/>
  <c r="AA301" i="16" s="1"/>
  <c r="Z301" i="16" s="1"/>
  <c r="Y301" i="16" s="1"/>
  <c r="AD205" i="16"/>
  <c r="P54" i="16"/>
  <c r="V54" i="16" s="1"/>
  <c r="F54" i="16" s="1"/>
  <c r="AD329" i="16"/>
  <c r="AD185" i="16"/>
  <c r="P57" i="16"/>
  <c r="V57" i="16" s="1"/>
  <c r="AD338" i="16"/>
  <c r="AD126" i="16"/>
  <c r="P87" i="16"/>
  <c r="V87" i="16" s="1"/>
  <c r="F87" i="16" s="1"/>
  <c r="G87" i="16" s="1"/>
  <c r="BY87" i="6" s="1"/>
  <c r="AD29" i="16"/>
  <c r="P305" i="16"/>
  <c r="V305" i="16" s="1"/>
  <c r="P118" i="16"/>
  <c r="V118" i="16" s="1"/>
  <c r="F118" i="16" s="1"/>
  <c r="H118" i="16" s="1"/>
  <c r="AD369" i="16"/>
  <c r="AD258" i="16"/>
  <c r="P113" i="16"/>
  <c r="V113" i="16" s="1"/>
  <c r="F113" i="16" s="1"/>
  <c r="G113" i="16" s="1"/>
  <c r="BY113" i="6" s="1"/>
  <c r="P177" i="16"/>
  <c r="V177" i="16" s="1"/>
  <c r="F177" i="16" s="1"/>
  <c r="G177" i="16" s="1"/>
  <c r="BY177" i="6" s="1"/>
  <c r="AD361" i="16"/>
  <c r="AD325" i="16"/>
  <c r="AD297" i="16"/>
  <c r="AD281" i="16"/>
  <c r="AD261" i="16"/>
  <c r="AD213" i="16"/>
  <c r="AD193" i="16"/>
  <c r="AA193" i="16" s="1"/>
  <c r="Z193" i="16" s="1"/>
  <c r="Y193" i="16" s="1"/>
  <c r="AD169" i="16"/>
  <c r="AA169" i="16" s="1"/>
  <c r="Z169" i="16" s="1"/>
  <c r="Y169" i="16" s="1"/>
  <c r="AD145" i="16"/>
  <c r="AD121" i="16"/>
  <c r="AD97" i="16"/>
  <c r="AD57" i="16"/>
  <c r="AD362" i="16"/>
  <c r="AD330" i="16"/>
  <c r="AD294" i="16"/>
  <c r="AD266" i="16"/>
  <c r="AD230" i="16"/>
  <c r="AD210" i="16"/>
  <c r="AD190" i="16"/>
  <c r="AD70" i="16"/>
  <c r="P102" i="16"/>
  <c r="V102" i="16" s="1"/>
  <c r="F102" i="16" s="1"/>
  <c r="H102" i="16" s="1"/>
  <c r="P110" i="16"/>
  <c r="V110" i="16" s="1"/>
  <c r="F110" i="16" s="1"/>
  <c r="G110" i="16" s="1"/>
  <c r="BY110" i="6" s="1"/>
  <c r="P126" i="16"/>
  <c r="V126" i="16" s="1"/>
  <c r="P134" i="16"/>
  <c r="V134" i="16" s="1"/>
  <c r="J333" i="15"/>
  <c r="C13" i="19"/>
  <c r="F37" i="19"/>
  <c r="AD367" i="16"/>
  <c r="AD328" i="16"/>
  <c r="AD96" i="16"/>
  <c r="AD224" i="16"/>
  <c r="AD188" i="16"/>
  <c r="AD18" i="16"/>
  <c r="AD260" i="16"/>
  <c r="AD368" i="16"/>
  <c r="P37" i="16"/>
  <c r="V37" i="16" s="1"/>
  <c r="P269" i="16"/>
  <c r="V269" i="16" s="1"/>
  <c r="F269" i="16" s="1"/>
  <c r="G269" i="16" s="1"/>
  <c r="BY269" i="6" s="1"/>
  <c r="P45" i="16"/>
  <c r="V45" i="16" s="1"/>
  <c r="AD363" i="16"/>
  <c r="AD295" i="16"/>
  <c r="AD255" i="16"/>
  <c r="AD203" i="16"/>
  <c r="AD115" i="16"/>
  <c r="AD35" i="16"/>
  <c r="AD154" i="16"/>
  <c r="AD223" i="16"/>
  <c r="AD55" i="16"/>
  <c r="AD19" i="16"/>
  <c r="AD159" i="16"/>
  <c r="AD131" i="16"/>
  <c r="AD103" i="16"/>
  <c r="P317" i="16"/>
  <c r="V317" i="16" s="1"/>
  <c r="P221" i="16"/>
  <c r="V221" i="16" s="1"/>
  <c r="F221" i="16" s="1"/>
  <c r="G221" i="16" s="1"/>
  <c r="BY221" i="6" s="1"/>
  <c r="P261" i="16"/>
  <c r="V261" i="16" s="1"/>
  <c r="F261" i="16" s="1"/>
  <c r="P277" i="16"/>
  <c r="V277" i="16" s="1"/>
  <c r="F277" i="16" s="1"/>
  <c r="H277" i="16" s="1"/>
  <c r="P61" i="16"/>
  <c r="V61" i="16" s="1"/>
  <c r="P29" i="16"/>
  <c r="V29" i="16" s="1"/>
  <c r="AD130" i="16"/>
  <c r="AD98" i="16"/>
  <c r="P176" i="16"/>
  <c r="V176" i="16" s="1"/>
  <c r="P207" i="16"/>
  <c r="V207" i="16" s="1"/>
  <c r="F207" i="16" s="1"/>
  <c r="P62" i="16"/>
  <c r="V62" i="16" s="1"/>
  <c r="P84" i="16"/>
  <c r="V84" i="16" s="1"/>
  <c r="F84" i="16" s="1"/>
  <c r="G84" i="16" s="1"/>
  <c r="BY84" i="6" s="1"/>
  <c r="F300" i="16"/>
  <c r="G300" i="16" s="1"/>
  <c r="BY300" i="6" s="1"/>
  <c r="AD256" i="16"/>
  <c r="AD232" i="16"/>
  <c r="AD196" i="16"/>
  <c r="AD144" i="16"/>
  <c r="AD24" i="16"/>
  <c r="AD304" i="16"/>
  <c r="AD220" i="16"/>
  <c r="AD200" i="16"/>
  <c r="AD146" i="16"/>
  <c r="AD114" i="16"/>
  <c r="AD88" i="16"/>
  <c r="AD48" i="16"/>
  <c r="AD192" i="16"/>
  <c r="AD17" i="16"/>
  <c r="P40" i="16"/>
  <c r="V40" i="16" s="1"/>
  <c r="P152" i="16"/>
  <c r="V152" i="16" s="1"/>
  <c r="AD372" i="16"/>
  <c r="AD360" i="16"/>
  <c r="AD208" i="16"/>
  <c r="P184" i="16"/>
  <c r="V184" i="16" s="1"/>
  <c r="P275" i="16"/>
  <c r="V275" i="16" s="1"/>
  <c r="P141" i="16"/>
  <c r="V141" i="16" s="1"/>
  <c r="F141" i="16" s="1"/>
  <c r="H141" i="16" s="1"/>
  <c r="J141" i="16" s="1"/>
  <c r="P111" i="16"/>
  <c r="V111" i="16" s="1"/>
  <c r="P79" i="16"/>
  <c r="V79" i="16" s="1"/>
  <c r="F79" i="16" s="1"/>
  <c r="P309" i="16"/>
  <c r="V309" i="16" s="1"/>
  <c r="F309" i="16" s="1"/>
  <c r="G309" i="16" s="1"/>
  <c r="BY309" i="6" s="1"/>
  <c r="P237" i="16"/>
  <c r="V237" i="16" s="1"/>
  <c r="P147" i="16"/>
  <c r="V147" i="16" s="1"/>
  <c r="F147" i="16" s="1"/>
  <c r="G147" i="16" s="1"/>
  <c r="BY147" i="6" s="1"/>
  <c r="P83" i="16"/>
  <c r="V83" i="16" s="1"/>
  <c r="F83" i="16" s="1"/>
  <c r="G83" i="16" s="1"/>
  <c r="BY83" i="6" s="1"/>
  <c r="P53" i="16"/>
  <c r="V53" i="16" s="1"/>
  <c r="AD339" i="16"/>
  <c r="AD327" i="16"/>
  <c r="AD287" i="16"/>
  <c r="AD263" i="16"/>
  <c r="AD251" i="16"/>
  <c r="AD207" i="16"/>
  <c r="AD183" i="16"/>
  <c r="AD139" i="16"/>
  <c r="AD99" i="16"/>
  <c r="AD75" i="16"/>
  <c r="AD27" i="16"/>
  <c r="P17" i="16"/>
  <c r="V17" i="16" s="1"/>
  <c r="AD50" i="16"/>
  <c r="AD26" i="16"/>
  <c r="P101" i="16"/>
  <c r="V101" i="16" s="1"/>
  <c r="AD227" i="16"/>
  <c r="AD211" i="16"/>
  <c r="AD63" i="16"/>
  <c r="AD51" i="16"/>
  <c r="AD23" i="16"/>
  <c r="AD151" i="16"/>
  <c r="AD135" i="16"/>
  <c r="AD123" i="16"/>
  <c r="AD107" i="16"/>
  <c r="AD91" i="16"/>
  <c r="P339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P189" i="16"/>
  <c r="V189" i="16" s="1"/>
  <c r="F189" i="16" s="1"/>
  <c r="H189" i="16" s="1"/>
  <c r="P205" i="16"/>
  <c r="V205" i="16" s="1"/>
  <c r="P229" i="16"/>
  <c r="V229" i="16" s="1"/>
  <c r="F229" i="16" s="1"/>
  <c r="H229" i="16" s="1"/>
  <c r="P253" i="16"/>
  <c r="V253" i="16" s="1"/>
  <c r="F253" i="16" s="1"/>
  <c r="H253" i="16" s="1"/>
  <c r="P285" i="16"/>
  <c r="V285" i="16" s="1"/>
  <c r="P35" i="16"/>
  <c r="V35" i="16" s="1"/>
  <c r="P77" i="16"/>
  <c r="V77" i="16" s="1"/>
  <c r="P162" i="16"/>
  <c r="V162" i="16" s="1"/>
  <c r="AD170" i="16"/>
  <c r="AD138" i="16"/>
  <c r="AD122" i="16"/>
  <c r="AD106" i="16"/>
  <c r="AD82" i="16"/>
  <c r="AD66" i="16"/>
  <c r="AD58" i="16"/>
  <c r="P16" i="16"/>
  <c r="V16" i="16" s="1"/>
  <c r="F16" i="16" s="1"/>
  <c r="H16" i="16" s="1"/>
  <c r="P50" i="16"/>
  <c r="V50" i="16" s="1"/>
  <c r="P58" i="16"/>
  <c r="V58" i="16" s="1"/>
  <c r="F58" i="16" s="1"/>
  <c r="P36" i="16"/>
  <c r="V36" i="16" s="1"/>
  <c r="F36" i="16" s="1"/>
  <c r="H36" i="16" s="1"/>
  <c r="P92" i="16"/>
  <c r="V92" i="16" s="1"/>
  <c r="F92" i="16" s="1"/>
  <c r="P231" i="16"/>
  <c r="V231" i="16" s="1"/>
  <c r="F231" i="16" s="1"/>
  <c r="H231" i="16" s="1"/>
  <c r="I231" i="16" s="1"/>
  <c r="P119" i="16"/>
  <c r="D47" i="7" s="1"/>
  <c r="P103" i="16"/>
  <c r="V103" i="16" s="1"/>
  <c r="P371" i="16"/>
  <c r="V371" i="16" s="1"/>
  <c r="F371" i="16" s="1"/>
  <c r="G371" i="16" s="1"/>
  <c r="BY371" i="6" s="1"/>
  <c r="P154" i="16"/>
  <c r="V154" i="16" s="1"/>
  <c r="P170" i="16"/>
  <c r="V170" i="16" s="1"/>
  <c r="F170" i="16" s="1"/>
  <c r="P56" i="16"/>
  <c r="V56" i="16" s="1"/>
  <c r="F56" i="16" s="1"/>
  <c r="G56" i="16" s="1"/>
  <c r="BY56" i="6" s="1"/>
  <c r="P112" i="16"/>
  <c r="V112" i="16" s="1"/>
  <c r="P88" i="16"/>
  <c r="V88" i="16" s="1"/>
  <c r="P95" i="16"/>
  <c r="V95" i="16" s="1"/>
  <c r="F95" i="16" s="1"/>
  <c r="P32" i="16"/>
  <c r="V32" i="16" s="1"/>
  <c r="F32" i="16" s="1"/>
  <c r="G32" i="16" s="1"/>
  <c r="BY32" i="6" s="1"/>
  <c r="P349" i="16"/>
  <c r="V349" i="16" s="1"/>
  <c r="F349" i="16" s="1"/>
  <c r="H349" i="16" s="1"/>
  <c r="J349" i="16" s="1"/>
  <c r="P365" i="16"/>
  <c r="V365" i="16" s="1"/>
  <c r="F365" i="16" s="1"/>
  <c r="H365" i="16" s="1"/>
  <c r="J365" i="16" s="1"/>
  <c r="P133" i="16"/>
  <c r="V133" i="16" s="1"/>
  <c r="F133" i="16" s="1"/>
  <c r="G133" i="16" s="1"/>
  <c r="BY133" i="6" s="1"/>
  <c r="P195" i="16"/>
  <c r="V195" i="16" s="1"/>
  <c r="F195" i="16" s="1"/>
  <c r="G195" i="16" s="1"/>
  <c r="BY195" i="6" s="1"/>
  <c r="P223" i="16"/>
  <c r="V223" i="16" s="1"/>
  <c r="F223" i="16" s="1"/>
  <c r="G223" i="16" s="1"/>
  <c r="BY223" i="6" s="1"/>
  <c r="AD375" i="16"/>
  <c r="AD347" i="16"/>
  <c r="AD319" i="16"/>
  <c r="AD303" i="16"/>
  <c r="AD271" i="16"/>
  <c r="AD231" i="16"/>
  <c r="AD195" i="16"/>
  <c r="AD171" i="16"/>
  <c r="AD127" i="16"/>
  <c r="AD71" i="16"/>
  <c r="AD39" i="16"/>
  <c r="P104" i="16"/>
  <c r="V104" i="16" s="1"/>
  <c r="F104" i="16" s="1"/>
  <c r="G104" i="16" s="1"/>
  <c r="BY104" i="6" s="1"/>
  <c r="P128" i="16"/>
  <c r="V128" i="16" s="1"/>
  <c r="F128" i="16" s="1"/>
  <c r="G128" i="16" s="1"/>
  <c r="BY128" i="6" s="1"/>
  <c r="P160" i="16"/>
  <c r="V160" i="16" s="1"/>
  <c r="F160" i="16" s="1"/>
  <c r="P66" i="16"/>
  <c r="V66" i="16" s="1"/>
  <c r="AD364" i="16"/>
  <c r="AD344" i="16"/>
  <c r="AD320" i="16"/>
  <c r="AD300" i="16"/>
  <c r="AD284" i="16"/>
  <c r="AD268" i="16"/>
  <c r="AD240" i="16"/>
  <c r="AD204" i="16"/>
  <c r="AD160" i="16"/>
  <c r="AD112" i="16"/>
  <c r="AD64" i="16"/>
  <c r="P335" i="16"/>
  <c r="V335" i="16" s="1"/>
  <c r="F335" i="16" s="1"/>
  <c r="H335" i="16" s="1"/>
  <c r="I335" i="16" s="1"/>
  <c r="P367" i="16"/>
  <c r="V367" i="16" s="1"/>
  <c r="F367" i="16" s="1"/>
  <c r="H367" i="16" s="1"/>
  <c r="J367" i="16" s="1"/>
  <c r="P47" i="16"/>
  <c r="P48" i="16"/>
  <c r="V48" i="16" s="1"/>
  <c r="F48" i="16" s="1"/>
  <c r="G48" i="16" s="1"/>
  <c r="BY48" i="6" s="1"/>
  <c r="P24" i="16"/>
  <c r="V24" i="16" s="1"/>
  <c r="P357" i="16"/>
  <c r="V357" i="16" s="1"/>
  <c r="F357" i="16" s="1"/>
  <c r="H357" i="16" s="1"/>
  <c r="J357" i="16" s="1"/>
  <c r="P125" i="16"/>
  <c r="V125" i="16" s="1"/>
  <c r="P165" i="16"/>
  <c r="V165" i="16" s="1"/>
  <c r="F165" i="16" s="1"/>
  <c r="G165" i="16" s="1"/>
  <c r="BY165" i="6" s="1"/>
  <c r="P211" i="16"/>
  <c r="V211" i="16" s="1"/>
  <c r="F211" i="16" s="1"/>
  <c r="G211" i="16" s="1"/>
  <c r="BY211" i="6" s="1"/>
  <c r="P259" i="16"/>
  <c r="V259" i="16" s="1"/>
  <c r="F259" i="16" s="1"/>
  <c r="AA259" i="16" s="1"/>
  <c r="Z259" i="16" s="1"/>
  <c r="Y259" i="16" s="1"/>
  <c r="AD359" i="16"/>
  <c r="AD335" i="16"/>
  <c r="AD311" i="16"/>
  <c r="AD283" i="16"/>
  <c r="AD239" i="16"/>
  <c r="AD215" i="16"/>
  <c r="AD187" i="16"/>
  <c r="AD163" i="16"/>
  <c r="AD95" i="16"/>
  <c r="AD59" i="16"/>
  <c r="P96" i="16"/>
  <c r="V96" i="16" s="1"/>
  <c r="F96" i="16" s="1"/>
  <c r="G96" i="16" s="1"/>
  <c r="BY96" i="6" s="1"/>
  <c r="P120" i="16"/>
  <c r="V120" i="16" s="1"/>
  <c r="F120" i="16" s="1"/>
  <c r="P136" i="16"/>
  <c r="V136" i="16" s="1"/>
  <c r="F136" i="16" s="1"/>
  <c r="G136" i="16" s="1"/>
  <c r="BY136" i="6" s="1"/>
  <c r="P168" i="16"/>
  <c r="V168" i="16" s="1"/>
  <c r="F168" i="16" s="1"/>
  <c r="H168" i="16" s="1"/>
  <c r="P34" i="16"/>
  <c r="V34" i="16" s="1"/>
  <c r="AD352" i="16"/>
  <c r="AD336" i="16"/>
  <c r="AD312" i="16"/>
  <c r="AD292" i="16"/>
  <c r="AD276" i="16"/>
  <c r="AD252" i="16"/>
  <c r="AD228" i="16"/>
  <c r="AD180" i="16"/>
  <c r="AD128" i="16"/>
  <c r="AD104" i="16"/>
  <c r="V333" i="16"/>
  <c r="F333" i="16" s="1"/>
  <c r="H333" i="16" s="1"/>
  <c r="V210" i="16"/>
  <c r="F210" i="16" s="1"/>
  <c r="AA210" i="16" s="1"/>
  <c r="Z210" i="16" s="1"/>
  <c r="Y210" i="16" s="1"/>
  <c r="F243" i="16"/>
  <c r="G243" i="16" s="1"/>
  <c r="BY243" i="6" s="1"/>
  <c r="F51" i="16"/>
  <c r="G51" i="16" s="1"/>
  <c r="BY51" i="6" s="1"/>
  <c r="F138" i="16"/>
  <c r="G138" i="16" s="1"/>
  <c r="BY138" i="6" s="1"/>
  <c r="F325" i="16"/>
  <c r="G325" i="16" s="1"/>
  <c r="BY325" i="6" s="1"/>
  <c r="D48" i="7"/>
  <c r="F287" i="16"/>
  <c r="AA287" i="16" s="1"/>
  <c r="Z287" i="16" s="1"/>
  <c r="Y287" i="16" s="1"/>
  <c r="F328" i="16"/>
  <c r="G328" i="16" s="1"/>
  <c r="BY328" i="6" s="1"/>
  <c r="F224" i="16"/>
  <c r="H224" i="16" s="1"/>
  <c r="I224" i="16" s="1"/>
  <c r="F90" i="16"/>
  <c r="AA90" i="16" s="1"/>
  <c r="Z90" i="16" s="1"/>
  <c r="Y90" i="16" s="1"/>
  <c r="F154" i="16"/>
  <c r="H154" i="16" s="1"/>
  <c r="I154" i="16" s="1"/>
  <c r="F143" i="16"/>
  <c r="G143" i="16" s="1"/>
  <c r="BY143" i="6" s="1"/>
  <c r="F121" i="16"/>
  <c r="G121" i="16" s="1"/>
  <c r="BY121" i="6" s="1"/>
  <c r="H90" i="16"/>
  <c r="I90" i="16" s="1"/>
  <c r="F257" i="16"/>
  <c r="G257" i="16" s="1"/>
  <c r="BY257" i="6" s="1"/>
  <c r="F284" i="16"/>
  <c r="H284" i="16" s="1"/>
  <c r="J284" i="16" s="1"/>
  <c r="F24" i="16"/>
  <c r="G24" i="16" s="1"/>
  <c r="BY24" i="6" s="1"/>
  <c r="F355" i="16"/>
  <c r="H355" i="16" s="1"/>
  <c r="I355" i="16" s="1"/>
  <c r="F307" i="16"/>
  <c r="G307" i="16" s="1"/>
  <c r="BY307" i="6" s="1"/>
  <c r="F271" i="16"/>
  <c r="F67" i="16"/>
  <c r="G67" i="16" s="1"/>
  <c r="BY67" i="6" s="1"/>
  <c r="F362" i="16"/>
  <c r="G362" i="16" s="1"/>
  <c r="BY362" i="6" s="1"/>
  <c r="F200" i="16"/>
  <c r="G200" i="16" s="1"/>
  <c r="BY200" i="6" s="1"/>
  <c r="F114" i="16"/>
  <c r="G114" i="16" s="1"/>
  <c r="BY114" i="6" s="1"/>
  <c r="F293" i="16"/>
  <c r="F213" i="16"/>
  <c r="F19" i="16"/>
  <c r="F368" i="16"/>
  <c r="G368" i="16" s="1"/>
  <c r="BY368" i="6" s="1"/>
  <c r="F304" i="16"/>
  <c r="G304" i="16" s="1"/>
  <c r="BY304" i="6" s="1"/>
  <c r="F242" i="16"/>
  <c r="H242" i="16" s="1"/>
  <c r="J242" i="16" s="1"/>
  <c r="F208" i="16"/>
  <c r="F347" i="16"/>
  <c r="G347" i="16" s="1"/>
  <c r="BY347" i="6" s="1"/>
  <c r="F25" i="16"/>
  <c r="AA25" i="16" s="1"/>
  <c r="Z25" i="16" s="1"/>
  <c r="Y25" i="16" s="1"/>
  <c r="F260" i="16"/>
  <c r="F130" i="16"/>
  <c r="V363" i="16"/>
  <c r="F363" i="16" s="1"/>
  <c r="G363" i="16" s="1"/>
  <c r="BY363" i="6" s="1"/>
  <c r="F81" i="16"/>
  <c r="F316" i="16"/>
  <c r="G316" i="16" s="1"/>
  <c r="BY316" i="6" s="1"/>
  <c r="F278" i="16"/>
  <c r="G278" i="16" s="1"/>
  <c r="BY278" i="6" s="1"/>
  <c r="F182" i="16"/>
  <c r="G182" i="16" s="1"/>
  <c r="BY182" i="6" s="1"/>
  <c r="F106" i="16"/>
  <c r="F369" i="16"/>
  <c r="H369" i="16" s="1"/>
  <c r="J369" i="16" s="1"/>
  <c r="F262" i="16"/>
  <c r="G262" i="16" s="1"/>
  <c r="BY262" i="6" s="1"/>
  <c r="F230" i="16"/>
  <c r="F122" i="16"/>
  <c r="G122" i="16" s="1"/>
  <c r="BY122" i="6" s="1"/>
  <c r="AD373" i="16"/>
  <c r="AD341" i="16"/>
  <c r="AD302" i="16"/>
  <c r="AD270" i="16"/>
  <c r="AD250" i="16"/>
  <c r="AD116" i="16"/>
  <c r="AD68" i="16"/>
  <c r="AD345" i="16"/>
  <c r="AD346" i="16"/>
  <c r="AD286" i="16"/>
  <c r="AD242" i="16"/>
  <c r="AD156" i="16"/>
  <c r="AD102" i="16"/>
  <c r="AD54" i="16"/>
  <c r="AD44" i="16"/>
  <c r="AD20" i="16"/>
  <c r="AD225" i="16"/>
  <c r="AD153" i="16"/>
  <c r="AD77" i="16"/>
  <c r="AD41" i="16"/>
  <c r="AD21" i="16"/>
  <c r="F321" i="16"/>
  <c r="G321" i="16" s="1"/>
  <c r="BY321" i="6" s="1"/>
  <c r="AD164" i="16"/>
  <c r="AD165" i="16"/>
  <c r="AD73" i="16"/>
  <c r="AD49" i="16"/>
  <c r="P30" i="16"/>
  <c r="V30" i="16" s="1"/>
  <c r="AD305" i="16"/>
  <c r="AD237" i="16"/>
  <c r="AD217" i="16"/>
  <c r="AD93" i="16"/>
  <c r="AD61" i="16"/>
  <c r="P38" i="16"/>
  <c r="V38" i="16" s="1"/>
  <c r="AD349" i="16"/>
  <c r="AD309" i="16"/>
  <c r="AD249" i="16"/>
  <c r="AD173" i="16"/>
  <c r="AD125" i="16"/>
  <c r="P172" i="16"/>
  <c r="V172" i="16" s="1"/>
  <c r="P140" i="16"/>
  <c r="P108" i="16"/>
  <c r="V108" i="16" s="1"/>
  <c r="P73" i="16"/>
  <c r="V73" i="16" s="1"/>
  <c r="AD342" i="16"/>
  <c r="AD246" i="16"/>
  <c r="AD142" i="16"/>
  <c r="F359" i="16"/>
  <c r="G359" i="16" s="1"/>
  <c r="BY359" i="6" s="1"/>
  <c r="F315" i="16"/>
  <c r="F185" i="16"/>
  <c r="F161" i="16"/>
  <c r="H161" i="16" s="1"/>
  <c r="J161" i="16" s="1"/>
  <c r="F71" i="16"/>
  <c r="F59" i="16"/>
  <c r="F358" i="16"/>
  <c r="G358" i="16" s="1"/>
  <c r="BY358" i="6" s="1"/>
  <c r="F188" i="16"/>
  <c r="F94" i="16"/>
  <c r="G94" i="16" s="1"/>
  <c r="BY94" i="6" s="1"/>
  <c r="F82" i="16"/>
  <c r="H82" i="16" s="1"/>
  <c r="I82" i="16" s="1"/>
  <c r="F146" i="16"/>
  <c r="G146" i="16" s="1"/>
  <c r="BY146" i="6" s="1"/>
  <c r="F337" i="16"/>
  <c r="G337" i="16" s="1"/>
  <c r="BY337" i="6" s="1"/>
  <c r="F313" i="16"/>
  <c r="G313" i="16" s="1"/>
  <c r="BY313" i="6" s="1"/>
  <c r="F151" i="16"/>
  <c r="F135" i="16"/>
  <c r="F364" i="16"/>
  <c r="H364" i="16" s="1"/>
  <c r="J364" i="16" s="1"/>
  <c r="F318" i="16"/>
  <c r="H318" i="16" s="1"/>
  <c r="J318" i="16" s="1"/>
  <c r="F294" i="16"/>
  <c r="F238" i="16"/>
  <c r="F198" i="16"/>
  <c r="H198" i="16" s="1"/>
  <c r="J198" i="16" s="1"/>
  <c r="F219" i="16"/>
  <c r="G219" i="16" s="1"/>
  <c r="BY219" i="6" s="1"/>
  <c r="P247" i="16"/>
  <c r="V247" i="16" s="1"/>
  <c r="F247" i="16" s="1"/>
  <c r="P97" i="16"/>
  <c r="V97" i="16" s="1"/>
  <c r="AD37" i="16"/>
  <c r="P297" i="16"/>
  <c r="V297" i="16" s="1"/>
  <c r="F297" i="16" s="1"/>
  <c r="P217" i="16"/>
  <c r="P33" i="16"/>
  <c r="V33" i="16" s="1"/>
  <c r="AD370" i="16"/>
  <c r="AD322" i="16"/>
  <c r="AD222" i="16"/>
  <c r="AD46" i="16"/>
  <c r="P123" i="16"/>
  <c r="S192" i="16"/>
  <c r="R192" i="16" s="1"/>
  <c r="P192" i="16" s="1"/>
  <c r="S216" i="16"/>
  <c r="R216" i="16" s="1"/>
  <c r="P216" i="16" s="1"/>
  <c r="S232" i="16"/>
  <c r="R232" i="16" s="1"/>
  <c r="P232" i="16" s="1"/>
  <c r="S240" i="16"/>
  <c r="R240" i="16" s="1"/>
  <c r="P240" i="16" s="1"/>
  <c r="S248" i="16"/>
  <c r="R248" i="16" s="1"/>
  <c r="P248" i="16" s="1"/>
  <c r="S256" i="16"/>
  <c r="R256" i="16" s="1"/>
  <c r="P256" i="16" s="1"/>
  <c r="S264" i="16"/>
  <c r="R264" i="16" s="1"/>
  <c r="P264" i="16" s="1"/>
  <c r="S272" i="16"/>
  <c r="R272" i="16" s="1"/>
  <c r="P272" i="16" s="1"/>
  <c r="S280" i="16"/>
  <c r="R280" i="16" s="1"/>
  <c r="P280" i="16" s="1"/>
  <c r="S288" i="16"/>
  <c r="R288" i="16" s="1"/>
  <c r="P288" i="16" s="1"/>
  <c r="S312" i="16"/>
  <c r="R312" i="16" s="1"/>
  <c r="P312" i="16" s="1"/>
  <c r="S320" i="16"/>
  <c r="R320" i="16" s="1"/>
  <c r="P320" i="16" s="1"/>
  <c r="S336" i="16"/>
  <c r="R336" i="16" s="1"/>
  <c r="P336" i="16" s="1"/>
  <c r="S344" i="16"/>
  <c r="R344" i="16" s="1"/>
  <c r="P344" i="16" s="1"/>
  <c r="S352" i="16"/>
  <c r="R352" i="16" s="1"/>
  <c r="P352" i="16" s="1"/>
  <c r="S360" i="16"/>
  <c r="R360" i="16" s="1"/>
  <c r="P360" i="16" s="1"/>
  <c r="S319" i="16"/>
  <c r="R319" i="16" s="1"/>
  <c r="P319" i="16" s="1"/>
  <c r="S175" i="16"/>
  <c r="R175" i="16" s="1"/>
  <c r="P175" i="16" s="1"/>
  <c r="V175" i="16" s="1"/>
  <c r="F175" i="16" s="1"/>
  <c r="S159" i="16"/>
  <c r="R159" i="16" s="1"/>
  <c r="P159" i="16" s="1"/>
  <c r="U381" i="16"/>
  <c r="U382" i="16"/>
  <c r="T15" i="16"/>
  <c r="U383" i="16"/>
  <c r="P351" i="16"/>
  <c r="P329" i="16"/>
  <c r="P190" i="16"/>
  <c r="P43" i="16"/>
  <c r="V43" i="16" s="1"/>
  <c r="F43" i="16" s="1"/>
  <c r="AA43" i="16" s="1"/>
  <c r="Z43" i="16" s="1"/>
  <c r="Y43" i="16" s="1"/>
  <c r="P129" i="16"/>
  <c r="V129" i="16" s="1"/>
  <c r="F129" i="16" s="1"/>
  <c r="H129" i="16" s="1"/>
  <c r="P145" i="16"/>
  <c r="V145" i="16" s="1"/>
  <c r="F145" i="16" s="1"/>
  <c r="H145" i="16" s="1"/>
  <c r="P201" i="16"/>
  <c r="V201" i="16" s="1"/>
  <c r="F201" i="16" s="1"/>
  <c r="G201" i="16" s="1"/>
  <c r="BY201" i="6" s="1"/>
  <c r="P209" i="16"/>
  <c r="P225" i="16"/>
  <c r="V225" i="16" s="1"/>
  <c r="F225" i="16" s="1"/>
  <c r="H225" i="16" s="1"/>
  <c r="P241" i="16"/>
  <c r="P249" i="16"/>
  <c r="V249" i="16" s="1"/>
  <c r="F249" i="16" s="1"/>
  <c r="G249" i="16" s="1"/>
  <c r="BY249" i="6" s="1"/>
  <c r="P273" i="16"/>
  <c r="V273" i="16" s="1"/>
  <c r="F273" i="16" s="1"/>
  <c r="H273" i="16" s="1"/>
  <c r="P281" i="16"/>
  <c r="V281" i="16" s="1"/>
  <c r="F281" i="16" s="1"/>
  <c r="G281" i="16" s="1"/>
  <c r="BY281" i="6" s="1"/>
  <c r="P63" i="16"/>
  <c r="P86" i="16"/>
  <c r="P142" i="16"/>
  <c r="P150" i="16"/>
  <c r="P158" i="16"/>
  <c r="P166" i="16"/>
  <c r="P174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D129" i="16"/>
  <c r="AD117" i="16"/>
  <c r="AD101" i="16"/>
  <c r="AD89" i="16"/>
  <c r="AD81" i="16"/>
  <c r="AD45" i="16"/>
  <c r="P72" i="16"/>
  <c r="P64" i="16"/>
  <c r="P52" i="16"/>
  <c r="V52" i="16" s="1"/>
  <c r="F52" i="16" s="1"/>
  <c r="G52" i="16" s="1"/>
  <c r="BY52" i="6" s="1"/>
  <c r="P44" i="16"/>
  <c r="P28" i="16"/>
  <c r="V28" i="16" s="1"/>
  <c r="P20" i="16"/>
  <c r="AD374" i="16"/>
  <c r="AD354" i="16"/>
  <c r="AD334" i="16"/>
  <c r="AD326" i="16"/>
  <c r="AA326" i="16" s="1"/>
  <c r="Z326" i="16" s="1"/>
  <c r="Y326" i="16" s="1"/>
  <c r="AD310" i="16"/>
  <c r="AD290" i="16"/>
  <c r="AD278" i="16"/>
  <c r="AD262" i="16"/>
  <c r="AD234" i="16"/>
  <c r="AD226" i="16"/>
  <c r="AA226" i="16" s="1"/>
  <c r="Z226" i="16" s="1"/>
  <c r="Y226" i="16" s="1"/>
  <c r="AD214" i="16"/>
  <c r="AD202" i="16"/>
  <c r="AD194" i="16"/>
  <c r="AD182" i="16"/>
  <c r="AD174" i="16"/>
  <c r="AD166" i="16"/>
  <c r="AD150" i="16"/>
  <c r="AD134" i="16"/>
  <c r="AD86" i="16"/>
  <c r="AD78" i="16"/>
  <c r="AD38" i="16"/>
  <c r="S186" i="16"/>
  <c r="R186" i="16" s="1"/>
  <c r="P186" i="16" s="1"/>
  <c r="S194" i="16"/>
  <c r="R194" i="16" s="1"/>
  <c r="P194" i="16" s="1"/>
  <c r="S202" i="16"/>
  <c r="R202" i="16" s="1"/>
  <c r="P202" i="16" s="1"/>
  <c r="S218" i="16"/>
  <c r="R218" i="16" s="1"/>
  <c r="P218" i="16" s="1"/>
  <c r="S234" i="16"/>
  <c r="R234" i="16" s="1"/>
  <c r="P234" i="16" s="1"/>
  <c r="S250" i="16"/>
  <c r="R250" i="16" s="1"/>
  <c r="P250" i="16" s="1"/>
  <c r="S258" i="16"/>
  <c r="R258" i="16" s="1"/>
  <c r="P258" i="16" s="1"/>
  <c r="S282" i="16"/>
  <c r="R282" i="16" s="1"/>
  <c r="P282" i="16" s="1"/>
  <c r="S290" i="16"/>
  <c r="R290" i="16" s="1"/>
  <c r="P290" i="16" s="1"/>
  <c r="S298" i="16"/>
  <c r="R298" i="16" s="1"/>
  <c r="P298" i="16" s="1"/>
  <c r="S306" i="16"/>
  <c r="R306" i="16" s="1"/>
  <c r="P306" i="16" s="1"/>
  <c r="S314" i="16"/>
  <c r="R314" i="16" s="1"/>
  <c r="P314" i="16" s="1"/>
  <c r="S330" i="16"/>
  <c r="R330" i="16" s="1"/>
  <c r="P330" i="16" s="1"/>
  <c r="S338" i="16"/>
  <c r="R338" i="16" s="1"/>
  <c r="P338" i="16" s="1"/>
  <c r="S346" i="16"/>
  <c r="R346" i="16" s="1"/>
  <c r="P346" i="16" s="1"/>
  <c r="S354" i="16"/>
  <c r="R354" i="16" s="1"/>
  <c r="P354" i="16" s="1"/>
  <c r="S370" i="16"/>
  <c r="R370" i="16" s="1"/>
  <c r="P370" i="16" s="1"/>
  <c r="S323" i="16"/>
  <c r="R323" i="16" s="1"/>
  <c r="P323" i="16" s="1"/>
  <c r="S109" i="16"/>
  <c r="R109" i="16" s="1"/>
  <c r="P109" i="16" s="1"/>
  <c r="S85" i="16"/>
  <c r="R85" i="16" s="1"/>
  <c r="P85" i="16" s="1"/>
  <c r="AI12" i="17"/>
  <c r="AH379" i="16"/>
  <c r="AG291" i="16"/>
  <c r="AF291" i="16" s="1"/>
  <c r="AD291" i="16" s="1"/>
  <c r="AH15" i="16"/>
  <c r="AI383" i="16"/>
  <c r="AI381" i="16"/>
  <c r="AI382" i="16"/>
  <c r="P345" i="16"/>
  <c r="V345" i="16" s="1"/>
  <c r="F345" i="16" s="1"/>
  <c r="G345" i="16" s="1"/>
  <c r="BY345" i="6" s="1"/>
  <c r="P353" i="16"/>
  <c r="V353" i="16" s="1"/>
  <c r="F353" i="16" s="1"/>
  <c r="AA353" i="16" s="1"/>
  <c r="Z353" i="16" s="1"/>
  <c r="Y353" i="16" s="1"/>
  <c r="P361" i="16"/>
  <c r="V361" i="16" s="1"/>
  <c r="F361" i="16" s="1"/>
  <c r="G361" i="16" s="1"/>
  <c r="BY361" i="6" s="1"/>
  <c r="P373" i="16"/>
  <c r="V373" i="16" s="1"/>
  <c r="F373" i="16" s="1"/>
  <c r="P183" i="16"/>
  <c r="P171" i="16"/>
  <c r="P117" i="16"/>
  <c r="V117" i="16" s="1"/>
  <c r="F117" i="16" s="1"/>
  <c r="P105" i="16"/>
  <c r="V105" i="16" s="1"/>
  <c r="F105" i="16" s="1"/>
  <c r="P157" i="16"/>
  <c r="V157" i="16" s="1"/>
  <c r="F157" i="16" s="1"/>
  <c r="G157" i="16" s="1"/>
  <c r="BY157" i="6" s="1"/>
  <c r="P181" i="16"/>
  <c r="V181" i="16" s="1"/>
  <c r="F181" i="16" s="1"/>
  <c r="G181" i="16" s="1"/>
  <c r="BY181" i="6" s="1"/>
  <c r="P191" i="16"/>
  <c r="P203" i="16"/>
  <c r="V203" i="16" s="1"/>
  <c r="F203" i="16" s="1"/>
  <c r="P215" i="16"/>
  <c r="V215" i="16" s="1"/>
  <c r="F215" i="16" s="1"/>
  <c r="G215" i="16" s="1"/>
  <c r="BY215" i="6" s="1"/>
  <c r="P227" i="16"/>
  <c r="V227" i="16" s="1"/>
  <c r="F227" i="16" s="1"/>
  <c r="P239" i="16"/>
  <c r="V239" i="16" s="1"/>
  <c r="F239" i="16" s="1"/>
  <c r="G239" i="16" s="1"/>
  <c r="BY239" i="6" s="1"/>
  <c r="P255" i="16"/>
  <c r="V255" i="16" s="1"/>
  <c r="F255" i="16" s="1"/>
  <c r="P263" i="16"/>
  <c r="P279" i="16"/>
  <c r="V279" i="16" s="1"/>
  <c r="F279" i="16" s="1"/>
  <c r="H279" i="16" s="1"/>
  <c r="P291" i="16"/>
  <c r="P303" i="16"/>
  <c r="V303" i="16" s="1"/>
  <c r="F303" i="16" s="1"/>
  <c r="P115" i="16"/>
  <c r="P99" i="16"/>
  <c r="P39" i="16"/>
  <c r="AD371" i="16"/>
  <c r="AD351" i="16"/>
  <c r="AD343" i="16"/>
  <c r="AD323" i="16"/>
  <c r="AD315" i="16"/>
  <c r="AD307" i="16"/>
  <c r="AD299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49" i="16"/>
  <c r="P80" i="16"/>
  <c r="P100" i="16"/>
  <c r="P116" i="16"/>
  <c r="P124" i="16"/>
  <c r="P132" i="16"/>
  <c r="P144" i="16"/>
  <c r="P156" i="16"/>
  <c r="P164" i="16"/>
  <c r="P180" i="16"/>
  <c r="P74" i="16"/>
  <c r="V74" i="16" s="1"/>
  <c r="P46" i="16"/>
  <c r="V46" i="16" s="1"/>
  <c r="P26" i="16"/>
  <c r="AD376" i="16"/>
  <c r="AA376" i="16" s="1"/>
  <c r="Z376" i="16" s="1"/>
  <c r="Y376" i="16" s="1"/>
  <c r="AD356" i="16"/>
  <c r="AD348" i="16"/>
  <c r="AD340" i="16"/>
  <c r="AD332" i="16"/>
  <c r="AD316" i="16"/>
  <c r="AD308" i="16"/>
  <c r="AD296" i="16"/>
  <c r="AD288" i="16"/>
  <c r="AD280" i="16"/>
  <c r="AD272" i="16"/>
  <c r="AD264" i="16"/>
  <c r="AD248" i="16"/>
  <c r="AD236" i="16"/>
  <c r="AD216" i="16"/>
  <c r="AD184" i="16"/>
  <c r="AD172" i="16"/>
  <c r="AD152" i="16"/>
  <c r="AD136" i="16"/>
  <c r="AD124" i="16"/>
  <c r="AD108" i="16"/>
  <c r="AD100" i="16"/>
  <c r="AD80" i="16"/>
  <c r="AD72" i="16"/>
  <c r="AD40" i="16"/>
  <c r="AD32" i="16"/>
  <c r="S196" i="16"/>
  <c r="R196" i="16" s="1"/>
  <c r="P196" i="16" s="1"/>
  <c r="S204" i="16"/>
  <c r="R204" i="16" s="1"/>
  <c r="P204" i="16" s="1"/>
  <c r="S220" i="16"/>
  <c r="R220" i="16" s="1"/>
  <c r="P220" i="16" s="1"/>
  <c r="S236" i="16"/>
  <c r="R236" i="16" s="1"/>
  <c r="P236" i="16" s="1"/>
  <c r="S244" i="16"/>
  <c r="R244" i="16" s="1"/>
  <c r="P244" i="16" s="1"/>
  <c r="S252" i="16"/>
  <c r="R252" i="16" s="1"/>
  <c r="P252" i="16" s="1"/>
  <c r="S268" i="16"/>
  <c r="R268" i="16" s="1"/>
  <c r="P268" i="16" s="1"/>
  <c r="S276" i="16"/>
  <c r="R276" i="16" s="1"/>
  <c r="P276" i="16" s="1"/>
  <c r="S292" i="16"/>
  <c r="R292" i="16" s="1"/>
  <c r="P292" i="16" s="1"/>
  <c r="S324" i="16"/>
  <c r="R324" i="16" s="1"/>
  <c r="P324" i="16" s="1"/>
  <c r="S332" i="16"/>
  <c r="R332" i="16" s="1"/>
  <c r="P332" i="16" s="1"/>
  <c r="S340" i="16"/>
  <c r="R340" i="16" s="1"/>
  <c r="P340" i="16" s="1"/>
  <c r="S348" i="16"/>
  <c r="R348" i="16" s="1"/>
  <c r="P348" i="16" s="1"/>
  <c r="S356" i="16"/>
  <c r="R356" i="16" s="1"/>
  <c r="P356" i="16" s="1"/>
  <c r="S327" i="16"/>
  <c r="R327" i="16" s="1"/>
  <c r="P327" i="16" s="1"/>
  <c r="S167" i="16"/>
  <c r="R167" i="16" s="1"/>
  <c r="P167" i="16" s="1"/>
  <c r="P343" i="16"/>
  <c r="P375" i="16"/>
  <c r="V375" i="16" s="1"/>
  <c r="F375" i="16" s="1"/>
  <c r="H375" i="16" s="1"/>
  <c r="J375" i="16" s="1"/>
  <c r="P76" i="16"/>
  <c r="P68" i="16"/>
  <c r="P60" i="16"/>
  <c r="S206" i="16"/>
  <c r="R206" i="16" s="1"/>
  <c r="P206" i="16" s="1"/>
  <c r="S214" i="16"/>
  <c r="R214" i="16" s="1"/>
  <c r="P214" i="16" s="1"/>
  <c r="S246" i="16"/>
  <c r="R246" i="16" s="1"/>
  <c r="P246" i="16" s="1"/>
  <c r="S254" i="16"/>
  <c r="R254" i="16" s="1"/>
  <c r="P254" i="16" s="1"/>
  <c r="S270" i="16"/>
  <c r="R270" i="16" s="1"/>
  <c r="P270" i="16" s="1"/>
  <c r="S286" i="16"/>
  <c r="R286" i="16" s="1"/>
  <c r="P286" i="16" s="1"/>
  <c r="S302" i="16"/>
  <c r="R302" i="16" s="1"/>
  <c r="P302" i="16" s="1"/>
  <c r="S334" i="16"/>
  <c r="R334" i="16" s="1"/>
  <c r="P334" i="16" s="1"/>
  <c r="S350" i="16"/>
  <c r="R350" i="16" s="1"/>
  <c r="P350" i="16" s="1"/>
  <c r="S366" i="16"/>
  <c r="R366" i="16" s="1"/>
  <c r="P366" i="16" s="1"/>
  <c r="P16" i="7"/>
  <c r="V11" i="7" s="1"/>
  <c r="U11" i="17" s="1"/>
  <c r="T379" i="16"/>
  <c r="S379" i="16" s="1"/>
  <c r="R379" i="16" s="1"/>
  <c r="P379" i="16" s="1"/>
  <c r="U12" i="17"/>
  <c r="U16" i="7" s="1"/>
  <c r="S331" i="16"/>
  <c r="R331" i="16" s="1"/>
  <c r="P331" i="16" s="1"/>
  <c r="P377" i="16"/>
  <c r="V377" i="16" s="1"/>
  <c r="F377" i="16" s="1"/>
  <c r="P155" i="16"/>
  <c r="V155" i="16" s="1"/>
  <c r="F155" i="16" s="1"/>
  <c r="H155" i="16" s="1"/>
  <c r="P23" i="16"/>
  <c r="P187" i="16"/>
  <c r="V187" i="16" s="1"/>
  <c r="F187" i="16" s="1"/>
  <c r="G187" i="16" s="1"/>
  <c r="BY187" i="6" s="1"/>
  <c r="P235" i="16"/>
  <c r="V235" i="16" s="1"/>
  <c r="F235" i="16" s="1"/>
  <c r="P251" i="16"/>
  <c r="V251" i="16" s="1"/>
  <c r="F251" i="16" s="1"/>
  <c r="G251" i="16" s="1"/>
  <c r="BY251" i="6" s="1"/>
  <c r="P267" i="16"/>
  <c r="V267" i="16" s="1"/>
  <c r="F267" i="16" s="1"/>
  <c r="P283" i="16"/>
  <c r="V283" i="16" s="1"/>
  <c r="F283" i="16" s="1"/>
  <c r="H283" i="16" s="1"/>
  <c r="P295" i="16"/>
  <c r="P311" i="16"/>
  <c r="V311" i="16" s="1"/>
  <c r="F311" i="16" s="1"/>
  <c r="G311" i="16" s="1"/>
  <c r="BY311" i="6" s="1"/>
  <c r="P107" i="16"/>
  <c r="P55" i="16"/>
  <c r="P41" i="16"/>
  <c r="P65" i="16"/>
  <c r="P148" i="16"/>
  <c r="P78" i="16"/>
  <c r="V78" i="16" s="1"/>
  <c r="P22" i="16"/>
  <c r="AD148" i="16"/>
  <c r="AD92" i="16"/>
  <c r="AD76" i="16"/>
  <c r="AD36" i="16"/>
  <c r="AD28" i="16"/>
  <c r="I288" i="15"/>
  <c r="Q320" i="17"/>
  <c r="G226" i="16"/>
  <c r="BY226" i="6" s="1"/>
  <c r="I136" i="15"/>
  <c r="Q312" i="17"/>
  <c r="G326" i="16"/>
  <c r="BY326" i="6" s="1"/>
  <c r="I241" i="15"/>
  <c r="J241" i="15"/>
  <c r="H178" i="16"/>
  <c r="J178" i="16" s="1"/>
  <c r="H98" i="16"/>
  <c r="I98" i="16" s="1"/>
  <c r="H376" i="16"/>
  <c r="I376" i="16" s="1"/>
  <c r="G163" i="16"/>
  <c r="BY163" i="6" s="1"/>
  <c r="Q348" i="17"/>
  <c r="Q280" i="17"/>
  <c r="Q136" i="17"/>
  <c r="G169" i="16"/>
  <c r="BY169" i="6" s="1"/>
  <c r="I108" i="15"/>
  <c r="H169" i="16"/>
  <c r="J169" i="16" s="1"/>
  <c r="G178" i="16"/>
  <c r="BY178" i="6" s="1"/>
  <c r="G193" i="16"/>
  <c r="BY193" i="6" s="1"/>
  <c r="H193" i="16"/>
  <c r="G245" i="16"/>
  <c r="BY245" i="6" s="1"/>
  <c r="H245" i="16"/>
  <c r="H265" i="16"/>
  <c r="G301" i="16"/>
  <c r="BY301" i="6" s="1"/>
  <c r="H301" i="16"/>
  <c r="Q112" i="17"/>
  <c r="F149" i="16"/>
  <c r="H149" i="16" s="1"/>
  <c r="F93" i="16"/>
  <c r="G93" i="16" s="1"/>
  <c r="BY93" i="6" s="1"/>
  <c r="F378" i="16"/>
  <c r="H378" i="16" s="1"/>
  <c r="F372" i="16"/>
  <c r="F342" i="16"/>
  <c r="H342" i="16" s="1"/>
  <c r="F322" i="16"/>
  <c r="F308" i="16"/>
  <c r="F274" i="16"/>
  <c r="G274" i="16" s="1"/>
  <c r="BY274" i="6" s="1"/>
  <c r="F31" i="16"/>
  <c r="G31" i="16" s="1"/>
  <c r="BY31" i="6" s="1"/>
  <c r="F310" i="16"/>
  <c r="F199" i="16"/>
  <c r="F374" i="16"/>
  <c r="F222" i="16"/>
  <c r="H222" i="16" s="1"/>
  <c r="F197" i="16"/>
  <c r="F21" i="16"/>
  <c r="G21" i="16" s="1"/>
  <c r="BY21" i="6" s="1"/>
  <c r="F296" i="16"/>
  <c r="F233" i="16"/>
  <c r="H233" i="16" s="1"/>
  <c r="F212" i="16"/>
  <c r="G212" i="16" s="1"/>
  <c r="BY212" i="6" s="1"/>
  <c r="F139" i="16"/>
  <c r="F42" i="16"/>
  <c r="AA42" i="16" s="1"/>
  <c r="Z42" i="16" s="1"/>
  <c r="Y42" i="16" s="1"/>
  <c r="F18" i="16"/>
  <c r="H18" i="16" s="1"/>
  <c r="J18" i="16" s="1"/>
  <c r="F341" i="16"/>
  <c r="H341" i="16" s="1"/>
  <c r="F299" i="16"/>
  <c r="G299" i="16" s="1"/>
  <c r="BY299" i="6" s="1"/>
  <c r="F173" i="16"/>
  <c r="G173" i="16" s="1"/>
  <c r="BY173" i="6" s="1"/>
  <c r="Q29" i="17"/>
  <c r="Q47" i="17"/>
  <c r="Q63" i="17"/>
  <c r="Q79" i="17"/>
  <c r="Q95" i="17"/>
  <c r="Q111" i="17"/>
  <c r="Q127" i="17"/>
  <c r="Q143" i="17"/>
  <c r="Q159" i="17"/>
  <c r="Q175" i="17"/>
  <c r="Q191" i="17"/>
  <c r="Q207" i="17"/>
  <c r="Q223" i="17"/>
  <c r="Q239" i="17"/>
  <c r="Q253" i="17"/>
  <c r="Q261" i="17"/>
  <c r="Q269" i="17"/>
  <c r="Q277" i="17"/>
  <c r="Q285" i="17"/>
  <c r="Q34" i="17"/>
  <c r="Q50" i="17"/>
  <c r="Q66" i="17"/>
  <c r="Q82" i="17"/>
  <c r="Q98" i="17"/>
  <c r="Q114" i="17"/>
  <c r="Q130" i="17"/>
  <c r="Q146" i="17"/>
  <c r="Q162" i="17"/>
  <c r="Q178" i="17"/>
  <c r="Q194" i="17"/>
  <c r="Q210" i="17"/>
  <c r="Q226" i="17"/>
  <c r="Q242" i="17"/>
  <c r="Q258" i="17"/>
  <c r="Q274" i="17"/>
  <c r="Q289" i="17"/>
  <c r="Q297" i="17"/>
  <c r="Q305" i="17"/>
  <c r="Q313" i="17"/>
  <c r="Q321" i="17"/>
  <c r="Q329" i="17"/>
  <c r="Q337" i="17"/>
  <c r="Q345" i="17"/>
  <c r="Q353" i="17"/>
  <c r="Q361" i="17"/>
  <c r="Q369" i="17"/>
  <c r="Q377" i="17"/>
  <c r="Q370" i="17"/>
  <c r="Q354" i="17"/>
  <c r="Q338" i="17"/>
  <c r="Q322" i="17"/>
  <c r="Q306" i="17"/>
  <c r="Q290" i="17"/>
  <c r="Q260" i="17"/>
  <c r="Q228" i="17"/>
  <c r="Q196" i="17"/>
  <c r="Q164" i="17"/>
  <c r="Q132" i="17"/>
  <c r="Q100" i="17"/>
  <c r="Q68" i="17"/>
  <c r="Q36" i="17"/>
  <c r="F266" i="16"/>
  <c r="O381" i="23"/>
  <c r="O382" i="23"/>
  <c r="O383" i="23"/>
  <c r="AC383" i="22"/>
  <c r="AC381" i="22"/>
  <c r="AC382" i="22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28" i="17"/>
  <c r="Q20" i="17"/>
  <c r="F75" i="16"/>
  <c r="G75" i="16" s="1"/>
  <c r="BY75" i="6" s="1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J226" i="16"/>
  <c r="I226" i="16"/>
  <c r="AE372" i="17"/>
  <c r="AE364" i="17"/>
  <c r="AE356" i="17"/>
  <c r="AE348" i="17"/>
  <c r="AE340" i="17"/>
  <c r="AE332" i="17"/>
  <c r="AE324" i="17"/>
  <c r="AE316" i="17"/>
  <c r="AE308" i="17"/>
  <c r="AE300" i="17"/>
  <c r="AE292" i="17"/>
  <c r="AE284" i="17"/>
  <c r="AE276" i="17"/>
  <c r="AE268" i="17"/>
  <c r="AE264" i="17"/>
  <c r="AE260" i="17"/>
  <c r="AE256" i="17"/>
  <c r="AE252" i="17"/>
  <c r="AE248" i="17"/>
  <c r="AE244" i="17"/>
  <c r="AE240" i="17"/>
  <c r="AE236" i="17"/>
  <c r="AE232" i="17"/>
  <c r="AE228" i="17"/>
  <c r="AE224" i="17"/>
  <c r="AE220" i="17"/>
  <c r="AE216" i="17"/>
  <c r="AE212" i="17"/>
  <c r="AE208" i="17"/>
  <c r="AE204" i="17"/>
  <c r="AE200" i="17"/>
  <c r="AE196" i="17"/>
  <c r="AE192" i="17"/>
  <c r="AE188" i="17"/>
  <c r="AE184" i="17"/>
  <c r="AE180" i="17"/>
  <c r="AE176" i="17"/>
  <c r="AE172" i="17"/>
  <c r="AE168" i="17"/>
  <c r="AE164" i="17"/>
  <c r="AE160" i="17"/>
  <c r="AE156" i="17"/>
  <c r="AE152" i="17"/>
  <c r="AE148" i="17"/>
  <c r="AE144" i="17"/>
  <c r="AE140" i="17"/>
  <c r="AE136" i="17"/>
  <c r="AE132" i="17"/>
  <c r="AE128" i="17"/>
  <c r="AE124" i="17"/>
  <c r="AE120" i="17"/>
  <c r="AE116" i="17"/>
  <c r="AE112" i="17"/>
  <c r="AE108" i="17"/>
  <c r="AE104" i="17"/>
  <c r="AE100" i="17"/>
  <c r="AE96" i="17"/>
  <c r="AE92" i="17"/>
  <c r="AE88" i="17"/>
  <c r="AE84" i="17"/>
  <c r="AE80" i="17"/>
  <c r="AE76" i="17"/>
  <c r="AE72" i="17"/>
  <c r="AE68" i="17"/>
  <c r="AE64" i="17"/>
  <c r="AE60" i="17"/>
  <c r="AE56" i="17"/>
  <c r="AE52" i="17"/>
  <c r="AE48" i="17"/>
  <c r="AE44" i="17"/>
  <c r="AE40" i="17"/>
  <c r="AE36" i="17"/>
  <c r="AE32" i="17"/>
  <c r="AE28" i="17"/>
  <c r="AE24" i="17"/>
  <c r="AE20" i="17"/>
  <c r="AE17" i="17"/>
  <c r="L382" i="22"/>
  <c r="L381" i="22"/>
  <c r="L383" i="22"/>
  <c r="I197" i="15"/>
  <c r="J197" i="15"/>
  <c r="G289" i="16"/>
  <c r="BY289" i="6" s="1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I326" i="16"/>
  <c r="J326" i="16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5" i="17"/>
  <c r="AE371" i="17"/>
  <c r="AE367" i="17"/>
  <c r="AE363" i="17"/>
  <c r="AE359" i="17"/>
  <c r="AE355" i="17"/>
  <c r="AE351" i="17"/>
  <c r="AE347" i="17"/>
  <c r="AE343" i="17"/>
  <c r="AE339" i="17"/>
  <c r="AE335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31" i="17"/>
  <c r="AE27" i="17"/>
  <c r="AE23" i="17"/>
  <c r="AE16" i="17"/>
  <c r="AE18" i="17"/>
  <c r="I264" i="15"/>
  <c r="J264" i="15"/>
  <c r="F69" i="16" l="1"/>
  <c r="G69" i="16" s="1"/>
  <c r="BY69" i="6" s="1"/>
  <c r="AA265" i="16"/>
  <c r="Z265" i="16" s="1"/>
  <c r="Y265" i="16" s="1"/>
  <c r="AA163" i="16"/>
  <c r="Z163" i="16" s="1"/>
  <c r="Y163" i="16" s="1"/>
  <c r="AA98" i="16"/>
  <c r="Z98" i="16" s="1"/>
  <c r="Y98" i="16" s="1"/>
  <c r="V153" i="16"/>
  <c r="F153" i="16" s="1"/>
  <c r="Q31" i="17"/>
  <c r="Q336" i="17"/>
  <c r="Q256" i="17"/>
  <c r="Q304" i="17"/>
  <c r="Q352" i="17"/>
  <c r="Q288" i="17"/>
  <c r="Q152" i="17"/>
  <c r="Q360" i="17"/>
  <c r="Q328" i="17"/>
  <c r="Q296" i="17"/>
  <c r="Q240" i="17"/>
  <c r="Q176" i="17"/>
  <c r="Q56" i="17"/>
  <c r="Q372" i="17"/>
  <c r="Q356" i="17"/>
  <c r="Q340" i="17"/>
  <c r="Q324" i="17"/>
  <c r="Q308" i="17"/>
  <c r="Q292" i="17"/>
  <c r="Q264" i="17"/>
  <c r="Q232" i="17"/>
  <c r="Q200" i="17"/>
  <c r="Q168" i="17"/>
  <c r="Q104" i="17"/>
  <c r="Q40" i="17"/>
  <c r="Q160" i="17"/>
  <c r="Q128" i="17"/>
  <c r="Q96" i="17"/>
  <c r="Q64" i="17"/>
  <c r="Q17" i="17"/>
  <c r="Q25" i="17"/>
  <c r="Q33" i="17"/>
  <c r="Q37" i="17"/>
  <c r="Q41" i="17"/>
  <c r="Q45" i="17"/>
  <c r="Q49" i="17"/>
  <c r="Q53" i="17"/>
  <c r="Q57" i="17"/>
  <c r="Q61" i="17"/>
  <c r="Q65" i="17"/>
  <c r="Q69" i="17"/>
  <c r="Q73" i="17"/>
  <c r="Q77" i="17"/>
  <c r="Q81" i="17"/>
  <c r="Q85" i="17"/>
  <c r="Q89" i="17"/>
  <c r="Q93" i="17"/>
  <c r="Q97" i="17"/>
  <c r="Q101" i="17"/>
  <c r="Q105" i="17"/>
  <c r="Q109" i="17"/>
  <c r="Q113" i="17"/>
  <c r="Q117" i="17"/>
  <c r="Q121" i="17"/>
  <c r="Q125" i="17"/>
  <c r="Q129" i="17"/>
  <c r="Q133" i="17"/>
  <c r="Q137" i="17"/>
  <c r="Q141" i="17"/>
  <c r="Q145" i="17"/>
  <c r="Q149" i="17"/>
  <c r="Q153" i="17"/>
  <c r="Q157" i="17"/>
  <c r="Q161" i="17"/>
  <c r="Q165" i="17"/>
  <c r="Q169" i="17"/>
  <c r="Q173" i="17"/>
  <c r="Q177" i="17"/>
  <c r="Q181" i="17"/>
  <c r="Q185" i="17"/>
  <c r="Q189" i="17"/>
  <c r="Q193" i="17"/>
  <c r="Q197" i="17"/>
  <c r="Q201" i="17"/>
  <c r="Q205" i="17"/>
  <c r="Q209" i="17"/>
  <c r="Q213" i="17"/>
  <c r="Q217" i="17"/>
  <c r="Q221" i="17"/>
  <c r="Q225" i="17"/>
  <c r="Q229" i="17"/>
  <c r="Q233" i="17"/>
  <c r="Q237" i="17"/>
  <c r="Q241" i="17"/>
  <c r="Q245" i="17"/>
  <c r="Q249" i="17"/>
  <c r="Q192" i="17"/>
  <c r="Q224" i="17"/>
  <c r="Q344" i="17"/>
  <c r="Q272" i="17"/>
  <c r="Q120" i="17"/>
  <c r="Q88" i="17"/>
  <c r="Q364" i="17"/>
  <c r="Q332" i="17"/>
  <c r="Q300" i="17"/>
  <c r="Q248" i="17"/>
  <c r="Q184" i="17"/>
  <c r="Q72" i="17"/>
  <c r="Q144" i="17"/>
  <c r="Q80" i="17"/>
  <c r="Q21" i="17"/>
  <c r="Q35" i="17"/>
  <c r="Q43" i="17"/>
  <c r="Q51" i="17"/>
  <c r="Q59" i="17"/>
  <c r="Q67" i="17"/>
  <c r="Q75" i="17"/>
  <c r="Q83" i="17"/>
  <c r="Q91" i="17"/>
  <c r="Q99" i="17"/>
  <c r="Q107" i="17"/>
  <c r="Q115" i="17"/>
  <c r="Q123" i="17"/>
  <c r="Q131" i="17"/>
  <c r="Q139" i="17"/>
  <c r="Q147" i="17"/>
  <c r="Q155" i="17"/>
  <c r="Q163" i="17"/>
  <c r="Q171" i="17"/>
  <c r="Q179" i="17"/>
  <c r="Q187" i="17"/>
  <c r="Q195" i="17"/>
  <c r="Q203" i="17"/>
  <c r="Q211" i="17"/>
  <c r="Q219" i="17"/>
  <c r="Q227" i="17"/>
  <c r="Q235" i="17"/>
  <c r="Q243" i="17"/>
  <c r="Q251" i="17"/>
  <c r="Q255" i="17"/>
  <c r="Q259" i="17"/>
  <c r="Q263" i="17"/>
  <c r="Q267" i="17"/>
  <c r="Q271" i="17"/>
  <c r="Q275" i="17"/>
  <c r="Q279" i="17"/>
  <c r="Q283" i="17"/>
  <c r="Q287" i="17"/>
  <c r="Q27" i="17"/>
  <c r="Q38" i="17"/>
  <c r="Q46" i="17"/>
  <c r="Q54" i="17"/>
  <c r="Q62" i="17"/>
  <c r="Q70" i="17"/>
  <c r="Q78" i="17"/>
  <c r="Q86" i="17"/>
  <c r="Q94" i="17"/>
  <c r="Q102" i="17"/>
  <c r="Q110" i="17"/>
  <c r="Q118" i="17"/>
  <c r="Q126" i="17"/>
  <c r="Q134" i="17"/>
  <c r="Q142" i="17"/>
  <c r="Q150" i="17"/>
  <c r="Q158" i="17"/>
  <c r="Q166" i="17"/>
  <c r="Q174" i="17"/>
  <c r="Q182" i="17"/>
  <c r="Q190" i="17"/>
  <c r="Q198" i="17"/>
  <c r="Q206" i="17"/>
  <c r="Q214" i="17"/>
  <c r="Q222" i="17"/>
  <c r="Q230" i="17"/>
  <c r="Q238" i="17"/>
  <c r="Q246" i="17"/>
  <c r="Q254" i="17"/>
  <c r="Q262" i="17"/>
  <c r="Q270" i="17"/>
  <c r="Q278" i="17"/>
  <c r="Q286" i="17"/>
  <c r="Q291" i="17"/>
  <c r="Q295" i="17"/>
  <c r="Q299" i="17"/>
  <c r="Q303" i="17"/>
  <c r="Q307" i="17"/>
  <c r="Q311" i="17"/>
  <c r="Q315" i="17"/>
  <c r="Q319" i="17"/>
  <c r="Q323" i="17"/>
  <c r="Q327" i="17"/>
  <c r="Q331" i="17"/>
  <c r="Q335" i="17"/>
  <c r="Q339" i="17"/>
  <c r="Q343" i="17"/>
  <c r="Q347" i="17"/>
  <c r="Q351" i="17"/>
  <c r="Q355" i="17"/>
  <c r="Q359" i="17"/>
  <c r="Q363" i="17"/>
  <c r="Q367" i="17"/>
  <c r="Q371" i="17"/>
  <c r="Q375" i="17"/>
  <c r="Q379" i="17"/>
  <c r="Q12" i="18" s="1"/>
  <c r="Q374" i="17"/>
  <c r="Q366" i="17"/>
  <c r="Q358" i="17"/>
  <c r="Q350" i="17"/>
  <c r="Q342" i="17"/>
  <c r="Q334" i="17"/>
  <c r="Q326" i="17"/>
  <c r="Q318" i="17"/>
  <c r="Q310" i="17"/>
  <c r="Q302" i="17"/>
  <c r="Q294" i="17"/>
  <c r="Q284" i="17"/>
  <c r="Q268" i="17"/>
  <c r="Q252" i="17"/>
  <c r="Q236" i="17"/>
  <c r="Q220" i="17"/>
  <c r="Q204" i="17"/>
  <c r="Q188" i="17"/>
  <c r="Q172" i="17"/>
  <c r="Q156" i="17"/>
  <c r="Q140" i="17"/>
  <c r="Q124" i="17"/>
  <c r="Q108" i="17"/>
  <c r="Q92" i="17"/>
  <c r="Q76" i="17"/>
  <c r="Q60" i="17"/>
  <c r="Q44" i="17"/>
  <c r="Q23" i="17"/>
  <c r="Q30" i="17"/>
  <c r="Q26" i="17"/>
  <c r="Q22" i="17"/>
  <c r="Q16" i="17"/>
  <c r="Q18" i="17"/>
  <c r="AE378" i="17"/>
  <c r="AE374" i="17"/>
  <c r="AE370" i="17"/>
  <c r="AE366" i="17"/>
  <c r="AE362" i="17"/>
  <c r="AE358" i="17"/>
  <c r="AE354" i="17"/>
  <c r="AE350" i="17"/>
  <c r="AE346" i="17"/>
  <c r="AE342" i="17"/>
  <c r="AE338" i="17"/>
  <c r="AE334" i="17"/>
  <c r="AE330" i="17"/>
  <c r="AE326" i="17"/>
  <c r="AE322" i="17"/>
  <c r="AE318" i="17"/>
  <c r="AE314" i="17"/>
  <c r="AE310" i="17"/>
  <c r="AE306" i="17"/>
  <c r="AE302" i="17"/>
  <c r="AE298" i="17"/>
  <c r="AE294" i="17"/>
  <c r="AE290" i="17"/>
  <c r="AE286" i="17"/>
  <c r="AE282" i="17"/>
  <c r="AE278" i="17"/>
  <c r="AE274" i="17"/>
  <c r="AE270" i="17"/>
  <c r="AE15" i="17"/>
  <c r="AE21" i="17"/>
  <c r="AE25" i="17"/>
  <c r="AE29" i="17"/>
  <c r="AE33" i="17"/>
  <c r="AE37" i="17"/>
  <c r="AE41" i="17"/>
  <c r="AE45" i="17"/>
  <c r="AE49" i="17"/>
  <c r="AE53" i="17"/>
  <c r="AE57" i="17"/>
  <c r="AE61" i="17"/>
  <c r="AE65" i="17"/>
  <c r="AE69" i="17"/>
  <c r="AE73" i="17"/>
  <c r="AE77" i="17"/>
  <c r="AE81" i="17"/>
  <c r="AE85" i="17"/>
  <c r="AE89" i="17"/>
  <c r="AE93" i="17"/>
  <c r="AE97" i="17"/>
  <c r="AE101" i="17"/>
  <c r="AE105" i="17"/>
  <c r="AE109" i="17"/>
  <c r="AE113" i="17"/>
  <c r="AE117" i="17"/>
  <c r="AE121" i="17"/>
  <c r="AE125" i="17"/>
  <c r="AE129" i="17"/>
  <c r="AE133" i="17"/>
  <c r="AE137" i="17"/>
  <c r="AE141" i="17"/>
  <c r="AE145" i="17"/>
  <c r="AE149" i="17"/>
  <c r="AE153" i="17"/>
  <c r="AE157" i="17"/>
  <c r="AE161" i="17"/>
  <c r="AE165" i="17"/>
  <c r="AE169" i="17"/>
  <c r="AE173" i="17"/>
  <c r="AE177" i="17"/>
  <c r="AE181" i="17"/>
  <c r="AE185" i="17"/>
  <c r="AE189" i="17"/>
  <c r="AE193" i="17"/>
  <c r="AE197" i="17"/>
  <c r="AE201" i="17"/>
  <c r="AE205" i="17"/>
  <c r="AE209" i="17"/>
  <c r="AE213" i="17"/>
  <c r="AE217" i="17"/>
  <c r="AE221" i="17"/>
  <c r="AE225" i="17"/>
  <c r="AE229" i="17"/>
  <c r="AE233" i="17"/>
  <c r="AE237" i="17"/>
  <c r="AE241" i="17"/>
  <c r="AE245" i="17"/>
  <c r="AE249" i="17"/>
  <c r="AE253" i="17"/>
  <c r="AE257" i="17"/>
  <c r="AE261" i="17"/>
  <c r="AE265" i="17"/>
  <c r="AE269" i="17"/>
  <c r="AE273" i="17"/>
  <c r="AE277" i="17"/>
  <c r="AE281" i="17"/>
  <c r="AE285" i="17"/>
  <c r="AE289" i="17"/>
  <c r="AE293" i="17"/>
  <c r="AE297" i="17"/>
  <c r="AE301" i="17"/>
  <c r="AE305" i="17"/>
  <c r="AE309" i="17"/>
  <c r="AE313" i="17"/>
  <c r="AE317" i="17"/>
  <c r="AE321" i="17"/>
  <c r="AE325" i="17"/>
  <c r="AE329" i="17"/>
  <c r="AE333" i="17"/>
  <c r="AE337" i="17"/>
  <c r="AE341" i="17"/>
  <c r="AE345" i="17"/>
  <c r="AE349" i="17"/>
  <c r="AE353" i="17"/>
  <c r="AE357" i="17"/>
  <c r="AE361" i="17"/>
  <c r="AE365" i="17"/>
  <c r="AE369" i="17"/>
  <c r="AE373" i="17"/>
  <c r="AE377" i="17"/>
  <c r="AE19" i="17"/>
  <c r="AE22" i="17"/>
  <c r="AE26" i="17"/>
  <c r="AE30" i="17"/>
  <c r="AE34" i="17"/>
  <c r="AE38" i="17"/>
  <c r="AE42" i="17"/>
  <c r="AE46" i="17"/>
  <c r="AE50" i="17"/>
  <c r="AE54" i="17"/>
  <c r="AE58" i="17"/>
  <c r="AE62" i="17"/>
  <c r="AE66" i="17"/>
  <c r="AE70" i="17"/>
  <c r="AE74" i="17"/>
  <c r="AE78" i="17"/>
  <c r="AE82" i="17"/>
  <c r="AE86" i="17"/>
  <c r="AE90" i="17"/>
  <c r="AE94" i="17"/>
  <c r="AE98" i="17"/>
  <c r="AE102" i="17"/>
  <c r="AE106" i="17"/>
  <c r="AE110" i="17"/>
  <c r="AE114" i="17"/>
  <c r="AE118" i="17"/>
  <c r="AE122" i="17"/>
  <c r="AE126" i="17"/>
  <c r="AE130" i="17"/>
  <c r="AE134" i="17"/>
  <c r="AE138" i="17"/>
  <c r="AE142" i="17"/>
  <c r="AE146" i="17"/>
  <c r="AE150" i="17"/>
  <c r="AE154" i="17"/>
  <c r="AE158" i="17"/>
  <c r="AE162" i="17"/>
  <c r="AE166" i="17"/>
  <c r="AE170" i="17"/>
  <c r="AE174" i="17"/>
  <c r="AE178" i="17"/>
  <c r="AE182" i="17"/>
  <c r="AE186" i="17"/>
  <c r="AE190" i="17"/>
  <c r="AE194" i="17"/>
  <c r="AE198" i="17"/>
  <c r="AE202" i="17"/>
  <c r="AE206" i="17"/>
  <c r="AE210" i="17"/>
  <c r="AE214" i="17"/>
  <c r="AE218" i="17"/>
  <c r="AE222" i="17"/>
  <c r="AE226" i="17"/>
  <c r="AE230" i="17"/>
  <c r="AE234" i="17"/>
  <c r="AE238" i="17"/>
  <c r="AE242" i="17"/>
  <c r="AE246" i="17"/>
  <c r="AE250" i="17"/>
  <c r="AE254" i="17"/>
  <c r="AE258" i="17"/>
  <c r="AE262" i="17"/>
  <c r="AE266" i="17"/>
  <c r="AE272" i="17"/>
  <c r="AE280" i="17"/>
  <c r="AE288" i="17"/>
  <c r="AE296" i="17"/>
  <c r="AE304" i="17"/>
  <c r="AE312" i="17"/>
  <c r="AE320" i="17"/>
  <c r="AE328" i="17"/>
  <c r="AE336" i="17"/>
  <c r="AE344" i="17"/>
  <c r="AE352" i="17"/>
  <c r="AE360" i="17"/>
  <c r="AE368" i="17"/>
  <c r="AE376" i="17"/>
  <c r="Q19" i="17"/>
  <c r="Q24" i="17"/>
  <c r="Q32" i="17"/>
  <c r="Q52" i="17"/>
  <c r="Q84" i="17"/>
  <c r="Q116" i="17"/>
  <c r="Q148" i="17"/>
  <c r="Q180" i="17"/>
  <c r="Q212" i="17"/>
  <c r="Q244" i="17"/>
  <c r="Q276" i="17"/>
  <c r="Q298" i="17"/>
  <c r="Q314" i="17"/>
  <c r="Q330" i="17"/>
  <c r="Q346" i="17"/>
  <c r="Q362" i="17"/>
  <c r="Q378" i="17"/>
  <c r="Q373" i="17"/>
  <c r="Q365" i="17"/>
  <c r="Q357" i="17"/>
  <c r="Q349" i="17"/>
  <c r="Q341" i="17"/>
  <c r="Q333" i="17"/>
  <c r="Q325" i="17"/>
  <c r="Q317" i="17"/>
  <c r="Q309" i="17"/>
  <c r="Q301" i="17"/>
  <c r="Q293" i="17"/>
  <c r="Q282" i="17"/>
  <c r="Q266" i="17"/>
  <c r="Q250" i="17"/>
  <c r="Q234" i="17"/>
  <c r="Q218" i="17"/>
  <c r="Q202" i="17"/>
  <c r="Q186" i="17"/>
  <c r="Q170" i="17"/>
  <c r="Q154" i="17"/>
  <c r="Q138" i="17"/>
  <c r="Q122" i="17"/>
  <c r="Q106" i="17"/>
  <c r="Q90" i="17"/>
  <c r="Q74" i="17"/>
  <c r="Q58" i="17"/>
  <c r="Q42" i="17"/>
  <c r="Q15" i="17"/>
  <c r="Q281" i="17"/>
  <c r="Q273" i="17"/>
  <c r="Q265" i="17"/>
  <c r="Q257" i="17"/>
  <c r="Q247" i="17"/>
  <c r="Q231" i="17"/>
  <c r="Q215" i="17"/>
  <c r="Q199" i="17"/>
  <c r="Q183" i="17"/>
  <c r="Q167" i="17"/>
  <c r="Q151" i="17"/>
  <c r="Q135" i="17"/>
  <c r="Q119" i="17"/>
  <c r="Q103" i="17"/>
  <c r="Q87" i="17"/>
  <c r="Q71" i="17"/>
  <c r="Q55" i="17"/>
  <c r="Q39" i="17"/>
  <c r="W15" i="7"/>
  <c r="Q48" i="17"/>
  <c r="Q216" i="17"/>
  <c r="Q316" i="17"/>
  <c r="Q208" i="17"/>
  <c r="Q376" i="17"/>
  <c r="Q368" i="17"/>
  <c r="L42" i="19"/>
  <c r="AA297" i="16"/>
  <c r="Z297" i="16" s="1"/>
  <c r="Y297" i="16" s="1"/>
  <c r="AA185" i="16"/>
  <c r="Z185" i="16" s="1"/>
  <c r="Y185" i="16" s="1"/>
  <c r="AA289" i="16"/>
  <c r="Z289" i="16" s="1"/>
  <c r="Y289" i="16" s="1"/>
  <c r="H289" i="16"/>
  <c r="I289" i="16" s="1"/>
  <c r="AA266" i="16"/>
  <c r="Z266" i="16" s="1"/>
  <c r="Y266" i="16" s="1"/>
  <c r="F57" i="16"/>
  <c r="AA57" i="16" s="1"/>
  <c r="Z57" i="16" s="1"/>
  <c r="Y57" i="16" s="1"/>
  <c r="AA177" i="16"/>
  <c r="Z177" i="16" s="1"/>
  <c r="Y177" i="16" s="1"/>
  <c r="AA213" i="16"/>
  <c r="Z213" i="16" s="1"/>
  <c r="Y213" i="16" s="1"/>
  <c r="H177" i="16"/>
  <c r="I177" i="16" s="1"/>
  <c r="H113" i="16"/>
  <c r="J113" i="16" s="1"/>
  <c r="G102" i="16"/>
  <c r="BY102" i="6" s="1"/>
  <c r="AA113" i="16"/>
  <c r="Z113" i="16" s="1"/>
  <c r="Y113" i="16" s="1"/>
  <c r="F305" i="16"/>
  <c r="AA305" i="16" s="1"/>
  <c r="Z305" i="16" s="1"/>
  <c r="Y305" i="16" s="1"/>
  <c r="AA294" i="16"/>
  <c r="Z294" i="16" s="1"/>
  <c r="Y294" i="16" s="1"/>
  <c r="AA230" i="16"/>
  <c r="Z230" i="16" s="1"/>
  <c r="Y230" i="16" s="1"/>
  <c r="AA261" i="16"/>
  <c r="Z261" i="16" s="1"/>
  <c r="Y261" i="16" s="1"/>
  <c r="F126" i="16"/>
  <c r="G126" i="16" s="1"/>
  <c r="BY126" i="6" s="1"/>
  <c r="D44" i="7"/>
  <c r="AA102" i="16"/>
  <c r="Z102" i="16" s="1"/>
  <c r="Y102" i="16" s="1"/>
  <c r="F29" i="16"/>
  <c r="G29" i="16" s="1"/>
  <c r="BY29" i="6" s="1"/>
  <c r="F35" i="16"/>
  <c r="H35" i="16" s="1"/>
  <c r="J35" i="16" s="1"/>
  <c r="F176" i="16"/>
  <c r="H176" i="16" s="1"/>
  <c r="I176" i="16" s="1"/>
  <c r="G229" i="16"/>
  <c r="BY229" i="6" s="1"/>
  <c r="AA110" i="16"/>
  <c r="Z110" i="16" s="1"/>
  <c r="Y110" i="16" s="1"/>
  <c r="H110" i="16"/>
  <c r="J110" i="16" s="1"/>
  <c r="F237" i="16"/>
  <c r="AA237" i="16" s="1"/>
  <c r="Z237" i="16" s="1"/>
  <c r="Y237" i="16" s="1"/>
  <c r="F134" i="16"/>
  <c r="G134" i="16" s="1"/>
  <c r="BY134" i="6" s="1"/>
  <c r="AA269" i="16"/>
  <c r="Z269" i="16" s="1"/>
  <c r="Y269" i="16" s="1"/>
  <c r="H147" i="16"/>
  <c r="I147" i="16" s="1"/>
  <c r="F184" i="16"/>
  <c r="H184" i="16" s="1"/>
  <c r="J184" i="16" s="1"/>
  <c r="F103" i="16"/>
  <c r="G103" i="16" s="1"/>
  <c r="BY103" i="6" s="1"/>
  <c r="G189" i="16"/>
  <c r="BY189" i="6" s="1"/>
  <c r="H261" i="16"/>
  <c r="I261" i="16" s="1"/>
  <c r="AA300" i="16"/>
  <c r="Z300" i="16" s="1"/>
  <c r="Y300" i="16" s="1"/>
  <c r="G231" i="16"/>
  <c r="BY231" i="6" s="1"/>
  <c r="D46" i="7"/>
  <c r="I141" i="16"/>
  <c r="F62" i="16"/>
  <c r="AA62" i="16" s="1"/>
  <c r="Z62" i="16" s="1"/>
  <c r="Y62" i="16" s="1"/>
  <c r="G261" i="16"/>
  <c r="BY261" i="6" s="1"/>
  <c r="AA83" i="16"/>
  <c r="Z83" i="16" s="1"/>
  <c r="Y83" i="16" s="1"/>
  <c r="F101" i="16"/>
  <c r="H101" i="16" s="1"/>
  <c r="I101" i="16" s="1"/>
  <c r="G365" i="16"/>
  <c r="BY365" i="6" s="1"/>
  <c r="AA179" i="16"/>
  <c r="Z179" i="16" s="1"/>
  <c r="Y179" i="16" s="1"/>
  <c r="AA151" i="16"/>
  <c r="Z151" i="16" s="1"/>
  <c r="Y151" i="16" s="1"/>
  <c r="F66" i="16"/>
  <c r="AA66" i="16" s="1"/>
  <c r="Z66" i="16" s="1"/>
  <c r="Y66" i="16" s="1"/>
  <c r="F125" i="16"/>
  <c r="G125" i="16" s="1"/>
  <c r="BY125" i="6" s="1"/>
  <c r="G277" i="16"/>
  <c r="BY277" i="6" s="1"/>
  <c r="I284" i="16"/>
  <c r="AA277" i="16"/>
  <c r="Z277" i="16" s="1"/>
  <c r="Y277" i="16" s="1"/>
  <c r="H221" i="16"/>
  <c r="J221" i="16" s="1"/>
  <c r="F53" i="16"/>
  <c r="G53" i="16" s="1"/>
  <c r="BY53" i="6" s="1"/>
  <c r="F275" i="16"/>
  <c r="H275" i="16" s="1"/>
  <c r="J275" i="16" s="1"/>
  <c r="AA103" i="16"/>
  <c r="Z103" i="16" s="1"/>
  <c r="Y103" i="16" s="1"/>
  <c r="AA372" i="16"/>
  <c r="Z372" i="16" s="1"/>
  <c r="Y372" i="16" s="1"/>
  <c r="AA253" i="16"/>
  <c r="Z253" i="16" s="1"/>
  <c r="Y253" i="16" s="1"/>
  <c r="AA221" i="16"/>
  <c r="Z221" i="16" s="1"/>
  <c r="Y221" i="16" s="1"/>
  <c r="G253" i="16"/>
  <c r="BY253" i="6" s="1"/>
  <c r="H309" i="16"/>
  <c r="J309" i="16" s="1"/>
  <c r="G131" i="16"/>
  <c r="BY131" i="6" s="1"/>
  <c r="F17" i="16"/>
  <c r="G17" i="16" s="1"/>
  <c r="BY17" i="6" s="1"/>
  <c r="J131" i="16"/>
  <c r="H269" i="16"/>
  <c r="I269" i="16" s="1"/>
  <c r="AA371" i="16"/>
  <c r="Z371" i="16" s="1"/>
  <c r="Y371" i="16" s="1"/>
  <c r="AA303" i="16"/>
  <c r="Z303" i="16" s="1"/>
  <c r="Y303" i="16" s="1"/>
  <c r="AA71" i="16"/>
  <c r="Z71" i="16" s="1"/>
  <c r="Y71" i="16" s="1"/>
  <c r="AA309" i="16"/>
  <c r="Z309" i="16" s="1"/>
  <c r="Y309" i="16" s="1"/>
  <c r="AA106" i="16"/>
  <c r="Z106" i="16" s="1"/>
  <c r="Y106" i="16" s="1"/>
  <c r="F37" i="16"/>
  <c r="H37" i="16" s="1"/>
  <c r="F152" i="16"/>
  <c r="G152" i="16" s="1"/>
  <c r="BY152" i="6" s="1"/>
  <c r="F50" i="16"/>
  <c r="H50" i="16" s="1"/>
  <c r="I50" i="16" s="1"/>
  <c r="F88" i="16"/>
  <c r="H88" i="16" s="1"/>
  <c r="I88" i="16" s="1"/>
  <c r="AA199" i="16"/>
  <c r="Z199" i="16" s="1"/>
  <c r="Y199" i="16" s="1"/>
  <c r="AA229" i="16"/>
  <c r="Z229" i="16" s="1"/>
  <c r="Y229" i="16" s="1"/>
  <c r="H83" i="16"/>
  <c r="J83" i="16" s="1"/>
  <c r="H300" i="16"/>
  <c r="I300" i="16" s="1"/>
  <c r="G141" i="16"/>
  <c r="BY141" i="6" s="1"/>
  <c r="H179" i="16"/>
  <c r="J179" i="16" s="1"/>
  <c r="F45" i="16"/>
  <c r="H45" i="16" s="1"/>
  <c r="AA335" i="16"/>
  <c r="Z335" i="16" s="1"/>
  <c r="Y335" i="16" s="1"/>
  <c r="V379" i="16"/>
  <c r="F379" i="16" s="1"/>
  <c r="G379" i="16" s="1"/>
  <c r="BY379" i="6" s="1"/>
  <c r="D37" i="19"/>
  <c r="AA203" i="16"/>
  <c r="Z203" i="16" s="1"/>
  <c r="Y203" i="16" s="1"/>
  <c r="AA141" i="16"/>
  <c r="Z141" i="16" s="1"/>
  <c r="Y141" i="16" s="1"/>
  <c r="AA189" i="16"/>
  <c r="Z189" i="16" s="1"/>
  <c r="Y189" i="16" s="1"/>
  <c r="F285" i="16"/>
  <c r="G285" i="16" s="1"/>
  <c r="BY285" i="6" s="1"/>
  <c r="F61" i="16"/>
  <c r="H61" i="16" s="1"/>
  <c r="J61" i="16" s="1"/>
  <c r="F317" i="16"/>
  <c r="AA317" i="16" s="1"/>
  <c r="Z317" i="16" s="1"/>
  <c r="Y317" i="16" s="1"/>
  <c r="F34" i="16"/>
  <c r="G34" i="16" s="1"/>
  <c r="BY34" i="6" s="1"/>
  <c r="AA260" i="16"/>
  <c r="Z260" i="16" s="1"/>
  <c r="Y260" i="16" s="1"/>
  <c r="AA19" i="16"/>
  <c r="Z19" i="16" s="1"/>
  <c r="Y19" i="16" s="1"/>
  <c r="F77" i="16"/>
  <c r="G77" i="16" s="1"/>
  <c r="BY77" i="6" s="1"/>
  <c r="L41" i="19"/>
  <c r="F40" i="16"/>
  <c r="AA40" i="16" s="1"/>
  <c r="Z40" i="16" s="1"/>
  <c r="Y40" i="16" s="1"/>
  <c r="F111" i="16"/>
  <c r="AA111" i="16" s="1"/>
  <c r="Z111" i="16" s="1"/>
  <c r="Y111" i="16" s="1"/>
  <c r="AA88" i="16"/>
  <c r="Z88" i="16" s="1"/>
  <c r="Y88" i="16" s="1"/>
  <c r="AA139" i="16"/>
  <c r="Z139" i="16" s="1"/>
  <c r="Y139" i="16" s="1"/>
  <c r="AA147" i="16"/>
  <c r="Z147" i="16" s="1"/>
  <c r="Y147" i="16" s="1"/>
  <c r="AA131" i="16"/>
  <c r="Z131" i="16" s="1"/>
  <c r="Y131" i="16" s="1"/>
  <c r="V119" i="16"/>
  <c r="F119" i="16" s="1"/>
  <c r="H119" i="16" s="1"/>
  <c r="I119" i="16" s="1"/>
  <c r="H371" i="16"/>
  <c r="J371" i="16" s="1"/>
  <c r="F162" i="16"/>
  <c r="H162" i="16" s="1"/>
  <c r="I162" i="16" s="1"/>
  <c r="F205" i="16"/>
  <c r="H205" i="16" s="1"/>
  <c r="I205" i="16" s="1"/>
  <c r="V339" i="16"/>
  <c r="F339" i="16" s="1"/>
  <c r="H316" i="16"/>
  <c r="I316" i="16" s="1"/>
  <c r="G170" i="16"/>
  <c r="BY170" i="6" s="1"/>
  <c r="H170" i="16"/>
  <c r="I170" i="16" s="1"/>
  <c r="AA170" i="16"/>
  <c r="Z170" i="16" s="1"/>
  <c r="Y170" i="16" s="1"/>
  <c r="G284" i="16"/>
  <c r="BY284" i="6" s="1"/>
  <c r="AA211" i="16"/>
  <c r="Z211" i="16" s="1"/>
  <c r="Y211" i="16" s="1"/>
  <c r="AA368" i="16"/>
  <c r="Z368" i="16" s="1"/>
  <c r="Y368" i="16" s="1"/>
  <c r="H287" i="16"/>
  <c r="I287" i="16" s="1"/>
  <c r="AA224" i="16"/>
  <c r="Z224" i="16" s="1"/>
  <c r="Y224" i="16" s="1"/>
  <c r="AA325" i="16"/>
  <c r="Z325" i="16" s="1"/>
  <c r="Y325" i="16" s="1"/>
  <c r="H325" i="16"/>
  <c r="I325" i="16" s="1"/>
  <c r="G335" i="16"/>
  <c r="BY335" i="6" s="1"/>
  <c r="J154" i="16"/>
  <c r="J224" i="16"/>
  <c r="AA195" i="16"/>
  <c r="Z195" i="16" s="1"/>
  <c r="Y195" i="16" s="1"/>
  <c r="H201" i="16"/>
  <c r="I201" i="16" s="1"/>
  <c r="H195" i="16"/>
  <c r="J195" i="16" s="1"/>
  <c r="G154" i="16"/>
  <c r="BY154" i="6" s="1"/>
  <c r="H211" i="16"/>
  <c r="I211" i="16" s="1"/>
  <c r="H307" i="16"/>
  <c r="J307" i="16" s="1"/>
  <c r="AA364" i="16"/>
  <c r="Z364" i="16" s="1"/>
  <c r="Y364" i="16" s="1"/>
  <c r="G224" i="16"/>
  <c r="BY224" i="6" s="1"/>
  <c r="AA262" i="16"/>
  <c r="Z262" i="16" s="1"/>
  <c r="Y262" i="16" s="1"/>
  <c r="AA231" i="16"/>
  <c r="Z231" i="16" s="1"/>
  <c r="Y231" i="16" s="1"/>
  <c r="F46" i="16"/>
  <c r="AA46" i="16" s="1"/>
  <c r="Z46" i="16" s="1"/>
  <c r="Y46" i="16" s="1"/>
  <c r="J90" i="16"/>
  <c r="I369" i="16"/>
  <c r="F112" i="16"/>
  <c r="AA112" i="16" s="1"/>
  <c r="Z112" i="16" s="1"/>
  <c r="Y112" i="16" s="1"/>
  <c r="H133" i="16"/>
  <c r="J133" i="16" s="1"/>
  <c r="G273" i="16"/>
  <c r="BY273" i="6" s="1"/>
  <c r="AA347" i="16"/>
  <c r="Z347" i="16" s="1"/>
  <c r="Y347" i="16" s="1"/>
  <c r="H362" i="16"/>
  <c r="J362" i="16" s="1"/>
  <c r="G357" i="16"/>
  <c r="BY357" i="6" s="1"/>
  <c r="AA316" i="16"/>
  <c r="Z316" i="16" s="1"/>
  <c r="Y316" i="16" s="1"/>
  <c r="AA59" i="16"/>
  <c r="Z59" i="16" s="1"/>
  <c r="Y59" i="16" s="1"/>
  <c r="H321" i="16"/>
  <c r="I321" i="16" s="1"/>
  <c r="H223" i="16"/>
  <c r="J223" i="16" s="1"/>
  <c r="AA138" i="16"/>
  <c r="Z138" i="16" s="1"/>
  <c r="Y138" i="16" s="1"/>
  <c r="G106" i="16"/>
  <c r="BY106" i="6" s="1"/>
  <c r="AA367" i="16"/>
  <c r="Z367" i="16" s="1"/>
  <c r="Y367" i="16" s="1"/>
  <c r="G367" i="16"/>
  <c r="BY367" i="6" s="1"/>
  <c r="G349" i="16"/>
  <c r="BY349" i="6" s="1"/>
  <c r="AA143" i="16"/>
  <c r="Z143" i="16" s="1"/>
  <c r="Y143" i="16" s="1"/>
  <c r="AA243" i="16"/>
  <c r="Z243" i="16" s="1"/>
  <c r="Y243" i="16" s="1"/>
  <c r="AA357" i="16"/>
  <c r="Z357" i="16" s="1"/>
  <c r="Y357" i="16" s="1"/>
  <c r="H262" i="16"/>
  <c r="J262" i="16" s="1"/>
  <c r="G353" i="16"/>
  <c r="BY353" i="6" s="1"/>
  <c r="AA365" i="16"/>
  <c r="Z365" i="16" s="1"/>
  <c r="Y365" i="16" s="1"/>
  <c r="AA95" i="16"/>
  <c r="Z95" i="16" s="1"/>
  <c r="Y95" i="16" s="1"/>
  <c r="J168" i="16"/>
  <c r="I168" i="16"/>
  <c r="AA223" i="16"/>
  <c r="Z223" i="16" s="1"/>
  <c r="Y223" i="16" s="1"/>
  <c r="H165" i="16"/>
  <c r="J165" i="16" s="1"/>
  <c r="AA133" i="16"/>
  <c r="Z133" i="16" s="1"/>
  <c r="Y133" i="16" s="1"/>
  <c r="G90" i="16"/>
  <c r="BY90" i="6" s="1"/>
  <c r="H328" i="16"/>
  <c r="I328" i="16" s="1"/>
  <c r="G364" i="16"/>
  <c r="BY364" i="6" s="1"/>
  <c r="H138" i="16"/>
  <c r="J138" i="16" s="1"/>
  <c r="AA155" i="16"/>
  <c r="Z155" i="16" s="1"/>
  <c r="Y155" i="16" s="1"/>
  <c r="H243" i="16"/>
  <c r="I243" i="16" s="1"/>
  <c r="AA349" i="16"/>
  <c r="Z349" i="16" s="1"/>
  <c r="Y349" i="16" s="1"/>
  <c r="H160" i="16"/>
  <c r="I160" i="16" s="1"/>
  <c r="AA160" i="16"/>
  <c r="Z160" i="16" s="1"/>
  <c r="Y160" i="16" s="1"/>
  <c r="AA307" i="16"/>
  <c r="Z307" i="16" s="1"/>
  <c r="Y307" i="16" s="1"/>
  <c r="AA165" i="16"/>
  <c r="Z165" i="16" s="1"/>
  <c r="Y165" i="16" s="1"/>
  <c r="V47" i="16"/>
  <c r="F47" i="16" s="1"/>
  <c r="H51" i="16"/>
  <c r="J51" i="16" s="1"/>
  <c r="H227" i="16"/>
  <c r="J227" i="16" s="1"/>
  <c r="H43" i="16"/>
  <c r="I43" i="16" s="1"/>
  <c r="AA284" i="16"/>
  <c r="Z284" i="16" s="1"/>
  <c r="Y284" i="16" s="1"/>
  <c r="AA328" i="16"/>
  <c r="Z328" i="16" s="1"/>
  <c r="Y328" i="16" s="1"/>
  <c r="AA51" i="16"/>
  <c r="Z51" i="16" s="1"/>
  <c r="Y51" i="16" s="1"/>
  <c r="G160" i="16"/>
  <c r="BY160" i="6" s="1"/>
  <c r="H143" i="16"/>
  <c r="I143" i="16" s="1"/>
  <c r="AA94" i="16"/>
  <c r="Z94" i="16" s="1"/>
  <c r="Y94" i="16" s="1"/>
  <c r="H114" i="16"/>
  <c r="I114" i="16" s="1"/>
  <c r="AA304" i="16"/>
  <c r="Z304" i="16" s="1"/>
  <c r="Y304" i="16" s="1"/>
  <c r="H71" i="16"/>
  <c r="J71" i="16" s="1"/>
  <c r="I242" i="16"/>
  <c r="AA187" i="16"/>
  <c r="Z187" i="16" s="1"/>
  <c r="Y187" i="16" s="1"/>
  <c r="AA239" i="16"/>
  <c r="Z239" i="16" s="1"/>
  <c r="Y239" i="16" s="1"/>
  <c r="AA154" i="16"/>
  <c r="Z154" i="16" s="1"/>
  <c r="Y154" i="16" s="1"/>
  <c r="G287" i="16"/>
  <c r="BY287" i="6" s="1"/>
  <c r="AA200" i="16"/>
  <c r="Z200" i="16" s="1"/>
  <c r="Y200" i="16" s="1"/>
  <c r="H200" i="16"/>
  <c r="J200" i="16" s="1"/>
  <c r="H67" i="16"/>
  <c r="J67" i="16" s="1"/>
  <c r="AA168" i="16"/>
  <c r="Z168" i="16" s="1"/>
  <c r="Y168" i="16" s="1"/>
  <c r="H77" i="16"/>
  <c r="J77" i="16" s="1"/>
  <c r="H95" i="16"/>
  <c r="J95" i="16" s="1"/>
  <c r="H368" i="16"/>
  <c r="I368" i="16" s="1"/>
  <c r="H121" i="16"/>
  <c r="I121" i="16" s="1"/>
  <c r="H213" i="16"/>
  <c r="I213" i="16" s="1"/>
  <c r="G213" i="16"/>
  <c r="BY213" i="6" s="1"/>
  <c r="H294" i="16"/>
  <c r="I294" i="16" s="1"/>
  <c r="AA242" i="16"/>
  <c r="Z242" i="16" s="1"/>
  <c r="Y242" i="16" s="1"/>
  <c r="H358" i="16"/>
  <c r="J358" i="16" s="1"/>
  <c r="AA249" i="16"/>
  <c r="Z249" i="16" s="1"/>
  <c r="Y249" i="16" s="1"/>
  <c r="AA281" i="16"/>
  <c r="Z281" i="16" s="1"/>
  <c r="Y281" i="16" s="1"/>
  <c r="G129" i="16"/>
  <c r="BY129" i="6" s="1"/>
  <c r="AA128" i="16"/>
  <c r="Z128" i="16" s="1"/>
  <c r="Y128" i="16" s="1"/>
  <c r="H25" i="16"/>
  <c r="J25" i="16" s="1"/>
  <c r="AA67" i="16"/>
  <c r="Z67" i="16" s="1"/>
  <c r="Y67" i="16" s="1"/>
  <c r="H230" i="16"/>
  <c r="J230" i="16" s="1"/>
  <c r="G242" i="16"/>
  <c r="BY242" i="6" s="1"/>
  <c r="G259" i="16"/>
  <c r="BY259" i="6" s="1"/>
  <c r="AA198" i="16"/>
  <c r="Z198" i="16" s="1"/>
  <c r="Y198" i="16" s="1"/>
  <c r="H257" i="16"/>
  <c r="I257" i="16" s="1"/>
  <c r="G95" i="16"/>
  <c r="BY95" i="6" s="1"/>
  <c r="H24" i="16"/>
  <c r="I24" i="16" s="1"/>
  <c r="G168" i="16"/>
  <c r="BY168" i="6" s="1"/>
  <c r="AA24" i="16"/>
  <c r="Z24" i="16" s="1"/>
  <c r="Y24" i="16" s="1"/>
  <c r="AA121" i="16"/>
  <c r="Z121" i="16" s="1"/>
  <c r="Y121" i="16" s="1"/>
  <c r="AA257" i="16"/>
  <c r="Z257" i="16" s="1"/>
  <c r="Y257" i="16" s="1"/>
  <c r="G267" i="16"/>
  <c r="BY267" i="6" s="1"/>
  <c r="AA267" i="16"/>
  <c r="Z267" i="16" s="1"/>
  <c r="Y267" i="16" s="1"/>
  <c r="H267" i="16"/>
  <c r="I267" i="16" s="1"/>
  <c r="G235" i="16"/>
  <c r="BY235" i="6" s="1"/>
  <c r="H235" i="16"/>
  <c r="J235" i="16" s="1"/>
  <c r="G377" i="16"/>
  <c r="BY377" i="6" s="1"/>
  <c r="H377" i="16"/>
  <c r="I377" i="16" s="1"/>
  <c r="G303" i="16"/>
  <c r="BY303" i="6" s="1"/>
  <c r="H303" i="16"/>
  <c r="I303" i="16" s="1"/>
  <c r="G255" i="16"/>
  <c r="BY255" i="6" s="1"/>
  <c r="AA255" i="16"/>
  <c r="Z255" i="16" s="1"/>
  <c r="Y255" i="16" s="1"/>
  <c r="H255" i="16"/>
  <c r="I255" i="16" s="1"/>
  <c r="G227" i="16"/>
  <c r="BY227" i="6" s="1"/>
  <c r="AA227" i="16"/>
  <c r="Z227" i="16" s="1"/>
  <c r="Y227" i="16" s="1"/>
  <c r="G203" i="16"/>
  <c r="BY203" i="6" s="1"/>
  <c r="H203" i="16"/>
  <c r="I203" i="16" s="1"/>
  <c r="H181" i="16"/>
  <c r="J181" i="16" s="1"/>
  <c r="AA181" i="16"/>
  <c r="Z181" i="16" s="1"/>
  <c r="Y181" i="16" s="1"/>
  <c r="G105" i="16"/>
  <c r="BY105" i="6" s="1"/>
  <c r="AA105" i="16"/>
  <c r="Z105" i="16" s="1"/>
  <c r="Y105" i="16" s="1"/>
  <c r="H105" i="16"/>
  <c r="I105" i="16" s="1"/>
  <c r="G373" i="16"/>
  <c r="BY373" i="6" s="1"/>
  <c r="H373" i="16"/>
  <c r="I373" i="16" s="1"/>
  <c r="G145" i="16"/>
  <c r="BY145" i="6" s="1"/>
  <c r="AA145" i="16"/>
  <c r="Z145" i="16" s="1"/>
  <c r="Y145" i="16" s="1"/>
  <c r="V123" i="16"/>
  <c r="F123" i="16" s="1"/>
  <c r="V217" i="16"/>
  <c r="F217" i="16" s="1"/>
  <c r="AA238" i="16"/>
  <c r="Z238" i="16" s="1"/>
  <c r="Y238" i="16" s="1"/>
  <c r="G238" i="16"/>
  <c r="BY238" i="6" s="1"/>
  <c r="G318" i="16"/>
  <c r="BY318" i="6" s="1"/>
  <c r="AA318" i="16"/>
  <c r="Z318" i="16" s="1"/>
  <c r="Y318" i="16" s="1"/>
  <c r="H135" i="16"/>
  <c r="AA135" i="16"/>
  <c r="Z135" i="16" s="1"/>
  <c r="Y135" i="16" s="1"/>
  <c r="H313" i="16"/>
  <c r="AA313" i="16"/>
  <c r="Z313" i="16" s="1"/>
  <c r="Y313" i="16" s="1"/>
  <c r="G82" i="16"/>
  <c r="BY82" i="6" s="1"/>
  <c r="AA82" i="16"/>
  <c r="Z82" i="16" s="1"/>
  <c r="Y82" i="16" s="1"/>
  <c r="H188" i="16"/>
  <c r="G188" i="16"/>
  <c r="BY188" i="6" s="1"/>
  <c r="AA188" i="16"/>
  <c r="Z188" i="16" s="1"/>
  <c r="Y188" i="16" s="1"/>
  <c r="H59" i="16"/>
  <c r="G59" i="16"/>
  <c r="BY59" i="6" s="1"/>
  <c r="G185" i="16"/>
  <c r="BY185" i="6" s="1"/>
  <c r="H185" i="16"/>
  <c r="I185" i="16" s="1"/>
  <c r="AA359" i="16"/>
  <c r="Z359" i="16" s="1"/>
  <c r="Y359" i="16" s="1"/>
  <c r="H359" i="16"/>
  <c r="I359" i="16" s="1"/>
  <c r="H120" i="16"/>
  <c r="J120" i="16" s="1"/>
  <c r="AA120" i="16"/>
  <c r="Z120" i="16" s="1"/>
  <c r="Y120" i="16" s="1"/>
  <c r="H96" i="16"/>
  <c r="AA96" i="16"/>
  <c r="Z96" i="16" s="1"/>
  <c r="Y96" i="16" s="1"/>
  <c r="V140" i="16"/>
  <c r="F140" i="16" s="1"/>
  <c r="G81" i="16"/>
  <c r="BY81" i="6" s="1"/>
  <c r="H81" i="16"/>
  <c r="I81" i="16" s="1"/>
  <c r="AA29" i="16"/>
  <c r="Z29" i="16" s="1"/>
  <c r="Y29" i="16" s="1"/>
  <c r="G130" i="16"/>
  <c r="BY130" i="6" s="1"/>
  <c r="AA130" i="16"/>
  <c r="Z130" i="16" s="1"/>
  <c r="Y130" i="16" s="1"/>
  <c r="G260" i="16"/>
  <c r="BY260" i="6" s="1"/>
  <c r="H260" i="16"/>
  <c r="J260" i="16" s="1"/>
  <c r="H208" i="16"/>
  <c r="G208" i="16"/>
  <c r="BY208" i="6" s="1"/>
  <c r="AA208" i="16"/>
  <c r="Z208" i="16" s="1"/>
  <c r="Y208" i="16" s="1"/>
  <c r="H19" i="16"/>
  <c r="I19" i="16" s="1"/>
  <c r="G19" i="16"/>
  <c r="BY19" i="6" s="1"/>
  <c r="H293" i="16"/>
  <c r="G293" i="16"/>
  <c r="BY293" i="6" s="1"/>
  <c r="H137" i="16"/>
  <c r="AA137" i="16"/>
  <c r="Z137" i="16" s="1"/>
  <c r="Y137" i="16" s="1"/>
  <c r="AA271" i="16"/>
  <c r="Z271" i="16" s="1"/>
  <c r="Y271" i="16" s="1"/>
  <c r="G271" i="16"/>
  <c r="BY271" i="6" s="1"/>
  <c r="H271" i="16"/>
  <c r="J271" i="16" s="1"/>
  <c r="J355" i="16"/>
  <c r="F73" i="16"/>
  <c r="AA73" i="16" s="1"/>
  <c r="Z73" i="16" s="1"/>
  <c r="Y73" i="16" s="1"/>
  <c r="AA273" i="16"/>
  <c r="Z273" i="16" s="1"/>
  <c r="Y273" i="16" s="1"/>
  <c r="G43" i="16"/>
  <c r="BY43" i="6" s="1"/>
  <c r="AA114" i="16"/>
  <c r="Z114" i="16" s="1"/>
  <c r="Y114" i="16" s="1"/>
  <c r="G279" i="16"/>
  <c r="BY279" i="6" s="1"/>
  <c r="H238" i="16"/>
  <c r="J238" i="16" s="1"/>
  <c r="G135" i="16"/>
  <c r="BY135" i="6" s="1"/>
  <c r="AA362" i="16"/>
  <c r="Z362" i="16" s="1"/>
  <c r="Y362" i="16" s="1"/>
  <c r="AA81" i="16"/>
  <c r="Z81" i="16" s="1"/>
  <c r="Y81" i="16" s="1"/>
  <c r="G120" i="16"/>
  <c r="BY120" i="6" s="1"/>
  <c r="H130" i="16"/>
  <c r="J130" i="16" s="1"/>
  <c r="H347" i="16"/>
  <c r="J347" i="16" s="1"/>
  <c r="G355" i="16"/>
  <c r="BY355" i="6" s="1"/>
  <c r="G137" i="16"/>
  <c r="BY137" i="6" s="1"/>
  <c r="AA146" i="16"/>
  <c r="Z146" i="16" s="1"/>
  <c r="Y146" i="16" s="1"/>
  <c r="AA293" i="16"/>
  <c r="Z293" i="16" s="1"/>
  <c r="Y293" i="16" s="1"/>
  <c r="H304" i="16"/>
  <c r="I304" i="16" s="1"/>
  <c r="AA355" i="16"/>
  <c r="Z355" i="16" s="1"/>
  <c r="Y355" i="16" s="1"/>
  <c r="H146" i="16"/>
  <c r="J146" i="16" s="1"/>
  <c r="H278" i="16"/>
  <c r="J278" i="16" s="1"/>
  <c r="H136" i="16"/>
  <c r="I136" i="16" s="1"/>
  <c r="H32" i="16"/>
  <c r="J32" i="16" s="1"/>
  <c r="AA373" i="16"/>
  <c r="Z373" i="16" s="1"/>
  <c r="Y373" i="16" s="1"/>
  <c r="H353" i="16"/>
  <c r="I353" i="16" s="1"/>
  <c r="AA377" i="16"/>
  <c r="Z377" i="16" s="1"/>
  <c r="Y377" i="16" s="1"/>
  <c r="AA54" i="16"/>
  <c r="Z54" i="16" s="1"/>
  <c r="Y54" i="16" s="1"/>
  <c r="AA308" i="16"/>
  <c r="Z308" i="16" s="1"/>
  <c r="Y308" i="16" s="1"/>
  <c r="AA89" i="16"/>
  <c r="Z89" i="16" s="1"/>
  <c r="Y89" i="16" s="1"/>
  <c r="AA32" i="16"/>
  <c r="Z32" i="16" s="1"/>
  <c r="Y32" i="16" s="1"/>
  <c r="AA235" i="16"/>
  <c r="Z235" i="16" s="1"/>
  <c r="Y235" i="16" s="1"/>
  <c r="AA279" i="16"/>
  <c r="Z279" i="16" s="1"/>
  <c r="Y279" i="16" s="1"/>
  <c r="AA117" i="16"/>
  <c r="Z117" i="16" s="1"/>
  <c r="Y117" i="16" s="1"/>
  <c r="AA278" i="16"/>
  <c r="Z278" i="16" s="1"/>
  <c r="Y278" i="16" s="1"/>
  <c r="AA315" i="16"/>
  <c r="Z315" i="16" s="1"/>
  <c r="Y315" i="16" s="1"/>
  <c r="I364" i="16"/>
  <c r="I161" i="16"/>
  <c r="F108" i="16"/>
  <c r="AA108" i="16" s="1"/>
  <c r="Z108" i="16" s="1"/>
  <c r="Y108" i="16" s="1"/>
  <c r="F78" i="16"/>
  <c r="AA78" i="16" s="1"/>
  <c r="Z78" i="16" s="1"/>
  <c r="Y78" i="16" s="1"/>
  <c r="AA296" i="16"/>
  <c r="Z296" i="16" s="1"/>
  <c r="Y296" i="16" s="1"/>
  <c r="AA197" i="16"/>
  <c r="Z197" i="16" s="1"/>
  <c r="Y197" i="16" s="1"/>
  <c r="F97" i="16"/>
  <c r="G97" i="16" s="1"/>
  <c r="BY97" i="6" s="1"/>
  <c r="AA311" i="16"/>
  <c r="Z311" i="16" s="1"/>
  <c r="Y311" i="16" s="1"/>
  <c r="H157" i="16"/>
  <c r="J157" i="16" s="1"/>
  <c r="H187" i="16"/>
  <c r="I187" i="16" s="1"/>
  <c r="H122" i="16"/>
  <c r="J122" i="16" s="1"/>
  <c r="G225" i="16"/>
  <c r="BY225" i="6" s="1"/>
  <c r="H249" i="16"/>
  <c r="I249" i="16" s="1"/>
  <c r="AA129" i="16"/>
  <c r="Z129" i="16" s="1"/>
  <c r="Y129" i="16" s="1"/>
  <c r="H104" i="16"/>
  <c r="J104" i="16" s="1"/>
  <c r="G25" i="16"/>
  <c r="BY25" i="6" s="1"/>
  <c r="AA358" i="16"/>
  <c r="Z358" i="16" s="1"/>
  <c r="Y358" i="16" s="1"/>
  <c r="G198" i="16"/>
  <c r="BY198" i="6" s="1"/>
  <c r="G297" i="16"/>
  <c r="BY297" i="6" s="1"/>
  <c r="G369" i="16"/>
  <c r="BY369" i="6" s="1"/>
  <c r="AA122" i="16"/>
  <c r="Z122" i="16" s="1"/>
  <c r="Y122" i="16" s="1"/>
  <c r="H94" i="16"/>
  <c r="J94" i="16" s="1"/>
  <c r="G71" i="16"/>
  <c r="BY71" i="6" s="1"/>
  <c r="H182" i="16"/>
  <c r="J182" i="16" s="1"/>
  <c r="G230" i="16"/>
  <c r="BY230" i="6" s="1"/>
  <c r="H151" i="16"/>
  <c r="J151" i="16" s="1"/>
  <c r="H106" i="16"/>
  <c r="I106" i="16" s="1"/>
  <c r="F33" i="16"/>
  <c r="H33" i="16" s="1"/>
  <c r="J33" i="16" s="1"/>
  <c r="H361" i="16"/>
  <c r="J361" i="16" s="1"/>
  <c r="AA375" i="16"/>
  <c r="Z375" i="16" s="1"/>
  <c r="Y375" i="16" s="1"/>
  <c r="F172" i="16"/>
  <c r="H172" i="16" s="1"/>
  <c r="I172" i="16" s="1"/>
  <c r="F38" i="16"/>
  <c r="H38" i="16" s="1"/>
  <c r="I38" i="16" s="1"/>
  <c r="F30" i="16"/>
  <c r="G30" i="16" s="1"/>
  <c r="BY30" i="6" s="1"/>
  <c r="F28" i="16"/>
  <c r="G28" i="16" s="1"/>
  <c r="BY28" i="6" s="1"/>
  <c r="AA374" i="16"/>
  <c r="Z374" i="16" s="1"/>
  <c r="Y374" i="16" s="1"/>
  <c r="F74" i="16"/>
  <c r="AA74" i="16" s="1"/>
  <c r="Z74" i="16" s="1"/>
  <c r="Y74" i="16" s="1"/>
  <c r="AA310" i="16"/>
  <c r="Z310" i="16" s="1"/>
  <c r="Y310" i="16" s="1"/>
  <c r="AA322" i="16"/>
  <c r="Z322" i="16" s="1"/>
  <c r="Y322" i="16" s="1"/>
  <c r="H311" i="16"/>
  <c r="I311" i="16" s="1"/>
  <c r="AA251" i="16"/>
  <c r="Z251" i="16" s="1"/>
  <c r="Y251" i="16" s="1"/>
  <c r="AA157" i="16"/>
  <c r="Z157" i="16" s="1"/>
  <c r="Y157" i="16" s="1"/>
  <c r="H251" i="16"/>
  <c r="J251" i="16" s="1"/>
  <c r="H215" i="16"/>
  <c r="I215" i="16" s="1"/>
  <c r="AA215" i="16"/>
  <c r="Z215" i="16" s="1"/>
  <c r="Y215" i="16" s="1"/>
  <c r="H239" i="16"/>
  <c r="J239" i="16" s="1"/>
  <c r="AA225" i="16"/>
  <c r="Z225" i="16" s="1"/>
  <c r="Y225" i="16" s="1"/>
  <c r="AA201" i="16"/>
  <c r="Z201" i="16" s="1"/>
  <c r="Y201" i="16" s="1"/>
  <c r="H281" i="16"/>
  <c r="J281" i="16" s="1"/>
  <c r="H128" i="16"/>
  <c r="J128" i="16" s="1"/>
  <c r="AA104" i="16"/>
  <c r="Z104" i="16" s="1"/>
  <c r="Y104" i="16" s="1"/>
  <c r="AA219" i="16"/>
  <c r="Z219" i="16" s="1"/>
  <c r="Y219" i="16" s="1"/>
  <c r="H117" i="16"/>
  <c r="I117" i="16" s="1"/>
  <c r="G155" i="16"/>
  <c r="BY155" i="6" s="1"/>
  <c r="H259" i="16"/>
  <c r="I259" i="16" s="1"/>
  <c r="G294" i="16"/>
  <c r="BY294" i="6" s="1"/>
  <c r="H297" i="16"/>
  <c r="I297" i="16" s="1"/>
  <c r="G161" i="16"/>
  <c r="BY161" i="6" s="1"/>
  <c r="AA337" i="16"/>
  <c r="Z337" i="16" s="1"/>
  <c r="Y337" i="16" s="1"/>
  <c r="G315" i="16"/>
  <c r="BY315" i="6" s="1"/>
  <c r="H219" i="16"/>
  <c r="I219" i="16" s="1"/>
  <c r="AA369" i="16"/>
  <c r="Z369" i="16" s="1"/>
  <c r="Y369" i="16" s="1"/>
  <c r="H337" i="16"/>
  <c r="I337" i="16" s="1"/>
  <c r="H315" i="16"/>
  <c r="J315" i="16" s="1"/>
  <c r="G151" i="16"/>
  <c r="BY151" i="6" s="1"/>
  <c r="AA161" i="16"/>
  <c r="Z161" i="16" s="1"/>
  <c r="Y161" i="16" s="1"/>
  <c r="AA345" i="16"/>
  <c r="Z345" i="16" s="1"/>
  <c r="Y345" i="16" s="1"/>
  <c r="H345" i="16"/>
  <c r="I345" i="16" s="1"/>
  <c r="G375" i="16"/>
  <c r="BY375" i="6" s="1"/>
  <c r="AA182" i="16"/>
  <c r="Z182" i="16" s="1"/>
  <c r="Y182" i="16" s="1"/>
  <c r="V65" i="16"/>
  <c r="F65" i="16" s="1"/>
  <c r="V55" i="16"/>
  <c r="F55" i="16" s="1"/>
  <c r="G283" i="16"/>
  <c r="BY283" i="6" s="1"/>
  <c r="AA283" i="16"/>
  <c r="Z283" i="16" s="1"/>
  <c r="Y283" i="16" s="1"/>
  <c r="V331" i="16"/>
  <c r="F331" i="16" s="1"/>
  <c r="U10" i="17"/>
  <c r="AI264" i="17" s="1"/>
  <c r="AH264" i="17" s="1"/>
  <c r="AG264" i="17" s="1"/>
  <c r="AF264" i="17" s="1"/>
  <c r="V350" i="16"/>
  <c r="F350" i="16" s="1"/>
  <c r="V302" i="16"/>
  <c r="D53" i="7"/>
  <c r="F302" i="16"/>
  <c r="V270" i="16"/>
  <c r="F270" i="16" s="1"/>
  <c r="V246" i="16"/>
  <c r="F246" i="16" s="1"/>
  <c r="V206" i="16"/>
  <c r="F206" i="16" s="1"/>
  <c r="V68" i="16"/>
  <c r="F68" i="16" s="1"/>
  <c r="V167" i="16"/>
  <c r="V327" i="16"/>
  <c r="F327" i="16" s="1"/>
  <c r="V356" i="16"/>
  <c r="F356" i="16" s="1"/>
  <c r="V348" i="16"/>
  <c r="F348" i="16" s="1"/>
  <c r="V340" i="16"/>
  <c r="F340" i="16" s="1"/>
  <c r="V332" i="16"/>
  <c r="F332" i="16" s="1"/>
  <c r="V324" i="16"/>
  <c r="F324" i="16" s="1"/>
  <c r="V292" i="16"/>
  <c r="F292" i="16" s="1"/>
  <c r="V276" i="16"/>
  <c r="F276" i="16" s="1"/>
  <c r="V268" i="16"/>
  <c r="F268" i="16" s="1"/>
  <c r="V252" i="16"/>
  <c r="F252" i="16" s="1"/>
  <c r="V244" i="16"/>
  <c r="F244" i="16" s="1"/>
  <c r="V236" i="16"/>
  <c r="F236" i="16" s="1"/>
  <c r="V220" i="16"/>
  <c r="F220" i="16" s="1"/>
  <c r="V204" i="16"/>
  <c r="F204" i="16" s="1"/>
  <c r="V196" i="16"/>
  <c r="F196" i="16" s="1"/>
  <c r="V109" i="16"/>
  <c r="F109" i="16" s="1"/>
  <c r="V370" i="16"/>
  <c r="F370" i="16" s="1"/>
  <c r="V346" i="16"/>
  <c r="F346" i="16" s="1"/>
  <c r="V330" i="16"/>
  <c r="F330" i="16" s="1"/>
  <c r="V306" i="16"/>
  <c r="F306" i="16" s="1"/>
  <c r="V290" i="16"/>
  <c r="V258" i="16"/>
  <c r="F258" i="16" s="1"/>
  <c r="V234" i="16"/>
  <c r="F234" i="16" s="1"/>
  <c r="V202" i="16"/>
  <c r="F202" i="16" s="1"/>
  <c r="V186" i="16"/>
  <c r="F186" i="16" s="1"/>
  <c r="V366" i="16"/>
  <c r="F366" i="16" s="1"/>
  <c r="V334" i="16"/>
  <c r="F334" i="16" s="1"/>
  <c r="V286" i="16"/>
  <c r="F286" i="16" s="1"/>
  <c r="V254" i="16"/>
  <c r="F254" i="16" s="1"/>
  <c r="V214" i="16"/>
  <c r="F214" i="16" s="1"/>
  <c r="V85" i="16"/>
  <c r="F85" i="16" s="1"/>
  <c r="V323" i="16"/>
  <c r="F323" i="16" s="1"/>
  <c r="V354" i="16"/>
  <c r="F354" i="16" s="1"/>
  <c r="V338" i="16"/>
  <c r="F338" i="16" s="1"/>
  <c r="V314" i="16"/>
  <c r="F314" i="16" s="1"/>
  <c r="V298" i="16"/>
  <c r="F298" i="16" s="1"/>
  <c r="V282" i="16"/>
  <c r="F282" i="16" s="1"/>
  <c r="V250" i="16"/>
  <c r="F250" i="16" s="1"/>
  <c r="V218" i="16"/>
  <c r="F218" i="16" s="1"/>
  <c r="V194" i="16"/>
  <c r="F194" i="16" s="1"/>
  <c r="V26" i="16"/>
  <c r="F26" i="16" s="1"/>
  <c r="V164" i="16"/>
  <c r="F164" i="16" s="1"/>
  <c r="V144" i="16"/>
  <c r="F144" i="16" s="1"/>
  <c r="V124" i="16"/>
  <c r="F124" i="16" s="1"/>
  <c r="V100" i="16"/>
  <c r="F100" i="16" s="1"/>
  <c r="V49" i="16"/>
  <c r="V39" i="16"/>
  <c r="F39" i="16" s="1"/>
  <c r="V115" i="16"/>
  <c r="F115" i="16" s="1"/>
  <c r="V291" i="16"/>
  <c r="F291" i="16" s="1"/>
  <c r="V263" i="16"/>
  <c r="V191" i="16"/>
  <c r="F191" i="16" s="1"/>
  <c r="V183" i="16"/>
  <c r="F183" i="16" s="1"/>
  <c r="AG15" i="16"/>
  <c r="AH383" i="16"/>
  <c r="AH382" i="16"/>
  <c r="AH381" i="16"/>
  <c r="AI136" i="17"/>
  <c r="AH136" i="17" s="1"/>
  <c r="AG136" i="17" s="1"/>
  <c r="AF136" i="17" s="1"/>
  <c r="V20" i="16"/>
  <c r="F20" i="16" s="1"/>
  <c r="V44" i="16"/>
  <c r="F44" i="16" s="1"/>
  <c r="V64" i="16"/>
  <c r="F64" i="16" s="1"/>
  <c r="V174" i="16"/>
  <c r="F174" i="16" s="1"/>
  <c r="V158" i="16"/>
  <c r="F158" i="16" s="1"/>
  <c r="V142" i="16"/>
  <c r="F142" i="16" s="1"/>
  <c r="V63" i="16"/>
  <c r="F63" i="16" s="1"/>
  <c r="D51" i="7"/>
  <c r="V241" i="16"/>
  <c r="F241" i="16" s="1"/>
  <c r="H241" i="16" s="1"/>
  <c r="I241" i="16" s="1"/>
  <c r="V209" i="16"/>
  <c r="F209" i="16" s="1"/>
  <c r="V329" i="16"/>
  <c r="F329" i="16" s="1"/>
  <c r="V159" i="16"/>
  <c r="F159" i="16" s="1"/>
  <c r="G175" i="16"/>
  <c r="BY175" i="6" s="1"/>
  <c r="H175" i="16"/>
  <c r="V319" i="16"/>
  <c r="F319" i="16" s="1"/>
  <c r="V360" i="16"/>
  <c r="F360" i="16" s="1"/>
  <c r="V352" i="16"/>
  <c r="F352" i="16" s="1"/>
  <c r="V344" i="16"/>
  <c r="F344" i="16" s="1"/>
  <c r="V336" i="16"/>
  <c r="F336" i="16" s="1"/>
  <c r="V320" i="16"/>
  <c r="F320" i="16" s="1"/>
  <c r="V312" i="16"/>
  <c r="F312" i="16" s="1"/>
  <c r="V288" i="16"/>
  <c r="F288" i="16" s="1"/>
  <c r="V280" i="16"/>
  <c r="F280" i="16" s="1"/>
  <c r="D52" i="7"/>
  <c r="V272" i="16"/>
  <c r="F272" i="16" s="1"/>
  <c r="V264" i="16"/>
  <c r="F264" i="16" s="1"/>
  <c r="V256" i="16"/>
  <c r="F256" i="16" s="1"/>
  <c r="V248" i="16"/>
  <c r="F248" i="16" s="1"/>
  <c r="V240" i="16"/>
  <c r="F240" i="16" s="1"/>
  <c r="V232" i="16"/>
  <c r="F232" i="16" s="1"/>
  <c r="V216" i="16"/>
  <c r="F216" i="16" s="1"/>
  <c r="V192" i="16"/>
  <c r="F192" i="16" s="1"/>
  <c r="AA175" i="16"/>
  <c r="Z175" i="16" s="1"/>
  <c r="Y175" i="16" s="1"/>
  <c r="G117" i="16"/>
  <c r="BY117" i="6" s="1"/>
  <c r="AI256" i="17"/>
  <c r="AH256" i="17" s="1"/>
  <c r="AG256" i="17" s="1"/>
  <c r="AF256" i="17" s="1"/>
  <c r="AA361" i="16"/>
  <c r="Z361" i="16" s="1"/>
  <c r="Y361" i="16" s="1"/>
  <c r="V22" i="16"/>
  <c r="F22" i="16" s="1"/>
  <c r="V148" i="16"/>
  <c r="F148" i="16" s="1"/>
  <c r="V41" i="16"/>
  <c r="F41" i="16" s="1"/>
  <c r="V107" i="16"/>
  <c r="F107" i="16" s="1"/>
  <c r="V295" i="16"/>
  <c r="F295" i="16" s="1"/>
  <c r="V23" i="16"/>
  <c r="F23" i="16" s="1"/>
  <c r="D45" i="7"/>
  <c r="V60" i="16"/>
  <c r="F60" i="16" s="1"/>
  <c r="AA60" i="16" s="1"/>
  <c r="Z60" i="16" s="1"/>
  <c r="Y60" i="16" s="1"/>
  <c r="V76" i="16"/>
  <c r="F76" i="16" s="1"/>
  <c r="V343" i="16"/>
  <c r="F343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99" i="16"/>
  <c r="F99" i="16" s="1"/>
  <c r="V171" i="16"/>
  <c r="F171" i="16" s="1"/>
  <c r="AG379" i="16"/>
  <c r="AF379" i="16" s="1"/>
  <c r="AD379" i="16" s="1"/>
  <c r="V72" i="16"/>
  <c r="F72" i="16" s="1"/>
  <c r="V166" i="16"/>
  <c r="F166" i="16" s="1"/>
  <c r="V150" i="16"/>
  <c r="F150" i="16" s="1"/>
  <c r="V86" i="16"/>
  <c r="F86" i="16" s="1"/>
  <c r="V190" i="16"/>
  <c r="F190" i="16" s="1"/>
  <c r="V351" i="16"/>
  <c r="F351" i="16" s="1"/>
  <c r="T383" i="16"/>
  <c r="T381" i="16"/>
  <c r="S15" i="16"/>
  <c r="T382" i="16"/>
  <c r="AA136" i="16"/>
  <c r="Z136" i="16" s="1"/>
  <c r="Y136" i="16" s="1"/>
  <c r="AA321" i="16"/>
  <c r="Z321" i="16" s="1"/>
  <c r="Y321" i="16" s="1"/>
  <c r="I357" i="16"/>
  <c r="J335" i="16"/>
  <c r="I367" i="16"/>
  <c r="I375" i="16"/>
  <c r="I365" i="16"/>
  <c r="I349" i="16"/>
  <c r="I198" i="16"/>
  <c r="G210" i="16"/>
  <c r="BY210" i="6" s="1"/>
  <c r="J98" i="16"/>
  <c r="I169" i="16"/>
  <c r="J376" i="16"/>
  <c r="H322" i="16"/>
  <c r="I322" i="16" s="1"/>
  <c r="AA363" i="16"/>
  <c r="Z363" i="16" s="1"/>
  <c r="Y363" i="16" s="1"/>
  <c r="G233" i="16"/>
  <c r="BY233" i="6" s="1"/>
  <c r="G372" i="16"/>
  <c r="BY372" i="6" s="1"/>
  <c r="J231" i="16"/>
  <c r="G197" i="16"/>
  <c r="BY197" i="6" s="1"/>
  <c r="H363" i="16"/>
  <c r="I363" i="16" s="1"/>
  <c r="AA222" i="16"/>
  <c r="Z222" i="16" s="1"/>
  <c r="Y222" i="16" s="1"/>
  <c r="AA299" i="16"/>
  <c r="Z299" i="16" s="1"/>
  <c r="Y299" i="16" s="1"/>
  <c r="H31" i="16"/>
  <c r="J31" i="16" s="1"/>
  <c r="AA52" i="16"/>
  <c r="Z52" i="16" s="1"/>
  <c r="Y52" i="16" s="1"/>
  <c r="H296" i="16"/>
  <c r="I296" i="16" s="1"/>
  <c r="G149" i="16"/>
  <c r="BY149" i="6" s="1"/>
  <c r="H210" i="16"/>
  <c r="J210" i="16" s="1"/>
  <c r="I178" i="16"/>
  <c r="H197" i="16"/>
  <c r="J197" i="16" s="1"/>
  <c r="G222" i="16"/>
  <c r="BY222" i="6" s="1"/>
  <c r="H274" i="16"/>
  <c r="I274" i="16" s="1"/>
  <c r="G199" i="16"/>
  <c r="BY199" i="6" s="1"/>
  <c r="AA31" i="16"/>
  <c r="Z31" i="16" s="1"/>
  <c r="Y31" i="16" s="1"/>
  <c r="H52" i="16"/>
  <c r="I52" i="16" s="1"/>
  <c r="AA233" i="16"/>
  <c r="Z233" i="16" s="1"/>
  <c r="Y233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G310" i="16"/>
  <c r="BY310" i="6" s="1"/>
  <c r="H87" i="16"/>
  <c r="I87" i="16" s="1"/>
  <c r="G342" i="16"/>
  <c r="BY342" i="6" s="1"/>
  <c r="G378" i="16"/>
  <c r="BY378" i="6" s="1"/>
  <c r="I318" i="16"/>
  <c r="AA341" i="16"/>
  <c r="Z341" i="16" s="1"/>
  <c r="Y341" i="16" s="1"/>
  <c r="H21" i="16"/>
  <c r="J21" i="16" s="1"/>
  <c r="G374" i="16"/>
  <c r="BY374" i="6" s="1"/>
  <c r="J82" i="16"/>
  <c r="G118" i="16"/>
  <c r="BY118" i="6" s="1"/>
  <c r="AA212" i="16"/>
  <c r="Z212" i="16" s="1"/>
  <c r="Y212" i="16" s="1"/>
  <c r="G308" i="16"/>
  <c r="BY308" i="6" s="1"/>
  <c r="G333" i="16"/>
  <c r="BY333" i="6" s="1"/>
  <c r="H173" i="16"/>
  <c r="I173" i="16" s="1"/>
  <c r="AA274" i="16"/>
  <c r="Z274" i="16" s="1"/>
  <c r="Y274" i="16" s="1"/>
  <c r="H199" i="16"/>
  <c r="I199" i="16" s="1"/>
  <c r="H299" i="16"/>
  <c r="J299" i="16" s="1"/>
  <c r="G296" i="16"/>
  <c r="BY296" i="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H42" i="16"/>
  <c r="I42" i="16" s="1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63" i="16"/>
  <c r="J163" i="16"/>
  <c r="I155" i="16"/>
  <c r="J155" i="16"/>
  <c r="I70" i="16"/>
  <c r="J70" i="16"/>
  <c r="I102" i="16"/>
  <c r="J102" i="16"/>
  <c r="AA48" i="16"/>
  <c r="Z48" i="16" s="1"/>
  <c r="Y48" i="16" s="1"/>
  <c r="AA118" i="16"/>
  <c r="Z118" i="16" s="1"/>
  <c r="Y118" i="16" s="1"/>
  <c r="H212" i="16"/>
  <c r="J212" i="16" s="1"/>
  <c r="H310" i="16"/>
  <c r="J310" i="16" s="1"/>
  <c r="AA87" i="16"/>
  <c r="Z87" i="16" s="1"/>
  <c r="Y87" i="16" s="1"/>
  <c r="AA342" i="16"/>
  <c r="Z342" i="16" s="1"/>
  <c r="Y342" i="16" s="1"/>
  <c r="G139" i="16"/>
  <c r="BY139" i="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G54" i="16"/>
  <c r="BY54" i="6" s="1"/>
  <c r="AA56" i="16"/>
  <c r="Z56" i="16" s="1"/>
  <c r="Y56" i="16" s="1"/>
  <c r="G42" i="16"/>
  <c r="BY42" i="6" s="1"/>
  <c r="H56" i="16"/>
  <c r="I56" i="16" s="1"/>
  <c r="I36" i="16"/>
  <c r="J36" i="16"/>
  <c r="H48" i="16"/>
  <c r="I48" i="16" s="1"/>
  <c r="H308" i="16"/>
  <c r="J308" i="16" s="1"/>
  <c r="H139" i="16"/>
  <c r="J139" i="16" s="1"/>
  <c r="AA173" i="16"/>
  <c r="Z173" i="16" s="1"/>
  <c r="Y173" i="16" s="1"/>
  <c r="H374" i="16"/>
  <c r="J374" i="16" s="1"/>
  <c r="H93" i="16"/>
  <c r="I93" i="16" s="1"/>
  <c r="I279" i="16"/>
  <c r="J279" i="16"/>
  <c r="J277" i="16"/>
  <c r="I277" i="16"/>
  <c r="J225" i="16"/>
  <c r="I225" i="16"/>
  <c r="I229" i="16"/>
  <c r="J229" i="16"/>
  <c r="J193" i="16"/>
  <c r="I193" i="16"/>
  <c r="AB380" i="25"/>
  <c r="L380" i="25"/>
  <c r="X380" i="25"/>
  <c r="K380" i="25"/>
  <c r="AK380" i="25"/>
  <c r="AJ380" i="25"/>
  <c r="AC380" i="25"/>
  <c r="O380" i="25"/>
  <c r="J283" i="16"/>
  <c r="I283" i="16"/>
  <c r="J301" i="16"/>
  <c r="I301" i="16"/>
  <c r="J265" i="16"/>
  <c r="I265" i="16"/>
  <c r="I253" i="16"/>
  <c r="J253" i="16"/>
  <c r="I245" i="16"/>
  <c r="J245" i="16"/>
  <c r="I189" i="16"/>
  <c r="J189" i="16"/>
  <c r="I145" i="16"/>
  <c r="J145" i="16"/>
  <c r="I273" i="16"/>
  <c r="J273" i="16"/>
  <c r="J129" i="16"/>
  <c r="I129" i="16"/>
  <c r="AM7" i="16"/>
  <c r="AM11" i="16" s="1"/>
  <c r="AK3" i="16" s="1"/>
  <c r="Q13" i="19" s="1"/>
  <c r="J16" i="16"/>
  <c r="I16" i="16"/>
  <c r="H84" i="16"/>
  <c r="I84" i="16" s="1"/>
  <c r="AA27" i="16"/>
  <c r="Z27" i="16" s="1"/>
  <c r="Y27" i="16" s="1"/>
  <c r="H27" i="16"/>
  <c r="G36" i="16"/>
  <c r="BY36" i="6" s="1"/>
  <c r="AA36" i="16"/>
  <c r="Z36" i="16" s="1"/>
  <c r="Y36" i="16" s="1"/>
  <c r="G70" i="16"/>
  <c r="BY70" i="6" s="1"/>
  <c r="AA70" i="16"/>
  <c r="Z70" i="16" s="1"/>
  <c r="Y70" i="16" s="1"/>
  <c r="AA92" i="16"/>
  <c r="Z92" i="16" s="1"/>
  <c r="Y92" i="16" s="1"/>
  <c r="G92" i="16"/>
  <c r="BY92" i="6" s="1"/>
  <c r="H92" i="16"/>
  <c r="G58" i="16"/>
  <c r="BY58" i="6" s="1"/>
  <c r="AA58" i="16"/>
  <c r="Z58" i="16" s="1"/>
  <c r="Y58" i="16" s="1"/>
  <c r="G16" i="16"/>
  <c r="BY16" i="6" s="1"/>
  <c r="AA16" i="16"/>
  <c r="Z16" i="16" s="1"/>
  <c r="Y16" i="16" s="1"/>
  <c r="G18" i="16"/>
  <c r="BY18" i="6" s="1"/>
  <c r="AA18" i="16"/>
  <c r="Z18" i="16" s="1"/>
  <c r="Y18" i="16" s="1"/>
  <c r="H58" i="16"/>
  <c r="Q381" i="17"/>
  <c r="V15" i="7"/>
  <c r="H75" i="16"/>
  <c r="I75" i="16" s="1"/>
  <c r="I18" i="16"/>
  <c r="H266" i="16"/>
  <c r="I266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42" i="16"/>
  <c r="J342" i="16"/>
  <c r="I333" i="16"/>
  <c r="J333" i="16"/>
  <c r="J341" i="16"/>
  <c r="I341" i="16"/>
  <c r="I233" i="16"/>
  <c r="J233" i="16"/>
  <c r="I149" i="16"/>
  <c r="J149" i="16"/>
  <c r="I378" i="16"/>
  <c r="J378" i="16"/>
  <c r="AE382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AA15" i="7"/>
  <c r="Q10" i="18"/>
  <c r="Q22" i="18" s="1"/>
  <c r="J118" i="16"/>
  <c r="I118" i="16"/>
  <c r="I222" i="16"/>
  <c r="J222" i="16"/>
  <c r="L381" i="24"/>
  <c r="L382" i="24"/>
  <c r="L383" i="24"/>
  <c r="AE381" i="17" l="1"/>
  <c r="Q382" i="17"/>
  <c r="Q383" i="17"/>
  <c r="AE11" i="18"/>
  <c r="G305" i="16"/>
  <c r="BY305" i="6" s="1"/>
  <c r="H153" i="16"/>
  <c r="I153" i="16" s="1"/>
  <c r="AA153" i="16"/>
  <c r="Z153" i="16" s="1"/>
  <c r="Y153" i="16" s="1"/>
  <c r="G153" i="16"/>
  <c r="BY153" i="6" s="1"/>
  <c r="J289" i="16"/>
  <c r="I113" i="16"/>
  <c r="G57" i="16"/>
  <c r="BY57" i="6" s="1"/>
  <c r="H57" i="16"/>
  <c r="I57" i="16" s="1"/>
  <c r="J177" i="16"/>
  <c r="G237" i="16"/>
  <c r="BY237" i="6" s="1"/>
  <c r="AA176" i="16"/>
  <c r="Z176" i="16" s="1"/>
  <c r="Y176" i="16" s="1"/>
  <c r="AA184" i="16"/>
  <c r="Z184" i="16" s="1"/>
  <c r="Y184" i="16" s="1"/>
  <c r="G176" i="16"/>
  <c r="BY176" i="6" s="1"/>
  <c r="H305" i="16"/>
  <c r="I305" i="16" s="1"/>
  <c r="I35" i="16"/>
  <c r="H126" i="16"/>
  <c r="I126" i="16" s="1"/>
  <c r="I221" i="16"/>
  <c r="H62" i="16"/>
  <c r="I62" i="16" s="1"/>
  <c r="G62" i="16"/>
  <c r="BY62" i="6" s="1"/>
  <c r="G184" i="16"/>
  <c r="BY184" i="6" s="1"/>
  <c r="H237" i="16"/>
  <c r="I237" i="16" s="1"/>
  <c r="J176" i="16"/>
  <c r="AI216" i="17"/>
  <c r="AH216" i="17" s="1"/>
  <c r="AG216" i="17" s="1"/>
  <c r="AF216" i="17" s="1"/>
  <c r="AI232" i="17"/>
  <c r="AH232" i="17" s="1"/>
  <c r="AG232" i="17" s="1"/>
  <c r="AF232" i="17" s="1"/>
  <c r="H29" i="16"/>
  <c r="I29" i="16" s="1"/>
  <c r="H134" i="16"/>
  <c r="J134" i="16" s="1"/>
  <c r="AA35" i="16"/>
  <c r="Z35" i="16" s="1"/>
  <c r="Y35" i="16" s="1"/>
  <c r="I110" i="16"/>
  <c r="AA126" i="16"/>
  <c r="Z126" i="16" s="1"/>
  <c r="Y126" i="16" s="1"/>
  <c r="G35" i="16"/>
  <c r="BY35" i="6" s="1"/>
  <c r="J201" i="16"/>
  <c r="G88" i="16"/>
  <c r="BY88" i="6" s="1"/>
  <c r="J101" i="16"/>
  <c r="AA134" i="16"/>
  <c r="Z134" i="16" s="1"/>
  <c r="Y134" i="16" s="1"/>
  <c r="J119" i="16"/>
  <c r="H40" i="16"/>
  <c r="I40" i="16" s="1"/>
  <c r="J261" i="16"/>
  <c r="H103" i="16"/>
  <c r="J103" i="16" s="1"/>
  <c r="AA101" i="16"/>
  <c r="Z101" i="16" s="1"/>
  <c r="Y101" i="16" s="1"/>
  <c r="J147" i="16"/>
  <c r="G66" i="16"/>
  <c r="BY66" i="6" s="1"/>
  <c r="G40" i="16"/>
  <c r="BY40" i="6" s="1"/>
  <c r="H53" i="16"/>
  <c r="J53" i="16" s="1"/>
  <c r="G101" i="16"/>
  <c r="BY101" i="6" s="1"/>
  <c r="H66" i="16"/>
  <c r="I66" i="16" s="1"/>
  <c r="AA285" i="16"/>
  <c r="Z285" i="16" s="1"/>
  <c r="Y285" i="16" s="1"/>
  <c r="H285" i="16"/>
  <c r="J285" i="16" s="1"/>
  <c r="G162" i="16"/>
  <c r="BY162" i="6" s="1"/>
  <c r="AA50" i="16"/>
  <c r="Z50" i="16" s="1"/>
  <c r="Y50" i="16" s="1"/>
  <c r="J311" i="16"/>
  <c r="J38" i="16"/>
  <c r="AA17" i="16"/>
  <c r="Z17" i="16" s="1"/>
  <c r="Y17" i="16" s="1"/>
  <c r="H125" i="16"/>
  <c r="I125" i="16" s="1"/>
  <c r="H46" i="16"/>
  <c r="I46" i="16" s="1"/>
  <c r="G37" i="16"/>
  <c r="BY37" i="6" s="1"/>
  <c r="I133" i="16"/>
  <c r="G275" i="16"/>
  <c r="BY275" i="6" s="1"/>
  <c r="AA45" i="16"/>
  <c r="Z45" i="16" s="1"/>
  <c r="Y45" i="16" s="1"/>
  <c r="I83" i="16"/>
  <c r="AA61" i="16"/>
  <c r="Z61" i="16" s="1"/>
  <c r="Y61" i="16" s="1"/>
  <c r="AA125" i="16"/>
  <c r="Z125" i="16" s="1"/>
  <c r="Y125" i="16" s="1"/>
  <c r="I275" i="16"/>
  <c r="I51" i="16"/>
  <c r="G46" i="16"/>
  <c r="BY46" i="6" s="1"/>
  <c r="AA37" i="16"/>
  <c r="Z37" i="16" s="1"/>
  <c r="Y37" i="16" s="1"/>
  <c r="J50" i="16"/>
  <c r="J43" i="16"/>
  <c r="I223" i="16"/>
  <c r="G45" i="16"/>
  <c r="BY45" i="6" s="1"/>
  <c r="I309" i="16"/>
  <c r="H34" i="16"/>
  <c r="I34" i="16" s="1"/>
  <c r="H152" i="16"/>
  <c r="J152" i="16" s="1"/>
  <c r="I179" i="16"/>
  <c r="I77" i="16"/>
  <c r="G119" i="16"/>
  <c r="BY119" i="6" s="1"/>
  <c r="AA53" i="16"/>
  <c r="Z53" i="16" s="1"/>
  <c r="Y53" i="16" s="1"/>
  <c r="J287" i="16"/>
  <c r="J143" i="16"/>
  <c r="J114" i="16"/>
  <c r="G317" i="16"/>
  <c r="BY317" i="6" s="1"/>
  <c r="G50" i="16"/>
  <c r="BY50" i="6" s="1"/>
  <c r="I165" i="16"/>
  <c r="H17" i="16"/>
  <c r="I17" i="16" s="1"/>
  <c r="J269" i="16"/>
  <c r="AA275" i="16"/>
  <c r="Z275" i="16" s="1"/>
  <c r="Y275" i="16" s="1"/>
  <c r="H111" i="16"/>
  <c r="I111" i="16" s="1"/>
  <c r="AA379" i="16"/>
  <c r="Z379" i="16" s="1"/>
  <c r="Y379" i="16" s="1"/>
  <c r="G61" i="16"/>
  <c r="BY61" i="6" s="1"/>
  <c r="I61" i="16"/>
  <c r="AA34" i="16"/>
  <c r="Z34" i="16" s="1"/>
  <c r="Y34" i="16" s="1"/>
  <c r="AA152" i="16"/>
  <c r="Z152" i="16" s="1"/>
  <c r="Y152" i="16" s="1"/>
  <c r="AA119" i="16"/>
  <c r="Z119" i="16" s="1"/>
  <c r="Y119" i="16" s="1"/>
  <c r="J162" i="16"/>
  <c r="J300" i="16"/>
  <c r="H317" i="16"/>
  <c r="I317" i="16" s="1"/>
  <c r="AA77" i="16"/>
  <c r="Z77" i="16" s="1"/>
  <c r="Y77" i="16" s="1"/>
  <c r="L43" i="19"/>
  <c r="AA162" i="16"/>
  <c r="Z162" i="16" s="1"/>
  <c r="Y162" i="16" s="1"/>
  <c r="D11" i="19"/>
  <c r="E11" i="19" s="1"/>
  <c r="G35" i="19"/>
  <c r="AA38" i="16"/>
  <c r="Z38" i="16" s="1"/>
  <c r="Y38" i="16" s="1"/>
  <c r="H112" i="16"/>
  <c r="J112" i="16" s="1"/>
  <c r="AI79" i="17"/>
  <c r="AH79" i="17" s="1"/>
  <c r="AG79" i="17" s="1"/>
  <c r="AF79" i="17" s="1"/>
  <c r="AI356" i="17"/>
  <c r="AH356" i="17" s="1"/>
  <c r="AG356" i="17" s="1"/>
  <c r="AF356" i="17" s="1"/>
  <c r="AI127" i="17"/>
  <c r="AH127" i="17" s="1"/>
  <c r="AI360" i="17"/>
  <c r="AH360" i="17" s="1"/>
  <c r="AG360" i="17" s="1"/>
  <c r="AF360" i="17" s="1"/>
  <c r="I146" i="16"/>
  <c r="J205" i="16"/>
  <c r="G205" i="16"/>
  <c r="BY205" i="6" s="1"/>
  <c r="AD360" i="17"/>
  <c r="J267" i="16"/>
  <c r="I181" i="16"/>
  <c r="I104" i="16"/>
  <c r="AA97" i="16"/>
  <c r="Z97" i="16" s="1"/>
  <c r="Y97" i="16" s="1"/>
  <c r="H108" i="16"/>
  <c r="J108" i="16" s="1"/>
  <c r="J243" i="16"/>
  <c r="J325" i="16"/>
  <c r="J328" i="16"/>
  <c r="J19" i="16"/>
  <c r="I271" i="16"/>
  <c r="G111" i="16"/>
  <c r="BY111" i="6" s="1"/>
  <c r="I32" i="16"/>
  <c r="J213" i="16"/>
  <c r="I371" i="16"/>
  <c r="I71" i="16"/>
  <c r="AA205" i="16"/>
  <c r="Z205" i="16" s="1"/>
  <c r="Y205" i="16" s="1"/>
  <c r="H339" i="16"/>
  <c r="AA339" i="16"/>
  <c r="Z339" i="16" s="1"/>
  <c r="Y339" i="16" s="1"/>
  <c r="G339" i="16"/>
  <c r="BY339" i="6" s="1"/>
  <c r="AD232" i="17"/>
  <c r="AI336" i="17"/>
  <c r="AH336" i="17" s="1"/>
  <c r="AG336" i="17" s="1"/>
  <c r="AF336" i="17" s="1"/>
  <c r="AI47" i="17"/>
  <c r="AH47" i="17" s="1"/>
  <c r="AG47" i="17" s="1"/>
  <c r="AF47" i="17" s="1"/>
  <c r="AI320" i="17"/>
  <c r="AH320" i="17" s="1"/>
  <c r="AG320" i="17" s="1"/>
  <c r="AF320" i="17" s="1"/>
  <c r="AI192" i="17"/>
  <c r="AH192" i="17" s="1"/>
  <c r="AG192" i="17" s="1"/>
  <c r="AF192" i="17" s="1"/>
  <c r="AI376" i="17"/>
  <c r="AH376" i="17" s="1"/>
  <c r="AI18" i="17"/>
  <c r="AH18" i="17" s="1"/>
  <c r="AG18" i="17" s="1"/>
  <c r="AF18" i="17" s="1"/>
  <c r="G108" i="16"/>
  <c r="BY108" i="6" s="1"/>
  <c r="G112" i="16"/>
  <c r="BY112" i="6" s="1"/>
  <c r="I122" i="16"/>
  <c r="I157" i="16"/>
  <c r="J249" i="16"/>
  <c r="I195" i="16"/>
  <c r="I120" i="16"/>
  <c r="J170" i="16"/>
  <c r="J81" i="16"/>
  <c r="H97" i="16"/>
  <c r="I97" i="16" s="1"/>
  <c r="H73" i="16"/>
  <c r="I73" i="16" s="1"/>
  <c r="I67" i="16"/>
  <c r="J316" i="16"/>
  <c r="I347" i="16"/>
  <c r="I182" i="16"/>
  <c r="I362" i="16"/>
  <c r="I227" i="16"/>
  <c r="J321" i="16"/>
  <c r="J215" i="16"/>
  <c r="I307" i="16"/>
  <c r="I262" i="16"/>
  <c r="I138" i="16"/>
  <c r="I95" i="16"/>
  <c r="J160" i="16"/>
  <c r="J211" i="16"/>
  <c r="AD264" i="17"/>
  <c r="J117" i="16"/>
  <c r="G172" i="16"/>
  <c r="BY172" i="6" s="1"/>
  <c r="I235" i="16"/>
  <c r="J303" i="16"/>
  <c r="J105" i="16"/>
  <c r="J368" i="16"/>
  <c r="G73" i="16"/>
  <c r="BY73" i="6" s="1"/>
  <c r="I25" i="16"/>
  <c r="I260" i="16"/>
  <c r="I94" i="16"/>
  <c r="J304" i="16"/>
  <c r="J294" i="16"/>
  <c r="J373" i="16"/>
  <c r="I358" i="16"/>
  <c r="J121" i="16"/>
  <c r="I239" i="16"/>
  <c r="H28" i="16"/>
  <c r="J28" i="16" s="1"/>
  <c r="J259" i="16"/>
  <c r="G33" i="16"/>
  <c r="BY33" i="6" s="1"/>
  <c r="I151" i="16"/>
  <c r="AA33" i="16"/>
  <c r="Z33" i="16" s="1"/>
  <c r="Y33" i="16" s="1"/>
  <c r="I33" i="16"/>
  <c r="I361" i="16"/>
  <c r="H180" i="16"/>
  <c r="I180" i="16" s="1"/>
  <c r="AA180" i="16"/>
  <c r="Z180" i="16" s="1"/>
  <c r="Y180" i="16" s="1"/>
  <c r="G47" i="16"/>
  <c r="BY47" i="6" s="1"/>
  <c r="H47" i="16"/>
  <c r="AA47" i="16"/>
  <c r="Z47" i="16" s="1"/>
  <c r="Y47" i="16" s="1"/>
  <c r="I251" i="16"/>
  <c r="J24" i="16"/>
  <c r="I230" i="16"/>
  <c r="I200" i="16"/>
  <c r="J203" i="16"/>
  <c r="J255" i="16"/>
  <c r="I238" i="16"/>
  <c r="J257" i="16"/>
  <c r="H123" i="16"/>
  <c r="G123" i="16"/>
  <c r="BY123" i="6" s="1"/>
  <c r="AA123" i="16"/>
  <c r="Z123" i="16" s="1"/>
  <c r="Y123" i="16" s="1"/>
  <c r="G217" i="16"/>
  <c r="BY217" i="6" s="1"/>
  <c r="AA217" i="16"/>
  <c r="Z217" i="16" s="1"/>
  <c r="Y217" i="16" s="1"/>
  <c r="J372" i="16"/>
  <c r="I281" i="16"/>
  <c r="J136" i="16"/>
  <c r="AA30" i="16"/>
  <c r="Z30" i="16" s="1"/>
  <c r="Y30" i="16" s="1"/>
  <c r="J185" i="16"/>
  <c r="J359" i="16"/>
  <c r="J353" i="16"/>
  <c r="G78" i="16"/>
  <c r="BY78" i="6" s="1"/>
  <c r="H140" i="16"/>
  <c r="AA140" i="16"/>
  <c r="Z140" i="16" s="1"/>
  <c r="Y140" i="16" s="1"/>
  <c r="G140" i="16"/>
  <c r="BY140" i="6" s="1"/>
  <c r="I208" i="16"/>
  <c r="J208" i="16"/>
  <c r="J96" i="16"/>
  <c r="I96" i="16"/>
  <c r="J59" i="16"/>
  <c r="I59" i="16"/>
  <c r="J187" i="16"/>
  <c r="H74" i="16"/>
  <c r="J74" i="16" s="1"/>
  <c r="I130" i="16"/>
  <c r="H217" i="16"/>
  <c r="J217" i="16" s="1"/>
  <c r="H63" i="19"/>
  <c r="H78" i="16"/>
  <c r="I78" i="16" s="1"/>
  <c r="J241" i="16"/>
  <c r="I278" i="16"/>
  <c r="J377" i="16"/>
  <c r="I137" i="16"/>
  <c r="J137" i="16"/>
  <c r="I293" i="16"/>
  <c r="J293" i="16"/>
  <c r="I188" i="16"/>
  <c r="J188" i="16"/>
  <c r="J313" i="16"/>
  <c r="I313" i="16"/>
  <c r="I135" i="16"/>
  <c r="J135" i="16"/>
  <c r="H30" i="16"/>
  <c r="I30" i="16" s="1"/>
  <c r="G74" i="16"/>
  <c r="BY74" i="6" s="1"/>
  <c r="D63" i="19"/>
  <c r="J106" i="16"/>
  <c r="AA172" i="16"/>
  <c r="Z172" i="16" s="1"/>
  <c r="Y172" i="16" s="1"/>
  <c r="G38" i="16"/>
  <c r="BY38" i="6" s="1"/>
  <c r="AA28" i="16"/>
  <c r="Z28" i="16" s="1"/>
  <c r="Y28" i="16" s="1"/>
  <c r="I63" i="19"/>
  <c r="J297" i="16"/>
  <c r="I128" i="16"/>
  <c r="J337" i="16"/>
  <c r="E63" i="19"/>
  <c r="I315" i="16"/>
  <c r="J219" i="16"/>
  <c r="J345" i="16"/>
  <c r="AA191" i="16"/>
  <c r="Z191" i="16" s="1"/>
  <c r="Y191" i="16" s="1"/>
  <c r="G191" i="16"/>
  <c r="BY191" i="6" s="1"/>
  <c r="H191" i="16"/>
  <c r="AA291" i="16"/>
  <c r="Z291" i="16" s="1"/>
  <c r="Y291" i="16" s="1"/>
  <c r="G291" i="16"/>
  <c r="BY291" i="6" s="1"/>
  <c r="H291" i="16"/>
  <c r="G39" i="16"/>
  <c r="BY39" i="6" s="1"/>
  <c r="AA39" i="16"/>
  <c r="Z39" i="16" s="1"/>
  <c r="Y39" i="16" s="1"/>
  <c r="H39" i="16"/>
  <c r="G100" i="16"/>
  <c r="BY100" i="6" s="1"/>
  <c r="AA100" i="16"/>
  <c r="Z100" i="16" s="1"/>
  <c r="Y100" i="16" s="1"/>
  <c r="H100" i="16"/>
  <c r="G144" i="16"/>
  <c r="BY144" i="6" s="1"/>
  <c r="AA144" i="16"/>
  <c r="Z144" i="16" s="1"/>
  <c r="Y144" i="16" s="1"/>
  <c r="H144" i="16"/>
  <c r="G26" i="16"/>
  <c r="BY26" i="6" s="1"/>
  <c r="H26" i="16"/>
  <c r="AA26" i="16"/>
  <c r="Z26" i="16" s="1"/>
  <c r="Y26" i="16" s="1"/>
  <c r="AA218" i="16"/>
  <c r="Z218" i="16" s="1"/>
  <c r="Y218" i="16" s="1"/>
  <c r="G218" i="16"/>
  <c r="BY218" i="6" s="1"/>
  <c r="H218" i="16"/>
  <c r="G282" i="16"/>
  <c r="BY282" i="6" s="1"/>
  <c r="AA282" i="16"/>
  <c r="Z282" i="16" s="1"/>
  <c r="Y282" i="16" s="1"/>
  <c r="H282" i="16"/>
  <c r="G314" i="16"/>
  <c r="BY314" i="6" s="1"/>
  <c r="H314" i="16"/>
  <c r="AA314" i="16"/>
  <c r="Z314" i="16" s="1"/>
  <c r="Y314" i="16" s="1"/>
  <c r="AA354" i="16"/>
  <c r="Z354" i="16" s="1"/>
  <c r="Y354" i="16" s="1"/>
  <c r="H354" i="16"/>
  <c r="G354" i="16"/>
  <c r="BY354" i="6" s="1"/>
  <c r="G85" i="16"/>
  <c r="BY85" i="6" s="1"/>
  <c r="H85" i="16"/>
  <c r="AA85" i="16"/>
  <c r="Z85" i="16" s="1"/>
  <c r="Y85" i="16" s="1"/>
  <c r="G254" i="16"/>
  <c r="BY254" i="6" s="1"/>
  <c r="AA254" i="16"/>
  <c r="Z254" i="16" s="1"/>
  <c r="Y254" i="16" s="1"/>
  <c r="H254" i="16"/>
  <c r="G334" i="16"/>
  <c r="BY334" i="6" s="1"/>
  <c r="H334" i="16"/>
  <c r="AA334" i="16"/>
  <c r="Z334" i="16" s="1"/>
  <c r="Y334" i="16" s="1"/>
  <c r="G202" i="16"/>
  <c r="BY202" i="6" s="1"/>
  <c r="AA202" i="16"/>
  <c r="Z202" i="16" s="1"/>
  <c r="Y202" i="16" s="1"/>
  <c r="H202" i="16"/>
  <c r="G258" i="16"/>
  <c r="BY258" i="6" s="1"/>
  <c r="H258" i="16"/>
  <c r="AA258" i="16"/>
  <c r="Z258" i="16" s="1"/>
  <c r="Y258" i="16" s="1"/>
  <c r="G306" i="16"/>
  <c r="BY306" i="6" s="1"/>
  <c r="H306" i="16"/>
  <c r="AA306" i="16"/>
  <c r="Z306" i="16" s="1"/>
  <c r="Y306" i="16" s="1"/>
  <c r="G346" i="16"/>
  <c r="BY346" i="6" s="1"/>
  <c r="AA346" i="16"/>
  <c r="Z346" i="16" s="1"/>
  <c r="Y346" i="16" s="1"/>
  <c r="H346" i="16"/>
  <c r="H109" i="16"/>
  <c r="G109" i="16"/>
  <c r="BY109" i="6" s="1"/>
  <c r="AA109" i="16"/>
  <c r="Z109" i="16" s="1"/>
  <c r="Y109" i="16" s="1"/>
  <c r="H204" i="16"/>
  <c r="G204" i="16"/>
  <c r="BY204" i="6" s="1"/>
  <c r="AA204" i="16"/>
  <c r="Z204" i="16" s="1"/>
  <c r="Y204" i="16" s="1"/>
  <c r="AA236" i="16"/>
  <c r="Z236" i="16" s="1"/>
  <c r="Y236" i="16" s="1"/>
  <c r="G236" i="16"/>
  <c r="BY236" i="6" s="1"/>
  <c r="H236" i="16"/>
  <c r="AA252" i="16"/>
  <c r="Z252" i="16" s="1"/>
  <c r="Y252" i="16" s="1"/>
  <c r="G252" i="16"/>
  <c r="BY252" i="6" s="1"/>
  <c r="H252" i="16"/>
  <c r="AA276" i="16"/>
  <c r="Z276" i="16" s="1"/>
  <c r="Y276" i="16" s="1"/>
  <c r="G276" i="16"/>
  <c r="BY276" i="6" s="1"/>
  <c r="H276" i="16"/>
  <c r="G324" i="16"/>
  <c r="BY324" i="6" s="1"/>
  <c r="AA324" i="16"/>
  <c r="Z324" i="16" s="1"/>
  <c r="Y324" i="16" s="1"/>
  <c r="H324" i="16"/>
  <c r="G340" i="16"/>
  <c r="BY340" i="6" s="1"/>
  <c r="H340" i="16"/>
  <c r="AA340" i="16"/>
  <c r="Z340" i="16" s="1"/>
  <c r="Y340" i="16" s="1"/>
  <c r="G356" i="16"/>
  <c r="BY356" i="6" s="1"/>
  <c r="H356" i="16"/>
  <c r="AA356" i="16"/>
  <c r="Z356" i="16" s="1"/>
  <c r="Y356" i="16" s="1"/>
  <c r="G206" i="16"/>
  <c r="BY206" i="6" s="1"/>
  <c r="AA206" i="16"/>
  <c r="Z206" i="16" s="1"/>
  <c r="Y206" i="16" s="1"/>
  <c r="H206" i="16"/>
  <c r="H270" i="16"/>
  <c r="AA270" i="16"/>
  <c r="Z270" i="16" s="1"/>
  <c r="Y270" i="16" s="1"/>
  <c r="G270" i="16"/>
  <c r="BY270" i="6" s="1"/>
  <c r="H55" i="16"/>
  <c r="G55" i="16"/>
  <c r="BY55" i="6" s="1"/>
  <c r="AA55" i="16"/>
  <c r="Z55" i="16" s="1"/>
  <c r="Y55" i="16" s="1"/>
  <c r="G183" i="16"/>
  <c r="BY183" i="6" s="1"/>
  <c r="AA183" i="16"/>
  <c r="Z183" i="16" s="1"/>
  <c r="Y183" i="16" s="1"/>
  <c r="H183" i="16"/>
  <c r="G115" i="16"/>
  <c r="BY115" i="6" s="1"/>
  <c r="AA115" i="16"/>
  <c r="Z115" i="16" s="1"/>
  <c r="Y115" i="16" s="1"/>
  <c r="H115" i="16"/>
  <c r="G124" i="16"/>
  <c r="BY124" i="6" s="1"/>
  <c r="H124" i="16"/>
  <c r="AA124" i="16"/>
  <c r="Z124" i="16" s="1"/>
  <c r="Y124" i="16" s="1"/>
  <c r="H164" i="16"/>
  <c r="AA164" i="16"/>
  <c r="Z164" i="16" s="1"/>
  <c r="Y164" i="16" s="1"/>
  <c r="G164" i="16"/>
  <c r="BY164" i="6" s="1"/>
  <c r="G194" i="16"/>
  <c r="BY194" i="6" s="1"/>
  <c r="AA194" i="16"/>
  <c r="Z194" i="16" s="1"/>
  <c r="Y194" i="16" s="1"/>
  <c r="H194" i="16"/>
  <c r="G250" i="16"/>
  <c r="BY250" i="6" s="1"/>
  <c r="AA250" i="16"/>
  <c r="Z250" i="16" s="1"/>
  <c r="Y250" i="16" s="1"/>
  <c r="H250" i="16"/>
  <c r="G298" i="16"/>
  <c r="BY298" i="6" s="1"/>
  <c r="H298" i="16"/>
  <c r="AA298" i="16"/>
  <c r="Z298" i="16" s="1"/>
  <c r="Y298" i="16" s="1"/>
  <c r="G338" i="16"/>
  <c r="BY338" i="6" s="1"/>
  <c r="AA338" i="16"/>
  <c r="Z338" i="16" s="1"/>
  <c r="Y338" i="16" s="1"/>
  <c r="H338" i="16"/>
  <c r="G323" i="16"/>
  <c r="BY323" i="6" s="1"/>
  <c r="AA323" i="16"/>
  <c r="Z323" i="16" s="1"/>
  <c r="Y323" i="16" s="1"/>
  <c r="H323" i="16"/>
  <c r="AA214" i="16"/>
  <c r="Z214" i="16" s="1"/>
  <c r="Y214" i="16" s="1"/>
  <c r="G214" i="16"/>
  <c r="BY214" i="6" s="1"/>
  <c r="H214" i="16"/>
  <c r="G286" i="16"/>
  <c r="BY286" i="6" s="1"/>
  <c r="AA286" i="16"/>
  <c r="Z286" i="16" s="1"/>
  <c r="Y286" i="16" s="1"/>
  <c r="H286" i="16"/>
  <c r="H366" i="16"/>
  <c r="G366" i="16"/>
  <c r="BY366" i="6" s="1"/>
  <c r="AA366" i="16"/>
  <c r="Z366" i="16" s="1"/>
  <c r="Y366" i="16" s="1"/>
  <c r="G186" i="16"/>
  <c r="BY186" i="6" s="1"/>
  <c r="AA186" i="16"/>
  <c r="Z186" i="16" s="1"/>
  <c r="Y186" i="16" s="1"/>
  <c r="H186" i="16"/>
  <c r="G234" i="16"/>
  <c r="BY234" i="6" s="1"/>
  <c r="AA234" i="16"/>
  <c r="Z234" i="16" s="1"/>
  <c r="Y234" i="16" s="1"/>
  <c r="H234" i="16"/>
  <c r="G330" i="16"/>
  <c r="BY330" i="6" s="1"/>
  <c r="AA330" i="16"/>
  <c r="Z330" i="16" s="1"/>
  <c r="Y330" i="16" s="1"/>
  <c r="H330" i="16"/>
  <c r="G370" i="16"/>
  <c r="BY370" i="6" s="1"/>
  <c r="AA370" i="16"/>
  <c r="Z370" i="16" s="1"/>
  <c r="Y370" i="16" s="1"/>
  <c r="H370" i="16"/>
  <c r="G196" i="16"/>
  <c r="BY196" i="6" s="1"/>
  <c r="AA196" i="16"/>
  <c r="Z196" i="16" s="1"/>
  <c r="Y196" i="16" s="1"/>
  <c r="H196" i="16"/>
  <c r="G220" i="16"/>
  <c r="BY220" i="6" s="1"/>
  <c r="AA220" i="16"/>
  <c r="Z220" i="16" s="1"/>
  <c r="Y220" i="16" s="1"/>
  <c r="H220" i="16"/>
  <c r="AA244" i="16"/>
  <c r="Z244" i="16" s="1"/>
  <c r="Y244" i="16" s="1"/>
  <c r="G244" i="16"/>
  <c r="BY244" i="6" s="1"/>
  <c r="H244" i="16"/>
  <c r="G268" i="16"/>
  <c r="BY268" i="6" s="1"/>
  <c r="AA268" i="16"/>
  <c r="Z268" i="16" s="1"/>
  <c r="Y268" i="16" s="1"/>
  <c r="H268" i="16"/>
  <c r="H292" i="16"/>
  <c r="AA292" i="16"/>
  <c r="Z292" i="16" s="1"/>
  <c r="Y292" i="16" s="1"/>
  <c r="G292" i="16"/>
  <c r="BY292" i="6" s="1"/>
  <c r="G332" i="16"/>
  <c r="BY332" i="6" s="1"/>
  <c r="H332" i="16"/>
  <c r="AA332" i="16"/>
  <c r="Z332" i="16" s="1"/>
  <c r="Y332" i="16" s="1"/>
  <c r="G348" i="16"/>
  <c r="BY348" i="6" s="1"/>
  <c r="AA348" i="16"/>
  <c r="Z348" i="16" s="1"/>
  <c r="Y348" i="16" s="1"/>
  <c r="H348" i="16"/>
  <c r="G327" i="16"/>
  <c r="BY327" i="6" s="1"/>
  <c r="H327" i="16"/>
  <c r="AA327" i="16"/>
  <c r="Z327" i="16" s="1"/>
  <c r="Y327" i="16" s="1"/>
  <c r="G68" i="16"/>
  <c r="BY68" i="6" s="1"/>
  <c r="AA68" i="16"/>
  <c r="Z68" i="16" s="1"/>
  <c r="Y68" i="16" s="1"/>
  <c r="H68" i="16"/>
  <c r="H246" i="16"/>
  <c r="AA246" i="16"/>
  <c r="Z246" i="16" s="1"/>
  <c r="Y246" i="16" s="1"/>
  <c r="G246" i="16"/>
  <c r="BY246" i="6" s="1"/>
  <c r="G331" i="16"/>
  <c r="BY331" i="6" s="1"/>
  <c r="H331" i="16"/>
  <c r="AA331" i="16"/>
  <c r="Z331" i="16" s="1"/>
  <c r="Y331" i="16" s="1"/>
  <c r="H65" i="16"/>
  <c r="AA65" i="16"/>
  <c r="Z65" i="16" s="1"/>
  <c r="Y65" i="16" s="1"/>
  <c r="G65" i="16"/>
  <c r="BY65" i="6" s="1"/>
  <c r="AA351" i="16"/>
  <c r="Z351" i="16" s="1"/>
  <c r="Y351" i="16" s="1"/>
  <c r="G351" i="16"/>
  <c r="BY351" i="6" s="1"/>
  <c r="H351" i="16"/>
  <c r="G190" i="16"/>
  <c r="BY190" i="6" s="1"/>
  <c r="H190" i="16"/>
  <c r="AA190" i="16"/>
  <c r="Z190" i="16" s="1"/>
  <c r="Y190" i="16" s="1"/>
  <c r="H86" i="16"/>
  <c r="G86" i="16"/>
  <c r="BY86" i="6" s="1"/>
  <c r="AA86" i="16"/>
  <c r="Z86" i="16" s="1"/>
  <c r="Y86" i="16" s="1"/>
  <c r="G150" i="16"/>
  <c r="BY150" i="6" s="1"/>
  <c r="H150" i="16"/>
  <c r="AA150" i="16"/>
  <c r="Z150" i="16" s="1"/>
  <c r="Y150" i="16" s="1"/>
  <c r="AA166" i="16"/>
  <c r="Z166" i="16" s="1"/>
  <c r="Y166" i="16" s="1"/>
  <c r="G166" i="16"/>
  <c r="BY166" i="6" s="1"/>
  <c r="H166" i="16"/>
  <c r="G72" i="16"/>
  <c r="BY72" i="6" s="1"/>
  <c r="AA72" i="16"/>
  <c r="Z72" i="16" s="1"/>
  <c r="Y72" i="16" s="1"/>
  <c r="H72" i="16"/>
  <c r="G171" i="16"/>
  <c r="BY171" i="6" s="1"/>
  <c r="AA171" i="16"/>
  <c r="Z171" i="16" s="1"/>
  <c r="Y171" i="16" s="1"/>
  <c r="G99" i="16"/>
  <c r="BY99" i="6" s="1"/>
  <c r="AA99" i="16"/>
  <c r="Z99" i="16" s="1"/>
  <c r="Y99" i="16" s="1"/>
  <c r="H99" i="16"/>
  <c r="G80" i="16"/>
  <c r="BY80" i="6" s="1"/>
  <c r="AA80" i="16"/>
  <c r="Z80" i="16" s="1"/>
  <c r="Y80" i="16" s="1"/>
  <c r="H80" i="16"/>
  <c r="G116" i="16"/>
  <c r="BY116" i="6" s="1"/>
  <c r="H116" i="16"/>
  <c r="AA116" i="16"/>
  <c r="Z116" i="16" s="1"/>
  <c r="Y116" i="16" s="1"/>
  <c r="H132" i="16"/>
  <c r="AA132" i="16"/>
  <c r="Z132" i="16" s="1"/>
  <c r="Y132" i="16" s="1"/>
  <c r="G132" i="16"/>
  <c r="BY132" i="6" s="1"/>
  <c r="H156" i="16"/>
  <c r="AA156" i="16"/>
  <c r="Z156" i="16" s="1"/>
  <c r="Y156" i="16" s="1"/>
  <c r="G156" i="16"/>
  <c r="BY156" i="6" s="1"/>
  <c r="AA343" i="16"/>
  <c r="Z343" i="16" s="1"/>
  <c r="Y343" i="16" s="1"/>
  <c r="H343" i="16"/>
  <c r="G343" i="16"/>
  <c r="BY343" i="6" s="1"/>
  <c r="H76" i="16"/>
  <c r="G76" i="16"/>
  <c r="BY76" i="6" s="1"/>
  <c r="AA76" i="16"/>
  <c r="Z76" i="16" s="1"/>
  <c r="Y76" i="16" s="1"/>
  <c r="G23" i="16"/>
  <c r="BY23" i="6" s="1"/>
  <c r="H23" i="16"/>
  <c r="AA23" i="16"/>
  <c r="Z23" i="16" s="1"/>
  <c r="Y23" i="16" s="1"/>
  <c r="H295" i="16"/>
  <c r="AA295" i="16"/>
  <c r="Z295" i="16" s="1"/>
  <c r="Y295" i="16" s="1"/>
  <c r="G295" i="16"/>
  <c r="BY295" i="6" s="1"/>
  <c r="G107" i="16"/>
  <c r="BY107" i="6" s="1"/>
  <c r="H107" i="16"/>
  <c r="AA107" i="16"/>
  <c r="Z107" i="16" s="1"/>
  <c r="Y107" i="16" s="1"/>
  <c r="AA41" i="16"/>
  <c r="Z41" i="16" s="1"/>
  <c r="Y41" i="16" s="1"/>
  <c r="H41" i="16"/>
  <c r="G41" i="16"/>
  <c r="BY41" i="6" s="1"/>
  <c r="AA148" i="16"/>
  <c r="Z148" i="16" s="1"/>
  <c r="Y148" i="16" s="1"/>
  <c r="H148" i="16"/>
  <c r="G148" i="16"/>
  <c r="BY148" i="6" s="1"/>
  <c r="G22" i="16"/>
  <c r="BY22" i="6" s="1"/>
  <c r="H22" i="16"/>
  <c r="AA22" i="16"/>
  <c r="Z22" i="16" s="1"/>
  <c r="Y22" i="16" s="1"/>
  <c r="H192" i="16"/>
  <c r="AA192" i="16"/>
  <c r="Z192" i="16" s="1"/>
  <c r="Y192" i="16" s="1"/>
  <c r="G192" i="16"/>
  <c r="BY192" i="6" s="1"/>
  <c r="G216" i="16"/>
  <c r="BY216" i="6" s="1"/>
  <c r="AA216" i="16"/>
  <c r="Z216" i="16" s="1"/>
  <c r="Y216" i="16" s="1"/>
  <c r="H216" i="16"/>
  <c r="G232" i="16"/>
  <c r="BY232" i="6" s="1"/>
  <c r="H232" i="16"/>
  <c r="AA232" i="16"/>
  <c r="Z232" i="16" s="1"/>
  <c r="Y232" i="16" s="1"/>
  <c r="G240" i="16"/>
  <c r="BY240" i="6" s="1"/>
  <c r="H240" i="16"/>
  <c r="AA240" i="16"/>
  <c r="Z240" i="16" s="1"/>
  <c r="Y240" i="16" s="1"/>
  <c r="AA248" i="16"/>
  <c r="Z248" i="16" s="1"/>
  <c r="Y248" i="16" s="1"/>
  <c r="H248" i="16"/>
  <c r="G248" i="16"/>
  <c r="BY248" i="6" s="1"/>
  <c r="H256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AA272" i="16"/>
  <c r="Z272" i="16" s="1"/>
  <c r="Y272" i="16" s="1"/>
  <c r="G272" i="16"/>
  <c r="BY272" i="6" s="1"/>
  <c r="H272" i="16"/>
  <c r="AA280" i="16"/>
  <c r="Z280" i="16" s="1"/>
  <c r="Y280" i="16" s="1"/>
  <c r="G280" i="16"/>
  <c r="BY280" i="6" s="1"/>
  <c r="H280" i="16"/>
  <c r="G288" i="16"/>
  <c r="BY288" i="6" s="1"/>
  <c r="AA288" i="16"/>
  <c r="Z288" i="16" s="1"/>
  <c r="Y288" i="16" s="1"/>
  <c r="G312" i="16"/>
  <c r="BY312" i="6" s="1"/>
  <c r="AA312" i="16"/>
  <c r="Z312" i="16" s="1"/>
  <c r="Y312" i="16" s="1"/>
  <c r="H312" i="16"/>
  <c r="H320" i="16"/>
  <c r="G320" i="16"/>
  <c r="BY320" i="6" s="1"/>
  <c r="AA320" i="16"/>
  <c r="Z320" i="16" s="1"/>
  <c r="Y320" i="16" s="1"/>
  <c r="G336" i="16"/>
  <c r="BY336" i="6" s="1"/>
  <c r="AA336" i="16"/>
  <c r="Z336" i="16" s="1"/>
  <c r="Y336" i="16" s="1"/>
  <c r="H336" i="16"/>
  <c r="H344" i="16"/>
  <c r="G344" i="16"/>
  <c r="BY344" i="6" s="1"/>
  <c r="AA344" i="16"/>
  <c r="Z344" i="16" s="1"/>
  <c r="Y344" i="16" s="1"/>
  <c r="G352" i="16"/>
  <c r="BY352" i="6" s="1"/>
  <c r="H352" i="16"/>
  <c r="AA352" i="16"/>
  <c r="Z352" i="16" s="1"/>
  <c r="Y352" i="16" s="1"/>
  <c r="G360" i="16"/>
  <c r="BY360" i="6" s="1"/>
  <c r="H360" i="16"/>
  <c r="AA360" i="16"/>
  <c r="Z360" i="16" s="1"/>
  <c r="Y360" i="16" s="1"/>
  <c r="G319" i="16"/>
  <c r="BY319" i="6" s="1"/>
  <c r="H319" i="16"/>
  <c r="AA319" i="16"/>
  <c r="Z319" i="16" s="1"/>
  <c r="Y319" i="16" s="1"/>
  <c r="J175" i="16"/>
  <c r="I175" i="16"/>
  <c r="G159" i="16"/>
  <c r="BY159" i="6" s="1"/>
  <c r="H159" i="16"/>
  <c r="AA159" i="16"/>
  <c r="Z159" i="16" s="1"/>
  <c r="Y159" i="16" s="1"/>
  <c r="G329" i="16"/>
  <c r="BY329" i="6" s="1"/>
  <c r="H329" i="16"/>
  <c r="AA329" i="16"/>
  <c r="Z329" i="16" s="1"/>
  <c r="Y329" i="16" s="1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H63" i="16"/>
  <c r="G63" i="16"/>
  <c r="BY63" i="6" s="1"/>
  <c r="AA63" i="16"/>
  <c r="Z63" i="16" s="1"/>
  <c r="Y63" i="16" s="1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AA64" i="16"/>
  <c r="Z64" i="16" s="1"/>
  <c r="Y64" i="16" s="1"/>
  <c r="H64" i="16"/>
  <c r="G64" i="16"/>
  <c r="BY64" i="6" s="1"/>
  <c r="AA44" i="16"/>
  <c r="Z44" i="16" s="1"/>
  <c r="Y44" i="16" s="1"/>
  <c r="H44" i="16"/>
  <c r="G44" i="16"/>
  <c r="BY44" i="6" s="1"/>
  <c r="G20" i="16"/>
  <c r="BY20" i="6" s="1"/>
  <c r="H20" i="16"/>
  <c r="AA20" i="16"/>
  <c r="Z20" i="16" s="1"/>
  <c r="Y20" i="16" s="1"/>
  <c r="AG381" i="16"/>
  <c r="AF15" i="16"/>
  <c r="AG383" i="16"/>
  <c r="AG382" i="16"/>
  <c r="J63" i="19"/>
  <c r="C63" i="19"/>
  <c r="H171" i="16"/>
  <c r="K63" i="19"/>
  <c r="G63" i="19"/>
  <c r="H350" i="16"/>
  <c r="AA350" i="16"/>
  <c r="Z350" i="16" s="1"/>
  <c r="Y350" i="16" s="1"/>
  <c r="G350" i="16"/>
  <c r="BY350" i="6" s="1"/>
  <c r="AI31" i="17"/>
  <c r="AH31" i="17" s="1"/>
  <c r="AI15" i="17"/>
  <c r="AI35" i="17"/>
  <c r="AH35" i="17" s="1"/>
  <c r="AI312" i="17"/>
  <c r="AH312" i="17" s="1"/>
  <c r="AI184" i="17"/>
  <c r="AH184" i="17" s="1"/>
  <c r="AI348" i="17"/>
  <c r="AH348" i="17" s="1"/>
  <c r="AI304" i="17"/>
  <c r="AH304" i="17" s="1"/>
  <c r="AI240" i="17"/>
  <c r="AH240" i="17" s="1"/>
  <c r="AI176" i="17"/>
  <c r="AH176" i="17" s="1"/>
  <c r="AI95" i="17"/>
  <c r="AH95" i="17" s="1"/>
  <c r="AI27" i="17"/>
  <c r="AH27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S365" i="17" s="1"/>
  <c r="R365" i="17" s="1"/>
  <c r="P365" i="17" s="1"/>
  <c r="V365" i="17" s="1"/>
  <c r="U361" i="17"/>
  <c r="T361" i="17" s="1"/>
  <c r="S361" i="17" s="1"/>
  <c r="R361" i="17" s="1"/>
  <c r="P361" i="17" s="1"/>
  <c r="V361" i="17" s="1"/>
  <c r="U357" i="17"/>
  <c r="T357" i="17" s="1"/>
  <c r="S357" i="17" s="1"/>
  <c r="R357" i="17" s="1"/>
  <c r="P357" i="17" s="1"/>
  <c r="V357" i="17" s="1"/>
  <c r="U353" i="17"/>
  <c r="T353" i="17" s="1"/>
  <c r="S353" i="17" s="1"/>
  <c r="R353" i="17" s="1"/>
  <c r="P353" i="17" s="1"/>
  <c r="V353" i="17" s="1"/>
  <c r="U349" i="17"/>
  <c r="T349" i="17" s="1"/>
  <c r="S349" i="17" s="1"/>
  <c r="R349" i="17" s="1"/>
  <c r="P349" i="17" s="1"/>
  <c r="V349" i="17" s="1"/>
  <c r="U345" i="17"/>
  <c r="T345" i="17" s="1"/>
  <c r="S345" i="17" s="1"/>
  <c r="R345" i="17" s="1"/>
  <c r="P345" i="17" s="1"/>
  <c r="V345" i="17" s="1"/>
  <c r="U341" i="17"/>
  <c r="T341" i="17" s="1"/>
  <c r="S341" i="17" s="1"/>
  <c r="R341" i="17" s="1"/>
  <c r="P341" i="17" s="1"/>
  <c r="V341" i="17" s="1"/>
  <c r="U337" i="17"/>
  <c r="T337" i="17" s="1"/>
  <c r="S337" i="17" s="1"/>
  <c r="R337" i="17" s="1"/>
  <c r="P337" i="17" s="1"/>
  <c r="V337" i="17" s="1"/>
  <c r="U333" i="17"/>
  <c r="T333" i="17" s="1"/>
  <c r="S333" i="17" s="1"/>
  <c r="R333" i="17" s="1"/>
  <c r="P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S321" i="17" s="1"/>
  <c r="R321" i="17" s="1"/>
  <c r="P321" i="17" s="1"/>
  <c r="V321" i="17" s="1"/>
  <c r="U317" i="17"/>
  <c r="T317" i="17" s="1"/>
  <c r="S317" i="17" s="1"/>
  <c r="R317" i="17" s="1"/>
  <c r="P317" i="17" s="1"/>
  <c r="V317" i="17" s="1"/>
  <c r="U313" i="17"/>
  <c r="T313" i="17" s="1"/>
  <c r="S313" i="17" s="1"/>
  <c r="R313" i="17" s="1"/>
  <c r="P313" i="17" s="1"/>
  <c r="V313" i="17" s="1"/>
  <c r="U309" i="17"/>
  <c r="T309" i="17" s="1"/>
  <c r="S309" i="17" s="1"/>
  <c r="R309" i="17" s="1"/>
  <c r="P309" i="17" s="1"/>
  <c r="V309" i="17" s="1"/>
  <c r="U305" i="17"/>
  <c r="T305" i="17" s="1"/>
  <c r="S305" i="17" s="1"/>
  <c r="R305" i="17" s="1"/>
  <c r="P305" i="17" s="1"/>
  <c r="V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V293" i="17" s="1"/>
  <c r="U289" i="17"/>
  <c r="T289" i="17" s="1"/>
  <c r="S289" i="17" s="1"/>
  <c r="R289" i="17" s="1"/>
  <c r="P289" i="17" s="1"/>
  <c r="V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S277" i="17" s="1"/>
  <c r="R277" i="17" s="1"/>
  <c r="P277" i="17" s="1"/>
  <c r="V277" i="17" s="1"/>
  <c r="U273" i="17"/>
  <c r="T273" i="17" s="1"/>
  <c r="S273" i="17" s="1"/>
  <c r="R273" i="17" s="1"/>
  <c r="P273" i="17" s="1"/>
  <c r="V273" i="17" s="1"/>
  <c r="U269" i="17"/>
  <c r="T269" i="17" s="1"/>
  <c r="S269" i="17" s="1"/>
  <c r="R269" i="17" s="1"/>
  <c r="P269" i="17" s="1"/>
  <c r="V269" i="17" s="1"/>
  <c r="U265" i="17"/>
  <c r="T265" i="17" s="1"/>
  <c r="S265" i="17" s="1"/>
  <c r="R265" i="17" s="1"/>
  <c r="P265" i="17" s="1"/>
  <c r="V265" i="17" s="1"/>
  <c r="U261" i="17"/>
  <c r="T261" i="17" s="1"/>
  <c r="S261" i="17" s="1"/>
  <c r="R261" i="17" s="1"/>
  <c r="P261" i="17" s="1"/>
  <c r="V261" i="17" s="1"/>
  <c r="U257" i="17"/>
  <c r="T257" i="17" s="1"/>
  <c r="S257" i="17" s="1"/>
  <c r="R257" i="17" s="1"/>
  <c r="P257" i="17" s="1"/>
  <c r="V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V249" i="17" s="1"/>
  <c r="U245" i="17"/>
  <c r="T245" i="17" s="1"/>
  <c r="S245" i="17" s="1"/>
  <c r="R245" i="17" s="1"/>
  <c r="P245" i="17" s="1"/>
  <c r="V245" i="17" s="1"/>
  <c r="U241" i="17"/>
  <c r="T241" i="17" s="1"/>
  <c r="S241" i="17" s="1"/>
  <c r="R241" i="17" s="1"/>
  <c r="P241" i="17" s="1"/>
  <c r="V241" i="17" s="1"/>
  <c r="U237" i="17"/>
  <c r="T237" i="17" s="1"/>
  <c r="S237" i="17" s="1"/>
  <c r="R237" i="17" s="1"/>
  <c r="P237" i="17" s="1"/>
  <c r="V237" i="17" s="1"/>
  <c r="U233" i="17"/>
  <c r="T233" i="17" s="1"/>
  <c r="S233" i="17" s="1"/>
  <c r="R233" i="17" s="1"/>
  <c r="P233" i="17" s="1"/>
  <c r="V233" i="17" s="1"/>
  <c r="U229" i="17"/>
  <c r="T229" i="17" s="1"/>
  <c r="S229" i="17" s="1"/>
  <c r="R229" i="17" s="1"/>
  <c r="P229" i="17" s="1"/>
  <c r="V229" i="17" s="1"/>
  <c r="U225" i="17"/>
  <c r="T225" i="17" s="1"/>
  <c r="S225" i="17" s="1"/>
  <c r="R225" i="17" s="1"/>
  <c r="P225" i="17" s="1"/>
  <c r="V225" i="17" s="1"/>
  <c r="U221" i="17"/>
  <c r="T221" i="17" s="1"/>
  <c r="S221" i="17" s="1"/>
  <c r="R221" i="17" s="1"/>
  <c r="P221" i="17" s="1"/>
  <c r="V221" i="17" s="1"/>
  <c r="U217" i="17"/>
  <c r="T217" i="17" s="1"/>
  <c r="S217" i="17" s="1"/>
  <c r="R217" i="17" s="1"/>
  <c r="P217" i="17" s="1"/>
  <c r="V217" i="17" s="1"/>
  <c r="U213" i="17"/>
  <c r="T213" i="17" s="1"/>
  <c r="S213" i="17" s="1"/>
  <c r="R213" i="17" s="1"/>
  <c r="P213" i="17" s="1"/>
  <c r="V213" i="17" s="1"/>
  <c r="U209" i="17"/>
  <c r="T209" i="17" s="1"/>
  <c r="S209" i="17" s="1"/>
  <c r="R209" i="17" s="1"/>
  <c r="P209" i="17" s="1"/>
  <c r="V209" i="17" s="1"/>
  <c r="U205" i="17"/>
  <c r="T205" i="17" s="1"/>
  <c r="S205" i="17" s="1"/>
  <c r="R205" i="17" s="1"/>
  <c r="P205" i="17" s="1"/>
  <c r="V205" i="17" s="1"/>
  <c r="U201" i="17"/>
  <c r="T201" i="17" s="1"/>
  <c r="S201" i="17" s="1"/>
  <c r="R201" i="17" s="1"/>
  <c r="P201" i="17" s="1"/>
  <c r="V201" i="17" s="1"/>
  <c r="U197" i="17"/>
  <c r="T197" i="17" s="1"/>
  <c r="S197" i="17" s="1"/>
  <c r="R197" i="17" s="1"/>
  <c r="P197" i="17" s="1"/>
  <c r="V197" i="17" s="1"/>
  <c r="U193" i="17"/>
  <c r="T193" i="17" s="1"/>
  <c r="S193" i="17" s="1"/>
  <c r="R193" i="17" s="1"/>
  <c r="P193" i="17" s="1"/>
  <c r="V193" i="17" s="1"/>
  <c r="U189" i="17"/>
  <c r="T189" i="17" s="1"/>
  <c r="S189" i="17" s="1"/>
  <c r="R189" i="17" s="1"/>
  <c r="P189" i="17" s="1"/>
  <c r="V189" i="17" s="1"/>
  <c r="U185" i="17"/>
  <c r="T185" i="17" s="1"/>
  <c r="S185" i="17" s="1"/>
  <c r="R185" i="17" s="1"/>
  <c r="P185" i="17" s="1"/>
  <c r="V185" i="17" s="1"/>
  <c r="U181" i="17"/>
  <c r="T181" i="17" s="1"/>
  <c r="S181" i="17" s="1"/>
  <c r="R181" i="17" s="1"/>
  <c r="P181" i="17" s="1"/>
  <c r="V181" i="17" s="1"/>
  <c r="U177" i="17"/>
  <c r="T177" i="17" s="1"/>
  <c r="S177" i="17" s="1"/>
  <c r="R177" i="17" s="1"/>
  <c r="P177" i="17" s="1"/>
  <c r="V177" i="17" s="1"/>
  <c r="U173" i="17"/>
  <c r="T173" i="17" s="1"/>
  <c r="S173" i="17" s="1"/>
  <c r="R173" i="17" s="1"/>
  <c r="P173" i="17" s="1"/>
  <c r="V173" i="17" s="1"/>
  <c r="U169" i="17"/>
  <c r="T169" i="17" s="1"/>
  <c r="S169" i="17" s="1"/>
  <c r="R169" i="17" s="1"/>
  <c r="P169" i="17" s="1"/>
  <c r="V169" i="17" s="1"/>
  <c r="U165" i="17"/>
  <c r="T165" i="17" s="1"/>
  <c r="S165" i="17" s="1"/>
  <c r="R165" i="17" s="1"/>
  <c r="P165" i="17" s="1"/>
  <c r="V165" i="17" s="1"/>
  <c r="U161" i="17"/>
  <c r="T161" i="17" s="1"/>
  <c r="S161" i="17" s="1"/>
  <c r="R161" i="17" s="1"/>
  <c r="P161" i="17" s="1"/>
  <c r="V161" i="17" s="1"/>
  <c r="U157" i="17"/>
  <c r="T157" i="17" s="1"/>
  <c r="S157" i="17" s="1"/>
  <c r="R157" i="17" s="1"/>
  <c r="P157" i="17" s="1"/>
  <c r="V157" i="17" s="1"/>
  <c r="U153" i="17"/>
  <c r="T153" i="17" s="1"/>
  <c r="S153" i="17" s="1"/>
  <c r="R153" i="17" s="1"/>
  <c r="P153" i="17" s="1"/>
  <c r="V153" i="17" s="1"/>
  <c r="U149" i="17"/>
  <c r="T149" i="17" s="1"/>
  <c r="S149" i="17" s="1"/>
  <c r="R149" i="17" s="1"/>
  <c r="P149" i="17" s="1"/>
  <c r="U145" i="17"/>
  <c r="T145" i="17" s="1"/>
  <c r="S145" i="17" s="1"/>
  <c r="R145" i="17" s="1"/>
  <c r="P145" i="17" s="1"/>
  <c r="V145" i="17" s="1"/>
  <c r="U141" i="17"/>
  <c r="T141" i="17" s="1"/>
  <c r="S141" i="17" s="1"/>
  <c r="R141" i="17" s="1"/>
  <c r="P141" i="17" s="1"/>
  <c r="V141" i="17" s="1"/>
  <c r="U137" i="17"/>
  <c r="T137" i="17" s="1"/>
  <c r="S137" i="17" s="1"/>
  <c r="R137" i="17" s="1"/>
  <c r="P137" i="17" s="1"/>
  <c r="V137" i="17" s="1"/>
  <c r="U133" i="17"/>
  <c r="T133" i="17" s="1"/>
  <c r="S133" i="17" s="1"/>
  <c r="R133" i="17" s="1"/>
  <c r="P133" i="17" s="1"/>
  <c r="V133" i="17" s="1"/>
  <c r="U129" i="17"/>
  <c r="T129" i="17" s="1"/>
  <c r="S129" i="17" s="1"/>
  <c r="R129" i="17" s="1"/>
  <c r="P129" i="17" s="1"/>
  <c r="V129" i="17" s="1"/>
  <c r="U125" i="17"/>
  <c r="T125" i="17" s="1"/>
  <c r="S125" i="17" s="1"/>
  <c r="R125" i="17" s="1"/>
  <c r="P125" i="17" s="1"/>
  <c r="V125" i="17" s="1"/>
  <c r="U121" i="17"/>
  <c r="T121" i="17" s="1"/>
  <c r="S121" i="17" s="1"/>
  <c r="R121" i="17" s="1"/>
  <c r="P121" i="17" s="1"/>
  <c r="V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S109" i="17" s="1"/>
  <c r="R109" i="17" s="1"/>
  <c r="P109" i="17" s="1"/>
  <c r="V109" i="17" s="1"/>
  <c r="U105" i="17"/>
  <c r="T105" i="17" s="1"/>
  <c r="S105" i="17" s="1"/>
  <c r="R105" i="17" s="1"/>
  <c r="P105" i="17" s="1"/>
  <c r="V105" i="17" s="1"/>
  <c r="AI352" i="17"/>
  <c r="AH352" i="17" s="1"/>
  <c r="AI248" i="17"/>
  <c r="AH248" i="17" s="1"/>
  <c r="AI111" i="17"/>
  <c r="AH111" i="17" s="1"/>
  <c r="AI364" i="17"/>
  <c r="AH364" i="17" s="1"/>
  <c r="AI332" i="17"/>
  <c r="AH332" i="17" s="1"/>
  <c r="AI272" i="17"/>
  <c r="AH272" i="17" s="1"/>
  <c r="AI208" i="17"/>
  <c r="AH208" i="17" s="1"/>
  <c r="AI144" i="17"/>
  <c r="AH144" i="17" s="1"/>
  <c r="AI43" i="17"/>
  <c r="AH43" i="17" s="1"/>
  <c r="AI59" i="17"/>
  <c r="AH59" i="17" s="1"/>
  <c r="AI75" i="17"/>
  <c r="AH75" i="17" s="1"/>
  <c r="AI91" i="17"/>
  <c r="AH91" i="17" s="1"/>
  <c r="AI107" i="17"/>
  <c r="AH107" i="17" s="1"/>
  <c r="AI123" i="17"/>
  <c r="AH123" i="17" s="1"/>
  <c r="AI134" i="17"/>
  <c r="AH134" i="17" s="1"/>
  <c r="AI142" i="17"/>
  <c r="AH142" i="17" s="1"/>
  <c r="AI150" i="17"/>
  <c r="AH150" i="17" s="1"/>
  <c r="AI158" i="17"/>
  <c r="AH158" i="17" s="1"/>
  <c r="AI166" i="17"/>
  <c r="AH166" i="17" s="1"/>
  <c r="AI174" i="17"/>
  <c r="AH174" i="17" s="1"/>
  <c r="AI182" i="17"/>
  <c r="AH182" i="17" s="1"/>
  <c r="AI190" i="17"/>
  <c r="AH190" i="17" s="1"/>
  <c r="AI198" i="17"/>
  <c r="AH198" i="17" s="1"/>
  <c r="AI206" i="17"/>
  <c r="AH206" i="17" s="1"/>
  <c r="AI214" i="17"/>
  <c r="AH214" i="17" s="1"/>
  <c r="AI222" i="17"/>
  <c r="AH222" i="17" s="1"/>
  <c r="AI230" i="17"/>
  <c r="AH230" i="17" s="1"/>
  <c r="AI238" i="17"/>
  <c r="AH238" i="17" s="1"/>
  <c r="AI246" i="17"/>
  <c r="AH246" i="17" s="1"/>
  <c r="AI254" i="17"/>
  <c r="AH254" i="17" s="1"/>
  <c r="AI262" i="17"/>
  <c r="AH262" i="17" s="1"/>
  <c r="AI270" i="17"/>
  <c r="AH270" i="17" s="1"/>
  <c r="AI278" i="17"/>
  <c r="AH278" i="17" s="1"/>
  <c r="AI286" i="17"/>
  <c r="AH286" i="17" s="1"/>
  <c r="AI294" i="17"/>
  <c r="AH294" i="17" s="1"/>
  <c r="AI302" i="17"/>
  <c r="AH302" i="17" s="1"/>
  <c r="AI310" i="17"/>
  <c r="AH310" i="17" s="1"/>
  <c r="AI318" i="17"/>
  <c r="AH318" i="17" s="1"/>
  <c r="AI326" i="17"/>
  <c r="AH326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4" i="17"/>
  <c r="AH324" i="17" s="1"/>
  <c r="AI308" i="17"/>
  <c r="AH308" i="17" s="1"/>
  <c r="AI292" i="17"/>
  <c r="AH292" i="17" s="1"/>
  <c r="AI276" i="17"/>
  <c r="AH276" i="17" s="1"/>
  <c r="AI260" i="17"/>
  <c r="AH260" i="17" s="1"/>
  <c r="AI244" i="17"/>
  <c r="AH244" i="17" s="1"/>
  <c r="AI228" i="17"/>
  <c r="AH228" i="17" s="1"/>
  <c r="AI212" i="17"/>
  <c r="AH212" i="17" s="1"/>
  <c r="AI196" i="17"/>
  <c r="AH196" i="17" s="1"/>
  <c r="AI180" i="17"/>
  <c r="AH180" i="17" s="1"/>
  <c r="AI164" i="17"/>
  <c r="AH164" i="17" s="1"/>
  <c r="AI148" i="17"/>
  <c r="AH148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17" i="17"/>
  <c r="AH117" i="17" s="1"/>
  <c r="AI101" i="17"/>
  <c r="AH101" i="17" s="1"/>
  <c r="AI85" i="17"/>
  <c r="AH85" i="17" s="1"/>
  <c r="AI69" i="17"/>
  <c r="AH69" i="17" s="1"/>
  <c r="AI53" i="17"/>
  <c r="AH53" i="17" s="1"/>
  <c r="AI37" i="17"/>
  <c r="AH37" i="17" s="1"/>
  <c r="AI21" i="17"/>
  <c r="AH21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V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V283" i="17" s="1"/>
  <c r="U275" i="17"/>
  <c r="T275" i="17" s="1"/>
  <c r="U267" i="17"/>
  <c r="T267" i="17" s="1"/>
  <c r="U259" i="17"/>
  <c r="T259" i="17" s="1"/>
  <c r="S259" i="17" s="1"/>
  <c r="R259" i="17" s="1"/>
  <c r="P259" i="17" s="1"/>
  <c r="V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V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V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V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101" i="17"/>
  <c r="T101" i="17" s="1"/>
  <c r="S101" i="17" s="1"/>
  <c r="R101" i="17" s="1"/>
  <c r="P101" i="17" s="1"/>
  <c r="V101" i="17" s="1"/>
  <c r="U97" i="17"/>
  <c r="T97" i="17" s="1"/>
  <c r="S97" i="17" s="1"/>
  <c r="R97" i="17" s="1"/>
  <c r="P97" i="17" s="1"/>
  <c r="V97" i="17" s="1"/>
  <c r="U93" i="17"/>
  <c r="T93" i="17" s="1"/>
  <c r="S93" i="17" s="1"/>
  <c r="R93" i="17" s="1"/>
  <c r="P93" i="17" s="1"/>
  <c r="V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S81" i="17" s="1"/>
  <c r="R81" i="17" s="1"/>
  <c r="P81" i="17" s="1"/>
  <c r="V81" i="17" s="1"/>
  <c r="U77" i="17"/>
  <c r="T77" i="17" s="1"/>
  <c r="S77" i="17" s="1"/>
  <c r="R77" i="17" s="1"/>
  <c r="P77" i="17" s="1"/>
  <c r="V77" i="17" s="1"/>
  <c r="U73" i="17"/>
  <c r="T73" i="17" s="1"/>
  <c r="S73" i="17" s="1"/>
  <c r="R73" i="17" s="1"/>
  <c r="P73" i="17" s="1"/>
  <c r="V73" i="17" s="1"/>
  <c r="U69" i="17"/>
  <c r="T69" i="17" s="1"/>
  <c r="S69" i="17" s="1"/>
  <c r="R69" i="17" s="1"/>
  <c r="P69" i="17" s="1"/>
  <c r="V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S57" i="17" s="1"/>
  <c r="R57" i="17" s="1"/>
  <c r="P57" i="17" s="1"/>
  <c r="V57" i="17" s="1"/>
  <c r="U53" i="17"/>
  <c r="T53" i="17" s="1"/>
  <c r="S53" i="17" s="1"/>
  <c r="R53" i="17" s="1"/>
  <c r="P53" i="17" s="1"/>
  <c r="V53" i="17" s="1"/>
  <c r="U49" i="17"/>
  <c r="T49" i="17" s="1"/>
  <c r="S49" i="17" s="1"/>
  <c r="R49" i="17" s="1"/>
  <c r="P49" i="17" s="1"/>
  <c r="V49" i="17" s="1"/>
  <c r="U45" i="17"/>
  <c r="T45" i="17" s="1"/>
  <c r="S45" i="17" s="1"/>
  <c r="R45" i="17" s="1"/>
  <c r="P45" i="17" s="1"/>
  <c r="V45" i="17" s="1"/>
  <c r="U41" i="17"/>
  <c r="T41" i="17" s="1"/>
  <c r="S41" i="17" s="1"/>
  <c r="R41" i="17" s="1"/>
  <c r="P41" i="17" s="1"/>
  <c r="V41" i="17" s="1"/>
  <c r="U37" i="17"/>
  <c r="T37" i="17" s="1"/>
  <c r="S37" i="17" s="1"/>
  <c r="R37" i="17" s="1"/>
  <c r="P37" i="17" s="1"/>
  <c r="V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V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V374" i="17" s="1"/>
  <c r="U370" i="17"/>
  <c r="T370" i="17" s="1"/>
  <c r="S370" i="17" s="1"/>
  <c r="R370" i="17" s="1"/>
  <c r="P370" i="17" s="1"/>
  <c r="V370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S354" i="17" s="1"/>
  <c r="R354" i="17" s="1"/>
  <c r="P354" i="17" s="1"/>
  <c r="V354" i="17" s="1"/>
  <c r="U350" i="17"/>
  <c r="T350" i="17" s="1"/>
  <c r="U346" i="17"/>
  <c r="T346" i="17" s="1"/>
  <c r="S346" i="17" s="1"/>
  <c r="R346" i="17" s="1"/>
  <c r="P346" i="17" s="1"/>
  <c r="V346" i="17" s="1"/>
  <c r="U342" i="17"/>
  <c r="T342" i="17" s="1"/>
  <c r="S342" i="17" s="1"/>
  <c r="R342" i="17" s="1"/>
  <c r="P342" i="17" s="1"/>
  <c r="V342" i="17" s="1"/>
  <c r="U338" i="17"/>
  <c r="T338" i="17" s="1"/>
  <c r="S338" i="17" s="1"/>
  <c r="R338" i="17" s="1"/>
  <c r="P338" i="17" s="1"/>
  <c r="V338" i="17" s="1"/>
  <c r="U334" i="17"/>
  <c r="T334" i="17" s="1"/>
  <c r="U330" i="17"/>
  <c r="T330" i="17" s="1"/>
  <c r="S330" i="17" s="1"/>
  <c r="R330" i="17" s="1"/>
  <c r="P330" i="17" s="1"/>
  <c r="V330" i="17" s="1"/>
  <c r="U326" i="17"/>
  <c r="T326" i="17" s="1"/>
  <c r="U322" i="17"/>
  <c r="T322" i="17" s="1"/>
  <c r="S322" i="17" s="1"/>
  <c r="R322" i="17" s="1"/>
  <c r="P322" i="17" s="1"/>
  <c r="V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U286" i="17"/>
  <c r="T286" i="17" s="1"/>
  <c r="S286" i="17" s="1"/>
  <c r="R286" i="17" s="1"/>
  <c r="P286" i="17" s="1"/>
  <c r="V286" i="17" s="1"/>
  <c r="U282" i="17"/>
  <c r="T282" i="17" s="1"/>
  <c r="S282" i="17" s="1"/>
  <c r="R282" i="17" s="1"/>
  <c r="P282" i="17" s="1"/>
  <c r="V282" i="17" s="1"/>
  <c r="U278" i="17"/>
  <c r="T278" i="17" s="1"/>
  <c r="S278" i="17" s="1"/>
  <c r="R278" i="17" s="1"/>
  <c r="P278" i="17" s="1"/>
  <c r="V278" i="17" s="1"/>
  <c r="U274" i="17"/>
  <c r="T274" i="17" s="1"/>
  <c r="S274" i="17" s="1"/>
  <c r="R274" i="17" s="1"/>
  <c r="P274" i="17" s="1"/>
  <c r="V274" i="17" s="1"/>
  <c r="U270" i="17"/>
  <c r="T270" i="17" s="1"/>
  <c r="S270" i="17" s="1"/>
  <c r="R270" i="17" s="1"/>
  <c r="P270" i="17" s="1"/>
  <c r="V270" i="17" s="1"/>
  <c r="U266" i="17"/>
  <c r="T266" i="17" s="1"/>
  <c r="S266" i="17" s="1"/>
  <c r="R266" i="17" s="1"/>
  <c r="P266" i="17" s="1"/>
  <c r="V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V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V238" i="17" s="1"/>
  <c r="U234" i="17"/>
  <c r="T234" i="17" s="1"/>
  <c r="S234" i="17" s="1"/>
  <c r="R234" i="17" s="1"/>
  <c r="P234" i="17" s="1"/>
  <c r="V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S218" i="17" s="1"/>
  <c r="R218" i="17" s="1"/>
  <c r="P218" i="17" s="1"/>
  <c r="V218" i="17" s="1"/>
  <c r="U214" i="17"/>
  <c r="T214" i="17" s="1"/>
  <c r="S214" i="17" s="1"/>
  <c r="R214" i="17" s="1"/>
  <c r="P214" i="17" s="1"/>
  <c r="V214" i="17" s="1"/>
  <c r="U210" i="17"/>
  <c r="T210" i="17" s="1"/>
  <c r="S210" i="17" s="1"/>
  <c r="R210" i="17" s="1"/>
  <c r="P210" i="17" s="1"/>
  <c r="U206" i="17"/>
  <c r="T206" i="17" s="1"/>
  <c r="U202" i="17"/>
  <c r="T202" i="17" s="1"/>
  <c r="S202" i="17" s="1"/>
  <c r="R202" i="17" s="1"/>
  <c r="P202" i="17" s="1"/>
  <c r="V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U182" i="17"/>
  <c r="T182" i="17" s="1"/>
  <c r="U178" i="17"/>
  <c r="T178" i="17" s="1"/>
  <c r="S178" i="17" s="1"/>
  <c r="R178" i="17" s="1"/>
  <c r="P178" i="17" s="1"/>
  <c r="V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S146" i="17" s="1"/>
  <c r="R146" i="17" s="1"/>
  <c r="P146" i="17" s="1"/>
  <c r="V146" i="17" s="1"/>
  <c r="U142" i="17"/>
  <c r="T142" i="17" s="1"/>
  <c r="S142" i="17" s="1"/>
  <c r="R142" i="17" s="1"/>
  <c r="P142" i="17" s="1"/>
  <c r="V142" i="17" s="1"/>
  <c r="U138" i="17"/>
  <c r="T138" i="17" s="1"/>
  <c r="S138" i="17" s="1"/>
  <c r="R138" i="17" s="1"/>
  <c r="P138" i="17" s="1"/>
  <c r="V138" i="17" s="1"/>
  <c r="U134" i="17"/>
  <c r="T134" i="17" s="1"/>
  <c r="S134" i="17" s="1"/>
  <c r="R134" i="17" s="1"/>
  <c r="P134" i="17" s="1"/>
  <c r="V134" i="17" s="1"/>
  <c r="U130" i="17"/>
  <c r="T130" i="17" s="1"/>
  <c r="S130" i="17" s="1"/>
  <c r="R130" i="17" s="1"/>
  <c r="P130" i="17" s="1"/>
  <c r="V130" i="17" s="1"/>
  <c r="U126" i="17"/>
  <c r="T126" i="17" s="1"/>
  <c r="U122" i="17"/>
  <c r="T122" i="17" s="1"/>
  <c r="S122" i="17" s="1"/>
  <c r="R122" i="17" s="1"/>
  <c r="P122" i="17" s="1"/>
  <c r="V122" i="17" s="1"/>
  <c r="U118" i="17"/>
  <c r="T118" i="17" s="1"/>
  <c r="U114" i="17"/>
  <c r="T114" i="17" s="1"/>
  <c r="S114" i="17" s="1"/>
  <c r="R114" i="17" s="1"/>
  <c r="P114" i="17" s="1"/>
  <c r="V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V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V86" i="17" s="1"/>
  <c r="U82" i="17"/>
  <c r="T82" i="17" s="1"/>
  <c r="S82" i="17" s="1"/>
  <c r="R82" i="17" s="1"/>
  <c r="P82" i="17" s="1"/>
  <c r="V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70" i="17"/>
  <c r="T70" i="17" s="1"/>
  <c r="S70" i="17" s="1"/>
  <c r="R70" i="17" s="1"/>
  <c r="P70" i="17" s="1"/>
  <c r="V70" i="17" s="1"/>
  <c r="U66" i="17"/>
  <c r="T66" i="17" s="1"/>
  <c r="S66" i="17" s="1"/>
  <c r="R66" i="17" s="1"/>
  <c r="P66" i="17" s="1"/>
  <c r="V66" i="17" s="1"/>
  <c r="U62" i="17"/>
  <c r="T62" i="17" s="1"/>
  <c r="S62" i="17" s="1"/>
  <c r="R62" i="17" s="1"/>
  <c r="P62" i="17" s="1"/>
  <c r="V62" i="17" s="1"/>
  <c r="U58" i="17"/>
  <c r="T58" i="17" s="1"/>
  <c r="S58" i="17" s="1"/>
  <c r="R58" i="17" s="1"/>
  <c r="P58" i="17" s="1"/>
  <c r="V58" i="17" s="1"/>
  <c r="U54" i="17"/>
  <c r="T54" i="17" s="1"/>
  <c r="U50" i="17"/>
  <c r="T50" i="17" s="1"/>
  <c r="S50" i="17" s="1"/>
  <c r="R50" i="17" s="1"/>
  <c r="P50" i="17" s="1"/>
  <c r="V50" i="17" s="1"/>
  <c r="U46" i="17"/>
  <c r="T46" i="17" s="1"/>
  <c r="U42" i="17"/>
  <c r="T42" i="17" s="1"/>
  <c r="S42" i="17" s="1"/>
  <c r="R42" i="17" s="1"/>
  <c r="P42" i="17" s="1"/>
  <c r="V42" i="17" s="1"/>
  <c r="U38" i="17"/>
  <c r="T38" i="17" s="1"/>
  <c r="U34" i="17"/>
  <c r="T34" i="17" s="1"/>
  <c r="S34" i="17" s="1"/>
  <c r="R34" i="17" s="1"/>
  <c r="P34" i="17" s="1"/>
  <c r="V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AI125" i="17"/>
  <c r="AH125" i="17" s="1"/>
  <c r="AI109" i="17"/>
  <c r="AH109" i="17" s="1"/>
  <c r="AI93" i="17"/>
  <c r="AH93" i="17" s="1"/>
  <c r="AI77" i="17"/>
  <c r="AH77" i="17" s="1"/>
  <c r="AI61" i="17"/>
  <c r="AH61" i="17" s="1"/>
  <c r="AI45" i="17"/>
  <c r="AH45" i="17" s="1"/>
  <c r="AI29" i="17"/>
  <c r="AH29" i="17" s="1"/>
  <c r="U375" i="17"/>
  <c r="T375" i="17" s="1"/>
  <c r="S375" i="17" s="1"/>
  <c r="R375" i="17" s="1"/>
  <c r="P375" i="17" s="1"/>
  <c r="V375" i="17" s="1"/>
  <c r="U367" i="17"/>
  <c r="T367" i="17" s="1"/>
  <c r="U359" i="17"/>
  <c r="T359" i="17" s="1"/>
  <c r="S359" i="17" s="1"/>
  <c r="R359" i="17" s="1"/>
  <c r="P359" i="17" s="1"/>
  <c r="V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V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V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V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V127" i="17" s="1"/>
  <c r="U119" i="17"/>
  <c r="T119" i="17" s="1"/>
  <c r="U111" i="17"/>
  <c r="T111" i="17" s="1"/>
  <c r="U103" i="17"/>
  <c r="T103" i="17" s="1"/>
  <c r="S103" i="17" s="1"/>
  <c r="R103" i="17" s="1"/>
  <c r="P103" i="17" s="1"/>
  <c r="V103" i="17" s="1"/>
  <c r="U99" i="17"/>
  <c r="T99" i="17" s="1"/>
  <c r="S99" i="17" s="1"/>
  <c r="R99" i="17" s="1"/>
  <c r="P99" i="17" s="1"/>
  <c r="V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U63" i="17"/>
  <c r="T63" i="17" s="1"/>
  <c r="S63" i="17" s="1"/>
  <c r="R63" i="17" s="1"/>
  <c r="P63" i="17" s="1"/>
  <c r="V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U35" i="17"/>
  <c r="T35" i="17" s="1"/>
  <c r="S35" i="17" s="1"/>
  <c r="R35" i="17" s="1"/>
  <c r="P35" i="17" s="1"/>
  <c r="V35" i="17" s="1"/>
  <c r="U31" i="17"/>
  <c r="T31" i="17" s="1"/>
  <c r="S31" i="17" s="1"/>
  <c r="R31" i="17" s="1"/>
  <c r="P31" i="17" s="1"/>
  <c r="V31" i="17" s="1"/>
  <c r="U27" i="17"/>
  <c r="T27" i="17" s="1"/>
  <c r="U23" i="17"/>
  <c r="T23" i="17" s="1"/>
  <c r="S23" i="17" s="1"/>
  <c r="R23" i="17" s="1"/>
  <c r="P23" i="17" s="1"/>
  <c r="V23" i="17" s="1"/>
  <c r="U15" i="17"/>
  <c r="U19" i="17"/>
  <c r="T19" i="17" s="1"/>
  <c r="S19" i="17" s="1"/>
  <c r="R19" i="17" s="1"/>
  <c r="P19" i="17" s="1"/>
  <c r="V19" i="17" s="1"/>
  <c r="U376" i="17"/>
  <c r="T376" i="17" s="1"/>
  <c r="S376" i="17" s="1"/>
  <c r="R376" i="17" s="1"/>
  <c r="P376" i="17" s="1"/>
  <c r="V376" i="17" s="1"/>
  <c r="U372" i="17"/>
  <c r="T372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V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S276" i="17" s="1"/>
  <c r="R276" i="17" s="1"/>
  <c r="P276" i="17" s="1"/>
  <c r="V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V264" i="17" s="1"/>
  <c r="U260" i="17"/>
  <c r="T260" i="17" s="1"/>
  <c r="S260" i="17" s="1"/>
  <c r="R260" i="17" s="1"/>
  <c r="P260" i="17" s="1"/>
  <c r="V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V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S228" i="17" s="1"/>
  <c r="R228" i="17" s="1"/>
  <c r="P228" i="17" s="1"/>
  <c r="V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S196" i="17" s="1"/>
  <c r="R196" i="17" s="1"/>
  <c r="P196" i="17" s="1"/>
  <c r="V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V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V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V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S116" i="17" s="1"/>
  <c r="R116" i="17" s="1"/>
  <c r="P116" i="17" s="1"/>
  <c r="V116" i="17" s="1"/>
  <c r="U112" i="17"/>
  <c r="T112" i="17" s="1"/>
  <c r="S112" i="17" s="1"/>
  <c r="R112" i="17" s="1"/>
  <c r="P112" i="17" s="1"/>
  <c r="V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V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S68" i="17" s="1"/>
  <c r="R68" i="17" s="1"/>
  <c r="P68" i="17" s="1"/>
  <c r="V68" i="17" s="1"/>
  <c r="U64" i="17"/>
  <c r="T64" i="17" s="1"/>
  <c r="U60" i="17"/>
  <c r="T60" i="17" s="1"/>
  <c r="S60" i="17" s="1"/>
  <c r="R60" i="17" s="1"/>
  <c r="P60" i="17" s="1"/>
  <c r="V60" i="1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V40" i="17" s="1"/>
  <c r="U36" i="17"/>
  <c r="T36" i="17" s="1"/>
  <c r="S36" i="17" s="1"/>
  <c r="R36" i="17" s="1"/>
  <c r="P36" i="17" s="1"/>
  <c r="V36" i="17" s="1"/>
  <c r="U32" i="17"/>
  <c r="T32" i="17" s="1"/>
  <c r="S32" i="17" s="1"/>
  <c r="R32" i="17" s="1"/>
  <c r="P32" i="17" s="1"/>
  <c r="V32" i="17" s="1"/>
  <c r="U28" i="17"/>
  <c r="T28" i="17" s="1"/>
  <c r="S28" i="17" s="1"/>
  <c r="R28" i="17" s="1"/>
  <c r="P28" i="17" s="1"/>
  <c r="V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AD79" i="17"/>
  <c r="AD47" i="17"/>
  <c r="AD336" i="17"/>
  <c r="AD192" i="17"/>
  <c r="AD136" i="17"/>
  <c r="G60" i="16"/>
  <c r="BY60" i="6" s="1"/>
  <c r="H60" i="16"/>
  <c r="I60" i="16" s="1"/>
  <c r="S382" i="16"/>
  <c r="S381" i="16"/>
  <c r="S383" i="16"/>
  <c r="R15" i="16"/>
  <c r="AI368" i="17"/>
  <c r="AH368" i="17" s="1"/>
  <c r="AI280" i="17"/>
  <c r="AH280" i="17" s="1"/>
  <c r="AI152" i="17"/>
  <c r="AH152" i="17" s="1"/>
  <c r="AI372" i="17"/>
  <c r="AH372" i="17" s="1"/>
  <c r="AI340" i="17"/>
  <c r="AH340" i="17" s="1"/>
  <c r="AI288" i="17"/>
  <c r="AH288" i="17" s="1"/>
  <c r="AI224" i="17"/>
  <c r="AH224" i="17" s="1"/>
  <c r="AI160" i="17"/>
  <c r="AH160" i="17" s="1"/>
  <c r="AI63" i="17"/>
  <c r="AH63" i="17" s="1"/>
  <c r="L63" i="19"/>
  <c r="F63" i="19"/>
  <c r="AI344" i="17"/>
  <c r="AH344" i="17" s="1"/>
  <c r="AI168" i="17"/>
  <c r="AH168" i="17" s="1"/>
  <c r="AI296" i="17"/>
  <c r="AH296" i="17" s="1"/>
  <c r="AI328" i="17"/>
  <c r="AH328" i="17" s="1"/>
  <c r="AI200" i="17"/>
  <c r="AH200" i="17" s="1"/>
  <c r="F263" i="16"/>
  <c r="F49" i="16"/>
  <c r="F290" i="16"/>
  <c r="F167" i="16"/>
  <c r="H302" i="16"/>
  <c r="G302" i="16"/>
  <c r="BY302" i="6" s="1"/>
  <c r="AA302" i="16"/>
  <c r="Z302" i="16" s="1"/>
  <c r="Y302" i="16" s="1"/>
  <c r="M63" i="19"/>
  <c r="H288" i="16"/>
  <c r="AD256" i="17"/>
  <c r="H264" i="16"/>
  <c r="Q331" i="18"/>
  <c r="Q202" i="18"/>
  <c r="Q267" i="18"/>
  <c r="Q138" i="18"/>
  <c r="J322" i="16"/>
  <c r="J199" i="16"/>
  <c r="J296" i="16"/>
  <c r="I31" i="16"/>
  <c r="I197" i="16"/>
  <c r="J363" i="16"/>
  <c r="I212" i="16"/>
  <c r="I210" i="16"/>
  <c r="I299" i="16"/>
  <c r="I184" i="16"/>
  <c r="J87" i="16"/>
  <c r="J93" i="16"/>
  <c r="J88" i="16"/>
  <c r="J42" i="16"/>
  <c r="J173" i="16"/>
  <c r="J274" i="16"/>
  <c r="J52" i="16"/>
  <c r="J89" i="16"/>
  <c r="I89" i="16"/>
  <c r="I21" i="16"/>
  <c r="I139" i="16"/>
  <c r="J48" i="16"/>
  <c r="J69" i="16"/>
  <c r="I69" i="16"/>
  <c r="I310" i="16"/>
  <c r="I374" i="16"/>
  <c r="I308" i="16"/>
  <c r="J75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J45" i="16"/>
  <c r="I45" i="16"/>
  <c r="J207" i="16"/>
  <c r="I207" i="16"/>
  <c r="I127" i="16"/>
  <c r="J127" i="16"/>
  <c r="I79" i="16"/>
  <c r="J79" i="16"/>
  <c r="J247" i="16"/>
  <c r="I247" i="16"/>
  <c r="I54" i="16"/>
  <c r="J54" i="16"/>
  <c r="J17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AB15" i="7" s="1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J153" i="16" l="1"/>
  <c r="J62" i="16"/>
  <c r="J305" i="16"/>
  <c r="J57" i="16"/>
  <c r="J126" i="16"/>
  <c r="J237" i="16"/>
  <c r="J36" i="19"/>
  <c r="AD216" i="17"/>
  <c r="J29" i="16"/>
  <c r="I134" i="16"/>
  <c r="J40" i="16"/>
  <c r="I53" i="16"/>
  <c r="J66" i="16"/>
  <c r="J34" i="16"/>
  <c r="I152" i="16"/>
  <c r="I103" i="16"/>
  <c r="J17" i="16"/>
  <c r="I285" i="16"/>
  <c r="J125" i="16"/>
  <c r="J46" i="16"/>
  <c r="J111" i="16"/>
  <c r="J317" i="16"/>
  <c r="L44" i="19"/>
  <c r="I112" i="16"/>
  <c r="I108" i="16"/>
  <c r="D12" i="19"/>
  <c r="G36" i="19"/>
  <c r="AD356" i="17"/>
  <c r="AG127" i="17"/>
  <c r="AF127" i="17" s="1"/>
  <c r="AD127" i="17" s="1"/>
  <c r="Q12" i="20"/>
  <c r="AG15" i="7" s="1"/>
  <c r="J30" i="16"/>
  <c r="J73" i="16"/>
  <c r="AD320" i="17"/>
  <c r="AD16" i="17"/>
  <c r="I339" i="16"/>
  <c r="J339" i="16"/>
  <c r="D65" i="7"/>
  <c r="AD18" i="17"/>
  <c r="AG376" i="17"/>
  <c r="AF376" i="17" s="1"/>
  <c r="AD376" i="17" s="1"/>
  <c r="J180" i="16"/>
  <c r="J97" i="16"/>
  <c r="I28" i="16"/>
  <c r="J47" i="16"/>
  <c r="I47" i="16"/>
  <c r="J123" i="16"/>
  <c r="I123" i="16"/>
  <c r="I74" i="16"/>
  <c r="J60" i="16"/>
  <c r="I140" i="16"/>
  <c r="J140" i="16"/>
  <c r="V180" i="17"/>
  <c r="D63" i="7"/>
  <c r="I217" i="16"/>
  <c r="J78" i="16"/>
  <c r="D57" i="7"/>
  <c r="J264" i="16"/>
  <c r="I264" i="16"/>
  <c r="J288" i="16"/>
  <c r="I288" i="16"/>
  <c r="I302" i="16"/>
  <c r="J302" i="16"/>
  <c r="G290" i="16"/>
  <c r="BY290" i="6" s="1"/>
  <c r="AA290" i="16"/>
  <c r="Z290" i="16" s="1"/>
  <c r="Y290" i="16" s="1"/>
  <c r="H290" i="16"/>
  <c r="G263" i="16"/>
  <c r="BY263" i="6" s="1"/>
  <c r="AA263" i="16"/>
  <c r="Z263" i="16" s="1"/>
  <c r="Y263" i="16" s="1"/>
  <c r="H263" i="16"/>
  <c r="AG328" i="17"/>
  <c r="AF328" i="17" s="1"/>
  <c r="AD328" i="17" s="1"/>
  <c r="AG168" i="17"/>
  <c r="AF168" i="17" s="1"/>
  <c r="AD168" i="17" s="1"/>
  <c r="AG63" i="17"/>
  <c r="AF63" i="17" s="1"/>
  <c r="AD63" i="17" s="1"/>
  <c r="AG224" i="17"/>
  <c r="AF224" i="17" s="1"/>
  <c r="AD224" i="17" s="1"/>
  <c r="AG340" i="17"/>
  <c r="AF340" i="17" s="1"/>
  <c r="AD340" i="17" s="1"/>
  <c r="AG152" i="17"/>
  <c r="AF152" i="17" s="1"/>
  <c r="AD152" i="17" s="1"/>
  <c r="AG368" i="17"/>
  <c r="AF368" i="17" s="1"/>
  <c r="AD368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D64" i="7"/>
  <c r="V272" i="1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27" i="17"/>
  <c r="R27" i="17" s="1"/>
  <c r="P27" i="17" s="1"/>
  <c r="V27" i="17" s="1"/>
  <c r="S43" i="17"/>
  <c r="R43" i="17" s="1"/>
  <c r="P43" i="17" s="1"/>
  <c r="V43" i="17" s="1"/>
  <c r="S51" i="17"/>
  <c r="R51" i="17" s="1"/>
  <c r="P51" i="17" s="1"/>
  <c r="V51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29" i="17"/>
  <c r="AF29" i="17" s="1"/>
  <c r="AD29" i="17" s="1"/>
  <c r="AG61" i="17"/>
  <c r="AF61" i="17" s="1"/>
  <c r="AD61" i="17" s="1"/>
  <c r="AG93" i="17"/>
  <c r="AF93" i="17" s="1"/>
  <c r="AD93" i="17" s="1"/>
  <c r="AG125" i="17"/>
  <c r="AF125" i="17" s="1"/>
  <c r="AD125" i="17" s="1"/>
  <c r="S22" i="17"/>
  <c r="R22" i="17" s="1"/>
  <c r="P22" i="17" s="1"/>
  <c r="V22" i="17" s="1"/>
  <c r="S30" i="17"/>
  <c r="R30" i="17" s="1"/>
  <c r="P30" i="17" s="1"/>
  <c r="V30" i="17" s="1"/>
  <c r="S38" i="17"/>
  <c r="R38" i="17" s="1"/>
  <c r="P38" i="17" s="1"/>
  <c r="V38" i="17" s="1"/>
  <c r="S46" i="17"/>
  <c r="R46" i="17" s="1"/>
  <c r="P46" i="17" s="1"/>
  <c r="V46" i="17" s="1"/>
  <c r="S54" i="17"/>
  <c r="R54" i="17" s="1"/>
  <c r="P54" i="17" s="1"/>
  <c r="V54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16" i="17"/>
  <c r="R16" i="17" s="1"/>
  <c r="P16" i="17" s="1"/>
  <c r="V16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AG37" i="17"/>
  <c r="AF37" i="17" s="1"/>
  <c r="AD37" i="17" s="1"/>
  <c r="AG69" i="17"/>
  <c r="AF69" i="17" s="1"/>
  <c r="AD69" i="17" s="1"/>
  <c r="AG101" i="17"/>
  <c r="AF101" i="17" s="1"/>
  <c r="AD101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48" i="17"/>
  <c r="AF148" i="17" s="1"/>
  <c r="AD148" i="17" s="1"/>
  <c r="AG180" i="17"/>
  <c r="AF180" i="17" s="1"/>
  <c r="AD180" i="17" s="1"/>
  <c r="AG212" i="17"/>
  <c r="AF212" i="17" s="1"/>
  <c r="AD212" i="17" s="1"/>
  <c r="AG244" i="17"/>
  <c r="AF244" i="17" s="1"/>
  <c r="AD244" i="17" s="1"/>
  <c r="AG276" i="17"/>
  <c r="AF276" i="17" s="1"/>
  <c r="AD276" i="17" s="1"/>
  <c r="AG308" i="17"/>
  <c r="AF308" i="17" s="1"/>
  <c r="AD30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326" i="17"/>
  <c r="AF326" i="17" s="1"/>
  <c r="AD326" i="17" s="1"/>
  <c r="AG310" i="17"/>
  <c r="AF310" i="17" s="1"/>
  <c r="AD310" i="17" s="1"/>
  <c r="AG294" i="17"/>
  <c r="AF294" i="17" s="1"/>
  <c r="AD294" i="17" s="1"/>
  <c r="AG278" i="17"/>
  <c r="AF278" i="17" s="1"/>
  <c r="AD278" i="17" s="1"/>
  <c r="AG262" i="17"/>
  <c r="AF262" i="17" s="1"/>
  <c r="AD262" i="17" s="1"/>
  <c r="AG246" i="17"/>
  <c r="AF246" i="17" s="1"/>
  <c r="AD246" i="17" s="1"/>
  <c r="AG230" i="17"/>
  <c r="AF230" i="17" s="1"/>
  <c r="AD230" i="17" s="1"/>
  <c r="AG214" i="17"/>
  <c r="AF214" i="17" s="1"/>
  <c r="AD214" i="17" s="1"/>
  <c r="AG198" i="17"/>
  <c r="AF198" i="17" s="1"/>
  <c r="AD198" i="17" s="1"/>
  <c r="AG182" i="17"/>
  <c r="AF182" i="17" s="1"/>
  <c r="AD182" i="17" s="1"/>
  <c r="AG166" i="17"/>
  <c r="AF166" i="17" s="1"/>
  <c r="AD166" i="17" s="1"/>
  <c r="AG150" i="17"/>
  <c r="AF150" i="17" s="1"/>
  <c r="AD150" i="17" s="1"/>
  <c r="AG134" i="17"/>
  <c r="AF134" i="17" s="1"/>
  <c r="AD134" i="17" s="1"/>
  <c r="AG107" i="17"/>
  <c r="AF107" i="17" s="1"/>
  <c r="AD107" i="17" s="1"/>
  <c r="AG75" i="17"/>
  <c r="AF75" i="17" s="1"/>
  <c r="AD75" i="17" s="1"/>
  <c r="AG43" i="17"/>
  <c r="AF43" i="17" s="1"/>
  <c r="AD43" i="17" s="1"/>
  <c r="AG208" i="17"/>
  <c r="AF208" i="17" s="1"/>
  <c r="AD208" i="17" s="1"/>
  <c r="AG332" i="17"/>
  <c r="AF332" i="17" s="1"/>
  <c r="AD332" i="17" s="1"/>
  <c r="AG111" i="17"/>
  <c r="AF111" i="17" s="1"/>
  <c r="AD111" i="17" s="1"/>
  <c r="AG352" i="17"/>
  <c r="AF352" i="17" s="1"/>
  <c r="AD352" i="17" s="1"/>
  <c r="D60" i="7"/>
  <c r="V149" i="17"/>
  <c r="D66" i="7"/>
  <c r="V333" i="17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G95" i="17"/>
  <c r="AF95" i="17" s="1"/>
  <c r="AD95" i="17" s="1"/>
  <c r="AG240" i="17"/>
  <c r="AF240" i="17" s="1"/>
  <c r="AD240" i="17" s="1"/>
  <c r="AG348" i="17"/>
  <c r="AF348" i="17" s="1"/>
  <c r="AD348" i="17" s="1"/>
  <c r="AG312" i="17"/>
  <c r="AF312" i="17" s="1"/>
  <c r="AD312" i="17" s="1"/>
  <c r="AH15" i="17"/>
  <c r="AI382" i="17"/>
  <c r="AI383" i="17"/>
  <c r="AI381" i="17"/>
  <c r="J350" i="16"/>
  <c r="I350" i="16"/>
  <c r="AF381" i="16"/>
  <c r="AD15" i="16"/>
  <c r="AF382" i="16"/>
  <c r="AF383" i="16"/>
  <c r="I44" i="16"/>
  <c r="J44" i="16"/>
  <c r="I158" i="16"/>
  <c r="J158" i="16"/>
  <c r="I63" i="16"/>
  <c r="J63" i="16"/>
  <c r="J159" i="16"/>
  <c r="I159" i="16"/>
  <c r="I360" i="16"/>
  <c r="J360" i="16"/>
  <c r="I336" i="16"/>
  <c r="J336" i="16"/>
  <c r="I312" i="16"/>
  <c r="J312" i="16"/>
  <c r="J272" i="16"/>
  <c r="I272" i="16"/>
  <c r="J240" i="16"/>
  <c r="I240" i="16"/>
  <c r="I192" i="16"/>
  <c r="J192" i="16"/>
  <c r="J22" i="16"/>
  <c r="I22" i="16"/>
  <c r="I41" i="16"/>
  <c r="J41" i="16"/>
  <c r="J132" i="16"/>
  <c r="I132" i="16"/>
  <c r="I116" i="16"/>
  <c r="J116" i="16"/>
  <c r="J80" i="16"/>
  <c r="I80" i="16"/>
  <c r="J72" i="16"/>
  <c r="I72" i="16"/>
  <c r="J65" i="16"/>
  <c r="I65" i="16"/>
  <c r="I331" i="16"/>
  <c r="J331" i="16"/>
  <c r="J246" i="16"/>
  <c r="I246" i="16"/>
  <c r="I268" i="16"/>
  <c r="J268" i="16"/>
  <c r="J220" i="16"/>
  <c r="I220" i="16"/>
  <c r="I370" i="16"/>
  <c r="J370" i="16"/>
  <c r="I234" i="16"/>
  <c r="J234" i="16"/>
  <c r="I366" i="16"/>
  <c r="J366" i="16"/>
  <c r="J214" i="16"/>
  <c r="I214" i="16"/>
  <c r="I338" i="16"/>
  <c r="J338" i="16"/>
  <c r="I298" i="16"/>
  <c r="J298" i="16"/>
  <c r="I250" i="16"/>
  <c r="J250" i="16"/>
  <c r="J164" i="16"/>
  <c r="I164" i="16"/>
  <c r="I124" i="16"/>
  <c r="J124" i="16"/>
  <c r="J115" i="16"/>
  <c r="I115" i="16"/>
  <c r="J55" i="16"/>
  <c r="I55" i="16"/>
  <c r="I206" i="16"/>
  <c r="J206" i="16"/>
  <c r="J356" i="16"/>
  <c r="I356" i="16"/>
  <c r="I276" i="16"/>
  <c r="J276" i="16"/>
  <c r="I236" i="16"/>
  <c r="J236" i="16"/>
  <c r="I109" i="16"/>
  <c r="J109" i="16"/>
  <c r="I258" i="16"/>
  <c r="J258" i="16"/>
  <c r="I202" i="16"/>
  <c r="J202" i="16"/>
  <c r="I334" i="16"/>
  <c r="J334" i="16"/>
  <c r="I254" i="16"/>
  <c r="J254" i="16"/>
  <c r="J85" i="16"/>
  <c r="I85" i="16"/>
  <c r="I314" i="16"/>
  <c r="J314" i="16"/>
  <c r="I282" i="16"/>
  <c r="J282" i="16"/>
  <c r="I100" i="16"/>
  <c r="J100" i="16"/>
  <c r="J291" i="16"/>
  <c r="I291" i="16"/>
  <c r="H167" i="16"/>
  <c r="AA167" i="16"/>
  <c r="Z167" i="16" s="1"/>
  <c r="Y167" i="16" s="1"/>
  <c r="G167" i="16"/>
  <c r="BY167" i="6" s="1"/>
  <c r="G49" i="16"/>
  <c r="BY49" i="6" s="1"/>
  <c r="H49" i="16"/>
  <c r="AA49" i="16"/>
  <c r="Z49" i="16" s="1"/>
  <c r="Y49" i="16" s="1"/>
  <c r="AG200" i="17"/>
  <c r="AF200" i="17" s="1"/>
  <c r="AD200" i="17" s="1"/>
  <c r="AG296" i="17"/>
  <c r="AF296" i="17" s="1"/>
  <c r="AD296" i="17" s="1"/>
  <c r="AG344" i="17"/>
  <c r="AF344" i="17" s="1"/>
  <c r="AD344" i="17" s="1"/>
  <c r="AG160" i="17"/>
  <c r="AF160" i="17" s="1"/>
  <c r="AD160" i="17" s="1"/>
  <c r="AG288" i="17"/>
  <c r="AF288" i="17" s="1"/>
  <c r="AD288" i="17" s="1"/>
  <c r="AG372" i="17"/>
  <c r="AF372" i="17" s="1"/>
  <c r="AD372" i="17" s="1"/>
  <c r="AG280" i="17"/>
  <c r="AF280" i="17" s="1"/>
  <c r="AD280" i="17" s="1"/>
  <c r="R382" i="16"/>
  <c r="R383" i="16"/>
  <c r="R381" i="16"/>
  <c r="P15" i="16"/>
  <c r="S44" i="17"/>
  <c r="R44" i="17" s="1"/>
  <c r="P44" i="17" s="1"/>
  <c r="V44" i="17" s="1"/>
  <c r="S92" i="17"/>
  <c r="R92" i="17" s="1"/>
  <c r="P92" i="17" s="1"/>
  <c r="V92" i="17" s="1"/>
  <c r="S108" i="17"/>
  <c r="R108" i="17" s="1"/>
  <c r="P108" i="17" s="1"/>
  <c r="V108" i="17" s="1"/>
  <c r="S156" i="17"/>
  <c r="R156" i="17" s="1"/>
  <c r="P156" i="17" s="1"/>
  <c r="V156" i="17" s="1"/>
  <c r="S204" i="17"/>
  <c r="R204" i="17" s="1"/>
  <c r="P204" i="17" s="1"/>
  <c r="V204" i="17" s="1"/>
  <c r="S220" i="17"/>
  <c r="R220" i="17" s="1"/>
  <c r="P220" i="17" s="1"/>
  <c r="V220" i="17" s="1"/>
  <c r="S236" i="17"/>
  <c r="R236" i="17" s="1"/>
  <c r="P236" i="17" s="1"/>
  <c r="V236" i="17" s="1"/>
  <c r="S268" i="17"/>
  <c r="R268" i="17" s="1"/>
  <c r="P268" i="17" s="1"/>
  <c r="V268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79" i="17"/>
  <c r="R79" i="17" s="1"/>
  <c r="P79" i="17" s="1"/>
  <c r="V79" i="17" s="1"/>
  <c r="S87" i="17"/>
  <c r="R87" i="17" s="1"/>
  <c r="P87" i="17" s="1"/>
  <c r="V87" i="17" s="1"/>
  <c r="S95" i="17"/>
  <c r="R95" i="17" s="1"/>
  <c r="P95" i="17" s="1"/>
  <c r="V95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45" i="17"/>
  <c r="AF45" i="17" s="1"/>
  <c r="AD45" i="17" s="1"/>
  <c r="AG77" i="17"/>
  <c r="AF77" i="17" s="1"/>
  <c r="AD77" i="17" s="1"/>
  <c r="AG109" i="17"/>
  <c r="AF109" i="17" s="1"/>
  <c r="AD109" i="17" s="1"/>
  <c r="S26" i="17"/>
  <c r="R26" i="17" s="1"/>
  <c r="P26" i="17" s="1"/>
  <c r="V26" i="17" s="1"/>
  <c r="V210" i="17"/>
  <c r="D62" i="7"/>
  <c r="S29" i="17"/>
  <c r="R29" i="17" s="1"/>
  <c r="P29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AG21" i="17"/>
  <c r="AF21" i="17" s="1"/>
  <c r="AD21" i="17" s="1"/>
  <c r="AG53" i="17"/>
  <c r="AF53" i="17" s="1"/>
  <c r="AD53" i="17" s="1"/>
  <c r="AG85" i="17"/>
  <c r="AF85" i="17" s="1"/>
  <c r="AD85" i="17" s="1"/>
  <c r="AG117" i="17"/>
  <c r="AF117" i="17" s="1"/>
  <c r="AD117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64" i="17"/>
  <c r="AF164" i="17" s="1"/>
  <c r="AD164" i="17" s="1"/>
  <c r="AG196" i="17"/>
  <c r="AF196" i="17" s="1"/>
  <c r="AD196" i="17" s="1"/>
  <c r="AG228" i="17"/>
  <c r="AF228" i="17" s="1"/>
  <c r="AD228" i="17" s="1"/>
  <c r="AG260" i="17"/>
  <c r="AF260" i="17" s="1"/>
  <c r="AD260" i="17" s="1"/>
  <c r="AG292" i="17"/>
  <c r="AF292" i="17" s="1"/>
  <c r="AD292" i="17" s="1"/>
  <c r="AG324" i="17"/>
  <c r="AF324" i="17" s="1"/>
  <c r="AD324" i="17" s="1"/>
  <c r="AG342" i="17"/>
  <c r="AF342" i="17" s="1"/>
  <c r="AD342" i="17" s="1"/>
  <c r="AG358" i="17"/>
  <c r="AF358" i="17" s="1"/>
  <c r="AD358" i="17" s="1"/>
  <c r="AG374" i="17"/>
  <c r="AF374" i="17" s="1"/>
  <c r="AD374" i="17" s="1"/>
  <c r="AG318" i="17"/>
  <c r="AF318" i="17" s="1"/>
  <c r="AD318" i="17" s="1"/>
  <c r="AG302" i="17"/>
  <c r="AF302" i="17" s="1"/>
  <c r="AD302" i="17" s="1"/>
  <c r="AG286" i="17"/>
  <c r="AF286" i="17" s="1"/>
  <c r="AD286" i="17" s="1"/>
  <c r="AG270" i="17"/>
  <c r="AF270" i="17" s="1"/>
  <c r="AD270" i="17" s="1"/>
  <c r="AG254" i="17"/>
  <c r="AF254" i="17" s="1"/>
  <c r="AD254" i="17" s="1"/>
  <c r="AG238" i="17"/>
  <c r="AF238" i="17" s="1"/>
  <c r="AD238" i="17" s="1"/>
  <c r="AG222" i="17"/>
  <c r="AF222" i="17" s="1"/>
  <c r="AD222" i="17" s="1"/>
  <c r="AG206" i="17"/>
  <c r="AF206" i="17" s="1"/>
  <c r="AD206" i="17" s="1"/>
  <c r="AG190" i="17"/>
  <c r="AF190" i="17" s="1"/>
  <c r="AD190" i="17" s="1"/>
  <c r="AG174" i="17"/>
  <c r="AF174" i="17" s="1"/>
  <c r="AD174" i="17" s="1"/>
  <c r="AG158" i="17"/>
  <c r="AF158" i="17" s="1"/>
  <c r="AD158" i="17" s="1"/>
  <c r="AG142" i="17"/>
  <c r="AF142" i="17" s="1"/>
  <c r="AD142" i="17" s="1"/>
  <c r="AG123" i="17"/>
  <c r="AF123" i="17" s="1"/>
  <c r="AD123" i="17" s="1"/>
  <c r="AG91" i="17"/>
  <c r="AF91" i="17" s="1"/>
  <c r="AD91" i="17" s="1"/>
  <c r="AG59" i="17"/>
  <c r="AF59" i="17" s="1"/>
  <c r="AD59" i="17" s="1"/>
  <c r="AG144" i="17"/>
  <c r="AF144" i="17" s="1"/>
  <c r="AD144" i="17" s="1"/>
  <c r="AG272" i="17"/>
  <c r="AF272" i="17" s="1"/>
  <c r="AD272" i="17" s="1"/>
  <c r="AG364" i="17"/>
  <c r="AF364" i="17" s="1"/>
  <c r="AD364" i="17" s="1"/>
  <c r="AG248" i="17"/>
  <c r="AF248" i="17" s="1"/>
  <c r="AD248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27" i="17"/>
  <c r="AF27" i="17" s="1"/>
  <c r="AD27" i="17" s="1"/>
  <c r="AG176" i="17"/>
  <c r="AF176" i="17" s="1"/>
  <c r="AD176" i="17" s="1"/>
  <c r="AG304" i="17"/>
  <c r="AF304" i="17" s="1"/>
  <c r="AD304" i="17" s="1"/>
  <c r="AG184" i="17"/>
  <c r="AF184" i="17" s="1"/>
  <c r="AD184" i="17" s="1"/>
  <c r="AG35" i="17"/>
  <c r="AF35" i="17" s="1"/>
  <c r="AD35" i="17" s="1"/>
  <c r="AG31" i="17"/>
  <c r="AF31" i="17" s="1"/>
  <c r="AD31" i="17" s="1"/>
  <c r="J171" i="16"/>
  <c r="I171" i="16"/>
  <c r="J20" i="16"/>
  <c r="I20" i="16"/>
  <c r="J64" i="16"/>
  <c r="I64" i="16"/>
  <c r="J174" i="16"/>
  <c r="I174" i="16"/>
  <c r="I142" i="16"/>
  <c r="J142" i="16"/>
  <c r="J209" i="16"/>
  <c r="I209" i="16"/>
  <c r="I329" i="16"/>
  <c r="J329" i="16"/>
  <c r="I319" i="16"/>
  <c r="J319" i="16"/>
  <c r="I352" i="16"/>
  <c r="J352" i="16"/>
  <c r="J344" i="16"/>
  <c r="I344" i="16"/>
  <c r="I320" i="16"/>
  <c r="J320" i="16"/>
  <c r="J280" i="16"/>
  <c r="I280" i="16"/>
  <c r="J256" i="16"/>
  <c r="I256" i="16"/>
  <c r="I248" i="16"/>
  <c r="J248" i="16"/>
  <c r="I232" i="16"/>
  <c r="J232" i="16"/>
  <c r="I216" i="16"/>
  <c r="J216" i="16"/>
  <c r="I148" i="16"/>
  <c r="J148" i="16"/>
  <c r="J107" i="16"/>
  <c r="I107" i="16"/>
  <c r="J295" i="16"/>
  <c r="I295" i="16"/>
  <c r="J23" i="16"/>
  <c r="I23" i="16"/>
  <c r="I76" i="16"/>
  <c r="J76" i="16"/>
  <c r="J343" i="16"/>
  <c r="I343" i="16"/>
  <c r="I156" i="16"/>
  <c r="J156" i="16"/>
  <c r="J99" i="16"/>
  <c r="I99" i="16"/>
  <c r="I166" i="16"/>
  <c r="J166" i="16"/>
  <c r="I150" i="16"/>
  <c r="J150" i="16"/>
  <c r="J86" i="16"/>
  <c r="I86" i="16"/>
  <c r="J190" i="16"/>
  <c r="I190" i="16"/>
  <c r="I351" i="16"/>
  <c r="J351" i="16"/>
  <c r="I68" i="16"/>
  <c r="J68" i="16"/>
  <c r="J327" i="16"/>
  <c r="I327" i="16"/>
  <c r="I348" i="16"/>
  <c r="J348" i="16"/>
  <c r="J332" i="16"/>
  <c r="I332" i="16"/>
  <c r="I292" i="16"/>
  <c r="J292" i="16"/>
  <c r="J244" i="16"/>
  <c r="I244" i="16"/>
  <c r="I196" i="16"/>
  <c r="J196" i="16"/>
  <c r="I330" i="16"/>
  <c r="J330" i="16"/>
  <c r="I186" i="16"/>
  <c r="J186" i="16"/>
  <c r="I286" i="16"/>
  <c r="J286" i="16"/>
  <c r="I323" i="16"/>
  <c r="J323" i="16"/>
  <c r="I194" i="16"/>
  <c r="J194" i="16"/>
  <c r="J183" i="16"/>
  <c r="I183" i="16"/>
  <c r="I270" i="16"/>
  <c r="J270" i="16"/>
  <c r="J340" i="16"/>
  <c r="I340" i="16"/>
  <c r="I324" i="16"/>
  <c r="J324" i="16"/>
  <c r="I252" i="16"/>
  <c r="J252" i="16"/>
  <c r="I204" i="16"/>
  <c r="J204" i="16"/>
  <c r="J346" i="16"/>
  <c r="I346" i="16"/>
  <c r="J306" i="16"/>
  <c r="I306" i="16"/>
  <c r="J354" i="16"/>
  <c r="I354" i="16"/>
  <c r="J218" i="16"/>
  <c r="I218" i="16"/>
  <c r="J26" i="16"/>
  <c r="I26" i="16"/>
  <c r="I144" i="16"/>
  <c r="J144" i="16"/>
  <c r="J39" i="16"/>
  <c r="I39" i="16"/>
  <c r="J191" i="16"/>
  <c r="I191" i="16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V379" i="17"/>
  <c r="Z382" i="15"/>
  <c r="Y15" i="15"/>
  <c r="AL5" i="15" s="1"/>
  <c r="AL11" i="15" s="1"/>
  <c r="AJ3" i="15" s="1"/>
  <c r="O12" i="19" s="1"/>
  <c r="Z381" i="15"/>
  <c r="Z9" i="15"/>
  <c r="AL8" i="15"/>
  <c r="Z383" i="15"/>
  <c r="AE382" i="18"/>
  <c r="AE383" i="18"/>
  <c r="AE381" i="18"/>
  <c r="K7" i="7"/>
  <c r="B7" i="6"/>
  <c r="Q381" i="18"/>
  <c r="Q382" i="18"/>
  <c r="Q383" i="18"/>
  <c r="AK3" i="25"/>
  <c r="Q20" i="19" s="1"/>
  <c r="E12" i="19" l="1"/>
  <c r="Q10" i="20"/>
  <c r="AE323" i="20" s="1"/>
  <c r="AE11" i="20"/>
  <c r="U10" i="18"/>
  <c r="U149" i="18" s="1"/>
  <c r="T149" i="18" s="1"/>
  <c r="S149" i="18" s="1"/>
  <c r="R149" i="18" s="1"/>
  <c r="P149" i="18" s="1"/>
  <c r="I64" i="19"/>
  <c r="D56" i="7"/>
  <c r="V29" i="17"/>
  <c r="F64" i="19"/>
  <c r="C64" i="19"/>
  <c r="J64" i="19"/>
  <c r="G64" i="19"/>
  <c r="D58" i="7"/>
  <c r="V88" i="17"/>
  <c r="L64" i="19"/>
  <c r="K64" i="19"/>
  <c r="D59" i="7"/>
  <c r="V119" i="17"/>
  <c r="E64" i="19" s="1"/>
  <c r="H64" i="19"/>
  <c r="J49" i="16"/>
  <c r="I49" i="16"/>
  <c r="I167" i="16"/>
  <c r="J167" i="16"/>
  <c r="AH383" i="17"/>
  <c r="AG15" i="17"/>
  <c r="AH382" i="17"/>
  <c r="AH381" i="17"/>
  <c r="AG379" i="17"/>
  <c r="AF379" i="17" s="1"/>
  <c r="AD379" i="17" s="1"/>
  <c r="D67" i="7"/>
  <c r="V363" i="17"/>
  <c r="J263" i="16"/>
  <c r="I263" i="16"/>
  <c r="V15" i="16"/>
  <c r="P382" i="16"/>
  <c r="F15" i="16"/>
  <c r="P381" i="16"/>
  <c r="P383" i="16"/>
  <c r="AD383" i="16"/>
  <c r="AD381" i="16"/>
  <c r="AD382" i="16"/>
  <c r="U21" i="18"/>
  <c r="T21" i="18" s="1"/>
  <c r="U379" i="18"/>
  <c r="AA16" i="7"/>
  <c r="U25" i="18"/>
  <c r="T25" i="18" s="1"/>
  <c r="U281" i="18"/>
  <c r="T281" i="18" s="1"/>
  <c r="S281" i="18" s="1"/>
  <c r="R281" i="18" s="1"/>
  <c r="P281" i="18" s="1"/>
  <c r="V281" i="18" s="1"/>
  <c r="T382" i="17"/>
  <c r="S15" i="17"/>
  <c r="T381" i="17"/>
  <c r="T383" i="17"/>
  <c r="J290" i="16"/>
  <c r="I290" i="16"/>
  <c r="AE357" i="20"/>
  <c r="Q319" i="20"/>
  <c r="AE207" i="20"/>
  <c r="AE246" i="20"/>
  <c r="Q307" i="20"/>
  <c r="Q262" i="20"/>
  <c r="Q333" i="20"/>
  <c r="AE29" i="20"/>
  <c r="AE61" i="20"/>
  <c r="AE91" i="20"/>
  <c r="AE111" i="20"/>
  <c r="Q130" i="20"/>
  <c r="Q98" i="20"/>
  <c r="Q133" i="20"/>
  <c r="Q149" i="20"/>
  <c r="Q165" i="20"/>
  <c r="Q181" i="20"/>
  <c r="Q197" i="20"/>
  <c r="Q213" i="20"/>
  <c r="Q229" i="20"/>
  <c r="Q245" i="20"/>
  <c r="Q261" i="20"/>
  <c r="AE88" i="20"/>
  <c r="AE72" i="20"/>
  <c r="AE56" i="20"/>
  <c r="AE40" i="20"/>
  <c r="AE24" i="20"/>
  <c r="Q372" i="20"/>
  <c r="Q356" i="20"/>
  <c r="Q340" i="20"/>
  <c r="Q324" i="20"/>
  <c r="Q308" i="20"/>
  <c r="Q292" i="20"/>
  <c r="Q276" i="20"/>
  <c r="Q244" i="20"/>
  <c r="Q212" i="20"/>
  <c r="Q180" i="20"/>
  <c r="Q148" i="20"/>
  <c r="Q94" i="20"/>
  <c r="Q108" i="20"/>
  <c r="Q91" i="20"/>
  <c r="Q58" i="20"/>
  <c r="Q26" i="20"/>
  <c r="Q123" i="20"/>
  <c r="Q115" i="20"/>
  <c r="Q107" i="20"/>
  <c r="Q99" i="20"/>
  <c r="Q88" i="20"/>
  <c r="Q72" i="20"/>
  <c r="Q56" i="20"/>
  <c r="Q40" i="20"/>
  <c r="Q24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87" i="20"/>
  <c r="Q79" i="20"/>
  <c r="Q71" i="20"/>
  <c r="Q63" i="20"/>
  <c r="Q55" i="20"/>
  <c r="Q47" i="20"/>
  <c r="Q39" i="20"/>
  <c r="Q31" i="20"/>
  <c r="Q23" i="20"/>
  <c r="Z11" i="1"/>
  <c r="Z5" i="1" s="1"/>
  <c r="H11" i="19" s="1"/>
  <c r="H35" i="19" s="1"/>
  <c r="X9" i="15"/>
  <c r="Y11" i="15" s="1"/>
  <c r="Y382" i="15"/>
  <c r="Y381" i="15"/>
  <c r="AL6" i="15"/>
  <c r="AL12" i="15" s="1"/>
  <c r="Y383" i="15"/>
  <c r="AM6" i="15"/>
  <c r="AM12" i="15" s="1"/>
  <c r="AI11" i="18" l="1"/>
  <c r="AI15" i="7"/>
  <c r="Q19" i="20"/>
  <c r="Q27" i="20"/>
  <c r="Q35" i="20"/>
  <c r="Q43" i="20"/>
  <c r="Q51" i="20"/>
  <c r="Q59" i="20"/>
  <c r="Q67" i="20"/>
  <c r="Q75" i="20"/>
  <c r="Q83" i="20"/>
  <c r="Q92" i="20"/>
  <c r="Q16" i="20"/>
  <c r="Q32" i="20"/>
  <c r="Q48" i="20"/>
  <c r="Q64" i="20"/>
  <c r="Q80" i="20"/>
  <c r="Q95" i="20"/>
  <c r="Q103" i="20"/>
  <c r="Q111" i="20"/>
  <c r="Q119" i="20"/>
  <c r="Q127" i="20"/>
  <c r="Q42" i="20"/>
  <c r="Q74" i="20"/>
  <c r="Q100" i="20"/>
  <c r="Q380" i="20"/>
  <c r="Q132" i="20"/>
  <c r="Q164" i="20"/>
  <c r="Q196" i="20"/>
  <c r="Q228" i="20"/>
  <c r="Q260" i="20"/>
  <c r="Q284" i="20"/>
  <c r="Q300" i="20"/>
  <c r="Q316" i="20"/>
  <c r="Q332" i="20"/>
  <c r="Q348" i="20"/>
  <c r="Q364" i="20"/>
  <c r="AE19" i="20"/>
  <c r="AE32" i="20"/>
  <c r="AE48" i="20"/>
  <c r="AE64" i="20"/>
  <c r="AE80" i="20"/>
  <c r="Q269" i="20"/>
  <c r="Q253" i="20"/>
  <c r="Q237" i="20"/>
  <c r="Q221" i="20"/>
  <c r="Q205" i="20"/>
  <c r="Q189" i="20"/>
  <c r="Q173" i="20"/>
  <c r="Q157" i="20"/>
  <c r="Q141" i="20"/>
  <c r="Q122" i="20"/>
  <c r="Q38" i="20"/>
  <c r="Q194" i="20"/>
  <c r="AE99" i="20"/>
  <c r="AE77" i="20"/>
  <c r="AE45" i="20"/>
  <c r="Q365" i="20"/>
  <c r="Q301" i="20"/>
  <c r="Q190" i="20"/>
  <c r="AE148" i="20"/>
  <c r="AE310" i="20"/>
  <c r="AE83" i="20"/>
  <c r="Q363" i="20"/>
  <c r="U153" i="18"/>
  <c r="T153" i="18" s="1"/>
  <c r="S153" i="18" s="1"/>
  <c r="R153" i="18" s="1"/>
  <c r="P153" i="18" s="1"/>
  <c r="V153" i="18" s="1"/>
  <c r="U277" i="18"/>
  <c r="T277" i="18" s="1"/>
  <c r="S277" i="18" s="1"/>
  <c r="R277" i="18" s="1"/>
  <c r="P277" i="18" s="1"/>
  <c r="V277" i="18" s="1"/>
  <c r="F12" i="19"/>
  <c r="U29" i="18"/>
  <c r="T29" i="18" s="1"/>
  <c r="S29" i="18" s="1"/>
  <c r="R29" i="18" s="1"/>
  <c r="P29" i="18" s="1"/>
  <c r="V29" i="18" s="1"/>
  <c r="U37" i="18"/>
  <c r="T37" i="18" s="1"/>
  <c r="S37" i="18" s="1"/>
  <c r="R37" i="18" s="1"/>
  <c r="P37" i="18" s="1"/>
  <c r="V37" i="18" s="1"/>
  <c r="U69" i="18"/>
  <c r="T69" i="18" s="1"/>
  <c r="U101" i="18"/>
  <c r="T101" i="18" s="1"/>
  <c r="S101" i="18" s="1"/>
  <c r="R101" i="18" s="1"/>
  <c r="P101" i="18" s="1"/>
  <c r="V101" i="18" s="1"/>
  <c r="U133" i="18"/>
  <c r="T133" i="18" s="1"/>
  <c r="S133" i="18" s="1"/>
  <c r="R133" i="18" s="1"/>
  <c r="P133" i="18" s="1"/>
  <c r="V133" i="18" s="1"/>
  <c r="U165" i="18"/>
  <c r="T165" i="18" s="1"/>
  <c r="S165" i="18" s="1"/>
  <c r="R165" i="18" s="1"/>
  <c r="P165" i="18" s="1"/>
  <c r="V165" i="18" s="1"/>
  <c r="U197" i="18"/>
  <c r="T197" i="18" s="1"/>
  <c r="S197" i="18" s="1"/>
  <c r="R197" i="18" s="1"/>
  <c r="P197" i="18" s="1"/>
  <c r="V197" i="18" s="1"/>
  <c r="U229" i="18"/>
  <c r="T229" i="18" s="1"/>
  <c r="S229" i="18" s="1"/>
  <c r="R229" i="18" s="1"/>
  <c r="P229" i="18" s="1"/>
  <c r="V229" i="18" s="1"/>
  <c r="U261" i="18"/>
  <c r="T261" i="18" s="1"/>
  <c r="S261" i="18" s="1"/>
  <c r="R261" i="18" s="1"/>
  <c r="P261" i="18" s="1"/>
  <c r="V261" i="18" s="1"/>
  <c r="U293" i="18"/>
  <c r="T293" i="18" s="1"/>
  <c r="S293" i="18" s="1"/>
  <c r="R293" i="18" s="1"/>
  <c r="P293" i="18" s="1"/>
  <c r="V293" i="18" s="1"/>
  <c r="U325" i="18"/>
  <c r="T325" i="18" s="1"/>
  <c r="S325" i="18" s="1"/>
  <c r="R325" i="18" s="1"/>
  <c r="P325" i="18" s="1"/>
  <c r="V325" i="18" s="1"/>
  <c r="U355" i="18"/>
  <c r="T355" i="18" s="1"/>
  <c r="S355" i="18" s="1"/>
  <c r="R355" i="18" s="1"/>
  <c r="P355" i="18" s="1"/>
  <c r="V355" i="18" s="1"/>
  <c r="U371" i="18"/>
  <c r="T371" i="18" s="1"/>
  <c r="S371" i="18" s="1"/>
  <c r="R371" i="18" s="1"/>
  <c r="P371" i="18" s="1"/>
  <c r="V371" i="18" s="1"/>
  <c r="U41" i="18"/>
  <c r="T41" i="18" s="1"/>
  <c r="S41" i="18" s="1"/>
  <c r="R41" i="18" s="1"/>
  <c r="P41" i="18" s="1"/>
  <c r="V41" i="18" s="1"/>
  <c r="U73" i="18"/>
  <c r="T73" i="18" s="1"/>
  <c r="U105" i="18"/>
  <c r="T105" i="18" s="1"/>
  <c r="S105" i="18" s="1"/>
  <c r="R105" i="18" s="1"/>
  <c r="P105" i="18" s="1"/>
  <c r="V105" i="18" s="1"/>
  <c r="U137" i="18"/>
  <c r="T137" i="18" s="1"/>
  <c r="S137" i="18" s="1"/>
  <c r="R137" i="18" s="1"/>
  <c r="P137" i="18" s="1"/>
  <c r="V137" i="18" s="1"/>
  <c r="U169" i="18"/>
  <c r="T169" i="18" s="1"/>
  <c r="S169" i="18" s="1"/>
  <c r="R169" i="18" s="1"/>
  <c r="P169" i="18" s="1"/>
  <c r="V169" i="18" s="1"/>
  <c r="U201" i="18"/>
  <c r="T201" i="18" s="1"/>
  <c r="S201" i="18" s="1"/>
  <c r="R201" i="18" s="1"/>
  <c r="P201" i="18" s="1"/>
  <c r="V201" i="18" s="1"/>
  <c r="U233" i="18"/>
  <c r="T233" i="18" s="1"/>
  <c r="S233" i="18" s="1"/>
  <c r="R233" i="18" s="1"/>
  <c r="P233" i="18" s="1"/>
  <c r="V233" i="18" s="1"/>
  <c r="U265" i="18"/>
  <c r="T265" i="18" s="1"/>
  <c r="S265" i="18" s="1"/>
  <c r="R265" i="18" s="1"/>
  <c r="P265" i="18" s="1"/>
  <c r="V265" i="18" s="1"/>
  <c r="U297" i="18"/>
  <c r="T297" i="18" s="1"/>
  <c r="S297" i="18" s="1"/>
  <c r="R297" i="18" s="1"/>
  <c r="P297" i="18" s="1"/>
  <c r="V297" i="18" s="1"/>
  <c r="U329" i="18"/>
  <c r="T329" i="18" s="1"/>
  <c r="U357" i="18"/>
  <c r="T357" i="18" s="1"/>
  <c r="S357" i="18" s="1"/>
  <c r="R357" i="18" s="1"/>
  <c r="P357" i="18" s="1"/>
  <c r="V357" i="18" s="1"/>
  <c r="U373" i="18"/>
  <c r="T373" i="18" s="1"/>
  <c r="S373" i="18" s="1"/>
  <c r="R373" i="18" s="1"/>
  <c r="P373" i="18" s="1"/>
  <c r="V373" i="18" s="1"/>
  <c r="U53" i="18"/>
  <c r="T53" i="18" s="1"/>
  <c r="S53" i="18" s="1"/>
  <c r="R53" i="18" s="1"/>
  <c r="P53" i="18" s="1"/>
  <c r="V53" i="18" s="1"/>
  <c r="U117" i="18"/>
  <c r="T117" i="18" s="1"/>
  <c r="S117" i="18" s="1"/>
  <c r="R117" i="18" s="1"/>
  <c r="P117" i="18" s="1"/>
  <c r="V117" i="18" s="1"/>
  <c r="U181" i="18"/>
  <c r="T181" i="18" s="1"/>
  <c r="S181" i="18" s="1"/>
  <c r="R181" i="18" s="1"/>
  <c r="P181" i="18" s="1"/>
  <c r="V181" i="18" s="1"/>
  <c r="U245" i="18"/>
  <c r="T245" i="18" s="1"/>
  <c r="S245" i="18" s="1"/>
  <c r="R245" i="18" s="1"/>
  <c r="P245" i="18" s="1"/>
  <c r="V245" i="18" s="1"/>
  <c r="U309" i="18"/>
  <c r="T309" i="18" s="1"/>
  <c r="S309" i="18" s="1"/>
  <c r="R309" i="18" s="1"/>
  <c r="P309" i="18" s="1"/>
  <c r="V309" i="18" s="1"/>
  <c r="U363" i="18"/>
  <c r="T363" i="18" s="1"/>
  <c r="S363" i="18" s="1"/>
  <c r="R363" i="18" s="1"/>
  <c r="P363" i="18" s="1"/>
  <c r="V363" i="18" s="1"/>
  <c r="U57" i="18"/>
  <c r="T57" i="18" s="1"/>
  <c r="S57" i="18" s="1"/>
  <c r="R57" i="18" s="1"/>
  <c r="P57" i="18" s="1"/>
  <c r="V57" i="18" s="1"/>
  <c r="U121" i="18"/>
  <c r="T121" i="18" s="1"/>
  <c r="S121" i="18" s="1"/>
  <c r="R121" i="18" s="1"/>
  <c r="P121" i="18" s="1"/>
  <c r="V121" i="18" s="1"/>
  <c r="U185" i="18"/>
  <c r="T185" i="18" s="1"/>
  <c r="S185" i="18" s="1"/>
  <c r="R185" i="18" s="1"/>
  <c r="P185" i="18" s="1"/>
  <c r="V185" i="18" s="1"/>
  <c r="U249" i="18"/>
  <c r="T249" i="18" s="1"/>
  <c r="U313" i="18"/>
  <c r="T313" i="18" s="1"/>
  <c r="U365" i="18"/>
  <c r="T365" i="18" s="1"/>
  <c r="S365" i="18" s="1"/>
  <c r="R365" i="18" s="1"/>
  <c r="P365" i="18" s="1"/>
  <c r="V365" i="18" s="1"/>
  <c r="AE343" i="20"/>
  <c r="AE134" i="20"/>
  <c r="AE247" i="20"/>
  <c r="AE251" i="20"/>
  <c r="AE47" i="20"/>
  <c r="Q226" i="20"/>
  <c r="AE325" i="20"/>
  <c r="AE261" i="20"/>
  <c r="AE178" i="20"/>
  <c r="AE63" i="20"/>
  <c r="Q299" i="20"/>
  <c r="Q186" i="20"/>
  <c r="Q266" i="20"/>
  <c r="Q303" i="20"/>
  <c r="Q335" i="20"/>
  <c r="Q367" i="20"/>
  <c r="AE35" i="20"/>
  <c r="AE67" i="20"/>
  <c r="AE94" i="20"/>
  <c r="AE127" i="20"/>
  <c r="AE159" i="20"/>
  <c r="AE191" i="20"/>
  <c r="AE372" i="20"/>
  <c r="AE350" i="20"/>
  <c r="AE334" i="20"/>
  <c r="AE318" i="20"/>
  <c r="AE302" i="20"/>
  <c r="AE286" i="20"/>
  <c r="AE270" i="20"/>
  <c r="AE254" i="20"/>
  <c r="AE238" i="20"/>
  <c r="AE222" i="20"/>
  <c r="AE196" i="20"/>
  <c r="AE164" i="20"/>
  <c r="AE132" i="20"/>
  <c r="AE96" i="20"/>
  <c r="AE39" i="20"/>
  <c r="Q339" i="20"/>
  <c r="Q274" i="20"/>
  <c r="Q46" i="20"/>
  <c r="Q142" i="20"/>
  <c r="Q174" i="20"/>
  <c r="Q206" i="20"/>
  <c r="Q222" i="20"/>
  <c r="Q238" i="20"/>
  <c r="Q254" i="20"/>
  <c r="Q270" i="20"/>
  <c r="Q281" i="20"/>
  <c r="Q289" i="20"/>
  <c r="Q297" i="20"/>
  <c r="Q305" i="20"/>
  <c r="Q313" i="20"/>
  <c r="Q321" i="20"/>
  <c r="Q329" i="20"/>
  <c r="Q337" i="20"/>
  <c r="Q345" i="20"/>
  <c r="Q353" i="20"/>
  <c r="Q361" i="20"/>
  <c r="Q369" i="20"/>
  <c r="Q377" i="20"/>
  <c r="AE21" i="20"/>
  <c r="AE255" i="20"/>
  <c r="AE351" i="20"/>
  <c r="AE15" i="20"/>
  <c r="Q379" i="20"/>
  <c r="Q12" i="22" s="1"/>
  <c r="AE293" i="20"/>
  <c r="AE108" i="20"/>
  <c r="Q116" i="20"/>
  <c r="Q287" i="20"/>
  <c r="Q351" i="20"/>
  <c r="AE51" i="20"/>
  <c r="AE102" i="20"/>
  <c r="AE175" i="20"/>
  <c r="AE358" i="20"/>
  <c r="AE326" i="20"/>
  <c r="AE294" i="20"/>
  <c r="AE262" i="20"/>
  <c r="AE230" i="20"/>
  <c r="AE180" i="20"/>
  <c r="AE112" i="20"/>
  <c r="Q371" i="20"/>
  <c r="Q202" i="20"/>
  <c r="Q158" i="20"/>
  <c r="Q214" i="20"/>
  <c r="Q246" i="20"/>
  <c r="Q277" i="20"/>
  <c r="Q293" i="20"/>
  <c r="Q309" i="20"/>
  <c r="Q325" i="20"/>
  <c r="Q341" i="20"/>
  <c r="Q357" i="20"/>
  <c r="Q373" i="20"/>
  <c r="AE25" i="20"/>
  <c r="AE33" i="20"/>
  <c r="AE41" i="20"/>
  <c r="AE49" i="20"/>
  <c r="AE57" i="20"/>
  <c r="AE65" i="20"/>
  <c r="AE73" i="20"/>
  <c r="AE81" i="20"/>
  <c r="AE89" i="20"/>
  <c r="AE93" i="20"/>
  <c r="AE97" i="20"/>
  <c r="AE101" i="20"/>
  <c r="AE107" i="20"/>
  <c r="AE115" i="20"/>
  <c r="Q210" i="20"/>
  <c r="Q178" i="20"/>
  <c r="Q146" i="20"/>
  <c r="Q78" i="20"/>
  <c r="Q22" i="20"/>
  <c r="Q54" i="20"/>
  <c r="Q86" i="20"/>
  <c r="Q106" i="20"/>
  <c r="Q118" i="20"/>
  <c r="Q126" i="20"/>
  <c r="Q131" i="20"/>
  <c r="Q135" i="20"/>
  <c r="Q139" i="20"/>
  <c r="Q143" i="20"/>
  <c r="Q147" i="20"/>
  <c r="Q151" i="20"/>
  <c r="Q155" i="20"/>
  <c r="Q159" i="20"/>
  <c r="Q163" i="20"/>
  <c r="Q167" i="20"/>
  <c r="Q171" i="20"/>
  <c r="Q175" i="20"/>
  <c r="Q179" i="20"/>
  <c r="Q183" i="20"/>
  <c r="Q187" i="20"/>
  <c r="Q191" i="20"/>
  <c r="Q195" i="20"/>
  <c r="Q199" i="20"/>
  <c r="Q203" i="20"/>
  <c r="Q207" i="20"/>
  <c r="Q211" i="20"/>
  <c r="Q215" i="20"/>
  <c r="Q219" i="20"/>
  <c r="Q223" i="20"/>
  <c r="Q227" i="20"/>
  <c r="Q231" i="20"/>
  <c r="Q235" i="20"/>
  <c r="Q239" i="20"/>
  <c r="Q243" i="20"/>
  <c r="Q247" i="20"/>
  <c r="Q251" i="20"/>
  <c r="Q255" i="20"/>
  <c r="Q259" i="20"/>
  <c r="Q263" i="20"/>
  <c r="Q267" i="20"/>
  <c r="Q271" i="20"/>
  <c r="Q275" i="20"/>
  <c r="AE86" i="20"/>
  <c r="AE82" i="20"/>
  <c r="AE78" i="20"/>
  <c r="AE74" i="20"/>
  <c r="AE70" i="20"/>
  <c r="AE66" i="20"/>
  <c r="AE62" i="20"/>
  <c r="AE58" i="20"/>
  <c r="AE54" i="20"/>
  <c r="AE50" i="20"/>
  <c r="AE46" i="20"/>
  <c r="AE42" i="20"/>
  <c r="AE38" i="20"/>
  <c r="AE34" i="20"/>
  <c r="AE30" i="20"/>
  <c r="AE26" i="20"/>
  <c r="AE22" i="20"/>
  <c r="AE16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4" i="20"/>
  <c r="Q290" i="20"/>
  <c r="Q286" i="20"/>
  <c r="Q282" i="20"/>
  <c r="Q278" i="20"/>
  <c r="Q272" i="20"/>
  <c r="Q264" i="20"/>
  <c r="Q256" i="20"/>
  <c r="Q248" i="20"/>
  <c r="Q240" i="20"/>
  <c r="Q232" i="20"/>
  <c r="Q224" i="20"/>
  <c r="Q216" i="20"/>
  <c r="Q208" i="20"/>
  <c r="Q200" i="20"/>
  <c r="Q192" i="20"/>
  <c r="Q184" i="20"/>
  <c r="Q176" i="20"/>
  <c r="Q168" i="20"/>
  <c r="Q160" i="20"/>
  <c r="Q152" i="20"/>
  <c r="Q144" i="20"/>
  <c r="Q136" i="20"/>
  <c r="Q128" i="20"/>
  <c r="Q110" i="20"/>
  <c r="Q62" i="20"/>
  <c r="AE380" i="20"/>
  <c r="Q90" i="20"/>
  <c r="Q18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20" i="20"/>
  <c r="Q28" i="20"/>
  <c r="Q36" i="20"/>
  <c r="Q44" i="20"/>
  <c r="Q52" i="20"/>
  <c r="Q60" i="20"/>
  <c r="Q68" i="20"/>
  <c r="Q76" i="20"/>
  <c r="Q84" i="20"/>
  <c r="Q93" i="20"/>
  <c r="Q97" i="20"/>
  <c r="Q101" i="20"/>
  <c r="Q105" i="20"/>
  <c r="Q109" i="20"/>
  <c r="Q113" i="20"/>
  <c r="Q117" i="20"/>
  <c r="Q121" i="20"/>
  <c r="Q125" i="20"/>
  <c r="Q15" i="20"/>
  <c r="Q34" i="20"/>
  <c r="Q50" i="20"/>
  <c r="Q66" i="20"/>
  <c r="Q82" i="20"/>
  <c r="Q96" i="20"/>
  <c r="Q104" i="20"/>
  <c r="Q112" i="20"/>
  <c r="Q30" i="20"/>
  <c r="Q120" i="20"/>
  <c r="Q140" i="20"/>
  <c r="Q156" i="20"/>
  <c r="Q172" i="20"/>
  <c r="Q188" i="20"/>
  <c r="Q204" i="20"/>
  <c r="Q220" i="20"/>
  <c r="Q236" i="20"/>
  <c r="Q252" i="20"/>
  <c r="Q268" i="20"/>
  <c r="Q280" i="20"/>
  <c r="Q288" i="20"/>
  <c r="Q296" i="20"/>
  <c r="Q304" i="20"/>
  <c r="Q312" i="20"/>
  <c r="Q320" i="20"/>
  <c r="Q328" i="20"/>
  <c r="Q336" i="20"/>
  <c r="Q344" i="20"/>
  <c r="Q352" i="20"/>
  <c r="Q360" i="20"/>
  <c r="Q368" i="20"/>
  <c r="Q376" i="20"/>
  <c r="AE20" i="20"/>
  <c r="AE28" i="20"/>
  <c r="AE36" i="20"/>
  <c r="AE44" i="20"/>
  <c r="AE52" i="20"/>
  <c r="AE60" i="20"/>
  <c r="AE68" i="20"/>
  <c r="AE76" i="20"/>
  <c r="AE84" i="20"/>
  <c r="Q273" i="20"/>
  <c r="Q265" i="20"/>
  <c r="Q257" i="20"/>
  <c r="Q249" i="20"/>
  <c r="Q241" i="20"/>
  <c r="Q233" i="20"/>
  <c r="Q225" i="20"/>
  <c r="Q217" i="20"/>
  <c r="Q209" i="20"/>
  <c r="Q201" i="20"/>
  <c r="Q193" i="20"/>
  <c r="Q185" i="20"/>
  <c r="Q177" i="20"/>
  <c r="Q169" i="20"/>
  <c r="Q161" i="20"/>
  <c r="Q153" i="20"/>
  <c r="Q145" i="20"/>
  <c r="Q137" i="20"/>
  <c r="Q129" i="20"/>
  <c r="Q114" i="20"/>
  <c r="Q70" i="20"/>
  <c r="Q17" i="20"/>
  <c r="Q162" i="20"/>
  <c r="AE119" i="20"/>
  <c r="AE103" i="20"/>
  <c r="AE95" i="20"/>
  <c r="AE85" i="20"/>
  <c r="AE69" i="20"/>
  <c r="AE53" i="20"/>
  <c r="AE37" i="20"/>
  <c r="AE17" i="20"/>
  <c r="Q349" i="20"/>
  <c r="Q317" i="20"/>
  <c r="Q285" i="20"/>
  <c r="Q230" i="20"/>
  <c r="Q124" i="20"/>
  <c r="AE71" i="20"/>
  <c r="AE212" i="20"/>
  <c r="AE278" i="20"/>
  <c r="AE342" i="20"/>
  <c r="AE143" i="20"/>
  <c r="AE18" i="20"/>
  <c r="Q234" i="20"/>
  <c r="AE229" i="20"/>
  <c r="AE158" i="20"/>
  <c r="U345" i="18"/>
  <c r="T345" i="18" s="1"/>
  <c r="S345" i="18" s="1"/>
  <c r="R345" i="18" s="1"/>
  <c r="P345" i="18" s="1"/>
  <c r="V345" i="18" s="1"/>
  <c r="U217" i="18"/>
  <c r="T217" i="18" s="1"/>
  <c r="S217" i="18" s="1"/>
  <c r="R217" i="18" s="1"/>
  <c r="P217" i="18" s="1"/>
  <c r="V217" i="18" s="1"/>
  <c r="U89" i="18"/>
  <c r="T89" i="18" s="1"/>
  <c r="S89" i="18" s="1"/>
  <c r="R89" i="18" s="1"/>
  <c r="P89" i="18" s="1"/>
  <c r="V89" i="18" s="1"/>
  <c r="U341" i="18"/>
  <c r="T341" i="18" s="1"/>
  <c r="S341" i="18" s="1"/>
  <c r="R341" i="18" s="1"/>
  <c r="P341" i="18" s="1"/>
  <c r="V341" i="18" s="1"/>
  <c r="U213" i="18"/>
  <c r="T213" i="18" s="1"/>
  <c r="S213" i="18" s="1"/>
  <c r="R213" i="18" s="1"/>
  <c r="P213" i="18" s="1"/>
  <c r="V213" i="18" s="1"/>
  <c r="U85" i="18"/>
  <c r="T85" i="18" s="1"/>
  <c r="S85" i="18" s="1"/>
  <c r="R85" i="18" s="1"/>
  <c r="P85" i="18" s="1"/>
  <c r="V85" i="18" s="1"/>
  <c r="AE79" i="20"/>
  <c r="Q170" i="20"/>
  <c r="AE223" i="20"/>
  <c r="AE287" i="20"/>
  <c r="AE355" i="20"/>
  <c r="AE291" i="20"/>
  <c r="AE150" i="20"/>
  <c r="Q347" i="20"/>
  <c r="AE219" i="20"/>
  <c r="AE100" i="20"/>
  <c r="Q283" i="20"/>
  <c r="Q315" i="20"/>
  <c r="AE373" i="20"/>
  <c r="AE341" i="20"/>
  <c r="AE309" i="20"/>
  <c r="AE277" i="20"/>
  <c r="AE245" i="20"/>
  <c r="AE210" i="20"/>
  <c r="AE146" i="20"/>
  <c r="AE92" i="20"/>
  <c r="AE31" i="20"/>
  <c r="Q331" i="20"/>
  <c r="Q258" i="20"/>
  <c r="Q154" i="20"/>
  <c r="Q218" i="20"/>
  <c r="Q250" i="20"/>
  <c r="Q279" i="20"/>
  <c r="Q295" i="20"/>
  <c r="Q311" i="20"/>
  <c r="Q327" i="20"/>
  <c r="Q343" i="20"/>
  <c r="Q359" i="20"/>
  <c r="Q375" i="20"/>
  <c r="AE27" i="20"/>
  <c r="AE43" i="20"/>
  <c r="AE59" i="20"/>
  <c r="AE75" i="20"/>
  <c r="AE90" i="20"/>
  <c r="AE98" i="20"/>
  <c r="AE118" i="20"/>
  <c r="AE135" i="20"/>
  <c r="AE151" i="20"/>
  <c r="AE167" i="20"/>
  <c r="AE183" i="20"/>
  <c r="AE199" i="20"/>
  <c r="AE215" i="20"/>
  <c r="AE364" i="20"/>
  <c r="AE354" i="20"/>
  <c r="AE346" i="20"/>
  <c r="AE338" i="20"/>
  <c r="AE330" i="20"/>
  <c r="AE322" i="20"/>
  <c r="AE314" i="20"/>
  <c r="AE306" i="20"/>
  <c r="AE298" i="20"/>
  <c r="AE290" i="20"/>
  <c r="AE282" i="20"/>
  <c r="AE274" i="20"/>
  <c r="AE266" i="20"/>
  <c r="AE258" i="20"/>
  <c r="AE250" i="20"/>
  <c r="AE242" i="20"/>
  <c r="AE234" i="20"/>
  <c r="AE226" i="20"/>
  <c r="AE218" i="20"/>
  <c r="AE204" i="20"/>
  <c r="AE188" i="20"/>
  <c r="AE172" i="20"/>
  <c r="AE156" i="20"/>
  <c r="AE140" i="20"/>
  <c r="AE124" i="20"/>
  <c r="AE104" i="20"/>
  <c r="AE87" i="20"/>
  <c r="AE55" i="20"/>
  <c r="AE23" i="20"/>
  <c r="Q355" i="20"/>
  <c r="Q323" i="20"/>
  <c r="Q291" i="20"/>
  <c r="Q242" i="20"/>
  <c r="Q138" i="20"/>
  <c r="Q102" i="20"/>
  <c r="Q134" i="20"/>
  <c r="Q150" i="20"/>
  <c r="Q166" i="20"/>
  <c r="Q182" i="20"/>
  <c r="Q198" i="20"/>
  <c r="AE279" i="20"/>
  <c r="AE311" i="20"/>
  <c r="AE359" i="20"/>
  <c r="AE295" i="20"/>
  <c r="AE166" i="20"/>
  <c r="AE367" i="20"/>
  <c r="AE335" i="20"/>
  <c r="AE303" i="20"/>
  <c r="AE271" i="20"/>
  <c r="AE198" i="20"/>
  <c r="AE379" i="20"/>
  <c r="AE12" i="22" s="1"/>
  <c r="AE363" i="20"/>
  <c r="AE347" i="20"/>
  <c r="AE331" i="20"/>
  <c r="AE315" i="20"/>
  <c r="AE299" i="20"/>
  <c r="AE283" i="20"/>
  <c r="AE263" i="20"/>
  <c r="AE231" i="20"/>
  <c r="AE182" i="20"/>
  <c r="AE116" i="20"/>
  <c r="AE259" i="20"/>
  <c r="AE243" i="20"/>
  <c r="AE227" i="20"/>
  <c r="AE206" i="20"/>
  <c r="AE174" i="20"/>
  <c r="AE142" i="20"/>
  <c r="AE377" i="20"/>
  <c r="AE369" i="20"/>
  <c r="AE361" i="20"/>
  <c r="AE353" i="20"/>
  <c r="AE345" i="20"/>
  <c r="AE337" i="20"/>
  <c r="AE329" i="20"/>
  <c r="AE321" i="20"/>
  <c r="AE313" i="20"/>
  <c r="AE305" i="20"/>
  <c r="AE297" i="20"/>
  <c r="AE289" i="20"/>
  <c r="AE281" i="20"/>
  <c r="AE273" i="20"/>
  <c r="AE265" i="20"/>
  <c r="AE257" i="20"/>
  <c r="AE249" i="20"/>
  <c r="AE241" i="20"/>
  <c r="AE233" i="20"/>
  <c r="AE225" i="20"/>
  <c r="AE217" i="20"/>
  <c r="AE202" i="20"/>
  <c r="AE186" i="20"/>
  <c r="AE170" i="20"/>
  <c r="AE154" i="20"/>
  <c r="AE138" i="20"/>
  <c r="AE122" i="20"/>
  <c r="AE106" i="20"/>
  <c r="AE114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378" i="20"/>
  <c r="AE374" i="20"/>
  <c r="AE370" i="20"/>
  <c r="AE366" i="20"/>
  <c r="AE362" i="20"/>
  <c r="AE117" i="20"/>
  <c r="AE113" i="20"/>
  <c r="AE109" i="20"/>
  <c r="AE105" i="20"/>
  <c r="AE120" i="20"/>
  <c r="AE128" i="20"/>
  <c r="AE136" i="20"/>
  <c r="AE144" i="20"/>
  <c r="AE152" i="20"/>
  <c r="AE160" i="20"/>
  <c r="AE168" i="20"/>
  <c r="AE176" i="20"/>
  <c r="AE184" i="20"/>
  <c r="AE192" i="20"/>
  <c r="AE200" i="20"/>
  <c r="AE208" i="20"/>
  <c r="AE216" i="20"/>
  <c r="AE220" i="20"/>
  <c r="AE224" i="20"/>
  <c r="AE228" i="20"/>
  <c r="AE232" i="20"/>
  <c r="AE236" i="20"/>
  <c r="AE240" i="20"/>
  <c r="AE244" i="20"/>
  <c r="AE248" i="20"/>
  <c r="AE252" i="20"/>
  <c r="AE256" i="20"/>
  <c r="AE260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24" i="20"/>
  <c r="AE328" i="20"/>
  <c r="AE332" i="20"/>
  <c r="AE336" i="20"/>
  <c r="AE340" i="20"/>
  <c r="AE344" i="20"/>
  <c r="AE348" i="20"/>
  <c r="AE352" i="20"/>
  <c r="AE356" i="20"/>
  <c r="AE360" i="20"/>
  <c r="AE368" i="20"/>
  <c r="AE376" i="20"/>
  <c r="AE211" i="20"/>
  <c r="AE203" i="20"/>
  <c r="AE195" i="20"/>
  <c r="AE187" i="20"/>
  <c r="AE179" i="20"/>
  <c r="AE171" i="20"/>
  <c r="AE163" i="20"/>
  <c r="AE155" i="20"/>
  <c r="AE147" i="20"/>
  <c r="AE139" i="20"/>
  <c r="AE131" i="20"/>
  <c r="AE123" i="20"/>
  <c r="AE110" i="20"/>
  <c r="AE130" i="20"/>
  <c r="AE162" i="20"/>
  <c r="AE194" i="20"/>
  <c r="AE221" i="20"/>
  <c r="AE237" i="20"/>
  <c r="AE253" i="20"/>
  <c r="AE269" i="20"/>
  <c r="AE285" i="20"/>
  <c r="AE301" i="20"/>
  <c r="AE317" i="20"/>
  <c r="AE333" i="20"/>
  <c r="AE349" i="20"/>
  <c r="AE365" i="20"/>
  <c r="AE126" i="20"/>
  <c r="AE190" i="20"/>
  <c r="AE235" i="20"/>
  <c r="AE267" i="20"/>
  <c r="AE214" i="20"/>
  <c r="AE275" i="20"/>
  <c r="AE307" i="20"/>
  <c r="AE339" i="20"/>
  <c r="AE371" i="20"/>
  <c r="AE239" i="20"/>
  <c r="AE319" i="20"/>
  <c r="AE327" i="20"/>
  <c r="AE375" i="20"/>
  <c r="U377" i="18"/>
  <c r="T377" i="18" s="1"/>
  <c r="S377" i="18" s="1"/>
  <c r="R377" i="18" s="1"/>
  <c r="P377" i="18" s="1"/>
  <c r="V377" i="18" s="1"/>
  <c r="U369" i="18"/>
  <c r="T369" i="18" s="1"/>
  <c r="S369" i="18" s="1"/>
  <c r="R369" i="18" s="1"/>
  <c r="P369" i="18" s="1"/>
  <c r="V369" i="18" s="1"/>
  <c r="U361" i="18"/>
  <c r="T361" i="18" s="1"/>
  <c r="S361" i="18" s="1"/>
  <c r="R361" i="18" s="1"/>
  <c r="P361" i="18" s="1"/>
  <c r="V361" i="18" s="1"/>
  <c r="U353" i="18"/>
  <c r="T353" i="18" s="1"/>
  <c r="S353" i="18" s="1"/>
  <c r="R353" i="18" s="1"/>
  <c r="P353" i="18" s="1"/>
  <c r="V353" i="18" s="1"/>
  <c r="U337" i="18"/>
  <c r="T337" i="18" s="1"/>
  <c r="S337" i="18" s="1"/>
  <c r="R337" i="18" s="1"/>
  <c r="P337" i="18" s="1"/>
  <c r="V337" i="18" s="1"/>
  <c r="U321" i="18"/>
  <c r="T321" i="18" s="1"/>
  <c r="S321" i="18" s="1"/>
  <c r="R321" i="18" s="1"/>
  <c r="P321" i="18" s="1"/>
  <c r="V321" i="18" s="1"/>
  <c r="U305" i="18"/>
  <c r="T305" i="18" s="1"/>
  <c r="U289" i="18"/>
  <c r="T289" i="18" s="1"/>
  <c r="S289" i="18" s="1"/>
  <c r="R289" i="18" s="1"/>
  <c r="P289" i="18" s="1"/>
  <c r="V289" i="18" s="1"/>
  <c r="U273" i="18"/>
  <c r="T273" i="18" s="1"/>
  <c r="S273" i="18" s="1"/>
  <c r="R273" i="18" s="1"/>
  <c r="P273" i="18" s="1"/>
  <c r="V273" i="18" s="1"/>
  <c r="U257" i="18"/>
  <c r="T257" i="18" s="1"/>
  <c r="S257" i="18" s="1"/>
  <c r="R257" i="18" s="1"/>
  <c r="P257" i="18" s="1"/>
  <c r="V257" i="18" s="1"/>
  <c r="U241" i="18"/>
  <c r="T241" i="18" s="1"/>
  <c r="S241" i="18" s="1"/>
  <c r="R241" i="18" s="1"/>
  <c r="P241" i="18" s="1"/>
  <c r="V241" i="18" s="1"/>
  <c r="U225" i="18"/>
  <c r="T225" i="18" s="1"/>
  <c r="S225" i="18" s="1"/>
  <c r="R225" i="18" s="1"/>
  <c r="P225" i="18" s="1"/>
  <c r="V225" i="18" s="1"/>
  <c r="U209" i="18"/>
  <c r="T209" i="18" s="1"/>
  <c r="S209" i="18" s="1"/>
  <c r="R209" i="18" s="1"/>
  <c r="P209" i="18" s="1"/>
  <c r="V209" i="18" s="1"/>
  <c r="U193" i="18"/>
  <c r="T193" i="18" s="1"/>
  <c r="S193" i="18" s="1"/>
  <c r="R193" i="18" s="1"/>
  <c r="P193" i="18" s="1"/>
  <c r="V193" i="18" s="1"/>
  <c r="U177" i="18"/>
  <c r="T177" i="18" s="1"/>
  <c r="S177" i="18" s="1"/>
  <c r="R177" i="18" s="1"/>
  <c r="P177" i="18" s="1"/>
  <c r="V177" i="18" s="1"/>
  <c r="U161" i="18"/>
  <c r="T161" i="18" s="1"/>
  <c r="S161" i="18" s="1"/>
  <c r="R161" i="18" s="1"/>
  <c r="P161" i="18" s="1"/>
  <c r="V161" i="18" s="1"/>
  <c r="U145" i="18"/>
  <c r="T145" i="18" s="1"/>
  <c r="S145" i="18" s="1"/>
  <c r="R145" i="18" s="1"/>
  <c r="P145" i="18" s="1"/>
  <c r="V145" i="18" s="1"/>
  <c r="U129" i="18"/>
  <c r="T129" i="18" s="1"/>
  <c r="S129" i="18" s="1"/>
  <c r="R129" i="18" s="1"/>
  <c r="P129" i="18" s="1"/>
  <c r="V129" i="18" s="1"/>
  <c r="U113" i="18"/>
  <c r="T113" i="18" s="1"/>
  <c r="S113" i="18" s="1"/>
  <c r="R113" i="18" s="1"/>
  <c r="P113" i="18" s="1"/>
  <c r="V113" i="18" s="1"/>
  <c r="U97" i="18"/>
  <c r="T97" i="18" s="1"/>
  <c r="S97" i="18" s="1"/>
  <c r="R97" i="18" s="1"/>
  <c r="P97" i="18" s="1"/>
  <c r="V97" i="18" s="1"/>
  <c r="U81" i="18"/>
  <c r="T81" i="18" s="1"/>
  <c r="S81" i="18" s="1"/>
  <c r="R81" i="18" s="1"/>
  <c r="P81" i="18" s="1"/>
  <c r="V81" i="18" s="1"/>
  <c r="U65" i="18"/>
  <c r="T65" i="18" s="1"/>
  <c r="S65" i="18" s="1"/>
  <c r="R65" i="18" s="1"/>
  <c r="P65" i="18" s="1"/>
  <c r="V65" i="18" s="1"/>
  <c r="U49" i="18"/>
  <c r="T49" i="18" s="1"/>
  <c r="S49" i="18" s="1"/>
  <c r="R49" i="18" s="1"/>
  <c r="P49" i="18" s="1"/>
  <c r="V49" i="18" s="1"/>
  <c r="U33" i="18"/>
  <c r="T33" i="18" s="1"/>
  <c r="S33" i="18" s="1"/>
  <c r="R33" i="18" s="1"/>
  <c r="P33" i="18" s="1"/>
  <c r="V33" i="18" s="1"/>
  <c r="U375" i="18"/>
  <c r="T375" i="18" s="1"/>
  <c r="S375" i="18" s="1"/>
  <c r="R375" i="18" s="1"/>
  <c r="P375" i="18" s="1"/>
  <c r="V375" i="18" s="1"/>
  <c r="U367" i="18"/>
  <c r="T367" i="18" s="1"/>
  <c r="S367" i="18" s="1"/>
  <c r="R367" i="18" s="1"/>
  <c r="P367" i="18" s="1"/>
  <c r="V367" i="18" s="1"/>
  <c r="U359" i="18"/>
  <c r="T359" i="18" s="1"/>
  <c r="S359" i="18" s="1"/>
  <c r="R359" i="18" s="1"/>
  <c r="P359" i="18" s="1"/>
  <c r="V359" i="18" s="1"/>
  <c r="U349" i="18"/>
  <c r="T349" i="18" s="1"/>
  <c r="S349" i="18" s="1"/>
  <c r="R349" i="18" s="1"/>
  <c r="P349" i="18" s="1"/>
  <c r="V349" i="18" s="1"/>
  <c r="U333" i="18"/>
  <c r="T333" i="18" s="1"/>
  <c r="S333" i="18" s="1"/>
  <c r="R333" i="18" s="1"/>
  <c r="P333" i="18" s="1"/>
  <c r="D78" i="7" s="1"/>
  <c r="U317" i="18"/>
  <c r="T317" i="18" s="1"/>
  <c r="S317" i="18" s="1"/>
  <c r="R317" i="18" s="1"/>
  <c r="P317" i="18" s="1"/>
  <c r="V317" i="18" s="1"/>
  <c r="U301" i="18"/>
  <c r="T301" i="18" s="1"/>
  <c r="S301" i="18" s="1"/>
  <c r="R301" i="18" s="1"/>
  <c r="P301" i="18" s="1"/>
  <c r="V301" i="18" s="1"/>
  <c r="U285" i="18"/>
  <c r="T285" i="18" s="1"/>
  <c r="S285" i="18" s="1"/>
  <c r="R285" i="18" s="1"/>
  <c r="P285" i="18" s="1"/>
  <c r="V285" i="18" s="1"/>
  <c r="U269" i="18"/>
  <c r="T269" i="18" s="1"/>
  <c r="S269" i="18" s="1"/>
  <c r="R269" i="18" s="1"/>
  <c r="P269" i="18" s="1"/>
  <c r="V269" i="18" s="1"/>
  <c r="U253" i="18"/>
  <c r="T253" i="18" s="1"/>
  <c r="S253" i="18" s="1"/>
  <c r="R253" i="18" s="1"/>
  <c r="P253" i="18" s="1"/>
  <c r="V253" i="18" s="1"/>
  <c r="U237" i="18"/>
  <c r="T237" i="18" s="1"/>
  <c r="S237" i="18" s="1"/>
  <c r="R237" i="18" s="1"/>
  <c r="P237" i="18" s="1"/>
  <c r="V237" i="18" s="1"/>
  <c r="U221" i="18"/>
  <c r="T221" i="18" s="1"/>
  <c r="S221" i="18" s="1"/>
  <c r="R221" i="18" s="1"/>
  <c r="P221" i="18" s="1"/>
  <c r="V221" i="18" s="1"/>
  <c r="U205" i="18"/>
  <c r="T205" i="18" s="1"/>
  <c r="S205" i="18" s="1"/>
  <c r="R205" i="18" s="1"/>
  <c r="P205" i="18" s="1"/>
  <c r="V205" i="18" s="1"/>
  <c r="U189" i="18"/>
  <c r="T189" i="18" s="1"/>
  <c r="S189" i="18" s="1"/>
  <c r="R189" i="18" s="1"/>
  <c r="P189" i="18" s="1"/>
  <c r="V189" i="18" s="1"/>
  <c r="U173" i="18"/>
  <c r="T173" i="18" s="1"/>
  <c r="S173" i="18" s="1"/>
  <c r="R173" i="18" s="1"/>
  <c r="P173" i="18" s="1"/>
  <c r="V173" i="18" s="1"/>
  <c r="U157" i="18"/>
  <c r="T157" i="18" s="1"/>
  <c r="S157" i="18" s="1"/>
  <c r="R157" i="18" s="1"/>
  <c r="P157" i="18" s="1"/>
  <c r="V157" i="18" s="1"/>
  <c r="U141" i="18"/>
  <c r="T141" i="18" s="1"/>
  <c r="S141" i="18" s="1"/>
  <c r="R141" i="18" s="1"/>
  <c r="P141" i="18" s="1"/>
  <c r="V141" i="18" s="1"/>
  <c r="U125" i="18"/>
  <c r="T125" i="18" s="1"/>
  <c r="S125" i="18" s="1"/>
  <c r="R125" i="18" s="1"/>
  <c r="P125" i="18" s="1"/>
  <c r="V125" i="18" s="1"/>
  <c r="U109" i="18"/>
  <c r="T109" i="18" s="1"/>
  <c r="S109" i="18" s="1"/>
  <c r="R109" i="18" s="1"/>
  <c r="P109" i="18" s="1"/>
  <c r="V109" i="18" s="1"/>
  <c r="U93" i="18"/>
  <c r="T93" i="18" s="1"/>
  <c r="S93" i="18" s="1"/>
  <c r="R93" i="18" s="1"/>
  <c r="P93" i="18" s="1"/>
  <c r="V93" i="18" s="1"/>
  <c r="U77" i="18"/>
  <c r="T77" i="18" s="1"/>
  <c r="S77" i="18" s="1"/>
  <c r="R77" i="18" s="1"/>
  <c r="P77" i="18" s="1"/>
  <c r="V77" i="18" s="1"/>
  <c r="U61" i="18"/>
  <c r="T61" i="18" s="1"/>
  <c r="U45" i="18"/>
  <c r="T45" i="18" s="1"/>
  <c r="S45" i="18" s="1"/>
  <c r="R45" i="18" s="1"/>
  <c r="P45" i="18" s="1"/>
  <c r="V45" i="18" s="1"/>
  <c r="M64" i="19"/>
  <c r="U16" i="18"/>
  <c r="T16" i="18" s="1"/>
  <c r="S16" i="18" s="1"/>
  <c r="R16" i="18" s="1"/>
  <c r="P16" i="18" s="1"/>
  <c r="V16" i="18" s="1"/>
  <c r="U20" i="18"/>
  <c r="T20" i="18" s="1"/>
  <c r="S20" i="18" s="1"/>
  <c r="R20" i="18" s="1"/>
  <c r="P20" i="18" s="1"/>
  <c r="V20" i="18" s="1"/>
  <c r="U24" i="18"/>
  <c r="T24" i="18" s="1"/>
  <c r="S24" i="18" s="1"/>
  <c r="R24" i="18" s="1"/>
  <c r="P24" i="18" s="1"/>
  <c r="V24" i="18" s="1"/>
  <c r="U28" i="18"/>
  <c r="T28" i="18" s="1"/>
  <c r="S28" i="18" s="1"/>
  <c r="R28" i="18" s="1"/>
  <c r="P28" i="18" s="1"/>
  <c r="V28" i="18" s="1"/>
  <c r="U32" i="18"/>
  <c r="T32" i="18" s="1"/>
  <c r="S32" i="18" s="1"/>
  <c r="R32" i="18" s="1"/>
  <c r="P32" i="18" s="1"/>
  <c r="V32" i="18" s="1"/>
  <c r="U36" i="18"/>
  <c r="T36" i="18" s="1"/>
  <c r="S36" i="18" s="1"/>
  <c r="R36" i="18" s="1"/>
  <c r="P36" i="18" s="1"/>
  <c r="V36" i="18" s="1"/>
  <c r="U40" i="18"/>
  <c r="T40" i="18" s="1"/>
  <c r="S40" i="18" s="1"/>
  <c r="R40" i="18" s="1"/>
  <c r="P40" i="18" s="1"/>
  <c r="V40" i="18" s="1"/>
  <c r="U44" i="18"/>
  <c r="T44" i="18" s="1"/>
  <c r="S44" i="18" s="1"/>
  <c r="R44" i="18" s="1"/>
  <c r="P44" i="18" s="1"/>
  <c r="V44" i="18" s="1"/>
  <c r="U48" i="18"/>
  <c r="T48" i="18" s="1"/>
  <c r="S48" i="18" s="1"/>
  <c r="R48" i="18" s="1"/>
  <c r="P48" i="18" s="1"/>
  <c r="V48" i="18" s="1"/>
  <c r="U52" i="18"/>
  <c r="T52" i="18" s="1"/>
  <c r="S52" i="18" s="1"/>
  <c r="R52" i="18" s="1"/>
  <c r="P52" i="18" s="1"/>
  <c r="V52" i="18" s="1"/>
  <c r="U56" i="18"/>
  <c r="T56" i="18" s="1"/>
  <c r="S56" i="18" s="1"/>
  <c r="R56" i="18" s="1"/>
  <c r="P56" i="18" s="1"/>
  <c r="V56" i="18" s="1"/>
  <c r="U60" i="18"/>
  <c r="T60" i="18" s="1"/>
  <c r="S60" i="18" s="1"/>
  <c r="R60" i="18" s="1"/>
  <c r="P60" i="18" s="1"/>
  <c r="U64" i="18"/>
  <c r="T64" i="18" s="1"/>
  <c r="S64" i="18" s="1"/>
  <c r="R64" i="18" s="1"/>
  <c r="P64" i="18" s="1"/>
  <c r="V64" i="18" s="1"/>
  <c r="U68" i="18"/>
  <c r="T68" i="18" s="1"/>
  <c r="S68" i="18" s="1"/>
  <c r="R68" i="18" s="1"/>
  <c r="P68" i="18" s="1"/>
  <c r="V68" i="18" s="1"/>
  <c r="U72" i="18"/>
  <c r="T72" i="18" s="1"/>
  <c r="S72" i="18" s="1"/>
  <c r="R72" i="18" s="1"/>
  <c r="P72" i="18" s="1"/>
  <c r="V72" i="18" s="1"/>
  <c r="U76" i="18"/>
  <c r="T76" i="18" s="1"/>
  <c r="S76" i="18" s="1"/>
  <c r="R76" i="18" s="1"/>
  <c r="P76" i="18" s="1"/>
  <c r="V76" i="18" s="1"/>
  <c r="U80" i="18"/>
  <c r="T80" i="18" s="1"/>
  <c r="S80" i="18" s="1"/>
  <c r="R80" i="18" s="1"/>
  <c r="P80" i="18" s="1"/>
  <c r="V80" i="18" s="1"/>
  <c r="U84" i="18"/>
  <c r="T84" i="18" s="1"/>
  <c r="S84" i="18" s="1"/>
  <c r="R84" i="18" s="1"/>
  <c r="P84" i="18" s="1"/>
  <c r="V84" i="18" s="1"/>
  <c r="U88" i="18"/>
  <c r="T88" i="18" s="1"/>
  <c r="S88" i="18" s="1"/>
  <c r="R88" i="18" s="1"/>
  <c r="P88" i="18" s="1"/>
  <c r="U92" i="18"/>
  <c r="T92" i="18" s="1"/>
  <c r="S92" i="18" s="1"/>
  <c r="R92" i="18" s="1"/>
  <c r="P92" i="18" s="1"/>
  <c r="V92" i="18" s="1"/>
  <c r="U96" i="18"/>
  <c r="T96" i="18" s="1"/>
  <c r="S96" i="18" s="1"/>
  <c r="R96" i="18" s="1"/>
  <c r="P96" i="18" s="1"/>
  <c r="V96" i="18" s="1"/>
  <c r="U100" i="18"/>
  <c r="T100" i="18" s="1"/>
  <c r="S100" i="18" s="1"/>
  <c r="R100" i="18" s="1"/>
  <c r="P100" i="18" s="1"/>
  <c r="V100" i="18" s="1"/>
  <c r="U104" i="18"/>
  <c r="T104" i="18" s="1"/>
  <c r="S104" i="18" s="1"/>
  <c r="R104" i="18" s="1"/>
  <c r="P104" i="18" s="1"/>
  <c r="V104" i="18" s="1"/>
  <c r="U108" i="18"/>
  <c r="T108" i="18" s="1"/>
  <c r="S108" i="18" s="1"/>
  <c r="R108" i="18" s="1"/>
  <c r="P108" i="18" s="1"/>
  <c r="V108" i="18" s="1"/>
  <c r="U112" i="18"/>
  <c r="T112" i="18" s="1"/>
  <c r="S112" i="18" s="1"/>
  <c r="R112" i="18" s="1"/>
  <c r="P112" i="18" s="1"/>
  <c r="V112" i="18" s="1"/>
  <c r="U116" i="18"/>
  <c r="T116" i="18" s="1"/>
  <c r="S116" i="18" s="1"/>
  <c r="R116" i="18" s="1"/>
  <c r="P116" i="18" s="1"/>
  <c r="V116" i="18" s="1"/>
  <c r="U120" i="18"/>
  <c r="T120" i="18" s="1"/>
  <c r="S120" i="18" s="1"/>
  <c r="R120" i="18" s="1"/>
  <c r="P120" i="18" s="1"/>
  <c r="V120" i="18" s="1"/>
  <c r="U124" i="18"/>
  <c r="T124" i="18" s="1"/>
  <c r="S124" i="18" s="1"/>
  <c r="R124" i="18" s="1"/>
  <c r="P124" i="18" s="1"/>
  <c r="V124" i="18" s="1"/>
  <c r="U128" i="18"/>
  <c r="T128" i="18" s="1"/>
  <c r="S128" i="18" s="1"/>
  <c r="R128" i="18" s="1"/>
  <c r="P128" i="18" s="1"/>
  <c r="V128" i="18" s="1"/>
  <c r="U132" i="18"/>
  <c r="T132" i="18" s="1"/>
  <c r="S132" i="18" s="1"/>
  <c r="R132" i="18" s="1"/>
  <c r="P132" i="18" s="1"/>
  <c r="V132" i="18" s="1"/>
  <c r="U136" i="18"/>
  <c r="T136" i="18" s="1"/>
  <c r="S136" i="18" s="1"/>
  <c r="R136" i="18" s="1"/>
  <c r="P136" i="18" s="1"/>
  <c r="V136" i="18" s="1"/>
  <c r="U140" i="18"/>
  <c r="T140" i="18" s="1"/>
  <c r="S140" i="18" s="1"/>
  <c r="R140" i="18" s="1"/>
  <c r="P140" i="18" s="1"/>
  <c r="V140" i="18" s="1"/>
  <c r="U144" i="18"/>
  <c r="T144" i="18" s="1"/>
  <c r="S144" i="18" s="1"/>
  <c r="R144" i="18" s="1"/>
  <c r="P144" i="18" s="1"/>
  <c r="V144" i="18" s="1"/>
  <c r="U148" i="18"/>
  <c r="T148" i="18" s="1"/>
  <c r="S148" i="18" s="1"/>
  <c r="R148" i="18" s="1"/>
  <c r="P148" i="18" s="1"/>
  <c r="V148" i="18" s="1"/>
  <c r="U152" i="18"/>
  <c r="T152" i="18" s="1"/>
  <c r="S152" i="18" s="1"/>
  <c r="R152" i="18" s="1"/>
  <c r="P152" i="18" s="1"/>
  <c r="V152" i="18" s="1"/>
  <c r="U156" i="18"/>
  <c r="T156" i="18" s="1"/>
  <c r="S156" i="18" s="1"/>
  <c r="R156" i="18" s="1"/>
  <c r="P156" i="18" s="1"/>
  <c r="V156" i="18" s="1"/>
  <c r="U160" i="18"/>
  <c r="T160" i="18" s="1"/>
  <c r="S160" i="18" s="1"/>
  <c r="R160" i="18" s="1"/>
  <c r="P160" i="18" s="1"/>
  <c r="V160" i="18" s="1"/>
  <c r="U164" i="18"/>
  <c r="T164" i="18" s="1"/>
  <c r="S164" i="18" s="1"/>
  <c r="R164" i="18" s="1"/>
  <c r="P164" i="18" s="1"/>
  <c r="V164" i="18" s="1"/>
  <c r="U168" i="18"/>
  <c r="T168" i="18" s="1"/>
  <c r="S168" i="18" s="1"/>
  <c r="R168" i="18" s="1"/>
  <c r="P168" i="18" s="1"/>
  <c r="V168" i="18" s="1"/>
  <c r="U172" i="18"/>
  <c r="T172" i="18" s="1"/>
  <c r="S172" i="18" s="1"/>
  <c r="R172" i="18" s="1"/>
  <c r="P172" i="18" s="1"/>
  <c r="V172" i="18" s="1"/>
  <c r="U17" i="18"/>
  <c r="T17" i="18" s="1"/>
  <c r="S17" i="18" s="1"/>
  <c r="R17" i="18" s="1"/>
  <c r="P17" i="18" s="1"/>
  <c r="V17" i="18" s="1"/>
  <c r="U26" i="18"/>
  <c r="T26" i="18" s="1"/>
  <c r="S26" i="18" s="1"/>
  <c r="R26" i="18" s="1"/>
  <c r="P26" i="18" s="1"/>
  <c r="V26" i="18" s="1"/>
  <c r="U34" i="18"/>
  <c r="T34" i="18" s="1"/>
  <c r="S34" i="18" s="1"/>
  <c r="R34" i="18" s="1"/>
  <c r="P34" i="18" s="1"/>
  <c r="V34" i="18" s="1"/>
  <c r="U42" i="18"/>
  <c r="T42" i="18" s="1"/>
  <c r="S42" i="18" s="1"/>
  <c r="R42" i="18" s="1"/>
  <c r="P42" i="18" s="1"/>
  <c r="V42" i="18" s="1"/>
  <c r="U50" i="18"/>
  <c r="T50" i="18" s="1"/>
  <c r="S50" i="18" s="1"/>
  <c r="R50" i="18" s="1"/>
  <c r="P50" i="18" s="1"/>
  <c r="V50" i="18" s="1"/>
  <c r="U58" i="18"/>
  <c r="T58" i="18" s="1"/>
  <c r="S58" i="18" s="1"/>
  <c r="R58" i="18" s="1"/>
  <c r="P58" i="18" s="1"/>
  <c r="V58" i="18" s="1"/>
  <c r="U66" i="18"/>
  <c r="T66" i="18" s="1"/>
  <c r="S66" i="18" s="1"/>
  <c r="R66" i="18" s="1"/>
  <c r="P66" i="18" s="1"/>
  <c r="V66" i="18" s="1"/>
  <c r="U74" i="18"/>
  <c r="T74" i="18" s="1"/>
  <c r="S74" i="18" s="1"/>
  <c r="R74" i="18" s="1"/>
  <c r="P74" i="18" s="1"/>
  <c r="V74" i="18" s="1"/>
  <c r="U82" i="18"/>
  <c r="T82" i="18" s="1"/>
  <c r="S82" i="18" s="1"/>
  <c r="R82" i="18" s="1"/>
  <c r="P82" i="18" s="1"/>
  <c r="V82" i="18" s="1"/>
  <c r="U90" i="18"/>
  <c r="T90" i="18" s="1"/>
  <c r="S90" i="18" s="1"/>
  <c r="R90" i="18" s="1"/>
  <c r="P90" i="18" s="1"/>
  <c r="V90" i="18" s="1"/>
  <c r="U98" i="18"/>
  <c r="T98" i="18" s="1"/>
  <c r="S98" i="18" s="1"/>
  <c r="R98" i="18" s="1"/>
  <c r="P98" i="18" s="1"/>
  <c r="V98" i="18" s="1"/>
  <c r="U106" i="18"/>
  <c r="T106" i="18" s="1"/>
  <c r="S106" i="18" s="1"/>
  <c r="R106" i="18" s="1"/>
  <c r="P106" i="18" s="1"/>
  <c r="V106" i="18" s="1"/>
  <c r="U114" i="18"/>
  <c r="T114" i="18" s="1"/>
  <c r="S114" i="18" s="1"/>
  <c r="R114" i="18" s="1"/>
  <c r="P114" i="18" s="1"/>
  <c r="V114" i="18" s="1"/>
  <c r="U122" i="18"/>
  <c r="T122" i="18" s="1"/>
  <c r="S122" i="18" s="1"/>
  <c r="R122" i="18" s="1"/>
  <c r="P122" i="18" s="1"/>
  <c r="V122" i="18" s="1"/>
  <c r="U130" i="18"/>
  <c r="T130" i="18" s="1"/>
  <c r="S130" i="18" s="1"/>
  <c r="R130" i="18" s="1"/>
  <c r="P130" i="18" s="1"/>
  <c r="V130" i="18" s="1"/>
  <c r="U138" i="18"/>
  <c r="T138" i="18" s="1"/>
  <c r="S138" i="18" s="1"/>
  <c r="R138" i="18" s="1"/>
  <c r="P138" i="18" s="1"/>
  <c r="V138" i="18" s="1"/>
  <c r="U146" i="18"/>
  <c r="T146" i="18" s="1"/>
  <c r="S146" i="18" s="1"/>
  <c r="R146" i="18" s="1"/>
  <c r="P146" i="18" s="1"/>
  <c r="V146" i="18" s="1"/>
  <c r="U154" i="18"/>
  <c r="T154" i="18" s="1"/>
  <c r="S154" i="18" s="1"/>
  <c r="R154" i="18" s="1"/>
  <c r="P154" i="18" s="1"/>
  <c r="V154" i="18" s="1"/>
  <c r="U162" i="18"/>
  <c r="T162" i="18" s="1"/>
  <c r="S162" i="18" s="1"/>
  <c r="R162" i="18" s="1"/>
  <c r="P162" i="18" s="1"/>
  <c r="V162" i="18" s="1"/>
  <c r="U170" i="18"/>
  <c r="T170" i="18" s="1"/>
  <c r="S170" i="18" s="1"/>
  <c r="R170" i="18" s="1"/>
  <c r="P170" i="18" s="1"/>
  <c r="V170" i="18" s="1"/>
  <c r="U176" i="18"/>
  <c r="T176" i="18" s="1"/>
  <c r="S176" i="18" s="1"/>
  <c r="R176" i="18" s="1"/>
  <c r="P176" i="18" s="1"/>
  <c r="V176" i="18" s="1"/>
  <c r="U180" i="18"/>
  <c r="T180" i="18" s="1"/>
  <c r="S180" i="18" s="1"/>
  <c r="R180" i="18" s="1"/>
  <c r="P180" i="18" s="1"/>
  <c r="U184" i="18"/>
  <c r="T184" i="18" s="1"/>
  <c r="S184" i="18" s="1"/>
  <c r="R184" i="18" s="1"/>
  <c r="P184" i="18" s="1"/>
  <c r="V184" i="18" s="1"/>
  <c r="U188" i="18"/>
  <c r="T188" i="18" s="1"/>
  <c r="S188" i="18" s="1"/>
  <c r="R188" i="18" s="1"/>
  <c r="P188" i="18" s="1"/>
  <c r="V188" i="18" s="1"/>
  <c r="U192" i="18"/>
  <c r="T192" i="18" s="1"/>
  <c r="S192" i="18" s="1"/>
  <c r="R192" i="18" s="1"/>
  <c r="P192" i="18" s="1"/>
  <c r="V192" i="18" s="1"/>
  <c r="U196" i="18"/>
  <c r="T196" i="18" s="1"/>
  <c r="S196" i="18" s="1"/>
  <c r="R196" i="18" s="1"/>
  <c r="P196" i="18" s="1"/>
  <c r="V196" i="18" s="1"/>
  <c r="U200" i="18"/>
  <c r="T200" i="18" s="1"/>
  <c r="S200" i="18" s="1"/>
  <c r="R200" i="18" s="1"/>
  <c r="P200" i="18" s="1"/>
  <c r="V200" i="18" s="1"/>
  <c r="U204" i="18"/>
  <c r="T204" i="18" s="1"/>
  <c r="S204" i="18" s="1"/>
  <c r="R204" i="18" s="1"/>
  <c r="P204" i="18" s="1"/>
  <c r="V204" i="18" s="1"/>
  <c r="U208" i="18"/>
  <c r="T208" i="18" s="1"/>
  <c r="S208" i="18" s="1"/>
  <c r="R208" i="18" s="1"/>
  <c r="P208" i="18" s="1"/>
  <c r="V208" i="18" s="1"/>
  <c r="U212" i="18"/>
  <c r="T212" i="18" s="1"/>
  <c r="S212" i="18" s="1"/>
  <c r="R212" i="18" s="1"/>
  <c r="P212" i="18" s="1"/>
  <c r="V212" i="18" s="1"/>
  <c r="U216" i="18"/>
  <c r="T216" i="18" s="1"/>
  <c r="S216" i="18" s="1"/>
  <c r="R216" i="18" s="1"/>
  <c r="P216" i="18" s="1"/>
  <c r="V216" i="18" s="1"/>
  <c r="U220" i="18"/>
  <c r="T220" i="18" s="1"/>
  <c r="S220" i="18" s="1"/>
  <c r="R220" i="18" s="1"/>
  <c r="P220" i="18" s="1"/>
  <c r="V220" i="18" s="1"/>
  <c r="U224" i="18"/>
  <c r="T224" i="18" s="1"/>
  <c r="S224" i="18" s="1"/>
  <c r="R224" i="18" s="1"/>
  <c r="P224" i="18" s="1"/>
  <c r="V224" i="18" s="1"/>
  <c r="U228" i="18"/>
  <c r="T228" i="18" s="1"/>
  <c r="S228" i="18" s="1"/>
  <c r="R228" i="18" s="1"/>
  <c r="P228" i="18" s="1"/>
  <c r="V228" i="18" s="1"/>
  <c r="U232" i="18"/>
  <c r="T232" i="18" s="1"/>
  <c r="S232" i="18" s="1"/>
  <c r="R232" i="18" s="1"/>
  <c r="P232" i="18" s="1"/>
  <c r="V232" i="18" s="1"/>
  <c r="U236" i="18"/>
  <c r="T236" i="18" s="1"/>
  <c r="S236" i="18" s="1"/>
  <c r="R236" i="18" s="1"/>
  <c r="P236" i="18" s="1"/>
  <c r="V236" i="18" s="1"/>
  <c r="U240" i="18"/>
  <c r="T240" i="18" s="1"/>
  <c r="S240" i="18" s="1"/>
  <c r="R240" i="18" s="1"/>
  <c r="P240" i="18" s="1"/>
  <c r="V240" i="18" s="1"/>
  <c r="U244" i="18"/>
  <c r="T244" i="18" s="1"/>
  <c r="S244" i="18" s="1"/>
  <c r="R244" i="18" s="1"/>
  <c r="P244" i="18" s="1"/>
  <c r="V244" i="18" s="1"/>
  <c r="U248" i="18"/>
  <c r="T248" i="18" s="1"/>
  <c r="S248" i="18" s="1"/>
  <c r="R248" i="18" s="1"/>
  <c r="P248" i="18" s="1"/>
  <c r="V248" i="18" s="1"/>
  <c r="U252" i="18"/>
  <c r="T252" i="18" s="1"/>
  <c r="S252" i="18" s="1"/>
  <c r="R252" i="18" s="1"/>
  <c r="P252" i="18" s="1"/>
  <c r="V252" i="18" s="1"/>
  <c r="U256" i="18"/>
  <c r="T256" i="18" s="1"/>
  <c r="S256" i="18" s="1"/>
  <c r="R256" i="18" s="1"/>
  <c r="P256" i="18" s="1"/>
  <c r="V256" i="18" s="1"/>
  <c r="U260" i="18"/>
  <c r="T260" i="18" s="1"/>
  <c r="S260" i="18" s="1"/>
  <c r="R260" i="18" s="1"/>
  <c r="P260" i="18" s="1"/>
  <c r="V260" i="18" s="1"/>
  <c r="U264" i="18"/>
  <c r="T264" i="18" s="1"/>
  <c r="S264" i="18" s="1"/>
  <c r="R264" i="18" s="1"/>
  <c r="P264" i="18" s="1"/>
  <c r="V264" i="18" s="1"/>
  <c r="U268" i="18"/>
  <c r="T268" i="18" s="1"/>
  <c r="S268" i="18" s="1"/>
  <c r="R268" i="18" s="1"/>
  <c r="P268" i="18" s="1"/>
  <c r="V268" i="18" s="1"/>
  <c r="U272" i="18"/>
  <c r="T272" i="18" s="1"/>
  <c r="S272" i="18" s="1"/>
  <c r="R272" i="18" s="1"/>
  <c r="P272" i="18" s="1"/>
  <c r="U276" i="18"/>
  <c r="T276" i="18" s="1"/>
  <c r="S276" i="18" s="1"/>
  <c r="R276" i="18" s="1"/>
  <c r="P276" i="18" s="1"/>
  <c r="V276" i="18" s="1"/>
  <c r="U280" i="18"/>
  <c r="T280" i="18" s="1"/>
  <c r="S280" i="18" s="1"/>
  <c r="R280" i="18" s="1"/>
  <c r="P280" i="18" s="1"/>
  <c r="V280" i="18" s="1"/>
  <c r="U284" i="18"/>
  <c r="T284" i="18" s="1"/>
  <c r="S284" i="18" s="1"/>
  <c r="R284" i="18" s="1"/>
  <c r="P284" i="18" s="1"/>
  <c r="V284" i="18" s="1"/>
  <c r="U288" i="18"/>
  <c r="T288" i="18" s="1"/>
  <c r="S288" i="18" s="1"/>
  <c r="R288" i="18" s="1"/>
  <c r="P288" i="18" s="1"/>
  <c r="V288" i="18" s="1"/>
  <c r="U292" i="18"/>
  <c r="T292" i="18" s="1"/>
  <c r="S292" i="18" s="1"/>
  <c r="R292" i="18" s="1"/>
  <c r="P292" i="18" s="1"/>
  <c r="V292" i="18" s="1"/>
  <c r="U296" i="18"/>
  <c r="T296" i="18" s="1"/>
  <c r="S296" i="18" s="1"/>
  <c r="R296" i="18" s="1"/>
  <c r="P296" i="18" s="1"/>
  <c r="V296" i="18" s="1"/>
  <c r="U300" i="18"/>
  <c r="T300" i="18" s="1"/>
  <c r="S300" i="18" s="1"/>
  <c r="R300" i="18" s="1"/>
  <c r="P300" i="18" s="1"/>
  <c r="V300" i="18" s="1"/>
  <c r="U304" i="18"/>
  <c r="T304" i="18" s="1"/>
  <c r="S304" i="18" s="1"/>
  <c r="R304" i="18" s="1"/>
  <c r="P304" i="18" s="1"/>
  <c r="V304" i="18" s="1"/>
  <c r="U308" i="18"/>
  <c r="T308" i="18" s="1"/>
  <c r="S308" i="18" s="1"/>
  <c r="R308" i="18" s="1"/>
  <c r="P308" i="18" s="1"/>
  <c r="V308" i="18" s="1"/>
  <c r="U312" i="18"/>
  <c r="T312" i="18" s="1"/>
  <c r="S312" i="18" s="1"/>
  <c r="R312" i="18" s="1"/>
  <c r="P312" i="18" s="1"/>
  <c r="V312" i="18" s="1"/>
  <c r="U316" i="18"/>
  <c r="T316" i="18" s="1"/>
  <c r="S316" i="18" s="1"/>
  <c r="R316" i="18" s="1"/>
  <c r="P316" i="18" s="1"/>
  <c r="V316" i="18" s="1"/>
  <c r="U320" i="18"/>
  <c r="T320" i="18" s="1"/>
  <c r="S320" i="18" s="1"/>
  <c r="R320" i="18" s="1"/>
  <c r="P320" i="18" s="1"/>
  <c r="V320" i="18" s="1"/>
  <c r="U324" i="18"/>
  <c r="T324" i="18" s="1"/>
  <c r="S324" i="18" s="1"/>
  <c r="R324" i="18" s="1"/>
  <c r="P324" i="18" s="1"/>
  <c r="V324" i="18" s="1"/>
  <c r="U328" i="18"/>
  <c r="T328" i="18" s="1"/>
  <c r="S328" i="18" s="1"/>
  <c r="R328" i="18" s="1"/>
  <c r="P328" i="18" s="1"/>
  <c r="V328" i="18" s="1"/>
  <c r="U332" i="18"/>
  <c r="T332" i="18" s="1"/>
  <c r="S332" i="18" s="1"/>
  <c r="R332" i="18" s="1"/>
  <c r="P332" i="18" s="1"/>
  <c r="V332" i="18" s="1"/>
  <c r="U336" i="18"/>
  <c r="T336" i="18" s="1"/>
  <c r="S336" i="18" s="1"/>
  <c r="R336" i="18" s="1"/>
  <c r="P336" i="18" s="1"/>
  <c r="V336" i="18" s="1"/>
  <c r="U340" i="18"/>
  <c r="T340" i="18" s="1"/>
  <c r="S340" i="18" s="1"/>
  <c r="R340" i="18" s="1"/>
  <c r="P340" i="18" s="1"/>
  <c r="V340" i="18" s="1"/>
  <c r="U344" i="18"/>
  <c r="T344" i="18" s="1"/>
  <c r="S344" i="18" s="1"/>
  <c r="R344" i="18" s="1"/>
  <c r="P344" i="18" s="1"/>
  <c r="V344" i="18" s="1"/>
  <c r="U348" i="18"/>
  <c r="T348" i="18" s="1"/>
  <c r="S348" i="18" s="1"/>
  <c r="R348" i="18" s="1"/>
  <c r="P348" i="18" s="1"/>
  <c r="V348" i="18" s="1"/>
  <c r="U352" i="18"/>
  <c r="T352" i="18" s="1"/>
  <c r="S352" i="18" s="1"/>
  <c r="R352" i="18" s="1"/>
  <c r="P352" i="18" s="1"/>
  <c r="V352" i="18" s="1"/>
  <c r="U376" i="18"/>
  <c r="T376" i="18" s="1"/>
  <c r="S376" i="18" s="1"/>
  <c r="R376" i="18" s="1"/>
  <c r="P376" i="18" s="1"/>
  <c r="V376" i="18" s="1"/>
  <c r="U372" i="18"/>
  <c r="T372" i="18" s="1"/>
  <c r="S372" i="18" s="1"/>
  <c r="R372" i="18" s="1"/>
  <c r="P372" i="18" s="1"/>
  <c r="V372" i="18" s="1"/>
  <c r="U368" i="18"/>
  <c r="T368" i="18" s="1"/>
  <c r="S368" i="18" s="1"/>
  <c r="R368" i="18" s="1"/>
  <c r="P368" i="18" s="1"/>
  <c r="V368" i="18" s="1"/>
  <c r="U364" i="18"/>
  <c r="T364" i="18" s="1"/>
  <c r="S364" i="18" s="1"/>
  <c r="R364" i="18" s="1"/>
  <c r="P364" i="18" s="1"/>
  <c r="V364" i="18" s="1"/>
  <c r="U360" i="18"/>
  <c r="T360" i="18" s="1"/>
  <c r="S360" i="18" s="1"/>
  <c r="R360" i="18" s="1"/>
  <c r="P360" i="18" s="1"/>
  <c r="V360" i="18" s="1"/>
  <c r="U356" i="18"/>
  <c r="T356" i="18" s="1"/>
  <c r="S356" i="18" s="1"/>
  <c r="R356" i="18" s="1"/>
  <c r="P356" i="18" s="1"/>
  <c r="V356" i="18" s="1"/>
  <c r="U351" i="18"/>
  <c r="T351" i="18" s="1"/>
  <c r="S351" i="18" s="1"/>
  <c r="R351" i="18" s="1"/>
  <c r="P351" i="18" s="1"/>
  <c r="V351" i="18" s="1"/>
  <c r="U343" i="18"/>
  <c r="T343" i="18" s="1"/>
  <c r="S343" i="18" s="1"/>
  <c r="R343" i="18" s="1"/>
  <c r="P343" i="18" s="1"/>
  <c r="V343" i="18" s="1"/>
  <c r="U335" i="18"/>
  <c r="T335" i="18" s="1"/>
  <c r="S335" i="18" s="1"/>
  <c r="R335" i="18" s="1"/>
  <c r="P335" i="18" s="1"/>
  <c r="V335" i="18" s="1"/>
  <c r="U327" i="18"/>
  <c r="T327" i="18" s="1"/>
  <c r="S327" i="18" s="1"/>
  <c r="R327" i="18" s="1"/>
  <c r="P327" i="18" s="1"/>
  <c r="V327" i="18" s="1"/>
  <c r="U319" i="18"/>
  <c r="T319" i="18" s="1"/>
  <c r="S319" i="18" s="1"/>
  <c r="R319" i="18" s="1"/>
  <c r="P319" i="18" s="1"/>
  <c r="V319" i="18" s="1"/>
  <c r="U311" i="18"/>
  <c r="T311" i="18" s="1"/>
  <c r="S311" i="18" s="1"/>
  <c r="R311" i="18" s="1"/>
  <c r="P311" i="18" s="1"/>
  <c r="V311" i="18" s="1"/>
  <c r="U303" i="18"/>
  <c r="T303" i="18" s="1"/>
  <c r="S303" i="18" s="1"/>
  <c r="R303" i="18" s="1"/>
  <c r="P303" i="18" s="1"/>
  <c r="V303" i="18" s="1"/>
  <c r="U295" i="18"/>
  <c r="T295" i="18" s="1"/>
  <c r="S295" i="18" s="1"/>
  <c r="R295" i="18" s="1"/>
  <c r="P295" i="18" s="1"/>
  <c r="V295" i="18" s="1"/>
  <c r="U287" i="18"/>
  <c r="T287" i="18" s="1"/>
  <c r="S287" i="18" s="1"/>
  <c r="R287" i="18" s="1"/>
  <c r="P287" i="18" s="1"/>
  <c r="V287" i="18" s="1"/>
  <c r="U279" i="18"/>
  <c r="T279" i="18" s="1"/>
  <c r="S279" i="18" s="1"/>
  <c r="R279" i="18" s="1"/>
  <c r="P279" i="18" s="1"/>
  <c r="V279" i="18" s="1"/>
  <c r="U271" i="18"/>
  <c r="T271" i="18" s="1"/>
  <c r="S271" i="18" s="1"/>
  <c r="R271" i="18" s="1"/>
  <c r="P271" i="18" s="1"/>
  <c r="V271" i="18" s="1"/>
  <c r="U263" i="18"/>
  <c r="T263" i="18" s="1"/>
  <c r="S263" i="18" s="1"/>
  <c r="R263" i="18" s="1"/>
  <c r="P263" i="18" s="1"/>
  <c r="V263" i="18" s="1"/>
  <c r="U255" i="18"/>
  <c r="T255" i="18" s="1"/>
  <c r="S255" i="18" s="1"/>
  <c r="R255" i="18" s="1"/>
  <c r="P255" i="18" s="1"/>
  <c r="V255" i="18" s="1"/>
  <c r="U247" i="18"/>
  <c r="T247" i="18" s="1"/>
  <c r="S247" i="18" s="1"/>
  <c r="R247" i="18" s="1"/>
  <c r="P247" i="18" s="1"/>
  <c r="V247" i="18" s="1"/>
  <c r="U15" i="18"/>
  <c r="U30" i="18"/>
  <c r="T30" i="18" s="1"/>
  <c r="S30" i="18" s="1"/>
  <c r="R30" i="18" s="1"/>
  <c r="P30" i="18" s="1"/>
  <c r="V30" i="18" s="1"/>
  <c r="U46" i="18"/>
  <c r="T46" i="18" s="1"/>
  <c r="S46" i="18" s="1"/>
  <c r="R46" i="18" s="1"/>
  <c r="P46" i="18" s="1"/>
  <c r="V46" i="18" s="1"/>
  <c r="U62" i="18"/>
  <c r="T62" i="18" s="1"/>
  <c r="S62" i="18" s="1"/>
  <c r="R62" i="18" s="1"/>
  <c r="P62" i="18" s="1"/>
  <c r="V62" i="18" s="1"/>
  <c r="U78" i="18"/>
  <c r="T78" i="18" s="1"/>
  <c r="S78" i="18" s="1"/>
  <c r="R78" i="18" s="1"/>
  <c r="P78" i="18" s="1"/>
  <c r="V78" i="18" s="1"/>
  <c r="U94" i="18"/>
  <c r="T94" i="18" s="1"/>
  <c r="S94" i="18" s="1"/>
  <c r="R94" i="18" s="1"/>
  <c r="P94" i="18" s="1"/>
  <c r="V94" i="18" s="1"/>
  <c r="U110" i="18"/>
  <c r="T110" i="18" s="1"/>
  <c r="S110" i="18" s="1"/>
  <c r="R110" i="18" s="1"/>
  <c r="P110" i="18" s="1"/>
  <c r="V110" i="18" s="1"/>
  <c r="U126" i="18"/>
  <c r="T126" i="18" s="1"/>
  <c r="S126" i="18" s="1"/>
  <c r="R126" i="18" s="1"/>
  <c r="P126" i="18" s="1"/>
  <c r="V126" i="18" s="1"/>
  <c r="U142" i="18"/>
  <c r="T142" i="18" s="1"/>
  <c r="S142" i="18" s="1"/>
  <c r="R142" i="18" s="1"/>
  <c r="P142" i="18" s="1"/>
  <c r="V142" i="18" s="1"/>
  <c r="U158" i="18"/>
  <c r="T158" i="18" s="1"/>
  <c r="S158" i="18" s="1"/>
  <c r="R158" i="18" s="1"/>
  <c r="P158" i="18" s="1"/>
  <c r="V158" i="18" s="1"/>
  <c r="U174" i="18"/>
  <c r="T174" i="18" s="1"/>
  <c r="S174" i="18" s="1"/>
  <c r="R174" i="18" s="1"/>
  <c r="P174" i="18" s="1"/>
  <c r="V174" i="18" s="1"/>
  <c r="U182" i="18"/>
  <c r="T182" i="18" s="1"/>
  <c r="S182" i="18" s="1"/>
  <c r="R182" i="18" s="1"/>
  <c r="P182" i="18" s="1"/>
  <c r="V182" i="18" s="1"/>
  <c r="U190" i="18"/>
  <c r="T190" i="18" s="1"/>
  <c r="S190" i="18" s="1"/>
  <c r="R190" i="18" s="1"/>
  <c r="P190" i="18" s="1"/>
  <c r="V190" i="18" s="1"/>
  <c r="U198" i="18"/>
  <c r="T198" i="18" s="1"/>
  <c r="S198" i="18" s="1"/>
  <c r="R198" i="18" s="1"/>
  <c r="P198" i="18" s="1"/>
  <c r="V198" i="18" s="1"/>
  <c r="U206" i="18"/>
  <c r="T206" i="18" s="1"/>
  <c r="S206" i="18" s="1"/>
  <c r="R206" i="18" s="1"/>
  <c r="P206" i="18" s="1"/>
  <c r="V206" i="18" s="1"/>
  <c r="U214" i="18"/>
  <c r="T214" i="18" s="1"/>
  <c r="S214" i="18" s="1"/>
  <c r="R214" i="18" s="1"/>
  <c r="P214" i="18" s="1"/>
  <c r="V214" i="18" s="1"/>
  <c r="U222" i="18"/>
  <c r="T222" i="18" s="1"/>
  <c r="S222" i="18" s="1"/>
  <c r="R222" i="18" s="1"/>
  <c r="P222" i="18" s="1"/>
  <c r="V222" i="18" s="1"/>
  <c r="U230" i="18"/>
  <c r="T230" i="18" s="1"/>
  <c r="S230" i="18" s="1"/>
  <c r="R230" i="18" s="1"/>
  <c r="P230" i="18" s="1"/>
  <c r="V230" i="18" s="1"/>
  <c r="U238" i="18"/>
  <c r="T238" i="18" s="1"/>
  <c r="S238" i="18" s="1"/>
  <c r="R238" i="18" s="1"/>
  <c r="P238" i="18" s="1"/>
  <c r="V238" i="18" s="1"/>
  <c r="U246" i="18"/>
  <c r="T246" i="18" s="1"/>
  <c r="S246" i="18" s="1"/>
  <c r="R246" i="18" s="1"/>
  <c r="P246" i="18" s="1"/>
  <c r="V246" i="18" s="1"/>
  <c r="U254" i="18"/>
  <c r="T254" i="18" s="1"/>
  <c r="S254" i="18" s="1"/>
  <c r="R254" i="18" s="1"/>
  <c r="P254" i="18" s="1"/>
  <c r="V254" i="18" s="1"/>
  <c r="U262" i="18"/>
  <c r="T262" i="18" s="1"/>
  <c r="S262" i="18" s="1"/>
  <c r="R262" i="18" s="1"/>
  <c r="P262" i="18" s="1"/>
  <c r="V262" i="18" s="1"/>
  <c r="U270" i="18"/>
  <c r="T270" i="18" s="1"/>
  <c r="S270" i="18" s="1"/>
  <c r="R270" i="18" s="1"/>
  <c r="P270" i="18" s="1"/>
  <c r="V270" i="18" s="1"/>
  <c r="U278" i="18"/>
  <c r="T278" i="18" s="1"/>
  <c r="S278" i="18" s="1"/>
  <c r="R278" i="18" s="1"/>
  <c r="P278" i="18" s="1"/>
  <c r="V278" i="18" s="1"/>
  <c r="U286" i="18"/>
  <c r="T286" i="18" s="1"/>
  <c r="S286" i="18" s="1"/>
  <c r="R286" i="18" s="1"/>
  <c r="P286" i="18" s="1"/>
  <c r="V286" i="18" s="1"/>
  <c r="U294" i="18"/>
  <c r="T294" i="18" s="1"/>
  <c r="S294" i="18" s="1"/>
  <c r="R294" i="18" s="1"/>
  <c r="P294" i="18" s="1"/>
  <c r="V294" i="18" s="1"/>
  <c r="U302" i="18"/>
  <c r="T302" i="18" s="1"/>
  <c r="S302" i="18" s="1"/>
  <c r="R302" i="18" s="1"/>
  <c r="P302" i="18" s="1"/>
  <c r="U310" i="18"/>
  <c r="T310" i="18" s="1"/>
  <c r="S310" i="18" s="1"/>
  <c r="R310" i="18" s="1"/>
  <c r="P310" i="18" s="1"/>
  <c r="V310" i="18" s="1"/>
  <c r="U318" i="18"/>
  <c r="T318" i="18" s="1"/>
  <c r="S318" i="18" s="1"/>
  <c r="R318" i="18" s="1"/>
  <c r="P318" i="18" s="1"/>
  <c r="V318" i="18" s="1"/>
  <c r="U326" i="18"/>
  <c r="T326" i="18" s="1"/>
  <c r="S326" i="18" s="1"/>
  <c r="R326" i="18" s="1"/>
  <c r="P326" i="18" s="1"/>
  <c r="V326" i="18" s="1"/>
  <c r="U334" i="18"/>
  <c r="T334" i="18" s="1"/>
  <c r="S334" i="18" s="1"/>
  <c r="R334" i="18" s="1"/>
  <c r="P334" i="18" s="1"/>
  <c r="V334" i="18" s="1"/>
  <c r="U342" i="18"/>
  <c r="T342" i="18" s="1"/>
  <c r="S342" i="18" s="1"/>
  <c r="R342" i="18" s="1"/>
  <c r="P342" i="18" s="1"/>
  <c r="V342" i="18" s="1"/>
  <c r="U350" i="18"/>
  <c r="T350" i="18" s="1"/>
  <c r="S350" i="18" s="1"/>
  <c r="R350" i="18" s="1"/>
  <c r="P350" i="18" s="1"/>
  <c r="V350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7" i="18"/>
  <c r="T347" i="18" s="1"/>
  <c r="S347" i="18" s="1"/>
  <c r="R347" i="18" s="1"/>
  <c r="P347" i="18" s="1"/>
  <c r="V347" i="18" s="1"/>
  <c r="U331" i="18"/>
  <c r="T331" i="18" s="1"/>
  <c r="S331" i="18" s="1"/>
  <c r="R331" i="18" s="1"/>
  <c r="P331" i="18" s="1"/>
  <c r="V331" i="18" s="1"/>
  <c r="U315" i="18"/>
  <c r="T315" i="18" s="1"/>
  <c r="S315" i="18" s="1"/>
  <c r="R315" i="18" s="1"/>
  <c r="P315" i="18" s="1"/>
  <c r="V315" i="18" s="1"/>
  <c r="U299" i="18"/>
  <c r="T299" i="18" s="1"/>
  <c r="S299" i="18" s="1"/>
  <c r="R299" i="18" s="1"/>
  <c r="P299" i="18" s="1"/>
  <c r="V299" i="18" s="1"/>
  <c r="U283" i="18"/>
  <c r="T283" i="18" s="1"/>
  <c r="S283" i="18" s="1"/>
  <c r="R283" i="18" s="1"/>
  <c r="P283" i="18" s="1"/>
  <c r="V283" i="18" s="1"/>
  <c r="U267" i="18"/>
  <c r="T267" i="18" s="1"/>
  <c r="S267" i="18" s="1"/>
  <c r="R267" i="18" s="1"/>
  <c r="P267" i="18" s="1"/>
  <c r="V267" i="18" s="1"/>
  <c r="U251" i="18"/>
  <c r="T251" i="18" s="1"/>
  <c r="S251" i="18" s="1"/>
  <c r="R251" i="18" s="1"/>
  <c r="P251" i="18" s="1"/>
  <c r="V251" i="18" s="1"/>
  <c r="U239" i="18"/>
  <c r="T239" i="18" s="1"/>
  <c r="S239" i="18" s="1"/>
  <c r="R239" i="18" s="1"/>
  <c r="P239" i="18" s="1"/>
  <c r="V239" i="18" s="1"/>
  <c r="U231" i="18"/>
  <c r="T231" i="18" s="1"/>
  <c r="S231" i="18" s="1"/>
  <c r="R231" i="18" s="1"/>
  <c r="P231" i="18" s="1"/>
  <c r="V231" i="18" s="1"/>
  <c r="U223" i="18"/>
  <c r="T223" i="18" s="1"/>
  <c r="S223" i="18" s="1"/>
  <c r="R223" i="18" s="1"/>
  <c r="P223" i="18" s="1"/>
  <c r="V223" i="18" s="1"/>
  <c r="U215" i="18"/>
  <c r="T215" i="18" s="1"/>
  <c r="S215" i="18" s="1"/>
  <c r="R215" i="18" s="1"/>
  <c r="P215" i="18" s="1"/>
  <c r="V215" i="18" s="1"/>
  <c r="U207" i="18"/>
  <c r="T207" i="18" s="1"/>
  <c r="S207" i="18" s="1"/>
  <c r="R207" i="18" s="1"/>
  <c r="P207" i="18" s="1"/>
  <c r="V207" i="18" s="1"/>
  <c r="U199" i="18"/>
  <c r="T199" i="18" s="1"/>
  <c r="S199" i="18" s="1"/>
  <c r="R199" i="18" s="1"/>
  <c r="P199" i="18" s="1"/>
  <c r="V199" i="18" s="1"/>
  <c r="U191" i="18"/>
  <c r="T191" i="18" s="1"/>
  <c r="S191" i="18" s="1"/>
  <c r="R191" i="18" s="1"/>
  <c r="P191" i="18" s="1"/>
  <c r="V191" i="18" s="1"/>
  <c r="U183" i="18"/>
  <c r="T183" i="18" s="1"/>
  <c r="S183" i="18" s="1"/>
  <c r="R183" i="18" s="1"/>
  <c r="P183" i="18" s="1"/>
  <c r="V183" i="18" s="1"/>
  <c r="U175" i="18"/>
  <c r="T175" i="18" s="1"/>
  <c r="S175" i="18" s="1"/>
  <c r="R175" i="18" s="1"/>
  <c r="P175" i="18" s="1"/>
  <c r="V175" i="18" s="1"/>
  <c r="U167" i="18"/>
  <c r="T167" i="18" s="1"/>
  <c r="S167" i="18" s="1"/>
  <c r="R167" i="18" s="1"/>
  <c r="P167" i="18" s="1"/>
  <c r="V167" i="18" s="1"/>
  <c r="U159" i="18"/>
  <c r="T159" i="18" s="1"/>
  <c r="S159" i="18" s="1"/>
  <c r="R159" i="18" s="1"/>
  <c r="P159" i="18" s="1"/>
  <c r="V159" i="18" s="1"/>
  <c r="U151" i="18"/>
  <c r="T151" i="18" s="1"/>
  <c r="S151" i="18" s="1"/>
  <c r="R151" i="18" s="1"/>
  <c r="P151" i="18" s="1"/>
  <c r="V151" i="18" s="1"/>
  <c r="U143" i="18"/>
  <c r="T143" i="18" s="1"/>
  <c r="S143" i="18" s="1"/>
  <c r="R143" i="18" s="1"/>
  <c r="P143" i="18" s="1"/>
  <c r="V143" i="18" s="1"/>
  <c r="U135" i="18"/>
  <c r="T135" i="18" s="1"/>
  <c r="S135" i="18" s="1"/>
  <c r="R135" i="18" s="1"/>
  <c r="P135" i="18" s="1"/>
  <c r="V135" i="18" s="1"/>
  <c r="U127" i="18"/>
  <c r="T127" i="18" s="1"/>
  <c r="S127" i="18" s="1"/>
  <c r="R127" i="18" s="1"/>
  <c r="P127" i="18" s="1"/>
  <c r="V127" i="18" s="1"/>
  <c r="U119" i="18"/>
  <c r="T119" i="18" s="1"/>
  <c r="S119" i="18" s="1"/>
  <c r="R119" i="18" s="1"/>
  <c r="P119" i="18" s="1"/>
  <c r="U111" i="18"/>
  <c r="T111" i="18" s="1"/>
  <c r="S111" i="18" s="1"/>
  <c r="R111" i="18" s="1"/>
  <c r="P111" i="18" s="1"/>
  <c r="V111" i="18" s="1"/>
  <c r="U103" i="18"/>
  <c r="T103" i="18" s="1"/>
  <c r="S103" i="18" s="1"/>
  <c r="R103" i="18" s="1"/>
  <c r="P103" i="18" s="1"/>
  <c r="V103" i="18" s="1"/>
  <c r="U95" i="18"/>
  <c r="T95" i="18" s="1"/>
  <c r="S95" i="18" s="1"/>
  <c r="R95" i="18" s="1"/>
  <c r="P95" i="18" s="1"/>
  <c r="V95" i="18" s="1"/>
  <c r="U87" i="18"/>
  <c r="T87" i="18" s="1"/>
  <c r="S87" i="18" s="1"/>
  <c r="R87" i="18" s="1"/>
  <c r="P87" i="18" s="1"/>
  <c r="V87" i="18" s="1"/>
  <c r="U79" i="18"/>
  <c r="T79" i="18" s="1"/>
  <c r="S79" i="18" s="1"/>
  <c r="R79" i="18" s="1"/>
  <c r="P79" i="18" s="1"/>
  <c r="V79" i="18" s="1"/>
  <c r="U71" i="18"/>
  <c r="T71" i="18" s="1"/>
  <c r="S71" i="18" s="1"/>
  <c r="R71" i="18" s="1"/>
  <c r="P71" i="18" s="1"/>
  <c r="V71" i="18" s="1"/>
  <c r="U63" i="18"/>
  <c r="T63" i="18" s="1"/>
  <c r="S63" i="18" s="1"/>
  <c r="R63" i="18" s="1"/>
  <c r="P63" i="18" s="1"/>
  <c r="V63" i="18" s="1"/>
  <c r="U55" i="18"/>
  <c r="T55" i="18" s="1"/>
  <c r="S55" i="18" s="1"/>
  <c r="R55" i="18" s="1"/>
  <c r="P55" i="18" s="1"/>
  <c r="V55" i="18" s="1"/>
  <c r="U47" i="18"/>
  <c r="T47" i="18" s="1"/>
  <c r="S47" i="18" s="1"/>
  <c r="R47" i="18" s="1"/>
  <c r="P47" i="18" s="1"/>
  <c r="V47" i="18" s="1"/>
  <c r="U39" i="18"/>
  <c r="T39" i="18" s="1"/>
  <c r="S39" i="18" s="1"/>
  <c r="R39" i="18" s="1"/>
  <c r="P39" i="18" s="1"/>
  <c r="V39" i="18" s="1"/>
  <c r="U31" i="18"/>
  <c r="T31" i="18" s="1"/>
  <c r="S31" i="18" s="1"/>
  <c r="R31" i="18" s="1"/>
  <c r="P31" i="18" s="1"/>
  <c r="V31" i="18" s="1"/>
  <c r="U23" i="18"/>
  <c r="T23" i="18" s="1"/>
  <c r="S23" i="18" s="1"/>
  <c r="R23" i="18" s="1"/>
  <c r="P23" i="18" s="1"/>
  <c r="V23" i="18" s="1"/>
  <c r="U18" i="18"/>
  <c r="T18" i="18" s="1"/>
  <c r="S18" i="18" s="1"/>
  <c r="R18" i="18" s="1"/>
  <c r="P18" i="18" s="1"/>
  <c r="V18" i="18" s="1"/>
  <c r="AC16" i="7"/>
  <c r="AI18" i="18"/>
  <c r="AH18" i="18" s="1"/>
  <c r="AG18" i="18" s="1"/>
  <c r="AF18" i="18" s="1"/>
  <c r="AD18" i="18" s="1"/>
  <c r="AI22" i="18"/>
  <c r="AH22" i="18" s="1"/>
  <c r="AI26" i="18"/>
  <c r="AH26" i="18" s="1"/>
  <c r="AI30" i="18"/>
  <c r="AH30" i="18" s="1"/>
  <c r="AI34" i="18"/>
  <c r="AH34" i="18" s="1"/>
  <c r="AI38" i="18"/>
  <c r="AH38" i="18" s="1"/>
  <c r="AI42" i="18"/>
  <c r="AH42" i="18" s="1"/>
  <c r="AI46" i="18"/>
  <c r="AH46" i="18" s="1"/>
  <c r="AI50" i="18"/>
  <c r="AH50" i="18" s="1"/>
  <c r="AI54" i="18"/>
  <c r="AH54" i="18" s="1"/>
  <c r="AI58" i="18"/>
  <c r="AH58" i="18" s="1"/>
  <c r="AI62" i="18"/>
  <c r="AH62" i="18" s="1"/>
  <c r="AI66" i="18"/>
  <c r="AH66" i="18" s="1"/>
  <c r="AI70" i="18"/>
  <c r="AH70" i="18" s="1"/>
  <c r="AI74" i="18"/>
  <c r="AH74" i="18" s="1"/>
  <c r="AI78" i="18"/>
  <c r="AH78" i="18" s="1"/>
  <c r="AI82" i="18"/>
  <c r="AH82" i="18" s="1"/>
  <c r="AI86" i="18"/>
  <c r="AH86" i="18" s="1"/>
  <c r="AI90" i="18"/>
  <c r="AH90" i="18" s="1"/>
  <c r="AI94" i="18"/>
  <c r="AH94" i="18" s="1"/>
  <c r="AI98" i="18"/>
  <c r="AH98" i="18" s="1"/>
  <c r="AI102" i="18"/>
  <c r="AH102" i="18" s="1"/>
  <c r="AI106" i="18"/>
  <c r="AH106" i="18" s="1"/>
  <c r="AI110" i="18"/>
  <c r="AH110" i="18" s="1"/>
  <c r="AI114" i="18"/>
  <c r="AH114" i="18" s="1"/>
  <c r="AI118" i="18"/>
  <c r="AH118" i="18" s="1"/>
  <c r="AI122" i="18"/>
  <c r="AH122" i="18" s="1"/>
  <c r="AI126" i="18"/>
  <c r="AH126" i="18" s="1"/>
  <c r="AI130" i="18"/>
  <c r="AH130" i="18" s="1"/>
  <c r="AI134" i="18"/>
  <c r="AH134" i="18" s="1"/>
  <c r="AI138" i="18"/>
  <c r="AH138" i="18" s="1"/>
  <c r="AI142" i="18"/>
  <c r="AH142" i="18" s="1"/>
  <c r="AI146" i="18"/>
  <c r="AH146" i="18" s="1"/>
  <c r="AI17" i="18"/>
  <c r="AH17" i="18" s="1"/>
  <c r="AI15" i="18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31" i="18"/>
  <c r="AH31" i="18" s="1"/>
  <c r="AG31" i="18" s="1"/>
  <c r="AF31" i="18" s="1"/>
  <c r="AD31" i="18" s="1"/>
  <c r="AI35" i="18"/>
  <c r="AH35" i="18" s="1"/>
  <c r="AG35" i="18" s="1"/>
  <c r="AF35" i="18" s="1"/>
  <c r="AD35" i="18" s="1"/>
  <c r="AI39" i="18"/>
  <c r="AH39" i="18" s="1"/>
  <c r="AG39" i="18" s="1"/>
  <c r="AF39" i="18" s="1"/>
  <c r="AD39" i="18" s="1"/>
  <c r="AI43" i="18"/>
  <c r="AH43" i="18" s="1"/>
  <c r="AG43" i="18" s="1"/>
  <c r="AF43" i="18" s="1"/>
  <c r="AD43" i="18" s="1"/>
  <c r="AI47" i="18"/>
  <c r="AH47" i="18" s="1"/>
  <c r="AG47" i="18" s="1"/>
  <c r="AF47" i="18" s="1"/>
  <c r="AD47" i="18" s="1"/>
  <c r="AI51" i="18"/>
  <c r="AH51" i="18" s="1"/>
  <c r="AG51" i="18" s="1"/>
  <c r="AF51" i="18" s="1"/>
  <c r="AD51" i="18" s="1"/>
  <c r="AI55" i="18"/>
  <c r="AH55" i="18" s="1"/>
  <c r="AG55" i="18" s="1"/>
  <c r="AF55" i="18" s="1"/>
  <c r="AD55" i="18" s="1"/>
  <c r="AI59" i="18"/>
  <c r="AH59" i="18" s="1"/>
  <c r="AG59" i="18" s="1"/>
  <c r="AF59" i="18" s="1"/>
  <c r="AD59" i="18" s="1"/>
  <c r="AI63" i="18"/>
  <c r="AH63" i="18" s="1"/>
  <c r="AG63" i="18" s="1"/>
  <c r="AF63" i="18" s="1"/>
  <c r="AD63" i="18" s="1"/>
  <c r="AI67" i="18"/>
  <c r="AH67" i="18" s="1"/>
  <c r="AG67" i="18" s="1"/>
  <c r="AF67" i="18" s="1"/>
  <c r="AD67" i="18" s="1"/>
  <c r="AI71" i="18"/>
  <c r="AH71" i="18" s="1"/>
  <c r="AG71" i="18" s="1"/>
  <c r="AF71" i="18" s="1"/>
  <c r="AD71" i="18" s="1"/>
  <c r="AI75" i="18"/>
  <c r="AH75" i="18" s="1"/>
  <c r="AG75" i="18" s="1"/>
  <c r="AF75" i="18" s="1"/>
  <c r="AD75" i="18" s="1"/>
  <c r="AI79" i="18"/>
  <c r="AH79" i="18" s="1"/>
  <c r="AG79" i="18" s="1"/>
  <c r="AF79" i="18" s="1"/>
  <c r="AD79" i="18" s="1"/>
  <c r="AI83" i="18"/>
  <c r="AH83" i="18" s="1"/>
  <c r="AG83" i="18" s="1"/>
  <c r="AF83" i="18" s="1"/>
  <c r="AD83" i="18" s="1"/>
  <c r="AI87" i="18"/>
  <c r="AH87" i="18" s="1"/>
  <c r="AG87" i="18" s="1"/>
  <c r="AF87" i="18" s="1"/>
  <c r="AD87" i="18" s="1"/>
  <c r="AI91" i="18"/>
  <c r="AH91" i="18" s="1"/>
  <c r="AG91" i="18" s="1"/>
  <c r="AF91" i="18" s="1"/>
  <c r="AD91" i="18" s="1"/>
  <c r="AI95" i="18"/>
  <c r="AH95" i="18" s="1"/>
  <c r="AG95" i="18" s="1"/>
  <c r="AF95" i="18" s="1"/>
  <c r="AD95" i="18" s="1"/>
  <c r="AI99" i="18"/>
  <c r="AH99" i="18" s="1"/>
  <c r="AG99" i="18" s="1"/>
  <c r="AF99" i="18" s="1"/>
  <c r="AD99" i="18" s="1"/>
  <c r="AI103" i="18"/>
  <c r="AH103" i="18" s="1"/>
  <c r="AG103" i="18" s="1"/>
  <c r="AF103" i="18" s="1"/>
  <c r="AD103" i="18" s="1"/>
  <c r="AI107" i="18"/>
  <c r="AH107" i="18" s="1"/>
  <c r="AG107" i="18" s="1"/>
  <c r="AF107" i="18" s="1"/>
  <c r="AD107" i="18" s="1"/>
  <c r="AI111" i="18"/>
  <c r="AH111" i="18" s="1"/>
  <c r="AG111" i="18" s="1"/>
  <c r="AF111" i="18" s="1"/>
  <c r="AD111" i="18" s="1"/>
  <c r="AI115" i="18"/>
  <c r="AH115" i="18" s="1"/>
  <c r="AG115" i="18" s="1"/>
  <c r="AF115" i="18" s="1"/>
  <c r="AD115" i="18" s="1"/>
  <c r="AI119" i="18"/>
  <c r="AH119" i="18" s="1"/>
  <c r="AG119" i="18" s="1"/>
  <c r="AF119" i="18" s="1"/>
  <c r="AD119" i="18" s="1"/>
  <c r="AI123" i="18"/>
  <c r="AH123" i="18" s="1"/>
  <c r="AG123" i="18" s="1"/>
  <c r="AF123" i="18" s="1"/>
  <c r="AD123" i="18" s="1"/>
  <c r="AI127" i="18"/>
  <c r="AH127" i="18" s="1"/>
  <c r="AG127" i="18" s="1"/>
  <c r="AF127" i="18" s="1"/>
  <c r="AD127" i="18" s="1"/>
  <c r="AI131" i="18"/>
  <c r="AH131" i="18" s="1"/>
  <c r="AG131" i="18" s="1"/>
  <c r="AF131" i="18" s="1"/>
  <c r="AD131" i="18" s="1"/>
  <c r="AI135" i="18"/>
  <c r="AH135" i="18" s="1"/>
  <c r="AG135" i="18" s="1"/>
  <c r="AF135" i="18" s="1"/>
  <c r="AD135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U54" i="18"/>
  <c r="T54" i="18" s="1"/>
  <c r="S54" i="18" s="1"/>
  <c r="R54" i="18" s="1"/>
  <c r="P54" i="18" s="1"/>
  <c r="V54" i="18" s="1"/>
  <c r="U70" i="18"/>
  <c r="T70" i="18" s="1"/>
  <c r="S70" i="18" s="1"/>
  <c r="R70" i="18" s="1"/>
  <c r="P70" i="18" s="1"/>
  <c r="V70" i="18" s="1"/>
  <c r="U86" i="18"/>
  <c r="T86" i="18" s="1"/>
  <c r="S86" i="18" s="1"/>
  <c r="R86" i="18" s="1"/>
  <c r="P86" i="18" s="1"/>
  <c r="V86" i="18" s="1"/>
  <c r="U102" i="18"/>
  <c r="T102" i="18" s="1"/>
  <c r="S102" i="18" s="1"/>
  <c r="R102" i="18" s="1"/>
  <c r="P102" i="18" s="1"/>
  <c r="V102" i="18" s="1"/>
  <c r="U118" i="18"/>
  <c r="T118" i="18" s="1"/>
  <c r="S118" i="18" s="1"/>
  <c r="R118" i="18" s="1"/>
  <c r="P118" i="18" s="1"/>
  <c r="V118" i="18" s="1"/>
  <c r="U134" i="18"/>
  <c r="T134" i="18" s="1"/>
  <c r="S134" i="18" s="1"/>
  <c r="R134" i="18" s="1"/>
  <c r="P134" i="18" s="1"/>
  <c r="V134" i="18" s="1"/>
  <c r="U150" i="18"/>
  <c r="T150" i="18" s="1"/>
  <c r="S150" i="18" s="1"/>
  <c r="R150" i="18" s="1"/>
  <c r="P150" i="18" s="1"/>
  <c r="V150" i="18" s="1"/>
  <c r="U166" i="18"/>
  <c r="T166" i="18" s="1"/>
  <c r="S166" i="18" s="1"/>
  <c r="R166" i="18" s="1"/>
  <c r="P166" i="18" s="1"/>
  <c r="V166" i="18" s="1"/>
  <c r="U178" i="18"/>
  <c r="T178" i="18" s="1"/>
  <c r="S178" i="18" s="1"/>
  <c r="R178" i="18" s="1"/>
  <c r="P178" i="18" s="1"/>
  <c r="V178" i="18" s="1"/>
  <c r="U186" i="18"/>
  <c r="T186" i="18" s="1"/>
  <c r="S186" i="18" s="1"/>
  <c r="R186" i="18" s="1"/>
  <c r="P186" i="18" s="1"/>
  <c r="V186" i="18" s="1"/>
  <c r="U194" i="18"/>
  <c r="T194" i="18" s="1"/>
  <c r="S194" i="18" s="1"/>
  <c r="R194" i="18" s="1"/>
  <c r="P194" i="18" s="1"/>
  <c r="V194" i="18" s="1"/>
  <c r="U202" i="18"/>
  <c r="T202" i="18" s="1"/>
  <c r="S202" i="18" s="1"/>
  <c r="R202" i="18" s="1"/>
  <c r="P202" i="18" s="1"/>
  <c r="V202" i="18" s="1"/>
  <c r="U210" i="18"/>
  <c r="T210" i="18" s="1"/>
  <c r="S210" i="18" s="1"/>
  <c r="R210" i="18" s="1"/>
  <c r="P210" i="18" s="1"/>
  <c r="U218" i="18"/>
  <c r="T218" i="18" s="1"/>
  <c r="S218" i="18" s="1"/>
  <c r="R218" i="18" s="1"/>
  <c r="P218" i="18" s="1"/>
  <c r="V218" i="18" s="1"/>
  <c r="U226" i="18"/>
  <c r="T226" i="18" s="1"/>
  <c r="S226" i="18" s="1"/>
  <c r="R226" i="18" s="1"/>
  <c r="P226" i="18" s="1"/>
  <c r="V226" i="18" s="1"/>
  <c r="U234" i="18"/>
  <c r="T234" i="18" s="1"/>
  <c r="S234" i="18" s="1"/>
  <c r="R234" i="18" s="1"/>
  <c r="P234" i="18" s="1"/>
  <c r="V234" i="18" s="1"/>
  <c r="U242" i="18"/>
  <c r="T242" i="18" s="1"/>
  <c r="S242" i="18" s="1"/>
  <c r="R242" i="18" s="1"/>
  <c r="P242" i="18" s="1"/>
  <c r="V242" i="18" s="1"/>
  <c r="U250" i="18"/>
  <c r="T250" i="18" s="1"/>
  <c r="S250" i="18" s="1"/>
  <c r="R250" i="18" s="1"/>
  <c r="P250" i="18" s="1"/>
  <c r="V250" i="18" s="1"/>
  <c r="U258" i="18"/>
  <c r="T258" i="18" s="1"/>
  <c r="S258" i="18" s="1"/>
  <c r="R258" i="18" s="1"/>
  <c r="P258" i="18" s="1"/>
  <c r="V258" i="18" s="1"/>
  <c r="U266" i="18"/>
  <c r="T266" i="18" s="1"/>
  <c r="S266" i="18" s="1"/>
  <c r="R266" i="18" s="1"/>
  <c r="P266" i="18" s="1"/>
  <c r="V266" i="18" s="1"/>
  <c r="U274" i="18"/>
  <c r="T274" i="18" s="1"/>
  <c r="S274" i="18" s="1"/>
  <c r="R274" i="18" s="1"/>
  <c r="P274" i="18" s="1"/>
  <c r="V274" i="18" s="1"/>
  <c r="U282" i="18"/>
  <c r="T282" i="18" s="1"/>
  <c r="S282" i="18" s="1"/>
  <c r="R282" i="18" s="1"/>
  <c r="P282" i="18" s="1"/>
  <c r="V282" i="18" s="1"/>
  <c r="U290" i="18"/>
  <c r="T290" i="18" s="1"/>
  <c r="S290" i="18" s="1"/>
  <c r="R290" i="18" s="1"/>
  <c r="P290" i="18" s="1"/>
  <c r="V290" i="18" s="1"/>
  <c r="U298" i="18"/>
  <c r="T298" i="18" s="1"/>
  <c r="S298" i="18" s="1"/>
  <c r="R298" i="18" s="1"/>
  <c r="P298" i="18" s="1"/>
  <c r="V298" i="18" s="1"/>
  <c r="U306" i="18"/>
  <c r="T306" i="18" s="1"/>
  <c r="S306" i="18" s="1"/>
  <c r="R306" i="18" s="1"/>
  <c r="P306" i="18" s="1"/>
  <c r="V306" i="18" s="1"/>
  <c r="U314" i="18"/>
  <c r="T314" i="18" s="1"/>
  <c r="S314" i="18" s="1"/>
  <c r="R314" i="18" s="1"/>
  <c r="P314" i="18" s="1"/>
  <c r="V314" i="18" s="1"/>
  <c r="U322" i="18"/>
  <c r="T322" i="18" s="1"/>
  <c r="S322" i="18" s="1"/>
  <c r="R322" i="18" s="1"/>
  <c r="P322" i="18" s="1"/>
  <c r="V322" i="18" s="1"/>
  <c r="U330" i="18"/>
  <c r="T330" i="18" s="1"/>
  <c r="S330" i="18" s="1"/>
  <c r="R330" i="18" s="1"/>
  <c r="P330" i="18" s="1"/>
  <c r="V330" i="18" s="1"/>
  <c r="U338" i="18"/>
  <c r="T338" i="18" s="1"/>
  <c r="S338" i="18" s="1"/>
  <c r="R338" i="18" s="1"/>
  <c r="P338" i="18" s="1"/>
  <c r="V338" i="18" s="1"/>
  <c r="U346" i="18"/>
  <c r="T346" i="18" s="1"/>
  <c r="S346" i="18" s="1"/>
  <c r="R346" i="18" s="1"/>
  <c r="P346" i="18" s="1"/>
  <c r="V346" i="18" s="1"/>
  <c r="U378" i="18"/>
  <c r="T378" i="18" s="1"/>
  <c r="S378" i="18" s="1"/>
  <c r="R378" i="18" s="1"/>
  <c r="P378" i="18" s="1"/>
  <c r="V378" i="18" s="1"/>
  <c r="U370" i="18"/>
  <c r="T370" i="18" s="1"/>
  <c r="S370" i="18" s="1"/>
  <c r="R370" i="18" s="1"/>
  <c r="P370" i="18" s="1"/>
  <c r="V370" i="18" s="1"/>
  <c r="U362" i="18"/>
  <c r="T362" i="18" s="1"/>
  <c r="S362" i="18" s="1"/>
  <c r="R362" i="18" s="1"/>
  <c r="P362" i="18" s="1"/>
  <c r="V362" i="18" s="1"/>
  <c r="U354" i="18"/>
  <c r="T354" i="18" s="1"/>
  <c r="S354" i="18" s="1"/>
  <c r="R354" i="18" s="1"/>
  <c r="P354" i="18" s="1"/>
  <c r="V354" i="18" s="1"/>
  <c r="U339" i="18"/>
  <c r="T339" i="18" s="1"/>
  <c r="S339" i="18" s="1"/>
  <c r="R339" i="18" s="1"/>
  <c r="P339" i="18" s="1"/>
  <c r="V339" i="18" s="1"/>
  <c r="U323" i="18"/>
  <c r="T323" i="18" s="1"/>
  <c r="S323" i="18" s="1"/>
  <c r="R323" i="18" s="1"/>
  <c r="P323" i="18" s="1"/>
  <c r="V323" i="18" s="1"/>
  <c r="U307" i="18"/>
  <c r="T307" i="18" s="1"/>
  <c r="S307" i="18" s="1"/>
  <c r="R307" i="18" s="1"/>
  <c r="P307" i="18" s="1"/>
  <c r="V307" i="18" s="1"/>
  <c r="U291" i="18"/>
  <c r="T291" i="18" s="1"/>
  <c r="S291" i="18" s="1"/>
  <c r="R291" i="18" s="1"/>
  <c r="P291" i="18" s="1"/>
  <c r="V291" i="18" s="1"/>
  <c r="U275" i="18"/>
  <c r="T275" i="18" s="1"/>
  <c r="S275" i="18" s="1"/>
  <c r="R275" i="18" s="1"/>
  <c r="P275" i="18" s="1"/>
  <c r="V275" i="18" s="1"/>
  <c r="U259" i="18"/>
  <c r="T259" i="18" s="1"/>
  <c r="S259" i="18" s="1"/>
  <c r="R259" i="18" s="1"/>
  <c r="P259" i="18" s="1"/>
  <c r="V259" i="18" s="1"/>
  <c r="U243" i="18"/>
  <c r="T243" i="18" s="1"/>
  <c r="S243" i="18" s="1"/>
  <c r="R243" i="18" s="1"/>
  <c r="P243" i="18" s="1"/>
  <c r="V243" i="18" s="1"/>
  <c r="U235" i="18"/>
  <c r="T235" i="18" s="1"/>
  <c r="S235" i="18" s="1"/>
  <c r="R235" i="18" s="1"/>
  <c r="P235" i="18" s="1"/>
  <c r="V235" i="18" s="1"/>
  <c r="U227" i="18"/>
  <c r="T227" i="18" s="1"/>
  <c r="S227" i="18" s="1"/>
  <c r="R227" i="18" s="1"/>
  <c r="P227" i="18" s="1"/>
  <c r="V227" i="18" s="1"/>
  <c r="U219" i="18"/>
  <c r="T219" i="18" s="1"/>
  <c r="S219" i="18" s="1"/>
  <c r="R219" i="18" s="1"/>
  <c r="P219" i="18" s="1"/>
  <c r="V219" i="18" s="1"/>
  <c r="U211" i="18"/>
  <c r="T211" i="18" s="1"/>
  <c r="S211" i="18" s="1"/>
  <c r="R211" i="18" s="1"/>
  <c r="P211" i="18" s="1"/>
  <c r="V211" i="18" s="1"/>
  <c r="U203" i="18"/>
  <c r="T203" i="18" s="1"/>
  <c r="S203" i="18" s="1"/>
  <c r="R203" i="18" s="1"/>
  <c r="P203" i="18" s="1"/>
  <c r="V203" i="18" s="1"/>
  <c r="U195" i="18"/>
  <c r="T195" i="18" s="1"/>
  <c r="S195" i="18" s="1"/>
  <c r="R195" i="18" s="1"/>
  <c r="P195" i="18" s="1"/>
  <c r="V195" i="18" s="1"/>
  <c r="U187" i="18"/>
  <c r="T187" i="18" s="1"/>
  <c r="S187" i="18" s="1"/>
  <c r="R187" i="18" s="1"/>
  <c r="P187" i="18" s="1"/>
  <c r="V187" i="18" s="1"/>
  <c r="U179" i="18"/>
  <c r="T179" i="18" s="1"/>
  <c r="S179" i="18" s="1"/>
  <c r="R179" i="18" s="1"/>
  <c r="P179" i="18" s="1"/>
  <c r="V179" i="18" s="1"/>
  <c r="U171" i="18"/>
  <c r="T171" i="18" s="1"/>
  <c r="S171" i="18" s="1"/>
  <c r="R171" i="18" s="1"/>
  <c r="P171" i="18" s="1"/>
  <c r="V171" i="18" s="1"/>
  <c r="U163" i="18"/>
  <c r="T163" i="18" s="1"/>
  <c r="S163" i="18" s="1"/>
  <c r="R163" i="18" s="1"/>
  <c r="P163" i="18" s="1"/>
  <c r="V163" i="18" s="1"/>
  <c r="U155" i="18"/>
  <c r="T155" i="18" s="1"/>
  <c r="S155" i="18" s="1"/>
  <c r="R155" i="18" s="1"/>
  <c r="P155" i="18" s="1"/>
  <c r="V155" i="18" s="1"/>
  <c r="U147" i="18"/>
  <c r="T147" i="18" s="1"/>
  <c r="S147" i="18" s="1"/>
  <c r="R147" i="18" s="1"/>
  <c r="P147" i="18" s="1"/>
  <c r="V147" i="18" s="1"/>
  <c r="U139" i="18"/>
  <c r="T139" i="18" s="1"/>
  <c r="S139" i="18" s="1"/>
  <c r="R139" i="18" s="1"/>
  <c r="P139" i="18" s="1"/>
  <c r="V139" i="18" s="1"/>
  <c r="U131" i="18"/>
  <c r="T131" i="18" s="1"/>
  <c r="S131" i="18" s="1"/>
  <c r="R131" i="18" s="1"/>
  <c r="P131" i="18" s="1"/>
  <c r="V131" i="18" s="1"/>
  <c r="U123" i="18"/>
  <c r="T123" i="18" s="1"/>
  <c r="S123" i="18" s="1"/>
  <c r="R123" i="18" s="1"/>
  <c r="P123" i="18" s="1"/>
  <c r="V123" i="18" s="1"/>
  <c r="U115" i="18"/>
  <c r="T115" i="18" s="1"/>
  <c r="S115" i="18" s="1"/>
  <c r="R115" i="18" s="1"/>
  <c r="P115" i="18" s="1"/>
  <c r="V115" i="18" s="1"/>
  <c r="U107" i="18"/>
  <c r="T107" i="18" s="1"/>
  <c r="S107" i="18" s="1"/>
  <c r="R107" i="18" s="1"/>
  <c r="P107" i="18" s="1"/>
  <c r="V107" i="18" s="1"/>
  <c r="U99" i="18"/>
  <c r="T99" i="18" s="1"/>
  <c r="S99" i="18" s="1"/>
  <c r="R99" i="18" s="1"/>
  <c r="P99" i="18" s="1"/>
  <c r="V99" i="18" s="1"/>
  <c r="U91" i="18"/>
  <c r="T91" i="18" s="1"/>
  <c r="S91" i="18" s="1"/>
  <c r="R91" i="18" s="1"/>
  <c r="P91" i="18" s="1"/>
  <c r="V91" i="18" s="1"/>
  <c r="U83" i="18"/>
  <c r="T83" i="18" s="1"/>
  <c r="S83" i="18" s="1"/>
  <c r="R83" i="18" s="1"/>
  <c r="P83" i="18" s="1"/>
  <c r="V83" i="18" s="1"/>
  <c r="U75" i="18"/>
  <c r="T75" i="18" s="1"/>
  <c r="S75" i="18" s="1"/>
  <c r="R75" i="18" s="1"/>
  <c r="P75" i="18" s="1"/>
  <c r="V75" i="18" s="1"/>
  <c r="U67" i="18"/>
  <c r="T67" i="18" s="1"/>
  <c r="S67" i="18" s="1"/>
  <c r="R67" i="18" s="1"/>
  <c r="P67" i="18" s="1"/>
  <c r="V67" i="18" s="1"/>
  <c r="U59" i="18"/>
  <c r="T59" i="18" s="1"/>
  <c r="S59" i="18" s="1"/>
  <c r="R59" i="18" s="1"/>
  <c r="P59" i="18" s="1"/>
  <c r="V59" i="18" s="1"/>
  <c r="U51" i="18"/>
  <c r="T51" i="18" s="1"/>
  <c r="S51" i="18" s="1"/>
  <c r="R51" i="18" s="1"/>
  <c r="P51" i="18" s="1"/>
  <c r="V51" i="18" s="1"/>
  <c r="U43" i="18"/>
  <c r="T43" i="18" s="1"/>
  <c r="S43" i="18" s="1"/>
  <c r="R43" i="18" s="1"/>
  <c r="P43" i="18" s="1"/>
  <c r="V43" i="18" s="1"/>
  <c r="U35" i="18"/>
  <c r="T35" i="18" s="1"/>
  <c r="S35" i="18" s="1"/>
  <c r="R35" i="18" s="1"/>
  <c r="P35" i="18" s="1"/>
  <c r="V35" i="18" s="1"/>
  <c r="U27" i="18"/>
  <c r="T27" i="18" s="1"/>
  <c r="S27" i="18" s="1"/>
  <c r="R27" i="18" s="1"/>
  <c r="P27" i="18" s="1"/>
  <c r="V27" i="18" s="1"/>
  <c r="U19" i="18"/>
  <c r="T19" i="18" s="1"/>
  <c r="S19" i="18" s="1"/>
  <c r="R19" i="18" s="1"/>
  <c r="P19" i="18" s="1"/>
  <c r="V19" i="18" s="1"/>
  <c r="AI19" i="18"/>
  <c r="AH19" i="18" s="1"/>
  <c r="AI20" i="18"/>
  <c r="AH20" i="18" s="1"/>
  <c r="AI24" i="18"/>
  <c r="AH24" i="18" s="1"/>
  <c r="AI28" i="18"/>
  <c r="AH28" i="18" s="1"/>
  <c r="AI32" i="18"/>
  <c r="AH32" i="18" s="1"/>
  <c r="AI36" i="18"/>
  <c r="AH36" i="18" s="1"/>
  <c r="AI40" i="18"/>
  <c r="AH40" i="18" s="1"/>
  <c r="AI44" i="18"/>
  <c r="AH44" i="18" s="1"/>
  <c r="AI48" i="18"/>
  <c r="AH48" i="18" s="1"/>
  <c r="AI52" i="18"/>
  <c r="AH52" i="18" s="1"/>
  <c r="AI56" i="18"/>
  <c r="AH56" i="18" s="1"/>
  <c r="AI60" i="18"/>
  <c r="AH60" i="18" s="1"/>
  <c r="AI64" i="18"/>
  <c r="AH64" i="18" s="1"/>
  <c r="AI68" i="18"/>
  <c r="AH68" i="18" s="1"/>
  <c r="AI72" i="18"/>
  <c r="AH72" i="18" s="1"/>
  <c r="AI76" i="18"/>
  <c r="AH76" i="18" s="1"/>
  <c r="AI80" i="18"/>
  <c r="AH80" i="18" s="1"/>
  <c r="AI84" i="18"/>
  <c r="AH84" i="18" s="1"/>
  <c r="AI88" i="18"/>
  <c r="AH88" i="18" s="1"/>
  <c r="AI92" i="18"/>
  <c r="AH92" i="18" s="1"/>
  <c r="AI96" i="18"/>
  <c r="AH96" i="18" s="1"/>
  <c r="AI100" i="18"/>
  <c r="AH100" i="18" s="1"/>
  <c r="AI104" i="18"/>
  <c r="AH104" i="18" s="1"/>
  <c r="AI108" i="18"/>
  <c r="AH108" i="18" s="1"/>
  <c r="AI112" i="18"/>
  <c r="AH112" i="18" s="1"/>
  <c r="AI116" i="18"/>
  <c r="AH116" i="18" s="1"/>
  <c r="AI120" i="18"/>
  <c r="AH120" i="18" s="1"/>
  <c r="AI124" i="18"/>
  <c r="AH124" i="18" s="1"/>
  <c r="AI128" i="18"/>
  <c r="AH128" i="18" s="1"/>
  <c r="AI132" i="18"/>
  <c r="AH132" i="18" s="1"/>
  <c r="AI136" i="18"/>
  <c r="AH136" i="18" s="1"/>
  <c r="AI140" i="18"/>
  <c r="AH140" i="18" s="1"/>
  <c r="AI144" i="18"/>
  <c r="AH144" i="18" s="1"/>
  <c r="AI148" i="18"/>
  <c r="AH148" i="18" s="1"/>
  <c r="AI16" i="18"/>
  <c r="AH16" i="18" s="1"/>
  <c r="AG16" i="18" s="1"/>
  <c r="AF16" i="18" s="1"/>
  <c r="AD16" i="18" s="1"/>
  <c r="AI21" i="18"/>
  <c r="AH21" i="18" s="1"/>
  <c r="AI25" i="18"/>
  <c r="AH25" i="18" s="1"/>
  <c r="AI29" i="18"/>
  <c r="AH29" i="18" s="1"/>
  <c r="AG29" i="18" s="1"/>
  <c r="AF29" i="18" s="1"/>
  <c r="AD29" i="18" s="1"/>
  <c r="AI33" i="18"/>
  <c r="AH33" i="18" s="1"/>
  <c r="AG33" i="18" s="1"/>
  <c r="AF33" i="18" s="1"/>
  <c r="AD33" i="18" s="1"/>
  <c r="AI37" i="18"/>
  <c r="AH37" i="18" s="1"/>
  <c r="AG37" i="18" s="1"/>
  <c r="AF37" i="18" s="1"/>
  <c r="AD37" i="18" s="1"/>
  <c r="AI41" i="18"/>
  <c r="AH41" i="18" s="1"/>
  <c r="AI45" i="18"/>
  <c r="AH45" i="18" s="1"/>
  <c r="AG45" i="18" s="1"/>
  <c r="AF45" i="18" s="1"/>
  <c r="AD45" i="18" s="1"/>
  <c r="AI49" i="18"/>
  <c r="AH49" i="18" s="1"/>
  <c r="AG49" i="18" s="1"/>
  <c r="AF49" i="18" s="1"/>
  <c r="AD49" i="18" s="1"/>
  <c r="AI53" i="18"/>
  <c r="AH53" i="18" s="1"/>
  <c r="AG53" i="18" s="1"/>
  <c r="AF53" i="18" s="1"/>
  <c r="AD53" i="18" s="1"/>
  <c r="AI57" i="18"/>
  <c r="AH57" i="18" s="1"/>
  <c r="AG57" i="18" s="1"/>
  <c r="AF57" i="18" s="1"/>
  <c r="AD57" i="18" s="1"/>
  <c r="AI61" i="18"/>
  <c r="AH61" i="18" s="1"/>
  <c r="AG61" i="18" s="1"/>
  <c r="AF61" i="18" s="1"/>
  <c r="AD61" i="18" s="1"/>
  <c r="AI65" i="18"/>
  <c r="AH65" i="18" s="1"/>
  <c r="AI69" i="18"/>
  <c r="AH69" i="18" s="1"/>
  <c r="AI73" i="18"/>
  <c r="AH73" i="18" s="1"/>
  <c r="AG73" i="18" s="1"/>
  <c r="AF73" i="18" s="1"/>
  <c r="AD73" i="18" s="1"/>
  <c r="AI77" i="18"/>
  <c r="AH77" i="18" s="1"/>
  <c r="AI81" i="18"/>
  <c r="AH81" i="18" s="1"/>
  <c r="AI85" i="18"/>
  <c r="AH85" i="18" s="1"/>
  <c r="AG85" i="18" s="1"/>
  <c r="AF85" i="18" s="1"/>
  <c r="AD85" i="18" s="1"/>
  <c r="AI89" i="18"/>
  <c r="AH89" i="18" s="1"/>
  <c r="AG89" i="18" s="1"/>
  <c r="AF89" i="18" s="1"/>
  <c r="AD89" i="18" s="1"/>
  <c r="AI93" i="18"/>
  <c r="AH93" i="18" s="1"/>
  <c r="AG93" i="18" s="1"/>
  <c r="AF93" i="18" s="1"/>
  <c r="AD93" i="18" s="1"/>
  <c r="AI97" i="18"/>
  <c r="AH97" i="18" s="1"/>
  <c r="AG97" i="18" s="1"/>
  <c r="AF97" i="18" s="1"/>
  <c r="AD97" i="18" s="1"/>
  <c r="AI101" i="18"/>
  <c r="AH101" i="18" s="1"/>
  <c r="AG101" i="18" s="1"/>
  <c r="AF101" i="18" s="1"/>
  <c r="AD101" i="18" s="1"/>
  <c r="AI105" i="18"/>
  <c r="AH105" i="18" s="1"/>
  <c r="AG105" i="18" s="1"/>
  <c r="AF105" i="18" s="1"/>
  <c r="AD105" i="18" s="1"/>
  <c r="AI109" i="18"/>
  <c r="AH109" i="18" s="1"/>
  <c r="AG109" i="18" s="1"/>
  <c r="AF109" i="18" s="1"/>
  <c r="AD109" i="18" s="1"/>
  <c r="AI113" i="18"/>
  <c r="AH113" i="18" s="1"/>
  <c r="AG113" i="18" s="1"/>
  <c r="AF113" i="18" s="1"/>
  <c r="AD113" i="18" s="1"/>
  <c r="AI117" i="18"/>
  <c r="AH117" i="18" s="1"/>
  <c r="AG117" i="18" s="1"/>
  <c r="AF117" i="18" s="1"/>
  <c r="AD117" i="18" s="1"/>
  <c r="AI121" i="18"/>
  <c r="AH121" i="18" s="1"/>
  <c r="AI125" i="18"/>
  <c r="AH125" i="18" s="1"/>
  <c r="AG125" i="18" s="1"/>
  <c r="AF125" i="18" s="1"/>
  <c r="AD125" i="18" s="1"/>
  <c r="AI129" i="18"/>
  <c r="AH129" i="18" s="1"/>
  <c r="AG129" i="18" s="1"/>
  <c r="AF129" i="18" s="1"/>
  <c r="AD129" i="18" s="1"/>
  <c r="AI133" i="18"/>
  <c r="AH133" i="18" s="1"/>
  <c r="AG133" i="18" s="1"/>
  <c r="AF133" i="18" s="1"/>
  <c r="AD133" i="18" s="1"/>
  <c r="AI137" i="18"/>
  <c r="AH137" i="18" s="1"/>
  <c r="AG137" i="18" s="1"/>
  <c r="AF137" i="18" s="1"/>
  <c r="AD137" i="18" s="1"/>
  <c r="AI141" i="18"/>
  <c r="AH141" i="18" s="1"/>
  <c r="AG141" i="18" s="1"/>
  <c r="AF141" i="18" s="1"/>
  <c r="AD141" i="18" s="1"/>
  <c r="AI145" i="18"/>
  <c r="AH145" i="18" s="1"/>
  <c r="AG145" i="18" s="1"/>
  <c r="AF145" i="18" s="1"/>
  <c r="AD145" i="18" s="1"/>
  <c r="AI149" i="18"/>
  <c r="AH149" i="18" s="1"/>
  <c r="AG149" i="18" s="1"/>
  <c r="AF149" i="18" s="1"/>
  <c r="AD149" i="18" s="1"/>
  <c r="AI153" i="18"/>
  <c r="AH153" i="18" s="1"/>
  <c r="AG153" i="18" s="1"/>
  <c r="AF153" i="18" s="1"/>
  <c r="AD153" i="18" s="1"/>
  <c r="AI157" i="18"/>
  <c r="AH157" i="18" s="1"/>
  <c r="AG157" i="18" s="1"/>
  <c r="AF157" i="18" s="1"/>
  <c r="AD157" i="18" s="1"/>
  <c r="AI161" i="18"/>
  <c r="AH161" i="18" s="1"/>
  <c r="AG161" i="18" s="1"/>
  <c r="AF161" i="18" s="1"/>
  <c r="AD161" i="18" s="1"/>
  <c r="AI165" i="18"/>
  <c r="AH165" i="18" s="1"/>
  <c r="AI169" i="18"/>
  <c r="AH169" i="18" s="1"/>
  <c r="AG169" i="18" s="1"/>
  <c r="AF169" i="18" s="1"/>
  <c r="AD169" i="18" s="1"/>
  <c r="AI173" i="18"/>
  <c r="AH173" i="18" s="1"/>
  <c r="AG173" i="18" s="1"/>
  <c r="AF173" i="18" s="1"/>
  <c r="AD173" i="18" s="1"/>
  <c r="AI177" i="18"/>
  <c r="AH177" i="18" s="1"/>
  <c r="AG177" i="18" s="1"/>
  <c r="AF177" i="18" s="1"/>
  <c r="AD177" i="18" s="1"/>
  <c r="AI181" i="18"/>
  <c r="AH181" i="18" s="1"/>
  <c r="AI185" i="18"/>
  <c r="AH185" i="18" s="1"/>
  <c r="AG185" i="18" s="1"/>
  <c r="AF185" i="18" s="1"/>
  <c r="AD185" i="18" s="1"/>
  <c r="AI189" i="18"/>
  <c r="AH189" i="18" s="1"/>
  <c r="AG189" i="18" s="1"/>
  <c r="AF189" i="18" s="1"/>
  <c r="AD189" i="18" s="1"/>
  <c r="AI193" i="18"/>
  <c r="AH193" i="18" s="1"/>
  <c r="AG193" i="18" s="1"/>
  <c r="AF193" i="18" s="1"/>
  <c r="AD193" i="18" s="1"/>
  <c r="AI197" i="18"/>
  <c r="AH197" i="18" s="1"/>
  <c r="AG197" i="18" s="1"/>
  <c r="AF197" i="18" s="1"/>
  <c r="AD197" i="18" s="1"/>
  <c r="AI201" i="18"/>
  <c r="AH201" i="18" s="1"/>
  <c r="AG201" i="18" s="1"/>
  <c r="AF201" i="18" s="1"/>
  <c r="AD201" i="18" s="1"/>
  <c r="AI205" i="18"/>
  <c r="AH205" i="18" s="1"/>
  <c r="AG205" i="18" s="1"/>
  <c r="AF205" i="18" s="1"/>
  <c r="AD205" i="18" s="1"/>
  <c r="AI209" i="18"/>
  <c r="AH209" i="18" s="1"/>
  <c r="AG209" i="18" s="1"/>
  <c r="AF209" i="18" s="1"/>
  <c r="AD209" i="18" s="1"/>
  <c r="AI213" i="18"/>
  <c r="AH213" i="18" s="1"/>
  <c r="AG213" i="18" s="1"/>
  <c r="AF213" i="18" s="1"/>
  <c r="AD213" i="18" s="1"/>
  <c r="AI217" i="18"/>
  <c r="AH217" i="18" s="1"/>
  <c r="AG217" i="18" s="1"/>
  <c r="AF217" i="18" s="1"/>
  <c r="AD217" i="18" s="1"/>
  <c r="AI221" i="18"/>
  <c r="AH221" i="18" s="1"/>
  <c r="AG221" i="18" s="1"/>
  <c r="AF221" i="18" s="1"/>
  <c r="AD221" i="18" s="1"/>
  <c r="AI225" i="18"/>
  <c r="AH225" i="18" s="1"/>
  <c r="AG225" i="18" s="1"/>
  <c r="AF225" i="18" s="1"/>
  <c r="AD225" i="18" s="1"/>
  <c r="AI229" i="18"/>
  <c r="AH229" i="18" s="1"/>
  <c r="AI233" i="18"/>
  <c r="AH233" i="18" s="1"/>
  <c r="AG233" i="18" s="1"/>
  <c r="AF233" i="18" s="1"/>
  <c r="AD233" i="18" s="1"/>
  <c r="AI237" i="18"/>
  <c r="AH237" i="18" s="1"/>
  <c r="AG237" i="18" s="1"/>
  <c r="AF237" i="18" s="1"/>
  <c r="AD237" i="18" s="1"/>
  <c r="AI241" i="18"/>
  <c r="AH241" i="18" s="1"/>
  <c r="AG241" i="18" s="1"/>
  <c r="AF241" i="18" s="1"/>
  <c r="AD241" i="18" s="1"/>
  <c r="AI245" i="18"/>
  <c r="AH245" i="18" s="1"/>
  <c r="AG245" i="18" s="1"/>
  <c r="AF245" i="18" s="1"/>
  <c r="AD245" i="18" s="1"/>
  <c r="AI249" i="18"/>
  <c r="AH249" i="18" s="1"/>
  <c r="AG249" i="18" s="1"/>
  <c r="AF249" i="18" s="1"/>
  <c r="AD249" i="18" s="1"/>
  <c r="AI253" i="18"/>
  <c r="AH253" i="18" s="1"/>
  <c r="AG253" i="18" s="1"/>
  <c r="AF253" i="18" s="1"/>
  <c r="AD253" i="18" s="1"/>
  <c r="AI257" i="18"/>
  <c r="AH257" i="18" s="1"/>
  <c r="AG257" i="18" s="1"/>
  <c r="AF257" i="18" s="1"/>
  <c r="AD257" i="18" s="1"/>
  <c r="AI261" i="18"/>
  <c r="AH261" i="18" s="1"/>
  <c r="AI265" i="18"/>
  <c r="AH265" i="18" s="1"/>
  <c r="AI269" i="18"/>
  <c r="AH269" i="18" s="1"/>
  <c r="AG269" i="18" s="1"/>
  <c r="AF269" i="18" s="1"/>
  <c r="AD269" i="18" s="1"/>
  <c r="AI273" i="18"/>
  <c r="AH273" i="18" s="1"/>
  <c r="AI143" i="18"/>
  <c r="AH143" i="18" s="1"/>
  <c r="AG143" i="18" s="1"/>
  <c r="AF143" i="18" s="1"/>
  <c r="AD143" i="18" s="1"/>
  <c r="AI151" i="18"/>
  <c r="AH151" i="18" s="1"/>
  <c r="AG151" i="18" s="1"/>
  <c r="AF151" i="18" s="1"/>
  <c r="AD151" i="18" s="1"/>
  <c r="AI159" i="18"/>
  <c r="AH159" i="18" s="1"/>
  <c r="AG159" i="18" s="1"/>
  <c r="AF159" i="18" s="1"/>
  <c r="AD159" i="18" s="1"/>
  <c r="AI167" i="18"/>
  <c r="AH167" i="18" s="1"/>
  <c r="AG167" i="18" s="1"/>
  <c r="AF167" i="18" s="1"/>
  <c r="AD167" i="18" s="1"/>
  <c r="AI175" i="18"/>
  <c r="AH175" i="18" s="1"/>
  <c r="AG175" i="18" s="1"/>
  <c r="AF175" i="18" s="1"/>
  <c r="AD175" i="18" s="1"/>
  <c r="AI183" i="18"/>
  <c r="AH183" i="18" s="1"/>
  <c r="AG183" i="18" s="1"/>
  <c r="AF183" i="18" s="1"/>
  <c r="AD183" i="18" s="1"/>
  <c r="AI191" i="18"/>
  <c r="AH191" i="18" s="1"/>
  <c r="AG191" i="18" s="1"/>
  <c r="AF191" i="18" s="1"/>
  <c r="AD191" i="18" s="1"/>
  <c r="AI199" i="18"/>
  <c r="AH199" i="18" s="1"/>
  <c r="AG199" i="18" s="1"/>
  <c r="AF199" i="18" s="1"/>
  <c r="AD199" i="18" s="1"/>
  <c r="AI207" i="18"/>
  <c r="AH207" i="18" s="1"/>
  <c r="AG207" i="18" s="1"/>
  <c r="AF207" i="18" s="1"/>
  <c r="AD207" i="18" s="1"/>
  <c r="AI215" i="18"/>
  <c r="AH215" i="18" s="1"/>
  <c r="AG215" i="18" s="1"/>
  <c r="AF215" i="18" s="1"/>
  <c r="AD215" i="18" s="1"/>
  <c r="AI223" i="18"/>
  <c r="AH223" i="18" s="1"/>
  <c r="AG223" i="18" s="1"/>
  <c r="AF223" i="18" s="1"/>
  <c r="AD223" i="18" s="1"/>
  <c r="AI231" i="18"/>
  <c r="AH231" i="18" s="1"/>
  <c r="AG231" i="18" s="1"/>
  <c r="AF231" i="18" s="1"/>
  <c r="AD231" i="18" s="1"/>
  <c r="AI239" i="18"/>
  <c r="AH239" i="18" s="1"/>
  <c r="AG239" i="18" s="1"/>
  <c r="AF239" i="18" s="1"/>
  <c r="AD239" i="18" s="1"/>
  <c r="AI247" i="18"/>
  <c r="AH247" i="18" s="1"/>
  <c r="AG247" i="18" s="1"/>
  <c r="AF247" i="18" s="1"/>
  <c r="AD247" i="18" s="1"/>
  <c r="AI255" i="18"/>
  <c r="AH255" i="18" s="1"/>
  <c r="AG255" i="18" s="1"/>
  <c r="AF255" i="18" s="1"/>
  <c r="AD255" i="18" s="1"/>
  <c r="AI263" i="18"/>
  <c r="AH263" i="18" s="1"/>
  <c r="AG263" i="18" s="1"/>
  <c r="AF263" i="18" s="1"/>
  <c r="AD263" i="18" s="1"/>
  <c r="AI271" i="18"/>
  <c r="AH271" i="18" s="1"/>
  <c r="AG271" i="18" s="1"/>
  <c r="AF271" i="18" s="1"/>
  <c r="AD271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1" i="18"/>
  <c r="AH341" i="18" s="1"/>
  <c r="AG341" i="18" s="1"/>
  <c r="AF341" i="18" s="1"/>
  <c r="AD341" i="18" s="1"/>
  <c r="AI345" i="18"/>
  <c r="AH345" i="18" s="1"/>
  <c r="AI349" i="18"/>
  <c r="AH349" i="18" s="1"/>
  <c r="AG349" i="18" s="1"/>
  <c r="AF349" i="18" s="1"/>
  <c r="AD349" i="18" s="1"/>
  <c r="AI353" i="18"/>
  <c r="AH353" i="18" s="1"/>
  <c r="AG353" i="18" s="1"/>
  <c r="AF353" i="18" s="1"/>
  <c r="AD353" i="18" s="1"/>
  <c r="AI357" i="18"/>
  <c r="AH357" i="18" s="1"/>
  <c r="AI361" i="18"/>
  <c r="AH361" i="18" s="1"/>
  <c r="AI365" i="18"/>
  <c r="AH365" i="18" s="1"/>
  <c r="AI369" i="18"/>
  <c r="AH369" i="18" s="1"/>
  <c r="AG369" i="18" s="1"/>
  <c r="AF369" i="18" s="1"/>
  <c r="AD369" i="18" s="1"/>
  <c r="AI373" i="18"/>
  <c r="AH373" i="18" s="1"/>
  <c r="AI377" i="18"/>
  <c r="AH377" i="18" s="1"/>
  <c r="AI150" i="18"/>
  <c r="AH150" i="18" s="1"/>
  <c r="AI154" i="18"/>
  <c r="AH154" i="18" s="1"/>
  <c r="AI158" i="18"/>
  <c r="AH158" i="18" s="1"/>
  <c r="AI162" i="18"/>
  <c r="AH162" i="18" s="1"/>
  <c r="AI166" i="18"/>
  <c r="AH166" i="18" s="1"/>
  <c r="AI170" i="18"/>
  <c r="AH170" i="18" s="1"/>
  <c r="AI174" i="18"/>
  <c r="AH174" i="18" s="1"/>
  <c r="AI178" i="18"/>
  <c r="AH178" i="18" s="1"/>
  <c r="AI182" i="18"/>
  <c r="AH182" i="18" s="1"/>
  <c r="AI186" i="18"/>
  <c r="AH186" i="18" s="1"/>
  <c r="AI190" i="18"/>
  <c r="AH190" i="18" s="1"/>
  <c r="AI194" i="18"/>
  <c r="AH194" i="18" s="1"/>
  <c r="AI198" i="18"/>
  <c r="AH198" i="18" s="1"/>
  <c r="AI202" i="18"/>
  <c r="AH202" i="18" s="1"/>
  <c r="AI206" i="18"/>
  <c r="AH206" i="18" s="1"/>
  <c r="AI210" i="18"/>
  <c r="AH210" i="18" s="1"/>
  <c r="AI214" i="18"/>
  <c r="AH214" i="18" s="1"/>
  <c r="AI218" i="18"/>
  <c r="AH218" i="18" s="1"/>
  <c r="AI222" i="18"/>
  <c r="AH222" i="18" s="1"/>
  <c r="AI226" i="18"/>
  <c r="AH226" i="18" s="1"/>
  <c r="AI230" i="18"/>
  <c r="AH230" i="18" s="1"/>
  <c r="AI234" i="18"/>
  <c r="AH234" i="18" s="1"/>
  <c r="AI238" i="18"/>
  <c r="AH238" i="18" s="1"/>
  <c r="AI242" i="18"/>
  <c r="AH242" i="18" s="1"/>
  <c r="AI246" i="18"/>
  <c r="AH246" i="18" s="1"/>
  <c r="AI250" i="18"/>
  <c r="AH250" i="18" s="1"/>
  <c r="AI254" i="18"/>
  <c r="AH254" i="18" s="1"/>
  <c r="AI258" i="18"/>
  <c r="AH258" i="18" s="1"/>
  <c r="AI266" i="18"/>
  <c r="AH266" i="18" s="1"/>
  <c r="AI274" i="18"/>
  <c r="AH274" i="18" s="1"/>
  <c r="AI282" i="18"/>
  <c r="AH282" i="18" s="1"/>
  <c r="AI290" i="18"/>
  <c r="AH290" i="18" s="1"/>
  <c r="AI298" i="18"/>
  <c r="AH298" i="18" s="1"/>
  <c r="AI306" i="18"/>
  <c r="AH306" i="18" s="1"/>
  <c r="AI314" i="18"/>
  <c r="AH314" i="18" s="1"/>
  <c r="AI322" i="18"/>
  <c r="AH322" i="18" s="1"/>
  <c r="AI330" i="18"/>
  <c r="AH330" i="18" s="1"/>
  <c r="AI338" i="18"/>
  <c r="AH338" i="18" s="1"/>
  <c r="AI346" i="18"/>
  <c r="AH346" i="18" s="1"/>
  <c r="AI354" i="18"/>
  <c r="AH354" i="18" s="1"/>
  <c r="AI362" i="18"/>
  <c r="AH362" i="18" s="1"/>
  <c r="AI370" i="18"/>
  <c r="AH370" i="18" s="1"/>
  <c r="AI378" i="18"/>
  <c r="AH378" i="18" s="1"/>
  <c r="AI264" i="18"/>
  <c r="AH264" i="18" s="1"/>
  <c r="AI272" i="18"/>
  <c r="AH272" i="18" s="1"/>
  <c r="AI280" i="18"/>
  <c r="AH280" i="18" s="1"/>
  <c r="AI288" i="18"/>
  <c r="AH288" i="18" s="1"/>
  <c r="AI296" i="18"/>
  <c r="AH296" i="18" s="1"/>
  <c r="AI304" i="18"/>
  <c r="AH304" i="18" s="1"/>
  <c r="AI312" i="18"/>
  <c r="AH312" i="18" s="1"/>
  <c r="AI320" i="18"/>
  <c r="AH320" i="18" s="1"/>
  <c r="AI328" i="18"/>
  <c r="AH328" i="18" s="1"/>
  <c r="AI336" i="18"/>
  <c r="AH336" i="18" s="1"/>
  <c r="AI344" i="18"/>
  <c r="AH344" i="18" s="1"/>
  <c r="AI352" i="18"/>
  <c r="AH352" i="18" s="1"/>
  <c r="AI360" i="18"/>
  <c r="AH360" i="18" s="1"/>
  <c r="AI368" i="18"/>
  <c r="AH368" i="18" s="1"/>
  <c r="AI376" i="18"/>
  <c r="AH376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D79" i="7"/>
  <c r="D68" i="7"/>
  <c r="S381" i="17"/>
  <c r="S383" i="17"/>
  <c r="S382" i="17"/>
  <c r="R15" i="17"/>
  <c r="S305" i="18"/>
  <c r="R305" i="18" s="1"/>
  <c r="P305" i="18" s="1"/>
  <c r="V305" i="18" s="1"/>
  <c r="S61" i="18"/>
  <c r="R61" i="18" s="1"/>
  <c r="P61" i="18" s="1"/>
  <c r="V61" i="18" s="1"/>
  <c r="AG382" i="17"/>
  <c r="AG383" i="17"/>
  <c r="AG381" i="17"/>
  <c r="AF15" i="17"/>
  <c r="D64" i="19"/>
  <c r="S329" i="18"/>
  <c r="R329" i="18" s="1"/>
  <c r="P329" i="18" s="1"/>
  <c r="V329" i="18" s="1"/>
  <c r="S313" i="18"/>
  <c r="R313" i="18" s="1"/>
  <c r="P313" i="18" s="1"/>
  <c r="V313" i="18" s="1"/>
  <c r="S249" i="18"/>
  <c r="R249" i="18" s="1"/>
  <c r="P249" i="18" s="1"/>
  <c r="V249" i="18" s="1"/>
  <c r="S73" i="18"/>
  <c r="R73" i="18" s="1"/>
  <c r="P73" i="18" s="1"/>
  <c r="V73" i="18" s="1"/>
  <c r="S25" i="18"/>
  <c r="R25" i="18" s="1"/>
  <c r="P25" i="18" s="1"/>
  <c r="V25" i="18" s="1"/>
  <c r="AB16" i="7"/>
  <c r="U12" i="20"/>
  <c r="T379" i="18"/>
  <c r="D72" i="7"/>
  <c r="V149" i="18"/>
  <c r="S69" i="18"/>
  <c r="R69" i="18" s="1"/>
  <c r="P69" i="18" s="1"/>
  <c r="V69" i="18" s="1"/>
  <c r="S21" i="18"/>
  <c r="R21" i="18" s="1"/>
  <c r="P21" i="18" s="1"/>
  <c r="V21" i="18" s="1"/>
  <c r="F381" i="16"/>
  <c r="F383" i="16"/>
  <c r="AM10" i="16"/>
  <c r="F9" i="16"/>
  <c r="AA15" i="16"/>
  <c r="AL9" i="16" s="1"/>
  <c r="AK10" i="16"/>
  <c r="AK12" i="16" s="1"/>
  <c r="AK13" i="16" s="1"/>
  <c r="G15" i="16"/>
  <c r="BY15" i="6" s="1"/>
  <c r="F382" i="16"/>
  <c r="H15" i="16"/>
  <c r="B63" i="19"/>
  <c r="N63" i="19" s="1"/>
  <c r="V383" i="16"/>
  <c r="V382" i="16"/>
  <c r="V381" i="16"/>
  <c r="AJ4" i="15"/>
  <c r="P12" i="19" s="1"/>
  <c r="AL13" i="15"/>
  <c r="Z11" i="15"/>
  <c r="Z5" i="15" s="1"/>
  <c r="H12" i="19" s="1"/>
  <c r="J12" i="19"/>
  <c r="AA11" i="15"/>
  <c r="AA5" i="15" s="1"/>
  <c r="I12" i="19" s="1"/>
  <c r="AK4" i="15"/>
  <c r="R12" i="19" s="1"/>
  <c r="N13" i="19" s="1"/>
  <c r="AM13" i="15"/>
  <c r="Q382" i="20" l="1"/>
  <c r="Q10" i="22"/>
  <c r="Q16" i="22" s="1"/>
  <c r="AM15" i="7"/>
  <c r="Q381" i="20"/>
  <c r="AE383" i="20"/>
  <c r="Q383" i="20"/>
  <c r="AH15" i="7"/>
  <c r="I36" i="19"/>
  <c r="H36" i="19"/>
  <c r="AE381" i="20"/>
  <c r="AE382" i="20"/>
  <c r="V333" i="18"/>
  <c r="L65" i="19" s="1"/>
  <c r="D75" i="7"/>
  <c r="Q296" i="22"/>
  <c r="I65" i="19"/>
  <c r="U382" i="18"/>
  <c r="Q360" i="22"/>
  <c r="Q232" i="22"/>
  <c r="Q328" i="22"/>
  <c r="Q264" i="22"/>
  <c r="Q200" i="22"/>
  <c r="Q376" i="22"/>
  <c r="Q344" i="22"/>
  <c r="Q312" i="22"/>
  <c r="Q280" i="22"/>
  <c r="Q248" i="22"/>
  <c r="Q216" i="22"/>
  <c r="Q150" i="22"/>
  <c r="U383" i="18"/>
  <c r="Q368" i="22"/>
  <c r="Q352" i="22"/>
  <c r="Q336" i="22"/>
  <c r="Q320" i="22"/>
  <c r="Q304" i="22"/>
  <c r="Q288" i="22"/>
  <c r="Q272" i="22"/>
  <c r="Q256" i="22"/>
  <c r="Q240" i="22"/>
  <c r="Q224" i="22"/>
  <c r="Q208" i="22"/>
  <c r="Q182" i="22"/>
  <c r="Q110" i="22"/>
  <c r="F65" i="19"/>
  <c r="AH11" i="7"/>
  <c r="U11" i="20" s="1"/>
  <c r="U10" i="20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267" i="18"/>
  <c r="AF267" i="18" s="1"/>
  <c r="AD267" i="18" s="1"/>
  <c r="AG368" i="18"/>
  <c r="AF368" i="18" s="1"/>
  <c r="AD368" i="18" s="1"/>
  <c r="AG352" i="18"/>
  <c r="AF352" i="18" s="1"/>
  <c r="AD352" i="18" s="1"/>
  <c r="AG336" i="18"/>
  <c r="AF336" i="18" s="1"/>
  <c r="AD336" i="18" s="1"/>
  <c r="AG320" i="18"/>
  <c r="AF320" i="18" s="1"/>
  <c r="AD320" i="18" s="1"/>
  <c r="AG304" i="18"/>
  <c r="AF304" i="18" s="1"/>
  <c r="AD304" i="18" s="1"/>
  <c r="AG288" i="18"/>
  <c r="AF288" i="18" s="1"/>
  <c r="AD288" i="18" s="1"/>
  <c r="AG272" i="18"/>
  <c r="AF272" i="18" s="1"/>
  <c r="AD272" i="18" s="1"/>
  <c r="AG378" i="18"/>
  <c r="AF378" i="18" s="1"/>
  <c r="AD378" i="18" s="1"/>
  <c r="AG362" i="18"/>
  <c r="AF362" i="18" s="1"/>
  <c r="AD362" i="18" s="1"/>
  <c r="AG346" i="18"/>
  <c r="AF346" i="18" s="1"/>
  <c r="AD346" i="18" s="1"/>
  <c r="AG330" i="18"/>
  <c r="AF330" i="18" s="1"/>
  <c r="AD330" i="18" s="1"/>
  <c r="AG314" i="18"/>
  <c r="AF314" i="18" s="1"/>
  <c r="AD314" i="18" s="1"/>
  <c r="AG298" i="18"/>
  <c r="AF298" i="18" s="1"/>
  <c r="AD298" i="18" s="1"/>
  <c r="AG282" i="18"/>
  <c r="AF282" i="18" s="1"/>
  <c r="AD282" i="18" s="1"/>
  <c r="AG266" i="18"/>
  <c r="AF266" i="18" s="1"/>
  <c r="AD266" i="18" s="1"/>
  <c r="AG254" i="18"/>
  <c r="AF254" i="18" s="1"/>
  <c r="AD254" i="18" s="1"/>
  <c r="AG246" i="18"/>
  <c r="AF246" i="18" s="1"/>
  <c r="AD246" i="18" s="1"/>
  <c r="AG238" i="18"/>
  <c r="AF238" i="18" s="1"/>
  <c r="AD238" i="18" s="1"/>
  <c r="AG230" i="18"/>
  <c r="AF230" i="18" s="1"/>
  <c r="AD230" i="18" s="1"/>
  <c r="AG222" i="18"/>
  <c r="AF222" i="18" s="1"/>
  <c r="AD222" i="18" s="1"/>
  <c r="AG214" i="18"/>
  <c r="AF214" i="18" s="1"/>
  <c r="AD214" i="18" s="1"/>
  <c r="AG206" i="18"/>
  <c r="AF206" i="18" s="1"/>
  <c r="AD206" i="18" s="1"/>
  <c r="AG198" i="18"/>
  <c r="AF198" i="18" s="1"/>
  <c r="AD198" i="18" s="1"/>
  <c r="AG190" i="18"/>
  <c r="AF190" i="18" s="1"/>
  <c r="AD190" i="18" s="1"/>
  <c r="AG182" i="18"/>
  <c r="AF182" i="18" s="1"/>
  <c r="AD182" i="18" s="1"/>
  <c r="AG174" i="18"/>
  <c r="AF174" i="18" s="1"/>
  <c r="AD174" i="18" s="1"/>
  <c r="AG166" i="18"/>
  <c r="AF166" i="18" s="1"/>
  <c r="AD166" i="18" s="1"/>
  <c r="AG158" i="18"/>
  <c r="AF158" i="18" s="1"/>
  <c r="AD158" i="18" s="1"/>
  <c r="AG150" i="18"/>
  <c r="AF150" i="18" s="1"/>
  <c r="AD150" i="18" s="1"/>
  <c r="AG373" i="18"/>
  <c r="AF373" i="18" s="1"/>
  <c r="AD373" i="18" s="1"/>
  <c r="AG365" i="18"/>
  <c r="AF365" i="18" s="1"/>
  <c r="AD365" i="18" s="1"/>
  <c r="AG357" i="18"/>
  <c r="AF357" i="18" s="1"/>
  <c r="AD357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273" i="18"/>
  <c r="AF273" i="18" s="1"/>
  <c r="AD273" i="18" s="1"/>
  <c r="AG265" i="18"/>
  <c r="AF265" i="18" s="1"/>
  <c r="AD265" i="18" s="1"/>
  <c r="AG121" i="18"/>
  <c r="AF121" i="18" s="1"/>
  <c r="AD121" i="18" s="1"/>
  <c r="AG81" i="18"/>
  <c r="AF81" i="18" s="1"/>
  <c r="AD81" i="18" s="1"/>
  <c r="AG65" i="18"/>
  <c r="AF65" i="18" s="1"/>
  <c r="AD65" i="18" s="1"/>
  <c r="AG41" i="18"/>
  <c r="AF41" i="18" s="1"/>
  <c r="AD41" i="18" s="1"/>
  <c r="AG25" i="18"/>
  <c r="AF25" i="18" s="1"/>
  <c r="AD25" i="18" s="1"/>
  <c r="AG144" i="18"/>
  <c r="AF144" i="18" s="1"/>
  <c r="AD144" i="18" s="1"/>
  <c r="AG136" i="18"/>
  <c r="AF136" i="18" s="1"/>
  <c r="AD136" i="18" s="1"/>
  <c r="AG128" i="18"/>
  <c r="AF128" i="18" s="1"/>
  <c r="AD128" i="18" s="1"/>
  <c r="AG120" i="18"/>
  <c r="AF120" i="18" s="1"/>
  <c r="AD120" i="18" s="1"/>
  <c r="AG112" i="18"/>
  <c r="AF112" i="18" s="1"/>
  <c r="AD112" i="18" s="1"/>
  <c r="AG104" i="18"/>
  <c r="AF104" i="18" s="1"/>
  <c r="AD104" i="18" s="1"/>
  <c r="AG96" i="18"/>
  <c r="AF96" i="18" s="1"/>
  <c r="AD96" i="18" s="1"/>
  <c r="AG88" i="18"/>
  <c r="AF88" i="18" s="1"/>
  <c r="AD88" i="18" s="1"/>
  <c r="AG80" i="18"/>
  <c r="AF80" i="18" s="1"/>
  <c r="AD80" i="18" s="1"/>
  <c r="AG72" i="18"/>
  <c r="AF72" i="18" s="1"/>
  <c r="AD72" i="18" s="1"/>
  <c r="AG64" i="18"/>
  <c r="AF64" i="18" s="1"/>
  <c r="AD64" i="18" s="1"/>
  <c r="AG56" i="18"/>
  <c r="AF56" i="18" s="1"/>
  <c r="AD56" i="18" s="1"/>
  <c r="AG48" i="18"/>
  <c r="AF48" i="18" s="1"/>
  <c r="AD48" i="18" s="1"/>
  <c r="AG40" i="18"/>
  <c r="AF40" i="18" s="1"/>
  <c r="AD40" i="18" s="1"/>
  <c r="AG32" i="18"/>
  <c r="AF32" i="18" s="1"/>
  <c r="AD32" i="18" s="1"/>
  <c r="AG24" i="18"/>
  <c r="AF24" i="18" s="1"/>
  <c r="AD24" i="18" s="1"/>
  <c r="AG19" i="18"/>
  <c r="AF19" i="18" s="1"/>
  <c r="AD19" i="18" s="1"/>
  <c r="AG17" i="18"/>
  <c r="AF17" i="18" s="1"/>
  <c r="AD17" i="18" s="1"/>
  <c r="AG142" i="18"/>
  <c r="AF142" i="18" s="1"/>
  <c r="AD142" i="18" s="1"/>
  <c r="AG134" i="18"/>
  <c r="AF134" i="18" s="1"/>
  <c r="AD134" i="18" s="1"/>
  <c r="AG126" i="18"/>
  <c r="AF126" i="18" s="1"/>
  <c r="AD126" i="18" s="1"/>
  <c r="AG118" i="18"/>
  <c r="AF118" i="18" s="1"/>
  <c r="AD118" i="18" s="1"/>
  <c r="AG110" i="18"/>
  <c r="AF110" i="18" s="1"/>
  <c r="AD110" i="18" s="1"/>
  <c r="AG102" i="18"/>
  <c r="AF102" i="18" s="1"/>
  <c r="AD102" i="18" s="1"/>
  <c r="AG94" i="18"/>
  <c r="AF94" i="18" s="1"/>
  <c r="AD94" i="18" s="1"/>
  <c r="AG86" i="18"/>
  <c r="AF86" i="18" s="1"/>
  <c r="AD86" i="18" s="1"/>
  <c r="AG78" i="18"/>
  <c r="AF78" i="18" s="1"/>
  <c r="AD78" i="18" s="1"/>
  <c r="AG70" i="18"/>
  <c r="AF70" i="18" s="1"/>
  <c r="AD70" i="18" s="1"/>
  <c r="AG62" i="18"/>
  <c r="AF62" i="18" s="1"/>
  <c r="AD62" i="18" s="1"/>
  <c r="AG54" i="18"/>
  <c r="AF54" i="18" s="1"/>
  <c r="AD54" i="18" s="1"/>
  <c r="AG46" i="18"/>
  <c r="AF46" i="18" s="1"/>
  <c r="AD46" i="18" s="1"/>
  <c r="AG38" i="18"/>
  <c r="AF38" i="18" s="1"/>
  <c r="AD38" i="18" s="1"/>
  <c r="AG30" i="18"/>
  <c r="AF30" i="18" s="1"/>
  <c r="AD30" i="18" s="1"/>
  <c r="AG22" i="18"/>
  <c r="AF22" i="18" s="1"/>
  <c r="AD22" i="18" s="1"/>
  <c r="D71" i="7"/>
  <c r="V119" i="18"/>
  <c r="E65" i="19" s="1"/>
  <c r="V302" i="18"/>
  <c r="K65" i="19" s="1"/>
  <c r="D77" i="7"/>
  <c r="T15" i="18"/>
  <c r="S15" i="18" s="1"/>
  <c r="R15" i="18" s="1"/>
  <c r="U381" i="18"/>
  <c r="V180" i="18"/>
  <c r="G65" i="19" s="1"/>
  <c r="D73" i="7"/>
  <c r="V60" i="18"/>
  <c r="C65" i="19" s="1"/>
  <c r="D69" i="7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H379" i="18"/>
  <c r="AG379" i="18" s="1"/>
  <c r="AF379" i="18" s="1"/>
  <c r="AD379" i="18" s="1"/>
  <c r="AI12" i="20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376" i="18"/>
  <c r="AF376" i="18" s="1"/>
  <c r="AD376" i="18" s="1"/>
  <c r="AG360" i="18"/>
  <c r="AF360" i="18" s="1"/>
  <c r="AD360" i="18" s="1"/>
  <c r="AG344" i="18"/>
  <c r="AF344" i="18" s="1"/>
  <c r="AD344" i="18" s="1"/>
  <c r="AG328" i="18"/>
  <c r="AF328" i="18" s="1"/>
  <c r="AD328" i="18" s="1"/>
  <c r="AG312" i="18"/>
  <c r="AF312" i="18" s="1"/>
  <c r="AD312" i="18" s="1"/>
  <c r="AG296" i="18"/>
  <c r="AF296" i="18" s="1"/>
  <c r="AD296" i="18" s="1"/>
  <c r="AG280" i="18"/>
  <c r="AF280" i="18" s="1"/>
  <c r="AD280" i="18" s="1"/>
  <c r="AG264" i="18"/>
  <c r="AF264" i="18" s="1"/>
  <c r="AD264" i="18" s="1"/>
  <c r="AG370" i="18"/>
  <c r="AF370" i="18" s="1"/>
  <c r="AD370" i="18" s="1"/>
  <c r="AG354" i="18"/>
  <c r="AF354" i="18" s="1"/>
  <c r="AD354" i="18" s="1"/>
  <c r="AG338" i="18"/>
  <c r="AF338" i="18" s="1"/>
  <c r="AD338" i="18" s="1"/>
  <c r="AG322" i="18"/>
  <c r="AF322" i="18" s="1"/>
  <c r="AD322" i="18" s="1"/>
  <c r="AG306" i="18"/>
  <c r="AF306" i="18" s="1"/>
  <c r="AD306" i="18" s="1"/>
  <c r="AG290" i="18"/>
  <c r="AF290" i="18" s="1"/>
  <c r="AD290" i="18" s="1"/>
  <c r="AG274" i="18"/>
  <c r="AF274" i="18" s="1"/>
  <c r="AD274" i="18" s="1"/>
  <c r="AG258" i="18"/>
  <c r="AF258" i="18" s="1"/>
  <c r="AD258" i="18" s="1"/>
  <c r="AG250" i="18"/>
  <c r="AF250" i="18" s="1"/>
  <c r="AD250" i="18" s="1"/>
  <c r="AG242" i="18"/>
  <c r="AF242" i="18" s="1"/>
  <c r="AD242" i="18" s="1"/>
  <c r="AG234" i="18"/>
  <c r="AF234" i="18" s="1"/>
  <c r="AD234" i="18" s="1"/>
  <c r="AG226" i="18"/>
  <c r="AF226" i="18" s="1"/>
  <c r="AD226" i="18" s="1"/>
  <c r="AG218" i="18"/>
  <c r="AF218" i="18" s="1"/>
  <c r="AD218" i="18" s="1"/>
  <c r="AG210" i="18"/>
  <c r="AF210" i="18" s="1"/>
  <c r="AD210" i="18" s="1"/>
  <c r="AG202" i="18"/>
  <c r="AF202" i="18" s="1"/>
  <c r="AD202" i="18" s="1"/>
  <c r="AG194" i="18"/>
  <c r="AF194" i="18" s="1"/>
  <c r="AD194" i="18" s="1"/>
  <c r="AG186" i="18"/>
  <c r="AF186" i="18" s="1"/>
  <c r="AD186" i="18" s="1"/>
  <c r="AG178" i="18"/>
  <c r="AF178" i="18" s="1"/>
  <c r="AD178" i="18" s="1"/>
  <c r="AG170" i="18"/>
  <c r="AF170" i="18" s="1"/>
  <c r="AD170" i="18" s="1"/>
  <c r="AG162" i="18"/>
  <c r="AF162" i="18" s="1"/>
  <c r="AD162" i="18" s="1"/>
  <c r="AG154" i="18"/>
  <c r="AF154" i="18" s="1"/>
  <c r="AD154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61" i="18"/>
  <c r="AF261" i="18" s="1"/>
  <c r="AD261" i="18" s="1"/>
  <c r="AG229" i="18"/>
  <c r="AF229" i="18" s="1"/>
  <c r="AD229" i="18" s="1"/>
  <c r="AG181" i="18"/>
  <c r="AF181" i="18" s="1"/>
  <c r="AD181" i="18" s="1"/>
  <c r="AG165" i="18"/>
  <c r="AF165" i="18" s="1"/>
  <c r="AD165" i="18" s="1"/>
  <c r="AG77" i="18"/>
  <c r="AF77" i="18" s="1"/>
  <c r="AD77" i="18" s="1"/>
  <c r="AG69" i="18"/>
  <c r="AF69" i="18" s="1"/>
  <c r="AD69" i="18" s="1"/>
  <c r="AG21" i="18"/>
  <c r="AF21" i="18" s="1"/>
  <c r="AD21" i="18" s="1"/>
  <c r="AG148" i="18"/>
  <c r="AF148" i="18" s="1"/>
  <c r="AD148" i="18" s="1"/>
  <c r="AG140" i="18"/>
  <c r="AF140" i="18" s="1"/>
  <c r="AD140" i="18" s="1"/>
  <c r="AG132" i="18"/>
  <c r="AF132" i="18" s="1"/>
  <c r="AD132" i="18" s="1"/>
  <c r="AG124" i="18"/>
  <c r="AF124" i="18" s="1"/>
  <c r="AD124" i="18" s="1"/>
  <c r="AG116" i="18"/>
  <c r="AF116" i="18" s="1"/>
  <c r="AD116" i="18" s="1"/>
  <c r="AG108" i="18"/>
  <c r="AF108" i="18" s="1"/>
  <c r="AD108" i="18" s="1"/>
  <c r="AG100" i="18"/>
  <c r="AF100" i="18" s="1"/>
  <c r="AD100" i="18" s="1"/>
  <c r="AG92" i="18"/>
  <c r="AF92" i="18" s="1"/>
  <c r="AD92" i="18" s="1"/>
  <c r="AG84" i="18"/>
  <c r="AF84" i="18" s="1"/>
  <c r="AD84" i="18" s="1"/>
  <c r="AG76" i="18"/>
  <c r="AF76" i="18" s="1"/>
  <c r="AD76" i="18" s="1"/>
  <c r="AG68" i="18"/>
  <c r="AF68" i="18" s="1"/>
  <c r="AD68" i="18" s="1"/>
  <c r="AG60" i="18"/>
  <c r="AF60" i="18" s="1"/>
  <c r="AD60" i="18" s="1"/>
  <c r="AG52" i="18"/>
  <c r="AF52" i="18" s="1"/>
  <c r="AD52" i="18" s="1"/>
  <c r="AG44" i="18"/>
  <c r="AF44" i="18" s="1"/>
  <c r="AD44" i="18" s="1"/>
  <c r="AG36" i="18"/>
  <c r="AF36" i="18" s="1"/>
  <c r="AD36" i="18" s="1"/>
  <c r="AG28" i="18"/>
  <c r="AF28" i="18" s="1"/>
  <c r="AD28" i="18" s="1"/>
  <c r="AG20" i="18"/>
  <c r="AF20" i="18" s="1"/>
  <c r="AD20" i="18" s="1"/>
  <c r="V210" i="18"/>
  <c r="H65" i="19" s="1"/>
  <c r="D74" i="7"/>
  <c r="AI383" i="18"/>
  <c r="AI381" i="18"/>
  <c r="AH15" i="18"/>
  <c r="AI382" i="18"/>
  <c r="AG146" i="18"/>
  <c r="AF146" i="18" s="1"/>
  <c r="AD146" i="18" s="1"/>
  <c r="AG138" i="18"/>
  <c r="AF138" i="18" s="1"/>
  <c r="AD138" i="18" s="1"/>
  <c r="AG130" i="18"/>
  <c r="AF130" i="18" s="1"/>
  <c r="AD130" i="18" s="1"/>
  <c r="AG122" i="18"/>
  <c r="AF122" i="18" s="1"/>
  <c r="AD122" i="18" s="1"/>
  <c r="AG114" i="18"/>
  <c r="AF114" i="18" s="1"/>
  <c r="AD114" i="18" s="1"/>
  <c r="AG106" i="18"/>
  <c r="AF106" i="18" s="1"/>
  <c r="AD106" i="18" s="1"/>
  <c r="AG98" i="18"/>
  <c r="AF98" i="18" s="1"/>
  <c r="AD98" i="18" s="1"/>
  <c r="AG90" i="18"/>
  <c r="AF90" i="18" s="1"/>
  <c r="AD90" i="18" s="1"/>
  <c r="AG82" i="18"/>
  <c r="AF82" i="18" s="1"/>
  <c r="AD82" i="18" s="1"/>
  <c r="AG74" i="18"/>
  <c r="AF74" i="18" s="1"/>
  <c r="AD74" i="18" s="1"/>
  <c r="AG66" i="18"/>
  <c r="AF66" i="18" s="1"/>
  <c r="AD66" i="18" s="1"/>
  <c r="AG58" i="18"/>
  <c r="AF58" i="18" s="1"/>
  <c r="AD58" i="18" s="1"/>
  <c r="AG50" i="18"/>
  <c r="AF50" i="18" s="1"/>
  <c r="AD50" i="18" s="1"/>
  <c r="AG42" i="18"/>
  <c r="AF42" i="18" s="1"/>
  <c r="AD42" i="18" s="1"/>
  <c r="AG34" i="18"/>
  <c r="AF34" i="18" s="1"/>
  <c r="AD34" i="18" s="1"/>
  <c r="AG26" i="18"/>
  <c r="AF26" i="18" s="1"/>
  <c r="AD26" i="18" s="1"/>
  <c r="V272" i="18"/>
  <c r="J65" i="19" s="1"/>
  <c r="D76" i="7"/>
  <c r="D70" i="7"/>
  <c r="V88" i="18"/>
  <c r="D65" i="19" s="1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AB9" i="16"/>
  <c r="G13" i="19"/>
  <c r="F11" i="16"/>
  <c r="S379" i="18"/>
  <c r="AF381" i="17"/>
  <c r="AD15" i="17"/>
  <c r="AF382" i="17"/>
  <c r="AF383" i="17"/>
  <c r="R382" i="17"/>
  <c r="P15" i="17"/>
  <c r="R383" i="17"/>
  <c r="R381" i="17"/>
  <c r="I15" i="16"/>
  <c r="J15" i="16"/>
  <c r="G382" i="16"/>
  <c r="G383" i="16"/>
  <c r="G12" i="16" s="1"/>
  <c r="G381" i="16"/>
  <c r="AA382" i="16"/>
  <c r="AM8" i="16"/>
  <c r="AA9" i="16"/>
  <c r="AL10" i="16"/>
  <c r="AA381" i="16"/>
  <c r="Z15" i="16"/>
  <c r="AL7" i="16" s="1"/>
  <c r="AA383" i="16"/>
  <c r="AG16" i="7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E11" i="22" l="1"/>
  <c r="U51" i="20"/>
  <c r="T51" i="20" s="1"/>
  <c r="S51" i="20" s="1"/>
  <c r="R51" i="20" s="1"/>
  <c r="P51" i="20" s="1"/>
  <c r="V51" i="20" s="1"/>
  <c r="U16" i="20"/>
  <c r="T16" i="20" s="1"/>
  <c r="S16" i="20" s="1"/>
  <c r="R16" i="20" s="1"/>
  <c r="P16" i="20" s="1"/>
  <c r="V16" i="20" s="1"/>
  <c r="U265" i="20"/>
  <c r="T265" i="20" s="1"/>
  <c r="S265" i="20" s="1"/>
  <c r="R265" i="20" s="1"/>
  <c r="P265" i="20" s="1"/>
  <c r="V265" i="20" s="1"/>
  <c r="U39" i="20"/>
  <c r="T39" i="20" s="1"/>
  <c r="S39" i="20" s="1"/>
  <c r="R39" i="20" s="1"/>
  <c r="P39" i="20" s="1"/>
  <c r="V39" i="20" s="1"/>
  <c r="U275" i="20"/>
  <c r="T275" i="20" s="1"/>
  <c r="S275" i="20" s="1"/>
  <c r="R275" i="20" s="1"/>
  <c r="P275" i="20" s="1"/>
  <c r="V275" i="20" s="1"/>
  <c r="U147" i="20"/>
  <c r="T147" i="20" s="1"/>
  <c r="S147" i="20" s="1"/>
  <c r="R147" i="20" s="1"/>
  <c r="P147" i="20" s="1"/>
  <c r="V147" i="20" s="1"/>
  <c r="U329" i="20"/>
  <c r="T329" i="20" s="1"/>
  <c r="S329" i="20" s="1"/>
  <c r="R329" i="20" s="1"/>
  <c r="P329" i="20" s="1"/>
  <c r="V329" i="20" s="1"/>
  <c r="U167" i="20"/>
  <c r="T167" i="20" s="1"/>
  <c r="S167" i="20" s="1"/>
  <c r="R167" i="20" s="1"/>
  <c r="P167" i="20" s="1"/>
  <c r="V167" i="20" s="1"/>
  <c r="U339" i="20"/>
  <c r="T339" i="20" s="1"/>
  <c r="S339" i="20" s="1"/>
  <c r="R339" i="20" s="1"/>
  <c r="P339" i="20" s="1"/>
  <c r="V339" i="20" s="1"/>
  <c r="J37" i="19"/>
  <c r="U371" i="20"/>
  <c r="T371" i="20" s="1"/>
  <c r="S371" i="20" s="1"/>
  <c r="R371" i="20" s="1"/>
  <c r="P371" i="20" s="1"/>
  <c r="V371" i="20" s="1"/>
  <c r="U307" i="20"/>
  <c r="T307" i="20" s="1"/>
  <c r="S307" i="20" s="1"/>
  <c r="R307" i="20" s="1"/>
  <c r="P307" i="20" s="1"/>
  <c r="V307" i="20" s="1"/>
  <c r="U231" i="20"/>
  <c r="T231" i="20" s="1"/>
  <c r="S231" i="20" s="1"/>
  <c r="R231" i="20" s="1"/>
  <c r="P231" i="20" s="1"/>
  <c r="V231" i="20" s="1"/>
  <c r="U103" i="20"/>
  <c r="T103" i="20" s="1"/>
  <c r="S103" i="20" s="1"/>
  <c r="R103" i="20" s="1"/>
  <c r="P103" i="20" s="1"/>
  <c r="V103" i="20" s="1"/>
  <c r="U361" i="20"/>
  <c r="T361" i="20" s="1"/>
  <c r="S361" i="20" s="1"/>
  <c r="R361" i="20" s="1"/>
  <c r="P361" i="20" s="1"/>
  <c r="V361" i="20" s="1"/>
  <c r="U297" i="20"/>
  <c r="T297" i="20" s="1"/>
  <c r="S297" i="20" s="1"/>
  <c r="R297" i="20" s="1"/>
  <c r="P297" i="20" s="1"/>
  <c r="V297" i="20" s="1"/>
  <c r="U211" i="20"/>
  <c r="T211" i="20" s="1"/>
  <c r="S211" i="20" s="1"/>
  <c r="R211" i="20" s="1"/>
  <c r="P211" i="20" s="1"/>
  <c r="V211" i="20" s="1"/>
  <c r="U83" i="20"/>
  <c r="T83" i="20" s="1"/>
  <c r="S83" i="20" s="1"/>
  <c r="R83" i="20" s="1"/>
  <c r="P83" i="20" s="1"/>
  <c r="V83" i="20" s="1"/>
  <c r="U355" i="20"/>
  <c r="T355" i="20" s="1"/>
  <c r="S355" i="20" s="1"/>
  <c r="R355" i="20" s="1"/>
  <c r="P355" i="20" s="1"/>
  <c r="V355" i="20" s="1"/>
  <c r="U323" i="20"/>
  <c r="T323" i="20" s="1"/>
  <c r="S323" i="20" s="1"/>
  <c r="R323" i="20" s="1"/>
  <c r="P323" i="20" s="1"/>
  <c r="V323" i="20" s="1"/>
  <c r="U291" i="20"/>
  <c r="T291" i="20" s="1"/>
  <c r="S291" i="20" s="1"/>
  <c r="R291" i="20" s="1"/>
  <c r="P291" i="20" s="1"/>
  <c r="V291" i="20" s="1"/>
  <c r="U259" i="20"/>
  <c r="T259" i="20" s="1"/>
  <c r="S259" i="20" s="1"/>
  <c r="R259" i="20" s="1"/>
  <c r="P259" i="20" s="1"/>
  <c r="V259" i="20" s="1"/>
  <c r="U199" i="20"/>
  <c r="T199" i="20" s="1"/>
  <c r="S199" i="20" s="1"/>
  <c r="R199" i="20" s="1"/>
  <c r="P199" i="20" s="1"/>
  <c r="V199" i="20" s="1"/>
  <c r="U135" i="20"/>
  <c r="T135" i="20" s="1"/>
  <c r="S135" i="20" s="1"/>
  <c r="R135" i="20" s="1"/>
  <c r="P135" i="20" s="1"/>
  <c r="V135" i="20" s="1"/>
  <c r="U71" i="20"/>
  <c r="T71" i="20" s="1"/>
  <c r="S71" i="20" s="1"/>
  <c r="R71" i="20" s="1"/>
  <c r="P71" i="20" s="1"/>
  <c r="V71" i="20" s="1"/>
  <c r="U377" i="20"/>
  <c r="T377" i="20" s="1"/>
  <c r="S377" i="20" s="1"/>
  <c r="R377" i="20" s="1"/>
  <c r="P377" i="20" s="1"/>
  <c r="V377" i="20" s="1"/>
  <c r="U345" i="20"/>
  <c r="T345" i="20" s="1"/>
  <c r="S345" i="20" s="1"/>
  <c r="R345" i="20" s="1"/>
  <c r="P345" i="20" s="1"/>
  <c r="V345" i="20" s="1"/>
  <c r="U313" i="20"/>
  <c r="T313" i="20" s="1"/>
  <c r="S313" i="20" s="1"/>
  <c r="R313" i="20" s="1"/>
  <c r="P313" i="20" s="1"/>
  <c r="V313" i="20" s="1"/>
  <c r="U281" i="20"/>
  <c r="T281" i="20" s="1"/>
  <c r="S281" i="20" s="1"/>
  <c r="R281" i="20" s="1"/>
  <c r="P281" i="20" s="1"/>
  <c r="V281" i="20" s="1"/>
  <c r="U243" i="20"/>
  <c r="T243" i="20" s="1"/>
  <c r="S243" i="20" s="1"/>
  <c r="R243" i="20" s="1"/>
  <c r="P243" i="20" s="1"/>
  <c r="V243" i="20" s="1"/>
  <c r="U179" i="20"/>
  <c r="T179" i="20" s="1"/>
  <c r="S179" i="20" s="1"/>
  <c r="R179" i="20" s="1"/>
  <c r="P179" i="20" s="1"/>
  <c r="V179" i="20" s="1"/>
  <c r="U115" i="20"/>
  <c r="T115" i="20" s="1"/>
  <c r="S115" i="20" s="1"/>
  <c r="R115" i="20" s="1"/>
  <c r="P115" i="20" s="1"/>
  <c r="V115" i="20" s="1"/>
  <c r="D13" i="19"/>
  <c r="G37" i="19"/>
  <c r="U27" i="20"/>
  <c r="T27" i="20" s="1"/>
  <c r="S27" i="20" s="1"/>
  <c r="R27" i="20" s="1"/>
  <c r="P27" i="20" s="1"/>
  <c r="V27" i="20" s="1"/>
  <c r="AI11" i="20"/>
  <c r="U379" i="20"/>
  <c r="T379" i="20" s="1"/>
  <c r="S379" i="20" s="1"/>
  <c r="R379" i="20" s="1"/>
  <c r="P379" i="20" s="1"/>
  <c r="U363" i="20"/>
  <c r="T363" i="20" s="1"/>
  <c r="S363" i="20" s="1"/>
  <c r="R363" i="20" s="1"/>
  <c r="P363" i="20" s="1"/>
  <c r="V363" i="20" s="1"/>
  <c r="U347" i="20"/>
  <c r="T347" i="20" s="1"/>
  <c r="S347" i="20" s="1"/>
  <c r="R347" i="20" s="1"/>
  <c r="P347" i="20" s="1"/>
  <c r="V347" i="20" s="1"/>
  <c r="U331" i="20"/>
  <c r="T331" i="20" s="1"/>
  <c r="S331" i="20" s="1"/>
  <c r="R331" i="20" s="1"/>
  <c r="P331" i="20" s="1"/>
  <c r="V331" i="20" s="1"/>
  <c r="U315" i="20"/>
  <c r="T315" i="20" s="1"/>
  <c r="S315" i="20" s="1"/>
  <c r="R315" i="20" s="1"/>
  <c r="P315" i="20" s="1"/>
  <c r="V315" i="20" s="1"/>
  <c r="U299" i="20"/>
  <c r="T299" i="20" s="1"/>
  <c r="S299" i="20" s="1"/>
  <c r="R299" i="20" s="1"/>
  <c r="P299" i="20" s="1"/>
  <c r="V299" i="20" s="1"/>
  <c r="U283" i="20"/>
  <c r="T283" i="20" s="1"/>
  <c r="S283" i="20" s="1"/>
  <c r="R283" i="20" s="1"/>
  <c r="P283" i="20" s="1"/>
  <c r="V283" i="20" s="1"/>
  <c r="U267" i="20"/>
  <c r="T267" i="20" s="1"/>
  <c r="S267" i="20" s="1"/>
  <c r="R267" i="20" s="1"/>
  <c r="P267" i="20" s="1"/>
  <c r="V267" i="20" s="1"/>
  <c r="U247" i="20"/>
  <c r="T247" i="20" s="1"/>
  <c r="S247" i="20" s="1"/>
  <c r="R247" i="20" s="1"/>
  <c r="P247" i="20" s="1"/>
  <c r="V247" i="20" s="1"/>
  <c r="U215" i="20"/>
  <c r="T215" i="20" s="1"/>
  <c r="S215" i="20" s="1"/>
  <c r="R215" i="20" s="1"/>
  <c r="P215" i="20" s="1"/>
  <c r="V215" i="20" s="1"/>
  <c r="U183" i="20"/>
  <c r="T183" i="20" s="1"/>
  <c r="S183" i="20" s="1"/>
  <c r="R183" i="20" s="1"/>
  <c r="P183" i="20" s="1"/>
  <c r="V183" i="20" s="1"/>
  <c r="U151" i="20"/>
  <c r="T151" i="20" s="1"/>
  <c r="S151" i="20" s="1"/>
  <c r="R151" i="20" s="1"/>
  <c r="P151" i="20" s="1"/>
  <c r="V151" i="20" s="1"/>
  <c r="U119" i="20"/>
  <c r="T119" i="20" s="1"/>
  <c r="S119" i="20" s="1"/>
  <c r="R119" i="20" s="1"/>
  <c r="P119" i="20" s="1"/>
  <c r="V119" i="20" s="1"/>
  <c r="U87" i="20"/>
  <c r="T87" i="20" s="1"/>
  <c r="S87" i="20" s="1"/>
  <c r="R87" i="20" s="1"/>
  <c r="P87" i="20" s="1"/>
  <c r="V87" i="20" s="1"/>
  <c r="U55" i="20"/>
  <c r="T55" i="20" s="1"/>
  <c r="S55" i="20" s="1"/>
  <c r="R55" i="20" s="1"/>
  <c r="P55" i="20" s="1"/>
  <c r="V55" i="20" s="1"/>
  <c r="U23" i="20"/>
  <c r="T23" i="20" s="1"/>
  <c r="S23" i="20" s="1"/>
  <c r="R23" i="20" s="1"/>
  <c r="P23" i="20" s="1"/>
  <c r="V23" i="20" s="1"/>
  <c r="U369" i="20"/>
  <c r="T369" i="20" s="1"/>
  <c r="S369" i="20" s="1"/>
  <c r="R369" i="20" s="1"/>
  <c r="P369" i="20" s="1"/>
  <c r="V369" i="20" s="1"/>
  <c r="U353" i="20"/>
  <c r="T353" i="20" s="1"/>
  <c r="S353" i="20" s="1"/>
  <c r="R353" i="20" s="1"/>
  <c r="P353" i="20" s="1"/>
  <c r="V353" i="20" s="1"/>
  <c r="U337" i="20"/>
  <c r="T337" i="20" s="1"/>
  <c r="S337" i="20" s="1"/>
  <c r="R337" i="20" s="1"/>
  <c r="P337" i="20" s="1"/>
  <c r="V337" i="20" s="1"/>
  <c r="U321" i="20"/>
  <c r="T321" i="20" s="1"/>
  <c r="S321" i="20" s="1"/>
  <c r="R321" i="20" s="1"/>
  <c r="P321" i="20" s="1"/>
  <c r="V321" i="20" s="1"/>
  <c r="U305" i="20"/>
  <c r="T305" i="20" s="1"/>
  <c r="S305" i="20" s="1"/>
  <c r="R305" i="20" s="1"/>
  <c r="P305" i="20" s="1"/>
  <c r="V305" i="20" s="1"/>
  <c r="U289" i="20"/>
  <c r="T289" i="20" s="1"/>
  <c r="S289" i="20" s="1"/>
  <c r="R289" i="20" s="1"/>
  <c r="P289" i="20" s="1"/>
  <c r="V289" i="20" s="1"/>
  <c r="U273" i="20"/>
  <c r="T273" i="20" s="1"/>
  <c r="S273" i="20" s="1"/>
  <c r="R273" i="20" s="1"/>
  <c r="P273" i="20" s="1"/>
  <c r="V273" i="20" s="1"/>
  <c r="U257" i="20"/>
  <c r="T257" i="20" s="1"/>
  <c r="S257" i="20" s="1"/>
  <c r="R257" i="20" s="1"/>
  <c r="P257" i="20" s="1"/>
  <c r="V257" i="20" s="1"/>
  <c r="U227" i="20"/>
  <c r="T227" i="20" s="1"/>
  <c r="S227" i="20" s="1"/>
  <c r="R227" i="20" s="1"/>
  <c r="P227" i="20" s="1"/>
  <c r="V227" i="20" s="1"/>
  <c r="U195" i="20"/>
  <c r="T195" i="20" s="1"/>
  <c r="S195" i="20" s="1"/>
  <c r="R195" i="20" s="1"/>
  <c r="P195" i="20" s="1"/>
  <c r="V195" i="20" s="1"/>
  <c r="U163" i="20"/>
  <c r="T163" i="20" s="1"/>
  <c r="S163" i="20" s="1"/>
  <c r="R163" i="20" s="1"/>
  <c r="P163" i="20" s="1"/>
  <c r="V163" i="20" s="1"/>
  <c r="U131" i="20"/>
  <c r="T131" i="20" s="1"/>
  <c r="S131" i="20" s="1"/>
  <c r="R131" i="20" s="1"/>
  <c r="P131" i="20" s="1"/>
  <c r="V131" i="20" s="1"/>
  <c r="U99" i="20"/>
  <c r="T99" i="20" s="1"/>
  <c r="S99" i="20" s="1"/>
  <c r="R99" i="20" s="1"/>
  <c r="P99" i="20" s="1"/>
  <c r="V99" i="20" s="1"/>
  <c r="U67" i="20"/>
  <c r="T67" i="20" s="1"/>
  <c r="S67" i="20" s="1"/>
  <c r="R67" i="20" s="1"/>
  <c r="P67" i="20" s="1"/>
  <c r="V67" i="20" s="1"/>
  <c r="U35" i="20"/>
  <c r="T35" i="20" s="1"/>
  <c r="S35" i="20" s="1"/>
  <c r="R35" i="20" s="1"/>
  <c r="P35" i="20" s="1"/>
  <c r="V35" i="20" s="1"/>
  <c r="T381" i="18"/>
  <c r="AH23" i="7"/>
  <c r="P15" i="18"/>
  <c r="V15" i="18" s="1"/>
  <c r="U375" i="20"/>
  <c r="T375" i="20" s="1"/>
  <c r="S375" i="20" s="1"/>
  <c r="R375" i="20" s="1"/>
  <c r="P375" i="20" s="1"/>
  <c r="V375" i="20" s="1"/>
  <c r="U367" i="20"/>
  <c r="T367" i="20" s="1"/>
  <c r="S367" i="20" s="1"/>
  <c r="R367" i="20" s="1"/>
  <c r="P367" i="20" s="1"/>
  <c r="V367" i="20" s="1"/>
  <c r="U359" i="20"/>
  <c r="T359" i="20" s="1"/>
  <c r="S359" i="20" s="1"/>
  <c r="R359" i="20" s="1"/>
  <c r="P359" i="20" s="1"/>
  <c r="V359" i="20" s="1"/>
  <c r="U351" i="20"/>
  <c r="T351" i="20" s="1"/>
  <c r="S351" i="20" s="1"/>
  <c r="R351" i="20" s="1"/>
  <c r="P351" i="20" s="1"/>
  <c r="V351" i="20" s="1"/>
  <c r="U343" i="20"/>
  <c r="T343" i="20" s="1"/>
  <c r="S343" i="20" s="1"/>
  <c r="R343" i="20" s="1"/>
  <c r="P343" i="20" s="1"/>
  <c r="V343" i="20" s="1"/>
  <c r="U335" i="20"/>
  <c r="T335" i="20" s="1"/>
  <c r="S335" i="20" s="1"/>
  <c r="R335" i="20" s="1"/>
  <c r="P335" i="20" s="1"/>
  <c r="V335" i="20" s="1"/>
  <c r="U327" i="20"/>
  <c r="T327" i="20" s="1"/>
  <c r="S327" i="20" s="1"/>
  <c r="R327" i="20" s="1"/>
  <c r="P327" i="20" s="1"/>
  <c r="V327" i="20" s="1"/>
  <c r="U319" i="20"/>
  <c r="T319" i="20" s="1"/>
  <c r="S319" i="20" s="1"/>
  <c r="R319" i="20" s="1"/>
  <c r="P319" i="20" s="1"/>
  <c r="V319" i="20" s="1"/>
  <c r="U311" i="20"/>
  <c r="T311" i="20" s="1"/>
  <c r="S311" i="20" s="1"/>
  <c r="R311" i="20" s="1"/>
  <c r="P311" i="20" s="1"/>
  <c r="V311" i="20" s="1"/>
  <c r="U303" i="20"/>
  <c r="T303" i="20" s="1"/>
  <c r="S303" i="20" s="1"/>
  <c r="R303" i="20" s="1"/>
  <c r="P303" i="20" s="1"/>
  <c r="V303" i="20" s="1"/>
  <c r="U295" i="20"/>
  <c r="T295" i="20" s="1"/>
  <c r="S295" i="20" s="1"/>
  <c r="R295" i="20" s="1"/>
  <c r="P295" i="20" s="1"/>
  <c r="V295" i="20" s="1"/>
  <c r="U287" i="20"/>
  <c r="T287" i="20" s="1"/>
  <c r="S287" i="20" s="1"/>
  <c r="R287" i="20" s="1"/>
  <c r="P287" i="20" s="1"/>
  <c r="V287" i="20" s="1"/>
  <c r="U279" i="20"/>
  <c r="T279" i="20" s="1"/>
  <c r="S279" i="20" s="1"/>
  <c r="R279" i="20" s="1"/>
  <c r="P279" i="20" s="1"/>
  <c r="V279" i="20" s="1"/>
  <c r="U271" i="20"/>
  <c r="T271" i="20" s="1"/>
  <c r="S271" i="20" s="1"/>
  <c r="R271" i="20" s="1"/>
  <c r="P271" i="20" s="1"/>
  <c r="V271" i="20" s="1"/>
  <c r="U263" i="20"/>
  <c r="T263" i="20" s="1"/>
  <c r="S263" i="20" s="1"/>
  <c r="R263" i="20" s="1"/>
  <c r="P263" i="20" s="1"/>
  <c r="V263" i="20" s="1"/>
  <c r="U255" i="20"/>
  <c r="T255" i="20" s="1"/>
  <c r="S255" i="20" s="1"/>
  <c r="R255" i="20" s="1"/>
  <c r="P255" i="20" s="1"/>
  <c r="V255" i="20" s="1"/>
  <c r="U239" i="20"/>
  <c r="T239" i="20" s="1"/>
  <c r="S239" i="20" s="1"/>
  <c r="R239" i="20" s="1"/>
  <c r="P239" i="20" s="1"/>
  <c r="V239" i="20" s="1"/>
  <c r="U223" i="20"/>
  <c r="T223" i="20" s="1"/>
  <c r="S223" i="20" s="1"/>
  <c r="R223" i="20" s="1"/>
  <c r="P223" i="20" s="1"/>
  <c r="V223" i="20" s="1"/>
  <c r="U207" i="20"/>
  <c r="T207" i="20" s="1"/>
  <c r="S207" i="20" s="1"/>
  <c r="R207" i="20" s="1"/>
  <c r="P207" i="20" s="1"/>
  <c r="V207" i="20" s="1"/>
  <c r="U191" i="20"/>
  <c r="T191" i="20" s="1"/>
  <c r="S191" i="20" s="1"/>
  <c r="R191" i="20" s="1"/>
  <c r="P191" i="20" s="1"/>
  <c r="V191" i="20" s="1"/>
  <c r="U175" i="20"/>
  <c r="T175" i="20" s="1"/>
  <c r="S175" i="20" s="1"/>
  <c r="R175" i="20" s="1"/>
  <c r="P175" i="20" s="1"/>
  <c r="V175" i="20" s="1"/>
  <c r="U159" i="20"/>
  <c r="T159" i="20" s="1"/>
  <c r="S159" i="20" s="1"/>
  <c r="R159" i="20" s="1"/>
  <c r="P159" i="20" s="1"/>
  <c r="V159" i="20" s="1"/>
  <c r="U143" i="20"/>
  <c r="T143" i="20" s="1"/>
  <c r="S143" i="20" s="1"/>
  <c r="R143" i="20" s="1"/>
  <c r="P143" i="20" s="1"/>
  <c r="V143" i="20" s="1"/>
  <c r="U127" i="20"/>
  <c r="T127" i="20" s="1"/>
  <c r="S127" i="20" s="1"/>
  <c r="R127" i="20" s="1"/>
  <c r="P127" i="20" s="1"/>
  <c r="V127" i="20" s="1"/>
  <c r="U111" i="20"/>
  <c r="T111" i="20" s="1"/>
  <c r="S111" i="20" s="1"/>
  <c r="R111" i="20" s="1"/>
  <c r="P111" i="20" s="1"/>
  <c r="V111" i="20" s="1"/>
  <c r="U95" i="20"/>
  <c r="T95" i="20" s="1"/>
  <c r="S95" i="20" s="1"/>
  <c r="R95" i="20" s="1"/>
  <c r="P95" i="20" s="1"/>
  <c r="V95" i="20" s="1"/>
  <c r="U79" i="20"/>
  <c r="T79" i="20" s="1"/>
  <c r="S79" i="20" s="1"/>
  <c r="R79" i="20" s="1"/>
  <c r="P79" i="20" s="1"/>
  <c r="V79" i="20" s="1"/>
  <c r="U63" i="20"/>
  <c r="T63" i="20" s="1"/>
  <c r="S63" i="20" s="1"/>
  <c r="R63" i="20" s="1"/>
  <c r="P63" i="20" s="1"/>
  <c r="V63" i="20" s="1"/>
  <c r="U47" i="20"/>
  <c r="T47" i="20" s="1"/>
  <c r="S47" i="20" s="1"/>
  <c r="R47" i="20" s="1"/>
  <c r="P47" i="20" s="1"/>
  <c r="V47" i="20" s="1"/>
  <c r="U31" i="20"/>
  <c r="T31" i="20" s="1"/>
  <c r="S31" i="20" s="1"/>
  <c r="R31" i="20" s="1"/>
  <c r="P31" i="20" s="1"/>
  <c r="V31" i="20" s="1"/>
  <c r="U18" i="20"/>
  <c r="T18" i="20" s="1"/>
  <c r="S18" i="20" s="1"/>
  <c r="R18" i="20" s="1"/>
  <c r="P18" i="20" s="1"/>
  <c r="V18" i="20" s="1"/>
  <c r="U373" i="20"/>
  <c r="T373" i="20" s="1"/>
  <c r="S373" i="20" s="1"/>
  <c r="R373" i="20" s="1"/>
  <c r="P373" i="20" s="1"/>
  <c r="V373" i="20" s="1"/>
  <c r="U365" i="20"/>
  <c r="T365" i="20" s="1"/>
  <c r="S365" i="20" s="1"/>
  <c r="R365" i="20" s="1"/>
  <c r="P365" i="20" s="1"/>
  <c r="V365" i="20" s="1"/>
  <c r="U357" i="20"/>
  <c r="T357" i="20" s="1"/>
  <c r="S357" i="20" s="1"/>
  <c r="R357" i="20" s="1"/>
  <c r="P357" i="20" s="1"/>
  <c r="V357" i="20" s="1"/>
  <c r="U349" i="20"/>
  <c r="T349" i="20" s="1"/>
  <c r="S349" i="20" s="1"/>
  <c r="R349" i="20" s="1"/>
  <c r="P349" i="20" s="1"/>
  <c r="V349" i="20" s="1"/>
  <c r="U341" i="20"/>
  <c r="T341" i="20" s="1"/>
  <c r="S341" i="20" s="1"/>
  <c r="R341" i="20" s="1"/>
  <c r="P341" i="20" s="1"/>
  <c r="V341" i="20" s="1"/>
  <c r="U333" i="20"/>
  <c r="T333" i="20" s="1"/>
  <c r="S333" i="20" s="1"/>
  <c r="R333" i="20" s="1"/>
  <c r="P333" i="20" s="1"/>
  <c r="V333" i="20" s="1"/>
  <c r="U325" i="20"/>
  <c r="T325" i="20" s="1"/>
  <c r="S325" i="20" s="1"/>
  <c r="R325" i="20" s="1"/>
  <c r="P325" i="20" s="1"/>
  <c r="V325" i="20" s="1"/>
  <c r="U317" i="20"/>
  <c r="T317" i="20" s="1"/>
  <c r="S317" i="20" s="1"/>
  <c r="R317" i="20" s="1"/>
  <c r="P317" i="20" s="1"/>
  <c r="V317" i="20" s="1"/>
  <c r="U309" i="20"/>
  <c r="T309" i="20" s="1"/>
  <c r="S309" i="20" s="1"/>
  <c r="R309" i="20" s="1"/>
  <c r="P309" i="20" s="1"/>
  <c r="V309" i="20" s="1"/>
  <c r="U301" i="20"/>
  <c r="T301" i="20" s="1"/>
  <c r="S301" i="20" s="1"/>
  <c r="R301" i="20" s="1"/>
  <c r="P301" i="20" s="1"/>
  <c r="V301" i="20" s="1"/>
  <c r="U293" i="20"/>
  <c r="T293" i="20" s="1"/>
  <c r="S293" i="20" s="1"/>
  <c r="R293" i="20" s="1"/>
  <c r="P293" i="20" s="1"/>
  <c r="V293" i="20" s="1"/>
  <c r="U285" i="20"/>
  <c r="T285" i="20" s="1"/>
  <c r="S285" i="20" s="1"/>
  <c r="R285" i="20" s="1"/>
  <c r="P285" i="20" s="1"/>
  <c r="V285" i="20" s="1"/>
  <c r="U277" i="20"/>
  <c r="T277" i="20" s="1"/>
  <c r="S277" i="20" s="1"/>
  <c r="R277" i="20" s="1"/>
  <c r="P277" i="20" s="1"/>
  <c r="V277" i="20" s="1"/>
  <c r="U269" i="20"/>
  <c r="T269" i="20" s="1"/>
  <c r="S269" i="20" s="1"/>
  <c r="R269" i="20" s="1"/>
  <c r="P269" i="20" s="1"/>
  <c r="V269" i="20" s="1"/>
  <c r="U261" i="20"/>
  <c r="T261" i="20" s="1"/>
  <c r="S261" i="20" s="1"/>
  <c r="R261" i="20" s="1"/>
  <c r="P261" i="20" s="1"/>
  <c r="V261" i="20" s="1"/>
  <c r="U251" i="20"/>
  <c r="T251" i="20" s="1"/>
  <c r="S251" i="20" s="1"/>
  <c r="R251" i="20" s="1"/>
  <c r="P251" i="20" s="1"/>
  <c r="V251" i="20" s="1"/>
  <c r="U235" i="20"/>
  <c r="T235" i="20" s="1"/>
  <c r="S235" i="20" s="1"/>
  <c r="R235" i="20" s="1"/>
  <c r="P235" i="20" s="1"/>
  <c r="V235" i="20" s="1"/>
  <c r="U219" i="20"/>
  <c r="T219" i="20" s="1"/>
  <c r="S219" i="20" s="1"/>
  <c r="R219" i="20" s="1"/>
  <c r="P219" i="20" s="1"/>
  <c r="V219" i="20" s="1"/>
  <c r="U203" i="20"/>
  <c r="T203" i="20" s="1"/>
  <c r="S203" i="20" s="1"/>
  <c r="R203" i="20" s="1"/>
  <c r="P203" i="20" s="1"/>
  <c r="V203" i="20" s="1"/>
  <c r="U187" i="20"/>
  <c r="T187" i="20" s="1"/>
  <c r="S187" i="20" s="1"/>
  <c r="R187" i="20" s="1"/>
  <c r="P187" i="20" s="1"/>
  <c r="V187" i="20" s="1"/>
  <c r="U171" i="20"/>
  <c r="T171" i="20" s="1"/>
  <c r="S171" i="20" s="1"/>
  <c r="R171" i="20" s="1"/>
  <c r="P171" i="20" s="1"/>
  <c r="V171" i="20" s="1"/>
  <c r="U155" i="20"/>
  <c r="T155" i="20" s="1"/>
  <c r="S155" i="20" s="1"/>
  <c r="R155" i="20" s="1"/>
  <c r="P155" i="20" s="1"/>
  <c r="V155" i="20" s="1"/>
  <c r="U139" i="20"/>
  <c r="T139" i="20" s="1"/>
  <c r="S139" i="20" s="1"/>
  <c r="R139" i="20" s="1"/>
  <c r="P139" i="20" s="1"/>
  <c r="V139" i="20" s="1"/>
  <c r="U123" i="20"/>
  <c r="T123" i="20" s="1"/>
  <c r="S123" i="20" s="1"/>
  <c r="R123" i="20" s="1"/>
  <c r="P123" i="20" s="1"/>
  <c r="V123" i="20" s="1"/>
  <c r="U107" i="20"/>
  <c r="T107" i="20" s="1"/>
  <c r="S107" i="20" s="1"/>
  <c r="R107" i="20" s="1"/>
  <c r="P107" i="20" s="1"/>
  <c r="V107" i="20" s="1"/>
  <c r="U91" i="20"/>
  <c r="T91" i="20" s="1"/>
  <c r="S91" i="20" s="1"/>
  <c r="R91" i="20" s="1"/>
  <c r="P91" i="20" s="1"/>
  <c r="V91" i="20" s="1"/>
  <c r="U75" i="20"/>
  <c r="T75" i="20" s="1"/>
  <c r="S75" i="20" s="1"/>
  <c r="R75" i="20" s="1"/>
  <c r="P75" i="20" s="1"/>
  <c r="V75" i="20" s="1"/>
  <c r="U59" i="20"/>
  <c r="T59" i="20" s="1"/>
  <c r="U43" i="20"/>
  <c r="T43" i="20" s="1"/>
  <c r="S43" i="20" s="1"/>
  <c r="R43" i="20" s="1"/>
  <c r="P43" i="20" s="1"/>
  <c r="V43" i="20" s="1"/>
  <c r="T383" i="18"/>
  <c r="T382" i="18"/>
  <c r="AH383" i="18"/>
  <c r="AH382" i="18"/>
  <c r="AH381" i="18"/>
  <c r="AG15" i="18"/>
  <c r="Q12" i="23"/>
  <c r="AH31" i="7"/>
  <c r="AH30" i="7"/>
  <c r="C7" i="6"/>
  <c r="Q7" i="7"/>
  <c r="P383" i="17"/>
  <c r="P382" i="17"/>
  <c r="V15" i="17"/>
  <c r="P381" i="17"/>
  <c r="AD381" i="17"/>
  <c r="AD383" i="17"/>
  <c r="AD382" i="17"/>
  <c r="AI351" i="20"/>
  <c r="AH351" i="20" s="1"/>
  <c r="AG351" i="20" s="1"/>
  <c r="AF351" i="20" s="1"/>
  <c r="AD351" i="20" s="1"/>
  <c r="AI319" i="20"/>
  <c r="AH319" i="20" s="1"/>
  <c r="AG319" i="20" s="1"/>
  <c r="AF319" i="20" s="1"/>
  <c r="AD319" i="20" s="1"/>
  <c r="AI287" i="20"/>
  <c r="AH287" i="20" s="1"/>
  <c r="AG287" i="20" s="1"/>
  <c r="AF287" i="20" s="1"/>
  <c r="AD287" i="20" s="1"/>
  <c r="AI255" i="20"/>
  <c r="AH255" i="20" s="1"/>
  <c r="AG255" i="20" s="1"/>
  <c r="AF255" i="20" s="1"/>
  <c r="AD255" i="20" s="1"/>
  <c r="AI223" i="20"/>
  <c r="AH223" i="20" s="1"/>
  <c r="AG223" i="20" s="1"/>
  <c r="AF223" i="20" s="1"/>
  <c r="AD223" i="20" s="1"/>
  <c r="AI191" i="20"/>
  <c r="AH191" i="20" s="1"/>
  <c r="AG191" i="20" s="1"/>
  <c r="AF191" i="20" s="1"/>
  <c r="AD191" i="20" s="1"/>
  <c r="AI159" i="20"/>
  <c r="AH159" i="20" s="1"/>
  <c r="AG159" i="20" s="1"/>
  <c r="AF159" i="20" s="1"/>
  <c r="AD159" i="20" s="1"/>
  <c r="AI127" i="20"/>
  <c r="AH127" i="20" s="1"/>
  <c r="AG127" i="20" s="1"/>
  <c r="AF127" i="20" s="1"/>
  <c r="AD127" i="20" s="1"/>
  <c r="AI95" i="20"/>
  <c r="AH95" i="20" s="1"/>
  <c r="AG95" i="20" s="1"/>
  <c r="AF95" i="20" s="1"/>
  <c r="AD95" i="20" s="1"/>
  <c r="AI63" i="20"/>
  <c r="AH63" i="20" s="1"/>
  <c r="AG63" i="20" s="1"/>
  <c r="AF63" i="20" s="1"/>
  <c r="AD63" i="20" s="1"/>
  <c r="AI39" i="20"/>
  <c r="AH39" i="20" s="1"/>
  <c r="AG39" i="20" s="1"/>
  <c r="AF39" i="20" s="1"/>
  <c r="AD39" i="20" s="1"/>
  <c r="AI23" i="20"/>
  <c r="AH23" i="20" s="1"/>
  <c r="AG23" i="20" s="1"/>
  <c r="AF23" i="20" s="1"/>
  <c r="AD23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10" i="20"/>
  <c r="AH110" i="20" s="1"/>
  <c r="AG110" i="20" s="1"/>
  <c r="AF110" i="20" s="1"/>
  <c r="AD110" i="20" s="1"/>
  <c r="AI102" i="20"/>
  <c r="AH102" i="20" s="1"/>
  <c r="AG102" i="20" s="1"/>
  <c r="AF102" i="20" s="1"/>
  <c r="AD102" i="20" s="1"/>
  <c r="AI94" i="20"/>
  <c r="AH94" i="20" s="1"/>
  <c r="AG94" i="20" s="1"/>
  <c r="AF94" i="20" s="1"/>
  <c r="AD94" i="20" s="1"/>
  <c r="AI86" i="20"/>
  <c r="AH86" i="20" s="1"/>
  <c r="AG86" i="20" s="1"/>
  <c r="AF86" i="20" s="1"/>
  <c r="AD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G54" i="20" s="1"/>
  <c r="AF54" i="20" s="1"/>
  <c r="AD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AI367" i="20"/>
  <c r="AH367" i="20" s="1"/>
  <c r="AG367" i="20" s="1"/>
  <c r="AF367" i="20" s="1"/>
  <c r="AD367" i="20" s="1"/>
  <c r="AI335" i="20"/>
  <c r="AH335" i="20" s="1"/>
  <c r="AG335" i="20" s="1"/>
  <c r="AF335" i="20" s="1"/>
  <c r="AD335" i="20" s="1"/>
  <c r="AI303" i="20"/>
  <c r="AH303" i="20" s="1"/>
  <c r="AG303" i="20" s="1"/>
  <c r="AF303" i="20" s="1"/>
  <c r="AD303" i="20" s="1"/>
  <c r="AI271" i="20"/>
  <c r="AH271" i="20" s="1"/>
  <c r="AG271" i="20" s="1"/>
  <c r="AF271" i="20" s="1"/>
  <c r="AD271" i="20" s="1"/>
  <c r="AI239" i="20"/>
  <c r="AH239" i="20" s="1"/>
  <c r="AG239" i="20" s="1"/>
  <c r="AF239" i="20" s="1"/>
  <c r="AD239" i="20" s="1"/>
  <c r="AI207" i="20"/>
  <c r="AH207" i="20" s="1"/>
  <c r="AG207" i="20" s="1"/>
  <c r="AF207" i="20" s="1"/>
  <c r="AD207" i="20" s="1"/>
  <c r="AI175" i="20"/>
  <c r="AH175" i="20" s="1"/>
  <c r="AG175" i="20" s="1"/>
  <c r="AF175" i="20" s="1"/>
  <c r="AD175" i="20" s="1"/>
  <c r="AI143" i="20"/>
  <c r="AH143" i="20" s="1"/>
  <c r="AG143" i="20" s="1"/>
  <c r="AF143" i="20" s="1"/>
  <c r="AD143" i="20" s="1"/>
  <c r="AI111" i="20"/>
  <c r="AH111" i="20" s="1"/>
  <c r="AG111" i="20" s="1"/>
  <c r="AF111" i="20" s="1"/>
  <c r="AD111" i="20" s="1"/>
  <c r="AI79" i="20"/>
  <c r="AH79" i="20" s="1"/>
  <c r="AG79" i="20" s="1"/>
  <c r="AF79" i="20" s="1"/>
  <c r="AD79" i="20" s="1"/>
  <c r="AI47" i="20"/>
  <c r="AH47" i="20" s="1"/>
  <c r="AG47" i="20" s="1"/>
  <c r="AF47" i="20" s="1"/>
  <c r="AD47" i="20" s="1"/>
  <c r="AI31" i="20"/>
  <c r="AH31" i="20" s="1"/>
  <c r="AG31" i="20" s="1"/>
  <c r="AF31" i="20" s="1"/>
  <c r="AD31" i="20" s="1"/>
  <c r="AI21" i="20"/>
  <c r="AH21" i="20" s="1"/>
  <c r="AG21" i="20" s="1"/>
  <c r="AF21" i="20" s="1"/>
  <c r="AD21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I98" i="20"/>
  <c r="AH98" i="20" s="1"/>
  <c r="AG98" i="20" s="1"/>
  <c r="AF98" i="20" s="1"/>
  <c r="AD98" i="20" s="1"/>
  <c r="AI90" i="20"/>
  <c r="AH90" i="20" s="1"/>
  <c r="AG90" i="20" s="1"/>
  <c r="AF90" i="20" s="1"/>
  <c r="AD90" i="20" s="1"/>
  <c r="AI82" i="20"/>
  <c r="AH82" i="20" s="1"/>
  <c r="AG82" i="20" s="1"/>
  <c r="AF82" i="20" s="1"/>
  <c r="AD82" i="20" s="1"/>
  <c r="AI74" i="20"/>
  <c r="AH74" i="20" s="1"/>
  <c r="AG74" i="20" s="1"/>
  <c r="AF74" i="20" s="1"/>
  <c r="AD74" i="20" s="1"/>
  <c r="AI66" i="20"/>
  <c r="AH66" i="20" s="1"/>
  <c r="AG66" i="20" s="1"/>
  <c r="AF66" i="20" s="1"/>
  <c r="AD66" i="20" s="1"/>
  <c r="AI58" i="20"/>
  <c r="AH58" i="20" s="1"/>
  <c r="AG58" i="20" s="1"/>
  <c r="AF58" i="20" s="1"/>
  <c r="AD58" i="20" s="1"/>
  <c r="AI50" i="20"/>
  <c r="AH50" i="20" s="1"/>
  <c r="AG50" i="20" s="1"/>
  <c r="AF50" i="20" s="1"/>
  <c r="AD50" i="20" s="1"/>
  <c r="AI42" i="20"/>
  <c r="AH42" i="20" s="1"/>
  <c r="AG42" i="20" s="1"/>
  <c r="AF42" i="20" s="1"/>
  <c r="AD42" i="20" s="1"/>
  <c r="AI34" i="20"/>
  <c r="AH34" i="20" s="1"/>
  <c r="AG34" i="20" s="1"/>
  <c r="AF34" i="20" s="1"/>
  <c r="AD34" i="20" s="1"/>
  <c r="AI26" i="20"/>
  <c r="AH26" i="20" s="1"/>
  <c r="AG26" i="20" s="1"/>
  <c r="AF26" i="20" s="1"/>
  <c r="AD26" i="20" s="1"/>
  <c r="AI15" i="20"/>
  <c r="AI16" i="7"/>
  <c r="U20" i="20"/>
  <c r="T20" i="20" s="1"/>
  <c r="S20" i="20" s="1"/>
  <c r="R20" i="20" s="1"/>
  <c r="P20" i="20" s="1"/>
  <c r="V20" i="20" s="1"/>
  <c r="U22" i="20"/>
  <c r="T22" i="20" s="1"/>
  <c r="S22" i="20" s="1"/>
  <c r="R22" i="20" s="1"/>
  <c r="P22" i="20" s="1"/>
  <c r="V22" i="20" s="1"/>
  <c r="U26" i="20"/>
  <c r="T26" i="20" s="1"/>
  <c r="S26" i="20" s="1"/>
  <c r="R26" i="20" s="1"/>
  <c r="P26" i="20" s="1"/>
  <c r="V26" i="20" s="1"/>
  <c r="U30" i="20"/>
  <c r="T30" i="20" s="1"/>
  <c r="S30" i="20" s="1"/>
  <c r="R30" i="20" s="1"/>
  <c r="P30" i="20" s="1"/>
  <c r="V30" i="20" s="1"/>
  <c r="U34" i="20"/>
  <c r="T34" i="20" s="1"/>
  <c r="S34" i="20" s="1"/>
  <c r="R34" i="20" s="1"/>
  <c r="P34" i="20" s="1"/>
  <c r="V34" i="20" s="1"/>
  <c r="U38" i="20"/>
  <c r="T38" i="20" s="1"/>
  <c r="S38" i="20" s="1"/>
  <c r="R38" i="20" s="1"/>
  <c r="P38" i="20" s="1"/>
  <c r="V38" i="20" s="1"/>
  <c r="U42" i="20"/>
  <c r="T42" i="20" s="1"/>
  <c r="S42" i="20" s="1"/>
  <c r="R42" i="20" s="1"/>
  <c r="P42" i="20" s="1"/>
  <c r="V42" i="20" s="1"/>
  <c r="U46" i="20"/>
  <c r="T46" i="20" s="1"/>
  <c r="S46" i="20" s="1"/>
  <c r="R46" i="20" s="1"/>
  <c r="P46" i="20" s="1"/>
  <c r="V46" i="20" s="1"/>
  <c r="U50" i="20"/>
  <c r="T50" i="20" s="1"/>
  <c r="S50" i="20" s="1"/>
  <c r="R50" i="20" s="1"/>
  <c r="P50" i="20" s="1"/>
  <c r="V50" i="20" s="1"/>
  <c r="U54" i="20"/>
  <c r="T54" i="20" s="1"/>
  <c r="S54" i="20" s="1"/>
  <c r="R54" i="20" s="1"/>
  <c r="P54" i="20" s="1"/>
  <c r="V54" i="20" s="1"/>
  <c r="U58" i="20"/>
  <c r="T58" i="20" s="1"/>
  <c r="S58" i="20" s="1"/>
  <c r="R58" i="20" s="1"/>
  <c r="P58" i="20" s="1"/>
  <c r="V58" i="20" s="1"/>
  <c r="U62" i="20"/>
  <c r="T62" i="20" s="1"/>
  <c r="S62" i="20" s="1"/>
  <c r="R62" i="20" s="1"/>
  <c r="P62" i="20" s="1"/>
  <c r="V62" i="20" s="1"/>
  <c r="U66" i="20"/>
  <c r="T66" i="20" s="1"/>
  <c r="S66" i="20" s="1"/>
  <c r="R66" i="20" s="1"/>
  <c r="P66" i="20" s="1"/>
  <c r="V66" i="20" s="1"/>
  <c r="U70" i="20"/>
  <c r="T70" i="20" s="1"/>
  <c r="S70" i="20" s="1"/>
  <c r="R70" i="20" s="1"/>
  <c r="P70" i="20" s="1"/>
  <c r="V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U82" i="20"/>
  <c r="T82" i="20" s="1"/>
  <c r="S82" i="20" s="1"/>
  <c r="R82" i="20" s="1"/>
  <c r="P82" i="20" s="1"/>
  <c r="V82" i="20" s="1"/>
  <c r="U86" i="20"/>
  <c r="T86" i="20" s="1"/>
  <c r="S86" i="20" s="1"/>
  <c r="R86" i="20" s="1"/>
  <c r="P86" i="20" s="1"/>
  <c r="V86" i="20" s="1"/>
  <c r="U90" i="20"/>
  <c r="T90" i="20" s="1"/>
  <c r="U94" i="20"/>
  <c r="T94" i="20" s="1"/>
  <c r="S94" i="20" s="1"/>
  <c r="R94" i="20" s="1"/>
  <c r="P94" i="20" s="1"/>
  <c r="V94" i="20" s="1"/>
  <c r="U98" i="20"/>
  <c r="T98" i="20" s="1"/>
  <c r="S98" i="20" s="1"/>
  <c r="R98" i="20" s="1"/>
  <c r="P98" i="20" s="1"/>
  <c r="V98" i="20" s="1"/>
  <c r="U102" i="20"/>
  <c r="T102" i="20" s="1"/>
  <c r="S102" i="20" s="1"/>
  <c r="R102" i="20" s="1"/>
  <c r="P102" i="20" s="1"/>
  <c r="V102" i="20" s="1"/>
  <c r="U106" i="20"/>
  <c r="T106" i="20" s="1"/>
  <c r="S106" i="20" s="1"/>
  <c r="R106" i="20" s="1"/>
  <c r="P106" i="20" s="1"/>
  <c r="V106" i="20" s="1"/>
  <c r="U110" i="20"/>
  <c r="T110" i="20" s="1"/>
  <c r="S110" i="20" s="1"/>
  <c r="R110" i="20" s="1"/>
  <c r="P110" i="20" s="1"/>
  <c r="V110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U134" i="20"/>
  <c r="T134" i="20" s="1"/>
  <c r="S134" i="20" s="1"/>
  <c r="R134" i="20" s="1"/>
  <c r="P134" i="20" s="1"/>
  <c r="V134" i="20" s="1"/>
  <c r="U138" i="20"/>
  <c r="T138" i="20" s="1"/>
  <c r="S138" i="20" s="1"/>
  <c r="R138" i="20" s="1"/>
  <c r="P138" i="20" s="1"/>
  <c r="V138" i="20" s="1"/>
  <c r="U142" i="20"/>
  <c r="T142" i="20" s="1"/>
  <c r="S142" i="20" s="1"/>
  <c r="R142" i="20" s="1"/>
  <c r="P142" i="20" s="1"/>
  <c r="V142" i="20" s="1"/>
  <c r="U146" i="20"/>
  <c r="T146" i="20" s="1"/>
  <c r="S146" i="20" s="1"/>
  <c r="R146" i="20" s="1"/>
  <c r="P146" i="20" s="1"/>
  <c r="V146" i="20" s="1"/>
  <c r="U150" i="20"/>
  <c r="T150" i="20" s="1"/>
  <c r="S150" i="20" s="1"/>
  <c r="R150" i="20" s="1"/>
  <c r="P150" i="20" s="1"/>
  <c r="V150" i="20" s="1"/>
  <c r="U154" i="20"/>
  <c r="T154" i="20" s="1"/>
  <c r="S154" i="20" s="1"/>
  <c r="R154" i="20" s="1"/>
  <c r="P154" i="20" s="1"/>
  <c r="V154" i="20" s="1"/>
  <c r="U158" i="20"/>
  <c r="T158" i="20" s="1"/>
  <c r="S158" i="20" s="1"/>
  <c r="R158" i="20" s="1"/>
  <c r="P158" i="20" s="1"/>
  <c r="V158" i="20" s="1"/>
  <c r="U162" i="20"/>
  <c r="T162" i="20" s="1"/>
  <c r="S162" i="20" s="1"/>
  <c r="R162" i="20" s="1"/>
  <c r="P162" i="20" s="1"/>
  <c r="V162" i="20" s="1"/>
  <c r="U166" i="20"/>
  <c r="T166" i="20" s="1"/>
  <c r="S166" i="20" s="1"/>
  <c r="R166" i="20" s="1"/>
  <c r="P166" i="20" s="1"/>
  <c r="V166" i="20" s="1"/>
  <c r="U170" i="20"/>
  <c r="T170" i="20" s="1"/>
  <c r="S170" i="20" s="1"/>
  <c r="R170" i="20" s="1"/>
  <c r="P170" i="20" s="1"/>
  <c r="V170" i="20" s="1"/>
  <c r="U174" i="20"/>
  <c r="T174" i="20" s="1"/>
  <c r="S174" i="20" s="1"/>
  <c r="R174" i="20" s="1"/>
  <c r="P174" i="20" s="1"/>
  <c r="V174" i="20" s="1"/>
  <c r="U178" i="20"/>
  <c r="T178" i="20" s="1"/>
  <c r="S178" i="20" s="1"/>
  <c r="R178" i="20" s="1"/>
  <c r="P178" i="20" s="1"/>
  <c r="V178" i="20" s="1"/>
  <c r="U182" i="20"/>
  <c r="T182" i="20" s="1"/>
  <c r="S182" i="20" s="1"/>
  <c r="R182" i="20" s="1"/>
  <c r="P182" i="20" s="1"/>
  <c r="V182" i="20" s="1"/>
  <c r="U186" i="20"/>
  <c r="T186" i="20" s="1"/>
  <c r="S186" i="20" s="1"/>
  <c r="R186" i="20" s="1"/>
  <c r="P186" i="20" s="1"/>
  <c r="V186" i="20" s="1"/>
  <c r="U190" i="20"/>
  <c r="T190" i="20" s="1"/>
  <c r="S190" i="20" s="1"/>
  <c r="R190" i="20" s="1"/>
  <c r="P190" i="20" s="1"/>
  <c r="V190" i="20" s="1"/>
  <c r="U194" i="20"/>
  <c r="T194" i="20" s="1"/>
  <c r="S194" i="20" s="1"/>
  <c r="R194" i="20" s="1"/>
  <c r="P194" i="20" s="1"/>
  <c r="V194" i="20" s="1"/>
  <c r="U198" i="20"/>
  <c r="T198" i="20" s="1"/>
  <c r="S198" i="20" s="1"/>
  <c r="R198" i="20" s="1"/>
  <c r="P198" i="20" s="1"/>
  <c r="V198" i="20" s="1"/>
  <c r="U202" i="20"/>
  <c r="T202" i="20" s="1"/>
  <c r="S202" i="20" s="1"/>
  <c r="R202" i="20" s="1"/>
  <c r="P202" i="20" s="1"/>
  <c r="V202" i="20" s="1"/>
  <c r="U206" i="20"/>
  <c r="T206" i="20" s="1"/>
  <c r="S206" i="20" s="1"/>
  <c r="R206" i="20" s="1"/>
  <c r="P206" i="20" s="1"/>
  <c r="V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U218" i="20"/>
  <c r="T218" i="20" s="1"/>
  <c r="S218" i="20" s="1"/>
  <c r="R218" i="20" s="1"/>
  <c r="P218" i="20" s="1"/>
  <c r="V218" i="20" s="1"/>
  <c r="U222" i="20"/>
  <c r="T222" i="20" s="1"/>
  <c r="S222" i="20" s="1"/>
  <c r="R222" i="20" s="1"/>
  <c r="P222" i="20" s="1"/>
  <c r="V222" i="20" s="1"/>
  <c r="U226" i="20"/>
  <c r="T226" i="20" s="1"/>
  <c r="S226" i="20" s="1"/>
  <c r="R226" i="20" s="1"/>
  <c r="P226" i="20" s="1"/>
  <c r="V226" i="20" s="1"/>
  <c r="U230" i="20"/>
  <c r="T230" i="20" s="1"/>
  <c r="S230" i="20" s="1"/>
  <c r="R230" i="20" s="1"/>
  <c r="P230" i="20" s="1"/>
  <c r="V230" i="20" s="1"/>
  <c r="U234" i="20"/>
  <c r="T234" i="20" s="1"/>
  <c r="S234" i="20" s="1"/>
  <c r="R234" i="20" s="1"/>
  <c r="P234" i="20" s="1"/>
  <c r="V234" i="20" s="1"/>
  <c r="U238" i="20"/>
  <c r="T238" i="20" s="1"/>
  <c r="S238" i="20" s="1"/>
  <c r="R238" i="20" s="1"/>
  <c r="P238" i="20" s="1"/>
  <c r="V238" i="20" s="1"/>
  <c r="U242" i="20"/>
  <c r="T242" i="20" s="1"/>
  <c r="S242" i="20" s="1"/>
  <c r="R242" i="20" s="1"/>
  <c r="P242" i="20" s="1"/>
  <c r="V242" i="20" s="1"/>
  <c r="U246" i="20"/>
  <c r="T246" i="20" s="1"/>
  <c r="S246" i="20" s="1"/>
  <c r="R246" i="20" s="1"/>
  <c r="P246" i="20" s="1"/>
  <c r="V246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U378" i="20"/>
  <c r="T378" i="20" s="1"/>
  <c r="S378" i="20" s="1"/>
  <c r="R378" i="20" s="1"/>
  <c r="P378" i="20" s="1"/>
  <c r="V378" i="20" s="1"/>
  <c r="U374" i="20"/>
  <c r="T374" i="20" s="1"/>
  <c r="S374" i="20" s="1"/>
  <c r="R374" i="20" s="1"/>
  <c r="P374" i="20" s="1"/>
  <c r="V374" i="20" s="1"/>
  <c r="U370" i="20"/>
  <c r="T370" i="20" s="1"/>
  <c r="S370" i="20" s="1"/>
  <c r="R370" i="20" s="1"/>
  <c r="P370" i="20" s="1"/>
  <c r="V370" i="20" s="1"/>
  <c r="U366" i="20"/>
  <c r="T366" i="20" s="1"/>
  <c r="S366" i="20" s="1"/>
  <c r="R366" i="20" s="1"/>
  <c r="P366" i="20" s="1"/>
  <c r="V366" i="20" s="1"/>
  <c r="U362" i="20"/>
  <c r="T362" i="20" s="1"/>
  <c r="S362" i="20" s="1"/>
  <c r="R362" i="20" s="1"/>
  <c r="P362" i="20" s="1"/>
  <c r="V362" i="20" s="1"/>
  <c r="U358" i="20"/>
  <c r="T358" i="20" s="1"/>
  <c r="S358" i="20" s="1"/>
  <c r="R358" i="20" s="1"/>
  <c r="P358" i="20" s="1"/>
  <c r="V358" i="20" s="1"/>
  <c r="U354" i="20"/>
  <c r="T354" i="20" s="1"/>
  <c r="S354" i="20" s="1"/>
  <c r="R354" i="20" s="1"/>
  <c r="P354" i="20" s="1"/>
  <c r="V354" i="20" s="1"/>
  <c r="U350" i="20"/>
  <c r="T350" i="20" s="1"/>
  <c r="S350" i="20" s="1"/>
  <c r="R350" i="20" s="1"/>
  <c r="P350" i="20" s="1"/>
  <c r="V350" i="20" s="1"/>
  <c r="U346" i="20"/>
  <c r="T346" i="20" s="1"/>
  <c r="S346" i="20" s="1"/>
  <c r="R346" i="20" s="1"/>
  <c r="P346" i="20" s="1"/>
  <c r="V346" i="20" s="1"/>
  <c r="U342" i="20"/>
  <c r="T342" i="20" s="1"/>
  <c r="S342" i="20" s="1"/>
  <c r="R342" i="20" s="1"/>
  <c r="P342" i="20" s="1"/>
  <c r="V342" i="20" s="1"/>
  <c r="U338" i="20"/>
  <c r="T338" i="20" s="1"/>
  <c r="S338" i="20" s="1"/>
  <c r="R338" i="20" s="1"/>
  <c r="P338" i="20" s="1"/>
  <c r="V338" i="20" s="1"/>
  <c r="U334" i="20"/>
  <c r="T334" i="20" s="1"/>
  <c r="S334" i="20" s="1"/>
  <c r="R334" i="20" s="1"/>
  <c r="P334" i="20" s="1"/>
  <c r="V334" i="20" s="1"/>
  <c r="U330" i="20"/>
  <c r="T330" i="20" s="1"/>
  <c r="S330" i="20" s="1"/>
  <c r="R330" i="20" s="1"/>
  <c r="P330" i="20" s="1"/>
  <c r="V330" i="20" s="1"/>
  <c r="U326" i="20"/>
  <c r="T326" i="20" s="1"/>
  <c r="S326" i="20" s="1"/>
  <c r="R326" i="20" s="1"/>
  <c r="P326" i="20" s="1"/>
  <c r="V326" i="20" s="1"/>
  <c r="U322" i="20"/>
  <c r="T322" i="20" s="1"/>
  <c r="S322" i="20" s="1"/>
  <c r="R322" i="20" s="1"/>
  <c r="P322" i="20" s="1"/>
  <c r="V322" i="20" s="1"/>
  <c r="U318" i="20"/>
  <c r="T318" i="20" s="1"/>
  <c r="S318" i="20" s="1"/>
  <c r="R318" i="20" s="1"/>
  <c r="P318" i="20" s="1"/>
  <c r="V318" i="20" s="1"/>
  <c r="U314" i="20"/>
  <c r="T314" i="20" s="1"/>
  <c r="S314" i="20" s="1"/>
  <c r="R314" i="20" s="1"/>
  <c r="P314" i="20" s="1"/>
  <c r="V314" i="20" s="1"/>
  <c r="U310" i="20"/>
  <c r="T310" i="20" s="1"/>
  <c r="S310" i="20" s="1"/>
  <c r="R310" i="20" s="1"/>
  <c r="P310" i="20" s="1"/>
  <c r="V310" i="20" s="1"/>
  <c r="U306" i="20"/>
  <c r="T306" i="20" s="1"/>
  <c r="S306" i="20" s="1"/>
  <c r="R306" i="20" s="1"/>
  <c r="P306" i="20" s="1"/>
  <c r="V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U294" i="20"/>
  <c r="T294" i="20" s="1"/>
  <c r="S294" i="20" s="1"/>
  <c r="R294" i="20" s="1"/>
  <c r="P294" i="20" s="1"/>
  <c r="V294" i="20" s="1"/>
  <c r="U290" i="20"/>
  <c r="T290" i="20" s="1"/>
  <c r="S290" i="20" s="1"/>
  <c r="R290" i="20" s="1"/>
  <c r="P290" i="20" s="1"/>
  <c r="V290" i="20" s="1"/>
  <c r="U286" i="20"/>
  <c r="T286" i="20" s="1"/>
  <c r="S286" i="20" s="1"/>
  <c r="R286" i="20" s="1"/>
  <c r="P286" i="20" s="1"/>
  <c r="V286" i="20" s="1"/>
  <c r="U282" i="20"/>
  <c r="T282" i="20" s="1"/>
  <c r="S282" i="20" s="1"/>
  <c r="R282" i="20" s="1"/>
  <c r="P282" i="20" s="1"/>
  <c r="V282" i="20" s="1"/>
  <c r="U278" i="20"/>
  <c r="T278" i="20" s="1"/>
  <c r="S278" i="20" s="1"/>
  <c r="R278" i="20" s="1"/>
  <c r="P278" i="20" s="1"/>
  <c r="V278" i="20" s="1"/>
  <c r="U274" i="20"/>
  <c r="T274" i="20" s="1"/>
  <c r="S274" i="20" s="1"/>
  <c r="R274" i="20" s="1"/>
  <c r="P274" i="20" s="1"/>
  <c r="V274" i="20" s="1"/>
  <c r="U270" i="20"/>
  <c r="T270" i="20" s="1"/>
  <c r="S270" i="20" s="1"/>
  <c r="R270" i="20" s="1"/>
  <c r="P270" i="20" s="1"/>
  <c r="V270" i="20" s="1"/>
  <c r="U266" i="20"/>
  <c r="T266" i="20" s="1"/>
  <c r="S266" i="20" s="1"/>
  <c r="R266" i="20" s="1"/>
  <c r="P266" i="20" s="1"/>
  <c r="V266" i="20" s="1"/>
  <c r="U262" i="20"/>
  <c r="T262" i="20" s="1"/>
  <c r="S262" i="20" s="1"/>
  <c r="R262" i="20" s="1"/>
  <c r="P262" i="20" s="1"/>
  <c r="V262" i="20" s="1"/>
  <c r="U258" i="20"/>
  <c r="T258" i="20" s="1"/>
  <c r="S258" i="20" s="1"/>
  <c r="R258" i="20" s="1"/>
  <c r="P258" i="20" s="1"/>
  <c r="V258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U125" i="20"/>
  <c r="T125" i="20" s="1"/>
  <c r="S125" i="20" s="1"/>
  <c r="R125" i="20" s="1"/>
  <c r="P125" i="20" s="1"/>
  <c r="V125" i="20" s="1"/>
  <c r="U117" i="20"/>
  <c r="T117" i="20" s="1"/>
  <c r="S117" i="20" s="1"/>
  <c r="R117" i="20" s="1"/>
  <c r="P117" i="20" s="1"/>
  <c r="V117" i="20" s="1"/>
  <c r="U109" i="20"/>
  <c r="T109" i="20" s="1"/>
  <c r="S109" i="20" s="1"/>
  <c r="R109" i="20" s="1"/>
  <c r="P109" i="20" s="1"/>
  <c r="V109" i="20" s="1"/>
  <c r="U101" i="20"/>
  <c r="T101" i="20" s="1"/>
  <c r="S101" i="20" s="1"/>
  <c r="R101" i="20" s="1"/>
  <c r="P101" i="20" s="1"/>
  <c r="V101" i="20" s="1"/>
  <c r="U93" i="20"/>
  <c r="T93" i="20" s="1"/>
  <c r="S93" i="20" s="1"/>
  <c r="R93" i="20" s="1"/>
  <c r="P93" i="20" s="1"/>
  <c r="V93" i="20" s="1"/>
  <c r="U85" i="20"/>
  <c r="T85" i="20" s="1"/>
  <c r="S85" i="20" s="1"/>
  <c r="R85" i="20" s="1"/>
  <c r="P85" i="20" s="1"/>
  <c r="V85" i="20" s="1"/>
  <c r="U77" i="20"/>
  <c r="T77" i="20" s="1"/>
  <c r="S77" i="20" s="1"/>
  <c r="R77" i="20" s="1"/>
  <c r="P77" i="20" s="1"/>
  <c r="V77" i="20" s="1"/>
  <c r="U69" i="20"/>
  <c r="T69" i="20" s="1"/>
  <c r="S69" i="20" s="1"/>
  <c r="R69" i="20" s="1"/>
  <c r="P69" i="20" s="1"/>
  <c r="V69" i="20" s="1"/>
  <c r="U61" i="20"/>
  <c r="T61" i="20" s="1"/>
  <c r="S61" i="20" s="1"/>
  <c r="R61" i="20" s="1"/>
  <c r="P61" i="20" s="1"/>
  <c r="V61" i="20" s="1"/>
  <c r="U53" i="20"/>
  <c r="T53" i="20" s="1"/>
  <c r="S53" i="20" s="1"/>
  <c r="R53" i="20" s="1"/>
  <c r="P53" i="20" s="1"/>
  <c r="V53" i="20" s="1"/>
  <c r="U45" i="20"/>
  <c r="T45" i="20" s="1"/>
  <c r="S45" i="20" s="1"/>
  <c r="R45" i="20" s="1"/>
  <c r="P45" i="20" s="1"/>
  <c r="V45" i="20" s="1"/>
  <c r="U37" i="20"/>
  <c r="T37" i="20" s="1"/>
  <c r="S37" i="20" s="1"/>
  <c r="R37" i="20" s="1"/>
  <c r="P37" i="20" s="1"/>
  <c r="V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G311" i="20" s="1"/>
  <c r="AF311" i="20" s="1"/>
  <c r="AD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U19" i="20"/>
  <c r="T19" i="20" s="1"/>
  <c r="U17" i="20"/>
  <c r="T17" i="20" s="1"/>
  <c r="S17" i="20" s="1"/>
  <c r="R17" i="20" s="1"/>
  <c r="P17" i="20" s="1"/>
  <c r="V17" i="20" s="1"/>
  <c r="U24" i="20"/>
  <c r="T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U376" i="20"/>
  <c r="T376" i="20" s="1"/>
  <c r="S376" i="20" s="1"/>
  <c r="R376" i="20" s="1"/>
  <c r="P376" i="20" s="1"/>
  <c r="V376" i="20" s="1"/>
  <c r="U372" i="20"/>
  <c r="T372" i="20" s="1"/>
  <c r="S372" i="20" s="1"/>
  <c r="R372" i="20" s="1"/>
  <c r="P372" i="20" s="1"/>
  <c r="V372" i="20" s="1"/>
  <c r="U368" i="20"/>
  <c r="T368" i="20" s="1"/>
  <c r="S368" i="20" s="1"/>
  <c r="R368" i="20" s="1"/>
  <c r="P368" i="20" s="1"/>
  <c r="V368" i="20" s="1"/>
  <c r="U364" i="20"/>
  <c r="T364" i="20" s="1"/>
  <c r="S364" i="20" s="1"/>
  <c r="R364" i="20" s="1"/>
  <c r="P364" i="20" s="1"/>
  <c r="V364" i="20" s="1"/>
  <c r="U360" i="20"/>
  <c r="T360" i="20" s="1"/>
  <c r="S360" i="20" s="1"/>
  <c r="R360" i="20" s="1"/>
  <c r="P360" i="20" s="1"/>
  <c r="V360" i="20" s="1"/>
  <c r="U356" i="20"/>
  <c r="T356" i="20" s="1"/>
  <c r="S356" i="20" s="1"/>
  <c r="R356" i="20" s="1"/>
  <c r="P356" i="20" s="1"/>
  <c r="V356" i="20" s="1"/>
  <c r="U352" i="20"/>
  <c r="T352" i="20" s="1"/>
  <c r="S352" i="20" s="1"/>
  <c r="R352" i="20" s="1"/>
  <c r="P352" i="20" s="1"/>
  <c r="V352" i="20" s="1"/>
  <c r="U348" i="20"/>
  <c r="T348" i="20" s="1"/>
  <c r="S348" i="20" s="1"/>
  <c r="R348" i="20" s="1"/>
  <c r="P348" i="20" s="1"/>
  <c r="V348" i="20" s="1"/>
  <c r="U344" i="20"/>
  <c r="T344" i="20" s="1"/>
  <c r="S344" i="20" s="1"/>
  <c r="R344" i="20" s="1"/>
  <c r="P344" i="20" s="1"/>
  <c r="V344" i="20" s="1"/>
  <c r="U340" i="20"/>
  <c r="T340" i="20" s="1"/>
  <c r="S340" i="20" s="1"/>
  <c r="R340" i="20" s="1"/>
  <c r="P340" i="20" s="1"/>
  <c r="V340" i="20" s="1"/>
  <c r="U336" i="20"/>
  <c r="T336" i="20" s="1"/>
  <c r="S336" i="20" s="1"/>
  <c r="R336" i="20" s="1"/>
  <c r="P336" i="20" s="1"/>
  <c r="V336" i="20" s="1"/>
  <c r="U332" i="20"/>
  <c r="T332" i="20" s="1"/>
  <c r="S332" i="20" s="1"/>
  <c r="R332" i="20" s="1"/>
  <c r="P332" i="20" s="1"/>
  <c r="V332" i="20" s="1"/>
  <c r="U328" i="20"/>
  <c r="T328" i="20" s="1"/>
  <c r="S328" i="20" s="1"/>
  <c r="R328" i="20" s="1"/>
  <c r="P328" i="20" s="1"/>
  <c r="V328" i="20" s="1"/>
  <c r="U324" i="20"/>
  <c r="T324" i="20" s="1"/>
  <c r="S324" i="20" s="1"/>
  <c r="R324" i="20" s="1"/>
  <c r="P324" i="20" s="1"/>
  <c r="V324" i="20" s="1"/>
  <c r="U320" i="20"/>
  <c r="T320" i="20" s="1"/>
  <c r="S320" i="20" s="1"/>
  <c r="R320" i="20" s="1"/>
  <c r="P320" i="20" s="1"/>
  <c r="V320" i="20" s="1"/>
  <c r="U316" i="20"/>
  <c r="T316" i="20" s="1"/>
  <c r="S316" i="20" s="1"/>
  <c r="R316" i="20" s="1"/>
  <c r="P316" i="20" s="1"/>
  <c r="V316" i="20" s="1"/>
  <c r="U312" i="20"/>
  <c r="T312" i="20" s="1"/>
  <c r="S312" i="20" s="1"/>
  <c r="R312" i="20" s="1"/>
  <c r="P312" i="20" s="1"/>
  <c r="V312" i="20" s="1"/>
  <c r="U308" i="20"/>
  <c r="T308" i="20" s="1"/>
  <c r="S308" i="20" s="1"/>
  <c r="R308" i="20" s="1"/>
  <c r="P308" i="20" s="1"/>
  <c r="V308" i="20" s="1"/>
  <c r="U304" i="20"/>
  <c r="T304" i="20" s="1"/>
  <c r="S304" i="20" s="1"/>
  <c r="R304" i="20" s="1"/>
  <c r="P304" i="20" s="1"/>
  <c r="V304" i="20" s="1"/>
  <c r="U300" i="20"/>
  <c r="T300" i="20" s="1"/>
  <c r="S300" i="20" s="1"/>
  <c r="R300" i="20" s="1"/>
  <c r="P300" i="20" s="1"/>
  <c r="V300" i="20" s="1"/>
  <c r="U296" i="20"/>
  <c r="T296" i="20" s="1"/>
  <c r="S296" i="20" s="1"/>
  <c r="R296" i="20" s="1"/>
  <c r="P296" i="20" s="1"/>
  <c r="V296" i="20" s="1"/>
  <c r="U292" i="20"/>
  <c r="T292" i="20" s="1"/>
  <c r="S292" i="20" s="1"/>
  <c r="R292" i="20" s="1"/>
  <c r="P292" i="20" s="1"/>
  <c r="V292" i="20" s="1"/>
  <c r="U288" i="20"/>
  <c r="T288" i="20" s="1"/>
  <c r="S288" i="20" s="1"/>
  <c r="R288" i="20" s="1"/>
  <c r="P288" i="20" s="1"/>
  <c r="V288" i="20" s="1"/>
  <c r="U284" i="20"/>
  <c r="T284" i="20" s="1"/>
  <c r="S284" i="20" s="1"/>
  <c r="R284" i="20" s="1"/>
  <c r="P284" i="20" s="1"/>
  <c r="V284" i="20" s="1"/>
  <c r="U280" i="20"/>
  <c r="T280" i="20" s="1"/>
  <c r="S280" i="20" s="1"/>
  <c r="R280" i="20" s="1"/>
  <c r="P280" i="20" s="1"/>
  <c r="V280" i="20" s="1"/>
  <c r="U276" i="20"/>
  <c r="T276" i="20" s="1"/>
  <c r="S276" i="20" s="1"/>
  <c r="R276" i="20" s="1"/>
  <c r="P276" i="20" s="1"/>
  <c r="V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U264" i="20"/>
  <c r="T264" i="20" s="1"/>
  <c r="S264" i="20" s="1"/>
  <c r="R264" i="20" s="1"/>
  <c r="P264" i="20" s="1"/>
  <c r="V264" i="20" s="1"/>
  <c r="U260" i="20"/>
  <c r="T260" i="20" s="1"/>
  <c r="S260" i="20" s="1"/>
  <c r="R260" i="20" s="1"/>
  <c r="P260" i="20" s="1"/>
  <c r="V260" i="20" s="1"/>
  <c r="U256" i="20"/>
  <c r="T256" i="20" s="1"/>
  <c r="S256" i="20" s="1"/>
  <c r="R256" i="20" s="1"/>
  <c r="P256" i="20" s="1"/>
  <c r="V256" i="20" s="1"/>
  <c r="U249" i="20"/>
  <c r="T249" i="20" s="1"/>
  <c r="S249" i="20" s="1"/>
  <c r="R249" i="20" s="1"/>
  <c r="P249" i="20" s="1"/>
  <c r="V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U225" i="20"/>
  <c r="T225" i="20" s="1"/>
  <c r="S225" i="20" s="1"/>
  <c r="R225" i="20" s="1"/>
  <c r="P225" i="20" s="1"/>
  <c r="V225" i="20" s="1"/>
  <c r="U217" i="20"/>
  <c r="T217" i="20" s="1"/>
  <c r="S217" i="20" s="1"/>
  <c r="R217" i="20" s="1"/>
  <c r="P217" i="20" s="1"/>
  <c r="V217" i="20" s="1"/>
  <c r="U209" i="20"/>
  <c r="T209" i="20" s="1"/>
  <c r="S209" i="20" s="1"/>
  <c r="R209" i="20" s="1"/>
  <c r="P209" i="20" s="1"/>
  <c r="V209" i="20" s="1"/>
  <c r="U201" i="20"/>
  <c r="T201" i="20" s="1"/>
  <c r="S201" i="20" s="1"/>
  <c r="R201" i="20" s="1"/>
  <c r="P201" i="20" s="1"/>
  <c r="V201" i="20" s="1"/>
  <c r="U193" i="20"/>
  <c r="T193" i="20" s="1"/>
  <c r="S193" i="20" s="1"/>
  <c r="R193" i="20" s="1"/>
  <c r="P193" i="20" s="1"/>
  <c r="V193" i="20" s="1"/>
  <c r="U185" i="20"/>
  <c r="T185" i="20" s="1"/>
  <c r="S185" i="20" s="1"/>
  <c r="R185" i="20" s="1"/>
  <c r="P185" i="20" s="1"/>
  <c r="V185" i="20" s="1"/>
  <c r="U177" i="20"/>
  <c r="T177" i="20" s="1"/>
  <c r="S177" i="20" s="1"/>
  <c r="R177" i="20" s="1"/>
  <c r="P177" i="20" s="1"/>
  <c r="V177" i="20" s="1"/>
  <c r="U169" i="20"/>
  <c r="T169" i="20" s="1"/>
  <c r="S169" i="20" s="1"/>
  <c r="R169" i="20" s="1"/>
  <c r="P169" i="20" s="1"/>
  <c r="V169" i="20" s="1"/>
  <c r="U161" i="20"/>
  <c r="T161" i="20" s="1"/>
  <c r="S161" i="20" s="1"/>
  <c r="R161" i="20" s="1"/>
  <c r="P161" i="20" s="1"/>
  <c r="V161" i="20" s="1"/>
  <c r="U153" i="20"/>
  <c r="T153" i="20" s="1"/>
  <c r="S153" i="20" s="1"/>
  <c r="R153" i="20" s="1"/>
  <c r="P153" i="20" s="1"/>
  <c r="V153" i="20" s="1"/>
  <c r="U145" i="20"/>
  <c r="T145" i="20" s="1"/>
  <c r="S145" i="20" s="1"/>
  <c r="R145" i="20" s="1"/>
  <c r="P145" i="20" s="1"/>
  <c r="V145" i="20" s="1"/>
  <c r="U137" i="20"/>
  <c r="T137" i="20" s="1"/>
  <c r="S137" i="20" s="1"/>
  <c r="R137" i="20" s="1"/>
  <c r="P137" i="20" s="1"/>
  <c r="V137" i="20" s="1"/>
  <c r="U129" i="20"/>
  <c r="T129" i="20" s="1"/>
  <c r="S129" i="20" s="1"/>
  <c r="R129" i="20" s="1"/>
  <c r="P129" i="20" s="1"/>
  <c r="V129" i="20" s="1"/>
  <c r="U121" i="20"/>
  <c r="T121" i="20" s="1"/>
  <c r="S121" i="20" s="1"/>
  <c r="R121" i="20" s="1"/>
  <c r="P121" i="20" s="1"/>
  <c r="V121" i="20" s="1"/>
  <c r="U113" i="20"/>
  <c r="T113" i="20" s="1"/>
  <c r="S113" i="20" s="1"/>
  <c r="R113" i="20" s="1"/>
  <c r="P113" i="20" s="1"/>
  <c r="V113" i="20" s="1"/>
  <c r="U105" i="20"/>
  <c r="T105" i="20" s="1"/>
  <c r="S105" i="20" s="1"/>
  <c r="R105" i="20" s="1"/>
  <c r="P105" i="20" s="1"/>
  <c r="V105" i="20" s="1"/>
  <c r="U97" i="20"/>
  <c r="T97" i="20" s="1"/>
  <c r="S97" i="20" s="1"/>
  <c r="R97" i="20" s="1"/>
  <c r="P97" i="20" s="1"/>
  <c r="V97" i="20" s="1"/>
  <c r="U89" i="20"/>
  <c r="T89" i="20" s="1"/>
  <c r="S89" i="20" s="1"/>
  <c r="R89" i="20" s="1"/>
  <c r="P89" i="20" s="1"/>
  <c r="V89" i="20" s="1"/>
  <c r="U81" i="20"/>
  <c r="T81" i="20" s="1"/>
  <c r="S81" i="20" s="1"/>
  <c r="R81" i="20" s="1"/>
  <c r="P81" i="20" s="1"/>
  <c r="V81" i="20" s="1"/>
  <c r="U73" i="20"/>
  <c r="T73" i="20" s="1"/>
  <c r="S73" i="20" s="1"/>
  <c r="R73" i="20" s="1"/>
  <c r="P73" i="20" s="1"/>
  <c r="V73" i="20" s="1"/>
  <c r="U65" i="20"/>
  <c r="T65" i="20" s="1"/>
  <c r="S65" i="20" s="1"/>
  <c r="R65" i="20" s="1"/>
  <c r="P65" i="20" s="1"/>
  <c r="V65" i="20" s="1"/>
  <c r="U57" i="20"/>
  <c r="T57" i="20" s="1"/>
  <c r="S57" i="20" s="1"/>
  <c r="R57" i="20" s="1"/>
  <c r="P57" i="20" s="1"/>
  <c r="V57" i="20" s="1"/>
  <c r="U49" i="20"/>
  <c r="T49" i="20" s="1"/>
  <c r="S49" i="20" s="1"/>
  <c r="R49" i="20" s="1"/>
  <c r="P49" i="20" s="1"/>
  <c r="V49" i="20" s="1"/>
  <c r="U41" i="20"/>
  <c r="T41" i="20" s="1"/>
  <c r="S41" i="20" s="1"/>
  <c r="R41" i="20" s="1"/>
  <c r="P41" i="20" s="1"/>
  <c r="V41" i="20" s="1"/>
  <c r="U33" i="20"/>
  <c r="T33" i="20" s="1"/>
  <c r="S33" i="20" s="1"/>
  <c r="R33" i="20" s="1"/>
  <c r="P33" i="20" s="1"/>
  <c r="V33" i="20" s="1"/>
  <c r="U25" i="20"/>
  <c r="T25" i="20" s="1"/>
  <c r="S25" i="20" s="1"/>
  <c r="R25" i="20" s="1"/>
  <c r="P25" i="20" s="1"/>
  <c r="V25" i="20" s="1"/>
  <c r="U15" i="20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U380" i="20"/>
  <c r="T380" i="20" s="1"/>
  <c r="S380" i="20" s="1"/>
  <c r="R380" i="20" s="1"/>
  <c r="P380" i="20" s="1"/>
  <c r="V380" i="20" s="1"/>
  <c r="R379" i="18"/>
  <c r="S381" i="18"/>
  <c r="S383" i="18"/>
  <c r="S382" i="18"/>
  <c r="S59" i="20"/>
  <c r="R59" i="20" s="1"/>
  <c r="P59" i="20" s="1"/>
  <c r="V59" i="20" s="1"/>
  <c r="Z382" i="16"/>
  <c r="Z9" i="16"/>
  <c r="Y15" i="16"/>
  <c r="AL5" i="16" s="1"/>
  <c r="AL11" i="16" s="1"/>
  <c r="AJ3" i="16" s="1"/>
  <c r="O13" i="19" s="1"/>
  <c r="M13" i="19" s="1"/>
  <c r="Z383" i="16"/>
  <c r="Z381" i="16"/>
  <c r="AL8" i="16"/>
  <c r="Q381" i="22"/>
  <c r="Q382" i="22"/>
  <c r="AS15" i="7"/>
  <c r="Q383" i="22"/>
  <c r="Q10" i="23" l="1"/>
  <c r="Q125" i="23" s="1"/>
  <c r="AE11" i="23"/>
  <c r="AE107" i="22"/>
  <c r="AE111" i="22"/>
  <c r="AE115" i="22"/>
  <c r="AE119" i="22"/>
  <c r="AE123" i="22"/>
  <c r="AE127" i="22"/>
  <c r="AE131" i="22"/>
  <c r="AE135" i="22"/>
  <c r="AE139" i="22"/>
  <c r="AE143" i="22"/>
  <c r="AE147" i="22"/>
  <c r="AE151" i="22"/>
  <c r="AE155" i="22"/>
  <c r="AE159" i="22"/>
  <c r="AE163" i="22"/>
  <c r="AE167" i="22"/>
  <c r="AE171" i="22"/>
  <c r="AE175" i="22"/>
  <c r="AE179" i="22"/>
  <c r="AE183" i="22"/>
  <c r="AE187" i="22"/>
  <c r="AE191" i="22"/>
  <c r="AE195" i="22"/>
  <c r="AE199" i="22"/>
  <c r="AE203" i="22"/>
  <c r="AE207" i="22"/>
  <c r="AE211" i="22"/>
  <c r="AE215" i="22"/>
  <c r="AE219" i="22"/>
  <c r="AE223" i="22"/>
  <c r="AE227" i="22"/>
  <c r="AE231" i="22"/>
  <c r="AE235" i="22"/>
  <c r="AE239" i="22"/>
  <c r="AE243" i="22"/>
  <c r="AE247" i="22"/>
  <c r="AE251" i="22"/>
  <c r="AE255" i="22"/>
  <c r="AE259" i="22"/>
  <c r="AE263" i="22"/>
  <c r="AE267" i="22"/>
  <c r="AE271" i="22"/>
  <c r="AE275" i="22"/>
  <c r="AE279" i="22"/>
  <c r="AE283" i="22"/>
  <c r="AE287" i="22"/>
  <c r="AE291" i="22"/>
  <c r="AE295" i="22"/>
  <c r="AE299" i="22"/>
  <c r="AE303" i="22"/>
  <c r="AE307" i="22"/>
  <c r="AE311" i="22"/>
  <c r="AE315" i="22"/>
  <c r="AE319" i="22"/>
  <c r="AE323" i="22"/>
  <c r="AE327" i="22"/>
  <c r="AE331" i="22"/>
  <c r="AE335" i="22"/>
  <c r="AE339" i="22"/>
  <c r="AE343" i="22"/>
  <c r="AE347" i="22"/>
  <c r="AE351" i="22"/>
  <c r="AE355" i="22"/>
  <c r="AE359" i="22"/>
  <c r="AE363" i="22"/>
  <c r="AE367" i="22"/>
  <c r="AE371" i="22"/>
  <c r="AE375" i="22"/>
  <c r="AE379" i="22"/>
  <c r="AE12" i="23" s="1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AE257" i="22"/>
  <c r="AE261" i="22"/>
  <c r="AE265" i="22"/>
  <c r="AE269" i="22"/>
  <c r="AE273" i="22"/>
  <c r="AE277" i="22"/>
  <c r="AE281" i="22"/>
  <c r="AE285" i="22"/>
  <c r="AE289" i="22"/>
  <c r="AE293" i="22"/>
  <c r="AE297" i="22"/>
  <c r="AE301" i="22"/>
  <c r="AE305" i="22"/>
  <c r="AE309" i="22"/>
  <c r="AE313" i="22"/>
  <c r="AE317" i="22"/>
  <c r="AE321" i="22"/>
  <c r="AE325" i="22"/>
  <c r="AE329" i="22"/>
  <c r="AE333" i="22"/>
  <c r="AE337" i="22"/>
  <c r="AE341" i="22"/>
  <c r="AE345" i="22"/>
  <c r="AE349" i="22"/>
  <c r="AE353" i="22"/>
  <c r="AE357" i="22"/>
  <c r="AE361" i="22"/>
  <c r="AE365" i="22"/>
  <c r="AE369" i="22"/>
  <c r="AE373" i="22"/>
  <c r="AE377" i="22"/>
  <c r="AE104" i="22"/>
  <c r="AE108" i="22"/>
  <c r="AE112" i="22"/>
  <c r="AE116" i="22"/>
  <c r="AE120" i="22"/>
  <c r="AE124" i="22"/>
  <c r="AE128" i="22"/>
  <c r="AE132" i="22"/>
  <c r="AE136" i="22"/>
  <c r="AE140" i="22"/>
  <c r="AE144" i="22"/>
  <c r="AE148" i="22"/>
  <c r="AE152" i="22"/>
  <c r="AE156" i="22"/>
  <c r="AE160" i="22"/>
  <c r="AE106" i="22"/>
  <c r="AE114" i="22"/>
  <c r="AE122" i="22"/>
  <c r="AE130" i="22"/>
  <c r="AE138" i="22"/>
  <c r="AE146" i="22"/>
  <c r="AE154" i="22"/>
  <c r="AE162" i="22"/>
  <c r="AE166" i="22"/>
  <c r="AE170" i="22"/>
  <c r="AE174" i="22"/>
  <c r="AE178" i="22"/>
  <c r="AE182" i="22"/>
  <c r="AE186" i="22"/>
  <c r="AE190" i="22"/>
  <c r="AE194" i="22"/>
  <c r="AE198" i="22"/>
  <c r="AE202" i="22"/>
  <c r="AE206" i="22"/>
  <c r="AE210" i="22"/>
  <c r="AE214" i="22"/>
  <c r="AE218" i="22"/>
  <c r="AE222" i="22"/>
  <c r="AE226" i="22"/>
  <c r="AE230" i="22"/>
  <c r="AE234" i="22"/>
  <c r="AE238" i="22"/>
  <c r="AE242" i="22"/>
  <c r="AE246" i="22"/>
  <c r="AE250" i="22"/>
  <c r="AE254" i="22"/>
  <c r="AE258" i="22"/>
  <c r="AE262" i="22"/>
  <c r="AE266" i="22"/>
  <c r="AE270" i="22"/>
  <c r="AE274" i="22"/>
  <c r="AE278" i="22"/>
  <c r="AE282" i="22"/>
  <c r="AE286" i="22"/>
  <c r="AE290" i="22"/>
  <c r="AE294" i="22"/>
  <c r="AE298" i="22"/>
  <c r="AE302" i="22"/>
  <c r="AE306" i="22"/>
  <c r="AE310" i="22"/>
  <c r="AE314" i="22"/>
  <c r="AE318" i="22"/>
  <c r="AE322" i="22"/>
  <c r="AE326" i="22"/>
  <c r="AE330" i="22"/>
  <c r="AE334" i="22"/>
  <c r="AE338" i="22"/>
  <c r="AE342" i="22"/>
  <c r="AE346" i="22"/>
  <c r="AE350" i="22"/>
  <c r="AE354" i="22"/>
  <c r="AE358" i="22"/>
  <c r="AE362" i="22"/>
  <c r="AE366" i="22"/>
  <c r="AE370" i="22"/>
  <c r="AE374" i="22"/>
  <c r="AE378" i="22"/>
  <c r="AE110" i="22"/>
  <c r="AE118" i="22"/>
  <c r="AE126" i="22"/>
  <c r="AE134" i="22"/>
  <c r="AE142" i="22"/>
  <c r="AE150" i="22"/>
  <c r="AE158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U12" i="22"/>
  <c r="E13" i="19"/>
  <c r="Q16" i="23"/>
  <c r="AH16" i="7"/>
  <c r="AN11" i="7" s="1"/>
  <c r="U11" i="22" s="1"/>
  <c r="AE42" i="23"/>
  <c r="V379" i="20"/>
  <c r="M66" i="19" s="1"/>
  <c r="D40" i="19"/>
  <c r="AG381" i="18"/>
  <c r="AG383" i="18"/>
  <c r="AF15" i="18"/>
  <c r="AG382" i="18"/>
  <c r="AE352" i="23"/>
  <c r="AE224" i="23"/>
  <c r="AE288" i="23"/>
  <c r="AE160" i="23"/>
  <c r="AE320" i="23"/>
  <c r="AE256" i="23"/>
  <c r="AE192" i="23"/>
  <c r="AE106" i="23"/>
  <c r="AE368" i="23"/>
  <c r="AE336" i="23"/>
  <c r="AE304" i="23"/>
  <c r="AE272" i="23"/>
  <c r="AE240" i="23"/>
  <c r="AE208" i="23"/>
  <c r="AE176" i="23"/>
  <c r="AE138" i="23"/>
  <c r="AE74" i="23"/>
  <c r="L66" i="19"/>
  <c r="E66" i="19"/>
  <c r="AH379" i="20"/>
  <c r="AG379" i="20" s="1"/>
  <c r="AF379" i="20" s="1"/>
  <c r="AD379" i="20" s="1"/>
  <c r="AI12" i="22"/>
  <c r="AG380" i="20"/>
  <c r="AF380" i="20" s="1"/>
  <c r="AD380" i="20" s="1"/>
  <c r="S88" i="20"/>
  <c r="R88" i="20" s="1"/>
  <c r="P88" i="20" s="1"/>
  <c r="S72" i="20"/>
  <c r="R72" i="20" s="1"/>
  <c r="P72" i="20" s="1"/>
  <c r="V72" i="20" s="1"/>
  <c r="S24" i="20"/>
  <c r="R24" i="20" s="1"/>
  <c r="P24" i="20" s="1"/>
  <c r="V24" i="20" s="1"/>
  <c r="S19" i="20"/>
  <c r="R19" i="20" s="1"/>
  <c r="P19" i="20" s="1"/>
  <c r="V19" i="20" s="1"/>
  <c r="V149" i="20"/>
  <c r="F66" i="19" s="1"/>
  <c r="AH24" i="7"/>
  <c r="AH26" i="7"/>
  <c r="V210" i="20"/>
  <c r="H66" i="19" s="1"/>
  <c r="S90" i="20"/>
  <c r="R90" i="20" s="1"/>
  <c r="P90" i="20" s="1"/>
  <c r="V90" i="20" s="1"/>
  <c r="AH15" i="20"/>
  <c r="AI383" i="20"/>
  <c r="AI381" i="20"/>
  <c r="AI382" i="20"/>
  <c r="B64" i="19"/>
  <c r="N64" i="19" s="1"/>
  <c r="V383" i="17"/>
  <c r="V382" i="17"/>
  <c r="V381" i="17"/>
  <c r="AM6" i="16"/>
  <c r="AM12" i="16" s="1"/>
  <c r="AL6" i="16"/>
  <c r="AL12" i="16" s="1"/>
  <c r="Y383" i="16"/>
  <c r="Y382" i="16"/>
  <c r="Y381" i="16"/>
  <c r="X9" i="16"/>
  <c r="P379" i="18"/>
  <c r="D39" i="19" s="1"/>
  <c r="R381" i="18"/>
  <c r="R383" i="18"/>
  <c r="R382" i="18"/>
  <c r="U383" i="20"/>
  <c r="T15" i="20"/>
  <c r="U382" i="20"/>
  <c r="U381" i="20"/>
  <c r="AH27" i="7"/>
  <c r="V241" i="20"/>
  <c r="I66" i="19" s="1"/>
  <c r="V272" i="20"/>
  <c r="J66" i="19" s="1"/>
  <c r="AH28" i="7"/>
  <c r="AH25" i="7"/>
  <c r="V180" i="20"/>
  <c r="S100" i="20"/>
  <c r="R100" i="20" s="1"/>
  <c r="P100" i="20" s="1"/>
  <c r="V100" i="20" s="1"/>
  <c r="AH21" i="7"/>
  <c r="V60" i="20"/>
  <c r="AH20" i="7"/>
  <c r="V29" i="20"/>
  <c r="AH29" i="7"/>
  <c r="V302" i="20"/>
  <c r="K66" i="19" s="1"/>
  <c r="G66" i="19"/>
  <c r="Q343" i="23"/>
  <c r="Q375" i="23"/>
  <c r="Q311" i="23"/>
  <c r="AE376" i="23"/>
  <c r="AE360" i="23"/>
  <c r="AE344" i="23"/>
  <c r="AE328" i="23"/>
  <c r="AE312" i="23"/>
  <c r="AE296" i="23"/>
  <c r="AE280" i="23"/>
  <c r="AE264" i="23"/>
  <c r="AE248" i="23"/>
  <c r="AE232" i="23"/>
  <c r="AE216" i="23"/>
  <c r="AE200" i="23"/>
  <c r="AE184" i="23"/>
  <c r="AE168" i="23"/>
  <c r="AE152" i="23"/>
  <c r="AE122" i="23"/>
  <c r="AE90" i="23"/>
  <c r="AE58" i="23"/>
  <c r="AE26" i="23"/>
  <c r="Q359" i="23"/>
  <c r="Q327" i="23"/>
  <c r="Q279" i="23"/>
  <c r="AE372" i="23"/>
  <c r="AE364" i="23"/>
  <c r="AE356" i="23"/>
  <c r="AE348" i="23"/>
  <c r="AE340" i="23"/>
  <c r="AE332" i="23"/>
  <c r="AE324" i="23"/>
  <c r="AE316" i="23"/>
  <c r="AE308" i="23"/>
  <c r="AE300" i="23"/>
  <c r="AE292" i="23"/>
  <c r="AE284" i="23"/>
  <c r="AE276" i="23"/>
  <c r="AE268" i="23"/>
  <c r="AE260" i="23"/>
  <c r="AE252" i="23"/>
  <c r="AE244" i="23"/>
  <c r="AE236" i="23"/>
  <c r="AE228" i="23"/>
  <c r="AE220" i="23"/>
  <c r="AE212" i="23"/>
  <c r="AE204" i="23"/>
  <c r="AE196" i="23"/>
  <c r="AE188" i="23"/>
  <c r="AE180" i="23"/>
  <c r="AE172" i="23"/>
  <c r="AE164" i="23"/>
  <c r="AE156" i="23"/>
  <c r="AE146" i="23"/>
  <c r="AE130" i="23"/>
  <c r="AE114" i="23"/>
  <c r="AE98" i="23"/>
  <c r="AE82" i="23"/>
  <c r="AE66" i="23"/>
  <c r="AE50" i="23"/>
  <c r="AE34" i="23"/>
  <c r="AE1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8" i="23"/>
  <c r="AE274" i="23"/>
  <c r="AE270" i="23"/>
  <c r="AE266" i="23"/>
  <c r="AE262" i="23"/>
  <c r="AE258" i="23"/>
  <c r="AE254" i="23"/>
  <c r="AE250" i="23"/>
  <c r="AE246" i="23"/>
  <c r="AE242" i="23"/>
  <c r="AE238" i="23"/>
  <c r="AE234" i="23"/>
  <c r="AE230" i="23"/>
  <c r="AE226" i="23"/>
  <c r="AE222" i="23"/>
  <c r="AE218" i="23"/>
  <c r="AE214" i="23"/>
  <c r="AE210" i="23"/>
  <c r="AE206" i="23"/>
  <c r="AE202" i="23"/>
  <c r="AE198" i="23"/>
  <c r="AE194" i="23"/>
  <c r="AE190" i="23"/>
  <c r="AE186" i="23"/>
  <c r="AE182" i="23"/>
  <c r="AE178" i="23"/>
  <c r="AE174" i="23"/>
  <c r="AE170" i="23"/>
  <c r="AE166" i="23"/>
  <c r="AE162" i="23"/>
  <c r="AE158" i="23"/>
  <c r="AE154" i="23"/>
  <c r="AE150" i="23"/>
  <c r="AE142" i="23"/>
  <c r="AE134" i="23"/>
  <c r="AE126" i="23"/>
  <c r="AE118" i="23"/>
  <c r="AE11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7" i="23"/>
  <c r="AE275" i="23"/>
  <c r="AE273" i="23"/>
  <c r="AE271" i="23"/>
  <c r="AE269" i="23"/>
  <c r="AE267" i="23"/>
  <c r="AE265" i="23"/>
  <c r="AE263" i="23"/>
  <c r="AE261" i="23"/>
  <c r="AE259" i="23"/>
  <c r="AE257" i="23"/>
  <c r="AE255" i="23"/>
  <c r="AE253" i="23"/>
  <c r="AE251" i="23"/>
  <c r="AE249" i="23"/>
  <c r="AE247" i="23"/>
  <c r="AE245" i="23"/>
  <c r="AE243" i="23"/>
  <c r="AE241" i="23"/>
  <c r="AE239" i="23"/>
  <c r="AE237" i="23"/>
  <c r="AE235" i="23"/>
  <c r="AE233" i="23"/>
  <c r="AE231" i="23"/>
  <c r="AE229" i="23"/>
  <c r="AE227" i="23"/>
  <c r="AE225" i="23"/>
  <c r="AE223" i="23"/>
  <c r="AE221" i="23"/>
  <c r="AE219" i="23"/>
  <c r="AE217" i="23"/>
  <c r="AE215" i="23"/>
  <c r="AE213" i="23"/>
  <c r="AE211" i="23"/>
  <c r="AE209" i="23"/>
  <c r="AE207" i="23"/>
  <c r="AE205" i="23"/>
  <c r="AE203" i="23"/>
  <c r="AE201" i="23"/>
  <c r="AE199" i="23"/>
  <c r="AE197" i="23"/>
  <c r="AE195" i="23"/>
  <c r="AE193" i="23"/>
  <c r="AE191" i="23"/>
  <c r="AE189" i="23"/>
  <c r="AE187" i="23"/>
  <c r="AE185" i="23"/>
  <c r="AE183" i="23"/>
  <c r="AE181" i="23"/>
  <c r="AE179" i="23"/>
  <c r="AE177" i="23"/>
  <c r="AE175" i="23"/>
  <c r="AE173" i="23"/>
  <c r="AE171" i="23"/>
  <c r="AE169" i="23"/>
  <c r="AE167" i="23"/>
  <c r="AE165" i="23"/>
  <c r="AE163" i="23"/>
  <c r="AE161" i="23"/>
  <c r="AE159" i="23"/>
  <c r="AE157" i="23"/>
  <c r="AE155" i="23"/>
  <c r="AE153" i="23"/>
  <c r="AE151" i="23"/>
  <c r="AE149" i="23"/>
  <c r="AE147" i="23"/>
  <c r="AE145" i="23"/>
  <c r="AE143" i="23"/>
  <c r="AE141" i="23"/>
  <c r="AE139" i="23"/>
  <c r="AE137" i="23"/>
  <c r="AE135" i="23"/>
  <c r="AE133" i="23"/>
  <c r="AE131" i="23"/>
  <c r="AE129" i="23"/>
  <c r="AE127" i="23"/>
  <c r="AE125" i="23"/>
  <c r="AE123" i="23"/>
  <c r="AE121" i="23"/>
  <c r="AE119" i="23"/>
  <c r="AE117" i="23"/>
  <c r="AE115" i="23"/>
  <c r="AE113" i="23"/>
  <c r="AE111" i="23"/>
  <c r="AE109" i="23"/>
  <c r="AE107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B65" i="19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Q12" i="24"/>
  <c r="AM16" i="7" l="1"/>
  <c r="AE381" i="22"/>
  <c r="AE383" i="22"/>
  <c r="AE382" i="22"/>
  <c r="U10" i="22"/>
  <c r="AI11" i="22" s="1"/>
  <c r="F13" i="19"/>
  <c r="AF382" i="18"/>
  <c r="AF383" i="18"/>
  <c r="AF381" i="18"/>
  <c r="AD15" i="18"/>
  <c r="AE381" i="23"/>
  <c r="AO16" i="7"/>
  <c r="U376" i="22"/>
  <c r="T376" i="22" s="1"/>
  <c r="S376" i="22" s="1"/>
  <c r="R376" i="22" s="1"/>
  <c r="P376" i="22" s="1"/>
  <c r="V376" i="22" s="1"/>
  <c r="U372" i="22"/>
  <c r="T372" i="22" s="1"/>
  <c r="S372" i="22" s="1"/>
  <c r="R372" i="22" s="1"/>
  <c r="P372" i="22" s="1"/>
  <c r="V372" i="22" s="1"/>
  <c r="U368" i="22"/>
  <c r="T368" i="22" s="1"/>
  <c r="S368" i="22" s="1"/>
  <c r="R368" i="22" s="1"/>
  <c r="P368" i="22" s="1"/>
  <c r="V368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78" i="22"/>
  <c r="T378" i="22" s="1"/>
  <c r="S378" i="22" s="1"/>
  <c r="R378" i="22" s="1"/>
  <c r="P378" i="22" s="1"/>
  <c r="V378" i="22" s="1"/>
  <c r="U370" i="22"/>
  <c r="T370" i="22" s="1"/>
  <c r="S370" i="22" s="1"/>
  <c r="R370" i="22" s="1"/>
  <c r="P370" i="22" s="1"/>
  <c r="V370" i="22" s="1"/>
  <c r="U362" i="22"/>
  <c r="T362" i="22" s="1"/>
  <c r="S362" i="22" s="1"/>
  <c r="R362" i="22" s="1"/>
  <c r="P362" i="22" s="1"/>
  <c r="V362" i="22" s="1"/>
  <c r="U354" i="22"/>
  <c r="T354" i="22" s="1"/>
  <c r="S354" i="22" s="1"/>
  <c r="R354" i="22" s="1"/>
  <c r="P354" i="22" s="1"/>
  <c r="V354" i="22" s="1"/>
  <c r="U346" i="22"/>
  <c r="T346" i="22" s="1"/>
  <c r="S346" i="22" s="1"/>
  <c r="R346" i="22" s="1"/>
  <c r="P346" i="22" s="1"/>
  <c r="V346" i="22" s="1"/>
  <c r="U338" i="22"/>
  <c r="T338" i="22" s="1"/>
  <c r="S338" i="22" s="1"/>
  <c r="R338" i="22" s="1"/>
  <c r="P338" i="22" s="1"/>
  <c r="V338" i="22" s="1"/>
  <c r="U330" i="22"/>
  <c r="T330" i="22" s="1"/>
  <c r="S330" i="22" s="1"/>
  <c r="R330" i="22" s="1"/>
  <c r="P330" i="22" s="1"/>
  <c r="V330" i="22" s="1"/>
  <c r="U322" i="22"/>
  <c r="T322" i="22" s="1"/>
  <c r="S322" i="22" s="1"/>
  <c r="R322" i="22" s="1"/>
  <c r="P322" i="22" s="1"/>
  <c r="V322" i="22" s="1"/>
  <c r="U314" i="22"/>
  <c r="T314" i="22" s="1"/>
  <c r="S314" i="22" s="1"/>
  <c r="R314" i="22" s="1"/>
  <c r="P314" i="22" s="1"/>
  <c r="V314" i="22" s="1"/>
  <c r="U298" i="22"/>
  <c r="T298" i="22" s="1"/>
  <c r="S298" i="22" s="1"/>
  <c r="R298" i="22" s="1"/>
  <c r="P298" i="22" s="1"/>
  <c r="V298" i="22" s="1"/>
  <c r="U290" i="22"/>
  <c r="T290" i="22" s="1"/>
  <c r="S290" i="22" s="1"/>
  <c r="R290" i="22" s="1"/>
  <c r="P290" i="22" s="1"/>
  <c r="V290" i="22" s="1"/>
  <c r="U274" i="22"/>
  <c r="T274" i="22" s="1"/>
  <c r="S274" i="22" s="1"/>
  <c r="R274" i="22" s="1"/>
  <c r="P274" i="22" s="1"/>
  <c r="V274" i="22" s="1"/>
  <c r="U258" i="22"/>
  <c r="T258" i="22" s="1"/>
  <c r="S258" i="22" s="1"/>
  <c r="R258" i="22" s="1"/>
  <c r="P258" i="22" s="1"/>
  <c r="V258" i="22" s="1"/>
  <c r="U242" i="22"/>
  <c r="T242" i="22" s="1"/>
  <c r="S242" i="22" s="1"/>
  <c r="R242" i="22" s="1"/>
  <c r="P242" i="22" s="1"/>
  <c r="V242" i="22" s="1"/>
  <c r="U226" i="22"/>
  <c r="T226" i="22" s="1"/>
  <c r="S226" i="22" s="1"/>
  <c r="R226" i="22" s="1"/>
  <c r="P226" i="22" s="1"/>
  <c r="V226" i="22" s="1"/>
  <c r="U210" i="22"/>
  <c r="T210" i="22" s="1"/>
  <c r="S210" i="22" s="1"/>
  <c r="R210" i="22" s="1"/>
  <c r="P210" i="22" s="1"/>
  <c r="V210" i="22" s="1"/>
  <c r="U194" i="22"/>
  <c r="T194" i="22" s="1"/>
  <c r="S194" i="22" s="1"/>
  <c r="R194" i="22" s="1"/>
  <c r="P194" i="22" s="1"/>
  <c r="V194" i="22" s="1"/>
  <c r="U178" i="22"/>
  <c r="T178" i="22" s="1"/>
  <c r="S178" i="22" s="1"/>
  <c r="R178" i="22" s="1"/>
  <c r="P178" i="22" s="1"/>
  <c r="V178" i="22" s="1"/>
  <c r="U162" i="22"/>
  <c r="T162" i="22" s="1"/>
  <c r="S162" i="22" s="1"/>
  <c r="R162" i="22" s="1"/>
  <c r="P162" i="22" s="1"/>
  <c r="V162" i="22" s="1"/>
  <c r="U146" i="22"/>
  <c r="T146" i="22" s="1"/>
  <c r="S146" i="22" s="1"/>
  <c r="R146" i="22" s="1"/>
  <c r="P146" i="22" s="1"/>
  <c r="V146" i="22" s="1"/>
  <c r="U130" i="22"/>
  <c r="T130" i="22" s="1"/>
  <c r="S130" i="22" s="1"/>
  <c r="R130" i="22" s="1"/>
  <c r="P130" i="22" s="1"/>
  <c r="V130" i="22" s="1"/>
  <c r="U114" i="22"/>
  <c r="T114" i="22" s="1"/>
  <c r="S114" i="22" s="1"/>
  <c r="R114" i="22" s="1"/>
  <c r="P114" i="22" s="1"/>
  <c r="V114" i="22" s="1"/>
  <c r="U98" i="22"/>
  <c r="T98" i="22" s="1"/>
  <c r="S98" i="22" s="1"/>
  <c r="R98" i="22" s="1"/>
  <c r="P98" i="22" s="1"/>
  <c r="V98" i="22" s="1"/>
  <c r="U82" i="22"/>
  <c r="T82" i="22" s="1"/>
  <c r="S82" i="22" s="1"/>
  <c r="R82" i="22" s="1"/>
  <c r="P82" i="22" s="1"/>
  <c r="V82" i="22" s="1"/>
  <c r="U66" i="22"/>
  <c r="T66" i="22" s="1"/>
  <c r="S66" i="22" s="1"/>
  <c r="R66" i="22" s="1"/>
  <c r="P66" i="22" s="1"/>
  <c r="V66" i="22" s="1"/>
  <c r="U50" i="22"/>
  <c r="T50" i="22" s="1"/>
  <c r="S50" i="22" s="1"/>
  <c r="R50" i="22" s="1"/>
  <c r="P50" i="22" s="1"/>
  <c r="V50" i="22" s="1"/>
  <c r="U36" i="22"/>
  <c r="T36" i="22" s="1"/>
  <c r="S36" i="22" s="1"/>
  <c r="R36" i="22" s="1"/>
  <c r="P36" i="22" s="1"/>
  <c r="V36" i="22" s="1"/>
  <c r="U28" i="22"/>
  <c r="T28" i="22" s="1"/>
  <c r="S28" i="22" s="1"/>
  <c r="R28" i="22" s="1"/>
  <c r="P28" i="22" s="1"/>
  <c r="V28" i="22" s="1"/>
  <c r="U15" i="22"/>
  <c r="U373" i="22"/>
  <c r="T373" i="22" s="1"/>
  <c r="S373" i="22" s="1"/>
  <c r="R373" i="22" s="1"/>
  <c r="P373" i="22" s="1"/>
  <c r="V373" i="22" s="1"/>
  <c r="U365" i="22"/>
  <c r="T365" i="22" s="1"/>
  <c r="S365" i="22" s="1"/>
  <c r="R365" i="22" s="1"/>
  <c r="P365" i="22" s="1"/>
  <c r="V365" i="22" s="1"/>
  <c r="U357" i="22"/>
  <c r="T357" i="22" s="1"/>
  <c r="S357" i="22" s="1"/>
  <c r="R357" i="22" s="1"/>
  <c r="P357" i="22" s="1"/>
  <c r="V357" i="22" s="1"/>
  <c r="U349" i="22"/>
  <c r="T349" i="22" s="1"/>
  <c r="S349" i="22" s="1"/>
  <c r="R349" i="22" s="1"/>
  <c r="P349" i="22" s="1"/>
  <c r="V349" i="22" s="1"/>
  <c r="U341" i="22"/>
  <c r="T341" i="22" s="1"/>
  <c r="S341" i="22" s="1"/>
  <c r="R341" i="22" s="1"/>
  <c r="P341" i="22" s="1"/>
  <c r="V341" i="22" s="1"/>
  <c r="U333" i="22"/>
  <c r="T333" i="22" s="1"/>
  <c r="S333" i="22" s="1"/>
  <c r="R333" i="22" s="1"/>
  <c r="P333" i="22" s="1"/>
  <c r="U325" i="22"/>
  <c r="T325" i="22" s="1"/>
  <c r="S325" i="22" s="1"/>
  <c r="R325" i="22" s="1"/>
  <c r="P325" i="22" s="1"/>
  <c r="V325" i="22" s="1"/>
  <c r="U317" i="22"/>
  <c r="T317" i="22" s="1"/>
  <c r="S317" i="22" s="1"/>
  <c r="R317" i="22" s="1"/>
  <c r="P317" i="22" s="1"/>
  <c r="V317" i="22" s="1"/>
  <c r="U309" i="22"/>
  <c r="T309" i="22" s="1"/>
  <c r="S309" i="22" s="1"/>
  <c r="R309" i="22" s="1"/>
  <c r="P309" i="22" s="1"/>
  <c r="V309" i="22" s="1"/>
  <c r="U301" i="22"/>
  <c r="T301" i="22" s="1"/>
  <c r="S301" i="22" s="1"/>
  <c r="R301" i="22" s="1"/>
  <c r="P301" i="22" s="1"/>
  <c r="V301" i="22" s="1"/>
  <c r="U374" i="22"/>
  <c r="T374" i="22" s="1"/>
  <c r="S374" i="22" s="1"/>
  <c r="R374" i="22" s="1"/>
  <c r="P374" i="22" s="1"/>
  <c r="V374" i="22" s="1"/>
  <c r="U366" i="22"/>
  <c r="T366" i="22" s="1"/>
  <c r="S366" i="22" s="1"/>
  <c r="R366" i="22" s="1"/>
  <c r="P366" i="22" s="1"/>
  <c r="V366" i="22" s="1"/>
  <c r="U358" i="22"/>
  <c r="T358" i="22" s="1"/>
  <c r="S358" i="22" s="1"/>
  <c r="R358" i="22" s="1"/>
  <c r="P358" i="22" s="1"/>
  <c r="V358" i="22" s="1"/>
  <c r="U350" i="22"/>
  <c r="T350" i="22" s="1"/>
  <c r="S350" i="22" s="1"/>
  <c r="R350" i="22" s="1"/>
  <c r="P350" i="22" s="1"/>
  <c r="V350" i="22" s="1"/>
  <c r="U342" i="22"/>
  <c r="T342" i="22" s="1"/>
  <c r="S342" i="22" s="1"/>
  <c r="R342" i="22" s="1"/>
  <c r="P342" i="22" s="1"/>
  <c r="V342" i="22" s="1"/>
  <c r="U334" i="22"/>
  <c r="T334" i="22" s="1"/>
  <c r="S334" i="22" s="1"/>
  <c r="R334" i="22" s="1"/>
  <c r="P334" i="22" s="1"/>
  <c r="V334" i="22" s="1"/>
  <c r="U326" i="22"/>
  <c r="T326" i="22" s="1"/>
  <c r="S326" i="22" s="1"/>
  <c r="R326" i="22" s="1"/>
  <c r="P326" i="22" s="1"/>
  <c r="V326" i="22" s="1"/>
  <c r="U318" i="22"/>
  <c r="T318" i="22" s="1"/>
  <c r="S318" i="22" s="1"/>
  <c r="R318" i="22" s="1"/>
  <c r="P318" i="22" s="1"/>
  <c r="V318" i="22" s="1"/>
  <c r="U310" i="22"/>
  <c r="T310" i="22" s="1"/>
  <c r="S310" i="22" s="1"/>
  <c r="R310" i="22" s="1"/>
  <c r="P310" i="22" s="1"/>
  <c r="V310" i="22" s="1"/>
  <c r="U302" i="22"/>
  <c r="T302" i="22" s="1"/>
  <c r="S302" i="22" s="1"/>
  <c r="R302" i="22" s="1"/>
  <c r="P302" i="22" s="1"/>
  <c r="U294" i="22"/>
  <c r="T294" i="22" s="1"/>
  <c r="S294" i="22" s="1"/>
  <c r="R294" i="22" s="1"/>
  <c r="P294" i="22" s="1"/>
  <c r="V294" i="22" s="1"/>
  <c r="U286" i="22"/>
  <c r="T286" i="22" s="1"/>
  <c r="S286" i="22" s="1"/>
  <c r="R286" i="22" s="1"/>
  <c r="P286" i="22" s="1"/>
  <c r="V286" i="22" s="1"/>
  <c r="U278" i="22"/>
  <c r="T278" i="22" s="1"/>
  <c r="S278" i="22" s="1"/>
  <c r="R278" i="22" s="1"/>
  <c r="P278" i="22" s="1"/>
  <c r="V278" i="22" s="1"/>
  <c r="U270" i="22"/>
  <c r="T270" i="22" s="1"/>
  <c r="S270" i="22" s="1"/>
  <c r="R270" i="22" s="1"/>
  <c r="P270" i="22" s="1"/>
  <c r="V270" i="22" s="1"/>
  <c r="U262" i="22"/>
  <c r="T262" i="22" s="1"/>
  <c r="S262" i="22" s="1"/>
  <c r="R262" i="22" s="1"/>
  <c r="P262" i="22" s="1"/>
  <c r="V262" i="22" s="1"/>
  <c r="U254" i="22"/>
  <c r="T254" i="22" s="1"/>
  <c r="S254" i="22" s="1"/>
  <c r="R254" i="22" s="1"/>
  <c r="P254" i="22" s="1"/>
  <c r="V254" i="22" s="1"/>
  <c r="U246" i="22"/>
  <c r="T246" i="22" s="1"/>
  <c r="S246" i="22" s="1"/>
  <c r="R246" i="22" s="1"/>
  <c r="P246" i="22" s="1"/>
  <c r="V246" i="22" s="1"/>
  <c r="U238" i="22"/>
  <c r="T238" i="22" s="1"/>
  <c r="S238" i="22" s="1"/>
  <c r="R238" i="22" s="1"/>
  <c r="P238" i="22" s="1"/>
  <c r="V238" i="22" s="1"/>
  <c r="U230" i="22"/>
  <c r="T230" i="22" s="1"/>
  <c r="S230" i="22" s="1"/>
  <c r="R230" i="22" s="1"/>
  <c r="P230" i="22" s="1"/>
  <c r="V230" i="22" s="1"/>
  <c r="U222" i="22"/>
  <c r="T222" i="22" s="1"/>
  <c r="S222" i="22" s="1"/>
  <c r="R222" i="22" s="1"/>
  <c r="P222" i="22" s="1"/>
  <c r="V222" i="22" s="1"/>
  <c r="U214" i="22"/>
  <c r="T214" i="22" s="1"/>
  <c r="S214" i="22" s="1"/>
  <c r="R214" i="22" s="1"/>
  <c r="P214" i="22" s="1"/>
  <c r="V214" i="22" s="1"/>
  <c r="U206" i="22"/>
  <c r="T206" i="22" s="1"/>
  <c r="S206" i="22" s="1"/>
  <c r="R206" i="22" s="1"/>
  <c r="P206" i="22" s="1"/>
  <c r="V206" i="22" s="1"/>
  <c r="U198" i="22"/>
  <c r="T198" i="22" s="1"/>
  <c r="S198" i="22" s="1"/>
  <c r="R198" i="22" s="1"/>
  <c r="P198" i="22" s="1"/>
  <c r="V198" i="22" s="1"/>
  <c r="U190" i="22"/>
  <c r="T190" i="22" s="1"/>
  <c r="S190" i="22" s="1"/>
  <c r="R190" i="22" s="1"/>
  <c r="P190" i="22" s="1"/>
  <c r="V190" i="22" s="1"/>
  <c r="U182" i="22"/>
  <c r="T182" i="22" s="1"/>
  <c r="S182" i="22" s="1"/>
  <c r="R182" i="22" s="1"/>
  <c r="P182" i="22" s="1"/>
  <c r="V182" i="22" s="1"/>
  <c r="U174" i="22"/>
  <c r="T174" i="22" s="1"/>
  <c r="S174" i="22" s="1"/>
  <c r="R174" i="22" s="1"/>
  <c r="P174" i="22" s="1"/>
  <c r="V174" i="22" s="1"/>
  <c r="U166" i="22"/>
  <c r="T166" i="22" s="1"/>
  <c r="S166" i="22" s="1"/>
  <c r="R166" i="22" s="1"/>
  <c r="P166" i="22" s="1"/>
  <c r="V166" i="22" s="1"/>
  <c r="U158" i="22"/>
  <c r="T158" i="22" s="1"/>
  <c r="S158" i="22" s="1"/>
  <c r="R158" i="22" s="1"/>
  <c r="P158" i="22" s="1"/>
  <c r="V158" i="22" s="1"/>
  <c r="U150" i="22"/>
  <c r="T150" i="22" s="1"/>
  <c r="S150" i="22" s="1"/>
  <c r="R150" i="22" s="1"/>
  <c r="P150" i="22" s="1"/>
  <c r="V150" i="22" s="1"/>
  <c r="U142" i="22"/>
  <c r="T142" i="22" s="1"/>
  <c r="S142" i="22" s="1"/>
  <c r="R142" i="22" s="1"/>
  <c r="P142" i="22" s="1"/>
  <c r="V142" i="22" s="1"/>
  <c r="U134" i="22"/>
  <c r="T134" i="22" s="1"/>
  <c r="S134" i="22" s="1"/>
  <c r="R134" i="22" s="1"/>
  <c r="P134" i="22" s="1"/>
  <c r="V134" i="22" s="1"/>
  <c r="U126" i="22"/>
  <c r="T126" i="22" s="1"/>
  <c r="S126" i="22" s="1"/>
  <c r="R126" i="22" s="1"/>
  <c r="P126" i="22" s="1"/>
  <c r="V126" i="22" s="1"/>
  <c r="U118" i="22"/>
  <c r="T118" i="22" s="1"/>
  <c r="S118" i="22" s="1"/>
  <c r="R118" i="22" s="1"/>
  <c r="P118" i="22" s="1"/>
  <c r="V118" i="22" s="1"/>
  <c r="U110" i="22"/>
  <c r="T110" i="22" s="1"/>
  <c r="S110" i="22" s="1"/>
  <c r="R110" i="22" s="1"/>
  <c r="P110" i="22" s="1"/>
  <c r="V110" i="22" s="1"/>
  <c r="U102" i="22"/>
  <c r="T102" i="22" s="1"/>
  <c r="S102" i="22" s="1"/>
  <c r="R102" i="22" s="1"/>
  <c r="P102" i="22" s="1"/>
  <c r="V102" i="22" s="1"/>
  <c r="U94" i="22"/>
  <c r="T94" i="22" s="1"/>
  <c r="S94" i="22" s="1"/>
  <c r="R94" i="22" s="1"/>
  <c r="P94" i="22" s="1"/>
  <c r="V94" i="22" s="1"/>
  <c r="U86" i="22"/>
  <c r="T86" i="22" s="1"/>
  <c r="S86" i="22" s="1"/>
  <c r="R86" i="22" s="1"/>
  <c r="P86" i="22" s="1"/>
  <c r="V86" i="22" s="1"/>
  <c r="U78" i="22"/>
  <c r="T78" i="22" s="1"/>
  <c r="S78" i="22" s="1"/>
  <c r="R78" i="22" s="1"/>
  <c r="P78" i="22" s="1"/>
  <c r="V78" i="22" s="1"/>
  <c r="U70" i="22"/>
  <c r="T70" i="22" s="1"/>
  <c r="S70" i="22" s="1"/>
  <c r="R70" i="22" s="1"/>
  <c r="P70" i="22" s="1"/>
  <c r="V70" i="22" s="1"/>
  <c r="U62" i="22"/>
  <c r="T62" i="22" s="1"/>
  <c r="S62" i="22" s="1"/>
  <c r="R62" i="22" s="1"/>
  <c r="P62" i="22" s="1"/>
  <c r="V62" i="22" s="1"/>
  <c r="U54" i="22"/>
  <c r="T54" i="22" s="1"/>
  <c r="S54" i="22" s="1"/>
  <c r="R54" i="22" s="1"/>
  <c r="P54" i="22" s="1"/>
  <c r="V54" i="22" s="1"/>
  <c r="U46" i="22"/>
  <c r="T46" i="22" s="1"/>
  <c r="S46" i="22" s="1"/>
  <c r="R46" i="22" s="1"/>
  <c r="P46" i="22" s="1"/>
  <c r="V46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6" i="22"/>
  <c r="T16" i="22" s="1"/>
  <c r="S16" i="22" s="1"/>
  <c r="R16" i="22" s="1"/>
  <c r="P16" i="22" s="1"/>
  <c r="V16" i="22" s="1"/>
  <c r="U19" i="22"/>
  <c r="T19" i="22" s="1"/>
  <c r="S19" i="22" s="1"/>
  <c r="R19" i="22" s="1"/>
  <c r="P19" i="22" s="1"/>
  <c r="V19" i="22" s="1"/>
  <c r="U22" i="22"/>
  <c r="T22" i="22" s="1"/>
  <c r="S22" i="22" s="1"/>
  <c r="R22" i="22" s="1"/>
  <c r="P22" i="22" s="1"/>
  <c r="V22" i="22" s="1"/>
  <c r="U306" i="22"/>
  <c r="T306" i="22" s="1"/>
  <c r="S306" i="22" s="1"/>
  <c r="R306" i="22" s="1"/>
  <c r="P306" i="22" s="1"/>
  <c r="V306" i="22" s="1"/>
  <c r="U282" i="22"/>
  <c r="T282" i="22" s="1"/>
  <c r="S282" i="22" s="1"/>
  <c r="R282" i="22" s="1"/>
  <c r="P282" i="22" s="1"/>
  <c r="V282" i="22" s="1"/>
  <c r="U266" i="22"/>
  <c r="T266" i="22" s="1"/>
  <c r="S266" i="22" s="1"/>
  <c r="R266" i="22" s="1"/>
  <c r="P266" i="22" s="1"/>
  <c r="V266" i="22" s="1"/>
  <c r="U250" i="22"/>
  <c r="T250" i="22" s="1"/>
  <c r="S250" i="22" s="1"/>
  <c r="R250" i="22" s="1"/>
  <c r="P250" i="22" s="1"/>
  <c r="V250" i="22" s="1"/>
  <c r="U234" i="22"/>
  <c r="T234" i="22" s="1"/>
  <c r="S234" i="22" s="1"/>
  <c r="R234" i="22" s="1"/>
  <c r="P234" i="22" s="1"/>
  <c r="V234" i="22" s="1"/>
  <c r="U218" i="22"/>
  <c r="T218" i="22" s="1"/>
  <c r="S218" i="22" s="1"/>
  <c r="R218" i="22" s="1"/>
  <c r="P218" i="22" s="1"/>
  <c r="V218" i="22" s="1"/>
  <c r="U202" i="22"/>
  <c r="T202" i="22" s="1"/>
  <c r="S202" i="22" s="1"/>
  <c r="R202" i="22" s="1"/>
  <c r="P202" i="22" s="1"/>
  <c r="V202" i="22" s="1"/>
  <c r="U186" i="22"/>
  <c r="T186" i="22" s="1"/>
  <c r="S186" i="22" s="1"/>
  <c r="R186" i="22" s="1"/>
  <c r="P186" i="22" s="1"/>
  <c r="V186" i="22" s="1"/>
  <c r="U170" i="22"/>
  <c r="T170" i="22" s="1"/>
  <c r="S170" i="22" s="1"/>
  <c r="R170" i="22" s="1"/>
  <c r="P170" i="22" s="1"/>
  <c r="V170" i="22" s="1"/>
  <c r="U154" i="22"/>
  <c r="T154" i="22" s="1"/>
  <c r="S154" i="22" s="1"/>
  <c r="R154" i="22" s="1"/>
  <c r="P154" i="22" s="1"/>
  <c r="V154" i="22" s="1"/>
  <c r="U138" i="22"/>
  <c r="T138" i="22" s="1"/>
  <c r="S138" i="22" s="1"/>
  <c r="R138" i="22" s="1"/>
  <c r="P138" i="22" s="1"/>
  <c r="V138" i="22" s="1"/>
  <c r="U122" i="22"/>
  <c r="T122" i="22" s="1"/>
  <c r="S122" i="22" s="1"/>
  <c r="R122" i="22" s="1"/>
  <c r="P122" i="22" s="1"/>
  <c r="V122" i="22" s="1"/>
  <c r="U106" i="22"/>
  <c r="T106" i="22" s="1"/>
  <c r="S106" i="22" s="1"/>
  <c r="R106" i="22" s="1"/>
  <c r="P106" i="22" s="1"/>
  <c r="V106" i="22" s="1"/>
  <c r="U90" i="22"/>
  <c r="T90" i="22" s="1"/>
  <c r="S90" i="22" s="1"/>
  <c r="R90" i="22" s="1"/>
  <c r="P90" i="22" s="1"/>
  <c r="V90" i="22" s="1"/>
  <c r="U74" i="22"/>
  <c r="T74" i="22" s="1"/>
  <c r="S74" i="22" s="1"/>
  <c r="R74" i="22" s="1"/>
  <c r="P74" i="22" s="1"/>
  <c r="V74" i="22" s="1"/>
  <c r="U58" i="22"/>
  <c r="T58" i="22" s="1"/>
  <c r="S58" i="22" s="1"/>
  <c r="R58" i="22" s="1"/>
  <c r="P58" i="22" s="1"/>
  <c r="V58" i="22" s="1"/>
  <c r="U42" i="22"/>
  <c r="T42" i="22" s="1"/>
  <c r="S42" i="22" s="1"/>
  <c r="R42" i="22" s="1"/>
  <c r="P42" i="22" s="1"/>
  <c r="V42" i="22" s="1"/>
  <c r="U32" i="22"/>
  <c r="T32" i="22" s="1"/>
  <c r="S32" i="22" s="1"/>
  <c r="R32" i="22" s="1"/>
  <c r="P32" i="22" s="1"/>
  <c r="V32" i="22" s="1"/>
  <c r="U24" i="22"/>
  <c r="T24" i="22" s="1"/>
  <c r="S24" i="22" s="1"/>
  <c r="R24" i="22" s="1"/>
  <c r="P24" i="22" s="1"/>
  <c r="V24" i="22" s="1"/>
  <c r="U18" i="22"/>
  <c r="T18" i="22" s="1"/>
  <c r="S18" i="22" s="1"/>
  <c r="R18" i="22" s="1"/>
  <c r="P18" i="22" s="1"/>
  <c r="V18" i="22" s="1"/>
  <c r="U377" i="22"/>
  <c r="T377" i="22" s="1"/>
  <c r="S377" i="22" s="1"/>
  <c r="R377" i="22" s="1"/>
  <c r="P377" i="22" s="1"/>
  <c r="V377" i="22" s="1"/>
  <c r="U369" i="22"/>
  <c r="T369" i="22" s="1"/>
  <c r="S369" i="22" s="1"/>
  <c r="R369" i="22" s="1"/>
  <c r="P369" i="22" s="1"/>
  <c r="V369" i="22" s="1"/>
  <c r="U361" i="22"/>
  <c r="T361" i="22" s="1"/>
  <c r="S361" i="22" s="1"/>
  <c r="R361" i="22" s="1"/>
  <c r="P361" i="22" s="1"/>
  <c r="V361" i="22" s="1"/>
  <c r="U353" i="22"/>
  <c r="T353" i="22" s="1"/>
  <c r="S353" i="22" s="1"/>
  <c r="R353" i="22" s="1"/>
  <c r="P353" i="22" s="1"/>
  <c r="V353" i="22" s="1"/>
  <c r="U345" i="22"/>
  <c r="T345" i="22" s="1"/>
  <c r="S345" i="22" s="1"/>
  <c r="R345" i="22" s="1"/>
  <c r="P345" i="22" s="1"/>
  <c r="V345" i="22" s="1"/>
  <c r="U337" i="22"/>
  <c r="T337" i="22" s="1"/>
  <c r="S337" i="22" s="1"/>
  <c r="R337" i="22" s="1"/>
  <c r="P337" i="22" s="1"/>
  <c r="V337" i="22" s="1"/>
  <c r="U329" i="22"/>
  <c r="T329" i="22" s="1"/>
  <c r="S329" i="22" s="1"/>
  <c r="R329" i="22" s="1"/>
  <c r="P329" i="22" s="1"/>
  <c r="V329" i="22" s="1"/>
  <c r="U321" i="22"/>
  <c r="T321" i="22" s="1"/>
  <c r="S321" i="22" s="1"/>
  <c r="R321" i="22" s="1"/>
  <c r="P321" i="22" s="1"/>
  <c r="V321" i="22" s="1"/>
  <c r="U313" i="22"/>
  <c r="T313" i="22" s="1"/>
  <c r="S313" i="22" s="1"/>
  <c r="R313" i="22" s="1"/>
  <c r="P313" i="22" s="1"/>
  <c r="V313" i="22" s="1"/>
  <c r="U305" i="22"/>
  <c r="T305" i="22" s="1"/>
  <c r="S305" i="22" s="1"/>
  <c r="R305" i="22" s="1"/>
  <c r="P305" i="22" s="1"/>
  <c r="V305" i="22" s="1"/>
  <c r="U297" i="22"/>
  <c r="T297" i="22" s="1"/>
  <c r="S297" i="22" s="1"/>
  <c r="R297" i="22" s="1"/>
  <c r="P297" i="22" s="1"/>
  <c r="V297" i="22" s="1"/>
  <c r="U289" i="22"/>
  <c r="T289" i="22" s="1"/>
  <c r="S289" i="22" s="1"/>
  <c r="R289" i="22" s="1"/>
  <c r="P289" i="22" s="1"/>
  <c r="V289" i="22" s="1"/>
  <c r="U281" i="22"/>
  <c r="T281" i="22" s="1"/>
  <c r="S281" i="22" s="1"/>
  <c r="R281" i="22" s="1"/>
  <c r="P281" i="22" s="1"/>
  <c r="V281" i="22" s="1"/>
  <c r="U273" i="22"/>
  <c r="T273" i="22" s="1"/>
  <c r="S273" i="22" s="1"/>
  <c r="R273" i="22" s="1"/>
  <c r="P273" i="22" s="1"/>
  <c r="V273" i="22" s="1"/>
  <c r="U265" i="22"/>
  <c r="T265" i="22" s="1"/>
  <c r="S265" i="22" s="1"/>
  <c r="R265" i="22" s="1"/>
  <c r="P265" i="22" s="1"/>
  <c r="V265" i="22" s="1"/>
  <c r="U257" i="22"/>
  <c r="T257" i="22" s="1"/>
  <c r="S257" i="22" s="1"/>
  <c r="R257" i="22" s="1"/>
  <c r="P257" i="22" s="1"/>
  <c r="V257" i="22" s="1"/>
  <c r="U249" i="22"/>
  <c r="T249" i="22" s="1"/>
  <c r="S249" i="22" s="1"/>
  <c r="R249" i="22" s="1"/>
  <c r="P249" i="22" s="1"/>
  <c r="V249" i="22" s="1"/>
  <c r="U241" i="22"/>
  <c r="T241" i="22" s="1"/>
  <c r="S241" i="22" s="1"/>
  <c r="R241" i="22" s="1"/>
  <c r="P241" i="22" s="1"/>
  <c r="U233" i="22"/>
  <c r="T233" i="22" s="1"/>
  <c r="S233" i="22" s="1"/>
  <c r="R233" i="22" s="1"/>
  <c r="P233" i="22" s="1"/>
  <c r="V233" i="22" s="1"/>
  <c r="U225" i="22"/>
  <c r="T225" i="22" s="1"/>
  <c r="S225" i="22" s="1"/>
  <c r="R225" i="22" s="1"/>
  <c r="P225" i="22" s="1"/>
  <c r="V225" i="22" s="1"/>
  <c r="U217" i="22"/>
  <c r="T217" i="22" s="1"/>
  <c r="S217" i="22" s="1"/>
  <c r="R217" i="22" s="1"/>
  <c r="P217" i="22" s="1"/>
  <c r="V217" i="22" s="1"/>
  <c r="U209" i="22"/>
  <c r="T209" i="22" s="1"/>
  <c r="S209" i="22" s="1"/>
  <c r="R209" i="22" s="1"/>
  <c r="P209" i="22" s="1"/>
  <c r="V209" i="22" s="1"/>
  <c r="U201" i="22"/>
  <c r="T201" i="22" s="1"/>
  <c r="S201" i="22" s="1"/>
  <c r="R201" i="22" s="1"/>
  <c r="P201" i="22" s="1"/>
  <c r="V201" i="22" s="1"/>
  <c r="U193" i="22"/>
  <c r="T193" i="22" s="1"/>
  <c r="S193" i="22" s="1"/>
  <c r="R193" i="22" s="1"/>
  <c r="P193" i="22" s="1"/>
  <c r="V193" i="22" s="1"/>
  <c r="U185" i="22"/>
  <c r="T185" i="22" s="1"/>
  <c r="S185" i="22" s="1"/>
  <c r="R185" i="22" s="1"/>
  <c r="P185" i="22" s="1"/>
  <c r="V185" i="22" s="1"/>
  <c r="U177" i="22"/>
  <c r="T177" i="22" s="1"/>
  <c r="S177" i="22" s="1"/>
  <c r="R177" i="22" s="1"/>
  <c r="P177" i="22" s="1"/>
  <c r="V177" i="22" s="1"/>
  <c r="U169" i="22"/>
  <c r="T169" i="22" s="1"/>
  <c r="S169" i="22" s="1"/>
  <c r="R169" i="22" s="1"/>
  <c r="P169" i="22" s="1"/>
  <c r="V169" i="22" s="1"/>
  <c r="U161" i="22"/>
  <c r="T161" i="22" s="1"/>
  <c r="S161" i="22" s="1"/>
  <c r="R161" i="22" s="1"/>
  <c r="P161" i="22" s="1"/>
  <c r="V161" i="22" s="1"/>
  <c r="U153" i="22"/>
  <c r="T153" i="22" s="1"/>
  <c r="S153" i="22" s="1"/>
  <c r="R153" i="22" s="1"/>
  <c r="P153" i="22" s="1"/>
  <c r="V153" i="22" s="1"/>
  <c r="U145" i="22"/>
  <c r="T145" i="22" s="1"/>
  <c r="S145" i="22" s="1"/>
  <c r="R145" i="22" s="1"/>
  <c r="P145" i="22" s="1"/>
  <c r="V145" i="22" s="1"/>
  <c r="U137" i="22"/>
  <c r="T137" i="22" s="1"/>
  <c r="S137" i="22" s="1"/>
  <c r="R137" i="22" s="1"/>
  <c r="P137" i="22" s="1"/>
  <c r="V137" i="22" s="1"/>
  <c r="U129" i="22"/>
  <c r="T129" i="22" s="1"/>
  <c r="S129" i="22" s="1"/>
  <c r="R129" i="22" s="1"/>
  <c r="P129" i="22" s="1"/>
  <c r="V129" i="22" s="1"/>
  <c r="U121" i="22"/>
  <c r="T121" i="22" s="1"/>
  <c r="S121" i="22" s="1"/>
  <c r="R121" i="22" s="1"/>
  <c r="P121" i="22" s="1"/>
  <c r="V121" i="22" s="1"/>
  <c r="U113" i="22"/>
  <c r="T113" i="22" s="1"/>
  <c r="S113" i="22" s="1"/>
  <c r="R113" i="22" s="1"/>
  <c r="P113" i="22" s="1"/>
  <c r="V113" i="22" s="1"/>
  <c r="U105" i="22"/>
  <c r="T105" i="22" s="1"/>
  <c r="S105" i="22" s="1"/>
  <c r="R105" i="22" s="1"/>
  <c r="P105" i="22" s="1"/>
  <c r="V105" i="22" s="1"/>
  <c r="U97" i="22"/>
  <c r="T97" i="22" s="1"/>
  <c r="S97" i="22" s="1"/>
  <c r="R97" i="22" s="1"/>
  <c r="P97" i="22" s="1"/>
  <c r="V97" i="22" s="1"/>
  <c r="U89" i="22"/>
  <c r="T89" i="22" s="1"/>
  <c r="S89" i="22" s="1"/>
  <c r="R89" i="22" s="1"/>
  <c r="P89" i="22" s="1"/>
  <c r="V89" i="22" s="1"/>
  <c r="U81" i="22"/>
  <c r="T81" i="22" s="1"/>
  <c r="S81" i="22" s="1"/>
  <c r="R81" i="22" s="1"/>
  <c r="P81" i="22" s="1"/>
  <c r="V81" i="22" s="1"/>
  <c r="U73" i="22"/>
  <c r="T73" i="22" s="1"/>
  <c r="S73" i="22" s="1"/>
  <c r="R73" i="22" s="1"/>
  <c r="P73" i="22" s="1"/>
  <c r="V73" i="22" s="1"/>
  <c r="U65" i="22"/>
  <c r="T65" i="22" s="1"/>
  <c r="S65" i="22" s="1"/>
  <c r="R65" i="22" s="1"/>
  <c r="P65" i="22" s="1"/>
  <c r="V65" i="22" s="1"/>
  <c r="U57" i="22"/>
  <c r="T57" i="22" s="1"/>
  <c r="S57" i="22" s="1"/>
  <c r="R57" i="22" s="1"/>
  <c r="P57" i="22" s="1"/>
  <c r="V57" i="22" s="1"/>
  <c r="U49" i="22"/>
  <c r="T49" i="22" s="1"/>
  <c r="S49" i="22" s="1"/>
  <c r="R49" i="22" s="1"/>
  <c r="P49" i="22" s="1"/>
  <c r="V49" i="22" s="1"/>
  <c r="U41" i="22"/>
  <c r="T41" i="22" s="1"/>
  <c r="S41" i="22" s="1"/>
  <c r="R41" i="22" s="1"/>
  <c r="P41" i="22" s="1"/>
  <c r="V41" i="22" s="1"/>
  <c r="U33" i="22"/>
  <c r="T33" i="22" s="1"/>
  <c r="S33" i="22" s="1"/>
  <c r="R33" i="22" s="1"/>
  <c r="P33" i="22" s="1"/>
  <c r="V33" i="22" s="1"/>
  <c r="U25" i="22"/>
  <c r="T25" i="22" s="1"/>
  <c r="S25" i="22" s="1"/>
  <c r="R25" i="22" s="1"/>
  <c r="P25" i="22" s="1"/>
  <c r="V25" i="22" s="1"/>
  <c r="U20" i="22"/>
  <c r="T20" i="22" s="1"/>
  <c r="S20" i="22" s="1"/>
  <c r="R20" i="22" s="1"/>
  <c r="P20" i="22" s="1"/>
  <c r="V20" i="22" s="1"/>
  <c r="U61" i="22"/>
  <c r="T61" i="22" s="1"/>
  <c r="S61" i="22" s="1"/>
  <c r="R61" i="22" s="1"/>
  <c r="P61" i="22" s="1"/>
  <c r="V61" i="22" s="1"/>
  <c r="U45" i="22"/>
  <c r="T45" i="22" s="1"/>
  <c r="S45" i="22" s="1"/>
  <c r="R45" i="22" s="1"/>
  <c r="P45" i="22" s="1"/>
  <c r="V45" i="22" s="1"/>
  <c r="U29" i="22"/>
  <c r="T29" i="22" s="1"/>
  <c r="S29" i="22" s="1"/>
  <c r="R29" i="22" s="1"/>
  <c r="P29" i="22" s="1"/>
  <c r="V29" i="22" s="1"/>
  <c r="U293" i="22"/>
  <c r="T293" i="22" s="1"/>
  <c r="S293" i="22" s="1"/>
  <c r="R293" i="22" s="1"/>
  <c r="P293" i="22" s="1"/>
  <c r="V293" i="22" s="1"/>
  <c r="U285" i="22"/>
  <c r="T285" i="22" s="1"/>
  <c r="S285" i="22" s="1"/>
  <c r="R285" i="22" s="1"/>
  <c r="P285" i="22" s="1"/>
  <c r="V285" i="22" s="1"/>
  <c r="U277" i="22"/>
  <c r="T277" i="22" s="1"/>
  <c r="S277" i="22" s="1"/>
  <c r="R277" i="22" s="1"/>
  <c r="P277" i="22" s="1"/>
  <c r="V277" i="22" s="1"/>
  <c r="U269" i="22"/>
  <c r="T269" i="22" s="1"/>
  <c r="S269" i="22" s="1"/>
  <c r="R269" i="22" s="1"/>
  <c r="P269" i="22" s="1"/>
  <c r="V269" i="22" s="1"/>
  <c r="U261" i="22"/>
  <c r="T261" i="22" s="1"/>
  <c r="S261" i="22" s="1"/>
  <c r="R261" i="22" s="1"/>
  <c r="P261" i="22" s="1"/>
  <c r="V261" i="22" s="1"/>
  <c r="U253" i="22"/>
  <c r="T253" i="22" s="1"/>
  <c r="S253" i="22" s="1"/>
  <c r="R253" i="22" s="1"/>
  <c r="P253" i="22" s="1"/>
  <c r="V253" i="22" s="1"/>
  <c r="U245" i="22"/>
  <c r="T245" i="22" s="1"/>
  <c r="S245" i="22" s="1"/>
  <c r="R245" i="22" s="1"/>
  <c r="P245" i="22" s="1"/>
  <c r="V245" i="22" s="1"/>
  <c r="U237" i="22"/>
  <c r="T237" i="22" s="1"/>
  <c r="S237" i="22" s="1"/>
  <c r="R237" i="22" s="1"/>
  <c r="P237" i="22" s="1"/>
  <c r="V237" i="22" s="1"/>
  <c r="U229" i="22"/>
  <c r="T229" i="22" s="1"/>
  <c r="S229" i="22" s="1"/>
  <c r="R229" i="22" s="1"/>
  <c r="P229" i="22" s="1"/>
  <c r="V229" i="22" s="1"/>
  <c r="U221" i="22"/>
  <c r="T221" i="22" s="1"/>
  <c r="S221" i="22" s="1"/>
  <c r="R221" i="22" s="1"/>
  <c r="P221" i="22" s="1"/>
  <c r="V221" i="22" s="1"/>
  <c r="U213" i="22"/>
  <c r="T213" i="22" s="1"/>
  <c r="S213" i="22" s="1"/>
  <c r="R213" i="22" s="1"/>
  <c r="P213" i="22" s="1"/>
  <c r="V213" i="22" s="1"/>
  <c r="U205" i="22"/>
  <c r="T205" i="22" s="1"/>
  <c r="S205" i="22" s="1"/>
  <c r="R205" i="22" s="1"/>
  <c r="P205" i="22" s="1"/>
  <c r="V205" i="22" s="1"/>
  <c r="U197" i="22"/>
  <c r="T197" i="22" s="1"/>
  <c r="S197" i="22" s="1"/>
  <c r="R197" i="22" s="1"/>
  <c r="P197" i="22" s="1"/>
  <c r="V197" i="22" s="1"/>
  <c r="U189" i="22"/>
  <c r="T189" i="22" s="1"/>
  <c r="S189" i="22" s="1"/>
  <c r="R189" i="22" s="1"/>
  <c r="P189" i="22" s="1"/>
  <c r="V189" i="22" s="1"/>
  <c r="U181" i="22"/>
  <c r="T181" i="22" s="1"/>
  <c r="S181" i="22" s="1"/>
  <c r="R181" i="22" s="1"/>
  <c r="P181" i="22" s="1"/>
  <c r="V181" i="22" s="1"/>
  <c r="U173" i="22"/>
  <c r="T173" i="22" s="1"/>
  <c r="S173" i="22" s="1"/>
  <c r="R173" i="22" s="1"/>
  <c r="P173" i="22" s="1"/>
  <c r="V173" i="22" s="1"/>
  <c r="U165" i="22"/>
  <c r="T165" i="22" s="1"/>
  <c r="S165" i="22" s="1"/>
  <c r="R165" i="22" s="1"/>
  <c r="P165" i="22" s="1"/>
  <c r="V165" i="22" s="1"/>
  <c r="U157" i="22"/>
  <c r="T157" i="22" s="1"/>
  <c r="S157" i="22" s="1"/>
  <c r="R157" i="22" s="1"/>
  <c r="P157" i="22" s="1"/>
  <c r="V157" i="22" s="1"/>
  <c r="U149" i="22"/>
  <c r="T149" i="22" s="1"/>
  <c r="S149" i="22" s="1"/>
  <c r="R149" i="22" s="1"/>
  <c r="P149" i="22" s="1"/>
  <c r="V149" i="22" s="1"/>
  <c r="U141" i="22"/>
  <c r="T141" i="22" s="1"/>
  <c r="S141" i="22" s="1"/>
  <c r="R141" i="22" s="1"/>
  <c r="P141" i="22" s="1"/>
  <c r="V141" i="22" s="1"/>
  <c r="U133" i="22"/>
  <c r="T133" i="22" s="1"/>
  <c r="S133" i="22" s="1"/>
  <c r="R133" i="22" s="1"/>
  <c r="P133" i="22" s="1"/>
  <c r="V133" i="22" s="1"/>
  <c r="U125" i="22"/>
  <c r="T125" i="22" s="1"/>
  <c r="S125" i="22" s="1"/>
  <c r="R125" i="22" s="1"/>
  <c r="P125" i="22" s="1"/>
  <c r="V125" i="22" s="1"/>
  <c r="U117" i="22"/>
  <c r="T117" i="22" s="1"/>
  <c r="S117" i="22" s="1"/>
  <c r="R117" i="22" s="1"/>
  <c r="P117" i="22" s="1"/>
  <c r="V117" i="22" s="1"/>
  <c r="U109" i="22"/>
  <c r="T109" i="22" s="1"/>
  <c r="S109" i="22" s="1"/>
  <c r="R109" i="22" s="1"/>
  <c r="P109" i="22" s="1"/>
  <c r="V109" i="22" s="1"/>
  <c r="U101" i="22"/>
  <c r="T101" i="22" s="1"/>
  <c r="S101" i="22" s="1"/>
  <c r="R101" i="22" s="1"/>
  <c r="P101" i="22" s="1"/>
  <c r="V101" i="22" s="1"/>
  <c r="U93" i="22"/>
  <c r="T93" i="22" s="1"/>
  <c r="S93" i="22" s="1"/>
  <c r="R93" i="22" s="1"/>
  <c r="P93" i="22" s="1"/>
  <c r="V93" i="22" s="1"/>
  <c r="U85" i="22"/>
  <c r="T85" i="22" s="1"/>
  <c r="S85" i="22" s="1"/>
  <c r="R85" i="22" s="1"/>
  <c r="P85" i="22" s="1"/>
  <c r="V85" i="22" s="1"/>
  <c r="U77" i="22"/>
  <c r="T77" i="22" s="1"/>
  <c r="S77" i="22" s="1"/>
  <c r="R77" i="22" s="1"/>
  <c r="P77" i="22" s="1"/>
  <c r="V77" i="22" s="1"/>
  <c r="U69" i="22"/>
  <c r="T69" i="22" s="1"/>
  <c r="S69" i="22" s="1"/>
  <c r="R69" i="22" s="1"/>
  <c r="P69" i="22" s="1"/>
  <c r="V69" i="22" s="1"/>
  <c r="U53" i="22"/>
  <c r="T53" i="22" s="1"/>
  <c r="S53" i="22" s="1"/>
  <c r="R53" i="22" s="1"/>
  <c r="P53" i="22" s="1"/>
  <c r="V53" i="22" s="1"/>
  <c r="U37" i="22"/>
  <c r="T37" i="22" s="1"/>
  <c r="S37" i="22" s="1"/>
  <c r="R37" i="22" s="1"/>
  <c r="P37" i="22" s="1"/>
  <c r="V37" i="22" s="1"/>
  <c r="U23" i="22"/>
  <c r="T23" i="22" s="1"/>
  <c r="S23" i="22" s="1"/>
  <c r="R23" i="22" s="1"/>
  <c r="P23" i="22" s="1"/>
  <c r="V23" i="22" s="1"/>
  <c r="C66" i="19"/>
  <c r="AH22" i="7"/>
  <c r="V88" i="20"/>
  <c r="D66" i="19" s="1"/>
  <c r="T381" i="20"/>
  <c r="T382" i="20"/>
  <c r="S15" i="20"/>
  <c r="T383" i="20"/>
  <c r="Z11" i="16"/>
  <c r="Z5" i="16" s="1"/>
  <c r="H13" i="19" s="1"/>
  <c r="J13" i="19"/>
  <c r="Y11" i="16"/>
  <c r="AA11" i="16"/>
  <c r="AA5" i="16" s="1"/>
  <c r="I13" i="19" s="1"/>
  <c r="AJ4" i="16"/>
  <c r="P13" i="19" s="1"/>
  <c r="AL13" i="16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AI244" i="22"/>
  <c r="AH244" i="22" s="1"/>
  <c r="AG244" i="22" s="1"/>
  <c r="AF244" i="22" s="1"/>
  <c r="AD244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AE383" i="23"/>
  <c r="V379" i="18"/>
  <c r="P382" i="18"/>
  <c r="P383" i="18"/>
  <c r="P381" i="18"/>
  <c r="AK4" i="16"/>
  <c r="R13" i="19" s="1"/>
  <c r="N14" i="19" s="1"/>
  <c r="AM13" i="16"/>
  <c r="AG15" i="20"/>
  <c r="AH381" i="20"/>
  <c r="AH382" i="20"/>
  <c r="AH383" i="20"/>
  <c r="AE382" i="23"/>
  <c r="Q381" i="23"/>
  <c r="AH38" i="7"/>
  <c r="AH36" i="7"/>
  <c r="Q10" i="24"/>
  <c r="Q47" i="24" s="1"/>
  <c r="AY15" i="7"/>
  <c r="Q21" i="24"/>
  <c r="AH35" i="7"/>
  <c r="Q382" i="23"/>
  <c r="Q383" i="23"/>
  <c r="AI374" i="22" l="1"/>
  <c r="AH374" i="22" s="1"/>
  <c r="AG374" i="22" s="1"/>
  <c r="AF374" i="22" s="1"/>
  <c r="AD374" i="22" s="1"/>
  <c r="AI366" i="22"/>
  <c r="AH366" i="22" s="1"/>
  <c r="AG366" i="22" s="1"/>
  <c r="AF366" i="22" s="1"/>
  <c r="AD366" i="22" s="1"/>
  <c r="AI358" i="22"/>
  <c r="AH358" i="22" s="1"/>
  <c r="AG358" i="22" s="1"/>
  <c r="AF358" i="22" s="1"/>
  <c r="AD358" i="22" s="1"/>
  <c r="AI350" i="22"/>
  <c r="AH350" i="22" s="1"/>
  <c r="AG350" i="22" s="1"/>
  <c r="AF350" i="22" s="1"/>
  <c r="AD350" i="22" s="1"/>
  <c r="AI342" i="22"/>
  <c r="AH342" i="22" s="1"/>
  <c r="AG342" i="22" s="1"/>
  <c r="AF342" i="22" s="1"/>
  <c r="AD342" i="22" s="1"/>
  <c r="AI334" i="22"/>
  <c r="AH334" i="22" s="1"/>
  <c r="AG334" i="22" s="1"/>
  <c r="AF334" i="22" s="1"/>
  <c r="AD334" i="22" s="1"/>
  <c r="AI326" i="22"/>
  <c r="AH326" i="22" s="1"/>
  <c r="AG326" i="22" s="1"/>
  <c r="AF326" i="22" s="1"/>
  <c r="AD326" i="22" s="1"/>
  <c r="AI318" i="22"/>
  <c r="AH318" i="22" s="1"/>
  <c r="AG318" i="22" s="1"/>
  <c r="AF318" i="22" s="1"/>
  <c r="AD318" i="22" s="1"/>
  <c r="AI310" i="22"/>
  <c r="AH310" i="22" s="1"/>
  <c r="AG310" i="22" s="1"/>
  <c r="AF310" i="22" s="1"/>
  <c r="AD310" i="22" s="1"/>
  <c r="AI302" i="22"/>
  <c r="AH302" i="22" s="1"/>
  <c r="AG302" i="22" s="1"/>
  <c r="AF302" i="22" s="1"/>
  <c r="AD302" i="22" s="1"/>
  <c r="AI294" i="22"/>
  <c r="AH294" i="22" s="1"/>
  <c r="AG294" i="22" s="1"/>
  <c r="AF294" i="22" s="1"/>
  <c r="AD294" i="22" s="1"/>
  <c r="AI286" i="22"/>
  <c r="AH286" i="22" s="1"/>
  <c r="AG286" i="22" s="1"/>
  <c r="AF286" i="22" s="1"/>
  <c r="AD286" i="22" s="1"/>
  <c r="AI278" i="22"/>
  <c r="AH278" i="22" s="1"/>
  <c r="AG278" i="22" s="1"/>
  <c r="AF278" i="22" s="1"/>
  <c r="AD278" i="22" s="1"/>
  <c r="AI270" i="22"/>
  <c r="AH270" i="22" s="1"/>
  <c r="AG270" i="22" s="1"/>
  <c r="AF270" i="22" s="1"/>
  <c r="AD270" i="22" s="1"/>
  <c r="AI262" i="22"/>
  <c r="AH262" i="22" s="1"/>
  <c r="AG262" i="22" s="1"/>
  <c r="AF262" i="22" s="1"/>
  <c r="AD262" i="22" s="1"/>
  <c r="AI254" i="22"/>
  <c r="AH254" i="22" s="1"/>
  <c r="AG254" i="22" s="1"/>
  <c r="AF254" i="22" s="1"/>
  <c r="AD254" i="22" s="1"/>
  <c r="AI246" i="22"/>
  <c r="AH246" i="22" s="1"/>
  <c r="AG246" i="22" s="1"/>
  <c r="AF246" i="22" s="1"/>
  <c r="AD246" i="22" s="1"/>
  <c r="AI238" i="22"/>
  <c r="AH238" i="22" s="1"/>
  <c r="AG238" i="22" s="1"/>
  <c r="AF238" i="22" s="1"/>
  <c r="AD238" i="22" s="1"/>
  <c r="AI230" i="22"/>
  <c r="AH230" i="22" s="1"/>
  <c r="AG230" i="22" s="1"/>
  <c r="AF230" i="22" s="1"/>
  <c r="AD230" i="22" s="1"/>
  <c r="AI222" i="22"/>
  <c r="AH222" i="22" s="1"/>
  <c r="AG222" i="22" s="1"/>
  <c r="AF222" i="22" s="1"/>
  <c r="AD222" i="22" s="1"/>
  <c r="AI214" i="22"/>
  <c r="AH214" i="22" s="1"/>
  <c r="AG214" i="22" s="1"/>
  <c r="AF214" i="22" s="1"/>
  <c r="AD214" i="22" s="1"/>
  <c r="AI206" i="22"/>
  <c r="AH206" i="22" s="1"/>
  <c r="AG206" i="22" s="1"/>
  <c r="AF206" i="22" s="1"/>
  <c r="AD206" i="22" s="1"/>
  <c r="AI198" i="22"/>
  <c r="AH198" i="22" s="1"/>
  <c r="AG198" i="22" s="1"/>
  <c r="AF198" i="22" s="1"/>
  <c r="AD198" i="22" s="1"/>
  <c r="AI190" i="22"/>
  <c r="AH190" i="22" s="1"/>
  <c r="AG190" i="22" s="1"/>
  <c r="AF190" i="22" s="1"/>
  <c r="AD190" i="22" s="1"/>
  <c r="AI182" i="22"/>
  <c r="AH182" i="22" s="1"/>
  <c r="AG182" i="22" s="1"/>
  <c r="AF182" i="22" s="1"/>
  <c r="AD182" i="22" s="1"/>
  <c r="AI174" i="22"/>
  <c r="AH174" i="22" s="1"/>
  <c r="AG174" i="22" s="1"/>
  <c r="AF174" i="22" s="1"/>
  <c r="AD174" i="22" s="1"/>
  <c r="AI166" i="22"/>
  <c r="AH166" i="22" s="1"/>
  <c r="AG166" i="22" s="1"/>
  <c r="AF166" i="22" s="1"/>
  <c r="AD166" i="22" s="1"/>
  <c r="AI158" i="22"/>
  <c r="AH158" i="22" s="1"/>
  <c r="AG158" i="22" s="1"/>
  <c r="AF158" i="22" s="1"/>
  <c r="AD158" i="22" s="1"/>
  <c r="AI150" i="22"/>
  <c r="AH150" i="22" s="1"/>
  <c r="AG150" i="22" s="1"/>
  <c r="AF150" i="22" s="1"/>
  <c r="AD150" i="22" s="1"/>
  <c r="AI142" i="22"/>
  <c r="AH142" i="22" s="1"/>
  <c r="AG142" i="22" s="1"/>
  <c r="AF142" i="22" s="1"/>
  <c r="AD142" i="22" s="1"/>
  <c r="AI134" i="22"/>
  <c r="AH134" i="22" s="1"/>
  <c r="AG134" i="22" s="1"/>
  <c r="AF134" i="22" s="1"/>
  <c r="AD134" i="22" s="1"/>
  <c r="AI126" i="22"/>
  <c r="AH126" i="22" s="1"/>
  <c r="AG126" i="22" s="1"/>
  <c r="AF126" i="22" s="1"/>
  <c r="AD126" i="22" s="1"/>
  <c r="AI118" i="22"/>
  <c r="AH118" i="22" s="1"/>
  <c r="AG118" i="22" s="1"/>
  <c r="AF118" i="22" s="1"/>
  <c r="AD118" i="22" s="1"/>
  <c r="AI110" i="22"/>
  <c r="AH110" i="22" s="1"/>
  <c r="AG110" i="22" s="1"/>
  <c r="AF110" i="22" s="1"/>
  <c r="AD110" i="22" s="1"/>
  <c r="AI377" i="22"/>
  <c r="AH377" i="22" s="1"/>
  <c r="AG377" i="22" s="1"/>
  <c r="AF377" i="22" s="1"/>
  <c r="AD377" i="22" s="1"/>
  <c r="AI369" i="22"/>
  <c r="AH369" i="22" s="1"/>
  <c r="AG369" i="22" s="1"/>
  <c r="AF369" i="22" s="1"/>
  <c r="AD369" i="22" s="1"/>
  <c r="AI361" i="22"/>
  <c r="AH361" i="22" s="1"/>
  <c r="AG361" i="22" s="1"/>
  <c r="AF361" i="22" s="1"/>
  <c r="AD361" i="22" s="1"/>
  <c r="AI353" i="22"/>
  <c r="AH353" i="22" s="1"/>
  <c r="AG353" i="22" s="1"/>
  <c r="AF353" i="22" s="1"/>
  <c r="AD353" i="22" s="1"/>
  <c r="AI345" i="22"/>
  <c r="AH345" i="22" s="1"/>
  <c r="AG345" i="22" s="1"/>
  <c r="AF345" i="22" s="1"/>
  <c r="AD345" i="22" s="1"/>
  <c r="AI337" i="22"/>
  <c r="AH337" i="22" s="1"/>
  <c r="AG337" i="22" s="1"/>
  <c r="AF337" i="22" s="1"/>
  <c r="AD337" i="22" s="1"/>
  <c r="AI329" i="22"/>
  <c r="AH329" i="22" s="1"/>
  <c r="AG329" i="22" s="1"/>
  <c r="AF329" i="22" s="1"/>
  <c r="AD329" i="22" s="1"/>
  <c r="AI321" i="22"/>
  <c r="AH321" i="22" s="1"/>
  <c r="AG321" i="22" s="1"/>
  <c r="AF321" i="22" s="1"/>
  <c r="AD321" i="22" s="1"/>
  <c r="AI313" i="22"/>
  <c r="AH313" i="22" s="1"/>
  <c r="AG313" i="22" s="1"/>
  <c r="AF313" i="22" s="1"/>
  <c r="AD313" i="22" s="1"/>
  <c r="AI305" i="22"/>
  <c r="AH305" i="22" s="1"/>
  <c r="AG305" i="22" s="1"/>
  <c r="AF305" i="22" s="1"/>
  <c r="AD305" i="22" s="1"/>
  <c r="AI297" i="22"/>
  <c r="AH297" i="22" s="1"/>
  <c r="AG297" i="22" s="1"/>
  <c r="AF297" i="22" s="1"/>
  <c r="AD297" i="22" s="1"/>
  <c r="AI289" i="22"/>
  <c r="AH289" i="22" s="1"/>
  <c r="AG289" i="22" s="1"/>
  <c r="AF289" i="22" s="1"/>
  <c r="AD289" i="22" s="1"/>
  <c r="AI281" i="22"/>
  <c r="AH281" i="22" s="1"/>
  <c r="AG281" i="22" s="1"/>
  <c r="AF281" i="22" s="1"/>
  <c r="AD281" i="22" s="1"/>
  <c r="AI273" i="22"/>
  <c r="AH273" i="22" s="1"/>
  <c r="AG273" i="22" s="1"/>
  <c r="AF273" i="22" s="1"/>
  <c r="AD273" i="22" s="1"/>
  <c r="AI265" i="22"/>
  <c r="AH265" i="22" s="1"/>
  <c r="AG265" i="22" s="1"/>
  <c r="AF265" i="22" s="1"/>
  <c r="AD265" i="22" s="1"/>
  <c r="AI257" i="22"/>
  <c r="AH257" i="22" s="1"/>
  <c r="AG257" i="22" s="1"/>
  <c r="AF257" i="22" s="1"/>
  <c r="AD257" i="22" s="1"/>
  <c r="AI249" i="22"/>
  <c r="AH249" i="22" s="1"/>
  <c r="AG249" i="22" s="1"/>
  <c r="AF249" i="22" s="1"/>
  <c r="AD249" i="22" s="1"/>
  <c r="AI241" i="22"/>
  <c r="AH241" i="22" s="1"/>
  <c r="AG241" i="22" s="1"/>
  <c r="AF241" i="22" s="1"/>
  <c r="AD241" i="22" s="1"/>
  <c r="AI233" i="22"/>
  <c r="AH233" i="22" s="1"/>
  <c r="AG233" i="22" s="1"/>
  <c r="AF233" i="22" s="1"/>
  <c r="AD233" i="22" s="1"/>
  <c r="AI225" i="22"/>
  <c r="AH225" i="22" s="1"/>
  <c r="AG225" i="22" s="1"/>
  <c r="AF225" i="22" s="1"/>
  <c r="AD225" i="22" s="1"/>
  <c r="AI217" i="22"/>
  <c r="AH217" i="22" s="1"/>
  <c r="AG217" i="22" s="1"/>
  <c r="AF217" i="22" s="1"/>
  <c r="AD217" i="22" s="1"/>
  <c r="AI209" i="22"/>
  <c r="AH209" i="22" s="1"/>
  <c r="AG209" i="22" s="1"/>
  <c r="AF209" i="22" s="1"/>
  <c r="AD209" i="22" s="1"/>
  <c r="AI201" i="22"/>
  <c r="AH201" i="22" s="1"/>
  <c r="AG201" i="22" s="1"/>
  <c r="AF201" i="22" s="1"/>
  <c r="AD201" i="22" s="1"/>
  <c r="AI193" i="22"/>
  <c r="AH193" i="22" s="1"/>
  <c r="AG193" i="22" s="1"/>
  <c r="AF193" i="22" s="1"/>
  <c r="AD193" i="22" s="1"/>
  <c r="AI185" i="22"/>
  <c r="AH185" i="22" s="1"/>
  <c r="AG185" i="22" s="1"/>
  <c r="AF185" i="22" s="1"/>
  <c r="AD185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3" i="22"/>
  <c r="AH153" i="22" s="1"/>
  <c r="AG153" i="22" s="1"/>
  <c r="AF153" i="22" s="1"/>
  <c r="AD153" i="22" s="1"/>
  <c r="AI145" i="22"/>
  <c r="AH145" i="22" s="1"/>
  <c r="AG145" i="22" s="1"/>
  <c r="AF145" i="22" s="1"/>
  <c r="AD145" i="22" s="1"/>
  <c r="AI137" i="22"/>
  <c r="AH137" i="22" s="1"/>
  <c r="AG137" i="22" s="1"/>
  <c r="AF137" i="22" s="1"/>
  <c r="AD137" i="22" s="1"/>
  <c r="AI129" i="22"/>
  <c r="AH129" i="22" s="1"/>
  <c r="AG129" i="22" s="1"/>
  <c r="AF129" i="22" s="1"/>
  <c r="AD129" i="22" s="1"/>
  <c r="AI121" i="22"/>
  <c r="AH121" i="22" s="1"/>
  <c r="AG121" i="22" s="1"/>
  <c r="AF121" i="22" s="1"/>
  <c r="AD121" i="22" s="1"/>
  <c r="AI113" i="22"/>
  <c r="AH113" i="22" s="1"/>
  <c r="AG113" i="22" s="1"/>
  <c r="AF113" i="22" s="1"/>
  <c r="AD113" i="22" s="1"/>
  <c r="AI105" i="22"/>
  <c r="AH105" i="22" s="1"/>
  <c r="AG105" i="22" s="1"/>
  <c r="AF105" i="22" s="1"/>
  <c r="AD105" i="22" s="1"/>
  <c r="AI372" i="22"/>
  <c r="AH372" i="22" s="1"/>
  <c r="AG372" i="22" s="1"/>
  <c r="AF372" i="22" s="1"/>
  <c r="AD372" i="22" s="1"/>
  <c r="AI364" i="22"/>
  <c r="AH364" i="22" s="1"/>
  <c r="AG364" i="22" s="1"/>
  <c r="AF364" i="22" s="1"/>
  <c r="AD364" i="22" s="1"/>
  <c r="AI356" i="22"/>
  <c r="AH356" i="22" s="1"/>
  <c r="AG356" i="22" s="1"/>
  <c r="AF356" i="22" s="1"/>
  <c r="AD356" i="22" s="1"/>
  <c r="AI348" i="22"/>
  <c r="AH348" i="22" s="1"/>
  <c r="AG348" i="22" s="1"/>
  <c r="AF348" i="22" s="1"/>
  <c r="AD348" i="22" s="1"/>
  <c r="AI340" i="22"/>
  <c r="AH340" i="22" s="1"/>
  <c r="AG340" i="22" s="1"/>
  <c r="AF340" i="22" s="1"/>
  <c r="AD340" i="22" s="1"/>
  <c r="AI332" i="22"/>
  <c r="AH332" i="22" s="1"/>
  <c r="AG332" i="22" s="1"/>
  <c r="AF332" i="22" s="1"/>
  <c r="AD332" i="22" s="1"/>
  <c r="AI324" i="22"/>
  <c r="AH324" i="22" s="1"/>
  <c r="AG324" i="22" s="1"/>
  <c r="AF324" i="22" s="1"/>
  <c r="AD324" i="22" s="1"/>
  <c r="AI316" i="22"/>
  <c r="AH316" i="22" s="1"/>
  <c r="AG316" i="22" s="1"/>
  <c r="AF316" i="22" s="1"/>
  <c r="AD316" i="22" s="1"/>
  <c r="AI308" i="22"/>
  <c r="AH308" i="22" s="1"/>
  <c r="AG308" i="22" s="1"/>
  <c r="AF308" i="22" s="1"/>
  <c r="AD308" i="22" s="1"/>
  <c r="AI300" i="22"/>
  <c r="AH300" i="22" s="1"/>
  <c r="AG300" i="22" s="1"/>
  <c r="AF300" i="22" s="1"/>
  <c r="AD300" i="22" s="1"/>
  <c r="AI292" i="22"/>
  <c r="AH292" i="22" s="1"/>
  <c r="AG292" i="22" s="1"/>
  <c r="AF292" i="22" s="1"/>
  <c r="AD292" i="22" s="1"/>
  <c r="AI284" i="22"/>
  <c r="AH284" i="22" s="1"/>
  <c r="AG284" i="22" s="1"/>
  <c r="AF284" i="22" s="1"/>
  <c r="AD284" i="22" s="1"/>
  <c r="AI276" i="22"/>
  <c r="AH276" i="22" s="1"/>
  <c r="AG276" i="22" s="1"/>
  <c r="AF276" i="22" s="1"/>
  <c r="AD276" i="22" s="1"/>
  <c r="AI268" i="22"/>
  <c r="AH268" i="22" s="1"/>
  <c r="AG268" i="22" s="1"/>
  <c r="AF268" i="22" s="1"/>
  <c r="AD268" i="22" s="1"/>
  <c r="AI260" i="22"/>
  <c r="AH260" i="22" s="1"/>
  <c r="AG260" i="22" s="1"/>
  <c r="AF260" i="22" s="1"/>
  <c r="AD260" i="22" s="1"/>
  <c r="AI252" i="22"/>
  <c r="AH252" i="22" s="1"/>
  <c r="AG252" i="22" s="1"/>
  <c r="AF252" i="22" s="1"/>
  <c r="AD252" i="22" s="1"/>
  <c r="AI378" i="22"/>
  <c r="AH378" i="22" s="1"/>
  <c r="AG378" i="22" s="1"/>
  <c r="AF378" i="22" s="1"/>
  <c r="AD378" i="22" s="1"/>
  <c r="AI370" i="22"/>
  <c r="AH370" i="22" s="1"/>
  <c r="AG370" i="22" s="1"/>
  <c r="AF370" i="22" s="1"/>
  <c r="AD370" i="22" s="1"/>
  <c r="AI362" i="22"/>
  <c r="AH362" i="22" s="1"/>
  <c r="AG362" i="22" s="1"/>
  <c r="AF362" i="22" s="1"/>
  <c r="AD362" i="22" s="1"/>
  <c r="AI354" i="22"/>
  <c r="AH354" i="22" s="1"/>
  <c r="AG354" i="22" s="1"/>
  <c r="AF354" i="22" s="1"/>
  <c r="AD354" i="22" s="1"/>
  <c r="AI346" i="22"/>
  <c r="AH346" i="22" s="1"/>
  <c r="AG346" i="22" s="1"/>
  <c r="AF346" i="22" s="1"/>
  <c r="AD346" i="22" s="1"/>
  <c r="AI338" i="22"/>
  <c r="AH338" i="22" s="1"/>
  <c r="AG338" i="22" s="1"/>
  <c r="AF338" i="22" s="1"/>
  <c r="AD338" i="22" s="1"/>
  <c r="AI330" i="22"/>
  <c r="AH330" i="22" s="1"/>
  <c r="AG330" i="22" s="1"/>
  <c r="AF330" i="22" s="1"/>
  <c r="AD330" i="22" s="1"/>
  <c r="AI322" i="22"/>
  <c r="AH322" i="22" s="1"/>
  <c r="AG322" i="22" s="1"/>
  <c r="AF322" i="22" s="1"/>
  <c r="AD322" i="22" s="1"/>
  <c r="AI314" i="22"/>
  <c r="AH314" i="22" s="1"/>
  <c r="AG314" i="22" s="1"/>
  <c r="AF314" i="22" s="1"/>
  <c r="AD314" i="22" s="1"/>
  <c r="AI306" i="22"/>
  <c r="AH306" i="22" s="1"/>
  <c r="AG306" i="22" s="1"/>
  <c r="AF306" i="22" s="1"/>
  <c r="AD306" i="22" s="1"/>
  <c r="AI298" i="22"/>
  <c r="AH298" i="22" s="1"/>
  <c r="AG298" i="22" s="1"/>
  <c r="AF298" i="22" s="1"/>
  <c r="AD298" i="22" s="1"/>
  <c r="AI290" i="22"/>
  <c r="AH290" i="22" s="1"/>
  <c r="AG290" i="22" s="1"/>
  <c r="AF290" i="22" s="1"/>
  <c r="AD290" i="22" s="1"/>
  <c r="AI282" i="22"/>
  <c r="AH282" i="22" s="1"/>
  <c r="AG282" i="22" s="1"/>
  <c r="AF282" i="22" s="1"/>
  <c r="AD282" i="22" s="1"/>
  <c r="AI274" i="22"/>
  <c r="AH274" i="22" s="1"/>
  <c r="AG274" i="22" s="1"/>
  <c r="AF274" i="22" s="1"/>
  <c r="AD274" i="22" s="1"/>
  <c r="AI266" i="22"/>
  <c r="AH266" i="22" s="1"/>
  <c r="AG266" i="22" s="1"/>
  <c r="AF266" i="22" s="1"/>
  <c r="AD266" i="22" s="1"/>
  <c r="AI258" i="22"/>
  <c r="AH258" i="22" s="1"/>
  <c r="AG258" i="22" s="1"/>
  <c r="AF258" i="22" s="1"/>
  <c r="AD258" i="22" s="1"/>
  <c r="AI250" i="22"/>
  <c r="AH250" i="22" s="1"/>
  <c r="AG250" i="22" s="1"/>
  <c r="AF250" i="22" s="1"/>
  <c r="AD250" i="22" s="1"/>
  <c r="AI242" i="22"/>
  <c r="AH242" i="22" s="1"/>
  <c r="AG242" i="22" s="1"/>
  <c r="AF242" i="22" s="1"/>
  <c r="AD242" i="22" s="1"/>
  <c r="AI234" i="22"/>
  <c r="AH234" i="22" s="1"/>
  <c r="AG234" i="22" s="1"/>
  <c r="AF234" i="22" s="1"/>
  <c r="AD234" i="22" s="1"/>
  <c r="AI226" i="22"/>
  <c r="AH226" i="22" s="1"/>
  <c r="AG226" i="22" s="1"/>
  <c r="AF226" i="22" s="1"/>
  <c r="AD226" i="22" s="1"/>
  <c r="AI218" i="22"/>
  <c r="AH218" i="22" s="1"/>
  <c r="AG218" i="22" s="1"/>
  <c r="AF218" i="22" s="1"/>
  <c r="AD218" i="22" s="1"/>
  <c r="AI210" i="22"/>
  <c r="AH210" i="22" s="1"/>
  <c r="AG210" i="22" s="1"/>
  <c r="AF210" i="22" s="1"/>
  <c r="AD210" i="22" s="1"/>
  <c r="AI202" i="22"/>
  <c r="AH202" i="22" s="1"/>
  <c r="AG202" i="22" s="1"/>
  <c r="AF202" i="22" s="1"/>
  <c r="AD202" i="22" s="1"/>
  <c r="AI194" i="22"/>
  <c r="AH194" i="22" s="1"/>
  <c r="AG194" i="22" s="1"/>
  <c r="AF194" i="22" s="1"/>
  <c r="AD194" i="22" s="1"/>
  <c r="AI186" i="22"/>
  <c r="AH186" i="22" s="1"/>
  <c r="AG186" i="22" s="1"/>
  <c r="AF186" i="22" s="1"/>
  <c r="AD186" i="22" s="1"/>
  <c r="AI178" i="22"/>
  <c r="AH178" i="22" s="1"/>
  <c r="AG178" i="22" s="1"/>
  <c r="AF178" i="22" s="1"/>
  <c r="AD178" i="22" s="1"/>
  <c r="AI170" i="22"/>
  <c r="AH170" i="22" s="1"/>
  <c r="AG170" i="22" s="1"/>
  <c r="AF170" i="22" s="1"/>
  <c r="AD170" i="22" s="1"/>
  <c r="AI162" i="22"/>
  <c r="AH162" i="22" s="1"/>
  <c r="AG162" i="22" s="1"/>
  <c r="AF162" i="22" s="1"/>
  <c r="AD162" i="22" s="1"/>
  <c r="AI154" i="22"/>
  <c r="AH154" i="22" s="1"/>
  <c r="AG154" i="22" s="1"/>
  <c r="AF154" i="22" s="1"/>
  <c r="AD154" i="22" s="1"/>
  <c r="AI146" i="22"/>
  <c r="AH146" i="22" s="1"/>
  <c r="AG146" i="22" s="1"/>
  <c r="AF146" i="22" s="1"/>
  <c r="AD146" i="22" s="1"/>
  <c r="AI138" i="22"/>
  <c r="AH138" i="22" s="1"/>
  <c r="AG138" i="22" s="1"/>
  <c r="AF138" i="22" s="1"/>
  <c r="AD138" i="22" s="1"/>
  <c r="AI130" i="22"/>
  <c r="AH130" i="22" s="1"/>
  <c r="AG130" i="22" s="1"/>
  <c r="AF130" i="22" s="1"/>
  <c r="AD130" i="22" s="1"/>
  <c r="AI122" i="22"/>
  <c r="AH122" i="22" s="1"/>
  <c r="AG122" i="22" s="1"/>
  <c r="AF122" i="22" s="1"/>
  <c r="AD122" i="22" s="1"/>
  <c r="AI114" i="22"/>
  <c r="AH114" i="22" s="1"/>
  <c r="AG114" i="22" s="1"/>
  <c r="AF114" i="22" s="1"/>
  <c r="AD114" i="22" s="1"/>
  <c r="AI106" i="22"/>
  <c r="AH106" i="22" s="1"/>
  <c r="AG106" i="22" s="1"/>
  <c r="AF106" i="22" s="1"/>
  <c r="AD106" i="22" s="1"/>
  <c r="AI373" i="22"/>
  <c r="AH373" i="22" s="1"/>
  <c r="AG373" i="22" s="1"/>
  <c r="AF373" i="22" s="1"/>
  <c r="AD373" i="22" s="1"/>
  <c r="AI365" i="22"/>
  <c r="AH365" i="22" s="1"/>
  <c r="AG365" i="22" s="1"/>
  <c r="AF365" i="22" s="1"/>
  <c r="AD365" i="22" s="1"/>
  <c r="AI357" i="22"/>
  <c r="AH357" i="22" s="1"/>
  <c r="AG357" i="22" s="1"/>
  <c r="AF357" i="22" s="1"/>
  <c r="AD357" i="22" s="1"/>
  <c r="AI349" i="22"/>
  <c r="AH349" i="22" s="1"/>
  <c r="AG349" i="22" s="1"/>
  <c r="AF349" i="22" s="1"/>
  <c r="AD349" i="22" s="1"/>
  <c r="AI341" i="22"/>
  <c r="AH341" i="22" s="1"/>
  <c r="AG341" i="22" s="1"/>
  <c r="AF341" i="22" s="1"/>
  <c r="AD341" i="22" s="1"/>
  <c r="AI333" i="22"/>
  <c r="AH333" i="22" s="1"/>
  <c r="AG333" i="22" s="1"/>
  <c r="AF333" i="22" s="1"/>
  <c r="AD333" i="22" s="1"/>
  <c r="AI325" i="22"/>
  <c r="AH325" i="22" s="1"/>
  <c r="AG325" i="22" s="1"/>
  <c r="AF325" i="22" s="1"/>
  <c r="AD325" i="22" s="1"/>
  <c r="AI317" i="22"/>
  <c r="AH317" i="22" s="1"/>
  <c r="AG317" i="22" s="1"/>
  <c r="AF317" i="22" s="1"/>
  <c r="AD317" i="22" s="1"/>
  <c r="AI309" i="22"/>
  <c r="AH309" i="22" s="1"/>
  <c r="AG309" i="22" s="1"/>
  <c r="AF309" i="22" s="1"/>
  <c r="AD309" i="22" s="1"/>
  <c r="AI301" i="22"/>
  <c r="AH301" i="22" s="1"/>
  <c r="AG301" i="22" s="1"/>
  <c r="AF301" i="22" s="1"/>
  <c r="AD301" i="22" s="1"/>
  <c r="AI293" i="22"/>
  <c r="AH293" i="22" s="1"/>
  <c r="AG293" i="22" s="1"/>
  <c r="AF293" i="22" s="1"/>
  <c r="AD293" i="22" s="1"/>
  <c r="AI285" i="22"/>
  <c r="AH285" i="22" s="1"/>
  <c r="AG285" i="22" s="1"/>
  <c r="AF285" i="22" s="1"/>
  <c r="AD285" i="22" s="1"/>
  <c r="AI277" i="22"/>
  <c r="AH277" i="22" s="1"/>
  <c r="AG277" i="22" s="1"/>
  <c r="AF277" i="22" s="1"/>
  <c r="AD277" i="22" s="1"/>
  <c r="AI269" i="22"/>
  <c r="AH269" i="22" s="1"/>
  <c r="AG269" i="22" s="1"/>
  <c r="AF269" i="22" s="1"/>
  <c r="AD269" i="22" s="1"/>
  <c r="AI261" i="22"/>
  <c r="AH261" i="22" s="1"/>
  <c r="AG261" i="22" s="1"/>
  <c r="AF261" i="22" s="1"/>
  <c r="AD261" i="22" s="1"/>
  <c r="AI253" i="22"/>
  <c r="AH253" i="22" s="1"/>
  <c r="AG253" i="22" s="1"/>
  <c r="AF253" i="22" s="1"/>
  <c r="AD253" i="22" s="1"/>
  <c r="AI245" i="22"/>
  <c r="AH245" i="22" s="1"/>
  <c r="AG245" i="22" s="1"/>
  <c r="AF245" i="22" s="1"/>
  <c r="AD245" i="22" s="1"/>
  <c r="AI237" i="22"/>
  <c r="AH237" i="22" s="1"/>
  <c r="AG237" i="22" s="1"/>
  <c r="AF237" i="22" s="1"/>
  <c r="AD237" i="22" s="1"/>
  <c r="AI229" i="22"/>
  <c r="AH229" i="22" s="1"/>
  <c r="AG229" i="22" s="1"/>
  <c r="AF229" i="22" s="1"/>
  <c r="AD229" i="22" s="1"/>
  <c r="AI221" i="22"/>
  <c r="AH221" i="22" s="1"/>
  <c r="AG221" i="22" s="1"/>
  <c r="AF221" i="22" s="1"/>
  <c r="AD221" i="22" s="1"/>
  <c r="AI213" i="22"/>
  <c r="AH213" i="22" s="1"/>
  <c r="AG213" i="22" s="1"/>
  <c r="AF213" i="22" s="1"/>
  <c r="AD213" i="22" s="1"/>
  <c r="AI205" i="22"/>
  <c r="AH205" i="22" s="1"/>
  <c r="AG205" i="22" s="1"/>
  <c r="AF205" i="22" s="1"/>
  <c r="AD205" i="22" s="1"/>
  <c r="AI197" i="22"/>
  <c r="AH197" i="22" s="1"/>
  <c r="AG197" i="22" s="1"/>
  <c r="AF197" i="22" s="1"/>
  <c r="AD197" i="22" s="1"/>
  <c r="AI189" i="22"/>
  <c r="AH189" i="22" s="1"/>
  <c r="AG189" i="22" s="1"/>
  <c r="AF189" i="22" s="1"/>
  <c r="AD189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7" i="22"/>
  <c r="AH157" i="22" s="1"/>
  <c r="AG157" i="22" s="1"/>
  <c r="AF157" i="22" s="1"/>
  <c r="AD157" i="22" s="1"/>
  <c r="AI149" i="22"/>
  <c r="AH149" i="22" s="1"/>
  <c r="AG149" i="22" s="1"/>
  <c r="AF149" i="22" s="1"/>
  <c r="AD149" i="22" s="1"/>
  <c r="AI141" i="22"/>
  <c r="AH141" i="22" s="1"/>
  <c r="AG141" i="22" s="1"/>
  <c r="AF141" i="22" s="1"/>
  <c r="AD141" i="22" s="1"/>
  <c r="AI133" i="22"/>
  <c r="AH133" i="22" s="1"/>
  <c r="AG133" i="22" s="1"/>
  <c r="AF133" i="22" s="1"/>
  <c r="AD133" i="22" s="1"/>
  <c r="AI125" i="22"/>
  <c r="AH125" i="22" s="1"/>
  <c r="AG125" i="22" s="1"/>
  <c r="AF125" i="22" s="1"/>
  <c r="AD125" i="22" s="1"/>
  <c r="AI117" i="22"/>
  <c r="AH117" i="22" s="1"/>
  <c r="AG117" i="22" s="1"/>
  <c r="AF117" i="22" s="1"/>
  <c r="AD117" i="22" s="1"/>
  <c r="AI109" i="22"/>
  <c r="AH109" i="22" s="1"/>
  <c r="AG109" i="22" s="1"/>
  <c r="AF109" i="22" s="1"/>
  <c r="AD109" i="22" s="1"/>
  <c r="AI376" i="22"/>
  <c r="AH376" i="22" s="1"/>
  <c r="AG376" i="22" s="1"/>
  <c r="AF376" i="22" s="1"/>
  <c r="AD376" i="22" s="1"/>
  <c r="AI368" i="22"/>
  <c r="AH368" i="22" s="1"/>
  <c r="AG368" i="22" s="1"/>
  <c r="AF368" i="22" s="1"/>
  <c r="AD368" i="22" s="1"/>
  <c r="AI360" i="22"/>
  <c r="AH360" i="22" s="1"/>
  <c r="AG360" i="22" s="1"/>
  <c r="AF360" i="22" s="1"/>
  <c r="AD360" i="22" s="1"/>
  <c r="AI352" i="22"/>
  <c r="AH352" i="22" s="1"/>
  <c r="AG352" i="22" s="1"/>
  <c r="AF352" i="22" s="1"/>
  <c r="AD352" i="22" s="1"/>
  <c r="AI344" i="22"/>
  <c r="AH344" i="22" s="1"/>
  <c r="AG344" i="22" s="1"/>
  <c r="AF344" i="22" s="1"/>
  <c r="AD344" i="22" s="1"/>
  <c r="AI336" i="22"/>
  <c r="AH336" i="22" s="1"/>
  <c r="AG336" i="22" s="1"/>
  <c r="AF336" i="22" s="1"/>
  <c r="AD336" i="22" s="1"/>
  <c r="AI328" i="22"/>
  <c r="AH328" i="22" s="1"/>
  <c r="AG328" i="22" s="1"/>
  <c r="AF328" i="22" s="1"/>
  <c r="AD328" i="22" s="1"/>
  <c r="AI320" i="22"/>
  <c r="AH320" i="22" s="1"/>
  <c r="AG320" i="22" s="1"/>
  <c r="AF320" i="22" s="1"/>
  <c r="AD320" i="22" s="1"/>
  <c r="AI312" i="22"/>
  <c r="AH312" i="22" s="1"/>
  <c r="AG312" i="22" s="1"/>
  <c r="AF312" i="22" s="1"/>
  <c r="AD312" i="22" s="1"/>
  <c r="AI304" i="22"/>
  <c r="AH304" i="22" s="1"/>
  <c r="AG304" i="22" s="1"/>
  <c r="AF304" i="22" s="1"/>
  <c r="AD304" i="22" s="1"/>
  <c r="AI296" i="22"/>
  <c r="AH296" i="22" s="1"/>
  <c r="AG296" i="22" s="1"/>
  <c r="AF296" i="22" s="1"/>
  <c r="AD296" i="22" s="1"/>
  <c r="AI288" i="22"/>
  <c r="AH288" i="22" s="1"/>
  <c r="AG288" i="22" s="1"/>
  <c r="AF288" i="22" s="1"/>
  <c r="AD288" i="22" s="1"/>
  <c r="AI280" i="22"/>
  <c r="AH280" i="22" s="1"/>
  <c r="AG280" i="22" s="1"/>
  <c r="AF280" i="22" s="1"/>
  <c r="AD280" i="22" s="1"/>
  <c r="AI272" i="22"/>
  <c r="AH272" i="22" s="1"/>
  <c r="AG272" i="22" s="1"/>
  <c r="AF272" i="22" s="1"/>
  <c r="AD272" i="22" s="1"/>
  <c r="AI264" i="22"/>
  <c r="AH264" i="22" s="1"/>
  <c r="AG264" i="22" s="1"/>
  <c r="AF264" i="22" s="1"/>
  <c r="AD264" i="22" s="1"/>
  <c r="AI256" i="22"/>
  <c r="AH256" i="22" s="1"/>
  <c r="AG256" i="22" s="1"/>
  <c r="AF256" i="22" s="1"/>
  <c r="AD256" i="22" s="1"/>
  <c r="AI248" i="22"/>
  <c r="AH248" i="22" s="1"/>
  <c r="AG248" i="22" s="1"/>
  <c r="AF248" i="22" s="1"/>
  <c r="AD248" i="22" s="1"/>
  <c r="AI240" i="22"/>
  <c r="AH240" i="22" s="1"/>
  <c r="AG240" i="22" s="1"/>
  <c r="AF240" i="22" s="1"/>
  <c r="AD240" i="22" s="1"/>
  <c r="I37" i="19"/>
  <c r="H37" i="19"/>
  <c r="Q357" i="24"/>
  <c r="AH32" i="7"/>
  <c r="Q293" i="24"/>
  <c r="AD381" i="18"/>
  <c r="AD383" i="18"/>
  <c r="AD382" i="18"/>
  <c r="Q325" i="24"/>
  <c r="Q261" i="24"/>
  <c r="Q373" i="24"/>
  <c r="Q341" i="24"/>
  <c r="Q309" i="24"/>
  <c r="Q277" i="24"/>
  <c r="Q245" i="24"/>
  <c r="AE11" i="24"/>
  <c r="Q365" i="24"/>
  <c r="Q349" i="24"/>
  <c r="Q333" i="24"/>
  <c r="Q317" i="24"/>
  <c r="Q301" i="24"/>
  <c r="Q285" i="24"/>
  <c r="Q269" i="24"/>
  <c r="Q253" i="24"/>
  <c r="Q208" i="24"/>
  <c r="Q377" i="24"/>
  <c r="Q369" i="24"/>
  <c r="Q361" i="24"/>
  <c r="Q353" i="24"/>
  <c r="Q345" i="24"/>
  <c r="Q337" i="24"/>
  <c r="Q329" i="24"/>
  <c r="Q321" i="24"/>
  <c r="Q313" i="24"/>
  <c r="Q305" i="24"/>
  <c r="Q297" i="24"/>
  <c r="Q289" i="24"/>
  <c r="Q281" i="24"/>
  <c r="Q273" i="24"/>
  <c r="Q265" i="24"/>
  <c r="Q257" i="24"/>
  <c r="Q249" i="24"/>
  <c r="Q232" i="24"/>
  <c r="Q144" i="24"/>
  <c r="Q379" i="24"/>
  <c r="Q12" i="25" s="1"/>
  <c r="Q375" i="24"/>
  <c r="Q371" i="24"/>
  <c r="Q367" i="24"/>
  <c r="Q363" i="24"/>
  <c r="Q359" i="24"/>
  <c r="Q355" i="24"/>
  <c r="Q351" i="24"/>
  <c r="Q347" i="24"/>
  <c r="Q343" i="24"/>
  <c r="Q339" i="24"/>
  <c r="Q335" i="24"/>
  <c r="Q331" i="24"/>
  <c r="Q327" i="24"/>
  <c r="Q323" i="24"/>
  <c r="Q319" i="24"/>
  <c r="Q315" i="24"/>
  <c r="Q311" i="24"/>
  <c r="Q307" i="24"/>
  <c r="Q303" i="24"/>
  <c r="Q299" i="24"/>
  <c r="Q295" i="24"/>
  <c r="Q291" i="24"/>
  <c r="Q287" i="24"/>
  <c r="Q283" i="24"/>
  <c r="Q279" i="24"/>
  <c r="Q275" i="24"/>
  <c r="Q271" i="24"/>
  <c r="Q267" i="24"/>
  <c r="Q263" i="24"/>
  <c r="Q259" i="24"/>
  <c r="Q255" i="24"/>
  <c r="Q251" i="24"/>
  <c r="Q247" i="24"/>
  <c r="Q240" i="24"/>
  <c r="Q224" i="24"/>
  <c r="Q176" i="24"/>
  <c r="Q112" i="24"/>
  <c r="V363" i="22"/>
  <c r="AH43" i="7"/>
  <c r="AN16" i="7"/>
  <c r="AT11" i="7" s="1"/>
  <c r="U11" i="23" s="1"/>
  <c r="U12" i="23"/>
  <c r="T379" i="22"/>
  <c r="S379" i="22" s="1"/>
  <c r="R379" i="22" s="1"/>
  <c r="P379" i="22" s="1"/>
  <c r="V88" i="22"/>
  <c r="D67" i="19" s="1"/>
  <c r="AH34" i="7"/>
  <c r="V272" i="22"/>
  <c r="J67" i="19" s="1"/>
  <c r="AH40" i="7"/>
  <c r="AH39" i="7"/>
  <c r="V241" i="22"/>
  <c r="I67" i="19" s="1"/>
  <c r="AH41" i="7"/>
  <c r="V302" i="22"/>
  <c r="K67" i="19" s="1"/>
  <c r="AH42" i="7"/>
  <c r="V333" i="22"/>
  <c r="L67" i="19" s="1"/>
  <c r="U383" i="22"/>
  <c r="U381" i="22"/>
  <c r="U382" i="22"/>
  <c r="T15" i="22"/>
  <c r="AH33" i="7"/>
  <c r="V60" i="22"/>
  <c r="C67" i="19" s="1"/>
  <c r="V180" i="22"/>
  <c r="G67" i="19" s="1"/>
  <c r="AH37" i="7"/>
  <c r="Q243" i="24"/>
  <c r="Q236" i="24"/>
  <c r="Q228" i="24"/>
  <c r="Q220" i="24"/>
  <c r="Q192" i="24"/>
  <c r="Q160" i="24"/>
  <c r="Q128" i="24"/>
  <c r="Q96" i="24"/>
  <c r="Q80" i="24"/>
  <c r="AH15" i="22"/>
  <c r="AI12" i="23"/>
  <c r="AH379" i="22"/>
  <c r="AG379" i="22" s="1"/>
  <c r="AF379" i="22" s="1"/>
  <c r="AD379" i="22" s="1"/>
  <c r="Q216" i="24"/>
  <c r="Q200" i="24"/>
  <c r="Q184" i="24"/>
  <c r="Q168" i="24"/>
  <c r="Q152" i="24"/>
  <c r="Q136" i="24"/>
  <c r="Q120" i="24"/>
  <c r="Q104" i="24"/>
  <c r="Q88" i="24"/>
  <c r="Q64" i="24"/>
  <c r="AG382" i="20"/>
  <c r="AG381" i="20"/>
  <c r="AG383" i="20"/>
  <c r="AF15" i="20"/>
  <c r="M65" i="19"/>
  <c r="N65" i="19" s="1"/>
  <c r="V380" i="18"/>
  <c r="V381" i="18" s="1"/>
  <c r="S383" i="20"/>
  <c r="S381" i="20"/>
  <c r="S382" i="20"/>
  <c r="R15" i="20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H67" i="19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AI382" i="22" l="1"/>
  <c r="AI381" i="22"/>
  <c r="AI383" i="22"/>
  <c r="V379" i="22"/>
  <c r="D41" i="19"/>
  <c r="AS16" i="7"/>
  <c r="T382" i="22"/>
  <c r="T383" i="22"/>
  <c r="S15" i="22"/>
  <c r="T381" i="22"/>
  <c r="U10" i="23"/>
  <c r="AI91" i="23" s="1"/>
  <c r="AH91" i="23" s="1"/>
  <c r="AG91" i="23" s="1"/>
  <c r="AF91" i="23" s="1"/>
  <c r="AD91" i="23" s="1"/>
  <c r="M67" i="19"/>
  <c r="Q383" i="24"/>
  <c r="V383" i="18"/>
  <c r="V382" i="18"/>
  <c r="AD15" i="20"/>
  <c r="AF381" i="20"/>
  <c r="AF382" i="20"/>
  <c r="AF383" i="20"/>
  <c r="AH383" i="22"/>
  <c r="AH382" i="22"/>
  <c r="AG15" i="22"/>
  <c r="AH381" i="22"/>
  <c r="Q381" i="24"/>
  <c r="R383" i="20"/>
  <c r="P15" i="20"/>
  <c r="R382" i="20"/>
  <c r="R381" i="20"/>
  <c r="AI35" i="23"/>
  <c r="Q382" i="24"/>
  <c r="AE381" i="24"/>
  <c r="AE382" i="24"/>
  <c r="AE383" i="24"/>
  <c r="BE15" i="7"/>
  <c r="Q10" i="25"/>
  <c r="BG15" i="7" s="1"/>
  <c r="AI11" i="23" l="1"/>
  <c r="AI211" i="23" s="1"/>
  <c r="AH211" i="23" s="1"/>
  <c r="AG211" i="23" s="1"/>
  <c r="AF211" i="23" s="1"/>
  <c r="AD211" i="23" s="1"/>
  <c r="Q363" i="25"/>
  <c r="Q315" i="25"/>
  <c r="Q379" i="25"/>
  <c r="BF15" i="7" s="1"/>
  <c r="Q347" i="25"/>
  <c r="Q283" i="25"/>
  <c r="Q331" i="25"/>
  <c r="Q299" i="25"/>
  <c r="Q259" i="25"/>
  <c r="Q371" i="25"/>
  <c r="Q355" i="25"/>
  <c r="Q339" i="25"/>
  <c r="Q323" i="25"/>
  <c r="Q307" i="25"/>
  <c r="Q291" i="25"/>
  <c r="Q275" i="25"/>
  <c r="Q243" i="25"/>
  <c r="Q267" i="25"/>
  <c r="Q251" i="25"/>
  <c r="Q227" i="25"/>
  <c r="Q235" i="25"/>
  <c r="Q215" i="25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07" i="25"/>
  <c r="AI315" i="23"/>
  <c r="AH315" i="23" s="1"/>
  <c r="AG315" i="23" s="1"/>
  <c r="AF315" i="23" s="1"/>
  <c r="AD315" i="23" s="1"/>
  <c r="AI179" i="23"/>
  <c r="AH179" i="23" s="1"/>
  <c r="AG179" i="23" s="1"/>
  <c r="AF179" i="23" s="1"/>
  <c r="AD179" i="23" s="1"/>
  <c r="AI64" i="23"/>
  <c r="AH64" i="23" s="1"/>
  <c r="AG64" i="23" s="1"/>
  <c r="AF64" i="23" s="1"/>
  <c r="AD64" i="23" s="1"/>
  <c r="AI187" i="23"/>
  <c r="AH187" i="23" s="1"/>
  <c r="AG187" i="23" s="1"/>
  <c r="AF187" i="23" s="1"/>
  <c r="AD187" i="23" s="1"/>
  <c r="AI323" i="23"/>
  <c r="AH323" i="23" s="1"/>
  <c r="AG323" i="23" s="1"/>
  <c r="AF323" i="23" s="1"/>
  <c r="AD323" i="23" s="1"/>
  <c r="AI331" i="23"/>
  <c r="AH331" i="23" s="1"/>
  <c r="AG331" i="23" s="1"/>
  <c r="AF331" i="23" s="1"/>
  <c r="AD331" i="23" s="1"/>
  <c r="AI131" i="23"/>
  <c r="AH131" i="23" s="1"/>
  <c r="AG131" i="23" s="1"/>
  <c r="AF131" i="23" s="1"/>
  <c r="AD131" i="23" s="1"/>
  <c r="AI351" i="23"/>
  <c r="AH351" i="23" s="1"/>
  <c r="AG351" i="23" s="1"/>
  <c r="AF351" i="23" s="1"/>
  <c r="AD351" i="23" s="1"/>
  <c r="AI251" i="23"/>
  <c r="AH251" i="23" s="1"/>
  <c r="AG251" i="23" s="1"/>
  <c r="AF251" i="23" s="1"/>
  <c r="AD251" i="23" s="1"/>
  <c r="AI123" i="23"/>
  <c r="AH123" i="23" s="1"/>
  <c r="AG123" i="23" s="1"/>
  <c r="AF123" i="23" s="1"/>
  <c r="AD123" i="23" s="1"/>
  <c r="Q219" i="25"/>
  <c r="Q211" i="25"/>
  <c r="Q203" i="25"/>
  <c r="AI355" i="23"/>
  <c r="AH355" i="23" s="1"/>
  <c r="AG355" i="23" s="1"/>
  <c r="AF355" i="23" s="1"/>
  <c r="AD355" i="23" s="1"/>
  <c r="AI259" i="23"/>
  <c r="AH259" i="23" s="1"/>
  <c r="AG259" i="23" s="1"/>
  <c r="AF259" i="23" s="1"/>
  <c r="AD259" i="23" s="1"/>
  <c r="AI363" i="23"/>
  <c r="AH363" i="23" s="1"/>
  <c r="AG363" i="23" s="1"/>
  <c r="AF363" i="23" s="1"/>
  <c r="AD363" i="23" s="1"/>
  <c r="AI275" i="23"/>
  <c r="AH275" i="23" s="1"/>
  <c r="AG275" i="23" s="1"/>
  <c r="AF275" i="23" s="1"/>
  <c r="AD275" i="23" s="1"/>
  <c r="AI163" i="23"/>
  <c r="AH163" i="23" s="1"/>
  <c r="AG163" i="23" s="1"/>
  <c r="AF163" i="23" s="1"/>
  <c r="AD163" i="23" s="1"/>
  <c r="AI99" i="23"/>
  <c r="AH99" i="23" s="1"/>
  <c r="AG99" i="23" s="1"/>
  <c r="AF99" i="23" s="1"/>
  <c r="AD99" i="23" s="1"/>
  <c r="AI367" i="23"/>
  <c r="AH367" i="23" s="1"/>
  <c r="AG367" i="23" s="1"/>
  <c r="AF367" i="23" s="1"/>
  <c r="AD367" i="23" s="1"/>
  <c r="AI335" i="23"/>
  <c r="AH335" i="23" s="1"/>
  <c r="AG335" i="23" s="1"/>
  <c r="AF335" i="23" s="1"/>
  <c r="AD335" i="23" s="1"/>
  <c r="AI283" i="23"/>
  <c r="AH283" i="23" s="1"/>
  <c r="AG283" i="23" s="1"/>
  <c r="AF283" i="23" s="1"/>
  <c r="AD283" i="23" s="1"/>
  <c r="AI219" i="23"/>
  <c r="AH219" i="23" s="1"/>
  <c r="AG219" i="23" s="1"/>
  <c r="AF219" i="23" s="1"/>
  <c r="AD219" i="23" s="1"/>
  <c r="AI155" i="23"/>
  <c r="AH155" i="23" s="1"/>
  <c r="AG155" i="23" s="1"/>
  <c r="AF155" i="23" s="1"/>
  <c r="AD155" i="23" s="1"/>
  <c r="Q191" i="25"/>
  <c r="Q199" i="25"/>
  <c r="Q183" i="25"/>
  <c r="Q195" i="25"/>
  <c r="Q187" i="25"/>
  <c r="Q177" i="25"/>
  <c r="Q161" i="25"/>
  <c r="Q169" i="25"/>
  <c r="Q145" i="25"/>
  <c r="Q153" i="25"/>
  <c r="Q137" i="25"/>
  <c r="Q121" i="25"/>
  <c r="Q105" i="25"/>
  <c r="Q129" i="25"/>
  <c r="Q113" i="25"/>
  <c r="Q81" i="25"/>
  <c r="Q97" i="25"/>
  <c r="Q65" i="25"/>
  <c r="U54" i="23"/>
  <c r="T54" i="23" s="1"/>
  <c r="S54" i="23" s="1"/>
  <c r="R54" i="23" s="1"/>
  <c r="P54" i="23" s="1"/>
  <c r="V54" i="23" s="1"/>
  <c r="AI377" i="23"/>
  <c r="AH377" i="23" s="1"/>
  <c r="AG377" i="23" s="1"/>
  <c r="AF377" i="23" s="1"/>
  <c r="AD377" i="23" s="1"/>
  <c r="AI369" i="23"/>
  <c r="AH369" i="23" s="1"/>
  <c r="AG369" i="23" s="1"/>
  <c r="AF369" i="23" s="1"/>
  <c r="AD369" i="23" s="1"/>
  <c r="AI361" i="23"/>
  <c r="AH361" i="23" s="1"/>
  <c r="AG361" i="23" s="1"/>
  <c r="AF361" i="23" s="1"/>
  <c r="AD361" i="23" s="1"/>
  <c r="AI353" i="23"/>
  <c r="AH353" i="23" s="1"/>
  <c r="AG353" i="23" s="1"/>
  <c r="AF353" i="23" s="1"/>
  <c r="AD353" i="23" s="1"/>
  <c r="AI345" i="23"/>
  <c r="AH345" i="23" s="1"/>
  <c r="AG345" i="23" s="1"/>
  <c r="AF345" i="23" s="1"/>
  <c r="AD345" i="23" s="1"/>
  <c r="AI337" i="23"/>
  <c r="AH337" i="23" s="1"/>
  <c r="AG337" i="23" s="1"/>
  <c r="AF337" i="23" s="1"/>
  <c r="AD337" i="23" s="1"/>
  <c r="AI329" i="23"/>
  <c r="AH329" i="23" s="1"/>
  <c r="AG329" i="23" s="1"/>
  <c r="AF329" i="23" s="1"/>
  <c r="AD329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59" i="23"/>
  <c r="AH159" i="23" s="1"/>
  <c r="AG159" i="23" s="1"/>
  <c r="AF159" i="23" s="1"/>
  <c r="AD159" i="23" s="1"/>
  <c r="AI143" i="23"/>
  <c r="AH143" i="23" s="1"/>
  <c r="AG143" i="23" s="1"/>
  <c r="AF143" i="23" s="1"/>
  <c r="AD143" i="23" s="1"/>
  <c r="AI127" i="23"/>
  <c r="AH127" i="23" s="1"/>
  <c r="AG127" i="23" s="1"/>
  <c r="AF127" i="23" s="1"/>
  <c r="AD127" i="23" s="1"/>
  <c r="AI111" i="23"/>
  <c r="AH111" i="23" s="1"/>
  <c r="AG111" i="23" s="1"/>
  <c r="AF111" i="23" s="1"/>
  <c r="AD111" i="23" s="1"/>
  <c r="AI95" i="23"/>
  <c r="AH95" i="23" s="1"/>
  <c r="AG95" i="23" s="1"/>
  <c r="AF95" i="23" s="1"/>
  <c r="AD95" i="23" s="1"/>
  <c r="AI79" i="23"/>
  <c r="AH79" i="23" s="1"/>
  <c r="AG79" i="23" s="1"/>
  <c r="AF79" i="23" s="1"/>
  <c r="AD79" i="23" s="1"/>
  <c r="AI51" i="23"/>
  <c r="AH51" i="23" s="1"/>
  <c r="AG51" i="23" s="1"/>
  <c r="AF51" i="23" s="1"/>
  <c r="AD51" i="23" s="1"/>
  <c r="U375" i="23"/>
  <c r="T375" i="23" s="1"/>
  <c r="S375" i="23" s="1"/>
  <c r="R375" i="23" s="1"/>
  <c r="P375" i="23" s="1"/>
  <c r="V375" i="23" s="1"/>
  <c r="U311" i="23"/>
  <c r="T311" i="23" s="1"/>
  <c r="S311" i="23" s="1"/>
  <c r="R311" i="23" s="1"/>
  <c r="P311" i="23" s="1"/>
  <c r="V311" i="23" s="1"/>
  <c r="U247" i="23"/>
  <c r="T247" i="23" s="1"/>
  <c r="S247" i="23" s="1"/>
  <c r="R247" i="23" s="1"/>
  <c r="P247" i="23" s="1"/>
  <c r="V247" i="23" s="1"/>
  <c r="U182" i="23"/>
  <c r="T182" i="23" s="1"/>
  <c r="S182" i="23" s="1"/>
  <c r="R182" i="23" s="1"/>
  <c r="P182" i="23" s="1"/>
  <c r="V182" i="23" s="1"/>
  <c r="U26" i="23"/>
  <c r="T26" i="23" s="1"/>
  <c r="S26" i="23" s="1"/>
  <c r="R26" i="23" s="1"/>
  <c r="P26" i="23" s="1"/>
  <c r="V26" i="23" s="1"/>
  <c r="U42" i="23"/>
  <c r="T42" i="23" s="1"/>
  <c r="S42" i="23" s="1"/>
  <c r="R42" i="23" s="1"/>
  <c r="P42" i="23" s="1"/>
  <c r="V42" i="23" s="1"/>
  <c r="U58" i="23"/>
  <c r="T58" i="23" s="1"/>
  <c r="S58" i="23" s="1"/>
  <c r="R58" i="23" s="1"/>
  <c r="P58" i="23" s="1"/>
  <c r="V58" i="23" s="1"/>
  <c r="U74" i="23"/>
  <c r="T74" i="23" s="1"/>
  <c r="S74" i="23" s="1"/>
  <c r="R74" i="23" s="1"/>
  <c r="P74" i="23" s="1"/>
  <c r="V74" i="23" s="1"/>
  <c r="U90" i="23"/>
  <c r="T90" i="23" s="1"/>
  <c r="S90" i="23" s="1"/>
  <c r="R90" i="23" s="1"/>
  <c r="P90" i="23" s="1"/>
  <c r="V90" i="23" s="1"/>
  <c r="U106" i="23"/>
  <c r="T106" i="23" s="1"/>
  <c r="S106" i="23" s="1"/>
  <c r="R106" i="23" s="1"/>
  <c r="P106" i="23" s="1"/>
  <c r="V106" i="23" s="1"/>
  <c r="U122" i="23"/>
  <c r="T122" i="23" s="1"/>
  <c r="S122" i="23" s="1"/>
  <c r="R122" i="23" s="1"/>
  <c r="P122" i="23" s="1"/>
  <c r="V122" i="23" s="1"/>
  <c r="U138" i="23"/>
  <c r="T138" i="23" s="1"/>
  <c r="S138" i="23" s="1"/>
  <c r="R138" i="23" s="1"/>
  <c r="P138" i="23" s="1"/>
  <c r="V138" i="23" s="1"/>
  <c r="U154" i="23"/>
  <c r="T154" i="23" s="1"/>
  <c r="S154" i="23" s="1"/>
  <c r="R154" i="23" s="1"/>
  <c r="P154" i="23" s="1"/>
  <c r="V154" i="23" s="1"/>
  <c r="U170" i="23"/>
  <c r="T170" i="23" s="1"/>
  <c r="S170" i="23" s="1"/>
  <c r="R170" i="23" s="1"/>
  <c r="P170" i="23" s="1"/>
  <c r="V170" i="23" s="1"/>
  <c r="U185" i="23"/>
  <c r="T185" i="23" s="1"/>
  <c r="S185" i="23" s="1"/>
  <c r="R185" i="23" s="1"/>
  <c r="P185" i="23" s="1"/>
  <c r="V185" i="23" s="1"/>
  <c r="U193" i="23"/>
  <c r="T193" i="23" s="1"/>
  <c r="S193" i="23" s="1"/>
  <c r="R193" i="23" s="1"/>
  <c r="P193" i="23" s="1"/>
  <c r="V193" i="23" s="1"/>
  <c r="U201" i="23"/>
  <c r="T201" i="23" s="1"/>
  <c r="S201" i="23" s="1"/>
  <c r="R201" i="23" s="1"/>
  <c r="P201" i="23" s="1"/>
  <c r="V201" i="23" s="1"/>
  <c r="U209" i="23"/>
  <c r="T209" i="23" s="1"/>
  <c r="S209" i="23" s="1"/>
  <c r="R209" i="23" s="1"/>
  <c r="P209" i="23" s="1"/>
  <c r="V209" i="23" s="1"/>
  <c r="U217" i="23"/>
  <c r="T217" i="23" s="1"/>
  <c r="S217" i="23" s="1"/>
  <c r="R217" i="23" s="1"/>
  <c r="P217" i="23" s="1"/>
  <c r="V217" i="23" s="1"/>
  <c r="U225" i="23"/>
  <c r="T225" i="23" s="1"/>
  <c r="S225" i="23" s="1"/>
  <c r="R225" i="23" s="1"/>
  <c r="P225" i="23" s="1"/>
  <c r="V225" i="23" s="1"/>
  <c r="U233" i="23"/>
  <c r="T233" i="23" s="1"/>
  <c r="S233" i="23" s="1"/>
  <c r="R233" i="23" s="1"/>
  <c r="P233" i="23" s="1"/>
  <c r="V233" i="23" s="1"/>
  <c r="U241" i="23"/>
  <c r="T241" i="23" s="1"/>
  <c r="S241" i="23" s="1"/>
  <c r="R241" i="23" s="1"/>
  <c r="P241" i="23" s="1"/>
  <c r="U249" i="23"/>
  <c r="T249" i="23" s="1"/>
  <c r="S249" i="23" s="1"/>
  <c r="R249" i="23" s="1"/>
  <c r="P249" i="23" s="1"/>
  <c r="V249" i="23" s="1"/>
  <c r="U257" i="23"/>
  <c r="T257" i="23" s="1"/>
  <c r="S257" i="23" s="1"/>
  <c r="R257" i="23" s="1"/>
  <c r="P257" i="23" s="1"/>
  <c r="V257" i="23" s="1"/>
  <c r="U265" i="23"/>
  <c r="T265" i="23" s="1"/>
  <c r="S265" i="23" s="1"/>
  <c r="R265" i="23" s="1"/>
  <c r="P265" i="23" s="1"/>
  <c r="V265" i="23" s="1"/>
  <c r="U273" i="23"/>
  <c r="T273" i="23" s="1"/>
  <c r="S273" i="23" s="1"/>
  <c r="R273" i="23" s="1"/>
  <c r="P273" i="23" s="1"/>
  <c r="V273" i="23" s="1"/>
  <c r="U281" i="23"/>
  <c r="T281" i="23" s="1"/>
  <c r="S281" i="23" s="1"/>
  <c r="R281" i="23" s="1"/>
  <c r="P281" i="23" s="1"/>
  <c r="V281" i="23" s="1"/>
  <c r="U289" i="23"/>
  <c r="T289" i="23" s="1"/>
  <c r="S289" i="23" s="1"/>
  <c r="R289" i="23" s="1"/>
  <c r="P289" i="23" s="1"/>
  <c r="V289" i="23" s="1"/>
  <c r="U297" i="23"/>
  <c r="T297" i="23" s="1"/>
  <c r="S297" i="23" s="1"/>
  <c r="R297" i="23" s="1"/>
  <c r="P297" i="23" s="1"/>
  <c r="V297" i="23" s="1"/>
  <c r="U305" i="23"/>
  <c r="T305" i="23" s="1"/>
  <c r="S305" i="23" s="1"/>
  <c r="R305" i="23" s="1"/>
  <c r="P305" i="23" s="1"/>
  <c r="V305" i="23" s="1"/>
  <c r="U313" i="23"/>
  <c r="T313" i="23" s="1"/>
  <c r="S313" i="23" s="1"/>
  <c r="R313" i="23" s="1"/>
  <c r="P313" i="23" s="1"/>
  <c r="V313" i="23" s="1"/>
  <c r="U321" i="23"/>
  <c r="T321" i="23" s="1"/>
  <c r="S321" i="23" s="1"/>
  <c r="R321" i="23" s="1"/>
  <c r="P321" i="23" s="1"/>
  <c r="V321" i="23" s="1"/>
  <c r="U329" i="23"/>
  <c r="T329" i="23" s="1"/>
  <c r="S329" i="23" s="1"/>
  <c r="R329" i="23" s="1"/>
  <c r="P329" i="23" s="1"/>
  <c r="V329" i="23" s="1"/>
  <c r="U337" i="23"/>
  <c r="T337" i="23" s="1"/>
  <c r="S337" i="23" s="1"/>
  <c r="R337" i="23" s="1"/>
  <c r="P337" i="23" s="1"/>
  <c r="V337" i="23" s="1"/>
  <c r="U345" i="23"/>
  <c r="T345" i="23" s="1"/>
  <c r="S345" i="23" s="1"/>
  <c r="R345" i="23" s="1"/>
  <c r="P345" i="23" s="1"/>
  <c r="V345" i="23" s="1"/>
  <c r="U353" i="23"/>
  <c r="T353" i="23" s="1"/>
  <c r="S353" i="23" s="1"/>
  <c r="R353" i="23" s="1"/>
  <c r="P353" i="23" s="1"/>
  <c r="V353" i="23" s="1"/>
  <c r="U361" i="23"/>
  <c r="T361" i="23" s="1"/>
  <c r="S361" i="23" s="1"/>
  <c r="R361" i="23" s="1"/>
  <c r="P361" i="23" s="1"/>
  <c r="V361" i="23" s="1"/>
  <c r="U369" i="23"/>
  <c r="T369" i="23" s="1"/>
  <c r="S369" i="23" s="1"/>
  <c r="R369" i="23" s="1"/>
  <c r="P369" i="23" s="1"/>
  <c r="V369" i="23" s="1"/>
  <c r="U377" i="23"/>
  <c r="T377" i="23" s="1"/>
  <c r="S377" i="23" s="1"/>
  <c r="R377" i="23" s="1"/>
  <c r="P377" i="23" s="1"/>
  <c r="V377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9" i="23"/>
  <c r="AH69" i="23" s="1"/>
  <c r="AG69" i="23" s="1"/>
  <c r="AF69" i="23" s="1"/>
  <c r="AD69" i="23" s="1"/>
  <c r="U46" i="23"/>
  <c r="T46" i="23" s="1"/>
  <c r="S46" i="23" s="1"/>
  <c r="R46" i="23" s="1"/>
  <c r="P46" i="23" s="1"/>
  <c r="V46" i="23" s="1"/>
  <c r="U78" i="23"/>
  <c r="T78" i="23" s="1"/>
  <c r="S78" i="23" s="1"/>
  <c r="R78" i="23" s="1"/>
  <c r="P78" i="23" s="1"/>
  <c r="V78" i="23" s="1"/>
  <c r="U110" i="23"/>
  <c r="T110" i="23" s="1"/>
  <c r="S110" i="23" s="1"/>
  <c r="R110" i="23" s="1"/>
  <c r="P110" i="23" s="1"/>
  <c r="V110" i="23" s="1"/>
  <c r="U142" i="23"/>
  <c r="T142" i="23" s="1"/>
  <c r="S142" i="23" s="1"/>
  <c r="R142" i="23" s="1"/>
  <c r="P142" i="23" s="1"/>
  <c r="V142" i="23" s="1"/>
  <c r="U174" i="23"/>
  <c r="T174" i="23" s="1"/>
  <c r="S174" i="23" s="1"/>
  <c r="R174" i="23" s="1"/>
  <c r="P174" i="23" s="1"/>
  <c r="V174" i="23" s="1"/>
  <c r="U195" i="23"/>
  <c r="T195" i="23" s="1"/>
  <c r="S195" i="23" s="1"/>
  <c r="R195" i="23" s="1"/>
  <c r="P195" i="23" s="1"/>
  <c r="V195" i="23" s="1"/>
  <c r="U211" i="23"/>
  <c r="T211" i="23" s="1"/>
  <c r="S211" i="23" s="1"/>
  <c r="R211" i="23" s="1"/>
  <c r="P211" i="23" s="1"/>
  <c r="V211" i="23" s="1"/>
  <c r="U227" i="23"/>
  <c r="T227" i="23" s="1"/>
  <c r="S227" i="23" s="1"/>
  <c r="R227" i="23" s="1"/>
  <c r="P227" i="23" s="1"/>
  <c r="V227" i="23" s="1"/>
  <c r="U243" i="23"/>
  <c r="T243" i="23" s="1"/>
  <c r="S243" i="23" s="1"/>
  <c r="R243" i="23" s="1"/>
  <c r="P243" i="23" s="1"/>
  <c r="V243" i="23" s="1"/>
  <c r="U259" i="23"/>
  <c r="T259" i="23" s="1"/>
  <c r="S259" i="23" s="1"/>
  <c r="R259" i="23" s="1"/>
  <c r="P259" i="23" s="1"/>
  <c r="V259" i="23" s="1"/>
  <c r="U275" i="23"/>
  <c r="T275" i="23" s="1"/>
  <c r="S275" i="23" s="1"/>
  <c r="R275" i="23" s="1"/>
  <c r="P275" i="23" s="1"/>
  <c r="V275" i="23" s="1"/>
  <c r="U291" i="23"/>
  <c r="T291" i="23" s="1"/>
  <c r="S291" i="23" s="1"/>
  <c r="R291" i="23" s="1"/>
  <c r="P291" i="23" s="1"/>
  <c r="V291" i="23" s="1"/>
  <c r="U307" i="23"/>
  <c r="T307" i="23" s="1"/>
  <c r="S307" i="23" s="1"/>
  <c r="R307" i="23" s="1"/>
  <c r="P307" i="23" s="1"/>
  <c r="V307" i="23" s="1"/>
  <c r="U323" i="23"/>
  <c r="T323" i="23" s="1"/>
  <c r="S323" i="23" s="1"/>
  <c r="R323" i="23" s="1"/>
  <c r="P323" i="23" s="1"/>
  <c r="V323" i="23" s="1"/>
  <c r="U339" i="23"/>
  <c r="T339" i="23" s="1"/>
  <c r="S339" i="23" s="1"/>
  <c r="R339" i="23" s="1"/>
  <c r="P339" i="23" s="1"/>
  <c r="V339" i="23" s="1"/>
  <c r="U355" i="23"/>
  <c r="T355" i="23" s="1"/>
  <c r="S355" i="23" s="1"/>
  <c r="R355" i="23" s="1"/>
  <c r="P355" i="23" s="1"/>
  <c r="V355" i="23" s="1"/>
  <c r="U371" i="23"/>
  <c r="T371" i="23" s="1"/>
  <c r="S371" i="23" s="1"/>
  <c r="R371" i="23" s="1"/>
  <c r="P371" i="23" s="1"/>
  <c r="V371" i="23" s="1"/>
  <c r="AI20" i="23"/>
  <c r="AH20" i="23" s="1"/>
  <c r="AG20" i="23" s="1"/>
  <c r="AF20" i="23" s="1"/>
  <c r="AD20" i="23" s="1"/>
  <c r="AI31" i="23"/>
  <c r="AH31" i="23" s="1"/>
  <c r="AG31" i="23" s="1"/>
  <c r="AF31" i="23" s="1"/>
  <c r="AD31" i="23" s="1"/>
  <c r="AI47" i="23"/>
  <c r="AH47" i="23" s="1"/>
  <c r="AG47" i="23" s="1"/>
  <c r="AF47" i="23" s="1"/>
  <c r="AD47" i="23" s="1"/>
  <c r="AI62" i="23"/>
  <c r="AH62" i="23" s="1"/>
  <c r="AG62" i="23" s="1"/>
  <c r="AF62" i="23" s="1"/>
  <c r="AD62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76" i="23"/>
  <c r="AH376" i="23" s="1"/>
  <c r="AG376" i="23" s="1"/>
  <c r="AF376" i="23" s="1"/>
  <c r="AD376" i="23" s="1"/>
  <c r="AI372" i="23"/>
  <c r="AH372" i="23" s="1"/>
  <c r="AG372" i="23" s="1"/>
  <c r="AF372" i="23" s="1"/>
  <c r="AD372" i="23" s="1"/>
  <c r="AI368" i="23"/>
  <c r="AH368" i="23" s="1"/>
  <c r="AG368" i="23" s="1"/>
  <c r="AF368" i="23" s="1"/>
  <c r="AD368" i="23" s="1"/>
  <c r="AI364" i="23"/>
  <c r="AH364" i="23" s="1"/>
  <c r="AG364" i="23" s="1"/>
  <c r="AF364" i="23" s="1"/>
  <c r="AD364" i="23" s="1"/>
  <c r="AI360" i="23"/>
  <c r="AH360" i="23" s="1"/>
  <c r="AG360" i="23" s="1"/>
  <c r="AF360" i="23" s="1"/>
  <c r="AD360" i="23" s="1"/>
  <c r="AI356" i="23"/>
  <c r="AH356" i="23" s="1"/>
  <c r="AG356" i="23" s="1"/>
  <c r="AF356" i="23" s="1"/>
  <c r="AD356" i="23" s="1"/>
  <c r="AI352" i="23"/>
  <c r="AH352" i="23" s="1"/>
  <c r="AG352" i="23" s="1"/>
  <c r="AF352" i="23" s="1"/>
  <c r="AD352" i="23" s="1"/>
  <c r="AI348" i="23"/>
  <c r="AH348" i="23" s="1"/>
  <c r="AG348" i="23" s="1"/>
  <c r="AF348" i="23" s="1"/>
  <c r="AD348" i="23" s="1"/>
  <c r="AI344" i="23"/>
  <c r="AH344" i="23" s="1"/>
  <c r="AG344" i="23" s="1"/>
  <c r="AF344" i="23" s="1"/>
  <c r="AD344" i="23" s="1"/>
  <c r="AI340" i="23"/>
  <c r="AH340" i="23" s="1"/>
  <c r="AG340" i="23" s="1"/>
  <c r="AF340" i="23" s="1"/>
  <c r="AD340" i="23" s="1"/>
  <c r="AI336" i="23"/>
  <c r="AH336" i="23" s="1"/>
  <c r="AG336" i="23" s="1"/>
  <c r="AF336" i="23" s="1"/>
  <c r="AD336" i="23" s="1"/>
  <c r="AI332" i="23"/>
  <c r="AH332" i="23" s="1"/>
  <c r="AG332" i="23" s="1"/>
  <c r="AF332" i="23" s="1"/>
  <c r="AD332" i="23" s="1"/>
  <c r="AI373" i="23"/>
  <c r="AH373" i="23" s="1"/>
  <c r="AG373" i="23" s="1"/>
  <c r="AF373" i="23" s="1"/>
  <c r="AD373" i="23" s="1"/>
  <c r="AI365" i="23"/>
  <c r="AH365" i="23" s="1"/>
  <c r="AG365" i="23" s="1"/>
  <c r="AF365" i="23" s="1"/>
  <c r="AD365" i="23" s="1"/>
  <c r="AI357" i="23"/>
  <c r="AH357" i="23" s="1"/>
  <c r="AG357" i="23" s="1"/>
  <c r="AF357" i="23" s="1"/>
  <c r="AD357" i="23" s="1"/>
  <c r="AI349" i="23"/>
  <c r="AH349" i="23" s="1"/>
  <c r="AG349" i="23" s="1"/>
  <c r="AF349" i="23" s="1"/>
  <c r="AD349" i="23" s="1"/>
  <c r="AI341" i="23"/>
  <c r="AH341" i="23" s="1"/>
  <c r="AG341" i="23" s="1"/>
  <c r="AF341" i="23" s="1"/>
  <c r="AD341" i="23" s="1"/>
  <c r="AI333" i="23"/>
  <c r="AH333" i="23" s="1"/>
  <c r="AG333" i="23" s="1"/>
  <c r="AF333" i="23" s="1"/>
  <c r="AD333" i="23" s="1"/>
  <c r="AI325" i="23"/>
  <c r="AH325" i="23" s="1"/>
  <c r="AG325" i="23" s="1"/>
  <c r="AF325" i="23" s="1"/>
  <c r="AD325" i="23" s="1"/>
  <c r="AI311" i="23"/>
  <c r="AH311" i="23" s="1"/>
  <c r="AG311" i="23" s="1"/>
  <c r="AF311" i="23" s="1"/>
  <c r="AD311" i="23" s="1"/>
  <c r="AI295" i="23"/>
  <c r="AH295" i="23" s="1"/>
  <c r="AG295" i="23" s="1"/>
  <c r="AF295" i="23" s="1"/>
  <c r="AD295" i="23" s="1"/>
  <c r="AI279" i="23"/>
  <c r="AH279" i="23" s="1"/>
  <c r="AG279" i="23" s="1"/>
  <c r="AF279" i="23" s="1"/>
  <c r="AD279" i="23" s="1"/>
  <c r="AI263" i="23"/>
  <c r="AH263" i="23" s="1"/>
  <c r="AG263" i="23" s="1"/>
  <c r="AF263" i="23" s="1"/>
  <c r="AD263" i="23" s="1"/>
  <c r="AI247" i="23"/>
  <c r="AH247" i="23" s="1"/>
  <c r="AG247" i="23" s="1"/>
  <c r="AF247" i="23" s="1"/>
  <c r="AD247" i="23" s="1"/>
  <c r="AI231" i="23"/>
  <c r="AH231" i="23" s="1"/>
  <c r="AG231" i="23" s="1"/>
  <c r="AF231" i="23" s="1"/>
  <c r="AD231" i="23" s="1"/>
  <c r="AI215" i="23"/>
  <c r="AH215" i="23" s="1"/>
  <c r="AG215" i="23" s="1"/>
  <c r="AF215" i="23" s="1"/>
  <c r="AD215" i="23" s="1"/>
  <c r="AI199" i="23"/>
  <c r="AH199" i="23" s="1"/>
  <c r="AG199" i="23" s="1"/>
  <c r="AF199" i="23" s="1"/>
  <c r="AD199" i="23" s="1"/>
  <c r="AI183" i="23"/>
  <c r="AH183" i="23" s="1"/>
  <c r="AG183" i="23" s="1"/>
  <c r="AF183" i="23" s="1"/>
  <c r="AD183" i="23" s="1"/>
  <c r="AI167" i="23"/>
  <c r="AH167" i="23" s="1"/>
  <c r="AG167" i="23" s="1"/>
  <c r="AF167" i="23" s="1"/>
  <c r="AD167" i="23" s="1"/>
  <c r="AI151" i="23"/>
  <c r="AH151" i="23" s="1"/>
  <c r="AG151" i="23" s="1"/>
  <c r="AF151" i="23" s="1"/>
  <c r="AD151" i="23" s="1"/>
  <c r="AI135" i="23"/>
  <c r="AH135" i="23" s="1"/>
  <c r="AG135" i="23" s="1"/>
  <c r="AF135" i="23" s="1"/>
  <c r="AD135" i="23" s="1"/>
  <c r="AI119" i="23"/>
  <c r="AH119" i="23" s="1"/>
  <c r="AG119" i="23" s="1"/>
  <c r="AF119" i="23" s="1"/>
  <c r="AD119" i="23" s="1"/>
  <c r="AI103" i="23"/>
  <c r="AH103" i="23" s="1"/>
  <c r="AG103" i="23" s="1"/>
  <c r="AF103" i="23" s="1"/>
  <c r="AD103" i="23" s="1"/>
  <c r="AI87" i="23"/>
  <c r="AH87" i="23" s="1"/>
  <c r="AG87" i="23" s="1"/>
  <c r="AF87" i="23" s="1"/>
  <c r="AD87" i="23" s="1"/>
  <c r="AI71" i="23"/>
  <c r="AH71" i="23" s="1"/>
  <c r="AG71" i="23" s="1"/>
  <c r="AF71" i="23" s="1"/>
  <c r="AD71" i="23" s="1"/>
  <c r="AI17" i="23"/>
  <c r="AH17" i="23" s="1"/>
  <c r="AG17" i="23" s="1"/>
  <c r="AF17" i="23" s="1"/>
  <c r="AD17" i="23" s="1"/>
  <c r="U343" i="23"/>
  <c r="T343" i="23" s="1"/>
  <c r="S343" i="23" s="1"/>
  <c r="R343" i="23" s="1"/>
  <c r="P343" i="23" s="1"/>
  <c r="V343" i="23" s="1"/>
  <c r="U279" i="23"/>
  <c r="T279" i="23" s="1"/>
  <c r="S279" i="23" s="1"/>
  <c r="R279" i="23" s="1"/>
  <c r="P279" i="23" s="1"/>
  <c r="V279" i="23" s="1"/>
  <c r="U215" i="23"/>
  <c r="T215" i="23" s="1"/>
  <c r="S215" i="23" s="1"/>
  <c r="R215" i="23" s="1"/>
  <c r="P215" i="23" s="1"/>
  <c r="V215" i="23" s="1"/>
  <c r="U118" i="23"/>
  <c r="T118" i="23" s="1"/>
  <c r="S118" i="23" s="1"/>
  <c r="R118" i="23" s="1"/>
  <c r="P118" i="23" s="1"/>
  <c r="V118" i="23" s="1"/>
  <c r="U34" i="23"/>
  <c r="T34" i="23" s="1"/>
  <c r="S34" i="23" s="1"/>
  <c r="R34" i="23" s="1"/>
  <c r="P34" i="23" s="1"/>
  <c r="V34" i="23" s="1"/>
  <c r="U50" i="23"/>
  <c r="T50" i="23" s="1"/>
  <c r="S50" i="23" s="1"/>
  <c r="R50" i="23" s="1"/>
  <c r="P50" i="23" s="1"/>
  <c r="V50" i="23" s="1"/>
  <c r="U66" i="23"/>
  <c r="T66" i="23" s="1"/>
  <c r="S66" i="23" s="1"/>
  <c r="R66" i="23" s="1"/>
  <c r="P66" i="23" s="1"/>
  <c r="V66" i="23" s="1"/>
  <c r="U82" i="23"/>
  <c r="T82" i="23" s="1"/>
  <c r="S82" i="23" s="1"/>
  <c r="R82" i="23" s="1"/>
  <c r="P82" i="23" s="1"/>
  <c r="V82" i="23" s="1"/>
  <c r="U98" i="23"/>
  <c r="T98" i="23" s="1"/>
  <c r="S98" i="23" s="1"/>
  <c r="R98" i="23" s="1"/>
  <c r="P98" i="23" s="1"/>
  <c r="V98" i="23" s="1"/>
  <c r="U114" i="23"/>
  <c r="T114" i="23" s="1"/>
  <c r="S114" i="23" s="1"/>
  <c r="R114" i="23" s="1"/>
  <c r="P114" i="23" s="1"/>
  <c r="V114" i="23" s="1"/>
  <c r="U130" i="23"/>
  <c r="T130" i="23" s="1"/>
  <c r="S130" i="23" s="1"/>
  <c r="R130" i="23" s="1"/>
  <c r="P130" i="23" s="1"/>
  <c r="V130" i="23" s="1"/>
  <c r="U146" i="23"/>
  <c r="T146" i="23" s="1"/>
  <c r="S146" i="23" s="1"/>
  <c r="R146" i="23" s="1"/>
  <c r="P146" i="23" s="1"/>
  <c r="V146" i="23" s="1"/>
  <c r="U162" i="23"/>
  <c r="T162" i="23" s="1"/>
  <c r="S162" i="23" s="1"/>
  <c r="R162" i="23" s="1"/>
  <c r="P162" i="23" s="1"/>
  <c r="V162" i="23" s="1"/>
  <c r="U178" i="23"/>
  <c r="T178" i="23" s="1"/>
  <c r="S178" i="23" s="1"/>
  <c r="R178" i="23" s="1"/>
  <c r="P178" i="23" s="1"/>
  <c r="V178" i="23" s="1"/>
  <c r="U189" i="23"/>
  <c r="T189" i="23" s="1"/>
  <c r="S189" i="23" s="1"/>
  <c r="R189" i="23" s="1"/>
  <c r="P189" i="23" s="1"/>
  <c r="V189" i="23" s="1"/>
  <c r="U197" i="23"/>
  <c r="T197" i="23" s="1"/>
  <c r="S197" i="23" s="1"/>
  <c r="R197" i="23" s="1"/>
  <c r="P197" i="23" s="1"/>
  <c r="V197" i="23" s="1"/>
  <c r="U205" i="23"/>
  <c r="T205" i="23" s="1"/>
  <c r="S205" i="23" s="1"/>
  <c r="R205" i="23" s="1"/>
  <c r="P205" i="23" s="1"/>
  <c r="V205" i="23" s="1"/>
  <c r="U213" i="23"/>
  <c r="T213" i="23" s="1"/>
  <c r="S213" i="23" s="1"/>
  <c r="R213" i="23" s="1"/>
  <c r="P213" i="23" s="1"/>
  <c r="V213" i="23" s="1"/>
  <c r="U221" i="23"/>
  <c r="T221" i="23" s="1"/>
  <c r="S221" i="23" s="1"/>
  <c r="R221" i="23" s="1"/>
  <c r="P221" i="23" s="1"/>
  <c r="V221" i="23" s="1"/>
  <c r="U229" i="23"/>
  <c r="T229" i="23" s="1"/>
  <c r="S229" i="23" s="1"/>
  <c r="R229" i="23" s="1"/>
  <c r="P229" i="23" s="1"/>
  <c r="V229" i="23" s="1"/>
  <c r="U237" i="23"/>
  <c r="T237" i="23" s="1"/>
  <c r="S237" i="23" s="1"/>
  <c r="R237" i="23" s="1"/>
  <c r="P237" i="23" s="1"/>
  <c r="V237" i="23" s="1"/>
  <c r="U245" i="23"/>
  <c r="T245" i="23" s="1"/>
  <c r="S245" i="23" s="1"/>
  <c r="R245" i="23" s="1"/>
  <c r="P245" i="23" s="1"/>
  <c r="V245" i="23" s="1"/>
  <c r="U253" i="23"/>
  <c r="T253" i="23" s="1"/>
  <c r="S253" i="23" s="1"/>
  <c r="R253" i="23" s="1"/>
  <c r="P253" i="23" s="1"/>
  <c r="V253" i="23" s="1"/>
  <c r="U261" i="23"/>
  <c r="T261" i="23" s="1"/>
  <c r="S261" i="23" s="1"/>
  <c r="R261" i="23" s="1"/>
  <c r="P261" i="23" s="1"/>
  <c r="V261" i="23" s="1"/>
  <c r="U269" i="23"/>
  <c r="T269" i="23" s="1"/>
  <c r="S269" i="23" s="1"/>
  <c r="R269" i="23" s="1"/>
  <c r="P269" i="23" s="1"/>
  <c r="V269" i="23" s="1"/>
  <c r="U277" i="23"/>
  <c r="T277" i="23" s="1"/>
  <c r="S277" i="23" s="1"/>
  <c r="R277" i="23" s="1"/>
  <c r="P277" i="23" s="1"/>
  <c r="V277" i="23" s="1"/>
  <c r="U285" i="23"/>
  <c r="T285" i="23" s="1"/>
  <c r="S285" i="23" s="1"/>
  <c r="R285" i="23" s="1"/>
  <c r="P285" i="23" s="1"/>
  <c r="V285" i="23" s="1"/>
  <c r="U293" i="23"/>
  <c r="T293" i="23" s="1"/>
  <c r="S293" i="23" s="1"/>
  <c r="R293" i="23" s="1"/>
  <c r="P293" i="23" s="1"/>
  <c r="V293" i="23" s="1"/>
  <c r="U301" i="23"/>
  <c r="T301" i="23" s="1"/>
  <c r="S301" i="23" s="1"/>
  <c r="R301" i="23" s="1"/>
  <c r="P301" i="23" s="1"/>
  <c r="V301" i="23" s="1"/>
  <c r="U309" i="23"/>
  <c r="T309" i="23" s="1"/>
  <c r="S309" i="23" s="1"/>
  <c r="R309" i="23" s="1"/>
  <c r="P309" i="23" s="1"/>
  <c r="V309" i="23" s="1"/>
  <c r="U317" i="23"/>
  <c r="T317" i="23" s="1"/>
  <c r="S317" i="23" s="1"/>
  <c r="R317" i="23" s="1"/>
  <c r="P317" i="23" s="1"/>
  <c r="V317" i="23" s="1"/>
  <c r="U325" i="23"/>
  <c r="T325" i="23" s="1"/>
  <c r="S325" i="23" s="1"/>
  <c r="R325" i="23" s="1"/>
  <c r="P325" i="23" s="1"/>
  <c r="V325" i="23" s="1"/>
  <c r="U333" i="23"/>
  <c r="T333" i="23" s="1"/>
  <c r="S333" i="23" s="1"/>
  <c r="R333" i="23" s="1"/>
  <c r="P333" i="23" s="1"/>
  <c r="U341" i="23"/>
  <c r="T341" i="23" s="1"/>
  <c r="S341" i="23" s="1"/>
  <c r="R341" i="23" s="1"/>
  <c r="P341" i="23" s="1"/>
  <c r="V341" i="23" s="1"/>
  <c r="U349" i="23"/>
  <c r="T349" i="23" s="1"/>
  <c r="S349" i="23" s="1"/>
  <c r="R349" i="23" s="1"/>
  <c r="P349" i="23" s="1"/>
  <c r="V349" i="23" s="1"/>
  <c r="U357" i="23"/>
  <c r="T357" i="23" s="1"/>
  <c r="S357" i="23" s="1"/>
  <c r="R357" i="23" s="1"/>
  <c r="P357" i="23" s="1"/>
  <c r="V357" i="23" s="1"/>
  <c r="U365" i="23"/>
  <c r="T365" i="23" s="1"/>
  <c r="S365" i="23" s="1"/>
  <c r="R365" i="23" s="1"/>
  <c r="P365" i="23" s="1"/>
  <c r="V365" i="23" s="1"/>
  <c r="U373" i="23"/>
  <c r="T373" i="23" s="1"/>
  <c r="S373" i="23" s="1"/>
  <c r="R373" i="23" s="1"/>
  <c r="P373" i="23" s="1"/>
  <c r="V373" i="23" s="1"/>
  <c r="AI18" i="23"/>
  <c r="AH18" i="23" s="1"/>
  <c r="AG18" i="23" s="1"/>
  <c r="AF18" i="23" s="1"/>
  <c r="AD18" i="23" s="1"/>
  <c r="AI25" i="23"/>
  <c r="AH25" i="23" s="1"/>
  <c r="AG25" i="23" s="1"/>
  <c r="AF25" i="23" s="1"/>
  <c r="AD25" i="23" s="1"/>
  <c r="AI33" i="23"/>
  <c r="AH33" i="23" s="1"/>
  <c r="AG33" i="23" s="1"/>
  <c r="AF33" i="23" s="1"/>
  <c r="AD33" i="23" s="1"/>
  <c r="AI41" i="23"/>
  <c r="AH41" i="23" s="1"/>
  <c r="AG41" i="23" s="1"/>
  <c r="AF41" i="23" s="1"/>
  <c r="AD41" i="23" s="1"/>
  <c r="AI49" i="23"/>
  <c r="AH49" i="23" s="1"/>
  <c r="AG49" i="23" s="1"/>
  <c r="AF49" i="23" s="1"/>
  <c r="AD49" i="23" s="1"/>
  <c r="AI57" i="23"/>
  <c r="AH57" i="23" s="1"/>
  <c r="AG57" i="23" s="1"/>
  <c r="AF57" i="23" s="1"/>
  <c r="AD57" i="23" s="1"/>
  <c r="AI63" i="23"/>
  <c r="AH63" i="23" s="1"/>
  <c r="AG63" i="23" s="1"/>
  <c r="AF63" i="23" s="1"/>
  <c r="AD63" i="23" s="1"/>
  <c r="AI67" i="23"/>
  <c r="AH67" i="23" s="1"/>
  <c r="AG67" i="23" s="1"/>
  <c r="AF67" i="23" s="1"/>
  <c r="AD67" i="23" s="1"/>
  <c r="U30" i="23"/>
  <c r="T30" i="23" s="1"/>
  <c r="S30" i="23" s="1"/>
  <c r="R30" i="23" s="1"/>
  <c r="P30" i="23" s="1"/>
  <c r="V30" i="23" s="1"/>
  <c r="U62" i="23"/>
  <c r="T62" i="23" s="1"/>
  <c r="S62" i="23" s="1"/>
  <c r="R62" i="23" s="1"/>
  <c r="P62" i="23" s="1"/>
  <c r="V62" i="23" s="1"/>
  <c r="U94" i="23"/>
  <c r="T94" i="23" s="1"/>
  <c r="S94" i="23" s="1"/>
  <c r="R94" i="23" s="1"/>
  <c r="P94" i="23" s="1"/>
  <c r="V94" i="23" s="1"/>
  <c r="U126" i="23"/>
  <c r="T126" i="23" s="1"/>
  <c r="S126" i="23" s="1"/>
  <c r="R126" i="23" s="1"/>
  <c r="P126" i="23" s="1"/>
  <c r="V126" i="23" s="1"/>
  <c r="U158" i="23"/>
  <c r="T158" i="23" s="1"/>
  <c r="S158" i="23" s="1"/>
  <c r="R158" i="23" s="1"/>
  <c r="P158" i="23" s="1"/>
  <c r="V158" i="23" s="1"/>
  <c r="U187" i="23"/>
  <c r="T187" i="23" s="1"/>
  <c r="S187" i="23" s="1"/>
  <c r="R187" i="23" s="1"/>
  <c r="P187" i="23" s="1"/>
  <c r="V187" i="23" s="1"/>
  <c r="U203" i="23"/>
  <c r="T203" i="23" s="1"/>
  <c r="S203" i="23" s="1"/>
  <c r="R203" i="23" s="1"/>
  <c r="P203" i="23" s="1"/>
  <c r="V203" i="23" s="1"/>
  <c r="U219" i="23"/>
  <c r="T219" i="23" s="1"/>
  <c r="S219" i="23" s="1"/>
  <c r="R219" i="23" s="1"/>
  <c r="P219" i="23" s="1"/>
  <c r="V219" i="23" s="1"/>
  <c r="U235" i="23"/>
  <c r="T235" i="23" s="1"/>
  <c r="S235" i="23" s="1"/>
  <c r="R235" i="23" s="1"/>
  <c r="P235" i="23" s="1"/>
  <c r="V235" i="23" s="1"/>
  <c r="U251" i="23"/>
  <c r="T251" i="23" s="1"/>
  <c r="S251" i="23" s="1"/>
  <c r="R251" i="23" s="1"/>
  <c r="P251" i="23" s="1"/>
  <c r="V251" i="23" s="1"/>
  <c r="U267" i="23"/>
  <c r="T267" i="23" s="1"/>
  <c r="S267" i="23" s="1"/>
  <c r="R267" i="23" s="1"/>
  <c r="P267" i="23" s="1"/>
  <c r="V267" i="23" s="1"/>
  <c r="U283" i="23"/>
  <c r="T283" i="23" s="1"/>
  <c r="S283" i="23" s="1"/>
  <c r="R283" i="23" s="1"/>
  <c r="P283" i="23" s="1"/>
  <c r="V283" i="23" s="1"/>
  <c r="U299" i="23"/>
  <c r="T299" i="23" s="1"/>
  <c r="S299" i="23" s="1"/>
  <c r="R299" i="23" s="1"/>
  <c r="P299" i="23" s="1"/>
  <c r="V299" i="23" s="1"/>
  <c r="U315" i="23"/>
  <c r="T315" i="23" s="1"/>
  <c r="S315" i="23" s="1"/>
  <c r="R315" i="23" s="1"/>
  <c r="P315" i="23" s="1"/>
  <c r="V315" i="23" s="1"/>
  <c r="U331" i="23"/>
  <c r="T331" i="23" s="1"/>
  <c r="S331" i="23" s="1"/>
  <c r="R331" i="23" s="1"/>
  <c r="P331" i="23" s="1"/>
  <c r="V331" i="23" s="1"/>
  <c r="U347" i="23"/>
  <c r="T347" i="23" s="1"/>
  <c r="S347" i="23" s="1"/>
  <c r="R347" i="23" s="1"/>
  <c r="P347" i="23" s="1"/>
  <c r="V347" i="23" s="1"/>
  <c r="U363" i="23"/>
  <c r="T363" i="23" s="1"/>
  <c r="S363" i="23" s="1"/>
  <c r="R363" i="23" s="1"/>
  <c r="P363" i="23" s="1"/>
  <c r="U379" i="23"/>
  <c r="AI19" i="23"/>
  <c r="AH19" i="23" s="1"/>
  <c r="AG19" i="23" s="1"/>
  <c r="AF19" i="23" s="1"/>
  <c r="AD19" i="23" s="1"/>
  <c r="AI39" i="23"/>
  <c r="AH39" i="23" s="1"/>
  <c r="AG39" i="23" s="1"/>
  <c r="AF39" i="23" s="1"/>
  <c r="AD39" i="23" s="1"/>
  <c r="AI55" i="23"/>
  <c r="AH55" i="23" s="1"/>
  <c r="AG55" i="23" s="1"/>
  <c r="AF55" i="23" s="1"/>
  <c r="AD55" i="23" s="1"/>
  <c r="AI66" i="23"/>
  <c r="AH66" i="23" s="1"/>
  <c r="AG66" i="23" s="1"/>
  <c r="AF66" i="23" s="1"/>
  <c r="AD66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78" i="23"/>
  <c r="AH378" i="23" s="1"/>
  <c r="AG378" i="23" s="1"/>
  <c r="AF378" i="23" s="1"/>
  <c r="AD378" i="23" s="1"/>
  <c r="AI374" i="23"/>
  <c r="AH374" i="23" s="1"/>
  <c r="AG374" i="23" s="1"/>
  <c r="AF374" i="23" s="1"/>
  <c r="AD374" i="23" s="1"/>
  <c r="AI370" i="23"/>
  <c r="AH370" i="23" s="1"/>
  <c r="AG370" i="23" s="1"/>
  <c r="AF370" i="23" s="1"/>
  <c r="AD370" i="23" s="1"/>
  <c r="AI366" i="23"/>
  <c r="AH366" i="23" s="1"/>
  <c r="AG366" i="23" s="1"/>
  <c r="AF366" i="23" s="1"/>
  <c r="AD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G346" i="23" s="1"/>
  <c r="AF346" i="23" s="1"/>
  <c r="AD346" i="23" s="1"/>
  <c r="AI342" i="23"/>
  <c r="AH342" i="23" s="1"/>
  <c r="AG342" i="23" s="1"/>
  <c r="AF342" i="23" s="1"/>
  <c r="AD342" i="23" s="1"/>
  <c r="AI338" i="23"/>
  <c r="AH338" i="23" s="1"/>
  <c r="AG338" i="23" s="1"/>
  <c r="AF338" i="23" s="1"/>
  <c r="AD338" i="23" s="1"/>
  <c r="AI334" i="23"/>
  <c r="AH334" i="23" s="1"/>
  <c r="AG334" i="23" s="1"/>
  <c r="AF334" i="23" s="1"/>
  <c r="AD334" i="23" s="1"/>
  <c r="AI330" i="23"/>
  <c r="AH330" i="23" s="1"/>
  <c r="AG330" i="23" s="1"/>
  <c r="AF330" i="23" s="1"/>
  <c r="AD330" i="23" s="1"/>
  <c r="AI326" i="23"/>
  <c r="AH326" i="23" s="1"/>
  <c r="AG326" i="23" s="1"/>
  <c r="AF326" i="23" s="1"/>
  <c r="AD326" i="23" s="1"/>
  <c r="AI328" i="23"/>
  <c r="AH328" i="23" s="1"/>
  <c r="AG328" i="23" s="1"/>
  <c r="AF328" i="23" s="1"/>
  <c r="AD328" i="23" s="1"/>
  <c r="AI321" i="23"/>
  <c r="AH321" i="23" s="1"/>
  <c r="AG321" i="23" s="1"/>
  <c r="AF321" i="23" s="1"/>
  <c r="AD321" i="23" s="1"/>
  <c r="AI313" i="23"/>
  <c r="AH313" i="23" s="1"/>
  <c r="AG313" i="23" s="1"/>
  <c r="AF313" i="23" s="1"/>
  <c r="AD313" i="23" s="1"/>
  <c r="AI305" i="23"/>
  <c r="AH305" i="23" s="1"/>
  <c r="AG305" i="23" s="1"/>
  <c r="AF305" i="23" s="1"/>
  <c r="AD305" i="23" s="1"/>
  <c r="AI297" i="23"/>
  <c r="AH297" i="23" s="1"/>
  <c r="AG297" i="23" s="1"/>
  <c r="AF297" i="23" s="1"/>
  <c r="AD297" i="23" s="1"/>
  <c r="AI289" i="23"/>
  <c r="AH289" i="23" s="1"/>
  <c r="AG289" i="23" s="1"/>
  <c r="AF289" i="23" s="1"/>
  <c r="AD289" i="23" s="1"/>
  <c r="AI281" i="23"/>
  <c r="AH281" i="23" s="1"/>
  <c r="AG281" i="23" s="1"/>
  <c r="AF281" i="23" s="1"/>
  <c r="AD281" i="23" s="1"/>
  <c r="AI273" i="23"/>
  <c r="AH273" i="23" s="1"/>
  <c r="AG273" i="23" s="1"/>
  <c r="AF273" i="23" s="1"/>
  <c r="AD273" i="23" s="1"/>
  <c r="AI265" i="23"/>
  <c r="AH265" i="23" s="1"/>
  <c r="AG265" i="23" s="1"/>
  <c r="AF265" i="23" s="1"/>
  <c r="AD265" i="23" s="1"/>
  <c r="AI257" i="23"/>
  <c r="AH257" i="23" s="1"/>
  <c r="AG257" i="23" s="1"/>
  <c r="AF257" i="23" s="1"/>
  <c r="AD257" i="23" s="1"/>
  <c r="AI249" i="23"/>
  <c r="AH249" i="23" s="1"/>
  <c r="AG249" i="23" s="1"/>
  <c r="AF249" i="23" s="1"/>
  <c r="AD249" i="23" s="1"/>
  <c r="AI241" i="23"/>
  <c r="AH241" i="23" s="1"/>
  <c r="AG241" i="23" s="1"/>
  <c r="AF241" i="23" s="1"/>
  <c r="AD241" i="23" s="1"/>
  <c r="AI233" i="23"/>
  <c r="AH233" i="23" s="1"/>
  <c r="AG233" i="23" s="1"/>
  <c r="AF233" i="23" s="1"/>
  <c r="AD233" i="23" s="1"/>
  <c r="AI225" i="23"/>
  <c r="AH225" i="23" s="1"/>
  <c r="AG225" i="23" s="1"/>
  <c r="AF225" i="23" s="1"/>
  <c r="AD225" i="23" s="1"/>
  <c r="AI217" i="23"/>
  <c r="AH217" i="23" s="1"/>
  <c r="AG217" i="23" s="1"/>
  <c r="AF217" i="23" s="1"/>
  <c r="AD217" i="23" s="1"/>
  <c r="AI209" i="23"/>
  <c r="AH209" i="23" s="1"/>
  <c r="AG209" i="23" s="1"/>
  <c r="AF209" i="23" s="1"/>
  <c r="AD209" i="23" s="1"/>
  <c r="AI201" i="23"/>
  <c r="AH201" i="23" s="1"/>
  <c r="AG201" i="23" s="1"/>
  <c r="AF201" i="23" s="1"/>
  <c r="AD201" i="23" s="1"/>
  <c r="AI193" i="23"/>
  <c r="AH193" i="23" s="1"/>
  <c r="AG193" i="23" s="1"/>
  <c r="AF193" i="23" s="1"/>
  <c r="AD193" i="23" s="1"/>
  <c r="AI185" i="23"/>
  <c r="AH185" i="23" s="1"/>
  <c r="AG185" i="23" s="1"/>
  <c r="AF185" i="23" s="1"/>
  <c r="AD185" i="23" s="1"/>
  <c r="AI177" i="23"/>
  <c r="AH177" i="23" s="1"/>
  <c r="AG177" i="23" s="1"/>
  <c r="AF177" i="23" s="1"/>
  <c r="AD177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59" i="23"/>
  <c r="AH59" i="23" s="1"/>
  <c r="AG59" i="23" s="1"/>
  <c r="AF59" i="23" s="1"/>
  <c r="AD59" i="23" s="1"/>
  <c r="AI27" i="23"/>
  <c r="AH27" i="23" s="1"/>
  <c r="AG27" i="23" s="1"/>
  <c r="AF27" i="23" s="1"/>
  <c r="AD27" i="23" s="1"/>
  <c r="U351" i="23"/>
  <c r="T351" i="23" s="1"/>
  <c r="S351" i="23" s="1"/>
  <c r="R351" i="23" s="1"/>
  <c r="P351" i="23" s="1"/>
  <c r="V351" i="23" s="1"/>
  <c r="U319" i="23"/>
  <c r="T319" i="23" s="1"/>
  <c r="S319" i="23" s="1"/>
  <c r="R319" i="23" s="1"/>
  <c r="P319" i="23" s="1"/>
  <c r="V319" i="23" s="1"/>
  <c r="U287" i="23"/>
  <c r="T287" i="23" s="1"/>
  <c r="S287" i="23" s="1"/>
  <c r="R287" i="23" s="1"/>
  <c r="P287" i="23" s="1"/>
  <c r="V287" i="23" s="1"/>
  <c r="U255" i="23"/>
  <c r="T255" i="23" s="1"/>
  <c r="S255" i="23" s="1"/>
  <c r="R255" i="23" s="1"/>
  <c r="P255" i="23" s="1"/>
  <c r="V255" i="23" s="1"/>
  <c r="U223" i="23"/>
  <c r="T223" i="23" s="1"/>
  <c r="S223" i="23" s="1"/>
  <c r="R223" i="23" s="1"/>
  <c r="P223" i="23" s="1"/>
  <c r="V223" i="23" s="1"/>
  <c r="U191" i="23"/>
  <c r="T191" i="23" s="1"/>
  <c r="S191" i="23" s="1"/>
  <c r="R191" i="23" s="1"/>
  <c r="P191" i="23" s="1"/>
  <c r="V191" i="23" s="1"/>
  <c r="U134" i="23"/>
  <c r="T134" i="23" s="1"/>
  <c r="S134" i="23" s="1"/>
  <c r="R134" i="23" s="1"/>
  <c r="P134" i="23" s="1"/>
  <c r="V134" i="23" s="1"/>
  <c r="U70" i="23"/>
  <c r="T70" i="23" s="1"/>
  <c r="S70" i="23" s="1"/>
  <c r="R70" i="23" s="1"/>
  <c r="P70" i="23" s="1"/>
  <c r="V70" i="23" s="1"/>
  <c r="U15" i="23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1" i="23"/>
  <c r="T31" i="23" s="1"/>
  <c r="S31" i="23" s="1"/>
  <c r="R31" i="23" s="1"/>
  <c r="P31" i="23" s="1"/>
  <c r="V31" i="23" s="1"/>
  <c r="U35" i="23"/>
  <c r="T35" i="23" s="1"/>
  <c r="S35" i="23" s="1"/>
  <c r="R35" i="23" s="1"/>
  <c r="P35" i="23" s="1"/>
  <c r="V35" i="23" s="1"/>
  <c r="U39" i="23"/>
  <c r="T39" i="23" s="1"/>
  <c r="S39" i="23" s="1"/>
  <c r="R39" i="23" s="1"/>
  <c r="P39" i="23" s="1"/>
  <c r="V39" i="23" s="1"/>
  <c r="U43" i="23"/>
  <c r="T43" i="23" s="1"/>
  <c r="S43" i="23" s="1"/>
  <c r="R43" i="23" s="1"/>
  <c r="P43" i="23" s="1"/>
  <c r="V43" i="23" s="1"/>
  <c r="U47" i="23"/>
  <c r="T47" i="23" s="1"/>
  <c r="S47" i="23" s="1"/>
  <c r="R47" i="23" s="1"/>
  <c r="P47" i="23" s="1"/>
  <c r="V47" i="23" s="1"/>
  <c r="U51" i="23"/>
  <c r="T51" i="23" s="1"/>
  <c r="S51" i="23" s="1"/>
  <c r="R51" i="23" s="1"/>
  <c r="P51" i="23" s="1"/>
  <c r="V51" i="23" s="1"/>
  <c r="U55" i="23"/>
  <c r="T55" i="23" s="1"/>
  <c r="S55" i="23" s="1"/>
  <c r="R55" i="23" s="1"/>
  <c r="P55" i="23" s="1"/>
  <c r="V55" i="23" s="1"/>
  <c r="U59" i="23"/>
  <c r="T59" i="23" s="1"/>
  <c r="S59" i="23" s="1"/>
  <c r="R59" i="23" s="1"/>
  <c r="P59" i="23" s="1"/>
  <c r="V59" i="23" s="1"/>
  <c r="U63" i="23"/>
  <c r="T63" i="23" s="1"/>
  <c r="S63" i="23" s="1"/>
  <c r="R63" i="23" s="1"/>
  <c r="P63" i="23" s="1"/>
  <c r="V63" i="23" s="1"/>
  <c r="U67" i="23"/>
  <c r="T67" i="23" s="1"/>
  <c r="S67" i="23" s="1"/>
  <c r="R67" i="23" s="1"/>
  <c r="P67" i="23" s="1"/>
  <c r="V67" i="23" s="1"/>
  <c r="U71" i="23"/>
  <c r="T71" i="23" s="1"/>
  <c r="S71" i="23" s="1"/>
  <c r="R71" i="23" s="1"/>
  <c r="P71" i="23" s="1"/>
  <c r="V71" i="23" s="1"/>
  <c r="U75" i="23"/>
  <c r="T75" i="23" s="1"/>
  <c r="S75" i="23" s="1"/>
  <c r="R75" i="23" s="1"/>
  <c r="P75" i="23" s="1"/>
  <c r="V75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AI324" i="23"/>
  <c r="AH324" i="23" s="1"/>
  <c r="AG324" i="23" s="1"/>
  <c r="AF324" i="23" s="1"/>
  <c r="AD324" i="23" s="1"/>
  <c r="AI317" i="23"/>
  <c r="AH317" i="23" s="1"/>
  <c r="AG317" i="23" s="1"/>
  <c r="AF317" i="23" s="1"/>
  <c r="AD317" i="23" s="1"/>
  <c r="AI309" i="23"/>
  <c r="AH309" i="23" s="1"/>
  <c r="AG309" i="23" s="1"/>
  <c r="AF309" i="23" s="1"/>
  <c r="AD309" i="23" s="1"/>
  <c r="AI301" i="23"/>
  <c r="AH301" i="23" s="1"/>
  <c r="AG301" i="23" s="1"/>
  <c r="AF301" i="23" s="1"/>
  <c r="AD301" i="23" s="1"/>
  <c r="AI293" i="23"/>
  <c r="AH293" i="23" s="1"/>
  <c r="AG293" i="23" s="1"/>
  <c r="AF293" i="23" s="1"/>
  <c r="AD293" i="23" s="1"/>
  <c r="AI285" i="23"/>
  <c r="AH285" i="23" s="1"/>
  <c r="AG285" i="23" s="1"/>
  <c r="AF285" i="23" s="1"/>
  <c r="AD285" i="23" s="1"/>
  <c r="AI277" i="23"/>
  <c r="AH277" i="23" s="1"/>
  <c r="AG277" i="23" s="1"/>
  <c r="AF277" i="23" s="1"/>
  <c r="AD277" i="23" s="1"/>
  <c r="AI269" i="23"/>
  <c r="AH269" i="23" s="1"/>
  <c r="AG269" i="23" s="1"/>
  <c r="AF269" i="23" s="1"/>
  <c r="AD269" i="23" s="1"/>
  <c r="AI261" i="23"/>
  <c r="AH261" i="23" s="1"/>
  <c r="AG261" i="23" s="1"/>
  <c r="AF261" i="23" s="1"/>
  <c r="AD261" i="23" s="1"/>
  <c r="AI253" i="23"/>
  <c r="AH253" i="23" s="1"/>
  <c r="AG253" i="23" s="1"/>
  <c r="AF253" i="23" s="1"/>
  <c r="AD253" i="23" s="1"/>
  <c r="AI245" i="23"/>
  <c r="AH245" i="23" s="1"/>
  <c r="AG245" i="23" s="1"/>
  <c r="AF245" i="23" s="1"/>
  <c r="AD245" i="23" s="1"/>
  <c r="AI237" i="23"/>
  <c r="AH237" i="23" s="1"/>
  <c r="AG237" i="23" s="1"/>
  <c r="AF237" i="23" s="1"/>
  <c r="AD237" i="23" s="1"/>
  <c r="AI229" i="23"/>
  <c r="AH229" i="23" s="1"/>
  <c r="AG229" i="23" s="1"/>
  <c r="AF229" i="23" s="1"/>
  <c r="AD229" i="23" s="1"/>
  <c r="AI221" i="23"/>
  <c r="AH221" i="23" s="1"/>
  <c r="AG221" i="23" s="1"/>
  <c r="AF221" i="23" s="1"/>
  <c r="AD221" i="23" s="1"/>
  <c r="AI213" i="23"/>
  <c r="AH213" i="23" s="1"/>
  <c r="AG213" i="23" s="1"/>
  <c r="AF213" i="23" s="1"/>
  <c r="AD213" i="23" s="1"/>
  <c r="AI205" i="23"/>
  <c r="AH205" i="23" s="1"/>
  <c r="AG205" i="23" s="1"/>
  <c r="AF205" i="23" s="1"/>
  <c r="AD205" i="23" s="1"/>
  <c r="AI197" i="23"/>
  <c r="AH197" i="23" s="1"/>
  <c r="AG197" i="23" s="1"/>
  <c r="AF197" i="23" s="1"/>
  <c r="AD197" i="23" s="1"/>
  <c r="AI189" i="23"/>
  <c r="AH189" i="23" s="1"/>
  <c r="AG189" i="23" s="1"/>
  <c r="AF189" i="23" s="1"/>
  <c r="AD189" i="23" s="1"/>
  <c r="AI181" i="23"/>
  <c r="AH181" i="23" s="1"/>
  <c r="AG181" i="23" s="1"/>
  <c r="AF181" i="23" s="1"/>
  <c r="AD181" i="23" s="1"/>
  <c r="AI173" i="23"/>
  <c r="AH173" i="23" s="1"/>
  <c r="AG173" i="23" s="1"/>
  <c r="AF173" i="23" s="1"/>
  <c r="AD173" i="23" s="1"/>
  <c r="AI165" i="23"/>
  <c r="AH165" i="23" s="1"/>
  <c r="AG165" i="23" s="1"/>
  <c r="AF165" i="23" s="1"/>
  <c r="AD165" i="23" s="1"/>
  <c r="AI157" i="23"/>
  <c r="AH157" i="23" s="1"/>
  <c r="AG157" i="23" s="1"/>
  <c r="AF157" i="23" s="1"/>
  <c r="AD157" i="23" s="1"/>
  <c r="AI149" i="23"/>
  <c r="AH149" i="23" s="1"/>
  <c r="AG149" i="23" s="1"/>
  <c r="AF149" i="23" s="1"/>
  <c r="AD149" i="23" s="1"/>
  <c r="AI141" i="23"/>
  <c r="AH141" i="23" s="1"/>
  <c r="AG141" i="23" s="1"/>
  <c r="AF141" i="23" s="1"/>
  <c r="AD141" i="23" s="1"/>
  <c r="AI133" i="23"/>
  <c r="AH133" i="23" s="1"/>
  <c r="AG133" i="23" s="1"/>
  <c r="AF133" i="23" s="1"/>
  <c r="AD133" i="23" s="1"/>
  <c r="AI125" i="23"/>
  <c r="AH125" i="23" s="1"/>
  <c r="AG125" i="23" s="1"/>
  <c r="AF125" i="23" s="1"/>
  <c r="AD125" i="23" s="1"/>
  <c r="AI117" i="23"/>
  <c r="AH117" i="23" s="1"/>
  <c r="AG117" i="23" s="1"/>
  <c r="AF117" i="23" s="1"/>
  <c r="AD117" i="23" s="1"/>
  <c r="AI109" i="23"/>
  <c r="AH109" i="23" s="1"/>
  <c r="AG109" i="23" s="1"/>
  <c r="AF109" i="23" s="1"/>
  <c r="AD109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8" i="23"/>
  <c r="AH68" i="23" s="1"/>
  <c r="AG68" i="23" s="1"/>
  <c r="AF68" i="23" s="1"/>
  <c r="AD68" i="23" s="1"/>
  <c r="AI43" i="23"/>
  <c r="AH43" i="23" s="1"/>
  <c r="AG43" i="23" s="1"/>
  <c r="AF43" i="23" s="1"/>
  <c r="AD43" i="23" s="1"/>
  <c r="U367" i="23"/>
  <c r="T367" i="23" s="1"/>
  <c r="S367" i="23" s="1"/>
  <c r="R367" i="23" s="1"/>
  <c r="P367" i="23" s="1"/>
  <c r="V367" i="23" s="1"/>
  <c r="U335" i="23"/>
  <c r="T335" i="23" s="1"/>
  <c r="S335" i="23" s="1"/>
  <c r="R335" i="23" s="1"/>
  <c r="P335" i="23" s="1"/>
  <c r="V335" i="23" s="1"/>
  <c r="U303" i="23"/>
  <c r="T303" i="23" s="1"/>
  <c r="S303" i="23" s="1"/>
  <c r="R303" i="23" s="1"/>
  <c r="P303" i="23" s="1"/>
  <c r="V303" i="23" s="1"/>
  <c r="U271" i="23"/>
  <c r="T271" i="23" s="1"/>
  <c r="S271" i="23" s="1"/>
  <c r="R271" i="23" s="1"/>
  <c r="P271" i="23" s="1"/>
  <c r="V271" i="23" s="1"/>
  <c r="U239" i="23"/>
  <c r="T239" i="23" s="1"/>
  <c r="S239" i="23" s="1"/>
  <c r="R239" i="23" s="1"/>
  <c r="P239" i="23" s="1"/>
  <c r="V239" i="23" s="1"/>
  <c r="U207" i="23"/>
  <c r="T207" i="23" s="1"/>
  <c r="S207" i="23" s="1"/>
  <c r="R207" i="23" s="1"/>
  <c r="P207" i="23" s="1"/>
  <c r="V207" i="23" s="1"/>
  <c r="U166" i="23"/>
  <c r="T166" i="23" s="1"/>
  <c r="S166" i="23" s="1"/>
  <c r="R166" i="23" s="1"/>
  <c r="P166" i="23" s="1"/>
  <c r="V166" i="23" s="1"/>
  <c r="U102" i="23"/>
  <c r="T102" i="23" s="1"/>
  <c r="S102" i="23" s="1"/>
  <c r="R102" i="23" s="1"/>
  <c r="P102" i="23" s="1"/>
  <c r="V102" i="23" s="1"/>
  <c r="U38" i="23"/>
  <c r="T38" i="23" s="1"/>
  <c r="S38" i="23" s="1"/>
  <c r="R38" i="23" s="1"/>
  <c r="P38" i="23" s="1"/>
  <c r="V38" i="23" s="1"/>
  <c r="AU16" i="7"/>
  <c r="U22" i="23"/>
  <c r="T22" i="23" s="1"/>
  <c r="S22" i="23" s="1"/>
  <c r="R22" i="23" s="1"/>
  <c r="P22" i="23" s="1"/>
  <c r="V22" i="23" s="1"/>
  <c r="U16" i="23"/>
  <c r="T16" i="23" s="1"/>
  <c r="S16" i="23" s="1"/>
  <c r="R16" i="23" s="1"/>
  <c r="P16" i="23" s="1"/>
  <c r="V16" i="23" s="1"/>
  <c r="U25" i="23"/>
  <c r="T25" i="23" s="1"/>
  <c r="S25" i="23" s="1"/>
  <c r="R25" i="23" s="1"/>
  <c r="P25" i="23" s="1"/>
  <c r="V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U37" i="23"/>
  <c r="T37" i="23" s="1"/>
  <c r="S37" i="23" s="1"/>
  <c r="R37" i="23" s="1"/>
  <c r="P37" i="23" s="1"/>
  <c r="V37" i="23" s="1"/>
  <c r="U41" i="23"/>
  <c r="T41" i="23" s="1"/>
  <c r="S41" i="23" s="1"/>
  <c r="R41" i="23" s="1"/>
  <c r="P41" i="23" s="1"/>
  <c r="V41" i="23" s="1"/>
  <c r="U45" i="23"/>
  <c r="T45" i="23" s="1"/>
  <c r="S45" i="23" s="1"/>
  <c r="R45" i="23" s="1"/>
  <c r="P45" i="23" s="1"/>
  <c r="V45" i="23" s="1"/>
  <c r="U49" i="23"/>
  <c r="T49" i="23" s="1"/>
  <c r="S49" i="23" s="1"/>
  <c r="R49" i="23" s="1"/>
  <c r="P49" i="23" s="1"/>
  <c r="V49" i="23" s="1"/>
  <c r="U53" i="23"/>
  <c r="T53" i="23" s="1"/>
  <c r="S53" i="23" s="1"/>
  <c r="R53" i="23" s="1"/>
  <c r="P53" i="23" s="1"/>
  <c r="V53" i="23" s="1"/>
  <c r="U57" i="23"/>
  <c r="T57" i="23" s="1"/>
  <c r="S57" i="23" s="1"/>
  <c r="R57" i="23" s="1"/>
  <c r="P57" i="23" s="1"/>
  <c r="V57" i="23" s="1"/>
  <c r="U61" i="23"/>
  <c r="T61" i="23" s="1"/>
  <c r="S61" i="23" s="1"/>
  <c r="R61" i="23" s="1"/>
  <c r="P61" i="23" s="1"/>
  <c r="V61" i="23" s="1"/>
  <c r="U65" i="23"/>
  <c r="T65" i="23" s="1"/>
  <c r="S65" i="23" s="1"/>
  <c r="R65" i="23" s="1"/>
  <c r="P65" i="23" s="1"/>
  <c r="V65" i="23" s="1"/>
  <c r="U69" i="23"/>
  <c r="T69" i="23" s="1"/>
  <c r="S69" i="23" s="1"/>
  <c r="R69" i="23" s="1"/>
  <c r="P69" i="23" s="1"/>
  <c r="V69" i="23" s="1"/>
  <c r="U73" i="23"/>
  <c r="T73" i="23" s="1"/>
  <c r="S73" i="23" s="1"/>
  <c r="R73" i="23" s="1"/>
  <c r="P73" i="23" s="1"/>
  <c r="V73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S381" i="22"/>
  <c r="S382" i="22"/>
  <c r="S383" i="22"/>
  <c r="R15" i="22"/>
  <c r="U231" i="23"/>
  <c r="T231" i="23" s="1"/>
  <c r="S231" i="23" s="1"/>
  <c r="R231" i="23" s="1"/>
  <c r="P231" i="23" s="1"/>
  <c r="V231" i="23" s="1"/>
  <c r="U295" i="23"/>
  <c r="T295" i="23" s="1"/>
  <c r="S295" i="23" s="1"/>
  <c r="R295" i="23" s="1"/>
  <c r="P295" i="23" s="1"/>
  <c r="V295" i="23" s="1"/>
  <c r="U20" i="23"/>
  <c r="T20" i="23" s="1"/>
  <c r="S20" i="23" s="1"/>
  <c r="R20" i="23" s="1"/>
  <c r="P20" i="23" s="1"/>
  <c r="V20" i="23" s="1"/>
  <c r="U263" i="23"/>
  <c r="T263" i="23" s="1"/>
  <c r="S263" i="23" s="1"/>
  <c r="R263" i="23" s="1"/>
  <c r="P263" i="23" s="1"/>
  <c r="V263" i="23" s="1"/>
  <c r="U86" i="23"/>
  <c r="T86" i="23" s="1"/>
  <c r="S86" i="23" s="1"/>
  <c r="R86" i="23" s="1"/>
  <c r="P86" i="23" s="1"/>
  <c r="V86" i="23" s="1"/>
  <c r="AI371" i="23"/>
  <c r="AH371" i="23" s="1"/>
  <c r="AG371" i="23" s="1"/>
  <c r="AF371" i="23" s="1"/>
  <c r="AD371" i="23" s="1"/>
  <c r="AI339" i="23"/>
  <c r="AH339" i="23" s="1"/>
  <c r="AG339" i="23" s="1"/>
  <c r="AF339" i="23" s="1"/>
  <c r="AD339" i="23" s="1"/>
  <c r="AI291" i="23"/>
  <c r="AH291" i="23" s="1"/>
  <c r="AG291" i="23" s="1"/>
  <c r="AF291" i="23" s="1"/>
  <c r="AD291" i="23" s="1"/>
  <c r="AI227" i="23"/>
  <c r="AH227" i="23" s="1"/>
  <c r="AG227" i="23" s="1"/>
  <c r="AF227" i="23" s="1"/>
  <c r="AD227" i="23" s="1"/>
  <c r="AI379" i="23"/>
  <c r="AI12" i="24" s="1"/>
  <c r="AI347" i="23"/>
  <c r="AH347" i="23" s="1"/>
  <c r="AG347" i="23" s="1"/>
  <c r="AF347" i="23" s="1"/>
  <c r="AD347" i="23" s="1"/>
  <c r="AI307" i="23"/>
  <c r="AH307" i="23" s="1"/>
  <c r="AG307" i="23" s="1"/>
  <c r="AF307" i="23" s="1"/>
  <c r="AD307" i="23" s="1"/>
  <c r="AI243" i="23"/>
  <c r="AH243" i="23" s="1"/>
  <c r="AG243" i="23" s="1"/>
  <c r="AF243" i="23" s="1"/>
  <c r="AD243" i="23" s="1"/>
  <c r="AI195" i="23"/>
  <c r="AH195" i="23" s="1"/>
  <c r="AG195" i="23" s="1"/>
  <c r="AF195" i="23" s="1"/>
  <c r="AD195" i="23" s="1"/>
  <c r="AI147" i="23"/>
  <c r="AH147" i="23" s="1"/>
  <c r="AG147" i="23" s="1"/>
  <c r="AF147" i="23" s="1"/>
  <c r="AD147" i="23" s="1"/>
  <c r="AI115" i="23"/>
  <c r="AH115" i="23" s="1"/>
  <c r="AG115" i="23" s="1"/>
  <c r="AF115" i="23" s="1"/>
  <c r="AD115" i="23" s="1"/>
  <c r="AI83" i="23"/>
  <c r="AH83" i="23" s="1"/>
  <c r="AG83" i="23" s="1"/>
  <c r="AF83" i="23" s="1"/>
  <c r="AD83" i="23" s="1"/>
  <c r="AI375" i="23"/>
  <c r="AH375" i="23" s="1"/>
  <c r="AG375" i="23" s="1"/>
  <c r="AF375" i="23" s="1"/>
  <c r="AD375" i="23" s="1"/>
  <c r="AI359" i="23"/>
  <c r="AH359" i="23" s="1"/>
  <c r="AG359" i="23" s="1"/>
  <c r="AF359" i="23" s="1"/>
  <c r="AD359" i="23" s="1"/>
  <c r="AI343" i="23"/>
  <c r="AH343" i="23" s="1"/>
  <c r="AG343" i="23" s="1"/>
  <c r="AF343" i="23" s="1"/>
  <c r="AD343" i="23" s="1"/>
  <c r="AI327" i="23"/>
  <c r="AH327" i="23" s="1"/>
  <c r="AG327" i="23" s="1"/>
  <c r="AF327" i="23" s="1"/>
  <c r="AD327" i="23" s="1"/>
  <c r="AI299" i="23"/>
  <c r="AH299" i="23" s="1"/>
  <c r="AG299" i="23" s="1"/>
  <c r="AF299" i="23" s="1"/>
  <c r="AD299" i="23" s="1"/>
  <c r="AI267" i="23"/>
  <c r="AH267" i="23" s="1"/>
  <c r="AG267" i="23" s="1"/>
  <c r="AF267" i="23" s="1"/>
  <c r="AD267" i="23" s="1"/>
  <c r="AI235" i="23"/>
  <c r="AH235" i="23" s="1"/>
  <c r="AG235" i="23" s="1"/>
  <c r="AF235" i="23" s="1"/>
  <c r="AD235" i="23" s="1"/>
  <c r="AI203" i="23"/>
  <c r="AH203" i="23" s="1"/>
  <c r="AG203" i="23" s="1"/>
  <c r="AF203" i="23" s="1"/>
  <c r="AD203" i="23" s="1"/>
  <c r="AI171" i="23"/>
  <c r="AH171" i="23" s="1"/>
  <c r="AG171" i="23" s="1"/>
  <c r="AF171" i="23" s="1"/>
  <c r="AD171" i="23" s="1"/>
  <c r="AI139" i="23"/>
  <c r="AH139" i="23" s="1"/>
  <c r="AG139" i="23" s="1"/>
  <c r="AF139" i="23" s="1"/>
  <c r="AD139" i="23" s="1"/>
  <c r="AI107" i="23"/>
  <c r="AH107" i="23" s="1"/>
  <c r="AG107" i="23" s="1"/>
  <c r="AF107" i="23" s="1"/>
  <c r="AD107" i="23" s="1"/>
  <c r="AI75" i="23"/>
  <c r="AH75" i="23" s="1"/>
  <c r="AG75" i="23" s="1"/>
  <c r="AF75" i="23" s="1"/>
  <c r="AD75" i="23" s="1"/>
  <c r="U359" i="23"/>
  <c r="T359" i="23" s="1"/>
  <c r="S359" i="23" s="1"/>
  <c r="R359" i="23" s="1"/>
  <c r="P359" i="23" s="1"/>
  <c r="V359" i="23" s="1"/>
  <c r="U23" i="23"/>
  <c r="T23" i="23" s="1"/>
  <c r="S23" i="23" s="1"/>
  <c r="R23" i="23" s="1"/>
  <c r="P23" i="23" s="1"/>
  <c r="V23" i="23" s="1"/>
  <c r="U150" i="23"/>
  <c r="T150" i="23" s="1"/>
  <c r="S150" i="23" s="1"/>
  <c r="R150" i="23" s="1"/>
  <c r="P150" i="23" s="1"/>
  <c r="V150" i="23" s="1"/>
  <c r="U327" i="23"/>
  <c r="T327" i="23" s="1"/>
  <c r="S327" i="23" s="1"/>
  <c r="R327" i="23" s="1"/>
  <c r="P327" i="23" s="1"/>
  <c r="V327" i="23" s="1"/>
  <c r="U199" i="23"/>
  <c r="T199" i="23" s="1"/>
  <c r="S199" i="23" s="1"/>
  <c r="R199" i="23" s="1"/>
  <c r="P199" i="23" s="1"/>
  <c r="V199" i="23" s="1"/>
  <c r="V15" i="20"/>
  <c r="P381" i="20"/>
  <c r="P382" i="20"/>
  <c r="P383" i="20"/>
  <c r="AH35" i="23"/>
  <c r="AG383" i="22"/>
  <c r="AF15" i="22"/>
  <c r="AG382" i="22"/>
  <c r="AG381" i="22"/>
  <c r="AD381" i="20"/>
  <c r="AD382" i="20"/>
  <c r="AD383" i="20"/>
  <c r="Q49" i="25"/>
  <c r="Q33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F15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Q382" i="25" l="1"/>
  <c r="AH379" i="23"/>
  <c r="AG379" i="23" s="1"/>
  <c r="AF379" i="23" s="1"/>
  <c r="AD379" i="23" s="1"/>
  <c r="AI382" i="23"/>
  <c r="AI381" i="23"/>
  <c r="AH46" i="7"/>
  <c r="V88" i="23"/>
  <c r="D68" i="19" s="1"/>
  <c r="V272" i="23"/>
  <c r="J68" i="19" s="1"/>
  <c r="AH52" i="7"/>
  <c r="V60" i="23"/>
  <c r="C68" i="19" s="1"/>
  <c r="AH45" i="7"/>
  <c r="V210" i="23"/>
  <c r="H68" i="19" s="1"/>
  <c r="AH50" i="7"/>
  <c r="AH47" i="7"/>
  <c r="V119" i="23"/>
  <c r="E68" i="19" s="1"/>
  <c r="T15" i="23"/>
  <c r="U382" i="23"/>
  <c r="U381" i="23"/>
  <c r="U383" i="23"/>
  <c r="AH55" i="7"/>
  <c r="V363" i="23"/>
  <c r="V333" i="23"/>
  <c r="L68" i="19" s="1"/>
  <c r="AH54" i="7"/>
  <c r="AI383" i="23"/>
  <c r="R382" i="22"/>
  <c r="P15" i="22"/>
  <c r="R383" i="22"/>
  <c r="R381" i="22"/>
  <c r="AH48" i="7"/>
  <c r="V149" i="23"/>
  <c r="F68" i="19" s="1"/>
  <c r="AH44" i="7"/>
  <c r="V29" i="23"/>
  <c r="V180" i="23"/>
  <c r="G68" i="19" s="1"/>
  <c r="AH49" i="7"/>
  <c r="AH53" i="7"/>
  <c r="V302" i="23"/>
  <c r="K68" i="19" s="1"/>
  <c r="T379" i="23"/>
  <c r="S379" i="23" s="1"/>
  <c r="R379" i="23" s="1"/>
  <c r="P379" i="23" s="1"/>
  <c r="AT16" i="7"/>
  <c r="AZ11" i="7" s="1"/>
  <c r="U11" i="24" s="1"/>
  <c r="U12" i="24"/>
  <c r="AH51" i="7"/>
  <c r="V241" i="23"/>
  <c r="I68" i="19" s="1"/>
  <c r="AF381" i="22"/>
  <c r="AF383" i="22"/>
  <c r="AF382" i="22"/>
  <c r="AD15" i="22"/>
  <c r="AG35" i="23"/>
  <c r="V381" i="20"/>
  <c r="B66" i="19"/>
  <c r="N66" i="19" s="1"/>
  <c r="V382" i="20"/>
  <c r="V383" i="20"/>
  <c r="Q383" i="25"/>
  <c r="Q381" i="25"/>
  <c r="AE381" i="25"/>
  <c r="AE382" i="25"/>
  <c r="AE383" i="25"/>
  <c r="AD15" i="23"/>
  <c r="V379" i="23" l="1"/>
  <c r="D42" i="19"/>
  <c r="AH382" i="23"/>
  <c r="AH381" i="23"/>
  <c r="AH383" i="23"/>
  <c r="AY16" i="7"/>
  <c r="M68" i="19"/>
  <c r="U10" i="24"/>
  <c r="AI11" i="24" s="1"/>
  <c r="P381" i="22"/>
  <c r="P382" i="22"/>
  <c r="P383" i="22"/>
  <c r="V15" i="22"/>
  <c r="T381" i="23"/>
  <c r="S15" i="23"/>
  <c r="T383" i="23"/>
  <c r="T382" i="23"/>
  <c r="AF35" i="23"/>
  <c r="AG382" i="23"/>
  <c r="AG381" i="23"/>
  <c r="AG383" i="23"/>
  <c r="AD383" i="22"/>
  <c r="AD382" i="22"/>
  <c r="AD381" i="22"/>
  <c r="S382" i="23" l="1"/>
  <c r="S381" i="23"/>
  <c r="S383" i="23"/>
  <c r="R15" i="23"/>
  <c r="V381" i="22"/>
  <c r="B67" i="19"/>
  <c r="N67" i="19" s="1"/>
  <c r="V383" i="22"/>
  <c r="V382" i="22"/>
  <c r="AI275" i="24"/>
  <c r="AH275" i="24" s="1"/>
  <c r="AG275" i="24" s="1"/>
  <c r="AF275" i="24" s="1"/>
  <c r="AD275" i="24" s="1"/>
  <c r="AI259" i="24"/>
  <c r="AH259" i="24" s="1"/>
  <c r="AG259" i="24" s="1"/>
  <c r="AF259" i="24" s="1"/>
  <c r="AD259" i="24" s="1"/>
  <c r="AI243" i="24"/>
  <c r="AH243" i="24" s="1"/>
  <c r="AG243" i="24" s="1"/>
  <c r="AF243" i="24" s="1"/>
  <c r="AD243" i="24" s="1"/>
  <c r="AI227" i="24"/>
  <c r="AH227" i="24" s="1"/>
  <c r="AG227" i="24" s="1"/>
  <c r="AF227" i="24" s="1"/>
  <c r="AD227" i="24" s="1"/>
  <c r="AI211" i="24"/>
  <c r="AH211" i="24" s="1"/>
  <c r="AG211" i="24" s="1"/>
  <c r="AF211" i="24" s="1"/>
  <c r="AD211" i="24" s="1"/>
  <c r="AI195" i="24"/>
  <c r="AH195" i="24" s="1"/>
  <c r="AG195" i="24" s="1"/>
  <c r="AF195" i="24" s="1"/>
  <c r="AD195" i="24" s="1"/>
  <c r="AI179" i="24"/>
  <c r="AH179" i="24" s="1"/>
  <c r="AG179" i="24" s="1"/>
  <c r="AF179" i="24" s="1"/>
  <c r="AD179" i="24" s="1"/>
  <c r="AI163" i="24"/>
  <c r="AH163" i="24" s="1"/>
  <c r="AG163" i="24" s="1"/>
  <c r="AF163" i="24" s="1"/>
  <c r="AD163" i="24" s="1"/>
  <c r="AI147" i="24"/>
  <c r="AH147" i="24" s="1"/>
  <c r="AG147" i="24" s="1"/>
  <c r="AF147" i="24" s="1"/>
  <c r="AD147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BA16" i="7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75" i="24"/>
  <c r="AH375" i="24" s="1"/>
  <c r="AG375" i="24" s="1"/>
  <c r="AF375" i="24" s="1"/>
  <c r="AD375" i="24" s="1"/>
  <c r="AI367" i="24"/>
  <c r="AH367" i="24" s="1"/>
  <c r="AG367" i="24" s="1"/>
  <c r="AF367" i="24" s="1"/>
  <c r="AD367" i="24" s="1"/>
  <c r="AI359" i="24"/>
  <c r="AH359" i="24" s="1"/>
  <c r="AG359" i="24" s="1"/>
  <c r="AF359" i="24" s="1"/>
  <c r="AD359" i="24" s="1"/>
  <c r="AI347" i="24"/>
  <c r="AH347" i="24" s="1"/>
  <c r="AG347" i="24" s="1"/>
  <c r="AF347" i="24" s="1"/>
  <c r="AD347" i="24" s="1"/>
  <c r="AI331" i="24"/>
  <c r="AH331" i="24" s="1"/>
  <c r="AG331" i="24" s="1"/>
  <c r="AF331" i="24" s="1"/>
  <c r="AD331" i="24" s="1"/>
  <c r="AI315" i="24"/>
  <c r="AH315" i="24" s="1"/>
  <c r="AG315" i="24" s="1"/>
  <c r="AF315" i="24" s="1"/>
  <c r="AD315" i="24" s="1"/>
  <c r="AI299" i="24"/>
  <c r="AH299" i="24" s="1"/>
  <c r="AG299" i="24" s="1"/>
  <c r="AF299" i="24" s="1"/>
  <c r="AD299" i="24" s="1"/>
  <c r="AI283" i="24"/>
  <c r="AH283" i="24" s="1"/>
  <c r="AG283" i="24" s="1"/>
  <c r="AF283" i="24" s="1"/>
  <c r="AD283" i="24" s="1"/>
  <c r="AI267" i="24"/>
  <c r="AH267" i="24" s="1"/>
  <c r="AG267" i="24" s="1"/>
  <c r="AF267" i="24" s="1"/>
  <c r="AD267" i="24" s="1"/>
  <c r="AI251" i="24"/>
  <c r="AH251" i="24" s="1"/>
  <c r="AG251" i="24" s="1"/>
  <c r="AF251" i="24" s="1"/>
  <c r="AD251" i="24" s="1"/>
  <c r="AI235" i="24"/>
  <c r="AH235" i="24" s="1"/>
  <c r="AG235" i="24" s="1"/>
  <c r="AF235" i="24" s="1"/>
  <c r="AD235" i="24" s="1"/>
  <c r="AI219" i="24"/>
  <c r="AH219" i="24" s="1"/>
  <c r="AG219" i="24" s="1"/>
  <c r="AF219" i="24" s="1"/>
  <c r="AD219" i="24" s="1"/>
  <c r="AI203" i="24"/>
  <c r="AH203" i="24" s="1"/>
  <c r="AG203" i="24" s="1"/>
  <c r="AF203" i="24" s="1"/>
  <c r="AD203" i="24" s="1"/>
  <c r="AI187" i="24"/>
  <c r="AH187" i="24" s="1"/>
  <c r="AG187" i="24" s="1"/>
  <c r="AF187" i="24" s="1"/>
  <c r="AD187" i="24" s="1"/>
  <c r="AI171" i="24"/>
  <c r="AH171" i="24" s="1"/>
  <c r="AG171" i="24" s="1"/>
  <c r="AF171" i="24" s="1"/>
  <c r="AD171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23" i="24"/>
  <c r="AH123" i="24" s="1"/>
  <c r="AG123" i="24" s="1"/>
  <c r="AF123" i="24" s="1"/>
  <c r="AD123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15" i="24"/>
  <c r="AI47" i="24"/>
  <c r="AH47" i="24" s="1"/>
  <c r="AG47" i="24" s="1"/>
  <c r="AF47" i="24" s="1"/>
  <c r="AD47" i="24" s="1"/>
  <c r="AI79" i="24"/>
  <c r="AH79" i="24" s="1"/>
  <c r="AG79" i="24" s="1"/>
  <c r="AF79" i="24" s="1"/>
  <c r="AD79" i="24" s="1"/>
  <c r="AI111" i="24"/>
  <c r="AH111" i="24" s="1"/>
  <c r="AG111" i="24" s="1"/>
  <c r="AF111" i="24" s="1"/>
  <c r="AD111" i="24" s="1"/>
  <c r="AI143" i="24"/>
  <c r="AH143" i="24" s="1"/>
  <c r="AG143" i="24" s="1"/>
  <c r="AF143" i="24" s="1"/>
  <c r="AD143" i="24" s="1"/>
  <c r="AI175" i="24"/>
  <c r="AH175" i="24" s="1"/>
  <c r="AG175" i="24" s="1"/>
  <c r="AF175" i="24" s="1"/>
  <c r="AD175" i="24" s="1"/>
  <c r="AI207" i="24"/>
  <c r="AH207" i="24" s="1"/>
  <c r="AG207" i="24" s="1"/>
  <c r="AF207" i="24" s="1"/>
  <c r="AD207" i="24" s="1"/>
  <c r="AI239" i="24"/>
  <c r="AH239" i="24" s="1"/>
  <c r="AG239" i="24" s="1"/>
  <c r="AF239" i="24" s="1"/>
  <c r="AD239" i="24" s="1"/>
  <c r="AI271" i="24"/>
  <c r="AH271" i="24" s="1"/>
  <c r="AG271" i="24" s="1"/>
  <c r="AF271" i="24" s="1"/>
  <c r="AD271" i="24" s="1"/>
  <c r="AI303" i="24"/>
  <c r="AH303" i="24" s="1"/>
  <c r="AG303" i="24" s="1"/>
  <c r="AF303" i="24" s="1"/>
  <c r="AD303" i="24" s="1"/>
  <c r="AI335" i="24"/>
  <c r="AH335" i="24" s="1"/>
  <c r="AG335" i="24" s="1"/>
  <c r="AF335" i="24" s="1"/>
  <c r="AD335" i="24" s="1"/>
  <c r="AI361" i="24"/>
  <c r="AH361" i="24" s="1"/>
  <c r="AG361" i="24" s="1"/>
  <c r="AF361" i="24" s="1"/>
  <c r="AD361" i="24" s="1"/>
  <c r="AI377" i="24"/>
  <c r="AH377" i="24" s="1"/>
  <c r="AG377" i="24" s="1"/>
  <c r="AF377" i="24" s="1"/>
  <c r="AD377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35" i="24"/>
  <c r="AH135" i="24" s="1"/>
  <c r="AG135" i="24" s="1"/>
  <c r="AF135" i="24" s="1"/>
  <c r="AD135" i="24" s="1"/>
  <c r="AI167" i="24"/>
  <c r="AH167" i="24" s="1"/>
  <c r="AG167" i="24" s="1"/>
  <c r="AF167" i="24" s="1"/>
  <c r="AD167" i="24" s="1"/>
  <c r="AI199" i="24"/>
  <c r="AH199" i="24" s="1"/>
  <c r="AG199" i="24" s="1"/>
  <c r="AF199" i="24" s="1"/>
  <c r="AD199" i="24" s="1"/>
  <c r="AI231" i="24"/>
  <c r="AH231" i="24" s="1"/>
  <c r="AG231" i="24" s="1"/>
  <c r="AF231" i="24" s="1"/>
  <c r="AD231" i="24" s="1"/>
  <c r="AI263" i="24"/>
  <c r="AH263" i="24" s="1"/>
  <c r="AG263" i="24" s="1"/>
  <c r="AF263" i="24" s="1"/>
  <c r="AD263" i="24" s="1"/>
  <c r="AI295" i="24"/>
  <c r="AH295" i="24" s="1"/>
  <c r="AG295" i="24" s="1"/>
  <c r="AF295" i="24" s="1"/>
  <c r="AD295" i="24" s="1"/>
  <c r="AI327" i="24"/>
  <c r="AH327" i="24" s="1"/>
  <c r="AG327" i="24" s="1"/>
  <c r="AF327" i="24" s="1"/>
  <c r="AD327" i="24" s="1"/>
  <c r="AI357" i="24"/>
  <c r="AH357" i="24" s="1"/>
  <c r="AG357" i="24" s="1"/>
  <c r="AF357" i="24" s="1"/>
  <c r="AD357" i="24" s="1"/>
  <c r="AI373" i="24"/>
  <c r="AH373" i="24" s="1"/>
  <c r="AG373" i="24" s="1"/>
  <c r="AF373" i="24" s="1"/>
  <c r="AD373" i="24" s="1"/>
  <c r="AI18" i="24"/>
  <c r="AH18" i="24" s="1"/>
  <c r="AG18" i="24" s="1"/>
  <c r="AF18" i="24" s="1"/>
  <c r="AD18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1" i="24"/>
  <c r="AH31" i="24" s="1"/>
  <c r="AG31" i="24" s="1"/>
  <c r="AF31" i="24" s="1"/>
  <c r="AD31" i="24" s="1"/>
  <c r="AI63" i="24"/>
  <c r="AH63" i="24" s="1"/>
  <c r="AG63" i="24" s="1"/>
  <c r="AF63" i="24" s="1"/>
  <c r="AD63" i="24" s="1"/>
  <c r="AI95" i="24"/>
  <c r="AH95" i="24" s="1"/>
  <c r="AG95" i="24" s="1"/>
  <c r="AF95" i="24" s="1"/>
  <c r="AD95" i="24" s="1"/>
  <c r="AI127" i="24"/>
  <c r="AH127" i="24" s="1"/>
  <c r="AG127" i="24" s="1"/>
  <c r="AF127" i="24" s="1"/>
  <c r="AD127" i="24" s="1"/>
  <c r="AI159" i="24"/>
  <c r="AH159" i="24" s="1"/>
  <c r="AG159" i="24" s="1"/>
  <c r="AF159" i="24" s="1"/>
  <c r="AD159" i="24" s="1"/>
  <c r="AI191" i="24"/>
  <c r="AH191" i="24" s="1"/>
  <c r="AG191" i="24" s="1"/>
  <c r="AF191" i="24" s="1"/>
  <c r="AD191" i="24" s="1"/>
  <c r="AI223" i="24"/>
  <c r="AH223" i="24" s="1"/>
  <c r="AG223" i="24" s="1"/>
  <c r="AF223" i="24" s="1"/>
  <c r="AD223" i="24" s="1"/>
  <c r="AI255" i="24"/>
  <c r="AH255" i="24" s="1"/>
  <c r="AG255" i="24" s="1"/>
  <c r="AF255" i="24" s="1"/>
  <c r="AD255" i="24" s="1"/>
  <c r="AI287" i="24"/>
  <c r="AH287" i="24" s="1"/>
  <c r="AG287" i="24" s="1"/>
  <c r="AF287" i="24" s="1"/>
  <c r="AD287" i="24" s="1"/>
  <c r="AI319" i="24"/>
  <c r="AH319" i="24" s="1"/>
  <c r="AG319" i="24" s="1"/>
  <c r="AF319" i="24" s="1"/>
  <c r="AD319" i="24" s="1"/>
  <c r="AI351" i="24"/>
  <c r="AH351" i="24" s="1"/>
  <c r="AG351" i="24" s="1"/>
  <c r="AF351" i="24" s="1"/>
  <c r="AD351" i="24" s="1"/>
  <c r="AI369" i="24"/>
  <c r="AH369" i="24" s="1"/>
  <c r="AG369" i="24" s="1"/>
  <c r="AF369" i="24" s="1"/>
  <c r="AD369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51" i="24"/>
  <c r="AH151" i="24" s="1"/>
  <c r="AG151" i="24" s="1"/>
  <c r="AF151" i="24" s="1"/>
  <c r="AD151" i="24" s="1"/>
  <c r="AI183" i="24"/>
  <c r="AH183" i="24" s="1"/>
  <c r="AG183" i="24" s="1"/>
  <c r="AF183" i="24" s="1"/>
  <c r="AD183" i="24" s="1"/>
  <c r="AI215" i="24"/>
  <c r="AH215" i="24" s="1"/>
  <c r="AG215" i="24" s="1"/>
  <c r="AF215" i="24" s="1"/>
  <c r="AD215" i="24" s="1"/>
  <c r="AI247" i="24"/>
  <c r="AH247" i="24" s="1"/>
  <c r="AG247" i="24" s="1"/>
  <c r="AF247" i="24" s="1"/>
  <c r="AD247" i="24" s="1"/>
  <c r="AI279" i="24"/>
  <c r="AH279" i="24" s="1"/>
  <c r="AG279" i="24" s="1"/>
  <c r="AF279" i="24" s="1"/>
  <c r="AD279" i="24" s="1"/>
  <c r="AI311" i="24"/>
  <c r="AH311" i="24" s="1"/>
  <c r="AG311" i="24" s="1"/>
  <c r="AF311" i="24" s="1"/>
  <c r="AD311" i="24" s="1"/>
  <c r="AI343" i="24"/>
  <c r="AH343" i="24" s="1"/>
  <c r="AG343" i="24" s="1"/>
  <c r="AF343" i="24" s="1"/>
  <c r="AD343" i="24" s="1"/>
  <c r="AI365" i="24"/>
  <c r="AH365" i="24" s="1"/>
  <c r="AG365" i="24" s="1"/>
  <c r="AF365" i="24" s="1"/>
  <c r="AD365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18" i="24"/>
  <c r="T18" i="24" s="1"/>
  <c r="S18" i="24" s="1"/>
  <c r="R18" i="24" s="1"/>
  <c r="P18" i="24" s="1"/>
  <c r="V18" i="24" s="1"/>
  <c r="U31" i="24"/>
  <c r="T31" i="24" s="1"/>
  <c r="S31" i="24" s="1"/>
  <c r="R31" i="24" s="1"/>
  <c r="P31" i="24" s="1"/>
  <c r="V31" i="24" s="1"/>
  <c r="U39" i="24"/>
  <c r="T39" i="24" s="1"/>
  <c r="S39" i="24" s="1"/>
  <c r="R39" i="24" s="1"/>
  <c r="P39" i="24" s="1"/>
  <c r="V39" i="24" s="1"/>
  <c r="U47" i="24"/>
  <c r="T47" i="24" s="1"/>
  <c r="S47" i="24" s="1"/>
  <c r="R47" i="24" s="1"/>
  <c r="P47" i="24" s="1"/>
  <c r="V47" i="24" s="1"/>
  <c r="U55" i="24"/>
  <c r="T55" i="24" s="1"/>
  <c r="S55" i="24" s="1"/>
  <c r="R55" i="24" s="1"/>
  <c r="P55" i="24" s="1"/>
  <c r="V55" i="24" s="1"/>
  <c r="U63" i="24"/>
  <c r="T63" i="24" s="1"/>
  <c r="S63" i="24" s="1"/>
  <c r="R63" i="24" s="1"/>
  <c r="P63" i="24" s="1"/>
  <c r="V63" i="24" s="1"/>
  <c r="U71" i="24"/>
  <c r="T71" i="24" s="1"/>
  <c r="S71" i="24" s="1"/>
  <c r="R71" i="24" s="1"/>
  <c r="P71" i="24" s="1"/>
  <c r="V71" i="24" s="1"/>
  <c r="U79" i="24"/>
  <c r="T79" i="24" s="1"/>
  <c r="S79" i="24" s="1"/>
  <c r="R79" i="24" s="1"/>
  <c r="P79" i="24" s="1"/>
  <c r="V79" i="24" s="1"/>
  <c r="U87" i="24"/>
  <c r="T87" i="24" s="1"/>
  <c r="S87" i="24" s="1"/>
  <c r="R87" i="24" s="1"/>
  <c r="P87" i="24" s="1"/>
  <c r="V87" i="24" s="1"/>
  <c r="U95" i="24"/>
  <c r="T95" i="24" s="1"/>
  <c r="S95" i="24" s="1"/>
  <c r="R95" i="24" s="1"/>
  <c r="P95" i="24" s="1"/>
  <c r="V95" i="24" s="1"/>
  <c r="U103" i="24"/>
  <c r="T103" i="24" s="1"/>
  <c r="S103" i="24" s="1"/>
  <c r="R103" i="24" s="1"/>
  <c r="P103" i="24" s="1"/>
  <c r="V103" i="24" s="1"/>
  <c r="U111" i="24"/>
  <c r="T111" i="24" s="1"/>
  <c r="S111" i="24" s="1"/>
  <c r="R111" i="24" s="1"/>
  <c r="P111" i="24" s="1"/>
  <c r="V111" i="24" s="1"/>
  <c r="U119" i="24"/>
  <c r="T119" i="24" s="1"/>
  <c r="S119" i="24" s="1"/>
  <c r="R119" i="24" s="1"/>
  <c r="P119" i="24" s="1"/>
  <c r="U127" i="24"/>
  <c r="T127" i="24" s="1"/>
  <c r="S127" i="24" s="1"/>
  <c r="R127" i="24" s="1"/>
  <c r="P127" i="24" s="1"/>
  <c r="V127" i="24" s="1"/>
  <c r="U135" i="24"/>
  <c r="T135" i="24" s="1"/>
  <c r="S135" i="24" s="1"/>
  <c r="R135" i="24" s="1"/>
  <c r="P135" i="24" s="1"/>
  <c r="V135" i="24" s="1"/>
  <c r="U143" i="24"/>
  <c r="T143" i="24" s="1"/>
  <c r="S143" i="24" s="1"/>
  <c r="R143" i="24" s="1"/>
  <c r="P143" i="24" s="1"/>
  <c r="V143" i="24" s="1"/>
  <c r="U151" i="24"/>
  <c r="T151" i="24" s="1"/>
  <c r="S151" i="24" s="1"/>
  <c r="R151" i="24" s="1"/>
  <c r="P151" i="24" s="1"/>
  <c r="V151" i="24" s="1"/>
  <c r="U159" i="24"/>
  <c r="T159" i="24" s="1"/>
  <c r="S159" i="24" s="1"/>
  <c r="R159" i="24" s="1"/>
  <c r="P159" i="24" s="1"/>
  <c r="V159" i="24" s="1"/>
  <c r="U167" i="24"/>
  <c r="T167" i="24" s="1"/>
  <c r="S167" i="24" s="1"/>
  <c r="R167" i="24" s="1"/>
  <c r="P167" i="24" s="1"/>
  <c r="V167" i="24" s="1"/>
  <c r="U175" i="24"/>
  <c r="T175" i="24" s="1"/>
  <c r="S175" i="24" s="1"/>
  <c r="R175" i="24" s="1"/>
  <c r="P175" i="24" s="1"/>
  <c r="V175" i="24" s="1"/>
  <c r="U183" i="24"/>
  <c r="T183" i="24" s="1"/>
  <c r="S183" i="24" s="1"/>
  <c r="R183" i="24" s="1"/>
  <c r="P183" i="24" s="1"/>
  <c r="V183" i="24" s="1"/>
  <c r="U191" i="24"/>
  <c r="T191" i="24" s="1"/>
  <c r="S191" i="24" s="1"/>
  <c r="R191" i="24" s="1"/>
  <c r="P191" i="24" s="1"/>
  <c r="V191" i="24" s="1"/>
  <c r="U199" i="24"/>
  <c r="T199" i="24" s="1"/>
  <c r="S199" i="24" s="1"/>
  <c r="R199" i="24" s="1"/>
  <c r="P199" i="24" s="1"/>
  <c r="V199" i="24" s="1"/>
  <c r="U207" i="24"/>
  <c r="T207" i="24" s="1"/>
  <c r="S207" i="24" s="1"/>
  <c r="R207" i="24" s="1"/>
  <c r="P207" i="24" s="1"/>
  <c r="V207" i="24" s="1"/>
  <c r="U215" i="24"/>
  <c r="T215" i="24" s="1"/>
  <c r="S215" i="24" s="1"/>
  <c r="R215" i="24" s="1"/>
  <c r="P215" i="24" s="1"/>
  <c r="V215" i="24" s="1"/>
  <c r="U223" i="24"/>
  <c r="T223" i="24" s="1"/>
  <c r="S223" i="24" s="1"/>
  <c r="R223" i="24" s="1"/>
  <c r="P223" i="24" s="1"/>
  <c r="V223" i="24" s="1"/>
  <c r="U231" i="24"/>
  <c r="T231" i="24" s="1"/>
  <c r="S231" i="24" s="1"/>
  <c r="R231" i="24" s="1"/>
  <c r="P231" i="24" s="1"/>
  <c r="V231" i="24" s="1"/>
  <c r="U239" i="24"/>
  <c r="T239" i="24" s="1"/>
  <c r="S239" i="24" s="1"/>
  <c r="R239" i="24" s="1"/>
  <c r="P239" i="24" s="1"/>
  <c r="V239" i="24" s="1"/>
  <c r="U247" i="24"/>
  <c r="T247" i="24" s="1"/>
  <c r="S247" i="24" s="1"/>
  <c r="R247" i="24" s="1"/>
  <c r="P247" i="24" s="1"/>
  <c r="V247" i="24" s="1"/>
  <c r="U255" i="24"/>
  <c r="T255" i="24" s="1"/>
  <c r="S255" i="24" s="1"/>
  <c r="R255" i="24" s="1"/>
  <c r="P255" i="24" s="1"/>
  <c r="V255" i="24" s="1"/>
  <c r="U263" i="24"/>
  <c r="T263" i="24" s="1"/>
  <c r="S263" i="24" s="1"/>
  <c r="R263" i="24" s="1"/>
  <c r="P263" i="24" s="1"/>
  <c r="V263" i="24" s="1"/>
  <c r="U271" i="24"/>
  <c r="T271" i="24" s="1"/>
  <c r="S271" i="24" s="1"/>
  <c r="R271" i="24" s="1"/>
  <c r="P271" i="24" s="1"/>
  <c r="V271" i="24" s="1"/>
  <c r="U279" i="24"/>
  <c r="T279" i="24" s="1"/>
  <c r="S279" i="24" s="1"/>
  <c r="R279" i="24" s="1"/>
  <c r="P279" i="24" s="1"/>
  <c r="V279" i="24" s="1"/>
  <c r="U287" i="24"/>
  <c r="T287" i="24" s="1"/>
  <c r="S287" i="24" s="1"/>
  <c r="R287" i="24" s="1"/>
  <c r="P287" i="24" s="1"/>
  <c r="V287" i="24" s="1"/>
  <c r="U295" i="24"/>
  <c r="T295" i="24" s="1"/>
  <c r="S295" i="24" s="1"/>
  <c r="R295" i="24" s="1"/>
  <c r="P295" i="24" s="1"/>
  <c r="V295" i="24" s="1"/>
  <c r="U303" i="24"/>
  <c r="T303" i="24" s="1"/>
  <c r="S303" i="24" s="1"/>
  <c r="R303" i="24" s="1"/>
  <c r="P303" i="24" s="1"/>
  <c r="V303" i="24" s="1"/>
  <c r="U311" i="24"/>
  <c r="T311" i="24" s="1"/>
  <c r="S311" i="24" s="1"/>
  <c r="R311" i="24" s="1"/>
  <c r="P311" i="24" s="1"/>
  <c r="V311" i="24" s="1"/>
  <c r="U319" i="24"/>
  <c r="T319" i="24" s="1"/>
  <c r="S319" i="24" s="1"/>
  <c r="R319" i="24" s="1"/>
  <c r="P319" i="24" s="1"/>
  <c r="V319" i="24" s="1"/>
  <c r="U327" i="24"/>
  <c r="T327" i="24" s="1"/>
  <c r="S327" i="24" s="1"/>
  <c r="R327" i="24" s="1"/>
  <c r="P327" i="24" s="1"/>
  <c r="V327" i="24" s="1"/>
  <c r="U335" i="24"/>
  <c r="T335" i="24" s="1"/>
  <c r="S335" i="24" s="1"/>
  <c r="R335" i="24" s="1"/>
  <c r="P335" i="24" s="1"/>
  <c r="V335" i="24" s="1"/>
  <c r="U343" i="24"/>
  <c r="T343" i="24" s="1"/>
  <c r="S343" i="24" s="1"/>
  <c r="R343" i="24" s="1"/>
  <c r="P343" i="24" s="1"/>
  <c r="V343" i="24" s="1"/>
  <c r="U351" i="24"/>
  <c r="T351" i="24" s="1"/>
  <c r="S351" i="24" s="1"/>
  <c r="R351" i="24" s="1"/>
  <c r="P351" i="24" s="1"/>
  <c r="V351" i="24" s="1"/>
  <c r="U359" i="24"/>
  <c r="T359" i="24" s="1"/>
  <c r="S359" i="24" s="1"/>
  <c r="R359" i="24" s="1"/>
  <c r="P359" i="24" s="1"/>
  <c r="V359" i="24" s="1"/>
  <c r="U367" i="24"/>
  <c r="T367" i="24" s="1"/>
  <c r="S367" i="24" s="1"/>
  <c r="R367" i="24" s="1"/>
  <c r="P367" i="24" s="1"/>
  <c r="V367" i="24" s="1"/>
  <c r="U375" i="24"/>
  <c r="T375" i="24" s="1"/>
  <c r="S375" i="24" s="1"/>
  <c r="R375" i="24" s="1"/>
  <c r="P375" i="24" s="1"/>
  <c r="V375" i="24" s="1"/>
  <c r="U374" i="24"/>
  <c r="T374" i="24" s="1"/>
  <c r="S374" i="24" s="1"/>
  <c r="R374" i="24" s="1"/>
  <c r="P374" i="24" s="1"/>
  <c r="V374" i="24" s="1"/>
  <c r="U358" i="24"/>
  <c r="T358" i="24" s="1"/>
  <c r="S358" i="24" s="1"/>
  <c r="R358" i="24" s="1"/>
  <c r="P358" i="24" s="1"/>
  <c r="V358" i="24" s="1"/>
  <c r="U342" i="24"/>
  <c r="T342" i="24" s="1"/>
  <c r="S342" i="24" s="1"/>
  <c r="R342" i="24" s="1"/>
  <c r="P342" i="24" s="1"/>
  <c r="V342" i="24" s="1"/>
  <c r="U326" i="24"/>
  <c r="T326" i="24" s="1"/>
  <c r="S326" i="24" s="1"/>
  <c r="R326" i="24" s="1"/>
  <c r="P326" i="24" s="1"/>
  <c r="V326" i="24" s="1"/>
  <c r="U310" i="24"/>
  <c r="T310" i="24" s="1"/>
  <c r="S310" i="24" s="1"/>
  <c r="R310" i="24" s="1"/>
  <c r="P310" i="24" s="1"/>
  <c r="V310" i="24" s="1"/>
  <c r="U294" i="24"/>
  <c r="T294" i="24" s="1"/>
  <c r="S294" i="24" s="1"/>
  <c r="R294" i="24" s="1"/>
  <c r="P294" i="24" s="1"/>
  <c r="V294" i="24" s="1"/>
  <c r="U278" i="24"/>
  <c r="T278" i="24" s="1"/>
  <c r="S278" i="24" s="1"/>
  <c r="R278" i="24" s="1"/>
  <c r="P278" i="24" s="1"/>
  <c r="V278" i="24" s="1"/>
  <c r="U258" i="24"/>
  <c r="T258" i="24" s="1"/>
  <c r="S258" i="24" s="1"/>
  <c r="R258" i="24" s="1"/>
  <c r="P258" i="24" s="1"/>
  <c r="V258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3" i="24"/>
  <c r="T23" i="24" s="1"/>
  <c r="S23" i="24" s="1"/>
  <c r="R23" i="24" s="1"/>
  <c r="P23" i="24" s="1"/>
  <c r="V23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62" i="24"/>
  <c r="T262" i="24" s="1"/>
  <c r="S262" i="24" s="1"/>
  <c r="R262" i="24" s="1"/>
  <c r="P262" i="24" s="1"/>
  <c r="V262" i="24" s="1"/>
  <c r="U246" i="24"/>
  <c r="T246" i="24" s="1"/>
  <c r="S246" i="24" s="1"/>
  <c r="R246" i="24" s="1"/>
  <c r="P246" i="24" s="1"/>
  <c r="V246" i="24" s="1"/>
  <c r="U230" i="24"/>
  <c r="T230" i="24" s="1"/>
  <c r="S230" i="24" s="1"/>
  <c r="R230" i="24" s="1"/>
  <c r="P230" i="24" s="1"/>
  <c r="V230" i="24" s="1"/>
  <c r="U214" i="24"/>
  <c r="T214" i="24" s="1"/>
  <c r="S214" i="24" s="1"/>
  <c r="R214" i="24" s="1"/>
  <c r="P214" i="24" s="1"/>
  <c r="V214" i="24" s="1"/>
  <c r="U198" i="24"/>
  <c r="T198" i="24" s="1"/>
  <c r="S198" i="24" s="1"/>
  <c r="R198" i="24" s="1"/>
  <c r="P198" i="24" s="1"/>
  <c r="V198" i="24" s="1"/>
  <c r="U182" i="24"/>
  <c r="T182" i="24" s="1"/>
  <c r="S182" i="24" s="1"/>
  <c r="R182" i="24" s="1"/>
  <c r="P182" i="24" s="1"/>
  <c r="V182" i="24" s="1"/>
  <c r="U166" i="24"/>
  <c r="T166" i="24" s="1"/>
  <c r="S166" i="24" s="1"/>
  <c r="R166" i="24" s="1"/>
  <c r="P166" i="24" s="1"/>
  <c r="V166" i="24" s="1"/>
  <c r="U150" i="24"/>
  <c r="T150" i="24" s="1"/>
  <c r="S150" i="24" s="1"/>
  <c r="R150" i="24" s="1"/>
  <c r="P150" i="24" s="1"/>
  <c r="V150" i="24" s="1"/>
  <c r="U134" i="24"/>
  <c r="T134" i="24" s="1"/>
  <c r="S134" i="24" s="1"/>
  <c r="R134" i="24" s="1"/>
  <c r="P134" i="24" s="1"/>
  <c r="V134" i="24" s="1"/>
  <c r="U118" i="24"/>
  <c r="T118" i="24" s="1"/>
  <c r="S118" i="24" s="1"/>
  <c r="R118" i="24" s="1"/>
  <c r="P118" i="24" s="1"/>
  <c r="V118" i="24" s="1"/>
  <c r="U102" i="24"/>
  <c r="T102" i="24" s="1"/>
  <c r="S102" i="24" s="1"/>
  <c r="R102" i="24" s="1"/>
  <c r="P102" i="24" s="1"/>
  <c r="V102" i="24" s="1"/>
  <c r="U86" i="24"/>
  <c r="T86" i="24" s="1"/>
  <c r="S86" i="24" s="1"/>
  <c r="R86" i="24" s="1"/>
  <c r="P86" i="24" s="1"/>
  <c r="V86" i="24" s="1"/>
  <c r="U70" i="24"/>
  <c r="T70" i="24" s="1"/>
  <c r="S70" i="24" s="1"/>
  <c r="R70" i="24" s="1"/>
  <c r="P70" i="24" s="1"/>
  <c r="V70" i="24" s="1"/>
  <c r="U58" i="24"/>
  <c r="T58" i="24" s="1"/>
  <c r="S58" i="24" s="1"/>
  <c r="R58" i="24" s="1"/>
  <c r="P58" i="24" s="1"/>
  <c r="V58" i="24" s="1"/>
  <c r="U42" i="24"/>
  <c r="T42" i="24" s="1"/>
  <c r="S42" i="24" s="1"/>
  <c r="R42" i="24" s="1"/>
  <c r="P42" i="24" s="1"/>
  <c r="V42" i="24" s="1"/>
  <c r="U26" i="24"/>
  <c r="T26" i="24" s="1"/>
  <c r="S26" i="24" s="1"/>
  <c r="R26" i="24" s="1"/>
  <c r="P26" i="24" s="1"/>
  <c r="V26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8" i="24"/>
  <c r="T328" i="24" s="1"/>
  <c r="S328" i="24" s="1"/>
  <c r="R328" i="24" s="1"/>
  <c r="P328" i="24" s="1"/>
  <c r="V328" i="24" s="1"/>
  <c r="U320" i="24"/>
  <c r="T320" i="24" s="1"/>
  <c r="S320" i="24" s="1"/>
  <c r="R320" i="24" s="1"/>
  <c r="P320" i="24" s="1"/>
  <c r="V320" i="24" s="1"/>
  <c r="U312" i="24"/>
  <c r="T312" i="24" s="1"/>
  <c r="S312" i="24" s="1"/>
  <c r="R312" i="24" s="1"/>
  <c r="P312" i="24" s="1"/>
  <c r="V312" i="24" s="1"/>
  <c r="U304" i="24"/>
  <c r="T304" i="24" s="1"/>
  <c r="S304" i="24" s="1"/>
  <c r="R304" i="24" s="1"/>
  <c r="P304" i="24" s="1"/>
  <c r="V304" i="24" s="1"/>
  <c r="U296" i="24"/>
  <c r="T296" i="24" s="1"/>
  <c r="S296" i="24" s="1"/>
  <c r="R296" i="24" s="1"/>
  <c r="P296" i="24" s="1"/>
  <c r="V296" i="24" s="1"/>
  <c r="U288" i="24"/>
  <c r="T288" i="24" s="1"/>
  <c r="S288" i="24" s="1"/>
  <c r="R288" i="24" s="1"/>
  <c r="P288" i="24" s="1"/>
  <c r="V288" i="24" s="1"/>
  <c r="U280" i="24"/>
  <c r="T280" i="24" s="1"/>
  <c r="S280" i="24" s="1"/>
  <c r="R280" i="24" s="1"/>
  <c r="P280" i="24" s="1"/>
  <c r="V280" i="24" s="1"/>
  <c r="U272" i="24"/>
  <c r="T272" i="24" s="1"/>
  <c r="S272" i="24" s="1"/>
  <c r="R272" i="24" s="1"/>
  <c r="P272" i="24" s="1"/>
  <c r="U264" i="24"/>
  <c r="T264" i="24" s="1"/>
  <c r="S264" i="24" s="1"/>
  <c r="R264" i="24" s="1"/>
  <c r="P264" i="24" s="1"/>
  <c r="V264" i="24" s="1"/>
  <c r="U256" i="24"/>
  <c r="T256" i="24" s="1"/>
  <c r="S256" i="24" s="1"/>
  <c r="R256" i="24" s="1"/>
  <c r="P256" i="24" s="1"/>
  <c r="V256" i="24" s="1"/>
  <c r="U248" i="24"/>
  <c r="T248" i="24" s="1"/>
  <c r="S248" i="24" s="1"/>
  <c r="R248" i="24" s="1"/>
  <c r="P248" i="24" s="1"/>
  <c r="V248" i="24" s="1"/>
  <c r="U240" i="24"/>
  <c r="T240" i="24" s="1"/>
  <c r="S240" i="24" s="1"/>
  <c r="R240" i="24" s="1"/>
  <c r="P240" i="24" s="1"/>
  <c r="V240" i="24" s="1"/>
  <c r="U232" i="24"/>
  <c r="T232" i="24" s="1"/>
  <c r="S232" i="24" s="1"/>
  <c r="R232" i="24" s="1"/>
  <c r="P232" i="24" s="1"/>
  <c r="V232" i="24" s="1"/>
  <c r="U224" i="24"/>
  <c r="T224" i="24" s="1"/>
  <c r="S224" i="24" s="1"/>
  <c r="R224" i="24" s="1"/>
  <c r="P224" i="24" s="1"/>
  <c r="V224" i="24" s="1"/>
  <c r="U216" i="24"/>
  <c r="T216" i="24" s="1"/>
  <c r="S216" i="24" s="1"/>
  <c r="R216" i="24" s="1"/>
  <c r="P216" i="24" s="1"/>
  <c r="V216" i="24" s="1"/>
  <c r="U208" i="24"/>
  <c r="T208" i="24" s="1"/>
  <c r="S208" i="24" s="1"/>
  <c r="R208" i="24" s="1"/>
  <c r="P208" i="24" s="1"/>
  <c r="V208" i="24" s="1"/>
  <c r="U200" i="24"/>
  <c r="T200" i="24" s="1"/>
  <c r="S200" i="24" s="1"/>
  <c r="R200" i="24" s="1"/>
  <c r="P200" i="24" s="1"/>
  <c r="V200" i="24" s="1"/>
  <c r="U192" i="24"/>
  <c r="T192" i="24" s="1"/>
  <c r="S192" i="24" s="1"/>
  <c r="R192" i="24" s="1"/>
  <c r="P192" i="24" s="1"/>
  <c r="V192" i="24" s="1"/>
  <c r="U184" i="24"/>
  <c r="T184" i="24" s="1"/>
  <c r="S184" i="24" s="1"/>
  <c r="R184" i="24" s="1"/>
  <c r="P184" i="24" s="1"/>
  <c r="V184" i="24" s="1"/>
  <c r="U176" i="24"/>
  <c r="T176" i="24" s="1"/>
  <c r="S176" i="24" s="1"/>
  <c r="R176" i="24" s="1"/>
  <c r="P176" i="24" s="1"/>
  <c r="V176" i="24" s="1"/>
  <c r="U168" i="24"/>
  <c r="T168" i="24" s="1"/>
  <c r="S168" i="24" s="1"/>
  <c r="R168" i="24" s="1"/>
  <c r="P168" i="24" s="1"/>
  <c r="V168" i="24" s="1"/>
  <c r="U160" i="24"/>
  <c r="T160" i="24" s="1"/>
  <c r="S160" i="24" s="1"/>
  <c r="R160" i="24" s="1"/>
  <c r="P160" i="24" s="1"/>
  <c r="V160" i="24" s="1"/>
  <c r="U152" i="24"/>
  <c r="T152" i="24" s="1"/>
  <c r="S152" i="24" s="1"/>
  <c r="R152" i="24" s="1"/>
  <c r="P152" i="24" s="1"/>
  <c r="V152" i="24" s="1"/>
  <c r="U144" i="24"/>
  <c r="T144" i="24" s="1"/>
  <c r="S144" i="24" s="1"/>
  <c r="R144" i="24" s="1"/>
  <c r="P144" i="24" s="1"/>
  <c r="V144" i="24" s="1"/>
  <c r="U136" i="24"/>
  <c r="T136" i="24" s="1"/>
  <c r="S136" i="24" s="1"/>
  <c r="R136" i="24" s="1"/>
  <c r="P136" i="24" s="1"/>
  <c r="V136" i="24" s="1"/>
  <c r="U128" i="24"/>
  <c r="T128" i="24" s="1"/>
  <c r="S128" i="24" s="1"/>
  <c r="R128" i="24" s="1"/>
  <c r="P128" i="24" s="1"/>
  <c r="V128" i="24" s="1"/>
  <c r="U120" i="24"/>
  <c r="T120" i="24" s="1"/>
  <c r="S120" i="24" s="1"/>
  <c r="R120" i="24" s="1"/>
  <c r="P120" i="24" s="1"/>
  <c r="V120" i="24" s="1"/>
  <c r="U112" i="24"/>
  <c r="T112" i="24" s="1"/>
  <c r="S112" i="24" s="1"/>
  <c r="R112" i="24" s="1"/>
  <c r="P112" i="24" s="1"/>
  <c r="V112" i="24" s="1"/>
  <c r="U104" i="24"/>
  <c r="T104" i="24" s="1"/>
  <c r="S104" i="24" s="1"/>
  <c r="R104" i="24" s="1"/>
  <c r="P104" i="24" s="1"/>
  <c r="V104" i="24" s="1"/>
  <c r="U96" i="24"/>
  <c r="T96" i="24" s="1"/>
  <c r="S96" i="24" s="1"/>
  <c r="R96" i="24" s="1"/>
  <c r="P96" i="24" s="1"/>
  <c r="V96" i="24" s="1"/>
  <c r="U88" i="24"/>
  <c r="T88" i="24" s="1"/>
  <c r="S88" i="24" s="1"/>
  <c r="R88" i="24" s="1"/>
  <c r="P88" i="24" s="1"/>
  <c r="U80" i="24"/>
  <c r="T80" i="24" s="1"/>
  <c r="S80" i="24" s="1"/>
  <c r="R80" i="24" s="1"/>
  <c r="P80" i="24" s="1"/>
  <c r="V80" i="24" s="1"/>
  <c r="U72" i="24"/>
  <c r="T72" i="24" s="1"/>
  <c r="S72" i="24" s="1"/>
  <c r="R72" i="24" s="1"/>
  <c r="P72" i="24" s="1"/>
  <c r="V72" i="24" s="1"/>
  <c r="U64" i="24"/>
  <c r="T64" i="24" s="1"/>
  <c r="S64" i="24" s="1"/>
  <c r="R64" i="24" s="1"/>
  <c r="P64" i="24" s="1"/>
  <c r="V64" i="24" s="1"/>
  <c r="U56" i="24"/>
  <c r="T56" i="24" s="1"/>
  <c r="S56" i="24" s="1"/>
  <c r="R56" i="24" s="1"/>
  <c r="P56" i="24" s="1"/>
  <c r="V56" i="24" s="1"/>
  <c r="U48" i="24"/>
  <c r="T48" i="24" s="1"/>
  <c r="S48" i="24" s="1"/>
  <c r="R48" i="24" s="1"/>
  <c r="P48" i="24" s="1"/>
  <c r="V48" i="24" s="1"/>
  <c r="U40" i="24"/>
  <c r="T40" i="24" s="1"/>
  <c r="S40" i="24" s="1"/>
  <c r="R40" i="24" s="1"/>
  <c r="P40" i="24" s="1"/>
  <c r="V40" i="24" s="1"/>
  <c r="U32" i="24"/>
  <c r="T32" i="24" s="1"/>
  <c r="S32" i="24" s="1"/>
  <c r="R32" i="24" s="1"/>
  <c r="P32" i="24" s="1"/>
  <c r="V32" i="24" s="1"/>
  <c r="U25" i="24"/>
  <c r="T25" i="24" s="1"/>
  <c r="S25" i="24" s="1"/>
  <c r="R25" i="24" s="1"/>
  <c r="P25" i="24" s="1"/>
  <c r="V25" i="24" s="1"/>
  <c r="U19" i="24"/>
  <c r="T19" i="24" s="1"/>
  <c r="S19" i="24" s="1"/>
  <c r="R19" i="24" s="1"/>
  <c r="P19" i="24" s="1"/>
  <c r="V19" i="24" s="1"/>
  <c r="U29" i="24"/>
  <c r="T29" i="24" s="1"/>
  <c r="S29" i="24" s="1"/>
  <c r="R29" i="24" s="1"/>
  <c r="P29" i="24" s="1"/>
  <c r="U37" i="24"/>
  <c r="T37" i="24" s="1"/>
  <c r="S37" i="24" s="1"/>
  <c r="R37" i="24" s="1"/>
  <c r="P37" i="24" s="1"/>
  <c r="V37" i="24" s="1"/>
  <c r="U45" i="24"/>
  <c r="T45" i="24" s="1"/>
  <c r="S45" i="24" s="1"/>
  <c r="R45" i="24" s="1"/>
  <c r="P45" i="24" s="1"/>
  <c r="V45" i="24" s="1"/>
  <c r="U53" i="24"/>
  <c r="T53" i="24" s="1"/>
  <c r="S53" i="24" s="1"/>
  <c r="R53" i="24" s="1"/>
  <c r="P53" i="24" s="1"/>
  <c r="V53" i="24" s="1"/>
  <c r="U61" i="24"/>
  <c r="T61" i="24" s="1"/>
  <c r="S61" i="24" s="1"/>
  <c r="R61" i="24" s="1"/>
  <c r="P61" i="24" s="1"/>
  <c r="V61" i="24" s="1"/>
  <c r="U69" i="24"/>
  <c r="T69" i="24" s="1"/>
  <c r="S69" i="24" s="1"/>
  <c r="R69" i="24" s="1"/>
  <c r="P69" i="24" s="1"/>
  <c r="V69" i="24" s="1"/>
  <c r="U77" i="24"/>
  <c r="T77" i="24" s="1"/>
  <c r="S77" i="24" s="1"/>
  <c r="R77" i="24" s="1"/>
  <c r="P77" i="24" s="1"/>
  <c r="V77" i="24" s="1"/>
  <c r="U85" i="24"/>
  <c r="T85" i="24" s="1"/>
  <c r="S85" i="24" s="1"/>
  <c r="R85" i="24" s="1"/>
  <c r="P85" i="24" s="1"/>
  <c r="V85" i="24" s="1"/>
  <c r="U93" i="24"/>
  <c r="T93" i="24" s="1"/>
  <c r="S93" i="24" s="1"/>
  <c r="R93" i="24" s="1"/>
  <c r="P93" i="24" s="1"/>
  <c r="V93" i="24" s="1"/>
  <c r="U101" i="24"/>
  <c r="T101" i="24" s="1"/>
  <c r="S101" i="24" s="1"/>
  <c r="R101" i="24" s="1"/>
  <c r="P101" i="24" s="1"/>
  <c r="V101" i="24" s="1"/>
  <c r="U109" i="24"/>
  <c r="T109" i="24" s="1"/>
  <c r="S109" i="24" s="1"/>
  <c r="R109" i="24" s="1"/>
  <c r="P109" i="24" s="1"/>
  <c r="V109" i="24" s="1"/>
  <c r="U117" i="24"/>
  <c r="T117" i="24" s="1"/>
  <c r="S117" i="24" s="1"/>
  <c r="R117" i="24" s="1"/>
  <c r="P117" i="24" s="1"/>
  <c r="V117" i="24" s="1"/>
  <c r="U125" i="24"/>
  <c r="T125" i="24" s="1"/>
  <c r="S125" i="24" s="1"/>
  <c r="R125" i="24" s="1"/>
  <c r="P125" i="24" s="1"/>
  <c r="V125" i="24" s="1"/>
  <c r="U133" i="24"/>
  <c r="T133" i="24" s="1"/>
  <c r="S133" i="24" s="1"/>
  <c r="R133" i="24" s="1"/>
  <c r="P133" i="24" s="1"/>
  <c r="V133" i="24" s="1"/>
  <c r="U141" i="24"/>
  <c r="T141" i="24" s="1"/>
  <c r="S141" i="24" s="1"/>
  <c r="R141" i="24" s="1"/>
  <c r="P141" i="24" s="1"/>
  <c r="V141" i="24" s="1"/>
  <c r="U149" i="24"/>
  <c r="T149" i="24" s="1"/>
  <c r="S149" i="24" s="1"/>
  <c r="R149" i="24" s="1"/>
  <c r="P149" i="24" s="1"/>
  <c r="U157" i="24"/>
  <c r="T157" i="24" s="1"/>
  <c r="S157" i="24" s="1"/>
  <c r="R157" i="24" s="1"/>
  <c r="P157" i="24" s="1"/>
  <c r="V157" i="24" s="1"/>
  <c r="U165" i="24"/>
  <c r="T165" i="24" s="1"/>
  <c r="S165" i="24" s="1"/>
  <c r="R165" i="24" s="1"/>
  <c r="P165" i="24" s="1"/>
  <c r="V165" i="24" s="1"/>
  <c r="U173" i="24"/>
  <c r="T173" i="24" s="1"/>
  <c r="S173" i="24" s="1"/>
  <c r="R173" i="24" s="1"/>
  <c r="P173" i="24" s="1"/>
  <c r="V173" i="24" s="1"/>
  <c r="U181" i="24"/>
  <c r="T181" i="24" s="1"/>
  <c r="S181" i="24" s="1"/>
  <c r="R181" i="24" s="1"/>
  <c r="P181" i="24" s="1"/>
  <c r="V181" i="24" s="1"/>
  <c r="U189" i="24"/>
  <c r="T189" i="24" s="1"/>
  <c r="S189" i="24" s="1"/>
  <c r="R189" i="24" s="1"/>
  <c r="P189" i="24" s="1"/>
  <c r="V189" i="24" s="1"/>
  <c r="U197" i="24"/>
  <c r="T197" i="24" s="1"/>
  <c r="S197" i="24" s="1"/>
  <c r="R197" i="24" s="1"/>
  <c r="P197" i="24" s="1"/>
  <c r="V197" i="24" s="1"/>
  <c r="U205" i="24"/>
  <c r="T205" i="24" s="1"/>
  <c r="S205" i="24" s="1"/>
  <c r="R205" i="24" s="1"/>
  <c r="P205" i="24" s="1"/>
  <c r="V205" i="24" s="1"/>
  <c r="U213" i="24"/>
  <c r="T213" i="24" s="1"/>
  <c r="S213" i="24" s="1"/>
  <c r="R213" i="24" s="1"/>
  <c r="P213" i="24" s="1"/>
  <c r="V213" i="24" s="1"/>
  <c r="U221" i="24"/>
  <c r="T221" i="24" s="1"/>
  <c r="S221" i="24" s="1"/>
  <c r="R221" i="24" s="1"/>
  <c r="P221" i="24" s="1"/>
  <c r="V221" i="24" s="1"/>
  <c r="U229" i="24"/>
  <c r="T229" i="24" s="1"/>
  <c r="S229" i="24" s="1"/>
  <c r="R229" i="24" s="1"/>
  <c r="P229" i="24" s="1"/>
  <c r="V229" i="24" s="1"/>
  <c r="U237" i="24"/>
  <c r="T237" i="24" s="1"/>
  <c r="S237" i="24" s="1"/>
  <c r="R237" i="24" s="1"/>
  <c r="P237" i="24" s="1"/>
  <c r="V237" i="24" s="1"/>
  <c r="U245" i="24"/>
  <c r="T245" i="24" s="1"/>
  <c r="S245" i="24" s="1"/>
  <c r="R245" i="24" s="1"/>
  <c r="P245" i="24" s="1"/>
  <c r="V245" i="24" s="1"/>
  <c r="U253" i="24"/>
  <c r="T253" i="24" s="1"/>
  <c r="S253" i="24" s="1"/>
  <c r="R253" i="24" s="1"/>
  <c r="P253" i="24" s="1"/>
  <c r="V253" i="24" s="1"/>
  <c r="U261" i="24"/>
  <c r="T261" i="24" s="1"/>
  <c r="S261" i="24" s="1"/>
  <c r="R261" i="24" s="1"/>
  <c r="P261" i="24" s="1"/>
  <c r="V261" i="24" s="1"/>
  <c r="U269" i="24"/>
  <c r="T269" i="24" s="1"/>
  <c r="S269" i="24" s="1"/>
  <c r="R269" i="24" s="1"/>
  <c r="P269" i="24" s="1"/>
  <c r="V269" i="24" s="1"/>
  <c r="U277" i="24"/>
  <c r="T277" i="24" s="1"/>
  <c r="S277" i="24" s="1"/>
  <c r="R277" i="24" s="1"/>
  <c r="P277" i="24" s="1"/>
  <c r="V277" i="24" s="1"/>
  <c r="U285" i="24"/>
  <c r="T285" i="24" s="1"/>
  <c r="S285" i="24" s="1"/>
  <c r="R285" i="24" s="1"/>
  <c r="P285" i="24" s="1"/>
  <c r="V285" i="24" s="1"/>
  <c r="U293" i="24"/>
  <c r="T293" i="24" s="1"/>
  <c r="S293" i="24" s="1"/>
  <c r="R293" i="24" s="1"/>
  <c r="P293" i="24" s="1"/>
  <c r="V293" i="24" s="1"/>
  <c r="U301" i="24"/>
  <c r="T301" i="24" s="1"/>
  <c r="S301" i="24" s="1"/>
  <c r="R301" i="24" s="1"/>
  <c r="P301" i="24" s="1"/>
  <c r="V301" i="24" s="1"/>
  <c r="U309" i="24"/>
  <c r="T309" i="24" s="1"/>
  <c r="S309" i="24" s="1"/>
  <c r="R309" i="24" s="1"/>
  <c r="P309" i="24" s="1"/>
  <c r="V309" i="24" s="1"/>
  <c r="U317" i="24"/>
  <c r="T317" i="24" s="1"/>
  <c r="S317" i="24" s="1"/>
  <c r="R317" i="24" s="1"/>
  <c r="P317" i="24" s="1"/>
  <c r="V317" i="24" s="1"/>
  <c r="U325" i="24"/>
  <c r="T325" i="24" s="1"/>
  <c r="S325" i="24" s="1"/>
  <c r="R325" i="24" s="1"/>
  <c r="P325" i="24" s="1"/>
  <c r="V325" i="24" s="1"/>
  <c r="U333" i="24"/>
  <c r="T333" i="24" s="1"/>
  <c r="S333" i="24" s="1"/>
  <c r="R333" i="24" s="1"/>
  <c r="P333" i="24" s="1"/>
  <c r="U341" i="24"/>
  <c r="T341" i="24" s="1"/>
  <c r="S341" i="24" s="1"/>
  <c r="R341" i="24" s="1"/>
  <c r="P341" i="24" s="1"/>
  <c r="V341" i="24" s="1"/>
  <c r="U349" i="24"/>
  <c r="T349" i="24" s="1"/>
  <c r="S349" i="24" s="1"/>
  <c r="R349" i="24" s="1"/>
  <c r="P349" i="24" s="1"/>
  <c r="V349" i="24" s="1"/>
  <c r="U357" i="24"/>
  <c r="T357" i="24" s="1"/>
  <c r="S357" i="24" s="1"/>
  <c r="R357" i="24" s="1"/>
  <c r="P357" i="24" s="1"/>
  <c r="V357" i="24" s="1"/>
  <c r="U365" i="24"/>
  <c r="T365" i="24" s="1"/>
  <c r="S365" i="24" s="1"/>
  <c r="R365" i="24" s="1"/>
  <c r="P365" i="24" s="1"/>
  <c r="V365" i="24" s="1"/>
  <c r="U373" i="24"/>
  <c r="T373" i="24" s="1"/>
  <c r="S373" i="24" s="1"/>
  <c r="R373" i="24" s="1"/>
  <c r="P373" i="24" s="1"/>
  <c r="V373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195" i="24"/>
  <c r="T195" i="24" s="1"/>
  <c r="S195" i="24" s="1"/>
  <c r="R195" i="24" s="1"/>
  <c r="P195" i="24" s="1"/>
  <c r="V195" i="24" s="1"/>
  <c r="U203" i="24"/>
  <c r="T203" i="24" s="1"/>
  <c r="S203" i="24" s="1"/>
  <c r="R203" i="24" s="1"/>
  <c r="P203" i="24" s="1"/>
  <c r="V203" i="24" s="1"/>
  <c r="U211" i="24"/>
  <c r="T211" i="24" s="1"/>
  <c r="S211" i="24" s="1"/>
  <c r="R211" i="24" s="1"/>
  <c r="P211" i="24" s="1"/>
  <c r="V211" i="24" s="1"/>
  <c r="U219" i="24"/>
  <c r="T219" i="24" s="1"/>
  <c r="S219" i="24" s="1"/>
  <c r="R219" i="24" s="1"/>
  <c r="P219" i="24" s="1"/>
  <c r="V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U243" i="24"/>
  <c r="T243" i="24" s="1"/>
  <c r="S243" i="24" s="1"/>
  <c r="R243" i="24" s="1"/>
  <c r="P243" i="24" s="1"/>
  <c r="V243" i="24" s="1"/>
  <c r="U251" i="24"/>
  <c r="T251" i="24" s="1"/>
  <c r="S251" i="24" s="1"/>
  <c r="R251" i="24" s="1"/>
  <c r="P251" i="24" s="1"/>
  <c r="V251" i="24" s="1"/>
  <c r="U259" i="24"/>
  <c r="T259" i="24" s="1"/>
  <c r="S259" i="24" s="1"/>
  <c r="R259" i="24" s="1"/>
  <c r="P259" i="24" s="1"/>
  <c r="V259" i="24" s="1"/>
  <c r="U267" i="24"/>
  <c r="T267" i="24" s="1"/>
  <c r="S267" i="24" s="1"/>
  <c r="R267" i="24" s="1"/>
  <c r="P267" i="24" s="1"/>
  <c r="V267" i="24" s="1"/>
  <c r="U275" i="24"/>
  <c r="T275" i="24" s="1"/>
  <c r="S275" i="24" s="1"/>
  <c r="R275" i="24" s="1"/>
  <c r="P275" i="24" s="1"/>
  <c r="V275" i="24" s="1"/>
  <c r="U283" i="24"/>
  <c r="T283" i="24" s="1"/>
  <c r="S283" i="24" s="1"/>
  <c r="R283" i="24" s="1"/>
  <c r="P283" i="24" s="1"/>
  <c r="V283" i="24" s="1"/>
  <c r="U291" i="24"/>
  <c r="T291" i="24" s="1"/>
  <c r="S291" i="24" s="1"/>
  <c r="R291" i="24" s="1"/>
  <c r="P291" i="24" s="1"/>
  <c r="V291" i="24" s="1"/>
  <c r="U299" i="24"/>
  <c r="T299" i="24" s="1"/>
  <c r="S299" i="24" s="1"/>
  <c r="R299" i="24" s="1"/>
  <c r="P299" i="24" s="1"/>
  <c r="V299" i="24" s="1"/>
  <c r="U307" i="24"/>
  <c r="T307" i="24" s="1"/>
  <c r="S307" i="24" s="1"/>
  <c r="R307" i="24" s="1"/>
  <c r="P307" i="24" s="1"/>
  <c r="V307" i="24" s="1"/>
  <c r="U315" i="24"/>
  <c r="T315" i="24" s="1"/>
  <c r="S315" i="24" s="1"/>
  <c r="R315" i="24" s="1"/>
  <c r="P315" i="24" s="1"/>
  <c r="V315" i="24" s="1"/>
  <c r="U323" i="24"/>
  <c r="T323" i="24" s="1"/>
  <c r="S323" i="24" s="1"/>
  <c r="R323" i="24" s="1"/>
  <c r="P323" i="24" s="1"/>
  <c r="V323" i="24" s="1"/>
  <c r="U331" i="24"/>
  <c r="T331" i="24" s="1"/>
  <c r="S331" i="24" s="1"/>
  <c r="R331" i="24" s="1"/>
  <c r="P331" i="24" s="1"/>
  <c r="V331" i="24" s="1"/>
  <c r="U339" i="24"/>
  <c r="T339" i="24" s="1"/>
  <c r="S339" i="24" s="1"/>
  <c r="R339" i="24" s="1"/>
  <c r="P339" i="24" s="1"/>
  <c r="V339" i="24" s="1"/>
  <c r="U347" i="24"/>
  <c r="T347" i="24" s="1"/>
  <c r="S347" i="24" s="1"/>
  <c r="R347" i="24" s="1"/>
  <c r="P347" i="24" s="1"/>
  <c r="V347" i="24" s="1"/>
  <c r="U355" i="24"/>
  <c r="T355" i="24" s="1"/>
  <c r="S355" i="24" s="1"/>
  <c r="R355" i="24" s="1"/>
  <c r="P355" i="24" s="1"/>
  <c r="V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U379" i="24"/>
  <c r="U366" i="24"/>
  <c r="T366" i="24" s="1"/>
  <c r="S366" i="24" s="1"/>
  <c r="R366" i="24" s="1"/>
  <c r="P366" i="24" s="1"/>
  <c r="V366" i="24" s="1"/>
  <c r="U350" i="24"/>
  <c r="T350" i="24" s="1"/>
  <c r="S350" i="24" s="1"/>
  <c r="R350" i="24" s="1"/>
  <c r="P350" i="24" s="1"/>
  <c r="V350" i="24" s="1"/>
  <c r="U334" i="24"/>
  <c r="T334" i="24" s="1"/>
  <c r="S334" i="24" s="1"/>
  <c r="R334" i="24" s="1"/>
  <c r="P334" i="24" s="1"/>
  <c r="V334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0" i="24"/>
  <c r="T250" i="24" s="1"/>
  <c r="S250" i="24" s="1"/>
  <c r="R250" i="24" s="1"/>
  <c r="P250" i="24" s="1"/>
  <c r="V250" i="24" s="1"/>
  <c r="U234" i="24"/>
  <c r="T234" i="24" s="1"/>
  <c r="S234" i="24" s="1"/>
  <c r="R234" i="24" s="1"/>
  <c r="P234" i="24" s="1"/>
  <c r="V234" i="24" s="1"/>
  <c r="U218" i="24"/>
  <c r="T218" i="24" s="1"/>
  <c r="S218" i="24" s="1"/>
  <c r="R218" i="24" s="1"/>
  <c r="P218" i="24" s="1"/>
  <c r="V218" i="24" s="1"/>
  <c r="U202" i="24"/>
  <c r="T202" i="24" s="1"/>
  <c r="S202" i="24" s="1"/>
  <c r="R202" i="24" s="1"/>
  <c r="P202" i="24" s="1"/>
  <c r="V202" i="24" s="1"/>
  <c r="U186" i="24"/>
  <c r="T186" i="24" s="1"/>
  <c r="S186" i="24" s="1"/>
  <c r="R186" i="24" s="1"/>
  <c r="P186" i="24" s="1"/>
  <c r="V186" i="24" s="1"/>
  <c r="U170" i="24"/>
  <c r="T170" i="24" s="1"/>
  <c r="S170" i="24" s="1"/>
  <c r="R170" i="24" s="1"/>
  <c r="P170" i="24" s="1"/>
  <c r="V170" i="24" s="1"/>
  <c r="U154" i="24"/>
  <c r="T154" i="24" s="1"/>
  <c r="S154" i="24" s="1"/>
  <c r="R154" i="24" s="1"/>
  <c r="P154" i="24" s="1"/>
  <c r="V154" i="24" s="1"/>
  <c r="U138" i="24"/>
  <c r="T138" i="24" s="1"/>
  <c r="S138" i="24" s="1"/>
  <c r="R138" i="24" s="1"/>
  <c r="P138" i="24" s="1"/>
  <c r="V138" i="24" s="1"/>
  <c r="U122" i="24"/>
  <c r="T122" i="24" s="1"/>
  <c r="S122" i="24" s="1"/>
  <c r="R122" i="24" s="1"/>
  <c r="P122" i="24" s="1"/>
  <c r="V122" i="24" s="1"/>
  <c r="U106" i="24"/>
  <c r="T106" i="24" s="1"/>
  <c r="S106" i="24" s="1"/>
  <c r="R106" i="24" s="1"/>
  <c r="P106" i="24" s="1"/>
  <c r="V106" i="24" s="1"/>
  <c r="U90" i="24"/>
  <c r="T90" i="24" s="1"/>
  <c r="S90" i="24" s="1"/>
  <c r="R90" i="24" s="1"/>
  <c r="P90" i="24" s="1"/>
  <c r="V90" i="24" s="1"/>
  <c r="U74" i="24"/>
  <c r="T74" i="24" s="1"/>
  <c r="S74" i="24" s="1"/>
  <c r="R74" i="24" s="1"/>
  <c r="P74" i="24" s="1"/>
  <c r="V74" i="24" s="1"/>
  <c r="U54" i="24"/>
  <c r="T54" i="24" s="1"/>
  <c r="S54" i="24" s="1"/>
  <c r="R54" i="24" s="1"/>
  <c r="P54" i="24" s="1"/>
  <c r="V54" i="24" s="1"/>
  <c r="U38" i="24"/>
  <c r="T38" i="24" s="1"/>
  <c r="S38" i="24" s="1"/>
  <c r="R38" i="24" s="1"/>
  <c r="P38" i="24" s="1"/>
  <c r="V38" i="24" s="1"/>
  <c r="U17" i="24"/>
  <c r="T17" i="24" s="1"/>
  <c r="S17" i="24" s="1"/>
  <c r="R17" i="24" s="1"/>
  <c r="P17" i="24" s="1"/>
  <c r="V17" i="24" s="1"/>
  <c r="U378" i="24"/>
  <c r="T378" i="24" s="1"/>
  <c r="S378" i="24" s="1"/>
  <c r="R378" i="24" s="1"/>
  <c r="P378" i="24" s="1"/>
  <c r="V378" i="24" s="1"/>
  <c r="U362" i="24"/>
  <c r="T362" i="24" s="1"/>
  <c r="S362" i="24" s="1"/>
  <c r="R362" i="24" s="1"/>
  <c r="P362" i="24" s="1"/>
  <c r="V362" i="24" s="1"/>
  <c r="U346" i="24"/>
  <c r="T346" i="24" s="1"/>
  <c r="S346" i="24" s="1"/>
  <c r="R346" i="24" s="1"/>
  <c r="P346" i="24" s="1"/>
  <c r="V346" i="24" s="1"/>
  <c r="U330" i="24"/>
  <c r="T330" i="24" s="1"/>
  <c r="S330" i="24" s="1"/>
  <c r="R330" i="24" s="1"/>
  <c r="P330" i="24" s="1"/>
  <c r="V330" i="24" s="1"/>
  <c r="U314" i="24"/>
  <c r="T314" i="24" s="1"/>
  <c r="S314" i="24" s="1"/>
  <c r="R314" i="24" s="1"/>
  <c r="P314" i="24" s="1"/>
  <c r="V314" i="24" s="1"/>
  <c r="U298" i="24"/>
  <c r="T298" i="24" s="1"/>
  <c r="S298" i="24" s="1"/>
  <c r="R298" i="24" s="1"/>
  <c r="P298" i="24" s="1"/>
  <c r="V298" i="24" s="1"/>
  <c r="U282" i="24"/>
  <c r="T282" i="24" s="1"/>
  <c r="S282" i="24" s="1"/>
  <c r="R282" i="24" s="1"/>
  <c r="P282" i="24" s="1"/>
  <c r="V282" i="24" s="1"/>
  <c r="U266" i="24"/>
  <c r="T266" i="24" s="1"/>
  <c r="S266" i="24" s="1"/>
  <c r="R266" i="24" s="1"/>
  <c r="P266" i="24" s="1"/>
  <c r="V266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2" i="24"/>
  <c r="T22" i="24" s="1"/>
  <c r="S22" i="24" s="1"/>
  <c r="R22" i="24" s="1"/>
  <c r="P22" i="24" s="1"/>
  <c r="V22" i="24" s="1"/>
  <c r="U372" i="24"/>
  <c r="T372" i="24" s="1"/>
  <c r="S372" i="24" s="1"/>
  <c r="R372" i="24" s="1"/>
  <c r="P372" i="24" s="1"/>
  <c r="V372" i="24" s="1"/>
  <c r="U364" i="24"/>
  <c r="T364" i="24" s="1"/>
  <c r="S364" i="24" s="1"/>
  <c r="R364" i="24" s="1"/>
  <c r="P364" i="24" s="1"/>
  <c r="V364" i="24" s="1"/>
  <c r="U356" i="24"/>
  <c r="T356" i="24" s="1"/>
  <c r="S356" i="24" s="1"/>
  <c r="R356" i="24" s="1"/>
  <c r="P356" i="24" s="1"/>
  <c r="V356" i="24" s="1"/>
  <c r="U348" i="24"/>
  <c r="T348" i="24" s="1"/>
  <c r="S348" i="24" s="1"/>
  <c r="R348" i="24" s="1"/>
  <c r="P348" i="24" s="1"/>
  <c r="V348" i="24" s="1"/>
  <c r="U340" i="24"/>
  <c r="T340" i="24" s="1"/>
  <c r="S340" i="24" s="1"/>
  <c r="R340" i="24" s="1"/>
  <c r="P340" i="24" s="1"/>
  <c r="V340" i="24" s="1"/>
  <c r="U332" i="24"/>
  <c r="T332" i="24" s="1"/>
  <c r="S332" i="24" s="1"/>
  <c r="R332" i="24" s="1"/>
  <c r="P332" i="24" s="1"/>
  <c r="V332" i="24" s="1"/>
  <c r="U324" i="24"/>
  <c r="T324" i="24" s="1"/>
  <c r="S324" i="24" s="1"/>
  <c r="R324" i="24" s="1"/>
  <c r="P324" i="24" s="1"/>
  <c r="V324" i="24" s="1"/>
  <c r="U316" i="24"/>
  <c r="T316" i="24" s="1"/>
  <c r="S316" i="24" s="1"/>
  <c r="R316" i="24" s="1"/>
  <c r="P316" i="24" s="1"/>
  <c r="V316" i="24" s="1"/>
  <c r="U308" i="24"/>
  <c r="T308" i="24" s="1"/>
  <c r="S308" i="24" s="1"/>
  <c r="R308" i="24" s="1"/>
  <c r="P308" i="24" s="1"/>
  <c r="V308" i="24" s="1"/>
  <c r="U300" i="24"/>
  <c r="T300" i="24" s="1"/>
  <c r="S300" i="24" s="1"/>
  <c r="R300" i="24" s="1"/>
  <c r="P300" i="24" s="1"/>
  <c r="V300" i="24" s="1"/>
  <c r="U292" i="24"/>
  <c r="T292" i="24" s="1"/>
  <c r="S292" i="24" s="1"/>
  <c r="R292" i="24" s="1"/>
  <c r="P292" i="24" s="1"/>
  <c r="V292" i="24" s="1"/>
  <c r="U284" i="24"/>
  <c r="T284" i="24" s="1"/>
  <c r="S284" i="24" s="1"/>
  <c r="R284" i="24" s="1"/>
  <c r="P284" i="24" s="1"/>
  <c r="V284" i="24" s="1"/>
  <c r="U276" i="24"/>
  <c r="T276" i="24" s="1"/>
  <c r="S276" i="24" s="1"/>
  <c r="R276" i="24" s="1"/>
  <c r="P276" i="24" s="1"/>
  <c r="V276" i="24" s="1"/>
  <c r="U268" i="24"/>
  <c r="T268" i="24" s="1"/>
  <c r="S268" i="24" s="1"/>
  <c r="R268" i="24" s="1"/>
  <c r="P268" i="24" s="1"/>
  <c r="V268" i="24" s="1"/>
  <c r="U260" i="24"/>
  <c r="T260" i="24" s="1"/>
  <c r="S260" i="24" s="1"/>
  <c r="R260" i="24" s="1"/>
  <c r="P260" i="24" s="1"/>
  <c r="V260" i="24" s="1"/>
  <c r="U252" i="24"/>
  <c r="T252" i="24" s="1"/>
  <c r="S252" i="24" s="1"/>
  <c r="R252" i="24" s="1"/>
  <c r="P252" i="24" s="1"/>
  <c r="V252" i="24" s="1"/>
  <c r="U244" i="24"/>
  <c r="T244" i="24" s="1"/>
  <c r="S244" i="24" s="1"/>
  <c r="R244" i="24" s="1"/>
  <c r="P244" i="24" s="1"/>
  <c r="V244" i="24" s="1"/>
  <c r="U236" i="24"/>
  <c r="T236" i="24" s="1"/>
  <c r="S236" i="24" s="1"/>
  <c r="R236" i="24" s="1"/>
  <c r="P236" i="24" s="1"/>
  <c r="V236" i="24" s="1"/>
  <c r="U228" i="24"/>
  <c r="T228" i="24" s="1"/>
  <c r="S228" i="24" s="1"/>
  <c r="R228" i="24" s="1"/>
  <c r="P228" i="24" s="1"/>
  <c r="V228" i="24" s="1"/>
  <c r="U220" i="24"/>
  <c r="T220" i="24" s="1"/>
  <c r="S220" i="24" s="1"/>
  <c r="R220" i="24" s="1"/>
  <c r="P220" i="24" s="1"/>
  <c r="V220" i="24" s="1"/>
  <c r="U212" i="24"/>
  <c r="T212" i="24" s="1"/>
  <c r="S212" i="24" s="1"/>
  <c r="R212" i="24" s="1"/>
  <c r="P212" i="24" s="1"/>
  <c r="V212" i="24" s="1"/>
  <c r="U204" i="24"/>
  <c r="T204" i="24" s="1"/>
  <c r="S204" i="24" s="1"/>
  <c r="R204" i="24" s="1"/>
  <c r="P204" i="24" s="1"/>
  <c r="V204" i="24" s="1"/>
  <c r="U196" i="24"/>
  <c r="T196" i="24" s="1"/>
  <c r="S196" i="24" s="1"/>
  <c r="R196" i="24" s="1"/>
  <c r="P196" i="24" s="1"/>
  <c r="V196" i="24" s="1"/>
  <c r="U188" i="24"/>
  <c r="T188" i="24" s="1"/>
  <c r="S188" i="24" s="1"/>
  <c r="R188" i="24" s="1"/>
  <c r="P188" i="24" s="1"/>
  <c r="V188" i="24" s="1"/>
  <c r="U180" i="24"/>
  <c r="T180" i="24" s="1"/>
  <c r="S180" i="24" s="1"/>
  <c r="R180" i="24" s="1"/>
  <c r="P180" i="24" s="1"/>
  <c r="U172" i="24"/>
  <c r="T172" i="24" s="1"/>
  <c r="S172" i="24" s="1"/>
  <c r="R172" i="24" s="1"/>
  <c r="P172" i="24" s="1"/>
  <c r="V172" i="24" s="1"/>
  <c r="U164" i="24"/>
  <c r="T164" i="24" s="1"/>
  <c r="S164" i="24" s="1"/>
  <c r="R164" i="24" s="1"/>
  <c r="P164" i="24" s="1"/>
  <c r="V164" i="24" s="1"/>
  <c r="U156" i="24"/>
  <c r="T156" i="24" s="1"/>
  <c r="S156" i="24" s="1"/>
  <c r="R156" i="24" s="1"/>
  <c r="P156" i="24" s="1"/>
  <c r="V156" i="24" s="1"/>
  <c r="U148" i="24"/>
  <c r="T148" i="24" s="1"/>
  <c r="S148" i="24" s="1"/>
  <c r="R148" i="24" s="1"/>
  <c r="P148" i="24" s="1"/>
  <c r="V148" i="24" s="1"/>
  <c r="U140" i="24"/>
  <c r="T140" i="24" s="1"/>
  <c r="S140" i="24" s="1"/>
  <c r="R140" i="24" s="1"/>
  <c r="P140" i="24" s="1"/>
  <c r="V140" i="24" s="1"/>
  <c r="U132" i="24"/>
  <c r="T132" i="24" s="1"/>
  <c r="S132" i="24" s="1"/>
  <c r="R132" i="24" s="1"/>
  <c r="P132" i="24" s="1"/>
  <c r="V132" i="24" s="1"/>
  <c r="U124" i="24"/>
  <c r="T124" i="24" s="1"/>
  <c r="S124" i="24" s="1"/>
  <c r="R124" i="24" s="1"/>
  <c r="P124" i="24" s="1"/>
  <c r="V124" i="24" s="1"/>
  <c r="U116" i="24"/>
  <c r="T116" i="24" s="1"/>
  <c r="S116" i="24" s="1"/>
  <c r="R116" i="24" s="1"/>
  <c r="P116" i="24" s="1"/>
  <c r="V116" i="24" s="1"/>
  <c r="U108" i="24"/>
  <c r="T108" i="24" s="1"/>
  <c r="S108" i="24" s="1"/>
  <c r="R108" i="24" s="1"/>
  <c r="P108" i="24" s="1"/>
  <c r="V108" i="24" s="1"/>
  <c r="U100" i="24"/>
  <c r="T100" i="24" s="1"/>
  <c r="S100" i="24" s="1"/>
  <c r="R100" i="24" s="1"/>
  <c r="P100" i="24" s="1"/>
  <c r="V100" i="24" s="1"/>
  <c r="U92" i="24"/>
  <c r="T92" i="24" s="1"/>
  <c r="S92" i="24" s="1"/>
  <c r="R92" i="24" s="1"/>
  <c r="P92" i="24" s="1"/>
  <c r="V92" i="24" s="1"/>
  <c r="U84" i="24"/>
  <c r="T84" i="24" s="1"/>
  <c r="S84" i="24" s="1"/>
  <c r="R84" i="24" s="1"/>
  <c r="P84" i="24" s="1"/>
  <c r="V84" i="24" s="1"/>
  <c r="U76" i="24"/>
  <c r="T76" i="24" s="1"/>
  <c r="S76" i="24" s="1"/>
  <c r="R76" i="24" s="1"/>
  <c r="P76" i="24" s="1"/>
  <c r="V76" i="24" s="1"/>
  <c r="U68" i="24"/>
  <c r="T68" i="24" s="1"/>
  <c r="S68" i="24" s="1"/>
  <c r="R68" i="24" s="1"/>
  <c r="P68" i="24" s="1"/>
  <c r="V68" i="24" s="1"/>
  <c r="U60" i="24"/>
  <c r="T60" i="24" s="1"/>
  <c r="S60" i="24" s="1"/>
  <c r="R60" i="24" s="1"/>
  <c r="P60" i="24" s="1"/>
  <c r="U52" i="24"/>
  <c r="T52" i="24" s="1"/>
  <c r="S52" i="24" s="1"/>
  <c r="R52" i="24" s="1"/>
  <c r="P52" i="24" s="1"/>
  <c r="V52" i="24" s="1"/>
  <c r="U44" i="24"/>
  <c r="T44" i="24" s="1"/>
  <c r="S44" i="24" s="1"/>
  <c r="R44" i="24" s="1"/>
  <c r="P44" i="24" s="1"/>
  <c r="V44" i="24" s="1"/>
  <c r="U36" i="24"/>
  <c r="T36" i="24" s="1"/>
  <c r="S36" i="24" s="1"/>
  <c r="R36" i="24" s="1"/>
  <c r="P36" i="24" s="1"/>
  <c r="V36" i="24" s="1"/>
  <c r="U28" i="24"/>
  <c r="T28" i="24" s="1"/>
  <c r="S28" i="24" s="1"/>
  <c r="R28" i="24" s="1"/>
  <c r="P28" i="24" s="1"/>
  <c r="V28" i="24" s="1"/>
  <c r="U15" i="24"/>
  <c r="U20" i="24"/>
  <c r="T20" i="24" s="1"/>
  <c r="S20" i="24" s="1"/>
  <c r="R20" i="24" s="1"/>
  <c r="P20" i="24" s="1"/>
  <c r="V20" i="24" s="1"/>
  <c r="AD35" i="23"/>
  <c r="AF381" i="23"/>
  <c r="AF383" i="23"/>
  <c r="AF382" i="23"/>
  <c r="AH57" i="7" l="1"/>
  <c r="V60" i="24"/>
  <c r="C69" i="19" s="1"/>
  <c r="T15" i="24"/>
  <c r="U381" i="24"/>
  <c r="U382" i="24"/>
  <c r="U383" i="24"/>
  <c r="AH61" i="7"/>
  <c r="V180" i="24"/>
  <c r="G69" i="19" s="1"/>
  <c r="V302" i="24"/>
  <c r="K69" i="19" s="1"/>
  <c r="AH65" i="7"/>
  <c r="AH66" i="7"/>
  <c r="V333" i="24"/>
  <c r="L69" i="19" s="1"/>
  <c r="AH56" i="7"/>
  <c r="V29" i="24"/>
  <c r="AH58" i="7"/>
  <c r="V88" i="24"/>
  <c r="D69" i="19" s="1"/>
  <c r="V210" i="24"/>
  <c r="H69" i="19" s="1"/>
  <c r="AH62" i="7"/>
  <c r="AH379" i="24"/>
  <c r="AG379" i="24" s="1"/>
  <c r="AF379" i="24" s="1"/>
  <c r="AD379" i="24" s="1"/>
  <c r="AI12" i="25"/>
  <c r="R383" i="23"/>
  <c r="R382" i="23"/>
  <c r="R381" i="23"/>
  <c r="P15" i="23"/>
  <c r="AZ16" i="7"/>
  <c r="BF11" i="7" s="1"/>
  <c r="U11" i="25" s="1"/>
  <c r="U12" i="25"/>
  <c r="T379" i="24"/>
  <c r="S379" i="24" s="1"/>
  <c r="R379" i="24" s="1"/>
  <c r="P379" i="24" s="1"/>
  <c r="AH67" i="7"/>
  <c r="V363" i="24"/>
  <c r="V149" i="24"/>
  <c r="F69" i="19" s="1"/>
  <c r="AH60" i="7"/>
  <c r="V272" i="24"/>
  <c r="J69" i="19" s="1"/>
  <c r="AH64" i="7"/>
  <c r="AH59" i="7"/>
  <c r="V119" i="24"/>
  <c r="E69" i="19" s="1"/>
  <c r="V241" i="24"/>
  <c r="I69" i="19" s="1"/>
  <c r="AH63" i="7"/>
  <c r="AH15" i="24"/>
  <c r="AI383" i="24"/>
  <c r="AI381" i="24"/>
  <c r="AI382" i="24"/>
  <c r="AD381" i="23"/>
  <c r="AD382" i="23"/>
  <c r="AD383" i="23"/>
  <c r="V379" i="24" l="1"/>
  <c r="M69" i="19" s="1"/>
  <c r="D43" i="19"/>
  <c r="U10" i="25"/>
  <c r="U56" i="25" s="1"/>
  <c r="T56" i="25" s="1"/>
  <c r="S56" i="25" s="1"/>
  <c r="R56" i="25" s="1"/>
  <c r="P56" i="25" s="1"/>
  <c r="V56" i="25" s="1"/>
  <c r="AG15" i="24"/>
  <c r="AH382" i="24"/>
  <c r="AH381" i="24"/>
  <c r="AH383" i="24"/>
  <c r="BE16" i="7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52" i="25"/>
  <c r="T152" i="25" s="1"/>
  <c r="S152" i="25" s="1"/>
  <c r="R152" i="25" s="1"/>
  <c r="P152" i="25" s="1"/>
  <c r="V152" i="25" s="1"/>
  <c r="U198" i="25"/>
  <c r="T198" i="25" s="1"/>
  <c r="S198" i="25" s="1"/>
  <c r="R198" i="25" s="1"/>
  <c r="P198" i="25" s="1"/>
  <c r="V198" i="25" s="1"/>
  <c r="U230" i="25"/>
  <c r="T230" i="25" s="1"/>
  <c r="S230" i="25" s="1"/>
  <c r="R230" i="25" s="1"/>
  <c r="P230" i="25" s="1"/>
  <c r="V230" i="25" s="1"/>
  <c r="U262" i="25"/>
  <c r="T262" i="25" s="1"/>
  <c r="S262" i="25" s="1"/>
  <c r="R262" i="25" s="1"/>
  <c r="P262" i="25" s="1"/>
  <c r="V262" i="25" s="1"/>
  <c r="U314" i="25"/>
  <c r="T314" i="25" s="1"/>
  <c r="S314" i="25" s="1"/>
  <c r="R314" i="25" s="1"/>
  <c r="P314" i="25" s="1"/>
  <c r="V314" i="25" s="1"/>
  <c r="U378" i="25"/>
  <c r="T378" i="25" s="1"/>
  <c r="S378" i="25" s="1"/>
  <c r="R378" i="25" s="1"/>
  <c r="P378" i="25" s="1"/>
  <c r="V378" i="25" s="1"/>
  <c r="U68" i="25"/>
  <c r="T68" i="25" s="1"/>
  <c r="S68" i="25" s="1"/>
  <c r="R68" i="25" s="1"/>
  <c r="P68" i="25" s="1"/>
  <c r="V68" i="25" s="1"/>
  <c r="U132" i="25"/>
  <c r="T132" i="25" s="1"/>
  <c r="S132" i="25" s="1"/>
  <c r="R132" i="25" s="1"/>
  <c r="P132" i="25" s="1"/>
  <c r="V132" i="25" s="1"/>
  <c r="U188" i="25"/>
  <c r="T188" i="25" s="1"/>
  <c r="S188" i="25" s="1"/>
  <c r="R188" i="25" s="1"/>
  <c r="P188" i="25" s="1"/>
  <c r="V188" i="25" s="1"/>
  <c r="U220" i="25"/>
  <c r="T220" i="25" s="1"/>
  <c r="S220" i="25" s="1"/>
  <c r="R220" i="25" s="1"/>
  <c r="P220" i="25" s="1"/>
  <c r="V220" i="25" s="1"/>
  <c r="U252" i="25"/>
  <c r="T252" i="25" s="1"/>
  <c r="S252" i="25" s="1"/>
  <c r="R252" i="25" s="1"/>
  <c r="P252" i="25" s="1"/>
  <c r="V252" i="25" s="1"/>
  <c r="U284" i="25"/>
  <c r="T284" i="25" s="1"/>
  <c r="S284" i="25" s="1"/>
  <c r="R284" i="25" s="1"/>
  <c r="P284" i="25" s="1"/>
  <c r="V284" i="25" s="1"/>
  <c r="U316" i="25"/>
  <c r="T316" i="25" s="1"/>
  <c r="S316" i="25" s="1"/>
  <c r="R316" i="25" s="1"/>
  <c r="P316" i="25" s="1"/>
  <c r="V316" i="25" s="1"/>
  <c r="U348" i="25"/>
  <c r="T348" i="25" s="1"/>
  <c r="S348" i="25" s="1"/>
  <c r="R348" i="25" s="1"/>
  <c r="P348" i="25" s="1"/>
  <c r="V348" i="25" s="1"/>
  <c r="U270" i="25"/>
  <c r="T270" i="25" s="1"/>
  <c r="S270" i="25" s="1"/>
  <c r="R270" i="25" s="1"/>
  <c r="P270" i="25" s="1"/>
  <c r="V270" i="25" s="1"/>
  <c r="U342" i="25"/>
  <c r="T342" i="25" s="1"/>
  <c r="S342" i="25" s="1"/>
  <c r="R342" i="25" s="1"/>
  <c r="P342" i="25" s="1"/>
  <c r="V342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47" i="25"/>
  <c r="T147" i="25" s="1"/>
  <c r="S147" i="25" s="1"/>
  <c r="R147" i="25" s="1"/>
  <c r="P147" i="25" s="1"/>
  <c r="V147" i="25" s="1"/>
  <c r="U163" i="25"/>
  <c r="T163" i="25" s="1"/>
  <c r="S163" i="25" s="1"/>
  <c r="R163" i="25" s="1"/>
  <c r="P163" i="25" s="1"/>
  <c r="V163" i="25" s="1"/>
  <c r="U179" i="25"/>
  <c r="T179" i="25" s="1"/>
  <c r="S179" i="25" s="1"/>
  <c r="R179" i="25" s="1"/>
  <c r="P179" i="25" s="1"/>
  <c r="V179" i="25" s="1"/>
  <c r="U365" i="25"/>
  <c r="T365" i="25" s="1"/>
  <c r="S365" i="25" s="1"/>
  <c r="R365" i="25" s="1"/>
  <c r="P365" i="25" s="1"/>
  <c r="V365" i="25" s="1"/>
  <c r="U349" i="25"/>
  <c r="T349" i="25" s="1"/>
  <c r="S349" i="25" s="1"/>
  <c r="R349" i="25" s="1"/>
  <c r="P349" i="25" s="1"/>
  <c r="V349" i="25" s="1"/>
  <c r="U333" i="25"/>
  <c r="T333" i="25" s="1"/>
  <c r="S333" i="25" s="1"/>
  <c r="R333" i="25" s="1"/>
  <c r="P333" i="25" s="1"/>
  <c r="U317" i="25"/>
  <c r="T317" i="25" s="1"/>
  <c r="S317" i="25" s="1"/>
  <c r="R317" i="25" s="1"/>
  <c r="P317" i="25" s="1"/>
  <c r="V317" i="25" s="1"/>
  <c r="U301" i="25"/>
  <c r="T301" i="25" s="1"/>
  <c r="S301" i="25" s="1"/>
  <c r="R301" i="25" s="1"/>
  <c r="P301" i="25" s="1"/>
  <c r="V301" i="25" s="1"/>
  <c r="U285" i="25"/>
  <c r="T285" i="25" s="1"/>
  <c r="S285" i="25" s="1"/>
  <c r="R285" i="25" s="1"/>
  <c r="P285" i="25" s="1"/>
  <c r="V285" i="25" s="1"/>
  <c r="U269" i="25"/>
  <c r="T269" i="25" s="1"/>
  <c r="S269" i="25" s="1"/>
  <c r="R269" i="25" s="1"/>
  <c r="P269" i="25" s="1"/>
  <c r="V269" i="25" s="1"/>
  <c r="U253" i="25"/>
  <c r="T253" i="25" s="1"/>
  <c r="S253" i="25" s="1"/>
  <c r="R253" i="25" s="1"/>
  <c r="P253" i="25" s="1"/>
  <c r="V253" i="25" s="1"/>
  <c r="U237" i="25"/>
  <c r="T237" i="25" s="1"/>
  <c r="S237" i="25" s="1"/>
  <c r="R237" i="25" s="1"/>
  <c r="P237" i="25" s="1"/>
  <c r="V237" i="25" s="1"/>
  <c r="U221" i="25"/>
  <c r="T221" i="25" s="1"/>
  <c r="S221" i="25" s="1"/>
  <c r="R221" i="25" s="1"/>
  <c r="P221" i="25" s="1"/>
  <c r="V221" i="25" s="1"/>
  <c r="U205" i="25"/>
  <c r="T205" i="25" s="1"/>
  <c r="S205" i="25" s="1"/>
  <c r="R205" i="25" s="1"/>
  <c r="P205" i="25" s="1"/>
  <c r="V205" i="25" s="1"/>
  <c r="U189" i="25"/>
  <c r="T189" i="25" s="1"/>
  <c r="S189" i="25" s="1"/>
  <c r="R189" i="25" s="1"/>
  <c r="P189" i="25" s="1"/>
  <c r="V189" i="25" s="1"/>
  <c r="U166" i="25"/>
  <c r="T166" i="25" s="1"/>
  <c r="S166" i="25" s="1"/>
  <c r="R166" i="25" s="1"/>
  <c r="P166" i="25" s="1"/>
  <c r="V166" i="25" s="1"/>
  <c r="U134" i="25"/>
  <c r="T134" i="25" s="1"/>
  <c r="S134" i="25" s="1"/>
  <c r="R134" i="25" s="1"/>
  <c r="P134" i="25" s="1"/>
  <c r="V134" i="25" s="1"/>
  <c r="U102" i="25"/>
  <c r="T102" i="25" s="1"/>
  <c r="S102" i="25" s="1"/>
  <c r="R102" i="25" s="1"/>
  <c r="P102" i="25" s="1"/>
  <c r="V102" i="25" s="1"/>
  <c r="U70" i="25"/>
  <c r="T70" i="25" s="1"/>
  <c r="S70" i="25" s="1"/>
  <c r="R70" i="25" s="1"/>
  <c r="P70" i="25" s="1"/>
  <c r="V70" i="25" s="1"/>
  <c r="U38" i="25"/>
  <c r="T38" i="25" s="1"/>
  <c r="S38" i="25" s="1"/>
  <c r="R38" i="25" s="1"/>
  <c r="P38" i="25" s="1"/>
  <c r="V38" i="25" s="1"/>
  <c r="U19" i="25"/>
  <c r="T19" i="25" s="1"/>
  <c r="S19" i="25" s="1"/>
  <c r="R19" i="25" s="1"/>
  <c r="P19" i="25" s="1"/>
  <c r="V19" i="25" s="1"/>
  <c r="U29" i="25"/>
  <c r="T29" i="25" s="1"/>
  <c r="S29" i="25" s="1"/>
  <c r="R29" i="25" s="1"/>
  <c r="P29" i="25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379" i="25"/>
  <c r="U371" i="25"/>
  <c r="T371" i="25" s="1"/>
  <c r="S371" i="25" s="1"/>
  <c r="R371" i="25" s="1"/>
  <c r="P371" i="25" s="1"/>
  <c r="V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1" i="25"/>
  <c r="T251" i="25" s="1"/>
  <c r="S251" i="25" s="1"/>
  <c r="R251" i="25" s="1"/>
  <c r="P251" i="25" s="1"/>
  <c r="V251" i="25" s="1"/>
  <c r="U243" i="25"/>
  <c r="T243" i="25" s="1"/>
  <c r="S243" i="25" s="1"/>
  <c r="R243" i="25" s="1"/>
  <c r="P243" i="25" s="1"/>
  <c r="V243" i="25" s="1"/>
  <c r="U235" i="25"/>
  <c r="T235" i="25" s="1"/>
  <c r="S235" i="25" s="1"/>
  <c r="R235" i="25" s="1"/>
  <c r="P235" i="25" s="1"/>
  <c r="V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U211" i="25"/>
  <c r="T211" i="25" s="1"/>
  <c r="S211" i="25" s="1"/>
  <c r="R211" i="25" s="1"/>
  <c r="P211" i="25" s="1"/>
  <c r="V211" i="25" s="1"/>
  <c r="U203" i="25"/>
  <c r="T203" i="25" s="1"/>
  <c r="S203" i="25" s="1"/>
  <c r="R203" i="25" s="1"/>
  <c r="P203" i="25" s="1"/>
  <c r="V203" i="25" s="1"/>
  <c r="U195" i="25"/>
  <c r="T195" i="25" s="1"/>
  <c r="S195" i="25" s="1"/>
  <c r="R195" i="25" s="1"/>
  <c r="P195" i="25" s="1"/>
  <c r="V195" i="25" s="1"/>
  <c r="U187" i="25"/>
  <c r="T187" i="25" s="1"/>
  <c r="S187" i="25" s="1"/>
  <c r="R187" i="25" s="1"/>
  <c r="P187" i="25" s="1"/>
  <c r="V187" i="25" s="1"/>
  <c r="U178" i="25"/>
  <c r="T178" i="25" s="1"/>
  <c r="S178" i="25" s="1"/>
  <c r="R178" i="25" s="1"/>
  <c r="P178" i="25" s="1"/>
  <c r="V178" i="25" s="1"/>
  <c r="U162" i="25"/>
  <c r="T162" i="25" s="1"/>
  <c r="S162" i="25" s="1"/>
  <c r="R162" i="25" s="1"/>
  <c r="P162" i="25" s="1"/>
  <c r="V162" i="25" s="1"/>
  <c r="U146" i="25"/>
  <c r="T146" i="25" s="1"/>
  <c r="S146" i="25" s="1"/>
  <c r="R146" i="25" s="1"/>
  <c r="P146" i="25" s="1"/>
  <c r="V146" i="25" s="1"/>
  <c r="U130" i="25"/>
  <c r="T130" i="25" s="1"/>
  <c r="S130" i="25" s="1"/>
  <c r="R130" i="25" s="1"/>
  <c r="P130" i="25" s="1"/>
  <c r="V130" i="25" s="1"/>
  <c r="U114" i="25"/>
  <c r="T114" i="25" s="1"/>
  <c r="S114" i="25" s="1"/>
  <c r="R114" i="25" s="1"/>
  <c r="P114" i="25" s="1"/>
  <c r="V114" i="25" s="1"/>
  <c r="U98" i="25"/>
  <c r="T98" i="25" s="1"/>
  <c r="S98" i="25" s="1"/>
  <c r="R98" i="25" s="1"/>
  <c r="P98" i="25" s="1"/>
  <c r="V98" i="25" s="1"/>
  <c r="U82" i="25"/>
  <c r="T82" i="25" s="1"/>
  <c r="S82" i="25" s="1"/>
  <c r="R82" i="25" s="1"/>
  <c r="P82" i="25" s="1"/>
  <c r="V82" i="25" s="1"/>
  <c r="U66" i="25"/>
  <c r="T66" i="25" s="1"/>
  <c r="S66" i="25" s="1"/>
  <c r="R66" i="25" s="1"/>
  <c r="P66" i="25" s="1"/>
  <c r="V66" i="25" s="1"/>
  <c r="U50" i="25"/>
  <c r="T50" i="25" s="1"/>
  <c r="S50" i="25" s="1"/>
  <c r="R50" i="25" s="1"/>
  <c r="P50" i="25" s="1"/>
  <c r="V50" i="25" s="1"/>
  <c r="U34" i="25"/>
  <c r="T34" i="25" s="1"/>
  <c r="S34" i="25" s="1"/>
  <c r="R34" i="25" s="1"/>
  <c r="P34" i="25" s="1"/>
  <c r="V34" i="25" s="1"/>
  <c r="U20" i="25"/>
  <c r="T20" i="25" s="1"/>
  <c r="S20" i="25" s="1"/>
  <c r="R20" i="25" s="1"/>
  <c r="P20" i="25" s="1"/>
  <c r="V20" i="25" s="1"/>
  <c r="U380" i="25"/>
  <c r="T380" i="25" s="1"/>
  <c r="S380" i="25" s="1"/>
  <c r="R380" i="25" s="1"/>
  <c r="P380" i="25" s="1"/>
  <c r="V380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70" i="25"/>
  <c r="T170" i="25" s="1"/>
  <c r="S170" i="25" s="1"/>
  <c r="R170" i="25" s="1"/>
  <c r="P170" i="25" s="1"/>
  <c r="V170" i="25" s="1"/>
  <c r="U154" i="25"/>
  <c r="T154" i="25" s="1"/>
  <c r="S154" i="25" s="1"/>
  <c r="R154" i="25" s="1"/>
  <c r="P154" i="25" s="1"/>
  <c r="V154" i="25" s="1"/>
  <c r="U138" i="25"/>
  <c r="T138" i="25" s="1"/>
  <c r="S138" i="25" s="1"/>
  <c r="R138" i="25" s="1"/>
  <c r="P138" i="25" s="1"/>
  <c r="V138" i="25" s="1"/>
  <c r="U122" i="25"/>
  <c r="T122" i="25" s="1"/>
  <c r="S122" i="25" s="1"/>
  <c r="R122" i="25" s="1"/>
  <c r="P122" i="25" s="1"/>
  <c r="V122" i="25" s="1"/>
  <c r="U106" i="25"/>
  <c r="T106" i="25" s="1"/>
  <c r="S106" i="25" s="1"/>
  <c r="R106" i="25" s="1"/>
  <c r="P106" i="25" s="1"/>
  <c r="V106" i="25" s="1"/>
  <c r="U90" i="25"/>
  <c r="T90" i="25" s="1"/>
  <c r="S90" i="25" s="1"/>
  <c r="R90" i="25" s="1"/>
  <c r="P90" i="25" s="1"/>
  <c r="V90" i="25" s="1"/>
  <c r="U74" i="25"/>
  <c r="T74" i="25" s="1"/>
  <c r="S74" i="25" s="1"/>
  <c r="R74" i="25" s="1"/>
  <c r="P74" i="25" s="1"/>
  <c r="V74" i="25" s="1"/>
  <c r="U58" i="25"/>
  <c r="T58" i="25" s="1"/>
  <c r="S58" i="25" s="1"/>
  <c r="R58" i="25" s="1"/>
  <c r="P58" i="25" s="1"/>
  <c r="V58" i="25" s="1"/>
  <c r="U42" i="25"/>
  <c r="T42" i="25" s="1"/>
  <c r="S42" i="25" s="1"/>
  <c r="R42" i="25" s="1"/>
  <c r="P42" i="25" s="1"/>
  <c r="V42" i="25" s="1"/>
  <c r="U27" i="25"/>
  <c r="T27" i="25" s="1"/>
  <c r="S27" i="25" s="1"/>
  <c r="R27" i="25" s="1"/>
  <c r="P27" i="25" s="1"/>
  <c r="V27" i="25" s="1"/>
  <c r="P381" i="23"/>
  <c r="P383" i="23"/>
  <c r="P382" i="23"/>
  <c r="V15" i="23"/>
  <c r="AI78" i="25"/>
  <c r="AH78" i="25" s="1"/>
  <c r="AG78" i="25" s="1"/>
  <c r="AF78" i="25" s="1"/>
  <c r="AD78" i="25" s="1"/>
  <c r="AI118" i="25"/>
  <c r="AH118" i="25" s="1"/>
  <c r="AG118" i="25" s="1"/>
  <c r="AF118" i="25" s="1"/>
  <c r="AD118" i="25" s="1"/>
  <c r="AI150" i="25"/>
  <c r="AH150" i="25" s="1"/>
  <c r="AG150" i="25" s="1"/>
  <c r="AF150" i="25" s="1"/>
  <c r="AD150" i="25" s="1"/>
  <c r="AI182" i="25"/>
  <c r="AH182" i="25" s="1"/>
  <c r="AG182" i="25" s="1"/>
  <c r="AF182" i="25" s="1"/>
  <c r="AD182" i="25" s="1"/>
  <c r="AI199" i="25"/>
  <c r="AH199" i="25" s="1"/>
  <c r="AG199" i="25" s="1"/>
  <c r="AF199" i="25" s="1"/>
  <c r="AD199" i="25" s="1"/>
  <c r="AI215" i="25"/>
  <c r="AH215" i="25" s="1"/>
  <c r="AG215" i="25" s="1"/>
  <c r="AF215" i="25" s="1"/>
  <c r="AD215" i="25" s="1"/>
  <c r="AI231" i="25"/>
  <c r="AH231" i="25" s="1"/>
  <c r="AG231" i="25" s="1"/>
  <c r="AF231" i="25" s="1"/>
  <c r="AD231" i="25" s="1"/>
  <c r="AI247" i="25"/>
  <c r="AH247" i="25" s="1"/>
  <c r="AG247" i="25" s="1"/>
  <c r="AF247" i="25" s="1"/>
  <c r="AD247" i="25" s="1"/>
  <c r="AI263" i="25"/>
  <c r="AH263" i="25" s="1"/>
  <c r="AG263" i="25" s="1"/>
  <c r="AF263" i="25" s="1"/>
  <c r="AD263" i="25" s="1"/>
  <c r="AI279" i="25"/>
  <c r="AH279" i="25" s="1"/>
  <c r="AG279" i="25" s="1"/>
  <c r="AF279" i="25" s="1"/>
  <c r="AD279" i="25" s="1"/>
  <c r="AI292" i="25"/>
  <c r="AH292" i="25" s="1"/>
  <c r="AG292" i="25" s="1"/>
  <c r="AF292" i="25" s="1"/>
  <c r="AD292" i="25" s="1"/>
  <c r="AI300" i="25"/>
  <c r="AH300" i="25" s="1"/>
  <c r="AG300" i="25" s="1"/>
  <c r="AF300" i="25" s="1"/>
  <c r="AD300" i="25" s="1"/>
  <c r="AI308" i="25"/>
  <c r="AH308" i="25" s="1"/>
  <c r="AG308" i="25" s="1"/>
  <c r="AF308" i="25" s="1"/>
  <c r="AD308" i="25" s="1"/>
  <c r="AI316" i="25"/>
  <c r="AH316" i="25" s="1"/>
  <c r="AG316" i="25" s="1"/>
  <c r="AF316" i="25" s="1"/>
  <c r="AD316" i="25" s="1"/>
  <c r="AI324" i="25"/>
  <c r="AH324" i="25" s="1"/>
  <c r="AG324" i="25" s="1"/>
  <c r="AF324" i="25" s="1"/>
  <c r="AD324" i="25" s="1"/>
  <c r="AI332" i="25"/>
  <c r="AH332" i="25" s="1"/>
  <c r="AG332" i="25" s="1"/>
  <c r="AF332" i="25" s="1"/>
  <c r="AD332" i="25" s="1"/>
  <c r="AI340" i="25"/>
  <c r="AH340" i="25" s="1"/>
  <c r="AG340" i="25" s="1"/>
  <c r="AF340" i="25" s="1"/>
  <c r="AD340" i="25" s="1"/>
  <c r="AI348" i="25"/>
  <c r="AH348" i="25" s="1"/>
  <c r="AG348" i="25" s="1"/>
  <c r="AF348" i="25" s="1"/>
  <c r="AD348" i="25" s="1"/>
  <c r="AI356" i="25"/>
  <c r="AH356" i="25" s="1"/>
  <c r="AG356" i="25" s="1"/>
  <c r="AF356" i="25" s="1"/>
  <c r="AD356" i="25" s="1"/>
  <c r="AI364" i="25"/>
  <c r="AH364" i="25" s="1"/>
  <c r="AG364" i="25" s="1"/>
  <c r="AF364" i="25" s="1"/>
  <c r="AD364" i="25" s="1"/>
  <c r="AI372" i="25"/>
  <c r="AH372" i="25" s="1"/>
  <c r="AG372" i="25" s="1"/>
  <c r="AF372" i="25" s="1"/>
  <c r="AD372" i="25" s="1"/>
  <c r="AI46" i="25"/>
  <c r="AH46" i="25" s="1"/>
  <c r="AG46" i="25" s="1"/>
  <c r="AF46" i="25" s="1"/>
  <c r="AD46" i="25" s="1"/>
  <c r="AI102" i="25"/>
  <c r="AH102" i="25" s="1"/>
  <c r="AG102" i="25" s="1"/>
  <c r="AF102" i="25" s="1"/>
  <c r="AD102" i="25" s="1"/>
  <c r="AI134" i="25"/>
  <c r="AH134" i="25" s="1"/>
  <c r="AG134" i="25" s="1"/>
  <c r="AF134" i="25" s="1"/>
  <c r="AD134" i="25" s="1"/>
  <c r="AI166" i="25"/>
  <c r="AH166" i="25" s="1"/>
  <c r="AG166" i="25" s="1"/>
  <c r="AF166" i="25" s="1"/>
  <c r="AD166" i="25" s="1"/>
  <c r="AI191" i="25"/>
  <c r="AH191" i="25" s="1"/>
  <c r="AG191" i="25" s="1"/>
  <c r="AF191" i="25" s="1"/>
  <c r="AD191" i="25" s="1"/>
  <c r="AI207" i="25"/>
  <c r="AH207" i="25" s="1"/>
  <c r="AG207" i="25" s="1"/>
  <c r="AF207" i="25" s="1"/>
  <c r="AD207" i="25" s="1"/>
  <c r="AI223" i="25"/>
  <c r="AH223" i="25" s="1"/>
  <c r="AG223" i="25" s="1"/>
  <c r="AF223" i="25" s="1"/>
  <c r="AD223" i="25" s="1"/>
  <c r="AI239" i="25"/>
  <c r="AH239" i="25" s="1"/>
  <c r="AG239" i="25" s="1"/>
  <c r="AF239" i="25" s="1"/>
  <c r="AD239" i="25" s="1"/>
  <c r="AI255" i="25"/>
  <c r="AH255" i="25" s="1"/>
  <c r="AG255" i="25" s="1"/>
  <c r="AF255" i="25" s="1"/>
  <c r="AD255" i="25" s="1"/>
  <c r="AI271" i="25"/>
  <c r="AH271" i="25" s="1"/>
  <c r="AG271" i="25" s="1"/>
  <c r="AF271" i="25" s="1"/>
  <c r="AD271" i="25" s="1"/>
  <c r="AI287" i="25"/>
  <c r="AH287" i="25" s="1"/>
  <c r="AG287" i="25" s="1"/>
  <c r="AF287" i="25" s="1"/>
  <c r="AD287" i="25" s="1"/>
  <c r="AI296" i="25"/>
  <c r="AH296" i="25" s="1"/>
  <c r="AG296" i="25" s="1"/>
  <c r="AF296" i="25" s="1"/>
  <c r="AD296" i="25" s="1"/>
  <c r="AI304" i="25"/>
  <c r="AH304" i="25" s="1"/>
  <c r="AG304" i="25" s="1"/>
  <c r="AF304" i="25" s="1"/>
  <c r="AD304" i="25" s="1"/>
  <c r="AI312" i="25"/>
  <c r="AH312" i="25" s="1"/>
  <c r="AG312" i="25" s="1"/>
  <c r="AF312" i="25" s="1"/>
  <c r="AD312" i="25" s="1"/>
  <c r="AI320" i="25"/>
  <c r="AH320" i="25" s="1"/>
  <c r="AG320" i="25" s="1"/>
  <c r="AF320" i="25" s="1"/>
  <c r="AD320" i="25" s="1"/>
  <c r="AI328" i="25"/>
  <c r="AH328" i="25" s="1"/>
  <c r="AG328" i="25" s="1"/>
  <c r="AF328" i="25" s="1"/>
  <c r="AD328" i="25" s="1"/>
  <c r="AI336" i="25"/>
  <c r="AH336" i="25" s="1"/>
  <c r="AG336" i="25" s="1"/>
  <c r="AF336" i="25" s="1"/>
  <c r="AD336" i="25" s="1"/>
  <c r="AI344" i="25"/>
  <c r="AH344" i="25" s="1"/>
  <c r="AG344" i="25" s="1"/>
  <c r="AF344" i="25" s="1"/>
  <c r="AD344" i="25" s="1"/>
  <c r="AI352" i="25"/>
  <c r="AH352" i="25" s="1"/>
  <c r="AG352" i="25" s="1"/>
  <c r="AF352" i="25" s="1"/>
  <c r="AD352" i="25" s="1"/>
  <c r="AI360" i="25"/>
  <c r="AH360" i="25" s="1"/>
  <c r="AG360" i="25" s="1"/>
  <c r="AF360" i="25" s="1"/>
  <c r="AD360" i="25" s="1"/>
  <c r="AI368" i="25"/>
  <c r="AH368" i="25" s="1"/>
  <c r="AG368" i="25" s="1"/>
  <c r="AF368" i="25" s="1"/>
  <c r="AD368" i="25" s="1"/>
  <c r="AI376" i="25"/>
  <c r="AH376" i="25" s="1"/>
  <c r="AG376" i="25" s="1"/>
  <c r="AF376" i="25" s="1"/>
  <c r="AD376" i="25" s="1"/>
  <c r="AI21" i="25"/>
  <c r="AH21" i="25" s="1"/>
  <c r="AG21" i="25" s="1"/>
  <c r="AF21" i="25" s="1"/>
  <c r="AD21" i="25" s="1"/>
  <c r="AI34" i="25"/>
  <c r="AH34" i="25" s="1"/>
  <c r="AG34" i="25" s="1"/>
  <c r="AF34" i="25" s="1"/>
  <c r="AD34" i="25" s="1"/>
  <c r="AI50" i="25"/>
  <c r="AH50" i="25" s="1"/>
  <c r="AG50" i="25" s="1"/>
  <c r="AF50" i="25" s="1"/>
  <c r="AD50" i="25" s="1"/>
  <c r="AI66" i="25"/>
  <c r="AH66" i="25" s="1"/>
  <c r="AG66" i="25" s="1"/>
  <c r="AF66" i="25" s="1"/>
  <c r="AD66" i="25" s="1"/>
  <c r="AI82" i="25"/>
  <c r="AH82" i="25" s="1"/>
  <c r="AG82" i="25" s="1"/>
  <c r="AF82" i="25" s="1"/>
  <c r="AD82" i="25" s="1"/>
  <c r="AI96" i="25"/>
  <c r="AH96" i="25" s="1"/>
  <c r="AG96" i="25" s="1"/>
  <c r="AF96" i="25" s="1"/>
  <c r="AD96" i="25" s="1"/>
  <c r="AI104" i="25"/>
  <c r="AH104" i="25" s="1"/>
  <c r="AG104" i="25" s="1"/>
  <c r="AF104" i="25" s="1"/>
  <c r="AD104" i="25" s="1"/>
  <c r="AI112" i="25"/>
  <c r="AH112" i="25" s="1"/>
  <c r="AG112" i="25" s="1"/>
  <c r="AF112" i="25" s="1"/>
  <c r="AD112" i="25" s="1"/>
  <c r="AI120" i="25"/>
  <c r="AH120" i="25" s="1"/>
  <c r="AG120" i="25" s="1"/>
  <c r="AF120" i="25" s="1"/>
  <c r="AD120" i="25" s="1"/>
  <c r="AI128" i="25"/>
  <c r="AH128" i="25" s="1"/>
  <c r="AG128" i="25" s="1"/>
  <c r="AF128" i="25" s="1"/>
  <c r="AD128" i="25" s="1"/>
  <c r="AI136" i="25"/>
  <c r="AH136" i="25" s="1"/>
  <c r="AG136" i="25" s="1"/>
  <c r="AF136" i="25" s="1"/>
  <c r="AD136" i="25" s="1"/>
  <c r="AI144" i="25"/>
  <c r="AH144" i="25" s="1"/>
  <c r="AG144" i="25" s="1"/>
  <c r="AF144" i="25" s="1"/>
  <c r="AD144" i="25" s="1"/>
  <c r="AI152" i="25"/>
  <c r="AH152" i="25" s="1"/>
  <c r="AG152" i="25" s="1"/>
  <c r="AF152" i="25" s="1"/>
  <c r="AD152" i="25" s="1"/>
  <c r="AI160" i="25"/>
  <c r="AH160" i="25" s="1"/>
  <c r="AG160" i="25" s="1"/>
  <c r="AF160" i="25" s="1"/>
  <c r="AD160" i="25" s="1"/>
  <c r="AI168" i="25"/>
  <c r="AH168" i="25" s="1"/>
  <c r="AG168" i="25" s="1"/>
  <c r="AF168" i="25" s="1"/>
  <c r="AD168" i="25" s="1"/>
  <c r="AI176" i="25"/>
  <c r="AH176" i="25" s="1"/>
  <c r="AG176" i="25" s="1"/>
  <c r="AF176" i="25" s="1"/>
  <c r="AD176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38" i="25"/>
  <c r="AH38" i="25" s="1"/>
  <c r="AG38" i="25" s="1"/>
  <c r="AF38" i="25" s="1"/>
  <c r="AD38" i="25" s="1"/>
  <c r="AI70" i="25"/>
  <c r="AH70" i="25" s="1"/>
  <c r="AG70" i="25" s="1"/>
  <c r="AF70" i="25" s="1"/>
  <c r="AD70" i="25" s="1"/>
  <c r="AI98" i="25"/>
  <c r="AH98" i="25" s="1"/>
  <c r="AG98" i="25" s="1"/>
  <c r="AF98" i="25" s="1"/>
  <c r="AD98" i="25" s="1"/>
  <c r="AI114" i="25"/>
  <c r="AH114" i="25" s="1"/>
  <c r="AG114" i="25" s="1"/>
  <c r="AF114" i="25" s="1"/>
  <c r="AD114" i="25" s="1"/>
  <c r="AI130" i="25"/>
  <c r="AH130" i="25" s="1"/>
  <c r="AG130" i="25" s="1"/>
  <c r="AF130" i="25" s="1"/>
  <c r="AD130" i="25" s="1"/>
  <c r="AI146" i="25"/>
  <c r="AH146" i="25" s="1"/>
  <c r="AG146" i="25" s="1"/>
  <c r="AF146" i="25" s="1"/>
  <c r="AD146" i="25" s="1"/>
  <c r="AI162" i="25"/>
  <c r="AH162" i="25" s="1"/>
  <c r="AG162" i="25" s="1"/>
  <c r="AF162" i="25" s="1"/>
  <c r="AD162" i="25" s="1"/>
  <c r="AI178" i="25"/>
  <c r="AH178" i="25" s="1"/>
  <c r="AG178" i="25" s="1"/>
  <c r="AF178" i="25" s="1"/>
  <c r="AD178" i="25" s="1"/>
  <c r="AI189" i="25"/>
  <c r="AH189" i="25" s="1"/>
  <c r="AG189" i="25" s="1"/>
  <c r="AF189" i="25" s="1"/>
  <c r="AD189" i="25" s="1"/>
  <c r="AI197" i="25"/>
  <c r="AH197" i="25" s="1"/>
  <c r="AG197" i="25" s="1"/>
  <c r="AF197" i="25" s="1"/>
  <c r="AD197" i="25" s="1"/>
  <c r="AI205" i="25"/>
  <c r="AH205" i="25" s="1"/>
  <c r="AG205" i="25" s="1"/>
  <c r="AF205" i="25" s="1"/>
  <c r="AD205" i="25" s="1"/>
  <c r="AI213" i="25"/>
  <c r="AH213" i="25" s="1"/>
  <c r="AG213" i="25" s="1"/>
  <c r="AF213" i="25" s="1"/>
  <c r="AD213" i="25" s="1"/>
  <c r="AI221" i="25"/>
  <c r="AH221" i="25" s="1"/>
  <c r="AG221" i="25" s="1"/>
  <c r="AF221" i="25" s="1"/>
  <c r="AD221" i="25" s="1"/>
  <c r="AI229" i="25"/>
  <c r="AH229" i="25" s="1"/>
  <c r="AG229" i="25" s="1"/>
  <c r="AF229" i="25" s="1"/>
  <c r="AD229" i="25" s="1"/>
  <c r="AI237" i="25"/>
  <c r="AH237" i="25" s="1"/>
  <c r="AG237" i="25" s="1"/>
  <c r="AF237" i="25" s="1"/>
  <c r="AD237" i="25" s="1"/>
  <c r="AI245" i="25"/>
  <c r="AH245" i="25" s="1"/>
  <c r="AG245" i="25" s="1"/>
  <c r="AF245" i="25" s="1"/>
  <c r="AD245" i="25" s="1"/>
  <c r="AI253" i="25"/>
  <c r="AH253" i="25" s="1"/>
  <c r="AG253" i="25" s="1"/>
  <c r="AF253" i="25" s="1"/>
  <c r="AD253" i="25" s="1"/>
  <c r="AI261" i="25"/>
  <c r="AH261" i="25" s="1"/>
  <c r="AG261" i="25" s="1"/>
  <c r="AF261" i="25" s="1"/>
  <c r="AD261" i="25" s="1"/>
  <c r="AI269" i="25"/>
  <c r="AH269" i="25" s="1"/>
  <c r="AG269" i="25" s="1"/>
  <c r="AF269" i="25" s="1"/>
  <c r="AD269" i="25" s="1"/>
  <c r="AI277" i="25"/>
  <c r="AH277" i="25" s="1"/>
  <c r="AG277" i="25" s="1"/>
  <c r="AF277" i="25" s="1"/>
  <c r="AD277" i="25" s="1"/>
  <c r="AI285" i="25"/>
  <c r="AH285" i="25" s="1"/>
  <c r="AG285" i="25" s="1"/>
  <c r="AF285" i="25" s="1"/>
  <c r="AD285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4" i="25"/>
  <c r="AH374" i="25" s="1"/>
  <c r="AG374" i="25" s="1"/>
  <c r="AF374" i="25" s="1"/>
  <c r="AD374" i="25" s="1"/>
  <c r="AI366" i="25"/>
  <c r="AH366" i="25" s="1"/>
  <c r="AG366" i="25" s="1"/>
  <c r="AF366" i="25" s="1"/>
  <c r="AD366" i="25" s="1"/>
  <c r="AI358" i="25"/>
  <c r="AH358" i="25" s="1"/>
  <c r="AG358" i="25" s="1"/>
  <c r="AF358" i="25" s="1"/>
  <c r="AD358" i="25" s="1"/>
  <c r="AI350" i="25"/>
  <c r="AH350" i="25" s="1"/>
  <c r="AG350" i="25" s="1"/>
  <c r="AF350" i="25" s="1"/>
  <c r="AD350" i="25" s="1"/>
  <c r="AI342" i="25"/>
  <c r="AH342" i="25" s="1"/>
  <c r="AG342" i="25" s="1"/>
  <c r="AF342" i="25" s="1"/>
  <c r="AD342" i="25" s="1"/>
  <c r="AI334" i="25"/>
  <c r="AH334" i="25" s="1"/>
  <c r="AG334" i="25" s="1"/>
  <c r="AF334" i="25" s="1"/>
  <c r="AD334" i="25" s="1"/>
  <c r="AI326" i="25"/>
  <c r="AH326" i="25" s="1"/>
  <c r="AG326" i="25" s="1"/>
  <c r="AF326" i="25" s="1"/>
  <c r="AD326" i="25" s="1"/>
  <c r="AI318" i="25"/>
  <c r="AH318" i="25" s="1"/>
  <c r="AG318" i="25" s="1"/>
  <c r="AF318" i="25" s="1"/>
  <c r="AD318" i="25" s="1"/>
  <c r="AI310" i="25"/>
  <c r="AH310" i="25" s="1"/>
  <c r="AG310" i="25" s="1"/>
  <c r="AF310" i="25" s="1"/>
  <c r="AD310" i="25" s="1"/>
  <c r="AI302" i="25"/>
  <c r="AH302" i="25" s="1"/>
  <c r="AG302" i="25" s="1"/>
  <c r="AF302" i="25" s="1"/>
  <c r="AD302" i="25" s="1"/>
  <c r="AI294" i="25"/>
  <c r="AH294" i="25" s="1"/>
  <c r="AG294" i="25" s="1"/>
  <c r="AF294" i="25" s="1"/>
  <c r="AD294" i="25" s="1"/>
  <c r="AI283" i="25"/>
  <c r="AH283" i="25" s="1"/>
  <c r="AG283" i="25" s="1"/>
  <c r="AF283" i="25" s="1"/>
  <c r="AD283" i="25" s="1"/>
  <c r="AI267" i="25"/>
  <c r="AH267" i="25" s="1"/>
  <c r="AG267" i="25" s="1"/>
  <c r="AF267" i="25" s="1"/>
  <c r="AD267" i="25" s="1"/>
  <c r="AI251" i="25"/>
  <c r="AH251" i="25" s="1"/>
  <c r="AG251" i="25" s="1"/>
  <c r="AF251" i="25" s="1"/>
  <c r="AD251" i="25" s="1"/>
  <c r="AI235" i="25"/>
  <c r="AH235" i="25" s="1"/>
  <c r="AG235" i="25" s="1"/>
  <c r="AF235" i="25" s="1"/>
  <c r="AD235" i="25" s="1"/>
  <c r="AI219" i="25"/>
  <c r="AH219" i="25" s="1"/>
  <c r="AG219" i="25" s="1"/>
  <c r="AF219" i="25" s="1"/>
  <c r="AD219" i="25" s="1"/>
  <c r="AI203" i="25"/>
  <c r="AH203" i="25" s="1"/>
  <c r="AG203" i="25" s="1"/>
  <c r="AF203" i="25" s="1"/>
  <c r="AD203" i="25" s="1"/>
  <c r="AI187" i="25"/>
  <c r="AH187" i="25" s="1"/>
  <c r="AG187" i="25" s="1"/>
  <c r="AF187" i="25" s="1"/>
  <c r="AD187" i="25" s="1"/>
  <c r="AI158" i="25"/>
  <c r="AH158" i="25" s="1"/>
  <c r="AG158" i="25" s="1"/>
  <c r="AF158" i="25" s="1"/>
  <c r="AD158" i="25" s="1"/>
  <c r="AI126" i="25"/>
  <c r="AH126" i="25" s="1"/>
  <c r="AG126" i="25" s="1"/>
  <c r="AF126" i="25" s="1"/>
  <c r="AD126" i="25" s="1"/>
  <c r="AI94" i="25"/>
  <c r="AH94" i="25" s="1"/>
  <c r="AG94" i="25" s="1"/>
  <c r="AF94" i="25" s="1"/>
  <c r="AD94" i="25" s="1"/>
  <c r="AI30" i="25"/>
  <c r="AH30" i="25" s="1"/>
  <c r="AG30" i="25" s="1"/>
  <c r="AF30" i="25" s="1"/>
  <c r="AD30" i="25" s="1"/>
  <c r="AI88" i="25"/>
  <c r="AH88" i="25" s="1"/>
  <c r="AG88" i="25" s="1"/>
  <c r="AF88" i="25" s="1"/>
  <c r="AD88" i="25" s="1"/>
  <c r="AI80" i="25"/>
  <c r="AH80" i="25" s="1"/>
  <c r="AG80" i="25" s="1"/>
  <c r="AF80" i="25" s="1"/>
  <c r="AD80" i="25" s="1"/>
  <c r="AI72" i="25"/>
  <c r="AH72" i="25" s="1"/>
  <c r="AG72" i="25" s="1"/>
  <c r="AF72" i="25" s="1"/>
  <c r="AD72" i="25" s="1"/>
  <c r="AI64" i="25"/>
  <c r="AH64" i="25" s="1"/>
  <c r="AG64" i="25" s="1"/>
  <c r="AF64" i="25" s="1"/>
  <c r="AD64" i="25" s="1"/>
  <c r="AI56" i="25"/>
  <c r="AH56" i="25" s="1"/>
  <c r="AG56" i="25" s="1"/>
  <c r="AF56" i="25" s="1"/>
  <c r="AD56" i="25" s="1"/>
  <c r="AI48" i="25"/>
  <c r="AH48" i="25" s="1"/>
  <c r="AG48" i="25" s="1"/>
  <c r="AF48" i="25" s="1"/>
  <c r="AD48" i="25" s="1"/>
  <c r="AI40" i="25"/>
  <c r="AH40" i="25" s="1"/>
  <c r="AG40" i="25" s="1"/>
  <c r="AF40" i="25" s="1"/>
  <c r="AD40" i="25" s="1"/>
  <c r="AI32" i="25"/>
  <c r="AH32" i="25" s="1"/>
  <c r="AG32" i="25" s="1"/>
  <c r="AF32" i="25" s="1"/>
  <c r="AD32" i="25" s="1"/>
  <c r="AI26" i="25"/>
  <c r="AH26" i="25" s="1"/>
  <c r="AG26" i="25" s="1"/>
  <c r="AF26" i="25" s="1"/>
  <c r="AD26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380" i="25"/>
  <c r="AH380" i="25" s="1"/>
  <c r="AG380" i="25" s="1"/>
  <c r="AF380" i="25" s="1"/>
  <c r="AD380" i="25" s="1"/>
  <c r="AI18" i="25"/>
  <c r="AH18" i="25" s="1"/>
  <c r="AG18" i="25" s="1"/>
  <c r="AF18" i="25" s="1"/>
  <c r="AD18" i="25" s="1"/>
  <c r="AI19" i="25"/>
  <c r="AH19" i="25" s="1"/>
  <c r="AG19" i="25" s="1"/>
  <c r="AF19" i="25" s="1"/>
  <c r="AD19" i="25" s="1"/>
  <c r="AI42" i="25"/>
  <c r="AH42" i="25" s="1"/>
  <c r="AG42" i="25" s="1"/>
  <c r="AF42" i="25" s="1"/>
  <c r="AD42" i="25" s="1"/>
  <c r="AI58" i="25"/>
  <c r="AH58" i="25" s="1"/>
  <c r="AG58" i="25" s="1"/>
  <c r="AF58" i="25" s="1"/>
  <c r="AD58" i="25" s="1"/>
  <c r="AI74" i="25"/>
  <c r="AH74" i="25" s="1"/>
  <c r="AG74" i="25" s="1"/>
  <c r="AF74" i="25" s="1"/>
  <c r="AD74" i="25" s="1"/>
  <c r="AI90" i="25"/>
  <c r="AH90" i="25" s="1"/>
  <c r="AG90" i="25" s="1"/>
  <c r="AF90" i="25" s="1"/>
  <c r="AD90" i="25" s="1"/>
  <c r="AI100" i="25"/>
  <c r="AH100" i="25" s="1"/>
  <c r="AG100" i="25" s="1"/>
  <c r="AF100" i="25" s="1"/>
  <c r="AD100" i="25" s="1"/>
  <c r="AI108" i="25"/>
  <c r="AH108" i="25" s="1"/>
  <c r="AG108" i="25" s="1"/>
  <c r="AF108" i="25" s="1"/>
  <c r="AD108" i="25" s="1"/>
  <c r="AI116" i="25"/>
  <c r="AH116" i="25" s="1"/>
  <c r="AG116" i="25" s="1"/>
  <c r="AF116" i="25" s="1"/>
  <c r="AD116" i="25" s="1"/>
  <c r="AI124" i="25"/>
  <c r="AH124" i="25" s="1"/>
  <c r="AG124" i="25" s="1"/>
  <c r="AF124" i="25" s="1"/>
  <c r="AD124" i="25" s="1"/>
  <c r="AI132" i="25"/>
  <c r="AH132" i="25" s="1"/>
  <c r="AG132" i="25" s="1"/>
  <c r="AF132" i="25" s="1"/>
  <c r="AD132" i="25" s="1"/>
  <c r="AI140" i="25"/>
  <c r="AH140" i="25" s="1"/>
  <c r="AG140" i="25" s="1"/>
  <c r="AF140" i="25" s="1"/>
  <c r="AD140" i="25" s="1"/>
  <c r="AI148" i="25"/>
  <c r="AH148" i="25" s="1"/>
  <c r="AG148" i="25" s="1"/>
  <c r="AF148" i="25" s="1"/>
  <c r="AD148" i="25" s="1"/>
  <c r="AI156" i="25"/>
  <c r="AH156" i="25" s="1"/>
  <c r="AG156" i="25" s="1"/>
  <c r="AF156" i="25" s="1"/>
  <c r="AD156" i="25" s="1"/>
  <c r="AI164" i="25"/>
  <c r="AH164" i="25" s="1"/>
  <c r="AG164" i="25" s="1"/>
  <c r="AF164" i="25" s="1"/>
  <c r="AD164" i="25" s="1"/>
  <c r="AI172" i="25"/>
  <c r="AH172" i="25" s="1"/>
  <c r="AG172" i="25" s="1"/>
  <c r="AF172" i="25" s="1"/>
  <c r="AD172" i="25" s="1"/>
  <c r="AI180" i="25"/>
  <c r="AH180" i="25" s="1"/>
  <c r="AG180" i="25" s="1"/>
  <c r="AF180" i="25" s="1"/>
  <c r="AD180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15" i="25"/>
  <c r="AI54" i="25"/>
  <c r="AH54" i="25" s="1"/>
  <c r="AG54" i="25" s="1"/>
  <c r="AF54" i="25" s="1"/>
  <c r="AD54" i="25" s="1"/>
  <c r="AI86" i="25"/>
  <c r="AH86" i="25" s="1"/>
  <c r="AG86" i="25" s="1"/>
  <c r="AF86" i="25" s="1"/>
  <c r="AD86" i="25" s="1"/>
  <c r="AI106" i="25"/>
  <c r="AH106" i="25" s="1"/>
  <c r="AG106" i="25" s="1"/>
  <c r="AF106" i="25" s="1"/>
  <c r="AD106" i="25" s="1"/>
  <c r="AI122" i="25"/>
  <c r="AH122" i="25" s="1"/>
  <c r="AG122" i="25" s="1"/>
  <c r="AF122" i="25" s="1"/>
  <c r="AD122" i="25" s="1"/>
  <c r="AI138" i="25"/>
  <c r="AH138" i="25" s="1"/>
  <c r="AG138" i="25" s="1"/>
  <c r="AF138" i="25" s="1"/>
  <c r="AD138" i="25" s="1"/>
  <c r="AI154" i="25"/>
  <c r="AH154" i="25" s="1"/>
  <c r="AG154" i="25" s="1"/>
  <c r="AF154" i="25" s="1"/>
  <c r="AD154" i="25" s="1"/>
  <c r="AI170" i="25"/>
  <c r="AH170" i="25" s="1"/>
  <c r="AG170" i="25" s="1"/>
  <c r="AF170" i="25" s="1"/>
  <c r="AD170" i="25" s="1"/>
  <c r="AI185" i="25"/>
  <c r="AH185" i="25" s="1"/>
  <c r="AG185" i="25" s="1"/>
  <c r="AF185" i="25" s="1"/>
  <c r="AD185" i="25" s="1"/>
  <c r="AI193" i="25"/>
  <c r="AH193" i="25" s="1"/>
  <c r="AG193" i="25" s="1"/>
  <c r="AF193" i="25" s="1"/>
  <c r="AD193" i="25" s="1"/>
  <c r="AI201" i="25"/>
  <c r="AH201" i="25" s="1"/>
  <c r="AG201" i="25" s="1"/>
  <c r="AF201" i="25" s="1"/>
  <c r="AD201" i="25" s="1"/>
  <c r="AI209" i="25"/>
  <c r="AH209" i="25" s="1"/>
  <c r="AG209" i="25" s="1"/>
  <c r="AF209" i="25" s="1"/>
  <c r="AD209" i="25" s="1"/>
  <c r="AI217" i="25"/>
  <c r="AH217" i="25" s="1"/>
  <c r="AG217" i="25" s="1"/>
  <c r="AF217" i="25" s="1"/>
  <c r="AD217" i="25" s="1"/>
  <c r="AI225" i="25"/>
  <c r="AH225" i="25" s="1"/>
  <c r="AG225" i="25" s="1"/>
  <c r="AF225" i="25" s="1"/>
  <c r="AD225" i="25" s="1"/>
  <c r="AI233" i="25"/>
  <c r="AH233" i="25" s="1"/>
  <c r="AG233" i="25" s="1"/>
  <c r="AF233" i="25" s="1"/>
  <c r="AD233" i="25" s="1"/>
  <c r="AI241" i="25"/>
  <c r="AH241" i="25" s="1"/>
  <c r="AG241" i="25" s="1"/>
  <c r="AF241" i="25" s="1"/>
  <c r="AD241" i="25" s="1"/>
  <c r="AI249" i="25"/>
  <c r="AH249" i="25" s="1"/>
  <c r="AG249" i="25" s="1"/>
  <c r="AF249" i="25" s="1"/>
  <c r="AD249" i="25" s="1"/>
  <c r="AI257" i="25"/>
  <c r="AH257" i="25" s="1"/>
  <c r="AG257" i="25" s="1"/>
  <c r="AF257" i="25" s="1"/>
  <c r="AD257" i="25" s="1"/>
  <c r="AI265" i="25"/>
  <c r="AH265" i="25" s="1"/>
  <c r="AG265" i="25" s="1"/>
  <c r="AF265" i="25" s="1"/>
  <c r="AD265" i="25" s="1"/>
  <c r="AI273" i="25"/>
  <c r="AH273" i="25" s="1"/>
  <c r="AG273" i="25" s="1"/>
  <c r="AF273" i="25" s="1"/>
  <c r="AD273" i="25" s="1"/>
  <c r="AI281" i="25"/>
  <c r="AH281" i="25" s="1"/>
  <c r="AG281" i="25" s="1"/>
  <c r="AF281" i="25" s="1"/>
  <c r="AD281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0" i="25"/>
  <c r="AH370" i="25" s="1"/>
  <c r="AG370" i="25" s="1"/>
  <c r="AF370" i="25" s="1"/>
  <c r="AD370" i="25" s="1"/>
  <c r="AI354" i="25"/>
  <c r="AH354" i="25" s="1"/>
  <c r="AG354" i="25" s="1"/>
  <c r="AF354" i="25" s="1"/>
  <c r="AD354" i="25" s="1"/>
  <c r="AI338" i="25"/>
  <c r="AH338" i="25" s="1"/>
  <c r="AG338" i="25" s="1"/>
  <c r="AF338" i="25" s="1"/>
  <c r="AD338" i="25" s="1"/>
  <c r="AI322" i="25"/>
  <c r="AH322" i="25" s="1"/>
  <c r="AG322" i="25" s="1"/>
  <c r="AF322" i="25" s="1"/>
  <c r="AD322" i="25" s="1"/>
  <c r="AI306" i="25"/>
  <c r="AH306" i="25" s="1"/>
  <c r="AG306" i="25" s="1"/>
  <c r="AF306" i="25" s="1"/>
  <c r="AD306" i="25" s="1"/>
  <c r="AI290" i="25"/>
  <c r="AH290" i="25" s="1"/>
  <c r="AG290" i="25" s="1"/>
  <c r="AF290" i="25" s="1"/>
  <c r="AD290" i="25" s="1"/>
  <c r="AI259" i="25"/>
  <c r="AH259" i="25" s="1"/>
  <c r="AG259" i="25" s="1"/>
  <c r="AF259" i="25" s="1"/>
  <c r="AD259" i="25" s="1"/>
  <c r="AI227" i="25"/>
  <c r="AH227" i="25" s="1"/>
  <c r="AG227" i="25" s="1"/>
  <c r="AF227" i="25" s="1"/>
  <c r="AD227" i="25" s="1"/>
  <c r="AI195" i="25"/>
  <c r="AH195" i="25" s="1"/>
  <c r="AG195" i="25" s="1"/>
  <c r="AF195" i="25" s="1"/>
  <c r="AD195" i="25" s="1"/>
  <c r="AI142" i="25"/>
  <c r="AH142" i="25" s="1"/>
  <c r="AG142" i="25" s="1"/>
  <c r="AF142" i="25" s="1"/>
  <c r="AD142" i="25" s="1"/>
  <c r="AI62" i="25"/>
  <c r="AH62" i="25" s="1"/>
  <c r="AG62" i="25" s="1"/>
  <c r="AF62" i="25" s="1"/>
  <c r="AD62" i="25" s="1"/>
  <c r="AI84" i="25"/>
  <c r="AH84" i="25" s="1"/>
  <c r="AG84" i="25" s="1"/>
  <c r="AF84" i="25" s="1"/>
  <c r="AD84" i="25" s="1"/>
  <c r="AI68" i="25"/>
  <c r="AH68" i="25" s="1"/>
  <c r="AG68" i="25" s="1"/>
  <c r="AF68" i="25" s="1"/>
  <c r="AD68" i="25" s="1"/>
  <c r="AI52" i="25"/>
  <c r="AH52" i="25" s="1"/>
  <c r="AG52" i="25" s="1"/>
  <c r="AF52" i="25" s="1"/>
  <c r="AD52" i="25" s="1"/>
  <c r="AI36" i="25"/>
  <c r="AH36" i="25" s="1"/>
  <c r="AG36" i="25" s="1"/>
  <c r="AF36" i="25" s="1"/>
  <c r="AD36" i="25" s="1"/>
  <c r="AI25" i="25"/>
  <c r="AH25" i="25" s="1"/>
  <c r="AG25" i="25" s="1"/>
  <c r="AF25" i="25" s="1"/>
  <c r="AD25" i="25" s="1"/>
  <c r="AI24" i="25"/>
  <c r="AH24" i="25" s="1"/>
  <c r="AG24" i="25" s="1"/>
  <c r="AF24" i="25" s="1"/>
  <c r="AD24" i="25" s="1"/>
  <c r="AI20" i="25"/>
  <c r="AH20" i="25" s="1"/>
  <c r="AG20" i="25" s="1"/>
  <c r="AF20" i="25" s="1"/>
  <c r="AD20" i="25" s="1"/>
  <c r="AI35" i="25"/>
  <c r="AH35" i="25" s="1"/>
  <c r="AG35" i="25" s="1"/>
  <c r="AF35" i="25" s="1"/>
  <c r="AD35" i="25" s="1"/>
  <c r="AI43" i="25"/>
  <c r="AH43" i="25" s="1"/>
  <c r="AG43" i="25" s="1"/>
  <c r="AF43" i="25" s="1"/>
  <c r="AD43" i="25" s="1"/>
  <c r="AI51" i="25"/>
  <c r="AH51" i="25" s="1"/>
  <c r="AG51" i="25" s="1"/>
  <c r="AF51" i="25" s="1"/>
  <c r="AD51" i="25" s="1"/>
  <c r="AI59" i="25"/>
  <c r="AH59" i="25" s="1"/>
  <c r="AG59" i="25" s="1"/>
  <c r="AF59" i="25" s="1"/>
  <c r="AD59" i="25" s="1"/>
  <c r="AI67" i="25"/>
  <c r="AH67" i="25" s="1"/>
  <c r="AG67" i="25" s="1"/>
  <c r="AF67" i="25" s="1"/>
  <c r="AD67" i="25" s="1"/>
  <c r="AI75" i="25"/>
  <c r="AH75" i="25" s="1"/>
  <c r="AG75" i="25" s="1"/>
  <c r="AF75" i="25" s="1"/>
  <c r="AD75" i="25" s="1"/>
  <c r="AI83" i="25"/>
  <c r="AH83" i="25" s="1"/>
  <c r="AG83" i="25" s="1"/>
  <c r="AF83" i="25" s="1"/>
  <c r="AD83" i="25" s="1"/>
  <c r="AI91" i="25"/>
  <c r="AH91" i="25" s="1"/>
  <c r="AG91" i="25" s="1"/>
  <c r="AF91" i="25" s="1"/>
  <c r="AD91" i="25" s="1"/>
  <c r="AI99" i="25"/>
  <c r="AH99" i="25" s="1"/>
  <c r="AG99" i="25" s="1"/>
  <c r="AF99" i="25" s="1"/>
  <c r="AD99" i="25" s="1"/>
  <c r="AI107" i="25"/>
  <c r="AH107" i="25" s="1"/>
  <c r="AG107" i="25" s="1"/>
  <c r="AF107" i="25" s="1"/>
  <c r="AD107" i="25" s="1"/>
  <c r="AI115" i="25"/>
  <c r="AH115" i="25" s="1"/>
  <c r="AG115" i="25" s="1"/>
  <c r="AF115" i="25" s="1"/>
  <c r="AD115" i="25" s="1"/>
  <c r="AI123" i="25"/>
  <c r="AH123" i="25" s="1"/>
  <c r="AG123" i="25" s="1"/>
  <c r="AF123" i="25" s="1"/>
  <c r="AD123" i="25" s="1"/>
  <c r="AI131" i="25"/>
  <c r="AH131" i="25" s="1"/>
  <c r="AG131" i="25" s="1"/>
  <c r="AF131" i="25" s="1"/>
  <c r="AD131" i="25" s="1"/>
  <c r="AI139" i="25"/>
  <c r="AH139" i="25" s="1"/>
  <c r="AG139" i="25" s="1"/>
  <c r="AF139" i="25" s="1"/>
  <c r="AD139" i="25" s="1"/>
  <c r="AI147" i="25"/>
  <c r="AH147" i="25" s="1"/>
  <c r="AG147" i="25" s="1"/>
  <c r="AF147" i="25" s="1"/>
  <c r="AD147" i="25" s="1"/>
  <c r="AI155" i="25"/>
  <c r="AH155" i="25" s="1"/>
  <c r="AG155" i="25" s="1"/>
  <c r="AF155" i="25" s="1"/>
  <c r="AD155" i="25" s="1"/>
  <c r="AI163" i="25"/>
  <c r="AH163" i="25" s="1"/>
  <c r="AG163" i="25" s="1"/>
  <c r="AF163" i="25" s="1"/>
  <c r="AD163" i="25" s="1"/>
  <c r="AI171" i="25"/>
  <c r="AH171" i="25" s="1"/>
  <c r="AG171" i="25" s="1"/>
  <c r="AF171" i="25" s="1"/>
  <c r="AD171" i="25" s="1"/>
  <c r="AI179" i="25"/>
  <c r="AH179" i="25" s="1"/>
  <c r="AG179" i="25" s="1"/>
  <c r="AF179" i="25" s="1"/>
  <c r="AD179" i="25" s="1"/>
  <c r="AI378" i="25"/>
  <c r="AH378" i="25" s="1"/>
  <c r="AG378" i="25" s="1"/>
  <c r="AF378" i="25" s="1"/>
  <c r="AD378" i="25" s="1"/>
  <c r="AI362" i="25"/>
  <c r="AH362" i="25" s="1"/>
  <c r="AG362" i="25" s="1"/>
  <c r="AF362" i="25" s="1"/>
  <c r="AD362" i="25" s="1"/>
  <c r="AI346" i="25"/>
  <c r="AH346" i="25" s="1"/>
  <c r="AG346" i="25" s="1"/>
  <c r="AF346" i="25" s="1"/>
  <c r="AD346" i="25" s="1"/>
  <c r="AI330" i="25"/>
  <c r="AH330" i="25" s="1"/>
  <c r="AG330" i="25" s="1"/>
  <c r="AF330" i="25" s="1"/>
  <c r="AD330" i="25" s="1"/>
  <c r="AI314" i="25"/>
  <c r="AH314" i="25" s="1"/>
  <c r="AG314" i="25" s="1"/>
  <c r="AF314" i="25" s="1"/>
  <c r="AD314" i="25" s="1"/>
  <c r="AI298" i="25"/>
  <c r="AH298" i="25" s="1"/>
  <c r="AG298" i="25" s="1"/>
  <c r="AF298" i="25" s="1"/>
  <c r="AD298" i="25" s="1"/>
  <c r="AI275" i="25"/>
  <c r="AH275" i="25" s="1"/>
  <c r="AG275" i="25" s="1"/>
  <c r="AF275" i="25" s="1"/>
  <c r="AD275" i="25" s="1"/>
  <c r="AI243" i="25"/>
  <c r="AH243" i="25" s="1"/>
  <c r="AG243" i="25" s="1"/>
  <c r="AF243" i="25" s="1"/>
  <c r="AD243" i="25" s="1"/>
  <c r="AI211" i="25"/>
  <c r="AH211" i="25" s="1"/>
  <c r="AG211" i="25" s="1"/>
  <c r="AF211" i="25" s="1"/>
  <c r="AD211" i="25" s="1"/>
  <c r="AI174" i="25"/>
  <c r="AH174" i="25" s="1"/>
  <c r="AG174" i="25" s="1"/>
  <c r="AF174" i="25" s="1"/>
  <c r="AD174" i="25" s="1"/>
  <c r="AI110" i="25"/>
  <c r="AH110" i="25" s="1"/>
  <c r="AG110" i="25" s="1"/>
  <c r="AF110" i="25" s="1"/>
  <c r="AD110" i="25" s="1"/>
  <c r="AI92" i="25"/>
  <c r="AH92" i="25" s="1"/>
  <c r="AG92" i="25" s="1"/>
  <c r="AF92" i="25" s="1"/>
  <c r="AD92" i="25" s="1"/>
  <c r="AI76" i="25"/>
  <c r="AH76" i="25" s="1"/>
  <c r="AG76" i="25" s="1"/>
  <c r="AF76" i="25" s="1"/>
  <c r="AD76" i="25" s="1"/>
  <c r="AI60" i="25"/>
  <c r="AH60" i="25" s="1"/>
  <c r="AG60" i="25" s="1"/>
  <c r="AF60" i="25" s="1"/>
  <c r="AD60" i="25" s="1"/>
  <c r="AI44" i="25"/>
  <c r="AH44" i="25" s="1"/>
  <c r="AG44" i="25" s="1"/>
  <c r="AF44" i="25" s="1"/>
  <c r="AD44" i="25" s="1"/>
  <c r="AI28" i="25"/>
  <c r="AH28" i="25" s="1"/>
  <c r="AG28" i="25" s="1"/>
  <c r="AF28" i="25" s="1"/>
  <c r="AD28" i="25" s="1"/>
  <c r="AI17" i="25"/>
  <c r="AH17" i="25" s="1"/>
  <c r="AG17" i="25" s="1"/>
  <c r="AF17" i="25" s="1"/>
  <c r="AD17" i="25" s="1"/>
  <c r="AI16" i="25"/>
  <c r="AH16" i="25" s="1"/>
  <c r="AG16" i="25" s="1"/>
  <c r="AF16" i="25" s="1"/>
  <c r="AD16" i="25" s="1"/>
  <c r="AI31" i="25"/>
  <c r="AH31" i="25" s="1"/>
  <c r="AG31" i="25" s="1"/>
  <c r="AF31" i="25" s="1"/>
  <c r="AD31" i="25" s="1"/>
  <c r="AI39" i="25"/>
  <c r="AH39" i="25" s="1"/>
  <c r="AG39" i="25" s="1"/>
  <c r="AF39" i="25" s="1"/>
  <c r="AD39" i="25" s="1"/>
  <c r="AI47" i="25"/>
  <c r="AH47" i="25" s="1"/>
  <c r="AG47" i="25" s="1"/>
  <c r="AF47" i="25" s="1"/>
  <c r="AD47" i="25" s="1"/>
  <c r="AI55" i="25"/>
  <c r="AH55" i="25" s="1"/>
  <c r="AG55" i="25" s="1"/>
  <c r="AF55" i="25" s="1"/>
  <c r="AD55" i="25" s="1"/>
  <c r="AI63" i="25"/>
  <c r="AH63" i="25" s="1"/>
  <c r="AG63" i="25" s="1"/>
  <c r="AF63" i="25" s="1"/>
  <c r="AD63" i="25" s="1"/>
  <c r="AI71" i="25"/>
  <c r="AH71" i="25" s="1"/>
  <c r="AG71" i="25" s="1"/>
  <c r="AF71" i="25" s="1"/>
  <c r="AD71" i="25" s="1"/>
  <c r="AI79" i="25"/>
  <c r="AH79" i="25" s="1"/>
  <c r="AG79" i="25" s="1"/>
  <c r="AF79" i="25" s="1"/>
  <c r="AD79" i="25" s="1"/>
  <c r="AI87" i="25"/>
  <c r="AH87" i="25" s="1"/>
  <c r="AG87" i="25" s="1"/>
  <c r="AF87" i="25" s="1"/>
  <c r="AD87" i="25" s="1"/>
  <c r="AI95" i="25"/>
  <c r="AH95" i="25" s="1"/>
  <c r="AG95" i="25" s="1"/>
  <c r="AF95" i="25" s="1"/>
  <c r="AD95" i="25" s="1"/>
  <c r="AI103" i="25"/>
  <c r="AH103" i="25" s="1"/>
  <c r="AG103" i="25" s="1"/>
  <c r="AF103" i="25" s="1"/>
  <c r="AD103" i="25" s="1"/>
  <c r="AI111" i="25"/>
  <c r="AH111" i="25" s="1"/>
  <c r="AG111" i="25" s="1"/>
  <c r="AF111" i="25" s="1"/>
  <c r="AD111" i="25" s="1"/>
  <c r="AI119" i="25"/>
  <c r="AH119" i="25" s="1"/>
  <c r="AG119" i="25" s="1"/>
  <c r="AF119" i="25" s="1"/>
  <c r="AD119" i="25" s="1"/>
  <c r="AI127" i="25"/>
  <c r="AH127" i="25" s="1"/>
  <c r="AG127" i="25" s="1"/>
  <c r="AF127" i="25" s="1"/>
  <c r="AD127" i="25" s="1"/>
  <c r="AI135" i="25"/>
  <c r="AH135" i="25" s="1"/>
  <c r="AG135" i="25" s="1"/>
  <c r="AF135" i="25" s="1"/>
  <c r="AD135" i="25" s="1"/>
  <c r="AI143" i="25"/>
  <c r="AH143" i="25" s="1"/>
  <c r="AG143" i="25" s="1"/>
  <c r="AF143" i="25" s="1"/>
  <c r="AD143" i="25" s="1"/>
  <c r="AI151" i="25"/>
  <c r="AH151" i="25" s="1"/>
  <c r="AG151" i="25" s="1"/>
  <c r="AF151" i="25" s="1"/>
  <c r="AD151" i="25" s="1"/>
  <c r="AI159" i="25"/>
  <c r="AH159" i="25" s="1"/>
  <c r="AG159" i="25" s="1"/>
  <c r="AF159" i="25" s="1"/>
  <c r="AD159" i="25" s="1"/>
  <c r="AI167" i="25"/>
  <c r="AH167" i="25" s="1"/>
  <c r="AG167" i="25" s="1"/>
  <c r="AF167" i="25" s="1"/>
  <c r="AD167" i="25" s="1"/>
  <c r="AI175" i="25"/>
  <c r="AH175" i="25" s="1"/>
  <c r="AG175" i="25" s="1"/>
  <c r="AF175" i="25" s="1"/>
  <c r="AD175" i="25" s="1"/>
  <c r="AI183" i="25"/>
  <c r="AH183" i="25" s="1"/>
  <c r="AG183" i="25" s="1"/>
  <c r="AF183" i="25" s="1"/>
  <c r="AD183" i="25" s="1"/>
  <c r="T383" i="24"/>
  <c r="T381" i="24"/>
  <c r="T382" i="24"/>
  <c r="S15" i="24"/>
  <c r="U359" i="25" l="1"/>
  <c r="T359" i="25" s="1"/>
  <c r="S359" i="25" s="1"/>
  <c r="R359" i="25" s="1"/>
  <c r="P359" i="25" s="1"/>
  <c r="V359" i="25" s="1"/>
  <c r="U367" i="25"/>
  <c r="T367" i="25" s="1"/>
  <c r="S367" i="25" s="1"/>
  <c r="R367" i="25" s="1"/>
  <c r="P367" i="25" s="1"/>
  <c r="V367" i="25" s="1"/>
  <c r="U375" i="25"/>
  <c r="T375" i="25" s="1"/>
  <c r="S375" i="25" s="1"/>
  <c r="R375" i="25" s="1"/>
  <c r="P375" i="25" s="1"/>
  <c r="V375" i="25" s="1"/>
  <c r="U177" i="25"/>
  <c r="T177" i="25" s="1"/>
  <c r="S177" i="25" s="1"/>
  <c r="R177" i="25" s="1"/>
  <c r="P177" i="25" s="1"/>
  <c r="V177" i="25" s="1"/>
  <c r="U169" i="25"/>
  <c r="T169" i="25" s="1"/>
  <c r="S169" i="25" s="1"/>
  <c r="R169" i="25" s="1"/>
  <c r="P169" i="25" s="1"/>
  <c r="V169" i="25" s="1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1" i="25"/>
  <c r="T181" i="25" s="1"/>
  <c r="S181" i="25" s="1"/>
  <c r="R181" i="25" s="1"/>
  <c r="P181" i="25" s="1"/>
  <c r="V181" i="25" s="1"/>
  <c r="U197" i="25"/>
  <c r="T197" i="25" s="1"/>
  <c r="S197" i="25" s="1"/>
  <c r="R197" i="25" s="1"/>
  <c r="P197" i="25" s="1"/>
  <c r="V197" i="25" s="1"/>
  <c r="U213" i="25"/>
  <c r="T213" i="25" s="1"/>
  <c r="S213" i="25" s="1"/>
  <c r="R213" i="25" s="1"/>
  <c r="P213" i="25" s="1"/>
  <c r="V213" i="25" s="1"/>
  <c r="U229" i="25"/>
  <c r="T229" i="25" s="1"/>
  <c r="S229" i="25" s="1"/>
  <c r="R229" i="25" s="1"/>
  <c r="P229" i="25" s="1"/>
  <c r="V229" i="25" s="1"/>
  <c r="U245" i="25"/>
  <c r="T245" i="25" s="1"/>
  <c r="S245" i="25" s="1"/>
  <c r="R245" i="25" s="1"/>
  <c r="P245" i="25" s="1"/>
  <c r="V245" i="25" s="1"/>
  <c r="U261" i="25"/>
  <c r="T261" i="25" s="1"/>
  <c r="S261" i="25" s="1"/>
  <c r="R261" i="25" s="1"/>
  <c r="P261" i="25" s="1"/>
  <c r="V261" i="25" s="1"/>
  <c r="U277" i="25"/>
  <c r="T277" i="25" s="1"/>
  <c r="S277" i="25" s="1"/>
  <c r="R277" i="25" s="1"/>
  <c r="P277" i="25" s="1"/>
  <c r="V277" i="25" s="1"/>
  <c r="U293" i="25"/>
  <c r="T293" i="25" s="1"/>
  <c r="S293" i="25" s="1"/>
  <c r="R293" i="25" s="1"/>
  <c r="P293" i="25" s="1"/>
  <c r="V293" i="25" s="1"/>
  <c r="U309" i="25"/>
  <c r="T309" i="25" s="1"/>
  <c r="S309" i="25" s="1"/>
  <c r="R309" i="25" s="1"/>
  <c r="P309" i="25" s="1"/>
  <c r="V309" i="25" s="1"/>
  <c r="U325" i="25"/>
  <c r="T325" i="25" s="1"/>
  <c r="S325" i="25" s="1"/>
  <c r="R325" i="25" s="1"/>
  <c r="P325" i="25" s="1"/>
  <c r="V325" i="25" s="1"/>
  <c r="U341" i="25"/>
  <c r="T341" i="25" s="1"/>
  <c r="S341" i="25" s="1"/>
  <c r="R341" i="25" s="1"/>
  <c r="P341" i="25" s="1"/>
  <c r="V341" i="25" s="1"/>
  <c r="U357" i="25"/>
  <c r="T357" i="25" s="1"/>
  <c r="S357" i="25" s="1"/>
  <c r="R357" i="25" s="1"/>
  <c r="P357" i="25" s="1"/>
  <c r="V357" i="25" s="1"/>
  <c r="U373" i="25"/>
  <c r="T373" i="25" s="1"/>
  <c r="S373" i="25" s="1"/>
  <c r="R373" i="25" s="1"/>
  <c r="P373" i="25" s="1"/>
  <c r="V373" i="25" s="1"/>
  <c r="U171" i="25"/>
  <c r="T171" i="25" s="1"/>
  <c r="S171" i="25" s="1"/>
  <c r="R171" i="25" s="1"/>
  <c r="P171" i="25" s="1"/>
  <c r="V171" i="25" s="1"/>
  <c r="U155" i="25"/>
  <c r="T155" i="25" s="1"/>
  <c r="S155" i="25" s="1"/>
  <c r="R155" i="25" s="1"/>
  <c r="P155" i="25" s="1"/>
  <c r="V155" i="25" s="1"/>
  <c r="U139" i="25"/>
  <c r="T139" i="25" s="1"/>
  <c r="S139" i="25" s="1"/>
  <c r="R139" i="25" s="1"/>
  <c r="P139" i="25" s="1"/>
  <c r="V139" i="25" s="1"/>
  <c r="U111" i="25"/>
  <c r="T111" i="25" s="1"/>
  <c r="S111" i="25" s="1"/>
  <c r="R111" i="25" s="1"/>
  <c r="P111" i="25" s="1"/>
  <c r="V111" i="25" s="1"/>
  <c r="U79" i="25"/>
  <c r="T79" i="25" s="1"/>
  <c r="S79" i="25" s="1"/>
  <c r="R79" i="25" s="1"/>
  <c r="P79" i="25" s="1"/>
  <c r="V79" i="25" s="1"/>
  <c r="U47" i="25"/>
  <c r="T47" i="25" s="1"/>
  <c r="S47" i="25" s="1"/>
  <c r="R47" i="25" s="1"/>
  <c r="P47" i="25" s="1"/>
  <c r="V47" i="25" s="1"/>
  <c r="U374" i="25"/>
  <c r="T374" i="25" s="1"/>
  <c r="S374" i="25" s="1"/>
  <c r="R374" i="25" s="1"/>
  <c r="P374" i="25" s="1"/>
  <c r="V374" i="25" s="1"/>
  <c r="U310" i="25"/>
  <c r="T310" i="25" s="1"/>
  <c r="S310" i="25" s="1"/>
  <c r="R310" i="25" s="1"/>
  <c r="P310" i="25" s="1"/>
  <c r="V310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300" i="25"/>
  <c r="T300" i="25" s="1"/>
  <c r="S300" i="25" s="1"/>
  <c r="R300" i="25" s="1"/>
  <c r="P300" i="25" s="1"/>
  <c r="V300" i="25" s="1"/>
  <c r="U268" i="25"/>
  <c r="T268" i="25" s="1"/>
  <c r="S268" i="25" s="1"/>
  <c r="R268" i="25" s="1"/>
  <c r="P268" i="25" s="1"/>
  <c r="V268" i="25" s="1"/>
  <c r="U236" i="25"/>
  <c r="T236" i="25" s="1"/>
  <c r="S236" i="25" s="1"/>
  <c r="R236" i="25" s="1"/>
  <c r="P236" i="25" s="1"/>
  <c r="V236" i="25" s="1"/>
  <c r="U204" i="25"/>
  <c r="T204" i="25" s="1"/>
  <c r="S204" i="25" s="1"/>
  <c r="R204" i="25" s="1"/>
  <c r="P204" i="25" s="1"/>
  <c r="V204" i="25" s="1"/>
  <c r="U164" i="25"/>
  <c r="T164" i="25" s="1"/>
  <c r="S164" i="25" s="1"/>
  <c r="R164" i="25" s="1"/>
  <c r="P164" i="25" s="1"/>
  <c r="V164" i="25" s="1"/>
  <c r="U100" i="25"/>
  <c r="T100" i="25" s="1"/>
  <c r="S100" i="25" s="1"/>
  <c r="R100" i="25" s="1"/>
  <c r="P100" i="25" s="1"/>
  <c r="V100" i="25" s="1"/>
  <c r="U36" i="25"/>
  <c r="T36" i="25" s="1"/>
  <c r="S36" i="25" s="1"/>
  <c r="R36" i="25" s="1"/>
  <c r="P36" i="25" s="1"/>
  <c r="V36" i="25" s="1"/>
  <c r="U346" i="25"/>
  <c r="T346" i="25" s="1"/>
  <c r="S346" i="25" s="1"/>
  <c r="R346" i="25" s="1"/>
  <c r="P346" i="25" s="1"/>
  <c r="V346" i="25" s="1"/>
  <c r="U282" i="25"/>
  <c r="T282" i="25" s="1"/>
  <c r="S282" i="25" s="1"/>
  <c r="R282" i="25" s="1"/>
  <c r="P282" i="25" s="1"/>
  <c r="V282" i="25" s="1"/>
  <c r="U246" i="25"/>
  <c r="T246" i="25" s="1"/>
  <c r="S246" i="25" s="1"/>
  <c r="R246" i="25" s="1"/>
  <c r="P246" i="25" s="1"/>
  <c r="V246" i="25" s="1"/>
  <c r="U214" i="25"/>
  <c r="T214" i="25" s="1"/>
  <c r="S214" i="25" s="1"/>
  <c r="R214" i="25" s="1"/>
  <c r="P214" i="25" s="1"/>
  <c r="V214" i="25" s="1"/>
  <c r="U182" i="25"/>
  <c r="T182" i="25" s="1"/>
  <c r="S182" i="25" s="1"/>
  <c r="R182" i="25" s="1"/>
  <c r="P182" i="25" s="1"/>
  <c r="V182" i="25" s="1"/>
  <c r="U120" i="25"/>
  <c r="T120" i="25" s="1"/>
  <c r="S120" i="25" s="1"/>
  <c r="R120" i="25" s="1"/>
  <c r="P120" i="25" s="1"/>
  <c r="V120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104" i="25"/>
  <c r="T104" i="25" s="1"/>
  <c r="S104" i="25" s="1"/>
  <c r="R104" i="25" s="1"/>
  <c r="P104" i="25" s="1"/>
  <c r="V104" i="25" s="1"/>
  <c r="U136" i="25"/>
  <c r="T136" i="25" s="1"/>
  <c r="S136" i="25" s="1"/>
  <c r="R136" i="25" s="1"/>
  <c r="P136" i="25" s="1"/>
  <c r="V136" i="25" s="1"/>
  <c r="U168" i="25"/>
  <c r="T168" i="25" s="1"/>
  <c r="S168" i="25" s="1"/>
  <c r="R168" i="25" s="1"/>
  <c r="P168" i="25" s="1"/>
  <c r="V168" i="25" s="1"/>
  <c r="U190" i="25"/>
  <c r="T190" i="25" s="1"/>
  <c r="S190" i="25" s="1"/>
  <c r="R190" i="25" s="1"/>
  <c r="P190" i="25" s="1"/>
  <c r="V190" i="25" s="1"/>
  <c r="U206" i="25"/>
  <c r="T206" i="25" s="1"/>
  <c r="S206" i="25" s="1"/>
  <c r="R206" i="25" s="1"/>
  <c r="P206" i="25" s="1"/>
  <c r="V206" i="25" s="1"/>
  <c r="U222" i="25"/>
  <c r="T222" i="25" s="1"/>
  <c r="S222" i="25" s="1"/>
  <c r="R222" i="25" s="1"/>
  <c r="P222" i="25" s="1"/>
  <c r="V222" i="25" s="1"/>
  <c r="U238" i="25"/>
  <c r="T238" i="25" s="1"/>
  <c r="S238" i="25" s="1"/>
  <c r="R238" i="25" s="1"/>
  <c r="P238" i="25" s="1"/>
  <c r="V238" i="25" s="1"/>
  <c r="U254" i="25"/>
  <c r="T254" i="25" s="1"/>
  <c r="S254" i="25" s="1"/>
  <c r="R254" i="25" s="1"/>
  <c r="P254" i="25" s="1"/>
  <c r="V254" i="25" s="1"/>
  <c r="U274" i="25"/>
  <c r="T274" i="25" s="1"/>
  <c r="S274" i="25" s="1"/>
  <c r="R274" i="25" s="1"/>
  <c r="P274" i="25" s="1"/>
  <c r="V274" i="25" s="1"/>
  <c r="U298" i="25"/>
  <c r="T298" i="25" s="1"/>
  <c r="S298" i="25" s="1"/>
  <c r="R298" i="25" s="1"/>
  <c r="P298" i="25" s="1"/>
  <c r="V298" i="25" s="1"/>
  <c r="U330" i="25"/>
  <c r="T330" i="25" s="1"/>
  <c r="S330" i="25" s="1"/>
  <c r="R330" i="25" s="1"/>
  <c r="P330" i="25" s="1"/>
  <c r="V330" i="25" s="1"/>
  <c r="U362" i="25"/>
  <c r="T362" i="25" s="1"/>
  <c r="S362" i="25" s="1"/>
  <c r="R362" i="25" s="1"/>
  <c r="P362" i="25" s="1"/>
  <c r="V362" i="25" s="1"/>
  <c r="U18" i="25"/>
  <c r="T18" i="25" s="1"/>
  <c r="S18" i="25" s="1"/>
  <c r="R18" i="25" s="1"/>
  <c r="P18" i="25" s="1"/>
  <c r="V18" i="25" s="1"/>
  <c r="U52" i="25"/>
  <c r="T52" i="25" s="1"/>
  <c r="S52" i="25" s="1"/>
  <c r="R52" i="25" s="1"/>
  <c r="P52" i="25" s="1"/>
  <c r="V52" i="25" s="1"/>
  <c r="U84" i="25"/>
  <c r="T84" i="25" s="1"/>
  <c r="S84" i="25" s="1"/>
  <c r="R84" i="25" s="1"/>
  <c r="P84" i="25" s="1"/>
  <c r="V84" i="25" s="1"/>
  <c r="U116" i="25"/>
  <c r="T116" i="25" s="1"/>
  <c r="S116" i="25" s="1"/>
  <c r="R116" i="25" s="1"/>
  <c r="P116" i="25" s="1"/>
  <c r="V116" i="25" s="1"/>
  <c r="U148" i="25"/>
  <c r="T148" i="25" s="1"/>
  <c r="S148" i="25" s="1"/>
  <c r="R148" i="25" s="1"/>
  <c r="P148" i="25" s="1"/>
  <c r="V148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292" i="25"/>
  <c r="T292" i="25" s="1"/>
  <c r="S292" i="25" s="1"/>
  <c r="R292" i="25" s="1"/>
  <c r="P292" i="25" s="1"/>
  <c r="V292" i="25" s="1"/>
  <c r="U308" i="25"/>
  <c r="T308" i="25" s="1"/>
  <c r="S308" i="25" s="1"/>
  <c r="R308" i="25" s="1"/>
  <c r="P308" i="25" s="1"/>
  <c r="V308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94" i="25"/>
  <c r="T294" i="25" s="1"/>
  <c r="S294" i="25" s="1"/>
  <c r="R294" i="25" s="1"/>
  <c r="P294" i="25" s="1"/>
  <c r="V294" i="25" s="1"/>
  <c r="U326" i="25"/>
  <c r="T326" i="25" s="1"/>
  <c r="S326" i="25" s="1"/>
  <c r="R326" i="25" s="1"/>
  <c r="P326" i="25" s="1"/>
  <c r="V326" i="25" s="1"/>
  <c r="U358" i="25"/>
  <c r="T358" i="25" s="1"/>
  <c r="S358" i="25" s="1"/>
  <c r="R358" i="25" s="1"/>
  <c r="P358" i="25" s="1"/>
  <c r="V358" i="25" s="1"/>
  <c r="U23" i="25"/>
  <c r="T23" i="25" s="1"/>
  <c r="S23" i="25" s="1"/>
  <c r="R23" i="25" s="1"/>
  <c r="P23" i="25" s="1"/>
  <c r="V23" i="25" s="1"/>
  <c r="U39" i="25"/>
  <c r="T39" i="25" s="1"/>
  <c r="S39" i="25" s="1"/>
  <c r="R39" i="25" s="1"/>
  <c r="P39" i="25" s="1"/>
  <c r="V39" i="25" s="1"/>
  <c r="U55" i="25"/>
  <c r="T55" i="25" s="1"/>
  <c r="S55" i="25" s="1"/>
  <c r="R55" i="25" s="1"/>
  <c r="P55" i="25" s="1"/>
  <c r="V55" i="25" s="1"/>
  <c r="U71" i="25"/>
  <c r="T71" i="25" s="1"/>
  <c r="S71" i="25" s="1"/>
  <c r="R71" i="25" s="1"/>
  <c r="P71" i="25" s="1"/>
  <c r="V71" i="25" s="1"/>
  <c r="U87" i="25"/>
  <c r="T87" i="25" s="1"/>
  <c r="S87" i="25" s="1"/>
  <c r="R87" i="25" s="1"/>
  <c r="P87" i="25" s="1"/>
  <c r="V87" i="25" s="1"/>
  <c r="U103" i="25"/>
  <c r="T103" i="25" s="1"/>
  <c r="S103" i="25" s="1"/>
  <c r="R103" i="25" s="1"/>
  <c r="P103" i="25" s="1"/>
  <c r="V103" i="25" s="1"/>
  <c r="U119" i="25"/>
  <c r="T119" i="25" s="1"/>
  <c r="S119" i="25" s="1"/>
  <c r="R119" i="25" s="1"/>
  <c r="P119" i="25" s="1"/>
  <c r="AH71" i="7" s="1"/>
  <c r="U135" i="25"/>
  <c r="T135" i="25" s="1"/>
  <c r="S135" i="25" s="1"/>
  <c r="R135" i="25" s="1"/>
  <c r="P135" i="25" s="1"/>
  <c r="V135" i="25" s="1"/>
  <c r="U143" i="25"/>
  <c r="T143" i="25" s="1"/>
  <c r="S143" i="25" s="1"/>
  <c r="R143" i="25" s="1"/>
  <c r="P143" i="25" s="1"/>
  <c r="V143" i="25" s="1"/>
  <c r="U151" i="25"/>
  <c r="T151" i="25" s="1"/>
  <c r="S151" i="25" s="1"/>
  <c r="R151" i="25" s="1"/>
  <c r="P151" i="25" s="1"/>
  <c r="V151" i="25" s="1"/>
  <c r="U159" i="25"/>
  <c r="T159" i="25" s="1"/>
  <c r="S159" i="25" s="1"/>
  <c r="R159" i="25" s="1"/>
  <c r="P159" i="25" s="1"/>
  <c r="V159" i="25" s="1"/>
  <c r="U167" i="25"/>
  <c r="T167" i="25" s="1"/>
  <c r="S167" i="25" s="1"/>
  <c r="R167" i="25" s="1"/>
  <c r="P167" i="25" s="1"/>
  <c r="V167" i="25" s="1"/>
  <c r="U175" i="25"/>
  <c r="T175" i="25" s="1"/>
  <c r="S175" i="25" s="1"/>
  <c r="R175" i="25" s="1"/>
  <c r="P175" i="25" s="1"/>
  <c r="V175" i="25" s="1"/>
  <c r="U377" i="25"/>
  <c r="T377" i="25" s="1"/>
  <c r="S377" i="25" s="1"/>
  <c r="R377" i="25" s="1"/>
  <c r="P377" i="25" s="1"/>
  <c r="V377" i="25" s="1"/>
  <c r="U369" i="25"/>
  <c r="T369" i="25" s="1"/>
  <c r="S369" i="25" s="1"/>
  <c r="R369" i="25" s="1"/>
  <c r="P369" i="25" s="1"/>
  <c r="V369" i="25" s="1"/>
  <c r="U361" i="25"/>
  <c r="T361" i="25" s="1"/>
  <c r="S361" i="25" s="1"/>
  <c r="R361" i="25" s="1"/>
  <c r="P361" i="25" s="1"/>
  <c r="V361" i="25" s="1"/>
  <c r="U353" i="25"/>
  <c r="T353" i="25" s="1"/>
  <c r="S353" i="25" s="1"/>
  <c r="R353" i="25" s="1"/>
  <c r="P353" i="25" s="1"/>
  <c r="V353" i="25" s="1"/>
  <c r="U345" i="25"/>
  <c r="T345" i="25" s="1"/>
  <c r="S345" i="25" s="1"/>
  <c r="R345" i="25" s="1"/>
  <c r="P345" i="25" s="1"/>
  <c r="V345" i="25" s="1"/>
  <c r="U337" i="25"/>
  <c r="T337" i="25" s="1"/>
  <c r="S337" i="25" s="1"/>
  <c r="R337" i="25" s="1"/>
  <c r="P337" i="25" s="1"/>
  <c r="V337" i="25" s="1"/>
  <c r="U329" i="25"/>
  <c r="T329" i="25" s="1"/>
  <c r="S329" i="25" s="1"/>
  <c r="R329" i="25" s="1"/>
  <c r="P329" i="25" s="1"/>
  <c r="V329" i="25" s="1"/>
  <c r="U321" i="25"/>
  <c r="T321" i="25" s="1"/>
  <c r="S321" i="25" s="1"/>
  <c r="R321" i="25" s="1"/>
  <c r="P321" i="25" s="1"/>
  <c r="V321" i="25" s="1"/>
  <c r="U313" i="25"/>
  <c r="T313" i="25" s="1"/>
  <c r="S313" i="25" s="1"/>
  <c r="R313" i="25" s="1"/>
  <c r="P313" i="25" s="1"/>
  <c r="V313" i="25" s="1"/>
  <c r="U305" i="25"/>
  <c r="T305" i="25" s="1"/>
  <c r="S305" i="25" s="1"/>
  <c r="R305" i="25" s="1"/>
  <c r="P305" i="25" s="1"/>
  <c r="V305" i="25" s="1"/>
  <c r="U297" i="25"/>
  <c r="T297" i="25" s="1"/>
  <c r="S297" i="25" s="1"/>
  <c r="R297" i="25" s="1"/>
  <c r="P297" i="25" s="1"/>
  <c r="V297" i="25" s="1"/>
  <c r="U289" i="25"/>
  <c r="T289" i="25" s="1"/>
  <c r="S289" i="25" s="1"/>
  <c r="R289" i="25" s="1"/>
  <c r="P289" i="25" s="1"/>
  <c r="V289" i="25" s="1"/>
  <c r="U281" i="25"/>
  <c r="T281" i="25" s="1"/>
  <c r="S281" i="25" s="1"/>
  <c r="R281" i="25" s="1"/>
  <c r="P281" i="25" s="1"/>
  <c r="V281" i="25" s="1"/>
  <c r="U273" i="25"/>
  <c r="T273" i="25" s="1"/>
  <c r="S273" i="25" s="1"/>
  <c r="R273" i="25" s="1"/>
  <c r="P273" i="25" s="1"/>
  <c r="V273" i="25" s="1"/>
  <c r="U265" i="25"/>
  <c r="T265" i="25" s="1"/>
  <c r="S265" i="25" s="1"/>
  <c r="R265" i="25" s="1"/>
  <c r="P265" i="25" s="1"/>
  <c r="V265" i="25" s="1"/>
  <c r="U257" i="25"/>
  <c r="T257" i="25" s="1"/>
  <c r="S257" i="25" s="1"/>
  <c r="R257" i="25" s="1"/>
  <c r="P257" i="25" s="1"/>
  <c r="V257" i="25" s="1"/>
  <c r="U249" i="25"/>
  <c r="T249" i="25" s="1"/>
  <c r="S249" i="25" s="1"/>
  <c r="R249" i="25" s="1"/>
  <c r="P249" i="25" s="1"/>
  <c r="V249" i="25" s="1"/>
  <c r="U241" i="25"/>
  <c r="T241" i="25" s="1"/>
  <c r="S241" i="25" s="1"/>
  <c r="R241" i="25" s="1"/>
  <c r="P241" i="25" s="1"/>
  <c r="AH75" i="7" s="1"/>
  <c r="U233" i="25"/>
  <c r="T233" i="25" s="1"/>
  <c r="S233" i="25" s="1"/>
  <c r="R233" i="25" s="1"/>
  <c r="P233" i="25" s="1"/>
  <c r="V233" i="25" s="1"/>
  <c r="U225" i="25"/>
  <c r="T225" i="25" s="1"/>
  <c r="S225" i="25" s="1"/>
  <c r="R225" i="25" s="1"/>
  <c r="P225" i="25" s="1"/>
  <c r="V225" i="25" s="1"/>
  <c r="U217" i="25"/>
  <c r="T217" i="25" s="1"/>
  <c r="S217" i="25" s="1"/>
  <c r="R217" i="25" s="1"/>
  <c r="P217" i="25" s="1"/>
  <c r="V217" i="25" s="1"/>
  <c r="U209" i="25"/>
  <c r="T209" i="25" s="1"/>
  <c r="S209" i="25" s="1"/>
  <c r="R209" i="25" s="1"/>
  <c r="P209" i="25" s="1"/>
  <c r="V209" i="25" s="1"/>
  <c r="U201" i="25"/>
  <c r="T201" i="25" s="1"/>
  <c r="S201" i="25" s="1"/>
  <c r="R201" i="25" s="1"/>
  <c r="P201" i="25" s="1"/>
  <c r="V201" i="25" s="1"/>
  <c r="U193" i="25"/>
  <c r="T193" i="25" s="1"/>
  <c r="S193" i="25" s="1"/>
  <c r="R193" i="25" s="1"/>
  <c r="P193" i="25" s="1"/>
  <c r="V193" i="25" s="1"/>
  <c r="U185" i="25"/>
  <c r="T185" i="25" s="1"/>
  <c r="S185" i="25" s="1"/>
  <c r="R185" i="25" s="1"/>
  <c r="P185" i="25" s="1"/>
  <c r="V185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6" i="25"/>
  <c r="T16" i="25" s="1"/>
  <c r="S16" i="25" s="1"/>
  <c r="R16" i="25" s="1"/>
  <c r="P16" i="25" s="1"/>
  <c r="V16" i="25" s="1"/>
  <c r="U26" i="25"/>
  <c r="T26" i="25" s="1"/>
  <c r="S26" i="25" s="1"/>
  <c r="R26" i="25" s="1"/>
  <c r="P26" i="25" s="1"/>
  <c r="V26" i="25" s="1"/>
  <c r="BG16" i="7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AH74" i="7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8" i="25"/>
  <c r="T278" i="25" s="1"/>
  <c r="S278" i="25" s="1"/>
  <c r="R278" i="25" s="1"/>
  <c r="P278" i="25" s="1"/>
  <c r="V278" i="25" s="1"/>
  <c r="U290" i="25"/>
  <c r="T290" i="25" s="1"/>
  <c r="S290" i="25" s="1"/>
  <c r="R290" i="25" s="1"/>
  <c r="P290" i="25" s="1"/>
  <c r="V290" i="25" s="1"/>
  <c r="U306" i="25"/>
  <c r="T306" i="25" s="1"/>
  <c r="S306" i="25" s="1"/>
  <c r="R306" i="25" s="1"/>
  <c r="P306" i="25" s="1"/>
  <c r="V306" i="25" s="1"/>
  <c r="U322" i="25"/>
  <c r="T322" i="25" s="1"/>
  <c r="S322" i="25" s="1"/>
  <c r="R322" i="25" s="1"/>
  <c r="P322" i="25" s="1"/>
  <c r="V322" i="25" s="1"/>
  <c r="U338" i="25"/>
  <c r="T338" i="25" s="1"/>
  <c r="S338" i="25" s="1"/>
  <c r="R338" i="25" s="1"/>
  <c r="P338" i="25" s="1"/>
  <c r="V338" i="25" s="1"/>
  <c r="U354" i="25"/>
  <c r="T354" i="25" s="1"/>
  <c r="S354" i="25" s="1"/>
  <c r="R354" i="25" s="1"/>
  <c r="P354" i="25" s="1"/>
  <c r="V354" i="25" s="1"/>
  <c r="U370" i="25"/>
  <c r="T370" i="25" s="1"/>
  <c r="S370" i="25" s="1"/>
  <c r="R370" i="25" s="1"/>
  <c r="P370" i="25" s="1"/>
  <c r="V370" i="25" s="1"/>
  <c r="U15" i="25"/>
  <c r="U28" i="25"/>
  <c r="T28" i="25" s="1"/>
  <c r="S28" i="25" s="1"/>
  <c r="R28" i="25" s="1"/>
  <c r="P28" i="25" s="1"/>
  <c r="V28" i="25" s="1"/>
  <c r="U44" i="25"/>
  <c r="T44" i="25" s="1"/>
  <c r="S44" i="25" s="1"/>
  <c r="R44" i="25" s="1"/>
  <c r="P44" i="25" s="1"/>
  <c r="V44" i="25" s="1"/>
  <c r="U60" i="25"/>
  <c r="T60" i="25" s="1"/>
  <c r="S60" i="25" s="1"/>
  <c r="R60" i="25" s="1"/>
  <c r="P60" i="25" s="1"/>
  <c r="AH69" i="7" s="1"/>
  <c r="U76" i="25"/>
  <c r="T76" i="25" s="1"/>
  <c r="S76" i="25" s="1"/>
  <c r="R76" i="25" s="1"/>
  <c r="P76" i="25" s="1"/>
  <c r="V76" i="25" s="1"/>
  <c r="U92" i="25"/>
  <c r="T92" i="25" s="1"/>
  <c r="S92" i="25" s="1"/>
  <c r="R92" i="25" s="1"/>
  <c r="P92" i="25" s="1"/>
  <c r="V92" i="25" s="1"/>
  <c r="U108" i="25"/>
  <c r="T108" i="25" s="1"/>
  <c r="S108" i="25" s="1"/>
  <c r="R108" i="25" s="1"/>
  <c r="P108" i="25" s="1"/>
  <c r="V108" i="25" s="1"/>
  <c r="U124" i="25"/>
  <c r="T124" i="25" s="1"/>
  <c r="S124" i="25" s="1"/>
  <c r="R124" i="25" s="1"/>
  <c r="P124" i="25" s="1"/>
  <c r="V124" i="25" s="1"/>
  <c r="U140" i="25"/>
  <c r="T140" i="25" s="1"/>
  <c r="S140" i="25" s="1"/>
  <c r="R140" i="25" s="1"/>
  <c r="P140" i="25" s="1"/>
  <c r="V140" i="25" s="1"/>
  <c r="U156" i="25"/>
  <c r="T156" i="25" s="1"/>
  <c r="S156" i="25" s="1"/>
  <c r="R156" i="25" s="1"/>
  <c r="P156" i="25" s="1"/>
  <c r="V156" i="25" s="1"/>
  <c r="U172" i="25"/>
  <c r="T172" i="25" s="1"/>
  <c r="S172" i="25" s="1"/>
  <c r="R172" i="25" s="1"/>
  <c r="P172" i="25" s="1"/>
  <c r="V172" i="25" s="1"/>
  <c r="U184" i="25"/>
  <c r="T184" i="25" s="1"/>
  <c r="S184" i="25" s="1"/>
  <c r="R184" i="25" s="1"/>
  <c r="P184" i="25" s="1"/>
  <c r="V184" i="25" s="1"/>
  <c r="U192" i="25"/>
  <c r="T192" i="25" s="1"/>
  <c r="S192" i="25" s="1"/>
  <c r="R192" i="25" s="1"/>
  <c r="P192" i="25" s="1"/>
  <c r="V192" i="25" s="1"/>
  <c r="U200" i="25"/>
  <c r="T200" i="25" s="1"/>
  <c r="S200" i="25" s="1"/>
  <c r="R200" i="25" s="1"/>
  <c r="P200" i="25" s="1"/>
  <c r="V200" i="25" s="1"/>
  <c r="U208" i="25"/>
  <c r="T208" i="25" s="1"/>
  <c r="S208" i="25" s="1"/>
  <c r="R208" i="25" s="1"/>
  <c r="P208" i="25" s="1"/>
  <c r="V208" i="25" s="1"/>
  <c r="U216" i="25"/>
  <c r="T216" i="25" s="1"/>
  <c r="S216" i="25" s="1"/>
  <c r="R216" i="25" s="1"/>
  <c r="P216" i="25" s="1"/>
  <c r="V216" i="25" s="1"/>
  <c r="U224" i="25"/>
  <c r="T224" i="25" s="1"/>
  <c r="S224" i="25" s="1"/>
  <c r="R224" i="25" s="1"/>
  <c r="P224" i="25" s="1"/>
  <c r="V224" i="25" s="1"/>
  <c r="U232" i="25"/>
  <c r="T232" i="25" s="1"/>
  <c r="S232" i="25" s="1"/>
  <c r="R232" i="25" s="1"/>
  <c r="P232" i="25" s="1"/>
  <c r="V232" i="25" s="1"/>
  <c r="U240" i="25"/>
  <c r="T240" i="25" s="1"/>
  <c r="S240" i="25" s="1"/>
  <c r="R240" i="25" s="1"/>
  <c r="P240" i="25" s="1"/>
  <c r="V240" i="25" s="1"/>
  <c r="U248" i="25"/>
  <c r="T248" i="25" s="1"/>
  <c r="S248" i="25" s="1"/>
  <c r="R248" i="25" s="1"/>
  <c r="P248" i="25" s="1"/>
  <c r="V248" i="25" s="1"/>
  <c r="U256" i="25"/>
  <c r="T256" i="25" s="1"/>
  <c r="S256" i="25" s="1"/>
  <c r="R256" i="25" s="1"/>
  <c r="P256" i="25" s="1"/>
  <c r="V256" i="25" s="1"/>
  <c r="U264" i="25"/>
  <c r="T264" i="25" s="1"/>
  <c r="S264" i="25" s="1"/>
  <c r="R264" i="25" s="1"/>
  <c r="P264" i="25" s="1"/>
  <c r="V264" i="25" s="1"/>
  <c r="U272" i="25"/>
  <c r="T272" i="25" s="1"/>
  <c r="S272" i="25" s="1"/>
  <c r="R272" i="25" s="1"/>
  <c r="P272" i="25" s="1"/>
  <c r="V272" i="25" s="1"/>
  <c r="U280" i="25"/>
  <c r="T280" i="25" s="1"/>
  <c r="S280" i="25" s="1"/>
  <c r="R280" i="25" s="1"/>
  <c r="P280" i="25" s="1"/>
  <c r="V280" i="25" s="1"/>
  <c r="U288" i="25"/>
  <c r="T288" i="25" s="1"/>
  <c r="S288" i="25" s="1"/>
  <c r="R288" i="25" s="1"/>
  <c r="P288" i="25" s="1"/>
  <c r="V288" i="25" s="1"/>
  <c r="U296" i="25"/>
  <c r="T296" i="25" s="1"/>
  <c r="S296" i="25" s="1"/>
  <c r="R296" i="25" s="1"/>
  <c r="P296" i="25" s="1"/>
  <c r="V296" i="25" s="1"/>
  <c r="U304" i="25"/>
  <c r="T304" i="25" s="1"/>
  <c r="S304" i="25" s="1"/>
  <c r="R304" i="25" s="1"/>
  <c r="P304" i="25" s="1"/>
  <c r="V304" i="25" s="1"/>
  <c r="U312" i="25"/>
  <c r="T312" i="25" s="1"/>
  <c r="S312" i="25" s="1"/>
  <c r="R312" i="25" s="1"/>
  <c r="P312" i="25" s="1"/>
  <c r="V312" i="25" s="1"/>
  <c r="U320" i="25"/>
  <c r="T320" i="25" s="1"/>
  <c r="S320" i="25" s="1"/>
  <c r="R320" i="25" s="1"/>
  <c r="P320" i="25" s="1"/>
  <c r="V320" i="25" s="1"/>
  <c r="U328" i="25"/>
  <c r="T328" i="25" s="1"/>
  <c r="S328" i="25" s="1"/>
  <c r="R328" i="25" s="1"/>
  <c r="P328" i="25" s="1"/>
  <c r="V328" i="25" s="1"/>
  <c r="U336" i="25"/>
  <c r="T336" i="25" s="1"/>
  <c r="S336" i="25" s="1"/>
  <c r="R336" i="25" s="1"/>
  <c r="P336" i="25" s="1"/>
  <c r="V336" i="25" s="1"/>
  <c r="U344" i="25"/>
  <c r="T344" i="25" s="1"/>
  <c r="S344" i="25" s="1"/>
  <c r="R344" i="25" s="1"/>
  <c r="P344" i="25" s="1"/>
  <c r="V344" i="25" s="1"/>
  <c r="U352" i="25"/>
  <c r="T352" i="25" s="1"/>
  <c r="S352" i="25" s="1"/>
  <c r="R352" i="25" s="1"/>
  <c r="P352" i="25" s="1"/>
  <c r="V352" i="25" s="1"/>
  <c r="U360" i="25"/>
  <c r="T360" i="25" s="1"/>
  <c r="S360" i="25" s="1"/>
  <c r="R360" i="25" s="1"/>
  <c r="P360" i="25" s="1"/>
  <c r="V360" i="25" s="1"/>
  <c r="U368" i="25"/>
  <c r="T368" i="25" s="1"/>
  <c r="S368" i="25" s="1"/>
  <c r="R368" i="25" s="1"/>
  <c r="P368" i="25" s="1"/>
  <c r="V368" i="25" s="1"/>
  <c r="U376" i="25"/>
  <c r="T376" i="25" s="1"/>
  <c r="S376" i="25" s="1"/>
  <c r="R376" i="25" s="1"/>
  <c r="P376" i="25" s="1"/>
  <c r="V376" i="25" s="1"/>
  <c r="U286" i="25"/>
  <c r="T286" i="25" s="1"/>
  <c r="S286" i="25" s="1"/>
  <c r="R286" i="25" s="1"/>
  <c r="P286" i="25" s="1"/>
  <c r="V286" i="25" s="1"/>
  <c r="U302" i="25"/>
  <c r="T302" i="25" s="1"/>
  <c r="S302" i="25" s="1"/>
  <c r="R302" i="25" s="1"/>
  <c r="P302" i="25" s="1"/>
  <c r="V302" i="25" s="1"/>
  <c r="U318" i="25"/>
  <c r="T318" i="25" s="1"/>
  <c r="S318" i="25" s="1"/>
  <c r="R318" i="25" s="1"/>
  <c r="P318" i="25" s="1"/>
  <c r="V318" i="25" s="1"/>
  <c r="U334" i="25"/>
  <c r="T334" i="25" s="1"/>
  <c r="S334" i="25" s="1"/>
  <c r="R334" i="25" s="1"/>
  <c r="P334" i="25" s="1"/>
  <c r="V334" i="25" s="1"/>
  <c r="U350" i="25"/>
  <c r="T350" i="25" s="1"/>
  <c r="S350" i="25" s="1"/>
  <c r="R350" i="25" s="1"/>
  <c r="P350" i="25" s="1"/>
  <c r="V350" i="25" s="1"/>
  <c r="U366" i="25"/>
  <c r="T366" i="25" s="1"/>
  <c r="S366" i="25" s="1"/>
  <c r="R366" i="25" s="1"/>
  <c r="P366" i="25" s="1"/>
  <c r="V366" i="25" s="1"/>
  <c r="U21" i="25"/>
  <c r="T21" i="25" s="1"/>
  <c r="S21" i="25" s="1"/>
  <c r="R21" i="25" s="1"/>
  <c r="P21" i="25" s="1"/>
  <c r="V21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S382" i="24"/>
  <c r="S381" i="24"/>
  <c r="S383" i="24"/>
  <c r="R15" i="24"/>
  <c r="AH15" i="25"/>
  <c r="AI381" i="25"/>
  <c r="AI382" i="25"/>
  <c r="AI383" i="25"/>
  <c r="V381" i="23"/>
  <c r="V383" i="23"/>
  <c r="V382" i="23"/>
  <c r="B68" i="19"/>
  <c r="N68" i="19" s="1"/>
  <c r="V333" i="25"/>
  <c r="AH78" i="7"/>
  <c r="AH77" i="7"/>
  <c r="AH76" i="7"/>
  <c r="V60" i="25"/>
  <c r="T15" i="25"/>
  <c r="V210" i="25"/>
  <c r="AH79" i="7"/>
  <c r="V363" i="25"/>
  <c r="BF16" i="7"/>
  <c r="T379" i="25"/>
  <c r="S379" i="25" s="1"/>
  <c r="R379" i="25" s="1"/>
  <c r="P379" i="25" s="1"/>
  <c r="V149" i="25"/>
  <c r="AH72" i="7"/>
  <c r="AH68" i="7"/>
  <c r="V29" i="25"/>
  <c r="AH70" i="7"/>
  <c r="V88" i="25"/>
  <c r="AG381" i="24"/>
  <c r="AG382" i="24"/>
  <c r="AG383" i="24"/>
  <c r="AF15" i="24"/>
  <c r="V379" i="25" l="1"/>
  <c r="D44" i="19"/>
  <c r="D33" i="19" s="1"/>
  <c r="V119" i="25"/>
  <c r="E70" i="19" s="1"/>
  <c r="E57" i="19" s="1"/>
  <c r="AH73" i="7"/>
  <c r="V241" i="25"/>
  <c r="I70" i="19" s="1"/>
  <c r="I58" i="19" s="1"/>
  <c r="C70" i="19"/>
  <c r="C58" i="19" s="1"/>
  <c r="K70" i="19"/>
  <c r="K57" i="19" s="1"/>
  <c r="U381" i="25"/>
  <c r="D70" i="19"/>
  <c r="D57" i="19" s="1"/>
  <c r="U383" i="25"/>
  <c r="U382" i="25"/>
  <c r="G70" i="19"/>
  <c r="G59" i="19" s="1"/>
  <c r="F70" i="19"/>
  <c r="F57" i="19" s="1"/>
  <c r="H70" i="19"/>
  <c r="H57" i="19" s="1"/>
  <c r="J70" i="19"/>
  <c r="J59" i="19" s="1"/>
  <c r="L70" i="19"/>
  <c r="L57" i="19" s="1"/>
  <c r="M70" i="19"/>
  <c r="M59" i="19" s="1"/>
  <c r="AF383" i="24"/>
  <c r="AF382" i="24"/>
  <c r="AF381" i="24"/>
  <c r="AD15" i="24"/>
  <c r="T382" i="25"/>
  <c r="T383" i="25"/>
  <c r="T381" i="25"/>
  <c r="S15" i="25"/>
  <c r="R381" i="24"/>
  <c r="R382" i="24"/>
  <c r="R383" i="24"/>
  <c r="P15" i="24"/>
  <c r="AG15" i="25"/>
  <c r="AH381" i="25"/>
  <c r="AH383" i="25"/>
  <c r="AH382" i="25"/>
  <c r="J58" i="19" l="1"/>
  <c r="E58" i="19"/>
  <c r="H58" i="19"/>
  <c r="I57" i="19"/>
  <c r="C59" i="19"/>
  <c r="F59" i="19"/>
  <c r="K59" i="19"/>
  <c r="C57" i="19"/>
  <c r="M58" i="19"/>
  <c r="J57" i="19"/>
  <c r="I59" i="19"/>
  <c r="K58" i="19"/>
  <c r="D59" i="19"/>
  <c r="L58" i="19"/>
  <c r="F58" i="19"/>
  <c r="D58" i="19"/>
  <c r="G58" i="19"/>
  <c r="E59" i="19"/>
  <c r="L59" i="19"/>
  <c r="H59" i="19"/>
  <c r="G57" i="19"/>
  <c r="M57" i="19"/>
  <c r="AG381" i="25"/>
  <c r="AG383" i="25"/>
  <c r="AG382" i="25"/>
  <c r="AF15" i="25"/>
  <c r="S383" i="25"/>
  <c r="S382" i="25"/>
  <c r="S381" i="25"/>
  <c r="R15" i="25"/>
  <c r="AD382" i="24"/>
  <c r="AD383" i="24"/>
  <c r="AD381" i="24"/>
  <c r="P382" i="24"/>
  <c r="V15" i="24"/>
  <c r="P381" i="24"/>
  <c r="P383" i="24"/>
  <c r="V382" i="24" l="1"/>
  <c r="V381" i="24"/>
  <c r="V383" i="24"/>
  <c r="B69" i="19"/>
  <c r="R381" i="25"/>
  <c r="R382" i="25"/>
  <c r="R383" i="25"/>
  <c r="P15" i="25"/>
  <c r="AF381" i="25"/>
  <c r="AF382" i="25"/>
  <c r="AF383" i="25"/>
  <c r="AD15" i="25"/>
  <c r="W379" i="17"/>
  <c r="W375" i="17"/>
  <c r="W371" i="17"/>
  <c r="W367" i="17"/>
  <c r="W363" i="17"/>
  <c r="W359" i="17"/>
  <c r="W355" i="17"/>
  <c r="W351" i="17"/>
  <c r="W347" i="17"/>
  <c r="W343" i="17"/>
  <c r="W339" i="17"/>
  <c r="W335" i="17"/>
  <c r="W331" i="17"/>
  <c r="W327" i="17"/>
  <c r="W323" i="17"/>
  <c r="W319" i="17"/>
  <c r="W315" i="17"/>
  <c r="W311" i="17"/>
  <c r="W307" i="17"/>
  <c r="W303" i="17"/>
  <c r="W299" i="17"/>
  <c r="W295" i="17"/>
  <c r="W291" i="17"/>
  <c r="W287" i="17"/>
  <c r="W283" i="17"/>
  <c r="W279" i="17"/>
  <c r="W275" i="17"/>
  <c r="W271" i="17"/>
  <c r="W267" i="17"/>
  <c r="W263" i="17"/>
  <c r="W259" i="17"/>
  <c r="W255" i="17"/>
  <c r="W251" i="17"/>
  <c r="W247" i="17"/>
  <c r="W243" i="17"/>
  <c r="W239" i="17"/>
  <c r="W235" i="17"/>
  <c r="W231" i="17"/>
  <c r="W227" i="17"/>
  <c r="W223" i="17"/>
  <c r="W219" i="17"/>
  <c r="W215" i="17"/>
  <c r="W211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207" i="17"/>
  <c r="W203" i="17"/>
  <c r="W199" i="17"/>
  <c r="W195" i="17"/>
  <c r="W191" i="17"/>
  <c r="W187" i="17"/>
  <c r="W183" i="17"/>
  <c r="W179" i="17"/>
  <c r="W175" i="17"/>
  <c r="W171" i="17"/>
  <c r="W167" i="17"/>
  <c r="W163" i="17"/>
  <c r="W159" i="17"/>
  <c r="W155" i="17"/>
  <c r="W151" i="17"/>
  <c r="W147" i="17"/>
  <c r="W143" i="17"/>
  <c r="W139" i="17"/>
  <c r="W135" i="17"/>
  <c r="W131" i="17"/>
  <c r="W127" i="17"/>
  <c r="W377" i="17"/>
  <c r="W369" i="17"/>
  <c r="W361" i="17"/>
  <c r="W353" i="17"/>
  <c r="W345" i="17"/>
  <c r="W337" i="17"/>
  <c r="W329" i="17"/>
  <c r="W321" i="17"/>
  <c r="W313" i="17"/>
  <c r="W305" i="17"/>
  <c r="W297" i="17"/>
  <c r="W289" i="17"/>
  <c r="W281" i="17"/>
  <c r="W273" i="17"/>
  <c r="W265" i="17"/>
  <c r="W257" i="17"/>
  <c r="W249" i="17"/>
  <c r="W241" i="17"/>
  <c r="W233" i="17"/>
  <c r="W225" i="17"/>
  <c r="W217" i="17"/>
  <c r="W376" i="17"/>
  <c r="W360" i="17"/>
  <c r="W344" i="17"/>
  <c r="W328" i="17"/>
  <c r="W312" i="17"/>
  <c r="W296" i="17"/>
  <c r="W280" i="17"/>
  <c r="W264" i="17"/>
  <c r="W248" i="17"/>
  <c r="W232" i="17"/>
  <c r="W216" i="17"/>
  <c r="W205" i="17"/>
  <c r="W197" i="17"/>
  <c r="W189" i="17"/>
  <c r="W181" i="17"/>
  <c r="W173" i="17"/>
  <c r="W165" i="17"/>
  <c r="W157" i="17"/>
  <c r="W149" i="17"/>
  <c r="W141" i="17"/>
  <c r="W133" i="17"/>
  <c r="W125" i="17"/>
  <c r="W370" i="17"/>
  <c r="W354" i="17"/>
  <c r="W338" i="17"/>
  <c r="W322" i="17"/>
  <c r="W306" i="17"/>
  <c r="W290" i="17"/>
  <c r="W274" i="17"/>
  <c r="W258" i="17"/>
  <c r="W242" i="17"/>
  <c r="W226" i="17"/>
  <c r="W210" i="17"/>
  <c r="W202" i="17"/>
  <c r="W194" i="17"/>
  <c r="W186" i="17"/>
  <c r="W178" i="17"/>
  <c r="W170" i="17"/>
  <c r="W162" i="17"/>
  <c r="W154" i="17"/>
  <c r="W146" i="17"/>
  <c r="W138" i="17"/>
  <c r="W130" i="17"/>
  <c r="W123" i="17"/>
  <c r="W119" i="17"/>
  <c r="W115" i="17"/>
  <c r="W111" i="17"/>
  <c r="W107" i="17"/>
  <c r="W103" i="17"/>
  <c r="W99" i="17"/>
  <c r="W95" i="17"/>
  <c r="W91" i="17"/>
  <c r="W87" i="17"/>
  <c r="W83" i="17"/>
  <c r="W79" i="17"/>
  <c r="W75" i="17"/>
  <c r="W71" i="17"/>
  <c r="W67" i="17"/>
  <c r="W63" i="17"/>
  <c r="W59" i="17"/>
  <c r="W55" i="17"/>
  <c r="W51" i="17"/>
  <c r="W47" i="17"/>
  <c r="W43" i="17"/>
  <c r="W39" i="17"/>
  <c r="W35" i="17"/>
  <c r="W31" i="17"/>
  <c r="W27" i="17"/>
  <c r="W374" i="17"/>
  <c r="W358" i="17"/>
  <c r="W342" i="17"/>
  <c r="W326" i="17"/>
  <c r="W310" i="17"/>
  <c r="W294" i="17"/>
  <c r="W278" i="17"/>
  <c r="W262" i="17"/>
  <c r="W246" i="17"/>
  <c r="W230" i="17"/>
  <c r="W214" i="17"/>
  <c r="W204" i="17"/>
  <c r="W196" i="17"/>
  <c r="W188" i="17"/>
  <c r="W180" i="17"/>
  <c r="W172" i="17"/>
  <c r="W164" i="17"/>
  <c r="W156" i="17"/>
  <c r="W148" i="17"/>
  <c r="W140" i="17"/>
  <c r="W132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" i="17"/>
  <c r="W32" i="17"/>
  <c r="W28" i="17"/>
  <c r="W24" i="17"/>
  <c r="W20" i="17"/>
  <c r="W16" i="17"/>
  <c r="W19" i="17"/>
  <c r="W17" i="17"/>
  <c r="W373" i="17"/>
  <c r="W357" i="17"/>
  <c r="W341" i="17"/>
  <c r="W325" i="17"/>
  <c r="W309" i="17"/>
  <c r="W293" i="17"/>
  <c r="W277" i="17"/>
  <c r="W261" i="17"/>
  <c r="W245" i="17"/>
  <c r="W229" i="17"/>
  <c r="W213" i="17"/>
  <c r="W352" i="17"/>
  <c r="W320" i="17"/>
  <c r="W288" i="17"/>
  <c r="W256" i="17"/>
  <c r="W224" i="17"/>
  <c r="W201" i="17"/>
  <c r="W185" i="17"/>
  <c r="W169" i="17"/>
  <c r="W153" i="17"/>
  <c r="W137" i="17"/>
  <c r="W378" i="17"/>
  <c r="W346" i="17"/>
  <c r="W314" i="17"/>
  <c r="W282" i="17"/>
  <c r="W250" i="17"/>
  <c r="W218" i="17"/>
  <c r="W198" i="17"/>
  <c r="W182" i="17"/>
  <c r="W166" i="17"/>
  <c r="W150" i="17"/>
  <c r="W134" i="17"/>
  <c r="W121" i="17"/>
  <c r="W113" i="17"/>
  <c r="W105" i="17"/>
  <c r="W97" i="17"/>
  <c r="W89" i="17"/>
  <c r="W81" i="17"/>
  <c r="W73" i="17"/>
  <c r="W65" i="17"/>
  <c r="W57" i="17"/>
  <c r="W49" i="17"/>
  <c r="W41" i="17"/>
  <c r="W33" i="17"/>
  <c r="W25" i="17"/>
  <c r="W350" i="17"/>
  <c r="W318" i="17"/>
  <c r="W286" i="17"/>
  <c r="W254" i="17"/>
  <c r="W222" i="17"/>
  <c r="W200" i="17"/>
  <c r="W184" i="17"/>
  <c r="W168" i="17"/>
  <c r="W152" i="17"/>
  <c r="W136" i="17"/>
  <c r="W122" i="17"/>
  <c r="W114" i="17"/>
  <c r="W106" i="17"/>
  <c r="W98" i="17"/>
  <c r="W90" i="17"/>
  <c r="W82" i="17"/>
  <c r="W74" i="17"/>
  <c r="W66" i="17"/>
  <c r="W58" i="17"/>
  <c r="W50" i="17"/>
  <c r="W42" i="17"/>
  <c r="W34" i="17"/>
  <c r="W26" i="17"/>
  <c r="W18" i="17"/>
  <c r="W330" i="17"/>
  <c r="W145" i="17"/>
  <c r="W365" i="17"/>
  <c r="W333" i="17"/>
  <c r="W301" i="17"/>
  <c r="W269" i="17"/>
  <c r="W237" i="17"/>
  <c r="W368" i="17"/>
  <c r="W304" i="17"/>
  <c r="W240" i="17"/>
  <c r="W193" i="17"/>
  <c r="W161" i="17"/>
  <c r="W129" i="17"/>
  <c r="W266" i="17"/>
  <c r="W206" i="17"/>
  <c r="W174" i="17"/>
  <c r="W142" i="17"/>
  <c r="W117" i="17"/>
  <c r="W101" i="17"/>
  <c r="W85" i="17"/>
  <c r="W69" i="17"/>
  <c r="W53" i="17"/>
  <c r="W37" i="17"/>
  <c r="W366" i="17"/>
  <c r="W302" i="17"/>
  <c r="W238" i="17"/>
  <c r="W192" i="17"/>
  <c r="W160" i="17"/>
  <c r="W128" i="17"/>
  <c r="W110" i="17"/>
  <c r="W94" i="17"/>
  <c r="W78" i="17"/>
  <c r="W62" i="17"/>
  <c r="W46" i="17"/>
  <c r="W30" i="17"/>
  <c r="W23" i="17"/>
  <c r="W21" i="17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W102" i="17"/>
  <c r="W176" i="17"/>
  <c r="W208" i="17"/>
  <c r="W118" i="17"/>
  <c r="W158" i="17"/>
  <c r="W29" i="17"/>
  <c r="W349" i="17"/>
  <c r="W285" i="17"/>
  <c r="W221" i="17"/>
  <c r="W272" i="17"/>
  <c r="W177" i="17"/>
  <c r="W362" i="17"/>
  <c r="W234" i="17"/>
  <c r="W109" i="17"/>
  <c r="W77" i="17"/>
  <c r="D77" i="17"/>
  <c r="E77" i="17" s="1"/>
  <c r="F77" i="17" s="1"/>
  <c r="W45" i="17"/>
  <c r="W334" i="17"/>
  <c r="W144" i="17"/>
  <c r="W70" i="17"/>
  <c r="W38" i="17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C240" i="6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C87" i="6" s="1"/>
  <c r="D203" i="17"/>
  <c r="E203" i="17" s="1"/>
  <c r="F203" i="17" s="1"/>
  <c r="W22" i="17"/>
  <c r="W190" i="17"/>
  <c r="W93" i="17"/>
  <c r="W209" i="17"/>
  <c r="W126" i="17"/>
  <c r="W336" i="17"/>
  <c r="W61" i="17"/>
  <c r="W317" i="17"/>
  <c r="W86" i="17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C93" i="6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W298" i="17"/>
  <c r="D264" i="17"/>
  <c r="E264" i="17" s="1"/>
  <c r="F264" i="17" s="1"/>
  <c r="H264" i="17" s="1"/>
  <c r="W253" i="17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W54" i="17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W270" i="17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E105" i="17" s="1"/>
  <c r="F105" i="17" s="1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B174" i="18"/>
  <c r="B174" i="20" s="1"/>
  <c r="B232" i="18"/>
  <c r="B132" i="18"/>
  <c r="W132" i="18" s="1"/>
  <c r="B76" i="18"/>
  <c r="B38" i="18"/>
  <c r="W38" i="18" s="1"/>
  <c r="B295" i="18"/>
  <c r="B153" i="18"/>
  <c r="D153" i="18" s="1"/>
  <c r="E153" i="18" s="1"/>
  <c r="F153" i="18" s="1"/>
  <c r="B81" i="18"/>
  <c r="B100" i="18"/>
  <c r="B100" i="20" s="1"/>
  <c r="B62" i="18"/>
  <c r="B251" i="18"/>
  <c r="W251" i="18" s="1"/>
  <c r="B73" i="18"/>
  <c r="B331" i="18"/>
  <c r="W331" i="18" s="1"/>
  <c r="B309" i="18"/>
  <c r="B235" i="18"/>
  <c r="B235" i="20" s="1"/>
  <c r="B332" i="18"/>
  <c r="B32" i="18"/>
  <c r="B32" i="20" s="1"/>
  <c r="B125" i="18"/>
  <c r="B103" i="18"/>
  <c r="B103" i="20" s="1"/>
  <c r="B321" i="18"/>
  <c r="B229" i="18"/>
  <c r="B229" i="20" s="1"/>
  <c r="B157" i="18"/>
  <c r="B52" i="18"/>
  <c r="B52" i="20" s="1"/>
  <c r="B163" i="18"/>
  <c r="B353" i="18"/>
  <c r="B374" i="18"/>
  <c r="B152" i="18"/>
  <c r="W152" i="18" s="1"/>
  <c r="B98" i="18"/>
  <c r="B306" i="18"/>
  <c r="W306" i="18" s="1"/>
  <c r="B311" i="18"/>
  <c r="B305" i="18"/>
  <c r="B305" i="20" s="1"/>
  <c r="B236" i="18"/>
  <c r="B299" i="18"/>
  <c r="W299" i="18" s="1"/>
  <c r="B310" i="18"/>
  <c r="B252" i="18"/>
  <c r="B252" i="20" s="1"/>
  <c r="B182" i="18"/>
  <c r="B207" i="18"/>
  <c r="B207" i="20" s="1"/>
  <c r="B378" i="18"/>
  <c r="B204" i="18"/>
  <c r="B204" i="20" s="1"/>
  <c r="B289" i="18"/>
  <c r="B205" i="18"/>
  <c r="W205" i="18" s="1"/>
  <c r="B90" i="18"/>
  <c r="B222" i="18"/>
  <c r="B222" i="20" s="1"/>
  <c r="B78" i="18"/>
  <c r="B64" i="18"/>
  <c r="W64" i="18" s="1"/>
  <c r="B137" i="18"/>
  <c r="B366" i="18"/>
  <c r="W366" i="18" s="1"/>
  <c r="B362" i="18"/>
  <c r="B358" i="18"/>
  <c r="W358" i="18" s="1"/>
  <c r="B356" i="18"/>
  <c r="B342" i="18"/>
  <c r="B342" i="20" s="1"/>
  <c r="B340" i="18"/>
  <c r="B338" i="18"/>
  <c r="W338" i="18" s="1"/>
  <c r="B314" i="18"/>
  <c r="B312" i="18"/>
  <c r="D312" i="18" s="1"/>
  <c r="E312" i="18" s="1"/>
  <c r="F312" i="18" s="1"/>
  <c r="B290" i="18"/>
  <c r="B286" i="18"/>
  <c r="B286" i="20" s="1"/>
  <c r="B264" i="18"/>
  <c r="B242" i="18"/>
  <c r="B242" i="20" s="1"/>
  <c r="B240" i="18"/>
  <c r="B224" i="18"/>
  <c r="W224" i="18" s="1"/>
  <c r="B214" i="18"/>
  <c r="B212" i="18"/>
  <c r="W212" i="18" s="1"/>
  <c r="B206" i="18"/>
  <c r="B200" i="18"/>
  <c r="B200" i="20" s="1"/>
  <c r="B198" i="18"/>
  <c r="B190" i="18"/>
  <c r="B190" i="20" s="1"/>
  <c r="B186" i="18"/>
  <c r="B168" i="18"/>
  <c r="W168" i="18" s="1"/>
  <c r="B162" i="18"/>
  <c r="B158" i="18"/>
  <c r="B158" i="20" s="1"/>
  <c r="B156" i="18"/>
  <c r="B134" i="18"/>
  <c r="B134" i="20" s="1"/>
  <c r="B102" i="18"/>
  <c r="B82" i="18"/>
  <c r="B82" i="20" s="1"/>
  <c r="B72" i="18"/>
  <c r="B68" i="18"/>
  <c r="W68" i="18" s="1"/>
  <c r="B58" i="18"/>
  <c r="B54" i="18"/>
  <c r="W54" i="18" s="1"/>
  <c r="B44" i="18"/>
  <c r="B40" i="18"/>
  <c r="B40" i="20" s="1"/>
  <c r="B36" i="18"/>
  <c r="B30" i="18"/>
  <c r="W30" i="18" s="1"/>
  <c r="B24" i="18"/>
  <c r="B377" i="18"/>
  <c r="W377" i="18" s="1"/>
  <c r="B355" i="18"/>
  <c r="B351" i="18"/>
  <c r="W351" i="18" s="1"/>
  <c r="B345" i="18"/>
  <c r="B343" i="18"/>
  <c r="B343" i="20" s="1"/>
  <c r="B329" i="18"/>
  <c r="W329" i="18" s="1"/>
  <c r="B315" i="18"/>
  <c r="B297" i="18"/>
  <c r="W297" i="18" s="1"/>
  <c r="B279" i="18"/>
  <c r="B243" i="18"/>
  <c r="W243" i="18" s="1"/>
  <c r="B239" i="18"/>
  <c r="B237" i="18"/>
  <c r="W237" i="18" s="1"/>
  <c r="B225" i="18"/>
  <c r="B217" i="18"/>
  <c r="D217" i="18" s="1"/>
  <c r="E217" i="18" s="1"/>
  <c r="F217" i="18" s="1"/>
  <c r="B213" i="18"/>
  <c r="B199" i="18"/>
  <c r="B199" i="20" s="1"/>
  <c r="B165" i="18"/>
  <c r="B133" i="18"/>
  <c r="B129" i="18"/>
  <c r="W129" i="18" s="1"/>
  <c r="B121" i="18"/>
  <c r="B117" i="18"/>
  <c r="B117" i="20" s="1"/>
  <c r="B115" i="18"/>
  <c r="B113" i="18"/>
  <c r="B113" i="20" s="1"/>
  <c r="B109" i="18"/>
  <c r="B91" i="18"/>
  <c r="B91" i="20" s="1"/>
  <c r="B85" i="18"/>
  <c r="B57" i="18"/>
  <c r="B57" i="20" s="1"/>
  <c r="B51" i="18"/>
  <c r="B41" i="18"/>
  <c r="B41" i="20" s="1"/>
  <c r="B25" i="18"/>
  <c r="B26" i="18"/>
  <c r="W26" i="18" s="1"/>
  <c r="B370" i="18"/>
  <c r="B370" i="20" s="1"/>
  <c r="B364" i="18"/>
  <c r="B360" i="18"/>
  <c r="B360" i="20" s="1"/>
  <c r="B350" i="18"/>
  <c r="B344" i="18"/>
  <c r="W344" i="18" s="1"/>
  <c r="B330" i="18"/>
  <c r="B324" i="18"/>
  <c r="W324" i="18" s="1"/>
  <c r="B322" i="18"/>
  <c r="B304" i="18"/>
  <c r="B304" i="20" s="1"/>
  <c r="B292" i="18"/>
  <c r="B280" i="18"/>
  <c r="B280" i="20" s="1"/>
  <c r="B266" i="18"/>
  <c r="B262" i="18"/>
  <c r="W262" i="18" s="1"/>
  <c r="B256" i="18"/>
  <c r="B238" i="18"/>
  <c r="W238" i="18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D28" i="18" s="1"/>
  <c r="E28" i="18" s="1"/>
  <c r="F28" i="18" s="1"/>
  <c r="B27" i="18"/>
  <c r="B18" i="18"/>
  <c r="W18" i="18" s="1"/>
  <c r="B20" i="18"/>
  <c r="B288" i="18"/>
  <c r="B375" i="18"/>
  <c r="B375" i="20" s="1"/>
  <c r="B373" i="18"/>
  <c r="B359" i="18"/>
  <c r="W359" i="18" s="1"/>
  <c r="B357" i="18"/>
  <c r="B337" i="18"/>
  <c r="D337" i="18" s="1"/>
  <c r="E337" i="18" s="1"/>
  <c r="F337" i="18" s="1"/>
  <c r="B325" i="18"/>
  <c r="B313" i="18"/>
  <c r="W313" i="18" s="1"/>
  <c r="B307" i="18"/>
  <c r="B301" i="18"/>
  <c r="W301" i="18" s="1"/>
  <c r="B277" i="18"/>
  <c r="B269" i="18"/>
  <c r="W269" i="18" s="1"/>
  <c r="B267" i="18"/>
  <c r="B257" i="18"/>
  <c r="B257" i="20" s="1"/>
  <c r="B245" i="18"/>
  <c r="B231" i="18"/>
  <c r="W231" i="18" s="1"/>
  <c r="B223" i="18"/>
  <c r="B211" i="18"/>
  <c r="W211" i="18" s="1"/>
  <c r="B203" i="18"/>
  <c r="B193" i="18"/>
  <c r="W193" i="18" s="1"/>
  <c r="B191" i="18"/>
  <c r="B179" i="18"/>
  <c r="D179" i="18" s="1"/>
  <c r="E179" i="18" s="1"/>
  <c r="F179" i="18" s="1"/>
  <c r="B169" i="18"/>
  <c r="B151" i="18"/>
  <c r="B151" i="20" s="1"/>
  <c r="B143" i="18"/>
  <c r="B141" i="18"/>
  <c r="B141" i="20" s="1"/>
  <c r="B139" i="18"/>
  <c r="B107" i="18"/>
  <c r="B107" i="20" s="1"/>
  <c r="B65" i="18"/>
  <c r="B59" i="18"/>
  <c r="W59" i="18" s="1"/>
  <c r="B53" i="18"/>
  <c r="B39" i="18"/>
  <c r="B39" i="20" s="1"/>
  <c r="B372" i="18"/>
  <c r="B348" i="18"/>
  <c r="W348" i="18" s="1"/>
  <c r="B334" i="18"/>
  <c r="B326" i="18"/>
  <c r="W326" i="18" s="1"/>
  <c r="B300" i="18"/>
  <c r="W300" i="18" s="1"/>
  <c r="B296" i="18"/>
  <c r="B294" i="18"/>
  <c r="W294" i="18" s="1"/>
  <c r="B250" i="18"/>
  <c r="B228" i="18"/>
  <c r="W228" i="18" s="1"/>
  <c r="B218" i="18"/>
  <c r="B192" i="18"/>
  <c r="W192" i="18" s="1"/>
  <c r="B188" i="18"/>
  <c r="B164" i="18"/>
  <c r="W164" i="18" s="1"/>
  <c r="B148" i="18"/>
  <c r="B146" i="18"/>
  <c r="B146" i="20" s="1"/>
  <c r="B144" i="18"/>
  <c r="B142" i="18"/>
  <c r="B142" i="20" s="1"/>
  <c r="B126" i="18"/>
  <c r="B120" i="18"/>
  <c r="W120" i="18" s="1"/>
  <c r="B112" i="18"/>
  <c r="B108" i="18"/>
  <c r="W108" i="18" s="1"/>
  <c r="B96" i="18"/>
  <c r="B94" i="18"/>
  <c r="W94" i="18" s="1"/>
  <c r="B86" i="18"/>
  <c r="B80" i="18"/>
  <c r="B80" i="20" s="1"/>
  <c r="B34" i="18"/>
  <c r="B371" i="18"/>
  <c r="B341" i="18"/>
  <c r="B341" i="20" s="1"/>
  <c r="B339" i="18"/>
  <c r="B327" i="18"/>
  <c r="W327" i="18" s="1"/>
  <c r="B303" i="18"/>
  <c r="B293" i="18"/>
  <c r="B293" i="20" s="1"/>
  <c r="B291" i="18"/>
  <c r="B285" i="18"/>
  <c r="B285" i="20" s="1"/>
  <c r="B275" i="18"/>
  <c r="B259" i="18"/>
  <c r="W259" i="18" s="1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W131" i="18" s="1"/>
  <c r="B123" i="18"/>
  <c r="B93" i="18"/>
  <c r="B93" i="20" s="1"/>
  <c r="B87" i="18"/>
  <c r="B79" i="18"/>
  <c r="W79" i="18" s="1"/>
  <c r="B71" i="18"/>
  <c r="B69" i="18"/>
  <c r="W69" i="18" s="1"/>
  <c r="B49" i="18"/>
  <c r="B47" i="18"/>
  <c r="B47" i="20" s="1"/>
  <c r="B45" i="18"/>
  <c r="B33" i="18"/>
  <c r="B33" i="20" s="1"/>
  <c r="B31" i="18"/>
  <c r="B23" i="18"/>
  <c r="W23" i="18" s="1"/>
  <c r="B21" i="18"/>
  <c r="B258" i="18"/>
  <c r="W258" i="18" s="1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D270" i="18" s="1"/>
  <c r="E270" i="18" s="1"/>
  <c r="F270" i="18" s="1"/>
  <c r="B268" i="18"/>
  <c r="B260" i="18"/>
  <c r="B260" i="20" s="1"/>
  <c r="B254" i="18"/>
  <c r="B246" i="18"/>
  <c r="B230" i="18"/>
  <c r="B230" i="20" s="1"/>
  <c r="B220" i="18"/>
  <c r="B178" i="18"/>
  <c r="B178" i="20" s="1"/>
  <c r="B176" i="18"/>
  <c r="B170" i="18"/>
  <c r="W170" i="18" s="1"/>
  <c r="B140" i="18"/>
  <c r="B136" i="18"/>
  <c r="D136" i="18" s="1"/>
  <c r="E136" i="18" s="1"/>
  <c r="F136" i="18" s="1"/>
  <c r="B128" i="18"/>
  <c r="B118" i="18"/>
  <c r="B118" i="20" s="1"/>
  <c r="B110" i="18"/>
  <c r="B106" i="18"/>
  <c r="B106" i="20" s="1"/>
  <c r="B104" i="18"/>
  <c r="B92" i="18"/>
  <c r="W92" i="18" s="1"/>
  <c r="B84" i="18"/>
  <c r="B70" i="18"/>
  <c r="W70" i="18" s="1"/>
  <c r="B56" i="18"/>
  <c r="B50" i="18"/>
  <c r="W50" i="18" s="1"/>
  <c r="B42" i="18"/>
  <c r="B361" i="18"/>
  <c r="B323" i="18"/>
  <c r="W323" i="18" s="1"/>
  <c r="B317" i="18"/>
  <c r="B281" i="18"/>
  <c r="B281" i="20" s="1"/>
  <c r="B273" i="18"/>
  <c r="B271" i="18"/>
  <c r="B271" i="20" s="1"/>
  <c r="B263" i="18"/>
  <c r="B255" i="18"/>
  <c r="W255" i="18" s="1"/>
  <c r="B249" i="18"/>
  <c r="B247" i="18"/>
  <c r="B247" i="20" s="1"/>
  <c r="B219" i="18"/>
  <c r="B197" i="18"/>
  <c r="W197" i="18" s="1"/>
  <c r="B185" i="18"/>
  <c r="B183" i="18"/>
  <c r="W183" i="18" s="1"/>
  <c r="B173" i="18"/>
  <c r="B167" i="18"/>
  <c r="D167" i="18" s="1"/>
  <c r="E167" i="18" s="1"/>
  <c r="F167" i="18" s="1"/>
  <c r="B159" i="18"/>
  <c r="B155" i="18"/>
  <c r="W155" i="18" s="1"/>
  <c r="B127" i="18"/>
  <c r="B101" i="18"/>
  <c r="W101" i="18" s="1"/>
  <c r="B99" i="18"/>
  <c r="B97" i="18"/>
  <c r="W97" i="18" s="1"/>
  <c r="B89" i="18"/>
  <c r="B83" i="18"/>
  <c r="B83" i="20" s="1"/>
  <c r="B77" i="18"/>
  <c r="B63" i="18"/>
  <c r="B63" i="20" s="1"/>
  <c r="B61" i="18"/>
  <c r="B55" i="18"/>
  <c r="D55" i="18" s="1"/>
  <c r="E55" i="18" s="1"/>
  <c r="F55" i="18" s="1"/>
  <c r="B37" i="18"/>
  <c r="B88" i="18"/>
  <c r="B19" i="18"/>
  <c r="W19" i="18" s="1"/>
  <c r="B265" i="18"/>
  <c r="W265" i="18" s="1"/>
  <c r="B287" i="18"/>
  <c r="B130" i="18"/>
  <c r="B130" i="20" s="1"/>
  <c r="B161" i="18"/>
  <c r="B175" i="18"/>
  <c r="B175" i="20" s="1"/>
  <c r="B253" i="18"/>
  <c r="B116" i="18"/>
  <c r="W116" i="18" s="1"/>
  <c r="B244" i="18"/>
  <c r="B284" i="18"/>
  <c r="W284" i="18" s="1"/>
  <c r="B369" i="18"/>
  <c r="B241" i="18"/>
  <c r="B241" i="20" s="1"/>
  <c r="B210" i="18"/>
  <c r="B302" i="18"/>
  <c r="B302" i="20" s="1"/>
  <c r="B189" i="18"/>
  <c r="B189" i="20" s="1"/>
  <c r="B347" i="18"/>
  <c r="B367" i="18"/>
  <c r="W367" i="18" s="1"/>
  <c r="B114" i="18"/>
  <c r="B154" i="18"/>
  <c r="B154" i="20" s="1"/>
  <c r="B376" i="18"/>
  <c r="B335" i="18"/>
  <c r="W335" i="18" s="1"/>
  <c r="B66" i="18"/>
  <c r="B66" i="20" s="1"/>
  <c r="B194" i="18"/>
  <c r="B368" i="18"/>
  <c r="B368" i="20" s="1"/>
  <c r="B135" i="18"/>
  <c r="B272" i="18"/>
  <c r="B95" i="18"/>
  <c r="W95" i="18" s="1"/>
  <c r="B171" i="18"/>
  <c r="B278" i="18"/>
  <c r="B278" i="20" s="1"/>
  <c r="B346" i="18"/>
  <c r="B43" i="18"/>
  <c r="W43" i="18" s="1"/>
  <c r="B75" i="18"/>
  <c r="B111" i="18"/>
  <c r="B111" i="20" s="1"/>
  <c r="B283" i="18"/>
  <c r="B216" i="18"/>
  <c r="W216" i="18" s="1"/>
  <c r="B261" i="18"/>
  <c r="B17" i="18"/>
  <c r="B17" i="20" s="1"/>
  <c r="B248" i="18"/>
  <c r="B354" i="18"/>
  <c r="B354" i="20" s="1"/>
  <c r="B74" i="18"/>
  <c r="B319" i="18"/>
  <c r="B319" i="20" s="1"/>
  <c r="B22" i="18"/>
  <c r="B227" i="18"/>
  <c r="W227" i="18" s="1"/>
  <c r="B349" i="18"/>
  <c r="B166" i="18"/>
  <c r="B166" i="20" s="1"/>
  <c r="B46" i="18"/>
  <c r="B35" i="18"/>
  <c r="W35" i="18" s="1"/>
  <c r="B67" i="18"/>
  <c r="B177" i="18"/>
  <c r="B177" i="20" s="1"/>
  <c r="B208" i="18"/>
  <c r="W208" i="18" s="1"/>
  <c r="B226" i="18"/>
  <c r="B298" i="18"/>
  <c r="B298" i="20" s="1"/>
  <c r="B187" i="18"/>
  <c r="B16" i="18"/>
  <c r="W16" i="18" s="1"/>
  <c r="B150" i="18"/>
  <c r="B316" i="18"/>
  <c r="W316" i="18" s="1"/>
  <c r="B365" i="18"/>
  <c r="B105" i="18"/>
  <c r="B105" i="20" s="1"/>
  <c r="B29" i="18"/>
  <c r="B149" i="18"/>
  <c r="B149" i="20" s="1"/>
  <c r="B333" i="18"/>
  <c r="B180" i="18"/>
  <c r="D180" i="18" s="1"/>
  <c r="E180" i="18" s="1"/>
  <c r="F180" i="18" s="1"/>
  <c r="B196" i="18"/>
  <c r="B60" i="18"/>
  <c r="B363" i="18"/>
  <c r="W363" i="18" s="1"/>
  <c r="B379" i="18"/>
  <c r="B379" i="20" s="1"/>
  <c r="B119" i="18"/>
  <c r="AD383" i="25" l="1"/>
  <c r="AD381" i="25"/>
  <c r="AD382" i="25"/>
  <c r="P383" i="25"/>
  <c r="P381" i="25"/>
  <c r="P382" i="25"/>
  <c r="V15" i="25"/>
  <c r="N69" i="19"/>
  <c r="B28" i="20"/>
  <c r="D28" i="20" s="1"/>
  <c r="E28" i="20" s="1"/>
  <c r="F28" i="20" s="1"/>
  <c r="B132" i="20"/>
  <c r="B132" i="22" s="1"/>
  <c r="B108" i="20"/>
  <c r="D108" i="20" s="1"/>
  <c r="E108" i="20" s="1"/>
  <c r="F108" i="20" s="1"/>
  <c r="B193" i="20"/>
  <c r="W193" i="20" s="1"/>
  <c r="B237" i="20"/>
  <c r="D237" i="20" s="1"/>
  <c r="E237" i="20" s="1"/>
  <c r="F237" i="20" s="1"/>
  <c r="B30" i="20"/>
  <c r="D30" i="20" s="1"/>
  <c r="E30" i="20" s="1"/>
  <c r="F30" i="20" s="1"/>
  <c r="B363" i="20"/>
  <c r="D363" i="20" s="1"/>
  <c r="E363" i="20" s="1"/>
  <c r="F363" i="20" s="1"/>
  <c r="B180" i="20"/>
  <c r="D180" i="20" s="1"/>
  <c r="E180" i="20" s="1"/>
  <c r="F180" i="20" s="1"/>
  <c r="B300" i="20"/>
  <c r="W300" i="20" s="1"/>
  <c r="B326" i="20"/>
  <c r="W326" i="20" s="1"/>
  <c r="B359" i="20"/>
  <c r="D359" i="20" s="1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B16" i="20"/>
  <c r="B16" i="22" s="1"/>
  <c r="B335" i="20"/>
  <c r="D335" i="20" s="1"/>
  <c r="E335" i="20" s="1"/>
  <c r="F335" i="20" s="1"/>
  <c r="B116" i="20"/>
  <c r="D116" i="20" s="1"/>
  <c r="E116" i="20" s="1"/>
  <c r="F116" i="20" s="1"/>
  <c r="B155" i="20"/>
  <c r="W155" i="20" s="1"/>
  <c r="B323" i="20"/>
  <c r="W323" i="20" s="1"/>
  <c r="B50" i="20"/>
  <c r="D50" i="20" s="1"/>
  <c r="E50" i="20" s="1"/>
  <c r="F50" i="20" s="1"/>
  <c r="B164" i="20"/>
  <c r="W164" i="20" s="1"/>
  <c r="B269" i="20"/>
  <c r="D269" i="20" s="1"/>
  <c r="E269" i="20" s="1"/>
  <c r="F269" i="20" s="1"/>
  <c r="B26" i="20"/>
  <c r="B26" i="22" s="1"/>
  <c r="B152" i="20"/>
  <c r="W152" i="20" s="1"/>
  <c r="B251" i="20"/>
  <c r="B251" i="22" s="1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B208" i="20"/>
  <c r="W208" i="20" s="1"/>
  <c r="B367" i="20"/>
  <c r="W367" i="20" s="1"/>
  <c r="B97" i="20"/>
  <c r="W97" i="20" s="1"/>
  <c r="B183" i="20"/>
  <c r="D183" i="20" s="1"/>
  <c r="E183" i="20" s="1"/>
  <c r="F183" i="20" s="1"/>
  <c r="B92" i="20"/>
  <c r="D92" i="20" s="1"/>
  <c r="E92" i="20" s="1"/>
  <c r="F92" i="20" s="1"/>
  <c r="B170" i="20"/>
  <c r="W170" i="20" s="1"/>
  <c r="B258" i="20"/>
  <c r="W258" i="20" s="1"/>
  <c r="B69" i="20"/>
  <c r="B69" i="22" s="1"/>
  <c r="B259" i="20"/>
  <c r="D259" i="20" s="1"/>
  <c r="E259" i="20" s="1"/>
  <c r="F259" i="20" s="1"/>
  <c r="B228" i="20"/>
  <c r="D228" i="20" s="1"/>
  <c r="E228" i="20" s="1"/>
  <c r="F228" i="20" s="1"/>
  <c r="B231" i="20"/>
  <c r="D231" i="20" s="1"/>
  <c r="E231" i="20" s="1"/>
  <c r="F231" i="20" s="1"/>
  <c r="B313" i="20"/>
  <c r="B313" i="22" s="1"/>
  <c r="B262" i="20"/>
  <c r="B262" i="22" s="1"/>
  <c r="B344" i="20"/>
  <c r="W344" i="20" s="1"/>
  <c r="B129" i="20"/>
  <c r="W129" i="20" s="1"/>
  <c r="B297" i="20"/>
  <c r="W297" i="20" s="1"/>
  <c r="B351" i="20"/>
  <c r="W351" i="20" s="1"/>
  <c r="B54" i="20"/>
  <c r="D54" i="20" s="1"/>
  <c r="E54" i="20" s="1"/>
  <c r="F54" i="20" s="1"/>
  <c r="B212" i="20"/>
  <c r="W212" i="20" s="1"/>
  <c r="B312" i="20"/>
  <c r="W312" i="20" s="1"/>
  <c r="B366" i="20"/>
  <c r="D366" i="20" s="1"/>
  <c r="E366" i="20" s="1"/>
  <c r="F366" i="20" s="1"/>
  <c r="B153" i="20"/>
  <c r="D153" i="20" s="1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C252" i="6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B316" i="20"/>
  <c r="W316" i="20" s="1"/>
  <c r="B35" i="20"/>
  <c r="W35" i="20" s="1"/>
  <c r="B227" i="20"/>
  <c r="W227" i="20" s="1"/>
  <c r="B216" i="20"/>
  <c r="W216" i="20" s="1"/>
  <c r="B43" i="20"/>
  <c r="D43" i="20" s="1"/>
  <c r="E43" i="20" s="1"/>
  <c r="F43" i="20" s="1"/>
  <c r="B95" i="20"/>
  <c r="D95" i="20" s="1"/>
  <c r="E95" i="20" s="1"/>
  <c r="F95" i="20" s="1"/>
  <c r="B284" i="20"/>
  <c r="W284" i="20" s="1"/>
  <c r="B265" i="20"/>
  <c r="W265" i="20" s="1"/>
  <c r="B19" i="20"/>
  <c r="W19" i="20" s="1"/>
  <c r="B55" i="20"/>
  <c r="W55" i="20" s="1"/>
  <c r="B101" i="20"/>
  <c r="B101" i="22" s="1"/>
  <c r="B167" i="20"/>
  <c r="W167" i="20" s="1"/>
  <c r="B197" i="20"/>
  <c r="D197" i="20" s="1"/>
  <c r="E197" i="20" s="1"/>
  <c r="F197" i="20" s="1"/>
  <c r="B255" i="20"/>
  <c r="D255" i="20" s="1"/>
  <c r="E255" i="20" s="1"/>
  <c r="F255" i="20" s="1"/>
  <c r="B70" i="20"/>
  <c r="W70" i="20" s="1"/>
  <c r="B136" i="20"/>
  <c r="D136" i="20" s="1"/>
  <c r="E136" i="20" s="1"/>
  <c r="F136" i="20" s="1"/>
  <c r="B270" i="20"/>
  <c r="D270" i="20" s="1"/>
  <c r="E270" i="20" s="1"/>
  <c r="F270" i="20" s="1"/>
  <c r="B23" i="20"/>
  <c r="W23" i="20" s="1"/>
  <c r="B79" i="20"/>
  <c r="D79" i="20" s="1"/>
  <c r="E79" i="20" s="1"/>
  <c r="F79" i="20" s="1"/>
  <c r="B131" i="20"/>
  <c r="W131" i="20" s="1"/>
  <c r="B327" i="20"/>
  <c r="W327" i="20" s="1"/>
  <c r="B94" i="20"/>
  <c r="D94" i="20" s="1"/>
  <c r="E94" i="20" s="1"/>
  <c r="F94" i="20" s="1"/>
  <c r="B120" i="20"/>
  <c r="B120" i="22" s="1"/>
  <c r="B192" i="20"/>
  <c r="D192" i="20" s="1"/>
  <c r="E192" i="20" s="1"/>
  <c r="F192" i="20" s="1"/>
  <c r="B294" i="20"/>
  <c r="W294" i="20" s="1"/>
  <c r="B348" i="20"/>
  <c r="W348" i="20" s="1"/>
  <c r="D39" i="18"/>
  <c r="E39" i="18" s="1"/>
  <c r="F39" i="18" s="1"/>
  <c r="AA39" i="18" s="1"/>
  <c r="Z39" i="18" s="1"/>
  <c r="Y39" i="18" s="1"/>
  <c r="W39" i="18"/>
  <c r="B59" i="20"/>
  <c r="D59" i="20" s="1"/>
  <c r="E59" i="20" s="1"/>
  <c r="F59" i="20" s="1"/>
  <c r="B179" i="20"/>
  <c r="W179" i="20" s="1"/>
  <c r="B211" i="20"/>
  <c r="D211" i="20" s="1"/>
  <c r="E211" i="20" s="1"/>
  <c r="F211" i="20" s="1"/>
  <c r="B301" i="20"/>
  <c r="W301" i="20" s="1"/>
  <c r="B337" i="20"/>
  <c r="D337" i="20" s="1"/>
  <c r="E337" i="20" s="1"/>
  <c r="F337" i="20" s="1"/>
  <c r="B18" i="20"/>
  <c r="D18" i="20" s="1"/>
  <c r="E18" i="20" s="1"/>
  <c r="F18" i="20" s="1"/>
  <c r="B238" i="20"/>
  <c r="B238" i="22" s="1"/>
  <c r="B324" i="20"/>
  <c r="W324" i="20" s="1"/>
  <c r="B217" i="20"/>
  <c r="B217" i="22" s="1"/>
  <c r="B243" i="20"/>
  <c r="W243" i="20" s="1"/>
  <c r="B329" i="20"/>
  <c r="D329" i="20" s="1"/>
  <c r="E329" i="20" s="1"/>
  <c r="F329" i="20" s="1"/>
  <c r="B377" i="20"/>
  <c r="D377" i="20" s="1"/>
  <c r="E377" i="20" s="1"/>
  <c r="F377" i="20" s="1"/>
  <c r="B68" i="20"/>
  <c r="B68" i="22" s="1"/>
  <c r="B168" i="20"/>
  <c r="D168" i="20" s="1"/>
  <c r="E168" i="20" s="1"/>
  <c r="F168" i="20" s="1"/>
  <c r="B224" i="20"/>
  <c r="W224" i="20" s="1"/>
  <c r="B338" i="20"/>
  <c r="W338" i="20" s="1"/>
  <c r="B358" i="20"/>
  <c r="D358" i="20" s="1"/>
  <c r="E358" i="20" s="1"/>
  <c r="F358" i="20" s="1"/>
  <c r="B64" i="20"/>
  <c r="W64" i="20" s="1"/>
  <c r="B205" i="20"/>
  <c r="D205" i="20" s="1"/>
  <c r="E205" i="20" s="1"/>
  <c r="F205" i="20" s="1"/>
  <c r="B299" i="20"/>
  <c r="B299" i="22" s="1"/>
  <c r="B306" i="20"/>
  <c r="D306" i="20" s="1"/>
  <c r="E306" i="20" s="1"/>
  <c r="F306" i="20" s="1"/>
  <c r="B353" i="20"/>
  <c r="W353" i="20" s="1"/>
  <c r="B331" i="20"/>
  <c r="D331" i="20" s="1"/>
  <c r="E331" i="20" s="1"/>
  <c r="F331" i="20" s="1"/>
  <c r="B38" i="20"/>
  <c r="W38" i="20" s="1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C267" i="6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B296" i="6" s="1"/>
  <c r="AA240" i="17"/>
  <c r="Z240" i="17" s="1"/>
  <c r="Y240" i="17" s="1"/>
  <c r="AA87" i="17"/>
  <c r="Z87" i="17" s="1"/>
  <c r="Y87" i="17" s="1"/>
  <c r="I87" i="17"/>
  <c r="B87" i="6" s="1"/>
  <c r="W379" i="20"/>
  <c r="D379" i="20"/>
  <c r="E379" i="20" s="1"/>
  <c r="F379" i="20" s="1"/>
  <c r="B379" i="22"/>
  <c r="B29" i="20"/>
  <c r="W29" i="18"/>
  <c r="D29" i="18"/>
  <c r="E29" i="18" s="1"/>
  <c r="F29" i="18" s="1"/>
  <c r="W150" i="18"/>
  <c r="D150" i="18"/>
  <c r="E150" i="18" s="1"/>
  <c r="F150" i="18" s="1"/>
  <c r="B150" i="20"/>
  <c r="W226" i="18"/>
  <c r="D226" i="18"/>
  <c r="E226" i="18" s="1"/>
  <c r="F226" i="18" s="1"/>
  <c r="B226" i="20"/>
  <c r="W177" i="20"/>
  <c r="D177" i="20"/>
  <c r="E177" i="20" s="1"/>
  <c r="F177" i="20" s="1"/>
  <c r="B177" i="22"/>
  <c r="W354" i="20"/>
  <c r="B354" i="22"/>
  <c r="D354" i="20"/>
  <c r="E354" i="20" s="1"/>
  <c r="F354" i="20" s="1"/>
  <c r="W283" i="18"/>
  <c r="D283" i="18"/>
  <c r="E283" i="18" s="1"/>
  <c r="F283" i="18" s="1"/>
  <c r="B283" i="20"/>
  <c r="W43" i="20"/>
  <c r="D135" i="18"/>
  <c r="E135" i="18" s="1"/>
  <c r="F135" i="18" s="1"/>
  <c r="W135" i="18"/>
  <c r="B135" i="20"/>
  <c r="W114" i="18"/>
  <c r="D114" i="18"/>
  <c r="E114" i="18" s="1"/>
  <c r="F114" i="18" s="1"/>
  <c r="B114" i="20"/>
  <c r="W210" i="18"/>
  <c r="D210" i="18"/>
  <c r="E210" i="18" s="1"/>
  <c r="F210" i="18" s="1"/>
  <c r="B210" i="20"/>
  <c r="W161" i="18"/>
  <c r="D161" i="18"/>
  <c r="E161" i="18" s="1"/>
  <c r="F161" i="18" s="1"/>
  <c r="B161" i="20"/>
  <c r="G55" i="18"/>
  <c r="CA55" i="6" s="1"/>
  <c r="AA55" i="18"/>
  <c r="Z55" i="18" s="1"/>
  <c r="Y55" i="18" s="1"/>
  <c r="W77" i="18"/>
  <c r="D77" i="18"/>
  <c r="E77" i="18" s="1"/>
  <c r="F77" i="18" s="1"/>
  <c r="B77" i="20"/>
  <c r="W99" i="18"/>
  <c r="D99" i="18"/>
  <c r="E99" i="18" s="1"/>
  <c r="F99" i="18" s="1"/>
  <c r="B99" i="20"/>
  <c r="D159" i="18"/>
  <c r="E159" i="18" s="1"/>
  <c r="F159" i="18" s="1"/>
  <c r="B159" i="20"/>
  <c r="W159" i="18"/>
  <c r="W247" i="20"/>
  <c r="B247" i="22"/>
  <c r="D247" i="20"/>
  <c r="E247" i="20" s="1"/>
  <c r="F247" i="20" s="1"/>
  <c r="W263" i="18"/>
  <c r="D263" i="18"/>
  <c r="E263" i="18" s="1"/>
  <c r="F263" i="18" s="1"/>
  <c r="B263" i="20"/>
  <c r="D281" i="20"/>
  <c r="E281" i="20" s="1"/>
  <c r="F281" i="20" s="1"/>
  <c r="B281" i="22"/>
  <c r="W281" i="20"/>
  <c r="W84" i="18"/>
  <c r="B84" i="20"/>
  <c r="D84" i="18"/>
  <c r="E84" i="18" s="1"/>
  <c r="F84" i="18" s="1"/>
  <c r="W106" i="20"/>
  <c r="D106" i="20"/>
  <c r="E106" i="20" s="1"/>
  <c r="F106" i="20" s="1"/>
  <c r="B106" i="22"/>
  <c r="W178" i="20"/>
  <c r="D178" i="20"/>
  <c r="E178" i="20" s="1"/>
  <c r="F178" i="20" s="1"/>
  <c r="B178" i="22"/>
  <c r="G270" i="18"/>
  <c r="CA270" i="6" s="1"/>
  <c r="AA270" i="18"/>
  <c r="Z270" i="18" s="1"/>
  <c r="Y270" i="18" s="1"/>
  <c r="W274" i="18"/>
  <c r="D274" i="18"/>
  <c r="E274" i="18" s="1"/>
  <c r="F274" i="18" s="1"/>
  <c r="B274" i="20"/>
  <c r="W318" i="18"/>
  <c r="B318" i="20"/>
  <c r="D318" i="18"/>
  <c r="E318" i="18" s="1"/>
  <c r="F318" i="18" s="1"/>
  <c r="W352" i="18"/>
  <c r="D352" i="18"/>
  <c r="E352" i="18" s="1"/>
  <c r="F352" i="18" s="1"/>
  <c r="B352" i="20"/>
  <c r="W33" i="20"/>
  <c r="D33" i="20"/>
  <c r="E33" i="20" s="1"/>
  <c r="F33" i="20" s="1"/>
  <c r="B33" i="22"/>
  <c r="W60" i="18"/>
  <c r="B60" i="20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B333" i="20"/>
  <c r="W149" i="20"/>
  <c r="D149" i="20"/>
  <c r="E149" i="20" s="1"/>
  <c r="F149" i="20" s="1"/>
  <c r="B149" i="22"/>
  <c r="W365" i="18"/>
  <c r="B365" i="20"/>
  <c r="D365" i="18"/>
  <c r="E365" i="18" s="1"/>
  <c r="F365" i="18" s="1"/>
  <c r="W187" i="18"/>
  <c r="D187" i="18"/>
  <c r="E187" i="18" s="1"/>
  <c r="F187" i="18" s="1"/>
  <c r="B187" i="20"/>
  <c r="D298" i="20"/>
  <c r="E298" i="20" s="1"/>
  <c r="F298" i="20" s="1"/>
  <c r="W298" i="20"/>
  <c r="B298" i="22"/>
  <c r="W46" i="18"/>
  <c r="D46" i="18"/>
  <c r="E46" i="18" s="1"/>
  <c r="F46" i="18" s="1"/>
  <c r="B46" i="20"/>
  <c r="W349" i="18"/>
  <c r="B349" i="20"/>
  <c r="D349" i="18"/>
  <c r="E349" i="18" s="1"/>
  <c r="F349" i="18" s="1"/>
  <c r="W319" i="20"/>
  <c r="D319" i="20"/>
  <c r="E319" i="20" s="1"/>
  <c r="F319" i="20" s="1"/>
  <c r="B319" i="22"/>
  <c r="W74" i="18"/>
  <c r="D74" i="18"/>
  <c r="E74" i="18" s="1"/>
  <c r="F74" i="18" s="1"/>
  <c r="B74" i="20"/>
  <c r="D17" i="20"/>
  <c r="E17" i="20" s="1"/>
  <c r="F17" i="20" s="1"/>
  <c r="W17" i="20"/>
  <c r="B17" i="22"/>
  <c r="W261" i="18"/>
  <c r="B261" i="20"/>
  <c r="D261" i="18"/>
  <c r="E261" i="18" s="1"/>
  <c r="F261" i="18" s="1"/>
  <c r="W111" i="20"/>
  <c r="D111" i="20"/>
  <c r="E111" i="20" s="1"/>
  <c r="F111" i="20" s="1"/>
  <c r="B111" i="22"/>
  <c r="W75" i="18"/>
  <c r="D75" i="18"/>
  <c r="E75" i="18" s="1"/>
  <c r="F75" i="18" s="1"/>
  <c r="B75" i="20"/>
  <c r="W278" i="20"/>
  <c r="B278" i="22"/>
  <c r="D278" i="20"/>
  <c r="E278" i="20" s="1"/>
  <c r="F278" i="20" s="1"/>
  <c r="W171" i="18"/>
  <c r="B171" i="20"/>
  <c r="D171" i="18"/>
  <c r="E171" i="18" s="1"/>
  <c r="F171" i="18" s="1"/>
  <c r="W194" i="18"/>
  <c r="D194" i="18"/>
  <c r="E194" i="18" s="1"/>
  <c r="F194" i="18" s="1"/>
  <c r="B194" i="20"/>
  <c r="W66" i="20"/>
  <c r="D66" i="20"/>
  <c r="E66" i="20" s="1"/>
  <c r="F66" i="20" s="1"/>
  <c r="B66" i="22"/>
  <c r="W335" i="20"/>
  <c r="W376" i="18"/>
  <c r="D376" i="18"/>
  <c r="E376" i="18" s="1"/>
  <c r="F376" i="18" s="1"/>
  <c r="B376" i="20"/>
  <c r="W347" i="18"/>
  <c r="D347" i="18"/>
  <c r="E347" i="18" s="1"/>
  <c r="F347" i="18" s="1"/>
  <c r="B347" i="20"/>
  <c r="W302" i="20"/>
  <c r="D302" i="20"/>
  <c r="E302" i="20" s="1"/>
  <c r="F302" i="20" s="1"/>
  <c r="B302" i="22"/>
  <c r="W369" i="18"/>
  <c r="D369" i="18"/>
  <c r="E369" i="18" s="1"/>
  <c r="F369" i="18" s="1"/>
  <c r="B369" i="20"/>
  <c r="W253" i="18"/>
  <c r="D253" i="18"/>
  <c r="E253" i="18" s="1"/>
  <c r="F253" i="18" s="1"/>
  <c r="B253" i="20"/>
  <c r="W175" i="20"/>
  <c r="D175" i="20"/>
  <c r="E175" i="20" s="1"/>
  <c r="F175" i="20" s="1"/>
  <c r="B175" i="22"/>
  <c r="W130" i="20"/>
  <c r="D130" i="20"/>
  <c r="E130" i="20" s="1"/>
  <c r="F130" i="20" s="1"/>
  <c r="B130" i="22"/>
  <c r="W287" i="18"/>
  <c r="B287" i="20"/>
  <c r="D287" i="18"/>
  <c r="E287" i="18" s="1"/>
  <c r="F287" i="18" s="1"/>
  <c r="W61" i="18"/>
  <c r="D61" i="18"/>
  <c r="E61" i="18" s="1"/>
  <c r="F61" i="18" s="1"/>
  <c r="B61" i="20"/>
  <c r="W83" i="20"/>
  <c r="D83" i="20"/>
  <c r="E83" i="20" s="1"/>
  <c r="F83" i="20" s="1"/>
  <c r="B83" i="22"/>
  <c r="W89" i="18"/>
  <c r="D89" i="18"/>
  <c r="E89" i="18" s="1"/>
  <c r="F89" i="18" s="1"/>
  <c r="B89" i="20"/>
  <c r="W127" i="18"/>
  <c r="D127" i="18"/>
  <c r="E127" i="18" s="1"/>
  <c r="F127" i="18" s="1"/>
  <c r="B127" i="20"/>
  <c r="W173" i="18"/>
  <c r="D173" i="18"/>
  <c r="E173" i="18" s="1"/>
  <c r="F173" i="18" s="1"/>
  <c r="B173" i="20"/>
  <c r="W219" i="18"/>
  <c r="D219" i="18"/>
  <c r="E219" i="18" s="1"/>
  <c r="F219" i="18" s="1"/>
  <c r="B219" i="20"/>
  <c r="W271" i="20"/>
  <c r="D271" i="20"/>
  <c r="E271" i="20" s="1"/>
  <c r="F271" i="20" s="1"/>
  <c r="B271" i="22"/>
  <c r="W273" i="18"/>
  <c r="D273" i="18"/>
  <c r="E273" i="18" s="1"/>
  <c r="F273" i="18" s="1"/>
  <c r="B273" i="20"/>
  <c r="W361" i="18"/>
  <c r="D361" i="18"/>
  <c r="E361" i="18" s="1"/>
  <c r="F361" i="18" s="1"/>
  <c r="B361" i="20"/>
  <c r="W50" i="20"/>
  <c r="W56" i="18"/>
  <c r="D56" i="18"/>
  <c r="E56" i="18" s="1"/>
  <c r="F56" i="18" s="1"/>
  <c r="B56" i="20"/>
  <c r="W104" i="18"/>
  <c r="D104" i="18"/>
  <c r="E104" i="18" s="1"/>
  <c r="F104" i="18" s="1"/>
  <c r="B104" i="20"/>
  <c r="W118" i="20"/>
  <c r="D118" i="20"/>
  <c r="E118" i="20" s="1"/>
  <c r="F118" i="20" s="1"/>
  <c r="B118" i="22"/>
  <c r="W128" i="18"/>
  <c r="B128" i="20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B176" i="20"/>
  <c r="W230" i="20"/>
  <c r="B230" i="22"/>
  <c r="D230" i="20"/>
  <c r="E230" i="20" s="1"/>
  <c r="F230" i="20" s="1"/>
  <c r="W246" i="18"/>
  <c r="B246" i="20"/>
  <c r="D246" i="18"/>
  <c r="E246" i="18" s="1"/>
  <c r="F246" i="18" s="1"/>
  <c r="W268" i="18"/>
  <c r="D268" i="18"/>
  <c r="E268" i="18" s="1"/>
  <c r="F268" i="18" s="1"/>
  <c r="B268" i="20"/>
  <c r="W282" i="18"/>
  <c r="B282" i="20"/>
  <c r="D282" i="18"/>
  <c r="E282" i="18" s="1"/>
  <c r="F282" i="18" s="1"/>
  <c r="W308" i="20"/>
  <c r="D308" i="20"/>
  <c r="E308" i="20" s="1"/>
  <c r="F308" i="20" s="1"/>
  <c r="B308" i="22"/>
  <c r="W328" i="18"/>
  <c r="D328" i="18"/>
  <c r="E328" i="18" s="1"/>
  <c r="F328" i="18" s="1"/>
  <c r="B328" i="20"/>
  <c r="W336" i="20"/>
  <c r="B336" i="22"/>
  <c r="D336" i="20"/>
  <c r="E336" i="20" s="1"/>
  <c r="F336" i="20" s="1"/>
  <c r="W21" i="18"/>
  <c r="D21" i="18"/>
  <c r="E21" i="18" s="1"/>
  <c r="F21" i="18" s="1"/>
  <c r="B21" i="20"/>
  <c r="W45" i="18"/>
  <c r="B45" i="20"/>
  <c r="D45" i="18"/>
  <c r="E45" i="18" s="1"/>
  <c r="F45" i="18" s="1"/>
  <c r="W47" i="20"/>
  <c r="D47" i="20"/>
  <c r="E47" i="20" s="1"/>
  <c r="F47" i="20" s="1"/>
  <c r="B47" i="22"/>
  <c r="W71" i="18"/>
  <c r="D71" i="18"/>
  <c r="E71" i="18" s="1"/>
  <c r="F71" i="18" s="1"/>
  <c r="B71" i="20"/>
  <c r="W123" i="18"/>
  <c r="B123" i="20"/>
  <c r="D123" i="18"/>
  <c r="E123" i="18" s="1"/>
  <c r="F123" i="18" s="1"/>
  <c r="W181" i="18"/>
  <c r="D181" i="18"/>
  <c r="E181" i="18" s="1"/>
  <c r="F181" i="18" s="1"/>
  <c r="B181" i="20"/>
  <c r="W195" i="20"/>
  <c r="D195" i="20"/>
  <c r="E195" i="20" s="1"/>
  <c r="F195" i="20" s="1"/>
  <c r="B195" i="22"/>
  <c r="W215" i="18"/>
  <c r="D215" i="18"/>
  <c r="E215" i="18" s="1"/>
  <c r="F215" i="18" s="1"/>
  <c r="B215" i="20"/>
  <c r="W221" i="20"/>
  <c r="D221" i="20"/>
  <c r="E221" i="20" s="1"/>
  <c r="F221" i="20" s="1"/>
  <c r="B221" i="22"/>
  <c r="W233" i="18"/>
  <c r="B233" i="20"/>
  <c r="D233" i="18"/>
  <c r="E233" i="18" s="1"/>
  <c r="F233" i="18" s="1"/>
  <c r="W275" i="18"/>
  <c r="D275" i="18"/>
  <c r="E275" i="18" s="1"/>
  <c r="F275" i="18" s="1"/>
  <c r="B275" i="20"/>
  <c r="W285" i="20"/>
  <c r="D285" i="20"/>
  <c r="E285" i="20" s="1"/>
  <c r="F285" i="20" s="1"/>
  <c r="B285" i="22"/>
  <c r="W303" i="18"/>
  <c r="D303" i="18"/>
  <c r="E303" i="18" s="1"/>
  <c r="F303" i="18" s="1"/>
  <c r="B303" i="20"/>
  <c r="W86" i="18"/>
  <c r="D86" i="18"/>
  <c r="E86" i="18" s="1"/>
  <c r="F86" i="18" s="1"/>
  <c r="B86" i="20"/>
  <c r="W112" i="18"/>
  <c r="D112" i="18"/>
  <c r="E112" i="18" s="1"/>
  <c r="F112" i="18" s="1"/>
  <c r="B112" i="20"/>
  <c r="W144" i="18"/>
  <c r="D144" i="18"/>
  <c r="E144" i="18" s="1"/>
  <c r="F144" i="18" s="1"/>
  <c r="B144" i="20"/>
  <c r="W146" i="20"/>
  <c r="D146" i="20"/>
  <c r="E146" i="20" s="1"/>
  <c r="F146" i="20" s="1"/>
  <c r="B146" i="22"/>
  <c r="W188" i="18"/>
  <c r="D188" i="18"/>
  <c r="E188" i="18" s="1"/>
  <c r="F188" i="18" s="1"/>
  <c r="B188" i="20"/>
  <c r="W218" i="18"/>
  <c r="D218" i="18"/>
  <c r="E218" i="18" s="1"/>
  <c r="F218" i="18" s="1"/>
  <c r="B218" i="20"/>
  <c r="D296" i="18"/>
  <c r="E296" i="18" s="1"/>
  <c r="F296" i="18" s="1"/>
  <c r="W296" i="18"/>
  <c r="B296" i="20"/>
  <c r="W334" i="18"/>
  <c r="D334" i="18"/>
  <c r="E334" i="18" s="1"/>
  <c r="F334" i="18" s="1"/>
  <c r="B334" i="20"/>
  <c r="D39" i="20"/>
  <c r="E39" i="20" s="1"/>
  <c r="F39" i="20" s="1"/>
  <c r="B39" i="22"/>
  <c r="W39" i="20"/>
  <c r="W53" i="18"/>
  <c r="D53" i="18"/>
  <c r="E53" i="18" s="1"/>
  <c r="F53" i="18" s="1"/>
  <c r="B53" i="20"/>
  <c r="W107" i="20"/>
  <c r="B107" i="22"/>
  <c r="D107" i="20"/>
  <c r="E107" i="20" s="1"/>
  <c r="F107" i="20" s="1"/>
  <c r="W139" i="18"/>
  <c r="D139" i="18"/>
  <c r="E139" i="18" s="1"/>
  <c r="F139" i="18" s="1"/>
  <c r="B139" i="20"/>
  <c r="W151" i="20"/>
  <c r="B151" i="22"/>
  <c r="D151" i="20"/>
  <c r="E151" i="20" s="1"/>
  <c r="F151" i="20" s="1"/>
  <c r="W169" i="18"/>
  <c r="B169" i="20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B203" i="20"/>
  <c r="W245" i="18"/>
  <c r="D245" i="18"/>
  <c r="E245" i="18" s="1"/>
  <c r="F245" i="18" s="1"/>
  <c r="B245" i="20"/>
  <c r="W277" i="18"/>
  <c r="D277" i="18"/>
  <c r="E277" i="18" s="1"/>
  <c r="F277" i="18" s="1"/>
  <c r="B277" i="20"/>
  <c r="W325" i="18"/>
  <c r="D325" i="18"/>
  <c r="E325" i="18" s="1"/>
  <c r="F325" i="18" s="1"/>
  <c r="B325" i="20"/>
  <c r="G337" i="18"/>
  <c r="CA337" i="6" s="1"/>
  <c r="AA337" i="18"/>
  <c r="Z337" i="18" s="1"/>
  <c r="Y337" i="18" s="1"/>
  <c r="W375" i="20"/>
  <c r="B375" i="22"/>
  <c r="D375" i="20"/>
  <c r="E375" i="20" s="1"/>
  <c r="F375" i="20" s="1"/>
  <c r="W288" i="18"/>
  <c r="D288" i="18"/>
  <c r="E288" i="18" s="1"/>
  <c r="F288" i="18" s="1"/>
  <c r="B288" i="20"/>
  <c r="W27" i="18"/>
  <c r="D27" i="18"/>
  <c r="E27" i="18" s="1"/>
  <c r="F27" i="18" s="1"/>
  <c r="B27" i="20"/>
  <c r="W124" i="18"/>
  <c r="D124" i="18"/>
  <c r="E124" i="18" s="1"/>
  <c r="F124" i="18" s="1"/>
  <c r="B124" i="20"/>
  <c r="W138" i="20"/>
  <c r="D138" i="20"/>
  <c r="E138" i="20" s="1"/>
  <c r="F138" i="20" s="1"/>
  <c r="B138" i="22"/>
  <c r="W184" i="18"/>
  <c r="D184" i="18"/>
  <c r="E184" i="18" s="1"/>
  <c r="F184" i="18" s="1"/>
  <c r="B184" i="20"/>
  <c r="W202" i="20"/>
  <c r="D202" i="20"/>
  <c r="E202" i="20" s="1"/>
  <c r="F202" i="20" s="1"/>
  <c r="B202" i="22"/>
  <c r="W256" i="18"/>
  <c r="D256" i="18"/>
  <c r="E256" i="18" s="1"/>
  <c r="F256" i="18" s="1"/>
  <c r="B256" i="20"/>
  <c r="W292" i="18"/>
  <c r="B292" i="20"/>
  <c r="D292" i="18"/>
  <c r="E292" i="18" s="1"/>
  <c r="F292" i="18" s="1"/>
  <c r="W304" i="20"/>
  <c r="B304" i="22"/>
  <c r="D304" i="20"/>
  <c r="E304" i="20" s="1"/>
  <c r="F304" i="20" s="1"/>
  <c r="W330" i="18"/>
  <c r="D330" i="18"/>
  <c r="E330" i="18" s="1"/>
  <c r="F330" i="18" s="1"/>
  <c r="B330" i="20"/>
  <c r="W364" i="18"/>
  <c r="D364" i="18"/>
  <c r="E364" i="18" s="1"/>
  <c r="F364" i="18" s="1"/>
  <c r="B364" i="20"/>
  <c r="W370" i="20"/>
  <c r="D370" i="20"/>
  <c r="E370" i="20" s="1"/>
  <c r="F370" i="20" s="1"/>
  <c r="B370" i="22"/>
  <c r="W25" i="18"/>
  <c r="D25" i="18"/>
  <c r="E25" i="18" s="1"/>
  <c r="F25" i="18" s="1"/>
  <c r="B25" i="20"/>
  <c r="W41" i="20"/>
  <c r="D41" i="20"/>
  <c r="E41" i="20" s="1"/>
  <c r="F41" i="20" s="1"/>
  <c r="B41" i="22"/>
  <c r="W51" i="18"/>
  <c r="B51" i="20"/>
  <c r="D51" i="18"/>
  <c r="E51" i="18" s="1"/>
  <c r="F51" i="18" s="1"/>
  <c r="W91" i="20"/>
  <c r="D91" i="20"/>
  <c r="E91" i="20" s="1"/>
  <c r="F91" i="20" s="1"/>
  <c r="B91" i="22"/>
  <c r="W109" i="18"/>
  <c r="B109" i="20"/>
  <c r="D109" i="18"/>
  <c r="E109" i="18" s="1"/>
  <c r="F109" i="18" s="1"/>
  <c r="W117" i="20"/>
  <c r="D117" i="20"/>
  <c r="E117" i="20" s="1"/>
  <c r="F117" i="20" s="1"/>
  <c r="B117" i="22"/>
  <c r="W121" i="18"/>
  <c r="D121" i="18"/>
  <c r="E121" i="18" s="1"/>
  <c r="F121" i="18" s="1"/>
  <c r="B121" i="20"/>
  <c r="W165" i="18"/>
  <c r="D165" i="18"/>
  <c r="E165" i="18" s="1"/>
  <c r="F165" i="18" s="1"/>
  <c r="B165" i="20"/>
  <c r="W199" i="20"/>
  <c r="D199" i="20"/>
  <c r="E199" i="20" s="1"/>
  <c r="F199" i="20" s="1"/>
  <c r="B199" i="22"/>
  <c r="G217" i="18"/>
  <c r="CA217" i="6" s="1"/>
  <c r="AA217" i="18"/>
  <c r="Z217" i="18" s="1"/>
  <c r="Y217" i="18" s="1"/>
  <c r="W225" i="18"/>
  <c r="D225" i="18"/>
  <c r="E225" i="18" s="1"/>
  <c r="F225" i="18" s="1"/>
  <c r="B225" i="20"/>
  <c r="W279" i="18"/>
  <c r="B279" i="20"/>
  <c r="D279" i="18"/>
  <c r="E279" i="18" s="1"/>
  <c r="F279" i="18" s="1"/>
  <c r="W355" i="18"/>
  <c r="B355" i="20"/>
  <c r="D355" i="18"/>
  <c r="E355" i="18" s="1"/>
  <c r="F355" i="18" s="1"/>
  <c r="W36" i="18"/>
  <c r="D36" i="18"/>
  <c r="E36" i="18" s="1"/>
  <c r="F36" i="18" s="1"/>
  <c r="B36" i="20"/>
  <c r="W58" i="18"/>
  <c r="D58" i="18"/>
  <c r="E58" i="18" s="1"/>
  <c r="F58" i="18" s="1"/>
  <c r="B58" i="20"/>
  <c r="W82" i="20"/>
  <c r="B82" i="22"/>
  <c r="D82" i="20"/>
  <c r="E82" i="20" s="1"/>
  <c r="F82" i="20" s="1"/>
  <c r="D102" i="18"/>
  <c r="E102" i="18" s="1"/>
  <c r="F102" i="18" s="1"/>
  <c r="B102" i="20"/>
  <c r="W102" i="18"/>
  <c r="W158" i="20"/>
  <c r="D158" i="20"/>
  <c r="E158" i="20" s="1"/>
  <c r="F158" i="20" s="1"/>
  <c r="B158" i="22"/>
  <c r="B162" i="20"/>
  <c r="W162" i="18"/>
  <c r="D162" i="18"/>
  <c r="E162" i="18" s="1"/>
  <c r="F162" i="18" s="1"/>
  <c r="W186" i="18"/>
  <c r="D186" i="18"/>
  <c r="E186" i="18" s="1"/>
  <c r="F186" i="18" s="1"/>
  <c r="B186" i="20"/>
  <c r="W198" i="18"/>
  <c r="D198" i="18"/>
  <c r="E198" i="18" s="1"/>
  <c r="F198" i="18" s="1"/>
  <c r="B198" i="20"/>
  <c r="W214" i="18"/>
  <c r="D214" i="18"/>
  <c r="E214" i="18" s="1"/>
  <c r="F214" i="18" s="1"/>
  <c r="B214" i="20"/>
  <c r="W242" i="20"/>
  <c r="D242" i="20"/>
  <c r="E242" i="20" s="1"/>
  <c r="F242" i="20" s="1"/>
  <c r="B242" i="22"/>
  <c r="W264" i="18"/>
  <c r="D264" i="18"/>
  <c r="E264" i="18" s="1"/>
  <c r="F264" i="18" s="1"/>
  <c r="B264" i="20"/>
  <c r="W286" i="20"/>
  <c r="B286" i="22"/>
  <c r="D286" i="20"/>
  <c r="E286" i="20" s="1"/>
  <c r="F286" i="20" s="1"/>
  <c r="W290" i="18"/>
  <c r="B290" i="20"/>
  <c r="D290" i="18"/>
  <c r="E290" i="18" s="1"/>
  <c r="F290" i="18" s="1"/>
  <c r="B340" i="20"/>
  <c r="W340" i="18"/>
  <c r="D340" i="18"/>
  <c r="E340" i="18" s="1"/>
  <c r="F340" i="18" s="1"/>
  <c r="W362" i="18"/>
  <c r="B362" i="20"/>
  <c r="D362" i="18"/>
  <c r="E362" i="18" s="1"/>
  <c r="F362" i="18" s="1"/>
  <c r="W137" i="18"/>
  <c r="D137" i="18"/>
  <c r="E137" i="18" s="1"/>
  <c r="F137" i="18" s="1"/>
  <c r="B137" i="20"/>
  <c r="W222" i="20"/>
  <c r="D222" i="20"/>
  <c r="E222" i="20" s="1"/>
  <c r="F222" i="20" s="1"/>
  <c r="B222" i="22"/>
  <c r="D90" i="18"/>
  <c r="E90" i="18" s="1"/>
  <c r="F90" i="18" s="1"/>
  <c r="B90" i="20"/>
  <c r="W90" i="18"/>
  <c r="W204" i="20"/>
  <c r="D204" i="20"/>
  <c r="E204" i="20" s="1"/>
  <c r="F204" i="20" s="1"/>
  <c r="B204" i="22"/>
  <c r="W378" i="18"/>
  <c r="D378" i="18"/>
  <c r="E378" i="18" s="1"/>
  <c r="F378" i="18" s="1"/>
  <c r="B378" i="20"/>
  <c r="W252" i="20"/>
  <c r="D252" i="20"/>
  <c r="E252" i="20" s="1"/>
  <c r="F252" i="20" s="1"/>
  <c r="B252" i="22"/>
  <c r="W310" i="18"/>
  <c r="D310" i="18"/>
  <c r="E310" i="18" s="1"/>
  <c r="F310" i="18" s="1"/>
  <c r="B310" i="20"/>
  <c r="W305" i="20"/>
  <c r="D305" i="20"/>
  <c r="E305" i="20" s="1"/>
  <c r="F305" i="20" s="1"/>
  <c r="B305" i="22"/>
  <c r="W311" i="18"/>
  <c r="D311" i="18"/>
  <c r="E311" i="18" s="1"/>
  <c r="F311" i="18" s="1"/>
  <c r="B311" i="20"/>
  <c r="W374" i="18"/>
  <c r="D374" i="18"/>
  <c r="E374" i="18" s="1"/>
  <c r="F374" i="18" s="1"/>
  <c r="B374" i="20"/>
  <c r="W52" i="20"/>
  <c r="D52" i="20"/>
  <c r="E52" i="20" s="1"/>
  <c r="F52" i="20" s="1"/>
  <c r="B52" i="22"/>
  <c r="W157" i="18"/>
  <c r="D157" i="18"/>
  <c r="E157" i="18" s="1"/>
  <c r="F157" i="18" s="1"/>
  <c r="B157" i="20"/>
  <c r="W103" i="20"/>
  <c r="D103" i="20"/>
  <c r="E103" i="20" s="1"/>
  <c r="F103" i="20" s="1"/>
  <c r="B103" i="22"/>
  <c r="W125" i="18"/>
  <c r="D125" i="18"/>
  <c r="E125" i="18" s="1"/>
  <c r="F125" i="18" s="1"/>
  <c r="B125" i="20"/>
  <c r="W235" i="20"/>
  <c r="D235" i="20"/>
  <c r="E235" i="20" s="1"/>
  <c r="F235" i="20" s="1"/>
  <c r="B235" i="22"/>
  <c r="W309" i="18"/>
  <c r="B309" i="20"/>
  <c r="D309" i="18"/>
  <c r="E309" i="18" s="1"/>
  <c r="F309" i="18" s="1"/>
  <c r="W62" i="18"/>
  <c r="B62" i="20"/>
  <c r="D62" i="18"/>
  <c r="E62" i="18" s="1"/>
  <c r="F62" i="18" s="1"/>
  <c r="W295" i="18"/>
  <c r="D295" i="18"/>
  <c r="E295" i="18" s="1"/>
  <c r="F295" i="18" s="1"/>
  <c r="B295" i="20"/>
  <c r="W232" i="18"/>
  <c r="B232" i="20"/>
  <c r="D232" i="18"/>
  <c r="E232" i="18" s="1"/>
  <c r="F232" i="18" s="1"/>
  <c r="W119" i="18"/>
  <c r="D119" i="18"/>
  <c r="E119" i="18" s="1"/>
  <c r="F119" i="18" s="1"/>
  <c r="B119" i="20"/>
  <c r="W196" i="18"/>
  <c r="D196" i="18"/>
  <c r="E196" i="18" s="1"/>
  <c r="F196" i="18" s="1"/>
  <c r="B196" i="20"/>
  <c r="W105" i="20"/>
  <c r="B105" i="22"/>
  <c r="D105" i="20"/>
  <c r="E105" i="20" s="1"/>
  <c r="F105" i="20" s="1"/>
  <c r="W67" i="18"/>
  <c r="D67" i="18"/>
  <c r="E67" i="18" s="1"/>
  <c r="F67" i="18" s="1"/>
  <c r="B67" i="20"/>
  <c r="D166" i="20"/>
  <c r="E166" i="20" s="1"/>
  <c r="F166" i="20" s="1"/>
  <c r="B166" i="22"/>
  <c r="W166" i="20"/>
  <c r="W22" i="18"/>
  <c r="D22" i="18"/>
  <c r="E22" i="18" s="1"/>
  <c r="F22" i="18" s="1"/>
  <c r="B22" i="20"/>
  <c r="W248" i="18"/>
  <c r="D248" i="18"/>
  <c r="E248" i="18" s="1"/>
  <c r="F248" i="18" s="1"/>
  <c r="B248" i="20"/>
  <c r="W346" i="18"/>
  <c r="D346" i="18"/>
  <c r="E346" i="18" s="1"/>
  <c r="F346" i="18" s="1"/>
  <c r="B346" i="20"/>
  <c r="W272" i="18"/>
  <c r="D272" i="18"/>
  <c r="E272" i="18" s="1"/>
  <c r="F272" i="18" s="1"/>
  <c r="B272" i="20"/>
  <c r="W368" i="20"/>
  <c r="B368" i="22"/>
  <c r="D368" i="20"/>
  <c r="E368" i="20" s="1"/>
  <c r="F368" i="20" s="1"/>
  <c r="W154" i="20"/>
  <c r="B154" i="22"/>
  <c r="D154" i="20"/>
  <c r="E154" i="20" s="1"/>
  <c r="F154" i="20" s="1"/>
  <c r="D189" i="20"/>
  <c r="E189" i="20" s="1"/>
  <c r="F189" i="20" s="1"/>
  <c r="B189" i="22"/>
  <c r="W189" i="20"/>
  <c r="W241" i="20"/>
  <c r="D241" i="20"/>
  <c r="E241" i="20" s="1"/>
  <c r="F241" i="20" s="1"/>
  <c r="B241" i="22"/>
  <c r="W244" i="18"/>
  <c r="D244" i="18"/>
  <c r="E244" i="18" s="1"/>
  <c r="F244" i="18" s="1"/>
  <c r="B244" i="20"/>
  <c r="W88" i="18"/>
  <c r="D88" i="18"/>
  <c r="E88" i="18" s="1"/>
  <c r="F88" i="18" s="1"/>
  <c r="B88" i="20"/>
  <c r="W37" i="18"/>
  <c r="D37" i="18"/>
  <c r="E37" i="18" s="1"/>
  <c r="F37" i="18" s="1"/>
  <c r="B37" i="20"/>
  <c r="W63" i="20"/>
  <c r="B63" i="22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B185" i="20"/>
  <c r="W249" i="18"/>
  <c r="D249" i="18"/>
  <c r="E249" i="18" s="1"/>
  <c r="F249" i="18" s="1"/>
  <c r="B249" i="20"/>
  <c r="W317" i="18"/>
  <c r="B317" i="20"/>
  <c r="D317" i="18"/>
  <c r="E317" i="18" s="1"/>
  <c r="F317" i="18" s="1"/>
  <c r="W42" i="18"/>
  <c r="D42" i="18"/>
  <c r="E42" i="18" s="1"/>
  <c r="F42" i="18" s="1"/>
  <c r="B42" i="20"/>
  <c r="W110" i="18"/>
  <c r="B110" i="20"/>
  <c r="D110" i="18"/>
  <c r="E110" i="18" s="1"/>
  <c r="F110" i="18" s="1"/>
  <c r="W140" i="18"/>
  <c r="D140" i="18"/>
  <c r="E140" i="18" s="1"/>
  <c r="F140" i="18" s="1"/>
  <c r="B140" i="20"/>
  <c r="W220" i="18"/>
  <c r="D220" i="18"/>
  <c r="E220" i="18" s="1"/>
  <c r="F220" i="18" s="1"/>
  <c r="B220" i="20"/>
  <c r="D254" i="18"/>
  <c r="E254" i="18" s="1"/>
  <c r="F254" i="18" s="1"/>
  <c r="B254" i="20"/>
  <c r="W254" i="18"/>
  <c r="W260" i="20"/>
  <c r="D260" i="20"/>
  <c r="E260" i="20" s="1"/>
  <c r="F260" i="20" s="1"/>
  <c r="B260" i="22"/>
  <c r="W276" i="20"/>
  <c r="B276" i="22"/>
  <c r="D276" i="20"/>
  <c r="E276" i="20" s="1"/>
  <c r="F276" i="20" s="1"/>
  <c r="W320" i="20"/>
  <c r="D320" i="20"/>
  <c r="E320" i="20" s="1"/>
  <c r="F320" i="20" s="1"/>
  <c r="B320" i="22"/>
  <c r="B31" i="20"/>
  <c r="W31" i="18"/>
  <c r="D31" i="18"/>
  <c r="E31" i="18" s="1"/>
  <c r="F31" i="18" s="1"/>
  <c r="W49" i="18"/>
  <c r="D49" i="18"/>
  <c r="E49" i="18" s="1"/>
  <c r="F49" i="18" s="1"/>
  <c r="B49" i="20"/>
  <c r="D87" i="18"/>
  <c r="E87" i="18" s="1"/>
  <c r="F87" i="18" s="1"/>
  <c r="B87" i="20"/>
  <c r="W87" i="18"/>
  <c r="D93" i="20"/>
  <c r="E93" i="20" s="1"/>
  <c r="F93" i="20" s="1"/>
  <c r="B93" i="22"/>
  <c r="W93" i="20"/>
  <c r="W145" i="18"/>
  <c r="D145" i="18"/>
  <c r="E145" i="18" s="1"/>
  <c r="F145" i="18" s="1"/>
  <c r="B145" i="20"/>
  <c r="W147" i="20"/>
  <c r="D147" i="20"/>
  <c r="E147" i="20" s="1"/>
  <c r="F147" i="20" s="1"/>
  <c r="B147" i="22"/>
  <c r="W201" i="18"/>
  <c r="D201" i="18"/>
  <c r="E201" i="18" s="1"/>
  <c r="F201" i="18" s="1"/>
  <c r="B201" i="20"/>
  <c r="W209" i="20"/>
  <c r="D209" i="20"/>
  <c r="E209" i="20" s="1"/>
  <c r="F209" i="20" s="1"/>
  <c r="B209" i="22"/>
  <c r="W291" i="18"/>
  <c r="D291" i="18"/>
  <c r="E291" i="18" s="1"/>
  <c r="F291" i="18" s="1"/>
  <c r="B291" i="20"/>
  <c r="W293" i="20"/>
  <c r="D293" i="20"/>
  <c r="E293" i="20" s="1"/>
  <c r="F293" i="20" s="1"/>
  <c r="B293" i="22"/>
  <c r="W339" i="18"/>
  <c r="D339" i="18"/>
  <c r="E339" i="18" s="1"/>
  <c r="F339" i="18" s="1"/>
  <c r="B339" i="20"/>
  <c r="D341" i="20"/>
  <c r="E341" i="20" s="1"/>
  <c r="F341" i="20" s="1"/>
  <c r="W341" i="20"/>
  <c r="B341" i="22"/>
  <c r="W371" i="18"/>
  <c r="D371" i="18"/>
  <c r="E371" i="18" s="1"/>
  <c r="F371" i="18" s="1"/>
  <c r="B371" i="20"/>
  <c r="W34" i="18"/>
  <c r="D34" i="18"/>
  <c r="E34" i="18" s="1"/>
  <c r="F34" i="18" s="1"/>
  <c r="B34" i="20"/>
  <c r="W80" i="20"/>
  <c r="D80" i="20"/>
  <c r="E80" i="20" s="1"/>
  <c r="F80" i="20" s="1"/>
  <c r="B80" i="22"/>
  <c r="W96" i="18"/>
  <c r="D96" i="18"/>
  <c r="E96" i="18" s="1"/>
  <c r="F96" i="18" s="1"/>
  <c r="B96" i="20"/>
  <c r="W126" i="18"/>
  <c r="D126" i="18"/>
  <c r="E126" i="18" s="1"/>
  <c r="F126" i="18" s="1"/>
  <c r="B126" i="20"/>
  <c r="D142" i="20"/>
  <c r="E142" i="20" s="1"/>
  <c r="F142" i="20" s="1"/>
  <c r="W142" i="20"/>
  <c r="B142" i="22"/>
  <c r="W148" i="18"/>
  <c r="D148" i="18"/>
  <c r="E148" i="18" s="1"/>
  <c r="F148" i="18" s="1"/>
  <c r="B148" i="20"/>
  <c r="D250" i="18"/>
  <c r="E250" i="18" s="1"/>
  <c r="F250" i="18" s="1"/>
  <c r="W250" i="18"/>
  <c r="B250" i="20"/>
  <c r="W372" i="18"/>
  <c r="B372" i="20"/>
  <c r="D372" i="18"/>
  <c r="E372" i="18" s="1"/>
  <c r="F372" i="18" s="1"/>
  <c r="W65" i="18"/>
  <c r="D65" i="18"/>
  <c r="E65" i="18" s="1"/>
  <c r="F65" i="18" s="1"/>
  <c r="B65" i="20"/>
  <c r="W141" i="20"/>
  <c r="D141" i="20"/>
  <c r="E141" i="20" s="1"/>
  <c r="F141" i="20" s="1"/>
  <c r="B141" i="22"/>
  <c r="W143" i="18"/>
  <c r="D143" i="18"/>
  <c r="E143" i="18" s="1"/>
  <c r="F143" i="18" s="1"/>
  <c r="B143" i="20"/>
  <c r="W191" i="18"/>
  <c r="B191" i="20"/>
  <c r="D191" i="18"/>
  <c r="E191" i="18" s="1"/>
  <c r="F191" i="18" s="1"/>
  <c r="W223" i="18"/>
  <c r="D223" i="18"/>
  <c r="E223" i="18" s="1"/>
  <c r="F223" i="18" s="1"/>
  <c r="B223" i="20"/>
  <c r="D257" i="20"/>
  <c r="E257" i="20" s="1"/>
  <c r="F257" i="20" s="1"/>
  <c r="W257" i="20"/>
  <c r="B257" i="22"/>
  <c r="W267" i="18"/>
  <c r="B267" i="20"/>
  <c r="D267" i="18"/>
  <c r="E267" i="18" s="1"/>
  <c r="F267" i="18" s="1"/>
  <c r="W307" i="18"/>
  <c r="D307" i="18"/>
  <c r="E307" i="18" s="1"/>
  <c r="F307" i="18" s="1"/>
  <c r="B307" i="20"/>
  <c r="W357" i="18"/>
  <c r="D357" i="18"/>
  <c r="E357" i="18" s="1"/>
  <c r="F357" i="18" s="1"/>
  <c r="B357" i="20"/>
  <c r="W373" i="18"/>
  <c r="B373" i="20"/>
  <c r="D373" i="18"/>
  <c r="E373" i="18" s="1"/>
  <c r="F373" i="18" s="1"/>
  <c r="W20" i="18"/>
  <c r="B20" i="20"/>
  <c r="D20" i="18"/>
  <c r="E20" i="18" s="1"/>
  <c r="F20" i="18" s="1"/>
  <c r="W48" i="18"/>
  <c r="D48" i="18"/>
  <c r="E48" i="18" s="1"/>
  <c r="F48" i="18" s="1"/>
  <c r="B48" i="20"/>
  <c r="W122" i="20"/>
  <c r="B122" i="22"/>
  <c r="D122" i="20"/>
  <c r="E122" i="20" s="1"/>
  <c r="F122" i="20" s="1"/>
  <c r="W160" i="18"/>
  <c r="D160" i="18"/>
  <c r="E160" i="18" s="1"/>
  <c r="F160" i="18" s="1"/>
  <c r="B160" i="20"/>
  <c r="D172" i="20"/>
  <c r="E172" i="20" s="1"/>
  <c r="F172" i="20" s="1"/>
  <c r="W172" i="20"/>
  <c r="B172" i="22"/>
  <c r="W234" i="18"/>
  <c r="B234" i="20"/>
  <c r="D234" i="18"/>
  <c r="E234" i="18" s="1"/>
  <c r="F234" i="18" s="1"/>
  <c r="W266" i="18"/>
  <c r="D266" i="18"/>
  <c r="E266" i="18" s="1"/>
  <c r="F266" i="18" s="1"/>
  <c r="B266" i="20"/>
  <c r="W280" i="20"/>
  <c r="D280" i="20"/>
  <c r="E280" i="20" s="1"/>
  <c r="F280" i="20" s="1"/>
  <c r="B280" i="22"/>
  <c r="W322" i="18"/>
  <c r="D322" i="18"/>
  <c r="E322" i="18" s="1"/>
  <c r="F322" i="18" s="1"/>
  <c r="B322" i="20"/>
  <c r="D350" i="18"/>
  <c r="E350" i="18" s="1"/>
  <c r="F350" i="18" s="1"/>
  <c r="W350" i="18"/>
  <c r="B350" i="20"/>
  <c r="W360" i="20"/>
  <c r="B360" i="22"/>
  <c r="D360" i="20"/>
  <c r="E360" i="20" s="1"/>
  <c r="F360" i="20" s="1"/>
  <c r="W57" i="20"/>
  <c r="B57" i="22"/>
  <c r="D57" i="20"/>
  <c r="E57" i="20" s="1"/>
  <c r="F57" i="20" s="1"/>
  <c r="W85" i="18"/>
  <c r="B85" i="20"/>
  <c r="D85" i="18"/>
  <c r="E85" i="18" s="1"/>
  <c r="F85" i="18" s="1"/>
  <c r="W113" i="20"/>
  <c r="D113" i="20"/>
  <c r="E113" i="20" s="1"/>
  <c r="F113" i="20" s="1"/>
  <c r="B113" i="22"/>
  <c r="W115" i="18"/>
  <c r="D115" i="18"/>
  <c r="E115" i="18" s="1"/>
  <c r="F115" i="18" s="1"/>
  <c r="B115" i="20"/>
  <c r="W133" i="18"/>
  <c r="D133" i="18"/>
  <c r="E133" i="18" s="1"/>
  <c r="F133" i="18" s="1"/>
  <c r="B133" i="20"/>
  <c r="W213" i="18"/>
  <c r="B213" i="20"/>
  <c r="D213" i="18"/>
  <c r="E213" i="18" s="1"/>
  <c r="F213" i="18" s="1"/>
  <c r="W239" i="18"/>
  <c r="D239" i="18"/>
  <c r="E239" i="18" s="1"/>
  <c r="F239" i="18" s="1"/>
  <c r="B239" i="20"/>
  <c r="W315" i="18"/>
  <c r="D315" i="18"/>
  <c r="E315" i="18" s="1"/>
  <c r="F315" i="18" s="1"/>
  <c r="B315" i="20"/>
  <c r="W343" i="20"/>
  <c r="D343" i="20"/>
  <c r="E343" i="20" s="1"/>
  <c r="F343" i="20" s="1"/>
  <c r="B343" i="22"/>
  <c r="W345" i="18"/>
  <c r="D345" i="18"/>
  <c r="E345" i="18" s="1"/>
  <c r="F345" i="18" s="1"/>
  <c r="B345" i="20"/>
  <c r="W24" i="18"/>
  <c r="D24" i="18"/>
  <c r="E24" i="18" s="1"/>
  <c r="F24" i="18" s="1"/>
  <c r="B24" i="20"/>
  <c r="W40" i="20"/>
  <c r="D40" i="20"/>
  <c r="E40" i="20" s="1"/>
  <c r="F40" i="20" s="1"/>
  <c r="B40" i="22"/>
  <c r="W44" i="18"/>
  <c r="D44" i="18"/>
  <c r="E44" i="18" s="1"/>
  <c r="F44" i="18" s="1"/>
  <c r="B44" i="20"/>
  <c r="W72" i="18"/>
  <c r="B72" i="20"/>
  <c r="D72" i="18"/>
  <c r="E72" i="18" s="1"/>
  <c r="F72" i="18" s="1"/>
  <c r="W134" i="20"/>
  <c r="B134" i="22"/>
  <c r="D134" i="20"/>
  <c r="E134" i="20" s="1"/>
  <c r="F134" i="20" s="1"/>
  <c r="W156" i="18"/>
  <c r="D156" i="18"/>
  <c r="E156" i="18" s="1"/>
  <c r="F156" i="18" s="1"/>
  <c r="B156" i="20"/>
  <c r="D190" i="20"/>
  <c r="E190" i="20" s="1"/>
  <c r="F190" i="20" s="1"/>
  <c r="B190" i="22"/>
  <c r="W190" i="20"/>
  <c r="W200" i="20"/>
  <c r="D200" i="20"/>
  <c r="E200" i="20" s="1"/>
  <c r="F200" i="20" s="1"/>
  <c r="B200" i="22"/>
  <c r="W206" i="18"/>
  <c r="D206" i="18"/>
  <c r="E206" i="18" s="1"/>
  <c r="F206" i="18" s="1"/>
  <c r="B206" i="20"/>
  <c r="W240" i="18"/>
  <c r="B240" i="20"/>
  <c r="D240" i="18"/>
  <c r="E240" i="18" s="1"/>
  <c r="F240" i="18" s="1"/>
  <c r="W314" i="18"/>
  <c r="B314" i="20"/>
  <c r="D314" i="18"/>
  <c r="E314" i="18" s="1"/>
  <c r="F314" i="18" s="1"/>
  <c r="W342" i="20"/>
  <c r="D342" i="20"/>
  <c r="E342" i="20" s="1"/>
  <c r="F342" i="20" s="1"/>
  <c r="B342" i="22"/>
  <c r="W356" i="18"/>
  <c r="D356" i="18"/>
  <c r="E356" i="18" s="1"/>
  <c r="F356" i="18" s="1"/>
  <c r="B356" i="20"/>
  <c r="W78" i="18"/>
  <c r="D78" i="18"/>
  <c r="E78" i="18" s="1"/>
  <c r="F78" i="18" s="1"/>
  <c r="B78" i="20"/>
  <c r="W289" i="18"/>
  <c r="D289" i="18"/>
  <c r="E289" i="18" s="1"/>
  <c r="F289" i="18" s="1"/>
  <c r="B289" i="20"/>
  <c r="W207" i="20"/>
  <c r="B207" i="22"/>
  <c r="D207" i="20"/>
  <c r="E207" i="20" s="1"/>
  <c r="F207" i="20" s="1"/>
  <c r="W182" i="18"/>
  <c r="D182" i="18"/>
  <c r="E182" i="18" s="1"/>
  <c r="F182" i="18" s="1"/>
  <c r="B182" i="20"/>
  <c r="W236" i="18"/>
  <c r="B236" i="20"/>
  <c r="D236" i="18"/>
  <c r="E236" i="18" s="1"/>
  <c r="F236" i="18" s="1"/>
  <c r="W98" i="18"/>
  <c r="D98" i="18"/>
  <c r="E98" i="18" s="1"/>
  <c r="F98" i="18" s="1"/>
  <c r="B98" i="20"/>
  <c r="W163" i="18"/>
  <c r="D163" i="18"/>
  <c r="E163" i="18" s="1"/>
  <c r="F163" i="18" s="1"/>
  <c r="B163" i="20"/>
  <c r="W229" i="20"/>
  <c r="D229" i="20"/>
  <c r="E229" i="20" s="1"/>
  <c r="F229" i="20" s="1"/>
  <c r="B229" i="22"/>
  <c r="W321" i="18"/>
  <c r="D321" i="18"/>
  <c r="E321" i="18" s="1"/>
  <c r="F321" i="18" s="1"/>
  <c r="B321" i="20"/>
  <c r="W32" i="20"/>
  <c r="D32" i="20"/>
  <c r="E32" i="20" s="1"/>
  <c r="F32" i="20" s="1"/>
  <c r="B32" i="22"/>
  <c r="W332" i="18"/>
  <c r="D332" i="18"/>
  <c r="E332" i="18" s="1"/>
  <c r="F332" i="18" s="1"/>
  <c r="B332" i="20"/>
  <c r="W73" i="18"/>
  <c r="B73" i="20"/>
  <c r="D73" i="18"/>
  <c r="E73" i="18" s="1"/>
  <c r="F73" i="18" s="1"/>
  <c r="B100" i="22"/>
  <c r="D100" i="20"/>
  <c r="E100" i="20" s="1"/>
  <c r="F100" i="20" s="1"/>
  <c r="W100" i="20"/>
  <c r="W81" i="18"/>
  <c r="D81" i="18"/>
  <c r="E81" i="18" s="1"/>
  <c r="F81" i="18" s="1"/>
  <c r="B81" i="20"/>
  <c r="G153" i="18"/>
  <c r="CA153" i="6" s="1"/>
  <c r="AA153" i="18"/>
  <c r="Z153" i="18" s="1"/>
  <c r="Y153" i="18" s="1"/>
  <c r="W76" i="18"/>
  <c r="D76" i="18"/>
  <c r="E76" i="18" s="1"/>
  <c r="F76" i="18" s="1"/>
  <c r="B76" i="20"/>
  <c r="W174" i="20"/>
  <c r="D174" i="20"/>
  <c r="E174" i="20" s="1"/>
  <c r="F174" i="20" s="1"/>
  <c r="B174" i="22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G105" i="17"/>
  <c r="BZ105" i="6" s="1"/>
  <c r="H105" i="17"/>
  <c r="AA105" i="17"/>
  <c r="Z105" i="17" s="1"/>
  <c r="Y10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C76" i="6" s="1"/>
  <c r="I76" i="17"/>
  <c r="B76" i="6" s="1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B195" i="6" s="1"/>
  <c r="J195" i="17"/>
  <c r="C195" i="6" s="1"/>
  <c r="J253" i="17"/>
  <c r="C253" i="6" s="1"/>
  <c r="I253" i="17"/>
  <c r="B253" i="6" s="1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B264" i="6" s="1"/>
  <c r="J264" i="17"/>
  <c r="C264" i="6" s="1"/>
  <c r="H98" i="17"/>
  <c r="H335" i="17"/>
  <c r="J217" i="17"/>
  <c r="C217" i="6" s="1"/>
  <c r="I217" i="17"/>
  <c r="I204" i="17"/>
  <c r="B204" i="6" s="1"/>
  <c r="J204" i="17"/>
  <c r="C204" i="6" s="1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C43" i="6" s="1"/>
  <c r="I43" i="17"/>
  <c r="B43" i="6" s="1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B251" i="6" s="1"/>
  <c r="J251" i="17"/>
  <c r="C251" i="6" s="1"/>
  <c r="G67" i="17"/>
  <c r="BZ67" i="6" s="1"/>
  <c r="J234" i="17"/>
  <c r="C234" i="6" s="1"/>
  <c r="I234" i="17"/>
  <c r="B234" i="6" s="1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B93" i="6" s="1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B316" i="6" s="1"/>
  <c r="J316" i="17"/>
  <c r="C316" i="6" s="1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B240" i="6" s="1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H217" i="18" l="1"/>
  <c r="J217" i="18" s="1"/>
  <c r="B217" i="6"/>
  <c r="H205" i="18"/>
  <c r="I205" i="18" s="1"/>
  <c r="B205" i="6"/>
  <c r="B70" i="19"/>
  <c r="V381" i="25"/>
  <c r="V382" i="25"/>
  <c r="V383" i="25"/>
  <c r="AA19" i="18"/>
  <c r="Z19" i="18" s="1"/>
  <c r="Y19" i="18" s="1"/>
  <c r="G265" i="18"/>
  <c r="CA265" i="6" s="1"/>
  <c r="W59" i="20"/>
  <c r="B108" i="22"/>
  <c r="D108" i="22" s="1"/>
  <c r="E108" i="22" s="1"/>
  <c r="F108" i="22" s="1"/>
  <c r="W363" i="20"/>
  <c r="B152" i="22"/>
  <c r="W152" i="22" s="1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B70" i="22"/>
  <c r="D70" i="22" s="1"/>
  <c r="E70" i="22" s="1"/>
  <c r="F70" i="22" s="1"/>
  <c r="W237" i="20"/>
  <c r="D262" i="20"/>
  <c r="E262" i="20" s="1"/>
  <c r="F262" i="20" s="1"/>
  <c r="G262" i="20" s="1"/>
  <c r="CB262" i="6" s="1"/>
  <c r="B28" i="22"/>
  <c r="W28" i="22" s="1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B363" i="22"/>
  <c r="W363" i="22" s="1"/>
  <c r="D152" i="20"/>
  <c r="E152" i="20" s="1"/>
  <c r="F152" i="20" s="1"/>
  <c r="G152" i="20" s="1"/>
  <c r="CB152" i="6" s="1"/>
  <c r="B212" i="22"/>
  <c r="W212" i="22" s="1"/>
  <c r="B351" i="22"/>
  <c r="W351" i="22" s="1"/>
  <c r="B237" i="22"/>
  <c r="D237" i="22" s="1"/>
  <c r="E237" i="22" s="1"/>
  <c r="F237" i="22" s="1"/>
  <c r="W28" i="20"/>
  <c r="B359" i="22"/>
  <c r="W359" i="22" s="1"/>
  <c r="D258" i="20"/>
  <c r="E258" i="20" s="1"/>
  <c r="F258" i="20" s="1"/>
  <c r="AA258" i="20" s="1"/>
  <c r="Z258" i="20" s="1"/>
  <c r="Y258" i="20" s="1"/>
  <c r="H251" i="18"/>
  <c r="I251" i="18" s="1"/>
  <c r="BA251" i="6" s="1"/>
  <c r="D251" i="6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B331" i="22"/>
  <c r="W331" i="22" s="1"/>
  <c r="B306" i="22"/>
  <c r="D306" i="22" s="1"/>
  <c r="E306" i="22" s="1"/>
  <c r="F306" i="22" s="1"/>
  <c r="B205" i="22"/>
  <c r="D205" i="22" s="1"/>
  <c r="E205" i="22" s="1"/>
  <c r="F205" i="22" s="1"/>
  <c r="D224" i="20"/>
  <c r="E224" i="20" s="1"/>
  <c r="F224" i="20" s="1"/>
  <c r="G224" i="20" s="1"/>
  <c r="CB224" i="6" s="1"/>
  <c r="W68" i="20"/>
  <c r="B329" i="22"/>
  <c r="D329" i="22" s="1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B337" i="22"/>
  <c r="W337" i="22" s="1"/>
  <c r="B211" i="22"/>
  <c r="D211" i="22" s="1"/>
  <c r="E211" i="22" s="1"/>
  <c r="F211" i="22" s="1"/>
  <c r="B59" i="22"/>
  <c r="D59" i="22" s="1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B259" i="22"/>
  <c r="W259" i="22" s="1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B358" i="22"/>
  <c r="D358" i="22" s="1"/>
  <c r="E358" i="22" s="1"/>
  <c r="F358" i="22" s="1"/>
  <c r="W359" i="20"/>
  <c r="D300" i="20"/>
  <c r="E300" i="20" s="1"/>
  <c r="F300" i="20" s="1"/>
  <c r="G300" i="20" s="1"/>
  <c r="CB300" i="6" s="1"/>
  <c r="W120" i="20"/>
  <c r="B79" i="22"/>
  <c r="W79" i="22" s="1"/>
  <c r="W270" i="20"/>
  <c r="W92" i="20"/>
  <c r="B50" i="22"/>
  <c r="D50" i="22" s="1"/>
  <c r="E50" i="22" s="1"/>
  <c r="F50" i="22" s="1"/>
  <c r="B197" i="22"/>
  <c r="W197" i="22" s="1"/>
  <c r="B335" i="22"/>
  <c r="W335" i="22" s="1"/>
  <c r="W54" i="20"/>
  <c r="B30" i="22"/>
  <c r="W30" i="22" s="1"/>
  <c r="W101" i="20"/>
  <c r="B19" i="22"/>
  <c r="D19" i="22" s="1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B193" i="22"/>
  <c r="D193" i="22" s="1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B269" i="22"/>
  <c r="D269" i="22" s="1"/>
  <c r="E269" i="22" s="1"/>
  <c r="F269" i="22" s="1"/>
  <c r="B231" i="22"/>
  <c r="D231" i="22" s="1"/>
  <c r="E231" i="22" s="1"/>
  <c r="F231" i="22" s="1"/>
  <c r="B300" i="22"/>
  <c r="D300" i="22" s="1"/>
  <c r="E300" i="22" s="1"/>
  <c r="F300" i="22" s="1"/>
  <c r="D120" i="20"/>
  <c r="E120" i="20" s="1"/>
  <c r="F120" i="20" s="1"/>
  <c r="G120" i="20" s="1"/>
  <c r="CB120" i="6" s="1"/>
  <c r="B327" i="22"/>
  <c r="W327" i="22" s="1"/>
  <c r="W79" i="20"/>
  <c r="B270" i="22"/>
  <c r="D270" i="22" s="1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B316" i="22"/>
  <c r="W316" i="22" s="1"/>
  <c r="B155" i="22"/>
  <c r="D155" i="22" s="1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B18" i="22"/>
  <c r="W18" i="22" s="1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B192" i="22"/>
  <c r="D192" i="22" s="1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B116" i="22"/>
  <c r="D116" i="22" s="1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B153" i="22"/>
  <c r="W153" i="22" s="1"/>
  <c r="W251" i="20"/>
  <c r="D338" i="20"/>
  <c r="E338" i="20" s="1"/>
  <c r="F338" i="20" s="1"/>
  <c r="G338" i="20" s="1"/>
  <c r="CB338" i="6" s="1"/>
  <c r="B54" i="22"/>
  <c r="D54" i="22" s="1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B228" i="22"/>
  <c r="W228" i="22" s="1"/>
  <c r="B94" i="22"/>
  <c r="D94" i="22" s="1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B183" i="22"/>
  <c r="W183" i="22" s="1"/>
  <c r="W116" i="20"/>
  <c r="B95" i="22"/>
  <c r="W95" i="22" s="1"/>
  <c r="B180" i="22"/>
  <c r="D180" i="22" s="1"/>
  <c r="E180" i="22" s="1"/>
  <c r="F180" i="22" s="1"/>
  <c r="J296" i="17"/>
  <c r="C296" i="6" s="1"/>
  <c r="I267" i="17"/>
  <c r="B43" i="22"/>
  <c r="W43" i="22" s="1"/>
  <c r="D227" i="20"/>
  <c r="E227" i="20" s="1"/>
  <c r="F227" i="20" s="1"/>
  <c r="AA227" i="20" s="1"/>
  <c r="Z227" i="20" s="1"/>
  <c r="Y227" i="20" s="1"/>
  <c r="J205" i="17"/>
  <c r="C205" i="6" s="1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B312" i="22"/>
  <c r="W312" i="22" s="1"/>
  <c r="B168" i="22"/>
  <c r="D168" i="22" s="1"/>
  <c r="E168" i="22" s="1"/>
  <c r="F168" i="22" s="1"/>
  <c r="B377" i="22"/>
  <c r="D377" i="22" s="1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B164" i="22"/>
  <c r="W164" i="22" s="1"/>
  <c r="AA353" i="18"/>
  <c r="Z353" i="18" s="1"/>
  <c r="Y353" i="18" s="1"/>
  <c r="B338" i="22"/>
  <c r="W338" i="22" s="1"/>
  <c r="B297" i="22"/>
  <c r="W297" i="22" s="1"/>
  <c r="B344" i="22"/>
  <c r="D344" i="22" s="1"/>
  <c r="E344" i="22" s="1"/>
  <c r="F344" i="22" s="1"/>
  <c r="D193" i="20"/>
  <c r="E193" i="20" s="1"/>
  <c r="F193" i="20" s="1"/>
  <c r="AA193" i="20" s="1"/>
  <c r="Z193" i="20" s="1"/>
  <c r="Y193" i="20" s="1"/>
  <c r="B326" i="22"/>
  <c r="W326" i="22" s="1"/>
  <c r="W192" i="20"/>
  <c r="W94" i="20"/>
  <c r="B170" i="22"/>
  <c r="D170" i="22" s="1"/>
  <c r="E170" i="22" s="1"/>
  <c r="F170" i="22" s="1"/>
  <c r="B323" i="22"/>
  <c r="D323" i="22" s="1"/>
  <c r="E323" i="22" s="1"/>
  <c r="F323" i="22" s="1"/>
  <c r="D167" i="20"/>
  <c r="E167" i="20" s="1"/>
  <c r="F167" i="20" s="1"/>
  <c r="G167" i="20" s="1"/>
  <c r="CB167" i="6" s="1"/>
  <c r="B367" i="22"/>
  <c r="W367" i="22" s="1"/>
  <c r="B136" i="22"/>
  <c r="W136" i="22" s="1"/>
  <c r="W95" i="20"/>
  <c r="W180" i="20"/>
  <c r="W366" i="20"/>
  <c r="B380" i="20"/>
  <c r="B366" i="22"/>
  <c r="W366" i="22" s="1"/>
  <c r="B224" i="22"/>
  <c r="W224" i="22" s="1"/>
  <c r="B129" i="22"/>
  <c r="D129" i="22" s="1"/>
  <c r="E129" i="22" s="1"/>
  <c r="F129" i="22" s="1"/>
  <c r="B294" i="22"/>
  <c r="D294" i="22" s="1"/>
  <c r="E294" i="22" s="1"/>
  <c r="F294" i="22" s="1"/>
  <c r="B97" i="22"/>
  <c r="W97" i="22" s="1"/>
  <c r="B208" i="22"/>
  <c r="D208" i="22" s="1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B258" i="22"/>
  <c r="D258" i="22" s="1"/>
  <c r="E258" i="22" s="1"/>
  <c r="F258" i="22" s="1"/>
  <c r="B92" i="22"/>
  <c r="D92" i="22" s="1"/>
  <c r="E92" i="22" s="1"/>
  <c r="F92" i="22" s="1"/>
  <c r="D19" i="20"/>
  <c r="E19" i="20" s="1"/>
  <c r="F19" i="20" s="1"/>
  <c r="AA19" i="20" s="1"/>
  <c r="Z19" i="20" s="1"/>
  <c r="Y19" i="20" s="1"/>
  <c r="B284" i="22"/>
  <c r="W284" i="22" s="1"/>
  <c r="D316" i="20"/>
  <c r="E316" i="20" s="1"/>
  <c r="F316" i="20" s="1"/>
  <c r="G316" i="20" s="1"/>
  <c r="CB316" i="6" s="1"/>
  <c r="B227" i="22"/>
  <c r="W227" i="22" s="1"/>
  <c r="G224" i="18"/>
  <c r="CA224" i="6" s="1"/>
  <c r="B38" i="22"/>
  <c r="W38" i="22" s="1"/>
  <c r="B353" i="22"/>
  <c r="D353" i="22" s="1"/>
  <c r="E353" i="22" s="1"/>
  <c r="F353" i="22" s="1"/>
  <c r="D299" i="20"/>
  <c r="E299" i="20" s="1"/>
  <c r="F299" i="20" s="1"/>
  <c r="G299" i="20" s="1"/>
  <c r="CB299" i="6" s="1"/>
  <c r="B64" i="22"/>
  <c r="D64" i="22" s="1"/>
  <c r="E64" i="22" s="1"/>
  <c r="F64" i="22" s="1"/>
  <c r="B243" i="22"/>
  <c r="D243" i="22" s="1"/>
  <c r="E243" i="22" s="1"/>
  <c r="F243" i="22" s="1"/>
  <c r="B324" i="22"/>
  <c r="W324" i="22" s="1"/>
  <c r="W18" i="20"/>
  <c r="B301" i="22"/>
  <c r="D301" i="22" s="1"/>
  <c r="E301" i="22" s="1"/>
  <c r="F301" i="22" s="1"/>
  <c r="B179" i="22"/>
  <c r="D179" i="22" s="1"/>
  <c r="E179" i="22" s="1"/>
  <c r="F179" i="22" s="1"/>
  <c r="B348" i="22"/>
  <c r="D348" i="22" s="1"/>
  <c r="E348" i="22" s="1"/>
  <c r="F348" i="22" s="1"/>
  <c r="B216" i="22"/>
  <c r="D216" i="22" s="1"/>
  <c r="E216" i="22" s="1"/>
  <c r="F216" i="22" s="1"/>
  <c r="B131" i="22"/>
  <c r="D131" i="22" s="1"/>
  <c r="E131" i="22" s="1"/>
  <c r="F131" i="22" s="1"/>
  <c r="B255" i="22"/>
  <c r="D255" i="22" s="1"/>
  <c r="E255" i="22" s="1"/>
  <c r="F255" i="22" s="1"/>
  <c r="B167" i="22"/>
  <c r="D167" i="22" s="1"/>
  <c r="E167" i="22" s="1"/>
  <c r="F167" i="22" s="1"/>
  <c r="B55" i="22"/>
  <c r="D55" i="22" s="1"/>
  <c r="E55" i="22" s="1"/>
  <c r="F55" i="22" s="1"/>
  <c r="B265" i="22"/>
  <c r="W265" i="22" s="1"/>
  <c r="B35" i="22"/>
  <c r="D35" i="22" s="1"/>
  <c r="E35" i="22" s="1"/>
  <c r="F35" i="22" s="1"/>
  <c r="B23" i="22"/>
  <c r="D23" i="22" s="1"/>
  <c r="E23" i="22" s="1"/>
  <c r="F23" i="22" s="1"/>
  <c r="J251" i="18"/>
  <c r="J243" i="17"/>
  <c r="C243" i="6" s="1"/>
  <c r="I243" i="17"/>
  <c r="J97" i="17"/>
  <c r="C97" i="6" s="1"/>
  <c r="I97" i="17"/>
  <c r="B97" i="6" s="1"/>
  <c r="J173" i="17"/>
  <c r="C173" i="6" s="1"/>
  <c r="I173" i="17"/>
  <c r="J64" i="17"/>
  <c r="C64" i="6" s="1"/>
  <c r="I64" i="17"/>
  <c r="J261" i="17"/>
  <c r="C261" i="6" s="1"/>
  <c r="I261" i="17"/>
  <c r="J140" i="17"/>
  <c r="C140" i="6" s="1"/>
  <c r="I140" i="17"/>
  <c r="I110" i="17"/>
  <c r="J110" i="17"/>
  <c r="C110" i="6" s="1"/>
  <c r="I206" i="17"/>
  <c r="J206" i="17"/>
  <c r="C206" i="6" s="1"/>
  <c r="J236" i="17"/>
  <c r="C236" i="6" s="1"/>
  <c r="I236" i="17"/>
  <c r="I139" i="17"/>
  <c r="J139" i="17"/>
  <c r="C139" i="6" s="1"/>
  <c r="J181" i="17"/>
  <c r="C181" i="6" s="1"/>
  <c r="I181" i="17"/>
  <c r="J266" i="17"/>
  <c r="C266" i="6" s="1"/>
  <c r="I266" i="17"/>
  <c r="I200" i="17"/>
  <c r="J200" i="17"/>
  <c r="C200" i="6" s="1"/>
  <c r="I257" i="17"/>
  <c r="J257" i="17"/>
  <c r="C257" i="6" s="1"/>
  <c r="I119" i="17"/>
  <c r="J119" i="17"/>
  <c r="C119" i="6" s="1"/>
  <c r="J237" i="17"/>
  <c r="C237" i="6" s="1"/>
  <c r="I237" i="17"/>
  <c r="I286" i="17"/>
  <c r="J286" i="17"/>
  <c r="C286" i="6" s="1"/>
  <c r="J254" i="17"/>
  <c r="C254" i="6" s="1"/>
  <c r="I254" i="17"/>
  <c r="J238" i="17"/>
  <c r="C238" i="6" s="1"/>
  <c r="I238" i="17"/>
  <c r="B238" i="6" s="1"/>
  <c r="J151" i="17"/>
  <c r="C151" i="6" s="1"/>
  <c r="I151" i="17"/>
  <c r="J99" i="17"/>
  <c r="C99" i="6" s="1"/>
  <c r="I99" i="17"/>
  <c r="J112" i="17"/>
  <c r="C112" i="6" s="1"/>
  <c r="I112" i="17"/>
  <c r="J343" i="17"/>
  <c r="C343" i="6" s="1"/>
  <c r="I343" i="17"/>
  <c r="J291" i="17"/>
  <c r="C291" i="6" s="1"/>
  <c r="I291" i="17"/>
  <c r="I126" i="17"/>
  <c r="J126" i="17"/>
  <c r="C126" i="6" s="1"/>
  <c r="I111" i="17"/>
  <c r="J111" i="17"/>
  <c r="C111" i="6" s="1"/>
  <c r="I48" i="17"/>
  <c r="J48" i="17"/>
  <c r="C48" i="6" s="1"/>
  <c r="I228" i="17"/>
  <c r="J228" i="17"/>
  <c r="C228" i="6" s="1"/>
  <c r="J317" i="17"/>
  <c r="C317" i="6" s="1"/>
  <c r="I317" i="17"/>
  <c r="J370" i="17"/>
  <c r="C370" i="6" s="1"/>
  <c r="I370" i="17"/>
  <c r="J162" i="17"/>
  <c r="C162" i="6" s="1"/>
  <c r="I162" i="17"/>
  <c r="I67" i="17"/>
  <c r="J67" i="17"/>
  <c r="C67" i="6" s="1"/>
  <c r="J61" i="17"/>
  <c r="C61" i="6" s="1"/>
  <c r="I61" i="17"/>
  <c r="I186" i="17"/>
  <c r="J186" i="17"/>
  <c r="C186" i="6" s="1"/>
  <c r="J330" i="17"/>
  <c r="C330" i="6" s="1"/>
  <c r="I330" i="17"/>
  <c r="J145" i="17"/>
  <c r="C145" i="6" s="1"/>
  <c r="I145" i="17"/>
  <c r="J101" i="17"/>
  <c r="C101" i="6" s="1"/>
  <c r="I101" i="17"/>
  <c r="J297" i="17"/>
  <c r="C297" i="6" s="1"/>
  <c r="I297" i="17"/>
  <c r="I276" i="17"/>
  <c r="J276" i="17"/>
  <c r="C276" i="6" s="1"/>
  <c r="J42" i="17"/>
  <c r="C42" i="6" s="1"/>
  <c r="I42" i="17"/>
  <c r="J77" i="17"/>
  <c r="C77" i="6" s="1"/>
  <c r="I77" i="17"/>
  <c r="J27" i="17"/>
  <c r="C27" i="6" s="1"/>
  <c r="I27" i="17"/>
  <c r="I307" i="17"/>
  <c r="J307" i="17"/>
  <c r="C307" i="6" s="1"/>
  <c r="J91" i="17"/>
  <c r="C91" i="6" s="1"/>
  <c r="I91" i="17"/>
  <c r="J182" i="17"/>
  <c r="C182" i="6" s="1"/>
  <c r="I182" i="17"/>
  <c r="I360" i="17"/>
  <c r="J360" i="17"/>
  <c r="C360" i="6" s="1"/>
  <c r="I46" i="17"/>
  <c r="J46" i="17"/>
  <c r="C46" i="6" s="1"/>
  <c r="J300" i="17"/>
  <c r="C300" i="6" s="1"/>
  <c r="I300" i="17"/>
  <c r="I59" i="17"/>
  <c r="J59" i="17"/>
  <c r="C59" i="6" s="1"/>
  <c r="J275" i="17"/>
  <c r="C275" i="6" s="1"/>
  <c r="I275" i="17"/>
  <c r="I152" i="17"/>
  <c r="J152" i="17"/>
  <c r="C152" i="6" s="1"/>
  <c r="I178" i="17"/>
  <c r="J178" i="17"/>
  <c r="C178" i="6" s="1"/>
  <c r="J203" i="17"/>
  <c r="C203" i="6" s="1"/>
  <c r="I203" i="17"/>
  <c r="J210" i="17"/>
  <c r="C210" i="6" s="1"/>
  <c r="I210" i="17"/>
  <c r="J156" i="17"/>
  <c r="C156" i="6" s="1"/>
  <c r="I156" i="17"/>
  <c r="J164" i="17"/>
  <c r="C164" i="6" s="1"/>
  <c r="I164" i="17"/>
  <c r="J133" i="17"/>
  <c r="C133" i="6" s="1"/>
  <c r="I133" i="17"/>
  <c r="J373" i="17"/>
  <c r="C373" i="6" s="1"/>
  <c r="I373" i="17"/>
  <c r="I53" i="17"/>
  <c r="J53" i="17"/>
  <c r="C53" i="6" s="1"/>
  <c r="J135" i="17"/>
  <c r="C135" i="6" s="1"/>
  <c r="I135" i="17"/>
  <c r="J81" i="17"/>
  <c r="C81" i="6" s="1"/>
  <c r="I81" i="17"/>
  <c r="J176" i="17"/>
  <c r="C176" i="6" s="1"/>
  <c r="I176" i="17"/>
  <c r="I372" i="17"/>
  <c r="J372" i="17"/>
  <c r="C372" i="6" s="1"/>
  <c r="I56" i="17"/>
  <c r="J56" i="17"/>
  <c r="C56" i="6" s="1"/>
  <c r="J318" i="17"/>
  <c r="C318" i="6" s="1"/>
  <c r="I318" i="17"/>
  <c r="J364" i="17"/>
  <c r="C364" i="6" s="1"/>
  <c r="I364" i="17"/>
  <c r="I179" i="17"/>
  <c r="J179" i="17"/>
  <c r="C179" i="6" s="1"/>
  <c r="I29" i="17"/>
  <c r="J29" i="17"/>
  <c r="C29" i="6" s="1"/>
  <c r="J37" i="17"/>
  <c r="C37" i="6" s="1"/>
  <c r="I37" i="17"/>
  <c r="I246" i="17"/>
  <c r="J246" i="17"/>
  <c r="C246" i="6" s="1"/>
  <c r="I75" i="17"/>
  <c r="J75" i="17"/>
  <c r="C75" i="6" s="1"/>
  <c r="J308" i="17"/>
  <c r="C308" i="6" s="1"/>
  <c r="I308" i="17"/>
  <c r="I323" i="17"/>
  <c r="J323" i="17"/>
  <c r="C323" i="6" s="1"/>
  <c r="J169" i="17"/>
  <c r="C169" i="6" s="1"/>
  <c r="I169" i="17"/>
  <c r="I376" i="17"/>
  <c r="J376" i="17"/>
  <c r="C376" i="6" s="1"/>
  <c r="I295" i="17"/>
  <c r="J295" i="17"/>
  <c r="C295" i="6" s="1"/>
  <c r="J191" i="17"/>
  <c r="C191" i="6" s="1"/>
  <c r="I191" i="17"/>
  <c r="J158" i="17"/>
  <c r="C158" i="6" s="1"/>
  <c r="I158" i="17"/>
  <c r="J235" i="17"/>
  <c r="C235" i="6" s="1"/>
  <c r="I235" i="17"/>
  <c r="J198" i="17"/>
  <c r="C198" i="6" s="1"/>
  <c r="I198" i="17"/>
  <c r="I279" i="17"/>
  <c r="J279" i="17"/>
  <c r="C279" i="6" s="1"/>
  <c r="I187" i="17"/>
  <c r="J187" i="17"/>
  <c r="C187" i="6" s="1"/>
  <c r="I149" i="17"/>
  <c r="J149" i="17"/>
  <c r="C149" i="6" s="1"/>
  <c r="J327" i="17"/>
  <c r="C327" i="6" s="1"/>
  <c r="I327" i="17"/>
  <c r="J336" i="17"/>
  <c r="C336" i="6" s="1"/>
  <c r="I336" i="17"/>
  <c r="J147" i="17"/>
  <c r="C147" i="6" s="1"/>
  <c r="I147" i="17"/>
  <c r="J190" i="17"/>
  <c r="C190" i="6" s="1"/>
  <c r="I190" i="17"/>
  <c r="J344" i="17"/>
  <c r="C344" i="6" s="1"/>
  <c r="I344" i="17"/>
  <c r="I277" i="17"/>
  <c r="J277" i="17"/>
  <c r="C277" i="6" s="1"/>
  <c r="I313" i="17"/>
  <c r="J313" i="17"/>
  <c r="C313" i="6" s="1"/>
  <c r="J342" i="17"/>
  <c r="C342" i="6" s="1"/>
  <c r="I342" i="17"/>
  <c r="J23" i="17"/>
  <c r="C23" i="6" s="1"/>
  <c r="I23" i="17"/>
  <c r="I96" i="17"/>
  <c r="J96" i="17"/>
  <c r="C96" i="6" s="1"/>
  <c r="J141" i="17"/>
  <c r="C141" i="6" s="1"/>
  <c r="I141" i="17"/>
  <c r="J85" i="17"/>
  <c r="C85" i="6" s="1"/>
  <c r="I85" i="17"/>
  <c r="J24" i="17"/>
  <c r="C24" i="6" s="1"/>
  <c r="I24" i="17"/>
  <c r="J245" i="17"/>
  <c r="C245" i="6" s="1"/>
  <c r="I245" i="17"/>
  <c r="J155" i="17"/>
  <c r="C155" i="6" s="1"/>
  <c r="I155" i="17"/>
  <c r="J52" i="17"/>
  <c r="C52" i="6" s="1"/>
  <c r="I52" i="17"/>
  <c r="J320" i="17"/>
  <c r="C320" i="6" s="1"/>
  <c r="I320" i="17"/>
  <c r="J269" i="17"/>
  <c r="C269" i="6" s="1"/>
  <c r="I269" i="17"/>
  <c r="I248" i="17"/>
  <c r="J248" i="17"/>
  <c r="C248" i="6" s="1"/>
  <c r="I375" i="17"/>
  <c r="J375" i="17"/>
  <c r="C375" i="6" s="1"/>
  <c r="J331" i="17"/>
  <c r="C331" i="6" s="1"/>
  <c r="I331" i="17"/>
  <c r="J325" i="17"/>
  <c r="C325" i="6" s="1"/>
  <c r="I325" i="17"/>
  <c r="J374" i="17"/>
  <c r="C374" i="6" s="1"/>
  <c r="I374" i="17"/>
  <c r="I310" i="17"/>
  <c r="J310" i="17"/>
  <c r="C310" i="6" s="1"/>
  <c r="J144" i="17"/>
  <c r="C144" i="6" s="1"/>
  <c r="I144" i="17"/>
  <c r="J17" i="17"/>
  <c r="C17" i="6" s="1"/>
  <c r="I17" i="17"/>
  <c r="I315" i="17"/>
  <c r="J315" i="17"/>
  <c r="C315" i="6" s="1"/>
  <c r="J25" i="17"/>
  <c r="C25" i="6" s="1"/>
  <c r="I25" i="17"/>
  <c r="I28" i="17"/>
  <c r="J28" i="17"/>
  <c r="C28" i="6" s="1"/>
  <c r="I107" i="17"/>
  <c r="J107" i="17"/>
  <c r="C107" i="6" s="1"/>
  <c r="J66" i="17"/>
  <c r="C66" i="6" s="1"/>
  <c r="I66" i="17"/>
  <c r="J82" i="17"/>
  <c r="C82" i="6" s="1"/>
  <c r="I82" i="17"/>
  <c r="I157" i="17"/>
  <c r="J157" i="17"/>
  <c r="C157" i="6" s="1"/>
  <c r="J78" i="17"/>
  <c r="C78" i="6" s="1"/>
  <c r="I78" i="17"/>
  <c r="J274" i="17"/>
  <c r="C274" i="6" s="1"/>
  <c r="I274" i="17"/>
  <c r="I106" i="17"/>
  <c r="J106" i="17"/>
  <c r="C106" i="6" s="1"/>
  <c r="I180" i="17"/>
  <c r="J180" i="17"/>
  <c r="C180" i="6" s="1"/>
  <c r="I117" i="17"/>
  <c r="J117" i="17"/>
  <c r="C117" i="6" s="1"/>
  <c r="I230" i="17"/>
  <c r="J230" i="17"/>
  <c r="C230" i="6" s="1"/>
  <c r="G59" i="18"/>
  <c r="CA59" i="6" s="1"/>
  <c r="AA59" i="18"/>
  <c r="Z59" i="18" s="1"/>
  <c r="Y59" i="18" s="1"/>
  <c r="I104" i="17"/>
  <c r="J104" i="17"/>
  <c r="C104" i="6" s="1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C113" i="6" s="1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C337" i="6" s="1"/>
  <c r="I337" i="17"/>
  <c r="J98" i="17"/>
  <c r="C98" i="6" s="1"/>
  <c r="I98" i="17"/>
  <c r="I102" i="17"/>
  <c r="J102" i="17"/>
  <c r="C102" i="6" s="1"/>
  <c r="J32" i="17"/>
  <c r="C32" i="6" s="1"/>
  <c r="I32" i="17"/>
  <c r="J72" i="17"/>
  <c r="C72" i="6" s="1"/>
  <c r="I72" i="17"/>
  <c r="I329" i="17"/>
  <c r="J329" i="17"/>
  <c r="C329" i="6" s="1"/>
  <c r="I26" i="17"/>
  <c r="J26" i="17"/>
  <c r="C26" i="6" s="1"/>
  <c r="I130" i="17"/>
  <c r="J130" i="17"/>
  <c r="C130" i="6" s="1"/>
  <c r="I177" i="17"/>
  <c r="J177" i="17"/>
  <c r="C177" i="6" s="1"/>
  <c r="J233" i="17"/>
  <c r="C233" i="6" s="1"/>
  <c r="I233" i="17"/>
  <c r="J92" i="17"/>
  <c r="C92" i="6" s="1"/>
  <c r="I92" i="17"/>
  <c r="I256" i="17"/>
  <c r="J256" i="17"/>
  <c r="C256" i="6" s="1"/>
  <c r="J259" i="17"/>
  <c r="C259" i="6" s="1"/>
  <c r="I259" i="17"/>
  <c r="I50" i="17"/>
  <c r="J50" i="17"/>
  <c r="C50" i="6" s="1"/>
  <c r="J161" i="17"/>
  <c r="C161" i="6" s="1"/>
  <c r="I161" i="17"/>
  <c r="I192" i="17"/>
  <c r="J192" i="17"/>
  <c r="C192" i="6" s="1"/>
  <c r="J219" i="17"/>
  <c r="C219" i="6" s="1"/>
  <c r="I219" i="17"/>
  <c r="J38" i="17"/>
  <c r="C38" i="6" s="1"/>
  <c r="I38" i="17"/>
  <c r="I213" i="17"/>
  <c r="J213" i="17"/>
  <c r="C213" i="6" s="1"/>
  <c r="J136" i="17"/>
  <c r="C136" i="6" s="1"/>
  <c r="I136" i="17"/>
  <c r="J280" i="17"/>
  <c r="C280" i="6" s="1"/>
  <c r="I280" i="17"/>
  <c r="J214" i="17"/>
  <c r="C214" i="6" s="1"/>
  <c r="I214" i="17"/>
  <c r="J348" i="17"/>
  <c r="C348" i="6" s="1"/>
  <c r="I348" i="17"/>
  <c r="J84" i="17"/>
  <c r="C84" i="6" s="1"/>
  <c r="I84" i="17"/>
  <c r="I170" i="17"/>
  <c r="J170" i="17"/>
  <c r="C170" i="6" s="1"/>
  <c r="I103" i="17"/>
  <c r="J103" i="17"/>
  <c r="C103" i="6" s="1"/>
  <c r="J51" i="17"/>
  <c r="C51" i="6" s="1"/>
  <c r="I51" i="17"/>
  <c r="I346" i="17"/>
  <c r="J346" i="17"/>
  <c r="C346" i="6" s="1"/>
  <c r="J239" i="17"/>
  <c r="C239" i="6" s="1"/>
  <c r="I239" i="17"/>
  <c r="J332" i="17"/>
  <c r="C332" i="6" s="1"/>
  <c r="I332" i="17"/>
  <c r="I202" i="17"/>
  <c r="J202" i="17"/>
  <c r="C202" i="6" s="1"/>
  <c r="J260" i="17"/>
  <c r="C260" i="6" s="1"/>
  <c r="I260" i="17"/>
  <c r="I165" i="17"/>
  <c r="J165" i="17"/>
  <c r="C165" i="6" s="1"/>
  <c r="J73" i="17"/>
  <c r="C73" i="6" s="1"/>
  <c r="I73" i="17"/>
  <c r="I229" i="17"/>
  <c r="J229" i="17"/>
  <c r="C229" i="6" s="1"/>
  <c r="I250" i="17"/>
  <c r="J250" i="17"/>
  <c r="C250" i="6" s="1"/>
  <c r="I357" i="17"/>
  <c r="J357" i="17"/>
  <c r="C357" i="6" s="1"/>
  <c r="I47" i="17"/>
  <c r="J47" i="17"/>
  <c r="C47" i="6" s="1"/>
  <c r="J129" i="17"/>
  <c r="C129" i="6" s="1"/>
  <c r="I129" i="17"/>
  <c r="I293" i="17"/>
  <c r="J293" i="17"/>
  <c r="C293" i="6" s="1"/>
  <c r="I302" i="17"/>
  <c r="J302" i="17"/>
  <c r="C302" i="6" s="1"/>
  <c r="I146" i="17"/>
  <c r="J146" i="17"/>
  <c r="C146" i="6" s="1"/>
  <c r="J58" i="17"/>
  <c r="C58" i="6" s="1"/>
  <c r="I58" i="17"/>
  <c r="J271" i="17"/>
  <c r="C271" i="6" s="1"/>
  <c r="I271" i="17"/>
  <c r="J379" i="17"/>
  <c r="C379" i="6" s="1"/>
  <c r="I379" i="17"/>
  <c r="I171" i="17"/>
  <c r="J171" i="17"/>
  <c r="C171" i="6" s="1"/>
  <c r="I40" i="17"/>
  <c r="J40" i="17"/>
  <c r="C40" i="6" s="1"/>
  <c r="J355" i="17"/>
  <c r="C355" i="6" s="1"/>
  <c r="I355" i="17"/>
  <c r="J287" i="17"/>
  <c r="C287" i="6" s="1"/>
  <c r="I287" i="17"/>
  <c r="I324" i="17"/>
  <c r="J324" i="17"/>
  <c r="C324" i="6" s="1"/>
  <c r="I201" i="17"/>
  <c r="J201" i="17"/>
  <c r="C201" i="6" s="1"/>
  <c r="I366" i="17"/>
  <c r="J366" i="17"/>
  <c r="C366" i="6" s="1"/>
  <c r="J95" i="17"/>
  <c r="C95" i="6" s="1"/>
  <c r="I95" i="17"/>
  <c r="I86" i="17"/>
  <c r="J86" i="17"/>
  <c r="C86" i="6" s="1"/>
  <c r="I309" i="17"/>
  <c r="J309" i="17"/>
  <c r="C309" i="6" s="1"/>
  <c r="I367" i="17"/>
  <c r="J367" i="17"/>
  <c r="C367" i="6" s="1"/>
  <c r="J306" i="17"/>
  <c r="C306" i="6" s="1"/>
  <c r="I306" i="17"/>
  <c r="J363" i="17"/>
  <c r="C363" i="6" s="1"/>
  <c r="I363" i="17"/>
  <c r="J351" i="17"/>
  <c r="C351" i="6" s="1"/>
  <c r="I351" i="17"/>
  <c r="J60" i="17"/>
  <c r="C60" i="6" s="1"/>
  <c r="I60" i="17"/>
  <c r="J194" i="17"/>
  <c r="C194" i="6" s="1"/>
  <c r="I194" i="17"/>
  <c r="I142" i="17"/>
  <c r="J142" i="17"/>
  <c r="C142" i="6" s="1"/>
  <c r="I304" i="17"/>
  <c r="J304" i="17"/>
  <c r="C304" i="6" s="1"/>
  <c r="J105" i="17"/>
  <c r="C105" i="6" s="1"/>
  <c r="I105" i="17"/>
  <c r="I226" i="17"/>
  <c r="J226" i="17"/>
  <c r="C226" i="6" s="1"/>
  <c r="J88" i="17"/>
  <c r="C88" i="6" s="1"/>
  <c r="I88" i="17"/>
  <c r="I172" i="17"/>
  <c r="J172" i="17"/>
  <c r="C172" i="6" s="1"/>
  <c r="J321" i="17"/>
  <c r="C321" i="6" s="1"/>
  <c r="I321" i="17"/>
  <c r="I150" i="17"/>
  <c r="J150" i="17"/>
  <c r="C150" i="6" s="1"/>
  <c r="J241" i="17"/>
  <c r="C241" i="6" s="1"/>
  <c r="I241" i="17"/>
  <c r="J215" i="17"/>
  <c r="C215" i="6" s="1"/>
  <c r="I215" i="17"/>
  <c r="J212" i="17"/>
  <c r="C212" i="6" s="1"/>
  <c r="I212" i="17"/>
  <c r="I255" i="17"/>
  <c r="J255" i="17"/>
  <c r="C255" i="6" s="1"/>
  <c r="J338" i="17"/>
  <c r="C338" i="6" s="1"/>
  <c r="I338" i="17"/>
  <c r="J263" i="17"/>
  <c r="C263" i="6" s="1"/>
  <c r="I263" i="17"/>
  <c r="I377" i="17"/>
  <c r="J377" i="17"/>
  <c r="C377" i="6" s="1"/>
  <c r="J193" i="17"/>
  <c r="C193" i="6" s="1"/>
  <c r="I193" i="17"/>
  <c r="I36" i="17"/>
  <c r="J36" i="17"/>
  <c r="C36" i="6" s="1"/>
  <c r="J244" i="17"/>
  <c r="C244" i="6" s="1"/>
  <c r="I244" i="17"/>
  <c r="J90" i="17"/>
  <c r="C90" i="6" s="1"/>
  <c r="I90" i="17"/>
  <c r="I41" i="17"/>
  <c r="J41" i="17"/>
  <c r="C41" i="6" s="1"/>
  <c r="I62" i="17"/>
  <c r="J62" i="17"/>
  <c r="C62" i="6" s="1"/>
  <c r="I39" i="17"/>
  <c r="J39" i="17"/>
  <c r="C39" i="6" s="1"/>
  <c r="J18" i="17"/>
  <c r="C18" i="6" s="1"/>
  <c r="I18" i="17"/>
  <c r="G174" i="20"/>
  <c r="CB174" i="6" s="1"/>
  <c r="AA174" i="20"/>
  <c r="Z174" i="20" s="1"/>
  <c r="Y174" i="20" s="1"/>
  <c r="W76" i="20"/>
  <c r="D76" i="20"/>
  <c r="E76" i="20" s="1"/>
  <c r="F76" i="20" s="1"/>
  <c r="B76" i="22"/>
  <c r="G81" i="18"/>
  <c r="CA81" i="6" s="1"/>
  <c r="AA81" i="18"/>
  <c r="Z81" i="18" s="1"/>
  <c r="Y81" i="18" s="1"/>
  <c r="W100" i="22"/>
  <c r="D100" i="22"/>
  <c r="E100" i="22" s="1"/>
  <c r="F100" i="22" s="1"/>
  <c r="B100" i="23"/>
  <c r="W73" i="20"/>
  <c r="D73" i="20"/>
  <c r="E73" i="20" s="1"/>
  <c r="F73" i="20" s="1"/>
  <c r="B73" i="22"/>
  <c r="G332" i="18"/>
  <c r="CA332" i="6" s="1"/>
  <c r="AA332" i="18"/>
  <c r="Z332" i="18" s="1"/>
  <c r="Y332" i="18" s="1"/>
  <c r="W32" i="22"/>
  <c r="D32" i="22"/>
  <c r="E32" i="22" s="1"/>
  <c r="F32" i="22" s="1"/>
  <c r="B32" i="23"/>
  <c r="G321" i="18"/>
  <c r="CA321" i="6" s="1"/>
  <c r="AA321" i="18"/>
  <c r="Z321" i="18" s="1"/>
  <c r="Y321" i="18" s="1"/>
  <c r="W229" i="22"/>
  <c r="D229" i="22"/>
  <c r="E229" i="22" s="1"/>
  <c r="F229" i="22" s="1"/>
  <c r="B229" i="23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B236" i="22"/>
  <c r="W299" i="22"/>
  <c r="D299" i="22"/>
  <c r="E299" i="22" s="1"/>
  <c r="F299" i="22" s="1"/>
  <c r="B299" i="23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B356" i="22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B206" i="22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B156" i="22"/>
  <c r="W134" i="22"/>
  <c r="D134" i="22"/>
  <c r="E134" i="22" s="1"/>
  <c r="F134" i="22" s="1"/>
  <c r="B134" i="23"/>
  <c r="G72" i="18"/>
  <c r="CA72" i="6" s="1"/>
  <c r="AA72" i="18"/>
  <c r="Z72" i="18" s="1"/>
  <c r="Y72" i="18" s="1"/>
  <c r="W68" i="22"/>
  <c r="D68" i="22"/>
  <c r="E68" i="22" s="1"/>
  <c r="F68" i="22" s="1"/>
  <c r="B68" i="23"/>
  <c r="W44" i="20"/>
  <c r="D44" i="20"/>
  <c r="E44" i="20" s="1"/>
  <c r="F44" i="20" s="1"/>
  <c r="B44" i="22"/>
  <c r="G40" i="20"/>
  <c r="CB40" i="6" s="1"/>
  <c r="AA40" i="20"/>
  <c r="Z40" i="20" s="1"/>
  <c r="Y40" i="20" s="1"/>
  <c r="W24" i="20"/>
  <c r="D24" i="20"/>
  <c r="E24" i="20" s="1"/>
  <c r="F24" i="20" s="1"/>
  <c r="B24" i="22"/>
  <c r="G377" i="20"/>
  <c r="CB377" i="6" s="1"/>
  <c r="AA377" i="20"/>
  <c r="Z377" i="20" s="1"/>
  <c r="Y377" i="20" s="1"/>
  <c r="W345" i="20"/>
  <c r="D345" i="20"/>
  <c r="E345" i="20" s="1"/>
  <c r="F345" i="20" s="1"/>
  <c r="B345" i="22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B213" i="22"/>
  <c r="W133" i="20"/>
  <c r="D133" i="20"/>
  <c r="E133" i="20" s="1"/>
  <c r="F133" i="20" s="1"/>
  <c r="B133" i="22"/>
  <c r="W115" i="20"/>
  <c r="D115" i="20"/>
  <c r="E115" i="20" s="1"/>
  <c r="F115" i="20" s="1"/>
  <c r="B115" i="22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B57" i="23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B280" i="23"/>
  <c r="G266" i="18"/>
  <c r="CA266" i="6" s="1"/>
  <c r="AA266" i="18"/>
  <c r="Z266" i="18" s="1"/>
  <c r="Y266" i="18" s="1"/>
  <c r="AA238" i="20"/>
  <c r="Z238" i="20" s="1"/>
  <c r="Y238" i="20" s="1"/>
  <c r="W234" i="20"/>
  <c r="D234" i="20"/>
  <c r="E234" i="20" s="1"/>
  <c r="F234" i="20" s="1"/>
  <c r="B234" i="22"/>
  <c r="W172" i="22"/>
  <c r="D172" i="22"/>
  <c r="E172" i="22" s="1"/>
  <c r="F172" i="22" s="1"/>
  <c r="B172" i="23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D337" i="22"/>
  <c r="E337" i="22" s="1"/>
  <c r="F337" i="22" s="1"/>
  <c r="G307" i="18"/>
  <c r="CA307" i="6" s="1"/>
  <c r="AA307" i="18"/>
  <c r="Z307" i="18" s="1"/>
  <c r="Y307" i="18" s="1"/>
  <c r="W267" i="20"/>
  <c r="D267" i="20"/>
  <c r="E267" i="20" s="1"/>
  <c r="F267" i="20" s="1"/>
  <c r="B267" i="22"/>
  <c r="W257" i="22"/>
  <c r="D257" i="22"/>
  <c r="E257" i="22" s="1"/>
  <c r="F257" i="22" s="1"/>
  <c r="B257" i="23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B191" i="22"/>
  <c r="G143" i="18"/>
  <c r="CA143" i="6" s="1"/>
  <c r="AA143" i="18"/>
  <c r="Z143" i="18" s="1"/>
  <c r="Y143" i="18" s="1"/>
  <c r="W141" i="22"/>
  <c r="D141" i="22"/>
  <c r="E141" i="22" s="1"/>
  <c r="F141" i="22" s="1"/>
  <c r="B141" i="23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B142" i="23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W108" i="22"/>
  <c r="AA96" i="18"/>
  <c r="Z96" i="18" s="1"/>
  <c r="Y96" i="18" s="1"/>
  <c r="G96" i="18"/>
  <c r="CA96" i="6" s="1"/>
  <c r="W80" i="22"/>
  <c r="D80" i="22"/>
  <c r="E80" i="22" s="1"/>
  <c r="F80" i="22" s="1"/>
  <c r="B80" i="23"/>
  <c r="G34" i="18"/>
  <c r="CA34" i="6" s="1"/>
  <c r="AA34" i="18"/>
  <c r="Z34" i="18" s="1"/>
  <c r="Y34" i="18" s="1"/>
  <c r="W371" i="20"/>
  <c r="D371" i="20"/>
  <c r="E371" i="20" s="1"/>
  <c r="F371" i="20" s="1"/>
  <c r="B371" i="22"/>
  <c r="W339" i="20"/>
  <c r="D339" i="20"/>
  <c r="E339" i="20" s="1"/>
  <c r="F339" i="20" s="1"/>
  <c r="B339" i="22"/>
  <c r="AA293" i="20"/>
  <c r="Z293" i="20" s="1"/>
  <c r="Y293" i="20" s="1"/>
  <c r="G293" i="20"/>
  <c r="CB293" i="6" s="1"/>
  <c r="W291" i="20"/>
  <c r="D291" i="20"/>
  <c r="E291" i="20" s="1"/>
  <c r="F291" i="20" s="1"/>
  <c r="B291" i="22"/>
  <c r="G259" i="20"/>
  <c r="CB259" i="6" s="1"/>
  <c r="AA259" i="20"/>
  <c r="Z259" i="20" s="1"/>
  <c r="Y259" i="20" s="1"/>
  <c r="W209" i="22"/>
  <c r="D209" i="22"/>
  <c r="E209" i="22" s="1"/>
  <c r="F209" i="22" s="1"/>
  <c r="B209" i="23"/>
  <c r="G201" i="18"/>
  <c r="CA201" i="6" s="1"/>
  <c r="AA201" i="18"/>
  <c r="Z201" i="18" s="1"/>
  <c r="Y201" i="18" s="1"/>
  <c r="W147" i="22"/>
  <c r="D147" i="22"/>
  <c r="E147" i="22" s="1"/>
  <c r="F147" i="22" s="1"/>
  <c r="B147" i="23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B87" i="22"/>
  <c r="W49" i="20"/>
  <c r="D49" i="20"/>
  <c r="E49" i="20" s="1"/>
  <c r="F49" i="20" s="1"/>
  <c r="B49" i="22"/>
  <c r="W320" i="22"/>
  <c r="D320" i="22"/>
  <c r="E320" i="22" s="1"/>
  <c r="F320" i="22" s="1"/>
  <c r="B320" i="23"/>
  <c r="W276" i="22"/>
  <c r="D276" i="22"/>
  <c r="E276" i="22" s="1"/>
  <c r="F276" i="22" s="1"/>
  <c r="B276" i="23"/>
  <c r="W260" i="22"/>
  <c r="D260" i="22"/>
  <c r="E260" i="22" s="1"/>
  <c r="F260" i="22" s="1"/>
  <c r="B260" i="23"/>
  <c r="W254" i="20"/>
  <c r="D254" i="20"/>
  <c r="E254" i="20" s="1"/>
  <c r="F254" i="20" s="1"/>
  <c r="B254" i="22"/>
  <c r="W220" i="20"/>
  <c r="D220" i="20"/>
  <c r="E220" i="20" s="1"/>
  <c r="F220" i="20" s="1"/>
  <c r="B220" i="22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B42" i="22"/>
  <c r="W317" i="20"/>
  <c r="D317" i="20"/>
  <c r="E317" i="20" s="1"/>
  <c r="F317" i="20" s="1"/>
  <c r="B317" i="22"/>
  <c r="W249" i="20"/>
  <c r="D249" i="20"/>
  <c r="E249" i="20" s="1"/>
  <c r="F249" i="20" s="1"/>
  <c r="B249" i="22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B88" i="22"/>
  <c r="AA244" i="18"/>
  <c r="Z244" i="18" s="1"/>
  <c r="Y244" i="18" s="1"/>
  <c r="G244" i="18"/>
  <c r="CA244" i="6" s="1"/>
  <c r="W241" i="22"/>
  <c r="D241" i="22"/>
  <c r="E241" i="22" s="1"/>
  <c r="F241" i="22" s="1"/>
  <c r="B241" i="23"/>
  <c r="W189" i="22"/>
  <c r="D189" i="22"/>
  <c r="E189" i="22" s="1"/>
  <c r="F189" i="22" s="1"/>
  <c r="B189" i="23"/>
  <c r="G154" i="20"/>
  <c r="CB154" i="6" s="1"/>
  <c r="AA154" i="20"/>
  <c r="Z154" i="20" s="1"/>
  <c r="Y154" i="20" s="1"/>
  <c r="W368" i="22"/>
  <c r="D368" i="22"/>
  <c r="E368" i="22" s="1"/>
  <c r="F368" i="22" s="1"/>
  <c r="B368" i="23"/>
  <c r="W272" i="20"/>
  <c r="D272" i="20"/>
  <c r="E272" i="20" s="1"/>
  <c r="F272" i="20" s="1"/>
  <c r="B272" i="22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B22" i="22"/>
  <c r="W166" i="22"/>
  <c r="D166" i="22"/>
  <c r="E166" i="22" s="1"/>
  <c r="F166" i="22" s="1"/>
  <c r="B166" i="23"/>
  <c r="W67" i="20"/>
  <c r="D67" i="20"/>
  <c r="E67" i="20" s="1"/>
  <c r="F67" i="20" s="1"/>
  <c r="B67" i="22"/>
  <c r="W105" i="22"/>
  <c r="D105" i="22"/>
  <c r="E105" i="22" s="1"/>
  <c r="F105" i="22" s="1"/>
  <c r="B105" i="23"/>
  <c r="W196" i="20"/>
  <c r="D196" i="20"/>
  <c r="E196" i="20" s="1"/>
  <c r="F196" i="20" s="1"/>
  <c r="B196" i="22"/>
  <c r="G363" i="20"/>
  <c r="CB363" i="6" s="1"/>
  <c r="AA363" i="20"/>
  <c r="Z363" i="20" s="1"/>
  <c r="Y363" i="20" s="1"/>
  <c r="W119" i="20"/>
  <c r="D119" i="20"/>
  <c r="E119" i="20" s="1"/>
  <c r="F119" i="20" s="1"/>
  <c r="B119" i="22"/>
  <c r="W232" i="20"/>
  <c r="D232" i="20"/>
  <c r="E232" i="20" s="1"/>
  <c r="F232" i="20" s="1"/>
  <c r="B232" i="22"/>
  <c r="G295" i="18"/>
  <c r="CA295" i="6" s="1"/>
  <c r="AA295" i="18"/>
  <c r="Z295" i="18" s="1"/>
  <c r="Y295" i="18" s="1"/>
  <c r="D62" i="20"/>
  <c r="E62" i="20" s="1"/>
  <c r="F62" i="20" s="1"/>
  <c r="W62" i="20"/>
  <c r="B62" i="22"/>
  <c r="W309" i="20"/>
  <c r="D309" i="20"/>
  <c r="E309" i="20" s="1"/>
  <c r="F309" i="20" s="1"/>
  <c r="B309" i="22"/>
  <c r="W235" i="22"/>
  <c r="D235" i="22"/>
  <c r="E235" i="22" s="1"/>
  <c r="F235" i="22" s="1"/>
  <c r="B235" i="23"/>
  <c r="G125" i="18"/>
  <c r="CA125" i="6" s="1"/>
  <c r="AA125" i="18"/>
  <c r="Z125" i="18" s="1"/>
  <c r="Y125" i="18" s="1"/>
  <c r="W103" i="22"/>
  <c r="D103" i="22"/>
  <c r="E103" i="22" s="1"/>
  <c r="F103" i="22" s="1"/>
  <c r="B103" i="23"/>
  <c r="G157" i="18"/>
  <c r="CA157" i="6" s="1"/>
  <c r="AA157" i="18"/>
  <c r="Z157" i="18" s="1"/>
  <c r="Y157" i="18" s="1"/>
  <c r="W52" i="22"/>
  <c r="D52" i="22"/>
  <c r="E52" i="22" s="1"/>
  <c r="F52" i="22" s="1"/>
  <c r="B52" i="23"/>
  <c r="W374" i="20"/>
  <c r="D374" i="20"/>
  <c r="E374" i="20" s="1"/>
  <c r="F374" i="20" s="1"/>
  <c r="B374" i="22"/>
  <c r="W311" i="20"/>
  <c r="D311" i="20"/>
  <c r="E311" i="20" s="1"/>
  <c r="F311" i="20" s="1"/>
  <c r="B311" i="22"/>
  <c r="G305" i="20"/>
  <c r="CB305" i="6" s="1"/>
  <c r="AA305" i="20"/>
  <c r="Z305" i="20" s="1"/>
  <c r="Y305" i="20" s="1"/>
  <c r="W310" i="20"/>
  <c r="D310" i="20"/>
  <c r="E310" i="20" s="1"/>
  <c r="F310" i="20" s="1"/>
  <c r="B310" i="22"/>
  <c r="G252" i="20"/>
  <c r="CB252" i="6" s="1"/>
  <c r="AA252" i="20"/>
  <c r="Z252" i="20" s="1"/>
  <c r="Y252" i="20" s="1"/>
  <c r="W378" i="20"/>
  <c r="D378" i="20"/>
  <c r="E378" i="20" s="1"/>
  <c r="F378" i="20" s="1"/>
  <c r="B378" i="22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B137" i="22"/>
  <c r="W362" i="20"/>
  <c r="D362" i="20"/>
  <c r="E362" i="20" s="1"/>
  <c r="F362" i="20" s="1"/>
  <c r="B362" i="22"/>
  <c r="W290" i="20"/>
  <c r="D290" i="20"/>
  <c r="E290" i="20" s="1"/>
  <c r="F290" i="20" s="1"/>
  <c r="B290" i="22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B242" i="23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B186" i="22"/>
  <c r="W158" i="22"/>
  <c r="D158" i="22"/>
  <c r="E158" i="22" s="1"/>
  <c r="F158" i="22" s="1"/>
  <c r="B158" i="23"/>
  <c r="W102" i="20"/>
  <c r="D102" i="20"/>
  <c r="E102" i="20" s="1"/>
  <c r="F102" i="20" s="1"/>
  <c r="B102" i="22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B355" i="22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B225" i="22"/>
  <c r="W199" i="22"/>
  <c r="D199" i="22"/>
  <c r="E199" i="22" s="1"/>
  <c r="F199" i="22" s="1"/>
  <c r="B199" i="23"/>
  <c r="G165" i="18"/>
  <c r="CA165" i="6" s="1"/>
  <c r="AA165" i="18"/>
  <c r="Z165" i="18" s="1"/>
  <c r="Y165" i="18" s="1"/>
  <c r="W121" i="20"/>
  <c r="D121" i="20"/>
  <c r="E121" i="20" s="1"/>
  <c r="F121" i="20" s="1"/>
  <c r="B121" i="22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B25" i="22"/>
  <c r="W26" i="22"/>
  <c r="D26" i="22"/>
  <c r="E26" i="22" s="1"/>
  <c r="F26" i="22" s="1"/>
  <c r="B26" i="23"/>
  <c r="W370" i="22"/>
  <c r="D370" i="22"/>
  <c r="E370" i="22" s="1"/>
  <c r="F370" i="22" s="1"/>
  <c r="B370" i="23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B292" i="22"/>
  <c r="G256" i="18"/>
  <c r="CA256" i="6" s="1"/>
  <c r="AA256" i="18"/>
  <c r="Z256" i="18" s="1"/>
  <c r="Y256" i="18" s="1"/>
  <c r="W202" i="22"/>
  <c r="D202" i="22"/>
  <c r="E202" i="22" s="1"/>
  <c r="F202" i="22" s="1"/>
  <c r="B202" i="23"/>
  <c r="G184" i="18"/>
  <c r="CA184" i="6" s="1"/>
  <c r="AA184" i="18"/>
  <c r="Z184" i="18" s="1"/>
  <c r="Y184" i="18" s="1"/>
  <c r="W138" i="22"/>
  <c r="D138" i="22"/>
  <c r="E138" i="22" s="1"/>
  <c r="F138" i="22" s="1"/>
  <c r="B138" i="23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B288" i="22"/>
  <c r="W375" i="22"/>
  <c r="D375" i="22"/>
  <c r="E375" i="22" s="1"/>
  <c r="F375" i="22" s="1"/>
  <c r="B375" i="23"/>
  <c r="D359" i="22"/>
  <c r="E359" i="22" s="1"/>
  <c r="F359" i="22" s="1"/>
  <c r="D325" i="20"/>
  <c r="E325" i="20" s="1"/>
  <c r="F325" i="20" s="1"/>
  <c r="W325" i="20"/>
  <c r="B325" i="22"/>
  <c r="W313" i="22"/>
  <c r="D313" i="22"/>
  <c r="E313" i="22" s="1"/>
  <c r="F313" i="22" s="1"/>
  <c r="B313" i="23"/>
  <c r="W277" i="20"/>
  <c r="D277" i="20"/>
  <c r="E277" i="20" s="1"/>
  <c r="F277" i="20" s="1"/>
  <c r="B277" i="22"/>
  <c r="W245" i="20"/>
  <c r="D245" i="20"/>
  <c r="E245" i="20" s="1"/>
  <c r="F245" i="20" s="1"/>
  <c r="B245" i="22"/>
  <c r="G231" i="20"/>
  <c r="CB231" i="6" s="1"/>
  <c r="AA231" i="20"/>
  <c r="Z231" i="20" s="1"/>
  <c r="Y231" i="20" s="1"/>
  <c r="W203" i="20"/>
  <c r="D203" i="20"/>
  <c r="E203" i="20" s="1"/>
  <c r="F203" i="20" s="1"/>
  <c r="B203" i="22"/>
  <c r="W169" i="20"/>
  <c r="D169" i="20"/>
  <c r="E169" i="20" s="1"/>
  <c r="F169" i="20" s="1"/>
  <c r="B169" i="22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B296" i="22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B218" i="22"/>
  <c r="G192" i="20"/>
  <c r="CB192" i="6" s="1"/>
  <c r="AA192" i="20"/>
  <c r="Z192" i="20" s="1"/>
  <c r="Y192" i="20" s="1"/>
  <c r="W188" i="20"/>
  <c r="D188" i="20"/>
  <c r="E188" i="20" s="1"/>
  <c r="F188" i="20" s="1"/>
  <c r="B188" i="22"/>
  <c r="G146" i="20"/>
  <c r="CB146" i="6" s="1"/>
  <c r="AA146" i="20"/>
  <c r="Z146" i="20" s="1"/>
  <c r="Y146" i="20" s="1"/>
  <c r="W144" i="20"/>
  <c r="D144" i="20"/>
  <c r="E144" i="20" s="1"/>
  <c r="F144" i="20" s="1"/>
  <c r="B144" i="22"/>
  <c r="W120" i="22"/>
  <c r="D120" i="22"/>
  <c r="E120" i="22" s="1"/>
  <c r="F120" i="22" s="1"/>
  <c r="B120" i="23"/>
  <c r="W112" i="20"/>
  <c r="D112" i="20"/>
  <c r="E112" i="20" s="1"/>
  <c r="F112" i="20" s="1"/>
  <c r="B112" i="22"/>
  <c r="G94" i="20"/>
  <c r="CB94" i="6" s="1"/>
  <c r="AA94" i="20"/>
  <c r="Z94" i="20" s="1"/>
  <c r="Y94" i="20" s="1"/>
  <c r="D86" i="20"/>
  <c r="E86" i="20" s="1"/>
  <c r="F86" i="20" s="1"/>
  <c r="W86" i="20"/>
  <c r="B86" i="22"/>
  <c r="D303" i="20"/>
  <c r="E303" i="20" s="1"/>
  <c r="F303" i="20" s="1"/>
  <c r="W303" i="20"/>
  <c r="B303" i="22"/>
  <c r="G285" i="20"/>
  <c r="CB285" i="6" s="1"/>
  <c r="AA285" i="20"/>
  <c r="Z285" i="20" s="1"/>
  <c r="Y285" i="20" s="1"/>
  <c r="D275" i="20"/>
  <c r="E275" i="20" s="1"/>
  <c r="F275" i="20" s="1"/>
  <c r="W275" i="20"/>
  <c r="B275" i="22"/>
  <c r="W233" i="20"/>
  <c r="D233" i="20"/>
  <c r="E233" i="20" s="1"/>
  <c r="F233" i="20" s="1"/>
  <c r="B233" i="22"/>
  <c r="D221" i="22"/>
  <c r="E221" i="22" s="1"/>
  <c r="F221" i="22" s="1"/>
  <c r="W221" i="22"/>
  <c r="B221" i="23"/>
  <c r="G215" i="18"/>
  <c r="CA215" i="6" s="1"/>
  <c r="AA215" i="18"/>
  <c r="Z215" i="18" s="1"/>
  <c r="Y215" i="18" s="1"/>
  <c r="W195" i="22"/>
  <c r="D195" i="22"/>
  <c r="E195" i="22" s="1"/>
  <c r="F195" i="22" s="1"/>
  <c r="B195" i="23"/>
  <c r="G181" i="18"/>
  <c r="CA181" i="6" s="1"/>
  <c r="AA181" i="18"/>
  <c r="Z181" i="18" s="1"/>
  <c r="Y181" i="18" s="1"/>
  <c r="W123" i="20"/>
  <c r="D123" i="20"/>
  <c r="E123" i="20" s="1"/>
  <c r="F123" i="20" s="1"/>
  <c r="B123" i="22"/>
  <c r="G71" i="18"/>
  <c r="CA71" i="6" s="1"/>
  <c r="AA71" i="18"/>
  <c r="Z71" i="18" s="1"/>
  <c r="Y71" i="18" s="1"/>
  <c r="W47" i="22"/>
  <c r="D47" i="22"/>
  <c r="E47" i="22" s="1"/>
  <c r="F47" i="22" s="1"/>
  <c r="B47" i="23"/>
  <c r="W45" i="20"/>
  <c r="D45" i="20"/>
  <c r="E45" i="20" s="1"/>
  <c r="F45" i="20" s="1"/>
  <c r="B45" i="22"/>
  <c r="W21" i="20"/>
  <c r="D21" i="20"/>
  <c r="E21" i="20" s="1"/>
  <c r="F21" i="20" s="1"/>
  <c r="B21" i="22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B308" i="23"/>
  <c r="W282" i="20"/>
  <c r="D282" i="20"/>
  <c r="E282" i="20" s="1"/>
  <c r="F282" i="20" s="1"/>
  <c r="B282" i="22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B230" i="23"/>
  <c r="W176" i="20"/>
  <c r="D176" i="20"/>
  <c r="E176" i="20" s="1"/>
  <c r="F176" i="20" s="1"/>
  <c r="B176" i="22"/>
  <c r="W128" i="20"/>
  <c r="D128" i="20"/>
  <c r="E128" i="20" s="1"/>
  <c r="F128" i="20" s="1"/>
  <c r="B128" i="22"/>
  <c r="W118" i="22"/>
  <c r="D118" i="22"/>
  <c r="E118" i="22" s="1"/>
  <c r="F118" i="22" s="1"/>
  <c r="B118" i="23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B271" i="23"/>
  <c r="W219" i="20"/>
  <c r="D219" i="20"/>
  <c r="E219" i="20" s="1"/>
  <c r="F219" i="20" s="1"/>
  <c r="B219" i="22"/>
  <c r="AA197" i="20"/>
  <c r="Z197" i="20" s="1"/>
  <c r="Y197" i="20" s="1"/>
  <c r="G197" i="20"/>
  <c r="CB197" i="6" s="1"/>
  <c r="W173" i="20"/>
  <c r="D173" i="20"/>
  <c r="E173" i="20" s="1"/>
  <c r="F173" i="20" s="1"/>
  <c r="B173" i="22"/>
  <c r="W127" i="20"/>
  <c r="D127" i="20"/>
  <c r="E127" i="20" s="1"/>
  <c r="F127" i="20" s="1"/>
  <c r="B127" i="22"/>
  <c r="D101" i="22"/>
  <c r="E101" i="22" s="1"/>
  <c r="F101" i="22" s="1"/>
  <c r="W101" i="22"/>
  <c r="B101" i="23"/>
  <c r="D89" i="20"/>
  <c r="E89" i="20" s="1"/>
  <c r="F89" i="20" s="1"/>
  <c r="W89" i="20"/>
  <c r="B89" i="22"/>
  <c r="G83" i="20"/>
  <c r="CB83" i="6" s="1"/>
  <c r="AA83" i="20"/>
  <c r="Z83" i="20" s="1"/>
  <c r="Y83" i="20" s="1"/>
  <c r="D61" i="20"/>
  <c r="E61" i="20" s="1"/>
  <c r="F61" i="20" s="1"/>
  <c r="W61" i="20"/>
  <c r="B61" i="22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B175" i="23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B302" i="23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B194" i="22"/>
  <c r="W171" i="20"/>
  <c r="D171" i="20"/>
  <c r="E171" i="20" s="1"/>
  <c r="F171" i="20" s="1"/>
  <c r="B171" i="22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B111" i="23"/>
  <c r="W261" i="20"/>
  <c r="D261" i="20"/>
  <c r="E261" i="20" s="1"/>
  <c r="F261" i="20" s="1"/>
  <c r="B261" i="22"/>
  <c r="D17" i="22"/>
  <c r="E17" i="22" s="1"/>
  <c r="F17" i="22" s="1"/>
  <c r="W17" i="22"/>
  <c r="B17" i="23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B319" i="23"/>
  <c r="D349" i="20"/>
  <c r="E349" i="20" s="1"/>
  <c r="F349" i="20" s="1"/>
  <c r="W349" i="20"/>
  <c r="B349" i="22"/>
  <c r="W46" i="20"/>
  <c r="D46" i="20"/>
  <c r="E46" i="20" s="1"/>
  <c r="F46" i="20" s="1"/>
  <c r="B46" i="22"/>
  <c r="W298" i="22"/>
  <c r="D298" i="22"/>
  <c r="E298" i="22" s="1"/>
  <c r="F298" i="22" s="1"/>
  <c r="B298" i="23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B365" i="22"/>
  <c r="W149" i="22"/>
  <c r="D149" i="22"/>
  <c r="E149" i="22" s="1"/>
  <c r="F149" i="22" s="1"/>
  <c r="B149" i="23"/>
  <c r="W60" i="20"/>
  <c r="D60" i="20"/>
  <c r="E60" i="20" s="1"/>
  <c r="F60" i="20" s="1"/>
  <c r="B60" i="22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B281" i="23"/>
  <c r="W263" i="20"/>
  <c r="D263" i="20"/>
  <c r="E263" i="20" s="1"/>
  <c r="F263" i="20" s="1"/>
  <c r="B263" i="22"/>
  <c r="W247" i="22"/>
  <c r="D247" i="22"/>
  <c r="E247" i="22" s="1"/>
  <c r="F247" i="22" s="1"/>
  <c r="B247" i="23"/>
  <c r="D159" i="20"/>
  <c r="E159" i="20" s="1"/>
  <c r="F159" i="20" s="1"/>
  <c r="W159" i="20"/>
  <c r="B159" i="22"/>
  <c r="G99" i="18"/>
  <c r="CA99" i="6" s="1"/>
  <c r="AA99" i="18"/>
  <c r="Z99" i="18" s="1"/>
  <c r="Y99" i="18" s="1"/>
  <c r="W77" i="20"/>
  <c r="D77" i="20"/>
  <c r="E77" i="20" s="1"/>
  <c r="F77" i="20" s="1"/>
  <c r="B77" i="22"/>
  <c r="W161" i="20"/>
  <c r="D161" i="20"/>
  <c r="E161" i="20" s="1"/>
  <c r="F161" i="20" s="1"/>
  <c r="B161" i="22"/>
  <c r="G116" i="20"/>
  <c r="CB116" i="6" s="1"/>
  <c r="AA116" i="20"/>
  <c r="Z116" i="20" s="1"/>
  <c r="Y116" i="20" s="1"/>
  <c r="W210" i="20"/>
  <c r="D210" i="20"/>
  <c r="E210" i="20" s="1"/>
  <c r="F210" i="20" s="1"/>
  <c r="B210" i="22"/>
  <c r="G114" i="18"/>
  <c r="CA114" i="6" s="1"/>
  <c r="AA114" i="18"/>
  <c r="Z114" i="18" s="1"/>
  <c r="Y114" i="18" s="1"/>
  <c r="W135" i="20"/>
  <c r="D135" i="20"/>
  <c r="E135" i="20" s="1"/>
  <c r="F135" i="20" s="1"/>
  <c r="B135" i="22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B177" i="23"/>
  <c r="G226" i="18"/>
  <c r="CA226" i="6" s="1"/>
  <c r="AA226" i="18"/>
  <c r="Z226" i="18" s="1"/>
  <c r="Y226" i="18" s="1"/>
  <c r="D150" i="20"/>
  <c r="E150" i="20" s="1"/>
  <c r="F150" i="20" s="1"/>
  <c r="W150" i="20"/>
  <c r="B150" i="22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C131" i="6" s="1"/>
  <c r="I131" i="17"/>
  <c r="J282" i="17"/>
  <c r="C282" i="6" s="1"/>
  <c r="I282" i="17"/>
  <c r="I31" i="17"/>
  <c r="J31" i="17"/>
  <c r="C31" i="6" s="1"/>
  <c r="I153" i="17"/>
  <c r="J153" i="17"/>
  <c r="C153" i="6" s="1"/>
  <c r="I197" i="17"/>
  <c r="B197" i="6" s="1"/>
  <c r="J197" i="17"/>
  <c r="C197" i="6" s="1"/>
  <c r="I268" i="17"/>
  <c r="J268" i="17"/>
  <c r="C268" i="6" s="1"/>
  <c r="J227" i="17"/>
  <c r="C227" i="6" s="1"/>
  <c r="I227" i="17"/>
  <c r="I312" i="17"/>
  <c r="J312" i="17"/>
  <c r="C312" i="6" s="1"/>
  <c r="I333" i="17"/>
  <c r="J333" i="17"/>
  <c r="C333" i="6" s="1"/>
  <c r="I305" i="17"/>
  <c r="J305" i="17"/>
  <c r="C305" i="6" s="1"/>
  <c r="J272" i="17"/>
  <c r="C272" i="6" s="1"/>
  <c r="I272" i="17"/>
  <c r="J114" i="17"/>
  <c r="C114" i="6" s="1"/>
  <c r="I114" i="17"/>
  <c r="I79" i="17"/>
  <c r="J79" i="17"/>
  <c r="C79" i="6" s="1"/>
  <c r="J284" i="17"/>
  <c r="C284" i="6" s="1"/>
  <c r="I284" i="17"/>
  <c r="J224" i="17"/>
  <c r="C224" i="6" s="1"/>
  <c r="I224" i="17"/>
  <c r="J356" i="17"/>
  <c r="C356" i="6" s="1"/>
  <c r="I356" i="17"/>
  <c r="J185" i="17"/>
  <c r="C185" i="6" s="1"/>
  <c r="I185" i="17"/>
  <c r="I125" i="17"/>
  <c r="J125" i="17"/>
  <c r="C125" i="6" s="1"/>
  <c r="J16" i="17"/>
  <c r="C16" i="6" s="1"/>
  <c r="I16" i="17"/>
  <c r="J220" i="17"/>
  <c r="C220" i="6" s="1"/>
  <c r="I220" i="17"/>
  <c r="I118" i="17"/>
  <c r="J118" i="17"/>
  <c r="C118" i="6" s="1"/>
  <c r="J232" i="17"/>
  <c r="C232" i="6" s="1"/>
  <c r="I232" i="17"/>
  <c r="J22" i="17"/>
  <c r="C22" i="6" s="1"/>
  <c r="I22" i="17"/>
  <c r="J378" i="17"/>
  <c r="C378" i="6" s="1"/>
  <c r="I378" i="17"/>
  <c r="I368" i="17"/>
  <c r="J368" i="17"/>
  <c r="C368" i="6" s="1"/>
  <c r="J223" i="17"/>
  <c r="C223" i="6" s="1"/>
  <c r="I223" i="17"/>
  <c r="I138" i="17"/>
  <c r="J138" i="17"/>
  <c r="C138" i="6" s="1"/>
  <c r="I347" i="17"/>
  <c r="J347" i="17"/>
  <c r="C347" i="6" s="1"/>
  <c r="J350" i="17"/>
  <c r="C350" i="6" s="1"/>
  <c r="I350" i="17"/>
  <c r="I154" i="17"/>
  <c r="J154" i="17"/>
  <c r="C154" i="6" s="1"/>
  <c r="J68" i="17"/>
  <c r="C68" i="6" s="1"/>
  <c r="I68" i="17"/>
  <c r="I341" i="17"/>
  <c r="J341" i="17"/>
  <c r="C341" i="6" s="1"/>
  <c r="J301" i="17"/>
  <c r="C301" i="6" s="1"/>
  <c r="I301" i="17"/>
  <c r="J128" i="17"/>
  <c r="C128" i="6" s="1"/>
  <c r="I128" i="17"/>
  <c r="I273" i="17"/>
  <c r="J273" i="17"/>
  <c r="C273" i="6" s="1"/>
  <c r="I122" i="17"/>
  <c r="J122" i="17"/>
  <c r="C122" i="6" s="1"/>
  <c r="I289" i="17"/>
  <c r="J289" i="17"/>
  <c r="C289" i="6" s="1"/>
  <c r="I361" i="17"/>
  <c r="J361" i="17"/>
  <c r="C361" i="6" s="1"/>
  <c r="J168" i="17"/>
  <c r="C168" i="6" s="1"/>
  <c r="I168" i="17"/>
  <c r="I283" i="17"/>
  <c r="J283" i="17"/>
  <c r="C283" i="6" s="1"/>
  <c r="J326" i="17"/>
  <c r="C326" i="6" s="1"/>
  <c r="I326" i="17"/>
  <c r="J242" i="17"/>
  <c r="C242" i="6" s="1"/>
  <c r="I242" i="17"/>
  <c r="J74" i="17"/>
  <c r="C74" i="6" s="1"/>
  <c r="I74" i="17"/>
  <c r="I34" i="17"/>
  <c r="J34" i="17"/>
  <c r="C34" i="6" s="1"/>
  <c r="I211" i="17"/>
  <c r="J211" i="17"/>
  <c r="C211" i="6" s="1"/>
  <c r="I63" i="17"/>
  <c r="J63" i="17"/>
  <c r="C63" i="6" s="1"/>
  <c r="J65" i="17"/>
  <c r="C65" i="6" s="1"/>
  <c r="I65" i="17"/>
  <c r="J278" i="17"/>
  <c r="C278" i="6" s="1"/>
  <c r="I278" i="17"/>
  <c r="I132" i="17"/>
  <c r="J132" i="17"/>
  <c r="C132" i="6" s="1"/>
  <c r="J218" i="17"/>
  <c r="C218" i="6" s="1"/>
  <c r="I218" i="17"/>
  <c r="J285" i="17"/>
  <c r="C285" i="6" s="1"/>
  <c r="I285" i="17"/>
  <c r="J319" i="17"/>
  <c r="C319" i="6" s="1"/>
  <c r="I319" i="17"/>
  <c r="J71" i="17"/>
  <c r="C71" i="6" s="1"/>
  <c r="I71" i="17"/>
  <c r="J199" i="17"/>
  <c r="C199" i="6" s="1"/>
  <c r="I199" i="17"/>
  <c r="J94" i="17"/>
  <c r="C94" i="6" s="1"/>
  <c r="I94" i="17"/>
  <c r="I209" i="17"/>
  <c r="J209" i="17"/>
  <c r="C209" i="6" s="1"/>
  <c r="I127" i="17"/>
  <c r="J127" i="17"/>
  <c r="C127" i="6" s="1"/>
  <c r="J100" i="17"/>
  <c r="C100" i="6" s="1"/>
  <c r="I100" i="17"/>
  <c r="I19" i="17"/>
  <c r="J19" i="17"/>
  <c r="C19" i="6" s="1"/>
  <c r="J148" i="17"/>
  <c r="C148" i="6" s="1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C353" i="6" s="1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C57" i="6" s="1"/>
  <c r="I57" i="17"/>
  <c r="I335" i="17"/>
  <c r="J335" i="17"/>
  <c r="C335" i="6" s="1"/>
  <c r="J365" i="17"/>
  <c r="C365" i="6" s="1"/>
  <c r="I365" i="17"/>
  <c r="I137" i="17"/>
  <c r="J137" i="17"/>
  <c r="C137" i="6" s="1"/>
  <c r="I359" i="17"/>
  <c r="J359" i="17"/>
  <c r="C359" i="6" s="1"/>
  <c r="I183" i="17"/>
  <c r="J183" i="17"/>
  <c r="C183" i="6" s="1"/>
  <c r="J166" i="17"/>
  <c r="C166" i="6" s="1"/>
  <c r="I166" i="17"/>
  <c r="J121" i="17"/>
  <c r="C121" i="6" s="1"/>
  <c r="I121" i="17"/>
  <c r="J108" i="17"/>
  <c r="C108" i="6" s="1"/>
  <c r="I108" i="17"/>
  <c r="J163" i="17"/>
  <c r="C163" i="6" s="1"/>
  <c r="I163" i="17"/>
  <c r="J196" i="17"/>
  <c r="C196" i="6" s="1"/>
  <c r="I196" i="17"/>
  <c r="J159" i="17"/>
  <c r="C159" i="6" s="1"/>
  <c r="I159" i="17"/>
  <c r="I358" i="17"/>
  <c r="J358" i="17"/>
  <c r="C358" i="6" s="1"/>
  <c r="J120" i="17"/>
  <c r="C120" i="6" s="1"/>
  <c r="I120" i="17"/>
  <c r="J249" i="17"/>
  <c r="C249" i="6" s="1"/>
  <c r="I249" i="17"/>
  <c r="I208" i="17"/>
  <c r="J208" i="17"/>
  <c r="C208" i="6" s="1"/>
  <c r="J167" i="17"/>
  <c r="C167" i="6" s="1"/>
  <c r="I167" i="17"/>
  <c r="J299" i="17"/>
  <c r="C299" i="6" s="1"/>
  <c r="I299" i="17"/>
  <c r="J216" i="17"/>
  <c r="C216" i="6" s="1"/>
  <c r="I216" i="17"/>
  <c r="J354" i="17"/>
  <c r="C354" i="6" s="1"/>
  <c r="I354" i="17"/>
  <c r="I134" i="17"/>
  <c r="J134" i="17"/>
  <c r="C134" i="6" s="1"/>
  <c r="I160" i="17"/>
  <c r="J160" i="17"/>
  <c r="C160" i="6" s="1"/>
  <c r="J298" i="17"/>
  <c r="C298" i="6" s="1"/>
  <c r="I298" i="17"/>
  <c r="I174" i="17"/>
  <c r="J174" i="17"/>
  <c r="C174" i="6" s="1"/>
  <c r="J222" i="17"/>
  <c r="C222" i="6" s="1"/>
  <c r="I222" i="17"/>
  <c r="I334" i="17"/>
  <c r="J334" i="17"/>
  <c r="C334" i="6" s="1"/>
  <c r="J322" i="17"/>
  <c r="C322" i="6" s="1"/>
  <c r="I322" i="17"/>
  <c r="I116" i="17"/>
  <c r="J116" i="17"/>
  <c r="C116" i="6" s="1"/>
  <c r="J184" i="17"/>
  <c r="C184" i="6" s="1"/>
  <c r="I184" i="17"/>
  <c r="J30" i="17"/>
  <c r="C30" i="6" s="1"/>
  <c r="I30" i="17"/>
  <c r="I231" i="17"/>
  <c r="J231" i="17"/>
  <c r="C231" i="6" s="1"/>
  <c r="I20" i="17"/>
  <c r="J20" i="17"/>
  <c r="C20" i="6" s="1"/>
  <c r="J262" i="17"/>
  <c r="C262" i="6" s="1"/>
  <c r="I262" i="17"/>
  <c r="J35" i="17"/>
  <c r="C35" i="6" s="1"/>
  <c r="I35" i="17"/>
  <c r="I115" i="17"/>
  <c r="J115" i="17"/>
  <c r="C115" i="6" s="1"/>
  <c r="J80" i="17"/>
  <c r="C80" i="6" s="1"/>
  <c r="I80" i="17"/>
  <c r="I175" i="17"/>
  <c r="J175" i="17"/>
  <c r="C175" i="6" s="1"/>
  <c r="I83" i="17"/>
  <c r="J83" i="17"/>
  <c r="C83" i="6" s="1"/>
  <c r="J44" i="17"/>
  <c r="C44" i="6" s="1"/>
  <c r="I44" i="17"/>
  <c r="J189" i="17"/>
  <c r="C189" i="6" s="1"/>
  <c r="I189" i="17"/>
  <c r="I349" i="17"/>
  <c r="J349" i="17"/>
  <c r="C349" i="6" s="1"/>
  <c r="J281" i="17"/>
  <c r="C281" i="6" s="1"/>
  <c r="I281" i="17"/>
  <c r="I123" i="17"/>
  <c r="J123" i="17"/>
  <c r="C123" i="6" s="1"/>
  <c r="J143" i="17"/>
  <c r="C143" i="6" s="1"/>
  <c r="I143" i="17"/>
  <c r="J339" i="17"/>
  <c r="C339" i="6" s="1"/>
  <c r="I339" i="17"/>
  <c r="I352" i="17"/>
  <c r="J352" i="17"/>
  <c r="C352" i="6" s="1"/>
  <c r="J124" i="17"/>
  <c r="C124" i="6" s="1"/>
  <c r="I124" i="17"/>
  <c r="I328" i="17"/>
  <c r="J328" i="17"/>
  <c r="C328" i="6" s="1"/>
  <c r="I221" i="17"/>
  <c r="J221" i="17"/>
  <c r="C221" i="6" s="1"/>
  <c r="J69" i="17"/>
  <c r="C69" i="6" s="1"/>
  <c r="I69" i="17"/>
  <c r="J288" i="17"/>
  <c r="C288" i="6" s="1"/>
  <c r="I288" i="17"/>
  <c r="J55" i="17"/>
  <c r="C55" i="6" s="1"/>
  <c r="I55" i="17"/>
  <c r="I270" i="17"/>
  <c r="J270" i="17"/>
  <c r="C270" i="6" s="1"/>
  <c r="J54" i="17"/>
  <c r="C54" i="6" s="1"/>
  <c r="I54" i="17"/>
  <c r="I340" i="17"/>
  <c r="J340" i="17"/>
  <c r="C340" i="6" s="1"/>
  <c r="J247" i="17"/>
  <c r="C247" i="6" s="1"/>
  <c r="I247" i="17"/>
  <c r="I258" i="17"/>
  <c r="J258" i="17"/>
  <c r="C258" i="6" s="1"/>
  <c r="J369" i="17"/>
  <c r="C369" i="6" s="1"/>
  <c r="I369" i="17"/>
  <c r="J225" i="17"/>
  <c r="C225" i="6" s="1"/>
  <c r="I225" i="17"/>
  <c r="J89" i="17"/>
  <c r="C89" i="6" s="1"/>
  <c r="I89" i="17"/>
  <c r="I290" i="17"/>
  <c r="J290" i="17"/>
  <c r="C290" i="6" s="1"/>
  <c r="J292" i="17"/>
  <c r="C292" i="6" s="1"/>
  <c r="I292" i="17"/>
  <c r="J303" i="17"/>
  <c r="C303" i="6" s="1"/>
  <c r="I303" i="17"/>
  <c r="J311" i="17"/>
  <c r="C311" i="6" s="1"/>
  <c r="I311" i="17"/>
  <c r="I314" i="17"/>
  <c r="J314" i="17"/>
  <c r="C314" i="6" s="1"/>
  <c r="I33" i="17"/>
  <c r="J33" i="17"/>
  <c r="C33" i="6" s="1"/>
  <c r="J265" i="17"/>
  <c r="C265" i="6" s="1"/>
  <c r="I265" i="17"/>
  <c r="I109" i="17"/>
  <c r="J109" i="17"/>
  <c r="C109" i="6" s="1"/>
  <c r="J294" i="17"/>
  <c r="C294" i="6" s="1"/>
  <c r="I294" i="17"/>
  <c r="J70" i="17"/>
  <c r="C70" i="6" s="1"/>
  <c r="I70" i="17"/>
  <c r="I371" i="17"/>
  <c r="J371" i="17"/>
  <c r="C371" i="6" s="1"/>
  <c r="J362" i="17"/>
  <c r="C362" i="6" s="1"/>
  <c r="I362" i="17"/>
  <c r="I207" i="17"/>
  <c r="J207" i="17"/>
  <c r="C207" i="6" s="1"/>
  <c r="J345" i="17"/>
  <c r="C345" i="6" s="1"/>
  <c r="I345" i="17"/>
  <c r="I188" i="17"/>
  <c r="J188" i="17"/>
  <c r="C188" i="6" s="1"/>
  <c r="J45" i="17"/>
  <c r="C45" i="6" s="1"/>
  <c r="I45" i="17"/>
  <c r="I21" i="17"/>
  <c r="J21" i="17"/>
  <c r="C21" i="6" s="1"/>
  <c r="I49" i="17"/>
  <c r="J49" i="17"/>
  <c r="C49" i="6" s="1"/>
  <c r="W174" i="22"/>
  <c r="D174" i="22"/>
  <c r="E174" i="22" s="1"/>
  <c r="F174" i="22" s="1"/>
  <c r="B174" i="23"/>
  <c r="G76" i="18"/>
  <c r="CA76" i="6" s="1"/>
  <c r="AA76" i="18"/>
  <c r="Z76" i="18" s="1"/>
  <c r="Y76" i="18" s="1"/>
  <c r="H76" i="18"/>
  <c r="W81" i="20"/>
  <c r="D81" i="20"/>
  <c r="E81" i="20" s="1"/>
  <c r="F81" i="20" s="1"/>
  <c r="B81" i="22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B332" i="22"/>
  <c r="G32" i="20"/>
  <c r="CB32" i="6" s="1"/>
  <c r="AA32" i="20"/>
  <c r="Z32" i="20" s="1"/>
  <c r="Y32" i="20" s="1"/>
  <c r="W321" i="20"/>
  <c r="D321" i="20"/>
  <c r="E321" i="20" s="1"/>
  <c r="F321" i="20" s="1"/>
  <c r="B321" i="22"/>
  <c r="G229" i="20"/>
  <c r="CB229" i="6" s="1"/>
  <c r="AA229" i="20"/>
  <c r="Z229" i="20" s="1"/>
  <c r="Y229" i="20" s="1"/>
  <c r="W163" i="20"/>
  <c r="D163" i="20"/>
  <c r="E163" i="20" s="1"/>
  <c r="F163" i="20" s="1"/>
  <c r="B163" i="22"/>
  <c r="D98" i="20"/>
  <c r="E98" i="20" s="1"/>
  <c r="F98" i="20" s="1"/>
  <c r="W98" i="20"/>
  <c r="B98" i="22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B182" i="22"/>
  <c r="W207" i="22"/>
  <c r="D207" i="22"/>
  <c r="E207" i="22" s="1"/>
  <c r="F207" i="22" s="1"/>
  <c r="B207" i="23"/>
  <c r="W289" i="20"/>
  <c r="D289" i="20"/>
  <c r="E289" i="20" s="1"/>
  <c r="F289" i="20" s="1"/>
  <c r="B289" i="22"/>
  <c r="G205" i="20"/>
  <c r="CB205" i="6" s="1"/>
  <c r="AA205" i="20"/>
  <c r="Z205" i="20" s="1"/>
  <c r="Y205" i="20" s="1"/>
  <c r="D78" i="20"/>
  <c r="E78" i="20" s="1"/>
  <c r="F78" i="20" s="1"/>
  <c r="W78" i="20"/>
  <c r="B78" i="22"/>
  <c r="AA356" i="18"/>
  <c r="Z356" i="18" s="1"/>
  <c r="Y356" i="18" s="1"/>
  <c r="G356" i="18"/>
  <c r="CA356" i="6" s="1"/>
  <c r="W342" i="22"/>
  <c r="D342" i="22"/>
  <c r="E342" i="22" s="1"/>
  <c r="F342" i="22" s="1"/>
  <c r="B342" i="23"/>
  <c r="W314" i="20"/>
  <c r="D314" i="20"/>
  <c r="E314" i="20" s="1"/>
  <c r="F314" i="20" s="1"/>
  <c r="B314" i="22"/>
  <c r="W240" i="20"/>
  <c r="D240" i="20"/>
  <c r="E240" i="20" s="1"/>
  <c r="F240" i="20" s="1"/>
  <c r="B240" i="22"/>
  <c r="G206" i="18"/>
  <c r="CA206" i="6" s="1"/>
  <c r="AA206" i="18"/>
  <c r="Z206" i="18" s="1"/>
  <c r="Y206" i="18" s="1"/>
  <c r="W200" i="22"/>
  <c r="D200" i="22"/>
  <c r="E200" i="22" s="1"/>
  <c r="F200" i="22" s="1"/>
  <c r="B200" i="23"/>
  <c r="D190" i="22"/>
  <c r="E190" i="22" s="1"/>
  <c r="F190" i="22" s="1"/>
  <c r="W190" i="22"/>
  <c r="B190" i="23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B72" i="22"/>
  <c r="G44" i="18"/>
  <c r="CA44" i="6" s="1"/>
  <c r="AA44" i="18"/>
  <c r="Z44" i="18" s="1"/>
  <c r="Y44" i="18" s="1"/>
  <c r="W40" i="22"/>
  <c r="D40" i="22"/>
  <c r="E40" i="22" s="1"/>
  <c r="F40" i="22" s="1"/>
  <c r="B40" i="23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B343" i="23"/>
  <c r="G329" i="20"/>
  <c r="CB329" i="6" s="1"/>
  <c r="AA329" i="20"/>
  <c r="Z329" i="20" s="1"/>
  <c r="Y329" i="20" s="1"/>
  <c r="D315" i="20"/>
  <c r="E315" i="20" s="1"/>
  <c r="F315" i="20" s="1"/>
  <c r="W315" i="20"/>
  <c r="B315" i="22"/>
  <c r="W239" i="20"/>
  <c r="D239" i="20"/>
  <c r="E239" i="20" s="1"/>
  <c r="F239" i="20" s="1"/>
  <c r="B239" i="22"/>
  <c r="W217" i="22"/>
  <c r="D217" i="22"/>
  <c r="E217" i="22" s="1"/>
  <c r="F217" i="22" s="1"/>
  <c r="B217" i="23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B113" i="23"/>
  <c r="W85" i="20"/>
  <c r="D85" i="20"/>
  <c r="E85" i="20" s="1"/>
  <c r="F85" i="20" s="1"/>
  <c r="B85" i="22"/>
  <c r="G57" i="20"/>
  <c r="CB57" i="6" s="1"/>
  <c r="AA57" i="20"/>
  <c r="Z57" i="20" s="1"/>
  <c r="Y57" i="20" s="1"/>
  <c r="W360" i="22"/>
  <c r="D360" i="22"/>
  <c r="E360" i="22" s="1"/>
  <c r="F360" i="22" s="1"/>
  <c r="B360" i="23"/>
  <c r="D350" i="20"/>
  <c r="E350" i="20" s="1"/>
  <c r="F350" i="20" s="1"/>
  <c r="W350" i="20"/>
  <c r="B350" i="22"/>
  <c r="G350" i="18"/>
  <c r="CA350" i="6" s="1"/>
  <c r="AA350" i="18"/>
  <c r="Z350" i="18" s="1"/>
  <c r="Y350" i="18" s="1"/>
  <c r="W322" i="20"/>
  <c r="D322" i="20"/>
  <c r="E322" i="20" s="1"/>
  <c r="F322" i="20" s="1"/>
  <c r="B322" i="22"/>
  <c r="G280" i="20"/>
  <c r="CB280" i="6" s="1"/>
  <c r="AA280" i="20"/>
  <c r="Z280" i="20" s="1"/>
  <c r="Y280" i="20" s="1"/>
  <c r="W266" i="20"/>
  <c r="D266" i="20"/>
  <c r="E266" i="20" s="1"/>
  <c r="F266" i="20" s="1"/>
  <c r="B266" i="22"/>
  <c r="W238" i="22"/>
  <c r="D238" i="22"/>
  <c r="E238" i="22" s="1"/>
  <c r="F238" i="22" s="1"/>
  <c r="B238" i="23"/>
  <c r="G234" i="18"/>
  <c r="CA234" i="6" s="1"/>
  <c r="AA234" i="18"/>
  <c r="Z234" i="18" s="1"/>
  <c r="Y234" i="18" s="1"/>
  <c r="H234" i="18"/>
  <c r="W160" i="20"/>
  <c r="D160" i="20"/>
  <c r="E160" i="20" s="1"/>
  <c r="F160" i="20" s="1"/>
  <c r="B160" i="22"/>
  <c r="W122" i="22"/>
  <c r="D122" i="22"/>
  <c r="E122" i="22" s="1"/>
  <c r="F122" i="22" s="1"/>
  <c r="B122" i="23"/>
  <c r="W48" i="20"/>
  <c r="D48" i="20"/>
  <c r="E48" i="20" s="1"/>
  <c r="F48" i="20" s="1"/>
  <c r="B48" i="22"/>
  <c r="G20" i="18"/>
  <c r="CA20" i="6" s="1"/>
  <c r="AA20" i="18"/>
  <c r="Z20" i="18" s="1"/>
  <c r="Y20" i="18" s="1"/>
  <c r="W373" i="20"/>
  <c r="D373" i="20"/>
  <c r="E373" i="20" s="1"/>
  <c r="F373" i="20" s="1"/>
  <c r="B373" i="22"/>
  <c r="W357" i="20"/>
  <c r="D357" i="20"/>
  <c r="E357" i="20" s="1"/>
  <c r="F357" i="20" s="1"/>
  <c r="B357" i="22"/>
  <c r="G337" i="20"/>
  <c r="CB337" i="6" s="1"/>
  <c r="AA337" i="20"/>
  <c r="Z337" i="20" s="1"/>
  <c r="Y337" i="20" s="1"/>
  <c r="W307" i="20"/>
  <c r="D307" i="20"/>
  <c r="E307" i="20" s="1"/>
  <c r="F307" i="20" s="1"/>
  <c r="B307" i="22"/>
  <c r="G267" i="18"/>
  <c r="CA267" i="6" s="1"/>
  <c r="AA267" i="18"/>
  <c r="Z267" i="18" s="1"/>
  <c r="Y267" i="18" s="1"/>
  <c r="W223" i="20"/>
  <c r="D223" i="20"/>
  <c r="E223" i="20" s="1"/>
  <c r="F223" i="20" s="1"/>
  <c r="B223" i="22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B143" i="22"/>
  <c r="AA141" i="20"/>
  <c r="Z141" i="20" s="1"/>
  <c r="Y141" i="20" s="1"/>
  <c r="G141" i="20"/>
  <c r="CB141" i="6" s="1"/>
  <c r="D65" i="20"/>
  <c r="E65" i="20" s="1"/>
  <c r="F65" i="20" s="1"/>
  <c r="W65" i="20"/>
  <c r="B65" i="22"/>
  <c r="G59" i="20"/>
  <c r="CB59" i="6" s="1"/>
  <c r="AA59" i="20"/>
  <c r="Z59" i="20" s="1"/>
  <c r="Y59" i="20" s="1"/>
  <c r="W372" i="20"/>
  <c r="D372" i="20"/>
  <c r="E372" i="20" s="1"/>
  <c r="F372" i="20" s="1"/>
  <c r="B372" i="22"/>
  <c r="D250" i="20"/>
  <c r="E250" i="20" s="1"/>
  <c r="F250" i="20" s="1"/>
  <c r="W250" i="20"/>
  <c r="B250" i="22"/>
  <c r="G250" i="18"/>
  <c r="CA250" i="6" s="1"/>
  <c r="AA250" i="18"/>
  <c r="Z250" i="18" s="1"/>
  <c r="Y250" i="18" s="1"/>
  <c r="W148" i="20"/>
  <c r="D148" i="20"/>
  <c r="E148" i="20" s="1"/>
  <c r="F148" i="20" s="1"/>
  <c r="B148" i="22"/>
  <c r="W126" i="20"/>
  <c r="D126" i="20"/>
  <c r="E126" i="20" s="1"/>
  <c r="F126" i="20" s="1"/>
  <c r="B126" i="22"/>
  <c r="G108" i="20"/>
  <c r="CB108" i="6" s="1"/>
  <c r="AA108" i="20"/>
  <c r="Z108" i="20" s="1"/>
  <c r="Y108" i="20" s="1"/>
  <c r="W96" i="20"/>
  <c r="D96" i="20"/>
  <c r="E96" i="20" s="1"/>
  <c r="F96" i="20" s="1"/>
  <c r="B96" i="22"/>
  <c r="G80" i="20"/>
  <c r="CB80" i="6" s="1"/>
  <c r="AA80" i="20"/>
  <c r="Z80" i="20" s="1"/>
  <c r="Y80" i="20" s="1"/>
  <c r="W34" i="20"/>
  <c r="D34" i="20"/>
  <c r="E34" i="20" s="1"/>
  <c r="F34" i="20" s="1"/>
  <c r="B34" i="22"/>
  <c r="G371" i="18"/>
  <c r="CA371" i="6" s="1"/>
  <c r="AA371" i="18"/>
  <c r="Z371" i="18" s="1"/>
  <c r="Y371" i="18" s="1"/>
  <c r="W341" i="22"/>
  <c r="D341" i="22"/>
  <c r="E341" i="22" s="1"/>
  <c r="F341" i="22" s="1"/>
  <c r="B341" i="23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B293" i="23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B201" i="22"/>
  <c r="G147" i="20"/>
  <c r="CB147" i="6" s="1"/>
  <c r="AA147" i="20"/>
  <c r="Z147" i="20" s="1"/>
  <c r="Y147" i="20" s="1"/>
  <c r="W145" i="20"/>
  <c r="D145" i="20"/>
  <c r="E145" i="20" s="1"/>
  <c r="F145" i="20" s="1"/>
  <c r="B145" i="22"/>
  <c r="W93" i="22"/>
  <c r="D93" i="22"/>
  <c r="E93" i="22" s="1"/>
  <c r="F93" i="22" s="1"/>
  <c r="B93" i="23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B31" i="22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B140" i="22"/>
  <c r="W110" i="20"/>
  <c r="D110" i="20"/>
  <c r="E110" i="20" s="1"/>
  <c r="F110" i="20" s="1"/>
  <c r="B110" i="22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B185" i="22"/>
  <c r="W63" i="22"/>
  <c r="D63" i="22"/>
  <c r="E63" i="22" s="1"/>
  <c r="F63" i="22" s="1"/>
  <c r="B63" i="23"/>
  <c r="W37" i="20"/>
  <c r="D37" i="20"/>
  <c r="E37" i="20" s="1"/>
  <c r="F37" i="20" s="1"/>
  <c r="B37" i="22"/>
  <c r="G88" i="18"/>
  <c r="CA88" i="6" s="1"/>
  <c r="AA88" i="18"/>
  <c r="Z88" i="18" s="1"/>
  <c r="Y88" i="18" s="1"/>
  <c r="W244" i="20"/>
  <c r="D244" i="20"/>
  <c r="E244" i="20" s="1"/>
  <c r="F244" i="20" s="1"/>
  <c r="B244" i="22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B154" i="23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B346" i="22"/>
  <c r="D248" i="20"/>
  <c r="E248" i="20" s="1"/>
  <c r="F248" i="20" s="1"/>
  <c r="W248" i="20"/>
  <c r="B248" i="22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B16" i="23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B132" i="23"/>
  <c r="D295" i="20"/>
  <c r="E295" i="20" s="1"/>
  <c r="F295" i="20" s="1"/>
  <c r="W295" i="20"/>
  <c r="B295" i="22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B251" i="23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B125" i="22"/>
  <c r="G103" i="20"/>
  <c r="CB103" i="6" s="1"/>
  <c r="AA103" i="20"/>
  <c r="Z103" i="20" s="1"/>
  <c r="Y103" i="20" s="1"/>
  <c r="W157" i="20"/>
  <c r="D157" i="20"/>
  <c r="E157" i="20" s="1"/>
  <c r="F157" i="20" s="1"/>
  <c r="B157" i="22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B305" i="23"/>
  <c r="G310" i="18"/>
  <c r="CA310" i="6" s="1"/>
  <c r="AA310" i="18"/>
  <c r="Z310" i="18" s="1"/>
  <c r="Y310" i="18" s="1"/>
  <c r="W252" i="22"/>
  <c r="D252" i="22"/>
  <c r="E252" i="22" s="1"/>
  <c r="F252" i="22" s="1"/>
  <c r="B252" i="23"/>
  <c r="G378" i="18"/>
  <c r="CA378" i="6" s="1"/>
  <c r="AA378" i="18"/>
  <c r="Z378" i="18" s="1"/>
  <c r="Y378" i="18" s="1"/>
  <c r="W204" i="22"/>
  <c r="D204" i="22"/>
  <c r="E204" i="22" s="1"/>
  <c r="F204" i="22" s="1"/>
  <c r="B204" i="23"/>
  <c r="W90" i="20"/>
  <c r="D90" i="20"/>
  <c r="E90" i="20" s="1"/>
  <c r="F90" i="20" s="1"/>
  <c r="B90" i="22"/>
  <c r="W222" i="22"/>
  <c r="D222" i="22"/>
  <c r="E222" i="22" s="1"/>
  <c r="F222" i="22" s="1"/>
  <c r="B222" i="23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B340" i="22"/>
  <c r="G290" i="18"/>
  <c r="CA290" i="6" s="1"/>
  <c r="AA290" i="18"/>
  <c r="Z290" i="18" s="1"/>
  <c r="Y290" i="18" s="1"/>
  <c r="W286" i="22"/>
  <c r="D286" i="22"/>
  <c r="E286" i="22" s="1"/>
  <c r="F286" i="22" s="1"/>
  <c r="B286" i="23"/>
  <c r="W264" i="20"/>
  <c r="D264" i="20"/>
  <c r="E264" i="20" s="1"/>
  <c r="F264" i="20" s="1"/>
  <c r="B264" i="22"/>
  <c r="G242" i="20"/>
  <c r="CB242" i="6" s="1"/>
  <c r="AA242" i="20"/>
  <c r="Z242" i="20" s="1"/>
  <c r="Y242" i="20" s="1"/>
  <c r="D214" i="20"/>
  <c r="E214" i="20" s="1"/>
  <c r="F214" i="20" s="1"/>
  <c r="W214" i="20"/>
  <c r="B214" i="22"/>
  <c r="D198" i="20"/>
  <c r="E198" i="20" s="1"/>
  <c r="F198" i="20" s="1"/>
  <c r="W198" i="20"/>
  <c r="B198" i="22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B162" i="22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B82" i="23"/>
  <c r="D58" i="20"/>
  <c r="E58" i="20" s="1"/>
  <c r="F58" i="20" s="1"/>
  <c r="W58" i="20"/>
  <c r="B58" i="22"/>
  <c r="AA54" i="20"/>
  <c r="Z54" i="20" s="1"/>
  <c r="Y54" i="20" s="1"/>
  <c r="G54" i="20"/>
  <c r="CB54" i="6" s="1"/>
  <c r="W36" i="20"/>
  <c r="D36" i="20"/>
  <c r="E36" i="20" s="1"/>
  <c r="F36" i="20" s="1"/>
  <c r="B36" i="22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B279" i="22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B165" i="22"/>
  <c r="G121" i="18"/>
  <c r="CA121" i="6" s="1"/>
  <c r="AA121" i="18"/>
  <c r="Z121" i="18" s="1"/>
  <c r="Y121" i="18" s="1"/>
  <c r="W117" i="22"/>
  <c r="D117" i="22"/>
  <c r="E117" i="22" s="1"/>
  <c r="F117" i="22" s="1"/>
  <c r="B117" i="23"/>
  <c r="W109" i="20"/>
  <c r="D109" i="20"/>
  <c r="E109" i="20" s="1"/>
  <c r="F109" i="20" s="1"/>
  <c r="B109" i="22"/>
  <c r="W91" i="22"/>
  <c r="D91" i="22"/>
  <c r="E91" i="22" s="1"/>
  <c r="F91" i="22" s="1"/>
  <c r="B91" i="23"/>
  <c r="W51" i="20"/>
  <c r="D51" i="20"/>
  <c r="E51" i="20" s="1"/>
  <c r="F51" i="20" s="1"/>
  <c r="B51" i="22"/>
  <c r="D41" i="22"/>
  <c r="E41" i="22" s="1"/>
  <c r="F41" i="22" s="1"/>
  <c r="W41" i="22"/>
  <c r="B41" i="23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B364" i="22"/>
  <c r="W330" i="20"/>
  <c r="D330" i="20"/>
  <c r="E330" i="20" s="1"/>
  <c r="F330" i="20" s="1"/>
  <c r="B330" i="22"/>
  <c r="W304" i="22"/>
  <c r="D304" i="22"/>
  <c r="E304" i="22" s="1"/>
  <c r="F304" i="22" s="1"/>
  <c r="B304" i="23"/>
  <c r="G292" i="18"/>
  <c r="CA292" i="6" s="1"/>
  <c r="AA292" i="18"/>
  <c r="Z292" i="18" s="1"/>
  <c r="Y292" i="18" s="1"/>
  <c r="W262" i="22"/>
  <c r="D262" i="22"/>
  <c r="E262" i="22" s="1"/>
  <c r="F262" i="22" s="1"/>
  <c r="B262" i="23"/>
  <c r="W256" i="20"/>
  <c r="D256" i="20"/>
  <c r="E256" i="20" s="1"/>
  <c r="F256" i="20" s="1"/>
  <c r="B256" i="22"/>
  <c r="G202" i="20"/>
  <c r="CB202" i="6" s="1"/>
  <c r="AA202" i="20"/>
  <c r="Z202" i="20" s="1"/>
  <c r="Y202" i="20" s="1"/>
  <c r="W184" i="20"/>
  <c r="D184" i="20"/>
  <c r="E184" i="20" s="1"/>
  <c r="F184" i="20" s="1"/>
  <c r="B184" i="22"/>
  <c r="G138" i="20"/>
  <c r="CB138" i="6" s="1"/>
  <c r="AA138" i="20"/>
  <c r="Z138" i="20" s="1"/>
  <c r="Y138" i="20" s="1"/>
  <c r="W124" i="20"/>
  <c r="D124" i="20"/>
  <c r="E124" i="20" s="1"/>
  <c r="F124" i="20" s="1"/>
  <c r="B124" i="22"/>
  <c r="G28" i="20"/>
  <c r="CB28" i="6" s="1"/>
  <c r="AA28" i="20"/>
  <c r="Z28" i="20" s="1"/>
  <c r="Y28" i="20" s="1"/>
  <c r="W27" i="20"/>
  <c r="D27" i="20"/>
  <c r="E27" i="20" s="1"/>
  <c r="F27" i="20" s="1"/>
  <c r="B27" i="22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B151" i="23"/>
  <c r="D139" i="20"/>
  <c r="E139" i="20" s="1"/>
  <c r="F139" i="20" s="1"/>
  <c r="W139" i="20"/>
  <c r="B139" i="22"/>
  <c r="W107" i="22"/>
  <c r="D107" i="22"/>
  <c r="E107" i="22" s="1"/>
  <c r="F107" i="22" s="1"/>
  <c r="B107" i="23"/>
  <c r="W53" i="20"/>
  <c r="D53" i="20"/>
  <c r="E53" i="20" s="1"/>
  <c r="F53" i="20" s="1"/>
  <c r="B53" i="22"/>
  <c r="W39" i="22"/>
  <c r="D39" i="22"/>
  <c r="E39" i="22" s="1"/>
  <c r="F39" i="22" s="1"/>
  <c r="B39" i="23"/>
  <c r="D334" i="20"/>
  <c r="E334" i="20" s="1"/>
  <c r="F334" i="20" s="1"/>
  <c r="W334" i="20"/>
  <c r="B334" i="22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B146" i="23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B285" i="23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B215" i="22"/>
  <c r="G195" i="20"/>
  <c r="CB195" i="6" s="1"/>
  <c r="AA195" i="20"/>
  <c r="Z195" i="20" s="1"/>
  <c r="Y195" i="20" s="1"/>
  <c r="W181" i="20"/>
  <c r="D181" i="20"/>
  <c r="E181" i="20" s="1"/>
  <c r="F181" i="20" s="1"/>
  <c r="B181" i="22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B71" i="22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B336" i="23"/>
  <c r="W328" i="20"/>
  <c r="D328" i="20"/>
  <c r="E328" i="20" s="1"/>
  <c r="F328" i="20" s="1"/>
  <c r="B328" i="22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B268" i="22"/>
  <c r="W246" i="20"/>
  <c r="D246" i="20"/>
  <c r="E246" i="20" s="1"/>
  <c r="F246" i="20" s="1"/>
  <c r="B246" i="22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B104" i="22"/>
  <c r="W56" i="20"/>
  <c r="D56" i="20"/>
  <c r="E56" i="20" s="1"/>
  <c r="F56" i="20" s="1"/>
  <c r="B56" i="22"/>
  <c r="G50" i="20"/>
  <c r="CB50" i="6" s="1"/>
  <c r="AA50" i="20"/>
  <c r="Z50" i="20" s="1"/>
  <c r="Y50" i="20" s="1"/>
  <c r="W361" i="20"/>
  <c r="D361" i="20"/>
  <c r="E361" i="20" s="1"/>
  <c r="F361" i="20" s="1"/>
  <c r="B361" i="22"/>
  <c r="W273" i="20"/>
  <c r="D273" i="20"/>
  <c r="E273" i="20" s="1"/>
  <c r="F273" i="20" s="1"/>
  <c r="B273" i="22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B83" i="23"/>
  <c r="G61" i="18"/>
  <c r="CA61" i="6" s="1"/>
  <c r="AA61" i="18"/>
  <c r="Z61" i="18" s="1"/>
  <c r="Y61" i="18" s="1"/>
  <c r="W287" i="20"/>
  <c r="D287" i="20"/>
  <c r="E287" i="20" s="1"/>
  <c r="F287" i="20" s="1"/>
  <c r="B287" i="22"/>
  <c r="W130" i="22"/>
  <c r="D130" i="22"/>
  <c r="E130" i="22" s="1"/>
  <c r="F130" i="22" s="1"/>
  <c r="B130" i="23"/>
  <c r="G175" i="20"/>
  <c r="CB175" i="6" s="1"/>
  <c r="AA175" i="20"/>
  <c r="Z175" i="20" s="1"/>
  <c r="Y175" i="20" s="1"/>
  <c r="W253" i="20"/>
  <c r="D253" i="20"/>
  <c r="E253" i="20" s="1"/>
  <c r="F253" i="20" s="1"/>
  <c r="B253" i="22"/>
  <c r="W369" i="20"/>
  <c r="D369" i="20"/>
  <c r="E369" i="20" s="1"/>
  <c r="F369" i="20" s="1"/>
  <c r="B369" i="22"/>
  <c r="G302" i="20"/>
  <c r="CB302" i="6" s="1"/>
  <c r="AA302" i="20"/>
  <c r="Z302" i="20" s="1"/>
  <c r="Y302" i="20" s="1"/>
  <c r="W347" i="20"/>
  <c r="D347" i="20"/>
  <c r="E347" i="20" s="1"/>
  <c r="F347" i="20" s="1"/>
  <c r="B347" i="22"/>
  <c r="W376" i="20"/>
  <c r="D376" i="20"/>
  <c r="E376" i="20" s="1"/>
  <c r="F376" i="20" s="1"/>
  <c r="B376" i="22"/>
  <c r="G335" i="20"/>
  <c r="CB335" i="6" s="1"/>
  <c r="AA335" i="20"/>
  <c r="Z335" i="20" s="1"/>
  <c r="Y335" i="20" s="1"/>
  <c r="W66" i="22"/>
  <c r="D66" i="22"/>
  <c r="E66" i="22" s="1"/>
  <c r="F66" i="22" s="1"/>
  <c r="B66" i="23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B278" i="23"/>
  <c r="W75" i="20"/>
  <c r="D75" i="20"/>
  <c r="E75" i="20" s="1"/>
  <c r="F75" i="20" s="1"/>
  <c r="B75" i="22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B74" i="22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B187" i="22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B333" i="22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B69" i="23"/>
  <c r="W33" i="22"/>
  <c r="D33" i="22"/>
  <c r="E33" i="22" s="1"/>
  <c r="F33" i="22" s="1"/>
  <c r="B33" i="23"/>
  <c r="W352" i="20"/>
  <c r="D352" i="20"/>
  <c r="E352" i="20" s="1"/>
  <c r="F352" i="20" s="1"/>
  <c r="B352" i="22"/>
  <c r="W318" i="20"/>
  <c r="D318" i="20"/>
  <c r="E318" i="20" s="1"/>
  <c r="F318" i="20" s="1"/>
  <c r="B318" i="22"/>
  <c r="W274" i="20"/>
  <c r="D274" i="20"/>
  <c r="E274" i="20" s="1"/>
  <c r="F274" i="20" s="1"/>
  <c r="B274" i="22"/>
  <c r="W178" i="22"/>
  <c r="D178" i="22"/>
  <c r="E178" i="22" s="1"/>
  <c r="F178" i="22" s="1"/>
  <c r="B178" i="23"/>
  <c r="G136" i="20"/>
  <c r="CB136" i="6" s="1"/>
  <c r="AA136" i="20"/>
  <c r="Z136" i="20" s="1"/>
  <c r="Y136" i="20" s="1"/>
  <c r="W106" i="22"/>
  <c r="D106" i="22"/>
  <c r="E106" i="22" s="1"/>
  <c r="F106" i="22" s="1"/>
  <c r="B106" i="23"/>
  <c r="W84" i="20"/>
  <c r="D84" i="20"/>
  <c r="E84" i="20" s="1"/>
  <c r="F84" i="20" s="1"/>
  <c r="B84" i="22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B99" i="22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B114" i="22"/>
  <c r="G43" i="20"/>
  <c r="CB43" i="6" s="1"/>
  <c r="AA43" i="20"/>
  <c r="Z43" i="20" s="1"/>
  <c r="Y43" i="20" s="1"/>
  <c r="W283" i="20"/>
  <c r="D283" i="20"/>
  <c r="E283" i="20" s="1"/>
  <c r="F283" i="20" s="1"/>
  <c r="B283" i="22"/>
  <c r="W354" i="22"/>
  <c r="D354" i="22"/>
  <c r="E354" i="22" s="1"/>
  <c r="F354" i="22" s="1"/>
  <c r="B354" i="23"/>
  <c r="G177" i="20"/>
  <c r="CB177" i="6" s="1"/>
  <c r="AA177" i="20"/>
  <c r="Z177" i="20" s="1"/>
  <c r="Y177" i="20" s="1"/>
  <c r="W226" i="20"/>
  <c r="D226" i="20"/>
  <c r="E226" i="20" s="1"/>
  <c r="F226" i="20" s="1"/>
  <c r="B226" i="22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B29" i="22"/>
  <c r="W379" i="22"/>
  <c r="D379" i="22"/>
  <c r="E379" i="22" s="1"/>
  <c r="F379" i="22" s="1"/>
  <c r="B379" i="23"/>
  <c r="I217" i="18" l="1"/>
  <c r="H217" i="20" s="1"/>
  <c r="J217" i="20" s="1"/>
  <c r="J205" i="18"/>
  <c r="BA217" i="6"/>
  <c r="D217" i="6" s="1"/>
  <c r="BA205" i="6"/>
  <c r="D205" i="6" s="1"/>
  <c r="H49" i="18"/>
  <c r="B49" i="6"/>
  <c r="H21" i="18"/>
  <c r="B21" i="6"/>
  <c r="H188" i="18"/>
  <c r="B188" i="6"/>
  <c r="H207" i="18"/>
  <c r="B207" i="6"/>
  <c r="H371" i="18"/>
  <c r="I371" i="18" s="1"/>
  <c r="B371" i="6"/>
  <c r="H109" i="18"/>
  <c r="J109" i="18" s="1"/>
  <c r="B109" i="6"/>
  <c r="H33" i="18"/>
  <c r="J33" i="18" s="1"/>
  <c r="B33" i="6"/>
  <c r="H314" i="18"/>
  <c r="B314" i="6"/>
  <c r="H290" i="18"/>
  <c r="I290" i="18" s="1"/>
  <c r="B290" i="6"/>
  <c r="H258" i="18"/>
  <c r="B258" i="6"/>
  <c r="H340" i="18"/>
  <c r="B340" i="6"/>
  <c r="H270" i="18"/>
  <c r="I270" i="18" s="1"/>
  <c r="B270" i="6"/>
  <c r="H221" i="18"/>
  <c r="I221" i="18" s="1"/>
  <c r="B221" i="6"/>
  <c r="H328" i="18"/>
  <c r="I328" i="18" s="1"/>
  <c r="B328" i="6"/>
  <c r="H352" i="18"/>
  <c r="B352" i="6"/>
  <c r="H123" i="18"/>
  <c r="J123" i="18" s="1"/>
  <c r="B123" i="6"/>
  <c r="H349" i="18"/>
  <c r="B349" i="6"/>
  <c r="H83" i="18"/>
  <c r="B83" i="6"/>
  <c r="H175" i="18"/>
  <c r="B175" i="6"/>
  <c r="H115" i="18"/>
  <c r="B115" i="6"/>
  <c r="H20" i="18"/>
  <c r="B20" i="6"/>
  <c r="H231" i="18"/>
  <c r="J231" i="18" s="1"/>
  <c r="B231" i="6"/>
  <c r="H116" i="18"/>
  <c r="B116" i="6"/>
  <c r="H334" i="18"/>
  <c r="I334" i="18" s="1"/>
  <c r="B334" i="6"/>
  <c r="H174" i="18"/>
  <c r="B174" i="6"/>
  <c r="H160" i="18"/>
  <c r="I160" i="18" s="1"/>
  <c r="B160" i="6"/>
  <c r="H134" i="18"/>
  <c r="B134" i="6"/>
  <c r="H208" i="18"/>
  <c r="I208" i="18" s="1"/>
  <c r="B208" i="6"/>
  <c r="H358" i="18"/>
  <c r="B358" i="6"/>
  <c r="H183" i="18"/>
  <c r="B183" i="6"/>
  <c r="H359" i="18"/>
  <c r="B359" i="6"/>
  <c r="H137" i="18"/>
  <c r="J137" i="18" s="1"/>
  <c r="B137" i="6"/>
  <c r="H335" i="18"/>
  <c r="I335" i="18" s="1"/>
  <c r="B335" i="6"/>
  <c r="H19" i="18"/>
  <c r="I19" i="18" s="1"/>
  <c r="B19" i="6"/>
  <c r="H127" i="18"/>
  <c r="J127" i="18" s="1"/>
  <c r="B127" i="6"/>
  <c r="H209" i="18"/>
  <c r="B209" i="6"/>
  <c r="H132" i="18"/>
  <c r="I132" i="18" s="1"/>
  <c r="B132" i="6"/>
  <c r="H63" i="18"/>
  <c r="I63" i="18" s="1"/>
  <c r="B63" i="6"/>
  <c r="H211" i="18"/>
  <c r="J211" i="18" s="1"/>
  <c r="B211" i="6"/>
  <c r="H34" i="18"/>
  <c r="B34" i="6"/>
  <c r="H283" i="18"/>
  <c r="B283" i="6"/>
  <c r="H361" i="18"/>
  <c r="B361" i="6"/>
  <c r="H289" i="18"/>
  <c r="I289" i="18" s="1"/>
  <c r="B289" i="6"/>
  <c r="H122" i="18"/>
  <c r="B122" i="6"/>
  <c r="H273" i="18"/>
  <c r="B273" i="6"/>
  <c r="H341" i="18"/>
  <c r="B341" i="6"/>
  <c r="H154" i="18"/>
  <c r="B154" i="6"/>
  <c r="H347" i="18"/>
  <c r="I347" i="18" s="1"/>
  <c r="B347" i="6"/>
  <c r="H138" i="18"/>
  <c r="I138" i="18" s="1"/>
  <c r="B138" i="6"/>
  <c r="H368" i="18"/>
  <c r="I368" i="18" s="1"/>
  <c r="B368" i="6"/>
  <c r="H118" i="18"/>
  <c r="I118" i="18" s="1"/>
  <c r="B118" i="6"/>
  <c r="H125" i="18"/>
  <c r="B125" i="6"/>
  <c r="H79" i="18"/>
  <c r="J79" i="18" s="1"/>
  <c r="B79" i="6"/>
  <c r="H305" i="18"/>
  <c r="B305" i="6"/>
  <c r="H333" i="18"/>
  <c r="B333" i="6"/>
  <c r="H312" i="18"/>
  <c r="I312" i="18" s="1"/>
  <c r="B312" i="6"/>
  <c r="H268" i="18"/>
  <c r="J268" i="18" s="1"/>
  <c r="B268" i="6"/>
  <c r="H153" i="18"/>
  <c r="J153" i="18" s="1"/>
  <c r="B153" i="6"/>
  <c r="H31" i="18"/>
  <c r="J31" i="18" s="1"/>
  <c r="B31" i="6"/>
  <c r="H18" i="18"/>
  <c r="J18" i="18" s="1"/>
  <c r="B18" i="6"/>
  <c r="H90" i="18"/>
  <c r="I90" i="18" s="1"/>
  <c r="B90" i="6"/>
  <c r="H244" i="18"/>
  <c r="J244" i="18" s="1"/>
  <c r="B244" i="6"/>
  <c r="H193" i="18"/>
  <c r="I193" i="18" s="1"/>
  <c r="B193" i="6"/>
  <c r="H263" i="18"/>
  <c r="I263" i="18" s="1"/>
  <c r="B263" i="6"/>
  <c r="H338" i="18"/>
  <c r="B338" i="6"/>
  <c r="H212" i="18"/>
  <c r="J212" i="18" s="1"/>
  <c r="B212" i="6"/>
  <c r="H215" i="18"/>
  <c r="I215" i="18" s="1"/>
  <c r="B215" i="6"/>
  <c r="H241" i="18"/>
  <c r="I241" i="18" s="1"/>
  <c r="B241" i="6"/>
  <c r="H321" i="18"/>
  <c r="I321" i="18" s="1"/>
  <c r="B321" i="6"/>
  <c r="H88" i="18"/>
  <c r="B88" i="6"/>
  <c r="H105" i="18"/>
  <c r="B105" i="6"/>
  <c r="H194" i="18"/>
  <c r="B194" i="6"/>
  <c r="H60" i="18"/>
  <c r="B60" i="6"/>
  <c r="H351" i="18"/>
  <c r="B351" i="6"/>
  <c r="H363" i="18"/>
  <c r="J363" i="18" s="1"/>
  <c r="B363" i="6"/>
  <c r="H306" i="18"/>
  <c r="B306" i="6"/>
  <c r="H95" i="18"/>
  <c r="I95" i="18" s="1"/>
  <c r="B95" i="6"/>
  <c r="H287" i="18"/>
  <c r="I287" i="18" s="1"/>
  <c r="B287" i="6"/>
  <c r="H355" i="18"/>
  <c r="J355" i="18" s="1"/>
  <c r="B355" i="6"/>
  <c r="H379" i="18"/>
  <c r="I379" i="18" s="1"/>
  <c r="B379" i="6"/>
  <c r="H271" i="18"/>
  <c r="J271" i="18" s="1"/>
  <c r="B271" i="6"/>
  <c r="H58" i="18"/>
  <c r="B58" i="6"/>
  <c r="H129" i="18"/>
  <c r="I129" i="18" s="1"/>
  <c r="B129" i="6"/>
  <c r="H73" i="18"/>
  <c r="I73" i="18" s="1"/>
  <c r="B73" i="6"/>
  <c r="H260" i="18"/>
  <c r="B260" i="6"/>
  <c r="H332" i="18"/>
  <c r="I332" i="18" s="1"/>
  <c r="B332" i="6"/>
  <c r="H239" i="18"/>
  <c r="I239" i="18" s="1"/>
  <c r="B239" i="6"/>
  <c r="H51" i="18"/>
  <c r="I51" i="18" s="1"/>
  <c r="B51" i="6"/>
  <c r="H84" i="18"/>
  <c r="I84" i="18" s="1"/>
  <c r="B84" i="6"/>
  <c r="H348" i="18"/>
  <c r="I348" i="18" s="1"/>
  <c r="B348" i="6"/>
  <c r="H214" i="18"/>
  <c r="I214" i="18" s="1"/>
  <c r="B214" i="6"/>
  <c r="H280" i="18"/>
  <c r="J280" i="18" s="1"/>
  <c r="B280" i="6"/>
  <c r="H136" i="18"/>
  <c r="I136" i="18" s="1"/>
  <c r="B136" i="6"/>
  <c r="H38" i="18"/>
  <c r="B38" i="6"/>
  <c r="H219" i="18"/>
  <c r="B219" i="6"/>
  <c r="H161" i="18"/>
  <c r="I161" i="18" s="1"/>
  <c r="B161" i="6"/>
  <c r="H259" i="18"/>
  <c r="I259" i="18" s="1"/>
  <c r="B259" i="6"/>
  <c r="H92" i="18"/>
  <c r="B92" i="6"/>
  <c r="H233" i="18"/>
  <c r="B233" i="6"/>
  <c r="H72" i="18"/>
  <c r="I72" i="18" s="1"/>
  <c r="B72" i="6"/>
  <c r="H32" i="18"/>
  <c r="I32" i="18" s="1"/>
  <c r="B32" i="6"/>
  <c r="H98" i="18"/>
  <c r="B98" i="6"/>
  <c r="H337" i="18"/>
  <c r="B337" i="6"/>
  <c r="H113" i="18"/>
  <c r="B113" i="6"/>
  <c r="H274" i="18"/>
  <c r="J274" i="18" s="1"/>
  <c r="B274" i="6"/>
  <c r="H78" i="18"/>
  <c r="J78" i="18" s="1"/>
  <c r="B78" i="6"/>
  <c r="H82" i="18"/>
  <c r="I82" i="18" s="1"/>
  <c r="B82" i="6"/>
  <c r="H66" i="18"/>
  <c r="B66" i="6"/>
  <c r="H25" i="18"/>
  <c r="B25" i="6"/>
  <c r="H17" i="18"/>
  <c r="J17" i="18" s="1"/>
  <c r="B17" i="6"/>
  <c r="H144" i="18"/>
  <c r="J144" i="18" s="1"/>
  <c r="B144" i="6"/>
  <c r="H374" i="18"/>
  <c r="B374" i="6"/>
  <c r="H325" i="18"/>
  <c r="B325" i="6"/>
  <c r="H331" i="18"/>
  <c r="J331" i="18" s="1"/>
  <c r="B331" i="6"/>
  <c r="H269" i="18"/>
  <c r="J269" i="18" s="1"/>
  <c r="B269" i="6"/>
  <c r="H320" i="18"/>
  <c r="J320" i="18" s="1"/>
  <c r="B320" i="6"/>
  <c r="H52" i="18"/>
  <c r="I52" i="18" s="1"/>
  <c r="B52" i="6"/>
  <c r="H155" i="18"/>
  <c r="I155" i="18" s="1"/>
  <c r="B155" i="6"/>
  <c r="H245" i="18"/>
  <c r="B245" i="6"/>
  <c r="H24" i="18"/>
  <c r="J24" i="18" s="1"/>
  <c r="B24" i="6"/>
  <c r="H85" i="18"/>
  <c r="I85" i="18" s="1"/>
  <c r="B85" i="6"/>
  <c r="H141" i="18"/>
  <c r="I141" i="18" s="1"/>
  <c r="B141" i="6"/>
  <c r="H23" i="18"/>
  <c r="B23" i="6"/>
  <c r="H342" i="18"/>
  <c r="I342" i="18" s="1"/>
  <c r="B342" i="6"/>
  <c r="H344" i="18"/>
  <c r="I344" i="18" s="1"/>
  <c r="B344" i="6"/>
  <c r="H190" i="18"/>
  <c r="I190" i="18" s="1"/>
  <c r="B190" i="6"/>
  <c r="H147" i="18"/>
  <c r="I147" i="18" s="1"/>
  <c r="B147" i="6"/>
  <c r="H336" i="18"/>
  <c r="B336" i="6"/>
  <c r="H327" i="18"/>
  <c r="J327" i="18" s="1"/>
  <c r="B327" i="6"/>
  <c r="H198" i="18"/>
  <c r="J198" i="18" s="1"/>
  <c r="B198" i="6"/>
  <c r="H235" i="18"/>
  <c r="J235" i="18" s="1"/>
  <c r="B235" i="6"/>
  <c r="H158" i="18"/>
  <c r="B158" i="6"/>
  <c r="H191" i="18"/>
  <c r="I191" i="18" s="1"/>
  <c r="B191" i="6"/>
  <c r="H169" i="18"/>
  <c r="I169" i="18" s="1"/>
  <c r="B169" i="6"/>
  <c r="H308" i="18"/>
  <c r="J308" i="18" s="1"/>
  <c r="B308" i="6"/>
  <c r="H37" i="18"/>
  <c r="J37" i="18" s="1"/>
  <c r="B37" i="6"/>
  <c r="H364" i="18"/>
  <c r="I364" i="18" s="1"/>
  <c r="B364" i="6"/>
  <c r="H318" i="18"/>
  <c r="B318" i="6"/>
  <c r="H176" i="18"/>
  <c r="B176" i="6"/>
  <c r="H81" i="18"/>
  <c r="I81" i="18" s="1"/>
  <c r="B81" i="6"/>
  <c r="H135" i="18"/>
  <c r="I135" i="18" s="1"/>
  <c r="B135" i="6"/>
  <c r="H373" i="18"/>
  <c r="J373" i="18" s="1"/>
  <c r="B373" i="6"/>
  <c r="H133" i="18"/>
  <c r="J133" i="18" s="1"/>
  <c r="B133" i="6"/>
  <c r="H164" i="18"/>
  <c r="I164" i="18" s="1"/>
  <c r="B164" i="6"/>
  <c r="H156" i="18"/>
  <c r="B156" i="6"/>
  <c r="H210" i="18"/>
  <c r="J210" i="18" s="1"/>
  <c r="B210" i="6"/>
  <c r="H203" i="18"/>
  <c r="B203" i="6"/>
  <c r="H275" i="18"/>
  <c r="I275" i="18" s="1"/>
  <c r="B275" i="6"/>
  <c r="H300" i="18"/>
  <c r="I300" i="18" s="1"/>
  <c r="B300" i="6"/>
  <c r="H182" i="18"/>
  <c r="J182" i="18" s="1"/>
  <c r="B182" i="6"/>
  <c r="H91" i="18"/>
  <c r="B91" i="6"/>
  <c r="H27" i="18"/>
  <c r="J27" i="18" s="1"/>
  <c r="B27" i="6"/>
  <c r="H77" i="18"/>
  <c r="B77" i="6"/>
  <c r="H42" i="18"/>
  <c r="B42" i="6"/>
  <c r="H297" i="18"/>
  <c r="B297" i="6"/>
  <c r="H101" i="18"/>
  <c r="B101" i="6"/>
  <c r="H145" i="18"/>
  <c r="J145" i="18" s="1"/>
  <c r="B145" i="6"/>
  <c r="H330" i="18"/>
  <c r="J330" i="18" s="1"/>
  <c r="B330" i="6"/>
  <c r="H61" i="18"/>
  <c r="I61" i="18" s="1"/>
  <c r="B61" i="6"/>
  <c r="H162" i="18"/>
  <c r="I162" i="18" s="1"/>
  <c r="B162" i="6"/>
  <c r="H370" i="18"/>
  <c r="I370" i="18" s="1"/>
  <c r="B370" i="6"/>
  <c r="H317" i="18"/>
  <c r="J317" i="18" s="1"/>
  <c r="B317" i="6"/>
  <c r="H291" i="18"/>
  <c r="I291" i="18" s="1"/>
  <c r="B291" i="6"/>
  <c r="H343" i="18"/>
  <c r="I343" i="18" s="1"/>
  <c r="B343" i="6"/>
  <c r="H112" i="18"/>
  <c r="I112" i="18" s="1"/>
  <c r="B112" i="6"/>
  <c r="H99" i="18"/>
  <c r="I99" i="18" s="1"/>
  <c r="B99" i="6"/>
  <c r="H151" i="18"/>
  <c r="I151" i="18" s="1"/>
  <c r="B151" i="6"/>
  <c r="H254" i="18"/>
  <c r="B254" i="6"/>
  <c r="H237" i="18"/>
  <c r="J237" i="18" s="1"/>
  <c r="B237" i="6"/>
  <c r="H266" i="18"/>
  <c r="I266" i="18" s="1"/>
  <c r="B266" i="6"/>
  <c r="H181" i="18"/>
  <c r="I181" i="18" s="1"/>
  <c r="B181" i="6"/>
  <c r="H236" i="18"/>
  <c r="J236" i="18" s="1"/>
  <c r="B236" i="6"/>
  <c r="H140" i="18"/>
  <c r="J140" i="18" s="1"/>
  <c r="B140" i="6"/>
  <c r="H261" i="18"/>
  <c r="B261" i="6"/>
  <c r="H64" i="18"/>
  <c r="I64" i="18" s="1"/>
  <c r="B64" i="6"/>
  <c r="H173" i="18"/>
  <c r="B173" i="6"/>
  <c r="H243" i="18"/>
  <c r="J243" i="18" s="1"/>
  <c r="B243" i="6"/>
  <c r="H267" i="18"/>
  <c r="I267" i="18" s="1"/>
  <c r="B267" i="6"/>
  <c r="H252" i="18"/>
  <c r="J252" i="18" s="1"/>
  <c r="B252" i="6"/>
  <c r="H45" i="18"/>
  <c r="J45" i="18" s="1"/>
  <c r="B45" i="6"/>
  <c r="H345" i="18"/>
  <c r="I345" i="18" s="1"/>
  <c r="B345" i="6"/>
  <c r="H362" i="18"/>
  <c r="J362" i="18" s="1"/>
  <c r="B362" i="6"/>
  <c r="H70" i="18"/>
  <c r="B70" i="6"/>
  <c r="H294" i="18"/>
  <c r="B294" i="6"/>
  <c r="H265" i="18"/>
  <c r="I265" i="18" s="1"/>
  <c r="B265" i="6"/>
  <c r="H311" i="18"/>
  <c r="J311" i="18" s="1"/>
  <c r="B311" i="6"/>
  <c r="H303" i="18"/>
  <c r="J303" i="18" s="1"/>
  <c r="B303" i="6"/>
  <c r="H292" i="18"/>
  <c r="B292" i="6"/>
  <c r="H89" i="18"/>
  <c r="B89" i="6"/>
  <c r="H225" i="18"/>
  <c r="J225" i="18" s="1"/>
  <c r="B225" i="6"/>
  <c r="H369" i="18"/>
  <c r="B369" i="6"/>
  <c r="H247" i="18"/>
  <c r="I247" i="18" s="1"/>
  <c r="B247" i="6"/>
  <c r="H54" i="18"/>
  <c r="B54" i="6"/>
  <c r="H55" i="18"/>
  <c r="I55" i="18" s="1"/>
  <c r="B55" i="6"/>
  <c r="H288" i="18"/>
  <c r="I288" i="18" s="1"/>
  <c r="B288" i="6"/>
  <c r="H69" i="18"/>
  <c r="B69" i="6"/>
  <c r="H124" i="18"/>
  <c r="J124" i="18" s="1"/>
  <c r="B124" i="6"/>
  <c r="H339" i="18"/>
  <c r="J339" i="18" s="1"/>
  <c r="B339" i="6"/>
  <c r="H143" i="18"/>
  <c r="B143" i="6"/>
  <c r="H281" i="18"/>
  <c r="I281" i="18" s="1"/>
  <c r="B281" i="6"/>
  <c r="H189" i="18"/>
  <c r="B189" i="6"/>
  <c r="H44" i="18"/>
  <c r="B44" i="6"/>
  <c r="H80" i="18"/>
  <c r="B80" i="6"/>
  <c r="H35" i="18"/>
  <c r="B35" i="6"/>
  <c r="H262" i="18"/>
  <c r="J262" i="18" s="1"/>
  <c r="B262" i="6"/>
  <c r="H30" i="18"/>
  <c r="B30" i="6"/>
  <c r="H184" i="18"/>
  <c r="B184" i="6"/>
  <c r="H322" i="18"/>
  <c r="J322" i="18" s="1"/>
  <c r="B322" i="6"/>
  <c r="H222" i="18"/>
  <c r="B222" i="6"/>
  <c r="H298" i="18"/>
  <c r="J298" i="18" s="1"/>
  <c r="B298" i="6"/>
  <c r="H354" i="18"/>
  <c r="B354" i="6"/>
  <c r="H216" i="18"/>
  <c r="B216" i="6"/>
  <c r="H299" i="18"/>
  <c r="I299" i="18" s="1"/>
  <c r="B299" i="6"/>
  <c r="H167" i="18"/>
  <c r="B167" i="6"/>
  <c r="H249" i="18"/>
  <c r="B249" i="6"/>
  <c r="H120" i="18"/>
  <c r="B120" i="6"/>
  <c r="H159" i="18"/>
  <c r="B159" i="6"/>
  <c r="H196" i="18"/>
  <c r="J196" i="18" s="1"/>
  <c r="B196" i="6"/>
  <c r="H163" i="18"/>
  <c r="I163" i="18" s="1"/>
  <c r="B163" i="6"/>
  <c r="H108" i="18"/>
  <c r="B108" i="6"/>
  <c r="H121" i="18"/>
  <c r="B121" i="6"/>
  <c r="H166" i="18"/>
  <c r="J166" i="18" s="1"/>
  <c r="B166" i="6"/>
  <c r="H365" i="18"/>
  <c r="B365" i="6"/>
  <c r="H57" i="18"/>
  <c r="B57" i="6"/>
  <c r="H353" i="18"/>
  <c r="J353" i="18" s="1"/>
  <c r="B353" i="6"/>
  <c r="H148" i="18"/>
  <c r="B148" i="6"/>
  <c r="H100" i="18"/>
  <c r="I100" i="18" s="1"/>
  <c r="B100" i="6"/>
  <c r="H94" i="18"/>
  <c r="J94" i="18" s="1"/>
  <c r="B94" i="6"/>
  <c r="H199" i="18"/>
  <c r="J199" i="18" s="1"/>
  <c r="B199" i="6"/>
  <c r="H71" i="18"/>
  <c r="I71" i="18" s="1"/>
  <c r="B71" i="6"/>
  <c r="H319" i="18"/>
  <c r="B319" i="6"/>
  <c r="H285" i="18"/>
  <c r="J285" i="18" s="1"/>
  <c r="B285" i="6"/>
  <c r="H218" i="18"/>
  <c r="I218" i="18" s="1"/>
  <c r="B218" i="6"/>
  <c r="H278" i="18"/>
  <c r="I278" i="18" s="1"/>
  <c r="B278" i="6"/>
  <c r="H65" i="18"/>
  <c r="B65" i="6"/>
  <c r="H74" i="18"/>
  <c r="J74" i="18" s="1"/>
  <c r="B74" i="6"/>
  <c r="H242" i="18"/>
  <c r="J242" i="18" s="1"/>
  <c r="B242" i="6"/>
  <c r="H326" i="18"/>
  <c r="B326" i="6"/>
  <c r="H168" i="18"/>
  <c r="I168" i="18" s="1"/>
  <c r="B168" i="6"/>
  <c r="H128" i="18"/>
  <c r="B128" i="6"/>
  <c r="H301" i="18"/>
  <c r="I301" i="18" s="1"/>
  <c r="B301" i="6"/>
  <c r="H68" i="18"/>
  <c r="I68" i="18" s="1"/>
  <c r="B68" i="6"/>
  <c r="H350" i="18"/>
  <c r="J350" i="18" s="1"/>
  <c r="B350" i="6"/>
  <c r="H223" i="18"/>
  <c r="B223" i="6"/>
  <c r="H378" i="18"/>
  <c r="J378" i="18" s="1"/>
  <c r="B378" i="6"/>
  <c r="H22" i="18"/>
  <c r="J22" i="18" s="1"/>
  <c r="B22" i="6"/>
  <c r="H232" i="18"/>
  <c r="I232" i="18" s="1"/>
  <c r="B232" i="6"/>
  <c r="H220" i="18"/>
  <c r="B220" i="6"/>
  <c r="H16" i="18"/>
  <c r="B16" i="6"/>
  <c r="H185" i="18"/>
  <c r="B185" i="6"/>
  <c r="H356" i="18"/>
  <c r="J356" i="18" s="1"/>
  <c r="B356" i="6"/>
  <c r="H224" i="18"/>
  <c r="J224" i="18" s="1"/>
  <c r="B224" i="6"/>
  <c r="H284" i="18"/>
  <c r="B284" i="6"/>
  <c r="H114" i="18"/>
  <c r="I114" i="18" s="1"/>
  <c r="B114" i="6"/>
  <c r="H272" i="18"/>
  <c r="B272" i="6"/>
  <c r="H227" i="18"/>
  <c r="J227" i="18" s="1"/>
  <c r="B227" i="6"/>
  <c r="H282" i="18"/>
  <c r="B282" i="6"/>
  <c r="H131" i="18"/>
  <c r="B131" i="6"/>
  <c r="H39" i="18"/>
  <c r="I39" i="18" s="1"/>
  <c r="B39" i="6"/>
  <c r="H62" i="18"/>
  <c r="J62" i="18" s="1"/>
  <c r="B62" i="6"/>
  <c r="H41" i="18"/>
  <c r="I41" i="18" s="1"/>
  <c r="B41" i="6"/>
  <c r="H36" i="18"/>
  <c r="J36" i="18" s="1"/>
  <c r="B36" i="6"/>
  <c r="H377" i="18"/>
  <c r="B377" i="6"/>
  <c r="H255" i="18"/>
  <c r="I255" i="18" s="1"/>
  <c r="B255" i="6"/>
  <c r="H150" i="18"/>
  <c r="B150" i="6"/>
  <c r="H172" i="18"/>
  <c r="J172" i="18" s="1"/>
  <c r="B172" i="6"/>
  <c r="H226" i="18"/>
  <c r="J226" i="18" s="1"/>
  <c r="B226" i="6"/>
  <c r="H304" i="18"/>
  <c r="B304" i="6"/>
  <c r="H142" i="18"/>
  <c r="I142" i="18" s="1"/>
  <c r="B142" i="6"/>
  <c r="H367" i="18"/>
  <c r="J367" i="18" s="1"/>
  <c r="B367" i="6"/>
  <c r="H309" i="18"/>
  <c r="J309" i="18" s="1"/>
  <c r="B309" i="6"/>
  <c r="H86" i="18"/>
  <c r="B86" i="6"/>
  <c r="H366" i="18"/>
  <c r="I366" i="18" s="1"/>
  <c r="B366" i="6"/>
  <c r="H201" i="18"/>
  <c r="J201" i="18" s="1"/>
  <c r="B201" i="6"/>
  <c r="H324" i="18"/>
  <c r="I324" i="18" s="1"/>
  <c r="B324" i="6"/>
  <c r="H40" i="18"/>
  <c r="J40" i="18" s="1"/>
  <c r="B40" i="6"/>
  <c r="H171" i="18"/>
  <c r="B171" i="6"/>
  <c r="H146" i="18"/>
  <c r="J146" i="18" s="1"/>
  <c r="B146" i="6"/>
  <c r="H302" i="18"/>
  <c r="I302" i="18" s="1"/>
  <c r="B302" i="6"/>
  <c r="H293" i="18"/>
  <c r="B293" i="6"/>
  <c r="H47" i="18"/>
  <c r="J47" i="18" s="1"/>
  <c r="B47" i="6"/>
  <c r="H357" i="18"/>
  <c r="J357" i="18" s="1"/>
  <c r="B357" i="6"/>
  <c r="H250" i="18"/>
  <c r="I250" i="18" s="1"/>
  <c r="B250" i="6"/>
  <c r="H229" i="18"/>
  <c r="I229" i="18" s="1"/>
  <c r="B229" i="6"/>
  <c r="H165" i="18"/>
  <c r="B165" i="6"/>
  <c r="H202" i="18"/>
  <c r="B202" i="6"/>
  <c r="H346" i="18"/>
  <c r="J346" i="18" s="1"/>
  <c r="B346" i="6"/>
  <c r="H103" i="18"/>
  <c r="J103" i="18" s="1"/>
  <c r="B103" i="6"/>
  <c r="H170" i="18"/>
  <c r="I170" i="18" s="1"/>
  <c r="B170" i="6"/>
  <c r="H213" i="18"/>
  <c r="J213" i="18" s="1"/>
  <c r="B213" i="6"/>
  <c r="H192" i="18"/>
  <c r="J192" i="18" s="1"/>
  <c r="B192" i="6"/>
  <c r="H50" i="18"/>
  <c r="I50" i="18" s="1"/>
  <c r="B50" i="6"/>
  <c r="H256" i="18"/>
  <c r="J256" i="18" s="1"/>
  <c r="B256" i="6"/>
  <c r="H177" i="18"/>
  <c r="J177" i="18" s="1"/>
  <c r="B177" i="6"/>
  <c r="H130" i="18"/>
  <c r="B130" i="6"/>
  <c r="H26" i="18"/>
  <c r="I26" i="18" s="1"/>
  <c r="B26" i="6"/>
  <c r="H329" i="18"/>
  <c r="B329" i="6"/>
  <c r="H102" i="18"/>
  <c r="J102" i="18" s="1"/>
  <c r="B102" i="6"/>
  <c r="H104" i="18"/>
  <c r="J104" i="18" s="1"/>
  <c r="B104" i="6"/>
  <c r="H230" i="18"/>
  <c r="B230" i="6"/>
  <c r="H117" i="18"/>
  <c r="I117" i="18" s="1"/>
  <c r="B117" i="6"/>
  <c r="H180" i="18"/>
  <c r="I180" i="18" s="1"/>
  <c r="B180" i="6"/>
  <c r="H106" i="18"/>
  <c r="B106" i="6"/>
  <c r="H157" i="18"/>
  <c r="I157" i="18" s="1"/>
  <c r="B157" i="6"/>
  <c r="H107" i="18"/>
  <c r="B107" i="6"/>
  <c r="H28" i="18"/>
  <c r="I28" i="18" s="1"/>
  <c r="B28" i="6"/>
  <c r="H315" i="18"/>
  <c r="I315" i="18" s="1"/>
  <c r="B315" i="6"/>
  <c r="H310" i="18"/>
  <c r="J310" i="18" s="1"/>
  <c r="B310" i="6"/>
  <c r="H375" i="18"/>
  <c r="B375" i="6"/>
  <c r="H248" i="18"/>
  <c r="J248" i="18" s="1"/>
  <c r="B248" i="6"/>
  <c r="H96" i="18"/>
  <c r="I96" i="18" s="1"/>
  <c r="B96" i="6"/>
  <c r="H313" i="18"/>
  <c r="I313" i="18" s="1"/>
  <c r="B313" i="6"/>
  <c r="H277" i="18"/>
  <c r="I277" i="18" s="1"/>
  <c r="B277" i="6"/>
  <c r="H149" i="18"/>
  <c r="J149" i="18" s="1"/>
  <c r="B149" i="6"/>
  <c r="H187" i="18"/>
  <c r="I187" i="18" s="1"/>
  <c r="B187" i="6"/>
  <c r="H279" i="18"/>
  <c r="B279" i="6"/>
  <c r="H295" i="18"/>
  <c r="B295" i="6"/>
  <c r="H376" i="18"/>
  <c r="J376" i="18" s="1"/>
  <c r="B376" i="6"/>
  <c r="H323" i="18"/>
  <c r="I323" i="18" s="1"/>
  <c r="B323" i="6"/>
  <c r="H75" i="18"/>
  <c r="J75" i="18" s="1"/>
  <c r="B75" i="6"/>
  <c r="H246" i="18"/>
  <c r="I246" i="18" s="1"/>
  <c r="B246" i="6"/>
  <c r="H29" i="18"/>
  <c r="B29" i="6"/>
  <c r="H179" i="18"/>
  <c r="I179" i="18" s="1"/>
  <c r="B179" i="6"/>
  <c r="H56" i="18"/>
  <c r="I56" i="18" s="1"/>
  <c r="B56" i="6"/>
  <c r="H372" i="18"/>
  <c r="I372" i="18" s="1"/>
  <c r="B372" i="6"/>
  <c r="H53" i="18"/>
  <c r="I53" i="18" s="1"/>
  <c r="B53" i="6"/>
  <c r="H178" i="18"/>
  <c r="J178" i="18" s="1"/>
  <c r="B178" i="6"/>
  <c r="H152" i="18"/>
  <c r="I152" i="18" s="1"/>
  <c r="B152" i="6"/>
  <c r="H59" i="18"/>
  <c r="J59" i="18" s="1"/>
  <c r="B59" i="6"/>
  <c r="H46" i="18"/>
  <c r="B46" i="6"/>
  <c r="H360" i="18"/>
  <c r="I360" i="18" s="1"/>
  <c r="B360" i="6"/>
  <c r="H307" i="18"/>
  <c r="I307" i="18" s="1"/>
  <c r="B307" i="6"/>
  <c r="H276" i="18"/>
  <c r="J276" i="18" s="1"/>
  <c r="B276" i="6"/>
  <c r="H186" i="18"/>
  <c r="I186" i="18" s="1"/>
  <c r="B186" i="6"/>
  <c r="H67" i="18"/>
  <c r="I67" i="18" s="1"/>
  <c r="B67" i="6"/>
  <c r="H228" i="18"/>
  <c r="I228" i="18" s="1"/>
  <c r="B228" i="6"/>
  <c r="H48" i="18"/>
  <c r="J48" i="18" s="1"/>
  <c r="B48" i="6"/>
  <c r="H111" i="18"/>
  <c r="B111" i="6"/>
  <c r="H126" i="18"/>
  <c r="B126" i="6"/>
  <c r="H286" i="18"/>
  <c r="J286" i="18" s="1"/>
  <c r="B286" i="6"/>
  <c r="H119" i="18"/>
  <c r="I119" i="18" s="1"/>
  <c r="B119" i="6"/>
  <c r="H257" i="18"/>
  <c r="I257" i="18" s="1"/>
  <c r="B257" i="6"/>
  <c r="H200" i="18"/>
  <c r="J200" i="18" s="1"/>
  <c r="B200" i="6"/>
  <c r="H139" i="18"/>
  <c r="J139" i="18" s="1"/>
  <c r="B139" i="6"/>
  <c r="H206" i="18"/>
  <c r="B206" i="6"/>
  <c r="H110" i="18"/>
  <c r="I110" i="18" s="1"/>
  <c r="B110" i="6"/>
  <c r="N70" i="19"/>
  <c r="B59" i="19"/>
  <c r="B57" i="19"/>
  <c r="B58" i="19"/>
  <c r="D152" i="22"/>
  <c r="E152" i="22" s="1"/>
  <c r="F152" i="22" s="1"/>
  <c r="B152" i="23"/>
  <c r="W152" i="23" s="1"/>
  <c r="AA262" i="20"/>
  <c r="Z262" i="20" s="1"/>
  <c r="Y262" i="20" s="1"/>
  <c r="B108" i="23"/>
  <c r="W108" i="23" s="1"/>
  <c r="B59" i="23"/>
  <c r="D59" i="23" s="1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B259" i="23"/>
  <c r="B259" i="24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B50" i="23"/>
  <c r="W50" i="23" s="1"/>
  <c r="B28" i="23"/>
  <c r="D28" i="23" s="1"/>
  <c r="E28" i="23" s="1"/>
  <c r="F28" i="23" s="1"/>
  <c r="W54" i="22"/>
  <c r="G97" i="20"/>
  <c r="CB97" i="6" s="1"/>
  <c r="B211" i="23"/>
  <c r="W211" i="23" s="1"/>
  <c r="B205" i="23"/>
  <c r="W205" i="23" s="1"/>
  <c r="B331" i="23"/>
  <c r="W331" i="23" s="1"/>
  <c r="B70" i="23"/>
  <c r="D70" i="23" s="1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B359" i="23"/>
  <c r="D359" i="23" s="1"/>
  <c r="E359" i="23" s="1"/>
  <c r="F359" i="23" s="1"/>
  <c r="B231" i="23"/>
  <c r="B231" i="24" s="1"/>
  <c r="B237" i="23"/>
  <c r="D237" i="23" s="1"/>
  <c r="E237" i="23" s="1"/>
  <c r="F237" i="23" s="1"/>
  <c r="B212" i="23"/>
  <c r="D212" i="23" s="1"/>
  <c r="E212" i="23" s="1"/>
  <c r="F212" i="23" s="1"/>
  <c r="B363" i="23"/>
  <c r="B363" i="24" s="1"/>
  <c r="AA300" i="20"/>
  <c r="Z300" i="20" s="1"/>
  <c r="Y300" i="20" s="1"/>
  <c r="W358" i="22"/>
  <c r="B329" i="23"/>
  <c r="W329" i="23" s="1"/>
  <c r="AA299" i="20"/>
  <c r="Z299" i="20" s="1"/>
  <c r="Y299" i="20" s="1"/>
  <c r="B306" i="23"/>
  <c r="W306" i="23" s="1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B300" i="23"/>
  <c r="W300" i="23" s="1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B19" i="23"/>
  <c r="D19" i="23" s="1"/>
  <c r="E19" i="23" s="1"/>
  <c r="F19" i="23" s="1"/>
  <c r="B167" i="23"/>
  <c r="G323" i="20"/>
  <c r="CB323" i="6" s="1"/>
  <c r="B170" i="23"/>
  <c r="B170" i="24" s="1"/>
  <c r="B94" i="23"/>
  <c r="B94" i="24" s="1"/>
  <c r="W300" i="22"/>
  <c r="G193" i="20"/>
  <c r="CB193" i="6" s="1"/>
  <c r="B269" i="23"/>
  <c r="W269" i="23" s="1"/>
  <c r="G26" i="20"/>
  <c r="CB26" i="6" s="1"/>
  <c r="B351" i="23"/>
  <c r="B351" i="24" s="1"/>
  <c r="W208" i="22"/>
  <c r="AA216" i="20"/>
  <c r="Z216" i="20" s="1"/>
  <c r="Y216" i="20" s="1"/>
  <c r="B348" i="23"/>
  <c r="D348" i="23" s="1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B377" i="23"/>
  <c r="D377" i="23" s="1"/>
  <c r="E377" i="23" s="1"/>
  <c r="F377" i="23" s="1"/>
  <c r="B23" i="23"/>
  <c r="D23" i="23" s="1"/>
  <c r="E23" i="23" s="1"/>
  <c r="F23" i="23" s="1"/>
  <c r="B335" i="23"/>
  <c r="D335" i="23" s="1"/>
  <c r="E335" i="23" s="1"/>
  <c r="F335" i="23" s="1"/>
  <c r="G265" i="20"/>
  <c r="CB265" i="6" s="1"/>
  <c r="B270" i="23"/>
  <c r="W270" i="23" s="1"/>
  <c r="B131" i="23"/>
  <c r="B131" i="24" s="1"/>
  <c r="D327" i="22"/>
  <c r="E327" i="22" s="1"/>
  <c r="F327" i="22" s="1"/>
  <c r="AA327" i="22" s="1"/>
  <c r="Z327" i="22" s="1"/>
  <c r="Y327" i="22" s="1"/>
  <c r="B54" i="23"/>
  <c r="W54" i="23" s="1"/>
  <c r="G312" i="20"/>
  <c r="CB312" i="6" s="1"/>
  <c r="W64" i="22"/>
  <c r="B353" i="23"/>
  <c r="D353" i="23" s="1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B358" i="23"/>
  <c r="W358" i="23" s="1"/>
  <c r="W59" i="22"/>
  <c r="B179" i="23"/>
  <c r="D179" i="23" s="1"/>
  <c r="E179" i="23" s="1"/>
  <c r="F179" i="23" s="1"/>
  <c r="G129" i="20"/>
  <c r="CB129" i="6" s="1"/>
  <c r="W329" i="22"/>
  <c r="AA224" i="20"/>
  <c r="Z224" i="20" s="1"/>
  <c r="Y224" i="20" s="1"/>
  <c r="W306" i="22"/>
  <c r="W116" i="22"/>
  <c r="B197" i="23"/>
  <c r="B197" i="24" s="1"/>
  <c r="AA120" i="20"/>
  <c r="Z120" i="20" s="1"/>
  <c r="Y120" i="20" s="1"/>
  <c r="W192" i="22"/>
  <c r="B129" i="23"/>
  <c r="D129" i="23" s="1"/>
  <c r="E129" i="23" s="1"/>
  <c r="F129" i="23" s="1"/>
  <c r="G353" i="20"/>
  <c r="CB353" i="6" s="1"/>
  <c r="B79" i="23"/>
  <c r="B79" i="24" s="1"/>
  <c r="B337" i="23"/>
  <c r="B337" i="24" s="1"/>
  <c r="W294" i="22"/>
  <c r="B301" i="23"/>
  <c r="W301" i="23" s="1"/>
  <c r="B95" i="23"/>
  <c r="D95" i="23" s="1"/>
  <c r="E95" i="23" s="1"/>
  <c r="F95" i="23" s="1"/>
  <c r="B316" i="23"/>
  <c r="D316" i="23" s="1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B297" i="23"/>
  <c r="W297" i="23" s="1"/>
  <c r="B208" i="23"/>
  <c r="B208" i="24" s="1"/>
  <c r="W348" i="22"/>
  <c r="B18" i="23"/>
  <c r="B18" i="24" s="1"/>
  <c r="D224" i="22"/>
  <c r="E224" i="22" s="1"/>
  <c r="F224" i="22" s="1"/>
  <c r="G224" i="22" s="1"/>
  <c r="CC224" i="6" s="1"/>
  <c r="B312" i="23"/>
  <c r="B312" i="24" s="1"/>
  <c r="B43" i="23"/>
  <c r="W43" i="23" s="1"/>
  <c r="B183" i="23"/>
  <c r="B183" i="24" s="1"/>
  <c r="B136" i="23"/>
  <c r="D136" i="23" s="1"/>
  <c r="E136" i="23" s="1"/>
  <c r="F136" i="23" s="1"/>
  <c r="W23" i="22"/>
  <c r="AA316" i="20"/>
  <c r="Z316" i="20" s="1"/>
  <c r="Y316" i="20" s="1"/>
  <c r="G19" i="20"/>
  <c r="CB19" i="6" s="1"/>
  <c r="W131" i="22"/>
  <c r="B327" i="23"/>
  <c r="D327" i="23" s="1"/>
  <c r="E327" i="23" s="1"/>
  <c r="F327" i="23" s="1"/>
  <c r="G351" i="20"/>
  <c r="CB351" i="6" s="1"/>
  <c r="B30" i="23"/>
  <c r="D30" i="23" s="1"/>
  <c r="E30" i="23" s="1"/>
  <c r="F30" i="23" s="1"/>
  <c r="B294" i="23"/>
  <c r="W294" i="23" s="1"/>
  <c r="D326" i="22"/>
  <c r="E326" i="22" s="1"/>
  <c r="F326" i="22" s="1"/>
  <c r="G326" i="22" s="1"/>
  <c r="CC326" i="6" s="1"/>
  <c r="B193" i="23"/>
  <c r="B193" i="24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B116" i="23"/>
  <c r="W116" i="23" s="1"/>
  <c r="G23" i="20"/>
  <c r="CB23" i="6" s="1"/>
  <c r="B35" i="23"/>
  <c r="B35" i="24" s="1"/>
  <c r="B192" i="23"/>
  <c r="W192" i="23" s="1"/>
  <c r="G164" i="20"/>
  <c r="CB164" i="6" s="1"/>
  <c r="G243" i="20"/>
  <c r="CB243" i="6" s="1"/>
  <c r="B168" i="23"/>
  <c r="B168" i="24" s="1"/>
  <c r="D366" i="22"/>
  <c r="E366" i="22" s="1"/>
  <c r="F366" i="22" s="1"/>
  <c r="AA366" i="22" s="1"/>
  <c r="Z366" i="22" s="1"/>
  <c r="Y366" i="22" s="1"/>
  <c r="B155" i="23"/>
  <c r="W155" i="23" s="1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B323" i="23"/>
  <c r="D323" i="23" s="1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B153" i="23"/>
  <c r="D153" i="23" s="1"/>
  <c r="E153" i="23" s="1"/>
  <c r="F153" i="23" s="1"/>
  <c r="G16" i="20"/>
  <c r="CB16" i="6" s="1"/>
  <c r="B216" i="23"/>
  <c r="W216" i="23" s="1"/>
  <c r="D164" i="22"/>
  <c r="E164" i="22" s="1"/>
  <c r="F164" i="22" s="1"/>
  <c r="G164" i="22" s="1"/>
  <c r="CC164" i="6" s="1"/>
  <c r="B180" i="23"/>
  <c r="W180" i="23" s="1"/>
  <c r="D227" i="22"/>
  <c r="E227" i="22" s="1"/>
  <c r="F227" i="22" s="1"/>
  <c r="G227" i="22" s="1"/>
  <c r="CC227" i="6" s="1"/>
  <c r="B55" i="23"/>
  <c r="B55" i="24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B366" i="23"/>
  <c r="B366" i="24" s="1"/>
  <c r="G64" i="20"/>
  <c r="CB64" i="6" s="1"/>
  <c r="D38" i="22"/>
  <c r="E38" i="22" s="1"/>
  <c r="F38" i="22" s="1"/>
  <c r="AA38" i="22" s="1"/>
  <c r="Z38" i="22" s="1"/>
  <c r="Y38" i="22" s="1"/>
  <c r="W323" i="22"/>
  <c r="B92" i="23"/>
  <c r="B92" i="24" s="1"/>
  <c r="G170" i="20"/>
  <c r="CB170" i="6" s="1"/>
  <c r="B344" i="23"/>
  <c r="W344" i="23" s="1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B64" i="23"/>
  <c r="W64" i="23" s="1"/>
  <c r="W353" i="22"/>
  <c r="B243" i="23"/>
  <c r="W243" i="23" s="1"/>
  <c r="B227" i="23"/>
  <c r="B227" i="24" s="1"/>
  <c r="W35" i="22"/>
  <c r="W55" i="22"/>
  <c r="W255" i="22"/>
  <c r="B228" i="23"/>
  <c r="B228" i="24" s="1"/>
  <c r="B97" i="23"/>
  <c r="W97" i="23" s="1"/>
  <c r="B367" i="23"/>
  <c r="W367" i="23" s="1"/>
  <c r="B284" i="23"/>
  <c r="D284" i="23" s="1"/>
  <c r="E284" i="23" s="1"/>
  <c r="F284" i="23" s="1"/>
  <c r="B326" i="23"/>
  <c r="D326" i="23" s="1"/>
  <c r="E326" i="23" s="1"/>
  <c r="F326" i="23" s="1"/>
  <c r="B338" i="23"/>
  <c r="W338" i="23" s="1"/>
  <c r="W216" i="22"/>
  <c r="B164" i="23"/>
  <c r="W164" i="23" s="1"/>
  <c r="W179" i="22"/>
  <c r="W243" i="22"/>
  <c r="H205" i="20"/>
  <c r="I205" i="20" s="1"/>
  <c r="H205" i="22" s="1"/>
  <c r="B265" i="23"/>
  <c r="B265" i="24" s="1"/>
  <c r="B258" i="23"/>
  <c r="B258" i="24" s="1"/>
  <c r="B224" i="23"/>
  <c r="W224" i="23" s="1"/>
  <c r="B324" i="23"/>
  <c r="W324" i="23" s="1"/>
  <c r="D380" i="20"/>
  <c r="E380" i="20" s="1"/>
  <c r="F380" i="20" s="1"/>
  <c r="W380" i="20"/>
  <c r="H251" i="20"/>
  <c r="J251" i="20" s="1"/>
  <c r="B255" i="23"/>
  <c r="B255" i="24" s="1"/>
  <c r="B38" i="23"/>
  <c r="B38" i="24" s="1"/>
  <c r="W379" i="23"/>
  <c r="D379" i="23"/>
  <c r="E379" i="23" s="1"/>
  <c r="F379" i="23" s="1"/>
  <c r="B379" i="24"/>
  <c r="G180" i="22"/>
  <c r="CC180" i="6" s="1"/>
  <c r="AA180" i="22"/>
  <c r="Z180" i="22" s="1"/>
  <c r="Y180" i="22" s="1"/>
  <c r="W29" i="22"/>
  <c r="D29" i="22"/>
  <c r="E29" i="22" s="1"/>
  <c r="F29" i="22" s="1"/>
  <c r="B29" i="23"/>
  <c r="G226" i="20"/>
  <c r="CB226" i="6" s="1"/>
  <c r="AA226" i="20"/>
  <c r="Z226" i="20" s="1"/>
  <c r="Y226" i="20" s="1"/>
  <c r="W354" i="23"/>
  <c r="D354" i="23"/>
  <c r="E354" i="23" s="1"/>
  <c r="F354" i="23" s="1"/>
  <c r="B354" i="24"/>
  <c r="G283" i="20"/>
  <c r="CB283" i="6" s="1"/>
  <c r="AA283" i="20"/>
  <c r="Z283" i="20" s="1"/>
  <c r="Y283" i="20" s="1"/>
  <c r="D114" i="22"/>
  <c r="E114" i="22" s="1"/>
  <c r="F114" i="22" s="1"/>
  <c r="B114" i="23"/>
  <c r="W114" i="22"/>
  <c r="W84" i="22"/>
  <c r="B84" i="23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B274" i="23"/>
  <c r="G318" i="20"/>
  <c r="CB318" i="6" s="1"/>
  <c r="AA318" i="20"/>
  <c r="Z318" i="20" s="1"/>
  <c r="Y318" i="20" s="1"/>
  <c r="W352" i="22"/>
  <c r="B352" i="23"/>
  <c r="D352" i="22"/>
  <c r="E352" i="22" s="1"/>
  <c r="F352" i="22" s="1"/>
  <c r="D33" i="23"/>
  <c r="E33" i="23" s="1"/>
  <c r="F33" i="23" s="1"/>
  <c r="B33" i="24"/>
  <c r="W33" i="23"/>
  <c r="W333" i="22"/>
  <c r="B333" i="23"/>
  <c r="D333" i="22"/>
  <c r="E333" i="22" s="1"/>
  <c r="F333" i="22" s="1"/>
  <c r="W187" i="22"/>
  <c r="D187" i="22"/>
  <c r="E187" i="22" s="1"/>
  <c r="F187" i="22" s="1"/>
  <c r="B187" i="23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B75" i="23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B66" i="24"/>
  <c r="W66" i="23"/>
  <c r="W376" i="22"/>
  <c r="B376" i="23"/>
  <c r="D376" i="22"/>
  <c r="E376" i="22" s="1"/>
  <c r="F376" i="22" s="1"/>
  <c r="W347" i="22"/>
  <c r="B347" i="23"/>
  <c r="D347" i="22"/>
  <c r="E347" i="22" s="1"/>
  <c r="F347" i="22" s="1"/>
  <c r="W369" i="22"/>
  <c r="B369" i="23"/>
  <c r="D369" i="22"/>
  <c r="E369" i="22" s="1"/>
  <c r="F369" i="22" s="1"/>
  <c r="W253" i="22"/>
  <c r="D253" i="22"/>
  <c r="E253" i="22" s="1"/>
  <c r="F253" i="22" s="1"/>
  <c r="B253" i="23"/>
  <c r="D130" i="23"/>
  <c r="E130" i="23" s="1"/>
  <c r="F130" i="23" s="1"/>
  <c r="B130" i="24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B83" i="24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B104" i="23"/>
  <c r="D104" i="22"/>
  <c r="E104" i="22" s="1"/>
  <c r="F104" i="22" s="1"/>
  <c r="AA170" i="22"/>
  <c r="Z170" i="22" s="1"/>
  <c r="Y170" i="22" s="1"/>
  <c r="G170" i="22"/>
  <c r="CC170" i="6" s="1"/>
  <c r="W246" i="22"/>
  <c r="B246" i="23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B336" i="24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B334" i="23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B53" i="23"/>
  <c r="AA107" i="22"/>
  <c r="Z107" i="22" s="1"/>
  <c r="Y107" i="22" s="1"/>
  <c r="G107" i="22"/>
  <c r="CC107" i="6" s="1"/>
  <c r="W139" i="22"/>
  <c r="B139" i="23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B262" i="24"/>
  <c r="D262" i="23"/>
  <c r="E262" i="23" s="1"/>
  <c r="F262" i="23" s="1"/>
  <c r="D304" i="23"/>
  <c r="E304" i="23" s="1"/>
  <c r="F304" i="23" s="1"/>
  <c r="B304" i="24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B51" i="23"/>
  <c r="G91" i="22"/>
  <c r="CC91" i="6" s="1"/>
  <c r="AA91" i="22"/>
  <c r="Z91" i="22" s="1"/>
  <c r="Y91" i="22" s="1"/>
  <c r="W109" i="22"/>
  <c r="B109" i="23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B36" i="23"/>
  <c r="W58" i="22"/>
  <c r="D58" i="22"/>
  <c r="E58" i="22" s="1"/>
  <c r="F58" i="22" s="1"/>
  <c r="B58" i="23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B162" i="23"/>
  <c r="G264" i="20"/>
  <c r="CB264" i="6" s="1"/>
  <c r="AA264" i="20"/>
  <c r="Z264" i="20" s="1"/>
  <c r="Y264" i="20" s="1"/>
  <c r="W286" i="23"/>
  <c r="D286" i="23"/>
  <c r="E286" i="23" s="1"/>
  <c r="F286" i="23" s="1"/>
  <c r="B286" i="24"/>
  <c r="W340" i="22"/>
  <c r="D340" i="22"/>
  <c r="E340" i="22" s="1"/>
  <c r="F340" i="22" s="1"/>
  <c r="B340" i="23"/>
  <c r="G222" i="22"/>
  <c r="CC222" i="6" s="1"/>
  <c r="AA222" i="22"/>
  <c r="Z222" i="22" s="1"/>
  <c r="Y222" i="22" s="1"/>
  <c r="W90" i="22"/>
  <c r="B90" i="23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B251" i="24"/>
  <c r="W251" i="23"/>
  <c r="W132" i="23"/>
  <c r="D132" i="23"/>
  <c r="E132" i="23" s="1"/>
  <c r="F132" i="23" s="1"/>
  <c r="B132" i="24"/>
  <c r="D16" i="23"/>
  <c r="E16" i="23" s="1"/>
  <c r="F16" i="23" s="1"/>
  <c r="B16" i="24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B154" i="24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B63" i="24"/>
  <c r="D63" i="23"/>
  <c r="E63" i="23" s="1"/>
  <c r="F63" i="23" s="1"/>
  <c r="D185" i="22"/>
  <c r="E185" i="22" s="1"/>
  <c r="F185" i="22" s="1"/>
  <c r="B185" i="23"/>
  <c r="W185" i="22"/>
  <c r="G70" i="22"/>
  <c r="CC70" i="6" s="1"/>
  <c r="AA70" i="22"/>
  <c r="Z70" i="22" s="1"/>
  <c r="Y70" i="22" s="1"/>
  <c r="W110" i="22"/>
  <c r="B110" i="23"/>
  <c r="D110" i="22"/>
  <c r="E110" i="22" s="1"/>
  <c r="F110" i="22" s="1"/>
  <c r="AA31" i="20"/>
  <c r="Z31" i="20" s="1"/>
  <c r="Y31" i="20" s="1"/>
  <c r="G31" i="20"/>
  <c r="CB31" i="6" s="1"/>
  <c r="J87" i="18"/>
  <c r="I87" i="18"/>
  <c r="BA87" i="6" s="1"/>
  <c r="D87" i="6" s="1"/>
  <c r="G93" i="22"/>
  <c r="CC93" i="6" s="1"/>
  <c r="AA93" i="22"/>
  <c r="Z93" i="22" s="1"/>
  <c r="Y93" i="22" s="1"/>
  <c r="W145" i="22"/>
  <c r="B145" i="23"/>
  <c r="D145" i="22"/>
  <c r="E145" i="22" s="1"/>
  <c r="F145" i="22" s="1"/>
  <c r="W201" i="22"/>
  <c r="B201" i="23"/>
  <c r="D201" i="22"/>
  <c r="E201" i="22" s="1"/>
  <c r="F201" i="22" s="1"/>
  <c r="J291" i="18"/>
  <c r="B293" i="24"/>
  <c r="W293" i="23"/>
  <c r="D293" i="23"/>
  <c r="E293" i="23" s="1"/>
  <c r="F293" i="23" s="1"/>
  <c r="AA293" i="22"/>
  <c r="Z293" i="22" s="1"/>
  <c r="Y293" i="22" s="1"/>
  <c r="G293" i="22"/>
  <c r="CC293" i="6" s="1"/>
  <c r="I339" i="18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B148" i="23"/>
  <c r="G348" i="22"/>
  <c r="CC348" i="6" s="1"/>
  <c r="AA348" i="22"/>
  <c r="Z348" i="22" s="1"/>
  <c r="Y348" i="22" s="1"/>
  <c r="W372" i="22"/>
  <c r="D372" i="22"/>
  <c r="E372" i="22" s="1"/>
  <c r="F372" i="22" s="1"/>
  <c r="B372" i="23"/>
  <c r="W65" i="22"/>
  <c r="B65" i="23"/>
  <c r="D65" i="22"/>
  <c r="E65" i="22" s="1"/>
  <c r="F65" i="22" s="1"/>
  <c r="G65" i="20"/>
  <c r="CB65" i="6" s="1"/>
  <c r="AA65" i="20"/>
  <c r="Z65" i="20" s="1"/>
  <c r="Y65" i="20" s="1"/>
  <c r="W143" i="22"/>
  <c r="B143" i="23"/>
  <c r="D143" i="22"/>
  <c r="E143" i="22" s="1"/>
  <c r="F143" i="22" s="1"/>
  <c r="W223" i="22"/>
  <c r="B223" i="23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B373" i="23"/>
  <c r="G48" i="20"/>
  <c r="CB48" i="6" s="1"/>
  <c r="AA48" i="20"/>
  <c r="Z48" i="20" s="1"/>
  <c r="Y48" i="20" s="1"/>
  <c r="B122" i="24"/>
  <c r="W122" i="23"/>
  <c r="D122" i="23"/>
  <c r="E122" i="23" s="1"/>
  <c r="F122" i="23" s="1"/>
  <c r="G160" i="20"/>
  <c r="CB160" i="6" s="1"/>
  <c r="AA160" i="20"/>
  <c r="Z160" i="20" s="1"/>
  <c r="Y160" i="20" s="1"/>
  <c r="I234" i="18"/>
  <c r="BA234" i="6" s="1"/>
  <c r="D234" i="6" s="1"/>
  <c r="J234" i="18"/>
  <c r="G238" i="22"/>
  <c r="CC238" i="6" s="1"/>
  <c r="AA238" i="22"/>
  <c r="Z238" i="22" s="1"/>
  <c r="Y238" i="22" s="1"/>
  <c r="B266" i="23"/>
  <c r="W266" i="22"/>
  <c r="D266" i="22"/>
  <c r="E266" i="22" s="1"/>
  <c r="F266" i="22" s="1"/>
  <c r="D322" i="22"/>
  <c r="E322" i="22" s="1"/>
  <c r="F322" i="22" s="1"/>
  <c r="W322" i="22"/>
  <c r="B322" i="23"/>
  <c r="W360" i="23"/>
  <c r="D360" i="23"/>
  <c r="E360" i="23" s="1"/>
  <c r="F360" i="23" s="1"/>
  <c r="B360" i="24"/>
  <c r="W85" i="22"/>
  <c r="D85" i="22"/>
  <c r="E85" i="22" s="1"/>
  <c r="F85" i="22" s="1"/>
  <c r="B85" i="23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I133" i="18"/>
  <c r="D217" i="23"/>
  <c r="E217" i="23" s="1"/>
  <c r="F217" i="23" s="1"/>
  <c r="B217" i="24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J345" i="18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B72" i="23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B190" i="24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B240" i="23"/>
  <c r="W314" i="22"/>
  <c r="B314" i="23"/>
  <c r="D314" i="22"/>
  <c r="E314" i="22" s="1"/>
  <c r="F314" i="22" s="1"/>
  <c r="G342" i="22"/>
  <c r="CC342" i="6" s="1"/>
  <c r="AA342" i="22"/>
  <c r="Z342" i="22" s="1"/>
  <c r="Y342" i="22" s="1"/>
  <c r="W78" i="22"/>
  <c r="B78" i="23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B289" i="23"/>
  <c r="G207" i="22"/>
  <c r="CC207" i="6" s="1"/>
  <c r="AA207" i="22"/>
  <c r="Z207" i="22" s="1"/>
  <c r="Y207" i="22" s="1"/>
  <c r="W182" i="22"/>
  <c r="B182" i="23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B174" i="24"/>
  <c r="W174" i="23"/>
  <c r="D174" i="23"/>
  <c r="E174" i="23" s="1"/>
  <c r="F174" i="23" s="1"/>
  <c r="J93" i="18"/>
  <c r="I93" i="18"/>
  <c r="I195" i="18"/>
  <c r="J195" i="18"/>
  <c r="W150" i="22"/>
  <c r="D150" i="22"/>
  <c r="E150" i="22" s="1"/>
  <c r="F150" i="22" s="1"/>
  <c r="B150" i="23"/>
  <c r="G150" i="20"/>
  <c r="CB150" i="6" s="1"/>
  <c r="AA150" i="20"/>
  <c r="Z150" i="20" s="1"/>
  <c r="Y150" i="20" s="1"/>
  <c r="W177" i="23"/>
  <c r="D177" i="23"/>
  <c r="E177" i="23" s="1"/>
  <c r="F177" i="23" s="1"/>
  <c r="B177" i="24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B77" i="23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B263" i="23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B60" i="23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B365" i="23"/>
  <c r="W298" i="23"/>
  <c r="B298" i="24"/>
  <c r="D298" i="23"/>
  <c r="E298" i="23" s="1"/>
  <c r="F298" i="23" s="1"/>
  <c r="W46" i="22"/>
  <c r="B46" i="23"/>
  <c r="D46" i="22"/>
  <c r="E46" i="22" s="1"/>
  <c r="F46" i="22" s="1"/>
  <c r="W319" i="23"/>
  <c r="D319" i="23"/>
  <c r="E319" i="23" s="1"/>
  <c r="F319" i="23" s="1"/>
  <c r="B319" i="24"/>
  <c r="D261" i="22"/>
  <c r="E261" i="22" s="1"/>
  <c r="F261" i="22" s="1"/>
  <c r="B261" i="23"/>
  <c r="W261" i="22"/>
  <c r="W171" i="22"/>
  <c r="B171" i="23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I253" i="18"/>
  <c r="BA253" i="6" s="1"/>
  <c r="G175" i="22"/>
  <c r="CC175" i="6" s="1"/>
  <c r="AA175" i="22"/>
  <c r="Z175" i="22" s="1"/>
  <c r="Y175" i="22" s="1"/>
  <c r="W101" i="23"/>
  <c r="B101" i="24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B271" i="24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B128" i="23"/>
  <c r="D176" i="22"/>
  <c r="E176" i="22" s="1"/>
  <c r="F176" i="22" s="1"/>
  <c r="B176" i="23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B308" i="24"/>
  <c r="D308" i="23"/>
  <c r="E308" i="23" s="1"/>
  <c r="F308" i="23" s="1"/>
  <c r="G308" i="22"/>
  <c r="CC308" i="6" s="1"/>
  <c r="AA308" i="22"/>
  <c r="Z308" i="22" s="1"/>
  <c r="Y308" i="22" s="1"/>
  <c r="B21" i="23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B47" i="24"/>
  <c r="W47" i="23"/>
  <c r="G123" i="20"/>
  <c r="CB123" i="6" s="1"/>
  <c r="AA123" i="20"/>
  <c r="Z123" i="20" s="1"/>
  <c r="Y123" i="20" s="1"/>
  <c r="D195" i="23"/>
  <c r="E195" i="23" s="1"/>
  <c r="F195" i="23" s="1"/>
  <c r="B195" i="24"/>
  <c r="W195" i="23"/>
  <c r="B221" i="24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B275" i="23"/>
  <c r="G275" i="20"/>
  <c r="CB275" i="6" s="1"/>
  <c r="AA275" i="20"/>
  <c r="Z275" i="20" s="1"/>
  <c r="Y275" i="20" s="1"/>
  <c r="W303" i="22"/>
  <c r="D303" i="22"/>
  <c r="E303" i="22" s="1"/>
  <c r="F303" i="22" s="1"/>
  <c r="B303" i="23"/>
  <c r="G303" i="20"/>
  <c r="CB303" i="6" s="1"/>
  <c r="AA303" i="20"/>
  <c r="Z303" i="20" s="1"/>
  <c r="Y303" i="20" s="1"/>
  <c r="W86" i="22"/>
  <c r="B86" i="23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B112" i="23"/>
  <c r="G120" i="22"/>
  <c r="CC120" i="6" s="1"/>
  <c r="AA120" i="22"/>
  <c r="Z120" i="22" s="1"/>
  <c r="Y120" i="22" s="1"/>
  <c r="W144" i="22"/>
  <c r="D144" i="22"/>
  <c r="E144" i="22" s="1"/>
  <c r="F144" i="22" s="1"/>
  <c r="B144" i="23"/>
  <c r="B188" i="23"/>
  <c r="D188" i="22"/>
  <c r="E188" i="22" s="1"/>
  <c r="F188" i="22" s="1"/>
  <c r="W188" i="22"/>
  <c r="D218" i="22"/>
  <c r="E218" i="22" s="1"/>
  <c r="F218" i="22" s="1"/>
  <c r="B218" i="23"/>
  <c r="W218" i="22"/>
  <c r="J296" i="18"/>
  <c r="I296" i="18"/>
  <c r="BA296" i="6" s="1"/>
  <c r="D296" i="6" s="1"/>
  <c r="G296" i="20"/>
  <c r="CB296" i="6" s="1"/>
  <c r="AA296" i="20"/>
  <c r="Z296" i="20" s="1"/>
  <c r="Y296" i="20" s="1"/>
  <c r="W169" i="22"/>
  <c r="D169" i="22"/>
  <c r="E169" i="22" s="1"/>
  <c r="F169" i="22" s="1"/>
  <c r="B169" i="23"/>
  <c r="G193" i="22"/>
  <c r="CC193" i="6" s="1"/>
  <c r="AA193" i="22"/>
  <c r="Z193" i="22" s="1"/>
  <c r="Y193" i="22" s="1"/>
  <c r="W203" i="22"/>
  <c r="B203" i="23"/>
  <c r="D203" i="22"/>
  <c r="E203" i="22" s="1"/>
  <c r="F203" i="22" s="1"/>
  <c r="W245" i="22"/>
  <c r="B245" i="23"/>
  <c r="D245" i="22"/>
  <c r="E245" i="22" s="1"/>
  <c r="F245" i="22" s="1"/>
  <c r="G277" i="20"/>
  <c r="CB277" i="6" s="1"/>
  <c r="AA277" i="20"/>
  <c r="Z277" i="20" s="1"/>
  <c r="Y277" i="20" s="1"/>
  <c r="W313" i="23"/>
  <c r="B313" i="24"/>
  <c r="D313" i="23"/>
  <c r="E313" i="23" s="1"/>
  <c r="F313" i="23" s="1"/>
  <c r="G359" i="22"/>
  <c r="CC359" i="6" s="1"/>
  <c r="AA359" i="22"/>
  <c r="Z359" i="22" s="1"/>
  <c r="Y359" i="22" s="1"/>
  <c r="AA375" i="22"/>
  <c r="Z375" i="22" s="1"/>
  <c r="Y375" i="22" s="1"/>
  <c r="G375" i="22"/>
  <c r="CC375" i="6" s="1"/>
  <c r="W288" i="22"/>
  <c r="B288" i="23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B138" i="24"/>
  <c r="W138" i="23"/>
  <c r="D202" i="23"/>
  <c r="E202" i="23" s="1"/>
  <c r="F202" i="23" s="1"/>
  <c r="B202" i="24"/>
  <c r="W202" i="23"/>
  <c r="G292" i="20"/>
  <c r="CB292" i="6" s="1"/>
  <c r="AA292" i="20"/>
  <c r="Z292" i="20" s="1"/>
  <c r="Y292" i="20" s="1"/>
  <c r="W370" i="23"/>
  <c r="D370" i="23"/>
  <c r="E370" i="23" s="1"/>
  <c r="F370" i="23" s="1"/>
  <c r="B370" i="24"/>
  <c r="G26" i="22"/>
  <c r="CC26" i="6" s="1"/>
  <c r="AA26" i="22"/>
  <c r="Z26" i="22" s="1"/>
  <c r="Y26" i="22" s="1"/>
  <c r="D25" i="22"/>
  <c r="E25" i="22" s="1"/>
  <c r="F25" i="22" s="1"/>
  <c r="W25" i="22"/>
  <c r="B25" i="23"/>
  <c r="B121" i="23"/>
  <c r="W121" i="22"/>
  <c r="D121" i="22"/>
  <c r="E121" i="22" s="1"/>
  <c r="F121" i="22" s="1"/>
  <c r="W199" i="23"/>
  <c r="D199" i="23"/>
  <c r="E199" i="23" s="1"/>
  <c r="F199" i="23" s="1"/>
  <c r="B199" i="24"/>
  <c r="G225" i="20"/>
  <c r="CB225" i="6" s="1"/>
  <c r="AA225" i="20"/>
  <c r="Z225" i="20" s="1"/>
  <c r="Y225" i="20" s="1"/>
  <c r="W355" i="22"/>
  <c r="D355" i="22"/>
  <c r="E355" i="22" s="1"/>
  <c r="F355" i="22" s="1"/>
  <c r="B355" i="23"/>
  <c r="G54" i="22"/>
  <c r="CC54" i="6" s="1"/>
  <c r="AA54" i="22"/>
  <c r="Z54" i="22" s="1"/>
  <c r="Y54" i="22" s="1"/>
  <c r="W102" i="22"/>
  <c r="B102" i="23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B186" i="23"/>
  <c r="D242" i="23"/>
  <c r="E242" i="23" s="1"/>
  <c r="F242" i="23" s="1"/>
  <c r="B242" i="24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B137" i="23"/>
  <c r="W137" i="22"/>
  <c r="G137" i="20"/>
  <c r="CB137" i="6" s="1"/>
  <c r="AA137" i="20"/>
  <c r="Z137" i="20" s="1"/>
  <c r="Y137" i="20" s="1"/>
  <c r="W378" i="22"/>
  <c r="B378" i="23"/>
  <c r="D378" i="22"/>
  <c r="E378" i="22" s="1"/>
  <c r="F378" i="22" s="1"/>
  <c r="W310" i="22"/>
  <c r="B310" i="23"/>
  <c r="D310" i="22"/>
  <c r="E310" i="22" s="1"/>
  <c r="F310" i="22" s="1"/>
  <c r="W311" i="22"/>
  <c r="D311" i="22"/>
  <c r="E311" i="22" s="1"/>
  <c r="F311" i="22" s="1"/>
  <c r="B311" i="23"/>
  <c r="G374" i="20"/>
  <c r="CB374" i="6" s="1"/>
  <c r="AA374" i="20"/>
  <c r="Z374" i="20" s="1"/>
  <c r="Y374" i="20" s="1"/>
  <c r="B52" i="24"/>
  <c r="W52" i="23"/>
  <c r="D52" i="23"/>
  <c r="E52" i="23" s="1"/>
  <c r="F52" i="23" s="1"/>
  <c r="D103" i="23"/>
  <c r="E103" i="23" s="1"/>
  <c r="F103" i="23" s="1"/>
  <c r="B103" i="24"/>
  <c r="W103" i="23"/>
  <c r="W235" i="23"/>
  <c r="D235" i="23"/>
  <c r="E235" i="23" s="1"/>
  <c r="F235" i="23" s="1"/>
  <c r="B235" i="24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B119" i="23"/>
  <c r="W119" i="22"/>
  <c r="W196" i="22"/>
  <c r="D196" i="22"/>
  <c r="E196" i="22" s="1"/>
  <c r="F196" i="22" s="1"/>
  <c r="B196" i="23"/>
  <c r="G105" i="22"/>
  <c r="CC105" i="6" s="1"/>
  <c r="AA105" i="22"/>
  <c r="Z105" i="22" s="1"/>
  <c r="Y105" i="22" s="1"/>
  <c r="W67" i="22"/>
  <c r="D67" i="22"/>
  <c r="E67" i="22" s="1"/>
  <c r="F67" i="22" s="1"/>
  <c r="B67" i="23"/>
  <c r="G166" i="22"/>
  <c r="CC166" i="6" s="1"/>
  <c r="AA166" i="22"/>
  <c r="Z166" i="22" s="1"/>
  <c r="Y166" i="22" s="1"/>
  <c r="D22" i="22"/>
  <c r="E22" i="22" s="1"/>
  <c r="F22" i="22" s="1"/>
  <c r="B22" i="23"/>
  <c r="W22" i="22"/>
  <c r="G22" i="20"/>
  <c r="CB22" i="6" s="1"/>
  <c r="AA22" i="20"/>
  <c r="Z22" i="20" s="1"/>
  <c r="Y22" i="20" s="1"/>
  <c r="B272" i="23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B241" i="24"/>
  <c r="W241" i="23"/>
  <c r="W88" i="22"/>
  <c r="D88" i="22"/>
  <c r="E88" i="22" s="1"/>
  <c r="F88" i="22" s="1"/>
  <c r="B88" i="23"/>
  <c r="AA249" i="20"/>
  <c r="Z249" i="20" s="1"/>
  <c r="Y249" i="20" s="1"/>
  <c r="G249" i="20"/>
  <c r="CB249" i="6" s="1"/>
  <c r="W317" i="22"/>
  <c r="B317" i="23"/>
  <c r="D317" i="22"/>
  <c r="E317" i="22" s="1"/>
  <c r="F317" i="22" s="1"/>
  <c r="G42" i="20"/>
  <c r="CB42" i="6" s="1"/>
  <c r="AA42" i="20"/>
  <c r="Z42" i="20" s="1"/>
  <c r="Y42" i="20" s="1"/>
  <c r="W220" i="22"/>
  <c r="B220" i="23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B260" i="24"/>
  <c r="AA276" i="22"/>
  <c r="Z276" i="22" s="1"/>
  <c r="Y276" i="22" s="1"/>
  <c r="G276" i="22"/>
  <c r="CC276" i="6" s="1"/>
  <c r="W320" i="23"/>
  <c r="D320" i="23"/>
  <c r="E320" i="23" s="1"/>
  <c r="F320" i="23" s="1"/>
  <c r="B320" i="24"/>
  <c r="G49" i="20"/>
  <c r="CB49" i="6" s="1"/>
  <c r="AA49" i="20"/>
  <c r="Z49" i="20" s="1"/>
  <c r="Y49" i="20" s="1"/>
  <c r="W87" i="22"/>
  <c r="B87" i="23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B371" i="23"/>
  <c r="B80" i="24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B191" i="23"/>
  <c r="AA211" i="22"/>
  <c r="Z211" i="22" s="1"/>
  <c r="Y211" i="22" s="1"/>
  <c r="G211" i="22"/>
  <c r="CC211" i="6" s="1"/>
  <c r="W257" i="23"/>
  <c r="B257" i="24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B234" i="23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B115" i="23"/>
  <c r="W133" i="22"/>
  <c r="D133" i="22"/>
  <c r="E133" i="22" s="1"/>
  <c r="F133" i="22" s="1"/>
  <c r="B133" i="23"/>
  <c r="G213" i="20"/>
  <c r="CB213" i="6" s="1"/>
  <c r="AA213" i="20"/>
  <c r="Z213" i="20" s="1"/>
  <c r="Y213" i="20" s="1"/>
  <c r="W345" i="22"/>
  <c r="B345" i="23"/>
  <c r="D345" i="22"/>
  <c r="E345" i="22" s="1"/>
  <c r="F345" i="22" s="1"/>
  <c r="D24" i="22"/>
  <c r="E24" i="22" s="1"/>
  <c r="F24" i="22" s="1"/>
  <c r="B24" i="23"/>
  <c r="W24" i="22"/>
  <c r="W44" i="22"/>
  <c r="B44" i="23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B156" i="23"/>
  <c r="W156" i="22"/>
  <c r="D156" i="22"/>
  <c r="E156" i="22" s="1"/>
  <c r="F156" i="22" s="1"/>
  <c r="W206" i="22"/>
  <c r="D206" i="22"/>
  <c r="E206" i="22" s="1"/>
  <c r="F206" i="22" s="1"/>
  <c r="B206" i="23"/>
  <c r="W356" i="22"/>
  <c r="B356" i="23"/>
  <c r="D356" i="22"/>
  <c r="E356" i="22" s="1"/>
  <c r="F356" i="22" s="1"/>
  <c r="W299" i="23"/>
  <c r="D299" i="23"/>
  <c r="E299" i="23" s="1"/>
  <c r="F299" i="23" s="1"/>
  <c r="B299" i="24"/>
  <c r="W236" i="22"/>
  <c r="B236" i="23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B73" i="23"/>
  <c r="D73" i="22"/>
  <c r="E73" i="22" s="1"/>
  <c r="F73" i="22" s="1"/>
  <c r="AA100" i="22"/>
  <c r="Z100" i="22" s="1"/>
  <c r="Y100" i="22" s="1"/>
  <c r="G100" i="22"/>
  <c r="CC100" i="6" s="1"/>
  <c r="W76" i="22"/>
  <c r="B76" i="23"/>
  <c r="D76" i="22"/>
  <c r="E76" i="22" s="1"/>
  <c r="F76" i="22" s="1"/>
  <c r="J43" i="18"/>
  <c r="I43" i="18"/>
  <c r="J97" i="18"/>
  <c r="I97" i="18"/>
  <c r="J238" i="18"/>
  <c r="I238" i="18"/>
  <c r="I316" i="18"/>
  <c r="J316" i="18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B226" i="23"/>
  <c r="AA354" i="22"/>
  <c r="Z354" i="22" s="1"/>
  <c r="Y354" i="22" s="1"/>
  <c r="G354" i="22"/>
  <c r="CC354" i="6" s="1"/>
  <c r="W283" i="22"/>
  <c r="D283" i="22"/>
  <c r="E283" i="22" s="1"/>
  <c r="F283" i="22" s="1"/>
  <c r="B283" i="23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B99" i="23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B106" i="24"/>
  <c r="B178" i="24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B318" i="23"/>
  <c r="G352" i="20"/>
  <c r="CB352" i="6" s="1"/>
  <c r="AA352" i="20"/>
  <c r="Z352" i="20" s="1"/>
  <c r="Y352" i="20" s="1"/>
  <c r="G33" i="22"/>
  <c r="CC33" i="6" s="1"/>
  <c r="AA33" i="22"/>
  <c r="Z33" i="22" s="1"/>
  <c r="Y33" i="22" s="1"/>
  <c r="B69" i="24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B74" i="23"/>
  <c r="W74" i="22"/>
  <c r="G75" i="20"/>
  <c r="CB75" i="6" s="1"/>
  <c r="AA75" i="20"/>
  <c r="Z75" i="20" s="1"/>
  <c r="Y75" i="20" s="1"/>
  <c r="W278" i="23"/>
  <c r="D278" i="23"/>
  <c r="E278" i="23" s="1"/>
  <c r="F278" i="23" s="1"/>
  <c r="B278" i="24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B287" i="23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B273" i="23"/>
  <c r="D273" i="22"/>
  <c r="E273" i="22" s="1"/>
  <c r="F273" i="22" s="1"/>
  <c r="W361" i="22"/>
  <c r="B361" i="23"/>
  <c r="D361" i="22"/>
  <c r="E361" i="22" s="1"/>
  <c r="F361" i="22" s="1"/>
  <c r="W56" i="22"/>
  <c r="B56" i="23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B268" i="23"/>
  <c r="W328" i="22"/>
  <c r="D328" i="22"/>
  <c r="E328" i="22" s="1"/>
  <c r="F328" i="22" s="1"/>
  <c r="B328" i="23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B71" i="23"/>
  <c r="W71" i="22"/>
  <c r="G71" i="20"/>
  <c r="CB71" i="6" s="1"/>
  <c r="AA71" i="20"/>
  <c r="Z71" i="20" s="1"/>
  <c r="Y71" i="20" s="1"/>
  <c r="W181" i="22"/>
  <c r="B181" i="23"/>
  <c r="D181" i="22"/>
  <c r="E181" i="22" s="1"/>
  <c r="F181" i="22" s="1"/>
  <c r="W215" i="22"/>
  <c r="D215" i="22"/>
  <c r="E215" i="22" s="1"/>
  <c r="F215" i="22" s="1"/>
  <c r="B215" i="23"/>
  <c r="D285" i="23"/>
  <c r="E285" i="23" s="1"/>
  <c r="F285" i="23" s="1"/>
  <c r="B285" i="24"/>
  <c r="W285" i="23"/>
  <c r="G285" i="22"/>
  <c r="CC285" i="6" s="1"/>
  <c r="AA285" i="22"/>
  <c r="Z285" i="22" s="1"/>
  <c r="Y285" i="22" s="1"/>
  <c r="W146" i="23"/>
  <c r="D146" i="23"/>
  <c r="E146" i="23" s="1"/>
  <c r="F146" i="23" s="1"/>
  <c r="B146" i="24"/>
  <c r="G300" i="22"/>
  <c r="CC300" i="6" s="1"/>
  <c r="AA300" i="22"/>
  <c r="Z300" i="22" s="1"/>
  <c r="Y300" i="22" s="1"/>
  <c r="W39" i="23"/>
  <c r="D39" i="23"/>
  <c r="E39" i="23" s="1"/>
  <c r="F39" i="23" s="1"/>
  <c r="B39" i="24"/>
  <c r="G53" i="20"/>
  <c r="CB53" i="6" s="1"/>
  <c r="AA53" i="20"/>
  <c r="Z53" i="20" s="1"/>
  <c r="Y53" i="20" s="1"/>
  <c r="W107" i="23"/>
  <c r="D107" i="23"/>
  <c r="E107" i="23" s="1"/>
  <c r="F107" i="23" s="1"/>
  <c r="B107" i="24"/>
  <c r="W151" i="23"/>
  <c r="D151" i="23"/>
  <c r="E151" i="23" s="1"/>
  <c r="F151" i="23" s="1"/>
  <c r="B151" i="24"/>
  <c r="G269" i="22"/>
  <c r="CC269" i="6" s="1"/>
  <c r="AA269" i="22"/>
  <c r="Z269" i="22" s="1"/>
  <c r="Y269" i="22" s="1"/>
  <c r="W27" i="22"/>
  <c r="B27" i="23"/>
  <c r="D27" i="22"/>
  <c r="E27" i="22" s="1"/>
  <c r="F27" i="22" s="1"/>
  <c r="W124" i="22"/>
  <c r="B124" i="23"/>
  <c r="D124" i="22"/>
  <c r="E124" i="22" s="1"/>
  <c r="F124" i="22" s="1"/>
  <c r="W184" i="22"/>
  <c r="D184" i="22"/>
  <c r="E184" i="22" s="1"/>
  <c r="F184" i="22" s="1"/>
  <c r="B184" i="23"/>
  <c r="W256" i="22"/>
  <c r="D256" i="22"/>
  <c r="E256" i="22" s="1"/>
  <c r="F256" i="22" s="1"/>
  <c r="B256" i="23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B330" i="23"/>
  <c r="D330" i="22"/>
  <c r="E330" i="22" s="1"/>
  <c r="F330" i="22" s="1"/>
  <c r="W364" i="22"/>
  <c r="D364" i="22"/>
  <c r="E364" i="22" s="1"/>
  <c r="F364" i="22" s="1"/>
  <c r="B364" i="23"/>
  <c r="W41" i="23"/>
  <c r="B41" i="24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B91" i="24"/>
  <c r="G109" i="20"/>
  <c r="CB109" i="6" s="1"/>
  <c r="AA109" i="20"/>
  <c r="Z109" i="20" s="1"/>
  <c r="Y109" i="20" s="1"/>
  <c r="W117" i="23"/>
  <c r="D117" i="23"/>
  <c r="E117" i="23" s="1"/>
  <c r="F117" i="23" s="1"/>
  <c r="B117" i="24"/>
  <c r="W165" i="22"/>
  <c r="B165" i="23"/>
  <c r="D165" i="22"/>
  <c r="E165" i="22" s="1"/>
  <c r="F165" i="22" s="1"/>
  <c r="W279" i="22"/>
  <c r="B279" i="23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B82" i="24"/>
  <c r="W82" i="23"/>
  <c r="G162" i="20"/>
  <c r="CB162" i="6" s="1"/>
  <c r="AA162" i="20"/>
  <c r="Z162" i="20" s="1"/>
  <c r="Y162" i="20" s="1"/>
  <c r="W198" i="22"/>
  <c r="B198" i="23"/>
  <c r="D198" i="22"/>
  <c r="E198" i="22" s="1"/>
  <c r="F198" i="22" s="1"/>
  <c r="G198" i="20"/>
  <c r="CB198" i="6" s="1"/>
  <c r="AA198" i="20"/>
  <c r="Z198" i="20" s="1"/>
  <c r="Y198" i="20" s="1"/>
  <c r="B214" i="23"/>
  <c r="W214" i="22"/>
  <c r="D214" i="22"/>
  <c r="E214" i="22" s="1"/>
  <c r="F214" i="22" s="1"/>
  <c r="G214" i="20"/>
  <c r="CB214" i="6" s="1"/>
  <c r="AA214" i="20"/>
  <c r="Z214" i="20" s="1"/>
  <c r="Y214" i="20" s="1"/>
  <c r="W264" i="22"/>
  <c r="B264" i="23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B222" i="24"/>
  <c r="D222" i="23"/>
  <c r="E222" i="23" s="1"/>
  <c r="F222" i="23" s="1"/>
  <c r="G90" i="20"/>
  <c r="CB90" i="6" s="1"/>
  <c r="AA90" i="20"/>
  <c r="Z90" i="20" s="1"/>
  <c r="Y90" i="20" s="1"/>
  <c r="B204" i="24"/>
  <c r="W204" i="23"/>
  <c r="D204" i="23"/>
  <c r="E204" i="23" s="1"/>
  <c r="F204" i="23" s="1"/>
  <c r="W252" i="23"/>
  <c r="B252" i="24"/>
  <c r="D252" i="23"/>
  <c r="E252" i="23" s="1"/>
  <c r="F252" i="23" s="1"/>
  <c r="D305" i="23"/>
  <c r="E305" i="23" s="1"/>
  <c r="F305" i="23" s="1"/>
  <c r="B305" i="24"/>
  <c r="W305" i="23"/>
  <c r="W157" i="22"/>
  <c r="D157" i="22"/>
  <c r="E157" i="22" s="1"/>
  <c r="F157" i="22" s="1"/>
  <c r="B157" i="23"/>
  <c r="W125" i="22"/>
  <c r="D125" i="22"/>
  <c r="E125" i="22" s="1"/>
  <c r="F125" i="22" s="1"/>
  <c r="B125" i="23"/>
  <c r="G251" i="22"/>
  <c r="CC251" i="6" s="1"/>
  <c r="AA251" i="22"/>
  <c r="Z251" i="22" s="1"/>
  <c r="Y251" i="22" s="1"/>
  <c r="W295" i="22"/>
  <c r="B295" i="23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B248" i="23"/>
  <c r="D248" i="22"/>
  <c r="E248" i="22" s="1"/>
  <c r="F248" i="22" s="1"/>
  <c r="G248" i="20"/>
  <c r="CB248" i="6" s="1"/>
  <c r="AA248" i="20"/>
  <c r="Z248" i="20" s="1"/>
  <c r="Y248" i="20" s="1"/>
  <c r="B346" i="23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B244" i="23"/>
  <c r="W244" i="22"/>
  <c r="W37" i="22"/>
  <c r="B37" i="23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B140" i="23"/>
  <c r="W140" i="22"/>
  <c r="D140" i="22"/>
  <c r="E140" i="22" s="1"/>
  <c r="F140" i="22" s="1"/>
  <c r="G140" i="20"/>
  <c r="CB140" i="6" s="1"/>
  <c r="AA140" i="20"/>
  <c r="Z140" i="20" s="1"/>
  <c r="Y140" i="20" s="1"/>
  <c r="W31" i="22"/>
  <c r="B31" i="23"/>
  <c r="D31" i="22"/>
  <c r="E31" i="22" s="1"/>
  <c r="F31" i="22" s="1"/>
  <c r="D93" i="23"/>
  <c r="E93" i="23" s="1"/>
  <c r="F93" i="23" s="1"/>
  <c r="B93" i="24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B341" i="24"/>
  <c r="W34" i="22"/>
  <c r="B34" i="23"/>
  <c r="D34" i="22"/>
  <c r="E34" i="22" s="1"/>
  <c r="F34" i="22" s="1"/>
  <c r="W96" i="22"/>
  <c r="B96" i="23"/>
  <c r="D96" i="22"/>
  <c r="E96" i="22" s="1"/>
  <c r="F96" i="22" s="1"/>
  <c r="W126" i="22"/>
  <c r="B126" i="23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B250" i="23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B307" i="23"/>
  <c r="B357" i="23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B48" i="23"/>
  <c r="G122" i="22"/>
  <c r="CC122" i="6" s="1"/>
  <c r="AA122" i="22"/>
  <c r="Z122" i="22" s="1"/>
  <c r="Y122" i="22" s="1"/>
  <c r="W160" i="22"/>
  <c r="D160" i="22"/>
  <c r="E160" i="22" s="1"/>
  <c r="F160" i="22" s="1"/>
  <c r="B160" i="23"/>
  <c r="W238" i="23"/>
  <c r="D238" i="23"/>
  <c r="E238" i="23" s="1"/>
  <c r="F238" i="23" s="1"/>
  <c r="B238" i="24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B350" i="23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B113" i="24"/>
  <c r="D113" i="23"/>
  <c r="E113" i="23" s="1"/>
  <c r="F113" i="23" s="1"/>
  <c r="G217" i="22"/>
  <c r="CC217" i="6" s="1"/>
  <c r="AA217" i="22"/>
  <c r="Z217" i="22" s="1"/>
  <c r="Y217" i="22" s="1"/>
  <c r="B239" i="23"/>
  <c r="W239" i="22"/>
  <c r="D239" i="22"/>
  <c r="E239" i="22" s="1"/>
  <c r="F239" i="22" s="1"/>
  <c r="D315" i="22"/>
  <c r="E315" i="22" s="1"/>
  <c r="F315" i="22" s="1"/>
  <c r="B315" i="23"/>
  <c r="W315" i="22"/>
  <c r="G315" i="20"/>
  <c r="CB315" i="6" s="1"/>
  <c r="AA315" i="20"/>
  <c r="Z315" i="20" s="1"/>
  <c r="Y315" i="20" s="1"/>
  <c r="D343" i="23"/>
  <c r="E343" i="23" s="1"/>
  <c r="F343" i="23" s="1"/>
  <c r="B343" i="24"/>
  <c r="W343" i="23"/>
  <c r="W40" i="23"/>
  <c r="D40" i="23"/>
  <c r="E40" i="23" s="1"/>
  <c r="F40" i="23" s="1"/>
  <c r="B40" i="24"/>
  <c r="G72" i="20"/>
  <c r="CB72" i="6" s="1"/>
  <c r="AA72" i="20"/>
  <c r="Z72" i="20" s="1"/>
  <c r="Y72" i="20" s="1"/>
  <c r="W200" i="23"/>
  <c r="D200" i="23"/>
  <c r="E200" i="23" s="1"/>
  <c r="F200" i="23" s="1"/>
  <c r="B200" i="24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B342" i="24"/>
  <c r="G289" i="20"/>
  <c r="CB289" i="6" s="1"/>
  <c r="AA289" i="20"/>
  <c r="Z289" i="20" s="1"/>
  <c r="Y289" i="20" s="1"/>
  <c r="W207" i="23"/>
  <c r="B207" i="24"/>
  <c r="D207" i="23"/>
  <c r="E207" i="23" s="1"/>
  <c r="F207" i="23" s="1"/>
  <c r="W98" i="22"/>
  <c r="B98" i="23"/>
  <c r="D98" i="22"/>
  <c r="E98" i="22" s="1"/>
  <c r="F98" i="22" s="1"/>
  <c r="G98" i="20"/>
  <c r="CB98" i="6" s="1"/>
  <c r="AA98" i="20"/>
  <c r="Z98" i="20" s="1"/>
  <c r="Y98" i="20" s="1"/>
  <c r="W163" i="22"/>
  <c r="B163" i="23"/>
  <c r="D163" i="22"/>
  <c r="E163" i="22" s="1"/>
  <c r="F163" i="22" s="1"/>
  <c r="W321" i="22"/>
  <c r="B321" i="23"/>
  <c r="D321" i="22"/>
  <c r="E321" i="22" s="1"/>
  <c r="F321" i="22" s="1"/>
  <c r="W332" i="22"/>
  <c r="D332" i="22"/>
  <c r="E332" i="22" s="1"/>
  <c r="F332" i="22" s="1"/>
  <c r="B332" i="23"/>
  <c r="W81" i="22"/>
  <c r="B81" i="23"/>
  <c r="D81" i="22"/>
  <c r="E81" i="22" s="1"/>
  <c r="F81" i="22" s="1"/>
  <c r="J76" i="18"/>
  <c r="I76" i="18"/>
  <c r="BA76" i="6" s="1"/>
  <c r="D76" i="6" s="1"/>
  <c r="G174" i="22"/>
  <c r="CC174" i="6" s="1"/>
  <c r="AA174" i="22"/>
  <c r="Z174" i="22" s="1"/>
  <c r="Y174" i="22" s="1"/>
  <c r="J204" i="18"/>
  <c r="I204" i="18"/>
  <c r="I197" i="18"/>
  <c r="J197" i="18"/>
  <c r="G177" i="22"/>
  <c r="CC177" i="6" s="1"/>
  <c r="AA177" i="22"/>
  <c r="Z177" i="22" s="1"/>
  <c r="Y177" i="22" s="1"/>
  <c r="W135" i="22"/>
  <c r="D135" i="22"/>
  <c r="E135" i="22" s="1"/>
  <c r="F135" i="22" s="1"/>
  <c r="B135" i="23"/>
  <c r="W210" i="22"/>
  <c r="D210" i="22"/>
  <c r="E210" i="22" s="1"/>
  <c r="F210" i="22" s="1"/>
  <c r="B210" i="23"/>
  <c r="B161" i="23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B159" i="23"/>
  <c r="G159" i="20"/>
  <c r="CB159" i="6" s="1"/>
  <c r="AA159" i="20"/>
  <c r="Z159" i="20" s="1"/>
  <c r="Y159" i="20" s="1"/>
  <c r="D247" i="23"/>
  <c r="E247" i="23" s="1"/>
  <c r="F247" i="23" s="1"/>
  <c r="B247" i="24"/>
  <c r="W247" i="23"/>
  <c r="AA263" i="20"/>
  <c r="Z263" i="20" s="1"/>
  <c r="Y263" i="20" s="1"/>
  <c r="G263" i="20"/>
  <c r="CB263" i="6" s="1"/>
  <c r="W281" i="23"/>
  <c r="B281" i="24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B149" i="24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B349" i="23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B17" i="24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B111" i="24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B194" i="23"/>
  <c r="D194" i="22"/>
  <c r="E194" i="22" s="1"/>
  <c r="F194" i="22" s="1"/>
  <c r="W302" i="23"/>
  <c r="B302" i="24"/>
  <c r="D302" i="23"/>
  <c r="E302" i="23" s="1"/>
  <c r="F302" i="23" s="1"/>
  <c r="D175" i="23"/>
  <c r="E175" i="23" s="1"/>
  <c r="F175" i="23" s="1"/>
  <c r="B175" i="24"/>
  <c r="W175" i="23"/>
  <c r="W61" i="22"/>
  <c r="B61" i="23"/>
  <c r="D61" i="22"/>
  <c r="E61" i="22" s="1"/>
  <c r="F61" i="22" s="1"/>
  <c r="G61" i="20"/>
  <c r="CB61" i="6" s="1"/>
  <c r="AA61" i="20"/>
  <c r="Z61" i="20" s="1"/>
  <c r="Y61" i="20" s="1"/>
  <c r="W89" i="22"/>
  <c r="B89" i="23"/>
  <c r="D89" i="22"/>
  <c r="E89" i="22" s="1"/>
  <c r="F89" i="22" s="1"/>
  <c r="G89" i="20"/>
  <c r="CB89" i="6" s="1"/>
  <c r="AA89" i="20"/>
  <c r="Z89" i="20" s="1"/>
  <c r="Y89" i="20" s="1"/>
  <c r="B127" i="23"/>
  <c r="W127" i="22"/>
  <c r="D127" i="22"/>
  <c r="E127" i="22" s="1"/>
  <c r="F127" i="22" s="1"/>
  <c r="W173" i="22"/>
  <c r="B173" i="23"/>
  <c r="D173" i="22"/>
  <c r="E173" i="22" s="1"/>
  <c r="F173" i="22" s="1"/>
  <c r="W219" i="22"/>
  <c r="D219" i="22"/>
  <c r="E219" i="22" s="1"/>
  <c r="F219" i="22" s="1"/>
  <c r="B219" i="23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B118" i="24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B230" i="24"/>
  <c r="G270" i="22"/>
  <c r="CC270" i="6" s="1"/>
  <c r="AA270" i="22"/>
  <c r="Z270" i="22" s="1"/>
  <c r="Y270" i="22" s="1"/>
  <c r="W282" i="22"/>
  <c r="B282" i="23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B45" i="23"/>
  <c r="AA47" i="22"/>
  <c r="Z47" i="22" s="1"/>
  <c r="Y47" i="22" s="1"/>
  <c r="G47" i="22"/>
  <c r="CC47" i="6" s="1"/>
  <c r="W123" i="22"/>
  <c r="B123" i="23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B233" i="23"/>
  <c r="G112" i="20"/>
  <c r="CB112" i="6" s="1"/>
  <c r="AA112" i="20"/>
  <c r="Z112" i="20" s="1"/>
  <c r="Y112" i="20" s="1"/>
  <c r="W120" i="23"/>
  <c r="D120" i="23"/>
  <c r="E120" i="23" s="1"/>
  <c r="F120" i="23" s="1"/>
  <c r="B120" i="24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B296" i="23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B277" i="23"/>
  <c r="W277" i="22"/>
  <c r="G313" i="22"/>
  <c r="CC313" i="6" s="1"/>
  <c r="AA313" i="22"/>
  <c r="Z313" i="22" s="1"/>
  <c r="Y313" i="22" s="1"/>
  <c r="D325" i="22"/>
  <c r="E325" i="22" s="1"/>
  <c r="F325" i="22" s="1"/>
  <c r="B325" i="23"/>
  <c r="W325" i="22"/>
  <c r="G325" i="20"/>
  <c r="CB325" i="6" s="1"/>
  <c r="AA325" i="20"/>
  <c r="Z325" i="20" s="1"/>
  <c r="Y325" i="20" s="1"/>
  <c r="B375" i="24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B292" i="23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B26" i="24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B225" i="23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B158" i="24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I264" i="18"/>
  <c r="BA264" i="6" s="1"/>
  <c r="D264" i="6" s="1"/>
  <c r="W290" i="22"/>
  <c r="B290" i="23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B362" i="23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B374" i="23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B309" i="23"/>
  <c r="D309" i="22"/>
  <c r="E309" i="22" s="1"/>
  <c r="F309" i="22" s="1"/>
  <c r="W62" i="22"/>
  <c r="D62" i="22"/>
  <c r="E62" i="22" s="1"/>
  <c r="F62" i="22" s="1"/>
  <c r="B62" i="23"/>
  <c r="G62" i="20"/>
  <c r="CB62" i="6" s="1"/>
  <c r="AA62" i="20"/>
  <c r="Z62" i="20" s="1"/>
  <c r="Y62" i="20" s="1"/>
  <c r="W232" i="22"/>
  <c r="D232" i="22"/>
  <c r="E232" i="22" s="1"/>
  <c r="F232" i="22" s="1"/>
  <c r="B232" i="23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B105" i="24"/>
  <c r="W105" i="23"/>
  <c r="D105" i="23"/>
  <c r="E105" i="23" s="1"/>
  <c r="F105" i="23" s="1"/>
  <c r="G67" i="20"/>
  <c r="CB67" i="6" s="1"/>
  <c r="AA67" i="20"/>
  <c r="Z67" i="20" s="1"/>
  <c r="Y67" i="20" s="1"/>
  <c r="B166" i="24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B368" i="24"/>
  <c r="W189" i="23"/>
  <c r="D189" i="23"/>
  <c r="E189" i="23" s="1"/>
  <c r="F189" i="23" s="1"/>
  <c r="B189" i="24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B249" i="23"/>
  <c r="D249" i="22"/>
  <c r="E249" i="22" s="1"/>
  <c r="F249" i="22" s="1"/>
  <c r="G317" i="20"/>
  <c r="CB317" i="6" s="1"/>
  <c r="AA317" i="20"/>
  <c r="Z317" i="20" s="1"/>
  <c r="Y317" i="20" s="1"/>
  <c r="W42" i="22"/>
  <c r="B42" i="23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B254" i="23"/>
  <c r="W254" i="22"/>
  <c r="G260" i="22"/>
  <c r="CC260" i="6" s="1"/>
  <c r="AA260" i="22"/>
  <c r="Z260" i="22" s="1"/>
  <c r="Y260" i="22" s="1"/>
  <c r="W276" i="23"/>
  <c r="D276" i="23"/>
  <c r="E276" i="23" s="1"/>
  <c r="F276" i="23" s="1"/>
  <c r="B276" i="24"/>
  <c r="G320" i="22"/>
  <c r="CC320" i="6" s="1"/>
  <c r="AA320" i="22"/>
  <c r="Z320" i="22" s="1"/>
  <c r="Y320" i="22" s="1"/>
  <c r="W49" i="22"/>
  <c r="D49" i="22"/>
  <c r="E49" i="22" s="1"/>
  <c r="F49" i="22" s="1"/>
  <c r="B49" i="23"/>
  <c r="AA87" i="20"/>
  <c r="Z87" i="20" s="1"/>
  <c r="Y87" i="20" s="1"/>
  <c r="G87" i="20"/>
  <c r="CB87" i="6" s="1"/>
  <c r="W147" i="23"/>
  <c r="B147" i="24"/>
  <c r="D147" i="23"/>
  <c r="E147" i="23" s="1"/>
  <c r="F147" i="23" s="1"/>
  <c r="W209" i="23"/>
  <c r="D209" i="23"/>
  <c r="E209" i="23" s="1"/>
  <c r="F209" i="23" s="1"/>
  <c r="B209" i="24"/>
  <c r="B291" i="23"/>
  <c r="W291" i="22"/>
  <c r="D291" i="22"/>
  <c r="E291" i="22" s="1"/>
  <c r="F291" i="22" s="1"/>
  <c r="W339" i="22"/>
  <c r="B339" i="23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B142" i="24"/>
  <c r="D142" i="23"/>
  <c r="E142" i="23" s="1"/>
  <c r="F142" i="23" s="1"/>
  <c r="G294" i="22"/>
  <c r="CC294" i="6" s="1"/>
  <c r="AA294" i="22"/>
  <c r="Z294" i="22" s="1"/>
  <c r="Y294" i="22" s="1"/>
  <c r="B141" i="24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B267" i="23"/>
  <c r="G301" i="22"/>
  <c r="CC301" i="6" s="1"/>
  <c r="AA301" i="22"/>
  <c r="Z301" i="22" s="1"/>
  <c r="Y301" i="22" s="1"/>
  <c r="G337" i="22"/>
  <c r="CC337" i="6" s="1"/>
  <c r="AA337" i="22"/>
  <c r="Z337" i="22" s="1"/>
  <c r="Y337" i="22" s="1"/>
  <c r="W20" i="22"/>
  <c r="B20" i="23"/>
  <c r="D20" i="22"/>
  <c r="E20" i="22" s="1"/>
  <c r="F20" i="22" s="1"/>
  <c r="D172" i="23"/>
  <c r="E172" i="23" s="1"/>
  <c r="F172" i="23" s="1"/>
  <c r="B172" i="24"/>
  <c r="W172" i="23"/>
  <c r="G234" i="20"/>
  <c r="CB234" i="6" s="1"/>
  <c r="AA234" i="20"/>
  <c r="Z234" i="20" s="1"/>
  <c r="Y234" i="20" s="1"/>
  <c r="W280" i="23"/>
  <c r="B280" i="24"/>
  <c r="D280" i="23"/>
  <c r="E280" i="23" s="1"/>
  <c r="F280" i="23" s="1"/>
  <c r="B57" i="24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B213" i="23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B68" i="24"/>
  <c r="D68" i="23"/>
  <c r="E68" i="23" s="1"/>
  <c r="F68" i="23" s="1"/>
  <c r="W134" i="23"/>
  <c r="B134" i="24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I240" i="18"/>
  <c r="BA240" i="6" s="1"/>
  <c r="D240" i="6" s="1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B229" i="24"/>
  <c r="W32" i="23"/>
  <c r="B32" i="24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B100" i="24"/>
  <c r="G76" i="20"/>
  <c r="CB76" i="6" s="1"/>
  <c r="AA76" i="20"/>
  <c r="Z76" i="20" s="1"/>
  <c r="Y76" i="20" s="1"/>
  <c r="J323" i="18" l="1"/>
  <c r="I252" i="18"/>
  <c r="H252" i="20" s="1"/>
  <c r="J181" i="18"/>
  <c r="J246" i="18"/>
  <c r="J278" i="18"/>
  <c r="I140" i="18"/>
  <c r="H140" i="20" s="1"/>
  <c r="I18" i="18"/>
  <c r="H18" i="20" s="1"/>
  <c r="J151" i="18"/>
  <c r="I269" i="18"/>
  <c r="H269" i="20" s="1"/>
  <c r="J152" i="18"/>
  <c r="J366" i="18"/>
  <c r="I346" i="18"/>
  <c r="H346" i="20" s="1"/>
  <c r="I79" i="18"/>
  <c r="I235" i="18"/>
  <c r="H235" i="20" s="1"/>
  <c r="I199" i="18"/>
  <c r="H199" i="20" s="1"/>
  <c r="I308" i="18"/>
  <c r="H308" i="20" s="1"/>
  <c r="J299" i="18"/>
  <c r="J232" i="18"/>
  <c r="I362" i="18"/>
  <c r="H362" i="20" s="1"/>
  <c r="I303" i="18"/>
  <c r="H303" i="20" s="1"/>
  <c r="I123" i="18"/>
  <c r="H123" i="20" s="1"/>
  <c r="I45" i="18"/>
  <c r="H45" i="20" s="1"/>
  <c r="I127" i="18"/>
  <c r="H127" i="20" s="1"/>
  <c r="J100" i="18"/>
  <c r="J28" i="18"/>
  <c r="I192" i="18"/>
  <c r="H192" i="20" s="1"/>
  <c r="J81" i="18"/>
  <c r="I78" i="18"/>
  <c r="H78" i="20" s="1"/>
  <c r="J72" i="18"/>
  <c r="J315" i="18"/>
  <c r="J307" i="18"/>
  <c r="I37" i="18"/>
  <c r="H37" i="20" s="1"/>
  <c r="J214" i="18"/>
  <c r="I36" i="18"/>
  <c r="H36" i="20" s="1"/>
  <c r="J51" i="18"/>
  <c r="J364" i="18"/>
  <c r="I27" i="18"/>
  <c r="H27" i="20" s="1"/>
  <c r="J56" i="18"/>
  <c r="J287" i="18"/>
  <c r="I153" i="18"/>
  <c r="H153" i="20" s="1"/>
  <c r="I327" i="18"/>
  <c r="H327" i="20" s="1"/>
  <c r="J313" i="18"/>
  <c r="I103" i="18"/>
  <c r="H103" i="20" s="1"/>
  <c r="J190" i="18"/>
  <c r="I280" i="18"/>
  <c r="H280" i="20" s="1"/>
  <c r="I285" i="18"/>
  <c r="H285" i="20" s="1"/>
  <c r="I271" i="18"/>
  <c r="H271" i="20" s="1"/>
  <c r="I177" i="18"/>
  <c r="H177" i="20" s="1"/>
  <c r="J265" i="18"/>
  <c r="J73" i="18"/>
  <c r="I213" i="18"/>
  <c r="H213" i="20" s="1"/>
  <c r="J267" i="18"/>
  <c r="I355" i="18"/>
  <c r="H355" i="20" s="1"/>
  <c r="J355" i="20" s="1"/>
  <c r="I225" i="18"/>
  <c r="H225" i="20" s="1"/>
  <c r="J64" i="18"/>
  <c r="J193" i="18"/>
  <c r="J90" i="18"/>
  <c r="J135" i="18"/>
  <c r="J141" i="18"/>
  <c r="J112" i="18"/>
  <c r="I212" i="18"/>
  <c r="H212" i="20" s="1"/>
  <c r="J228" i="18"/>
  <c r="J179" i="18"/>
  <c r="J180" i="18"/>
  <c r="J26" i="18"/>
  <c r="J170" i="18"/>
  <c r="J39" i="18"/>
  <c r="J321" i="18"/>
  <c r="I182" i="18"/>
  <c r="H182" i="20" s="1"/>
  <c r="J239" i="18"/>
  <c r="J266" i="18"/>
  <c r="I48" i="18"/>
  <c r="H48" i="20" s="1"/>
  <c r="I357" i="18"/>
  <c r="H357" i="20" s="1"/>
  <c r="J372" i="18"/>
  <c r="J110" i="18"/>
  <c r="I244" i="18"/>
  <c r="H244" i="20" s="1"/>
  <c r="I248" i="18"/>
  <c r="H248" i="20" s="1"/>
  <c r="I330" i="18"/>
  <c r="H330" i="20" s="1"/>
  <c r="I256" i="18"/>
  <c r="H256" i="20" s="1"/>
  <c r="J215" i="18"/>
  <c r="I104" i="18"/>
  <c r="H104" i="20" s="1"/>
  <c r="I376" i="18"/>
  <c r="H376" i="20" s="1"/>
  <c r="J84" i="18"/>
  <c r="J99" i="18"/>
  <c r="I226" i="18"/>
  <c r="H226" i="20" s="1"/>
  <c r="J312" i="18"/>
  <c r="J19" i="18"/>
  <c r="I367" i="18"/>
  <c r="I331" i="18"/>
  <c r="H331" i="20" s="1"/>
  <c r="I211" i="18"/>
  <c r="H211" i="20" s="1"/>
  <c r="J32" i="18"/>
  <c r="J52" i="18"/>
  <c r="J342" i="18"/>
  <c r="I40" i="18"/>
  <c r="H40" i="20" s="1"/>
  <c r="J370" i="18"/>
  <c r="J138" i="18"/>
  <c r="J142" i="18"/>
  <c r="I47" i="18"/>
  <c r="H47" i="20" s="1"/>
  <c r="I178" i="18"/>
  <c r="H178" i="20" s="1"/>
  <c r="J241" i="18"/>
  <c r="I17" i="18"/>
  <c r="H17" i="20" s="1"/>
  <c r="J379" i="18"/>
  <c r="J55" i="18"/>
  <c r="I317" i="18"/>
  <c r="J290" i="18"/>
  <c r="J288" i="18"/>
  <c r="J61" i="18"/>
  <c r="J263" i="18"/>
  <c r="J161" i="18"/>
  <c r="J164" i="18"/>
  <c r="J136" i="18"/>
  <c r="I94" i="18"/>
  <c r="H94" i="20" s="1"/>
  <c r="J343" i="18"/>
  <c r="J63" i="18"/>
  <c r="J162" i="18"/>
  <c r="J160" i="18"/>
  <c r="J186" i="18"/>
  <c r="J277" i="18"/>
  <c r="G95" i="22"/>
  <c r="CC95" i="6" s="1"/>
  <c r="I310" i="18"/>
  <c r="H310" i="20" s="1"/>
  <c r="J310" i="20" s="1"/>
  <c r="I166" i="18"/>
  <c r="H166" i="20" s="1"/>
  <c r="I124" i="18"/>
  <c r="H124" i="20" s="1"/>
  <c r="J124" i="20" s="1"/>
  <c r="I102" i="18"/>
  <c r="H102" i="20" s="1"/>
  <c r="J102" i="20" s="1"/>
  <c r="I201" i="18"/>
  <c r="H201" i="20" s="1"/>
  <c r="I201" i="20" s="1"/>
  <c r="H201" i="22" s="1"/>
  <c r="J53" i="18"/>
  <c r="I75" i="18"/>
  <c r="H75" i="20" s="1"/>
  <c r="J75" i="20" s="1"/>
  <c r="J301" i="18"/>
  <c r="J324" i="18"/>
  <c r="I242" i="18"/>
  <c r="H242" i="20" s="1"/>
  <c r="J360" i="18"/>
  <c r="I320" i="18"/>
  <c r="H320" i="20" s="1"/>
  <c r="I149" i="18"/>
  <c r="H149" i="20" s="1"/>
  <c r="J67" i="18"/>
  <c r="I196" i="18"/>
  <c r="H196" i="20" s="1"/>
  <c r="I196" i="20" s="1"/>
  <c r="H196" i="22" s="1"/>
  <c r="J347" i="18"/>
  <c r="I322" i="18"/>
  <c r="H322" i="20" s="1"/>
  <c r="I322" i="20" s="1"/>
  <c r="H322" i="22" s="1"/>
  <c r="J328" i="18"/>
  <c r="J71" i="18"/>
  <c r="I109" i="18"/>
  <c r="H109" i="20" s="1"/>
  <c r="I109" i="20" s="1"/>
  <c r="H109" i="22" s="1"/>
  <c r="G316" i="22"/>
  <c r="CC316" i="6" s="1"/>
  <c r="AA316" i="22"/>
  <c r="Z316" i="22" s="1"/>
  <c r="Y316" i="22" s="1"/>
  <c r="I206" i="18"/>
  <c r="H206" i="20" s="1"/>
  <c r="I206" i="20" s="1"/>
  <c r="H206" i="22" s="1"/>
  <c r="J206" i="18"/>
  <c r="J126" i="18"/>
  <c r="I126" i="18"/>
  <c r="H126" i="20" s="1"/>
  <c r="J111" i="18"/>
  <c r="I111" i="18"/>
  <c r="H111" i="20" s="1"/>
  <c r="J46" i="18"/>
  <c r="I46" i="18"/>
  <c r="H46" i="20" s="1"/>
  <c r="I46" i="20" s="1"/>
  <c r="H46" i="22" s="1"/>
  <c r="J29" i="18"/>
  <c r="I29" i="18"/>
  <c r="H29" i="20" s="1"/>
  <c r="I295" i="18"/>
  <c r="H295" i="20" s="1"/>
  <c r="I295" i="20" s="1"/>
  <c r="H295" i="22" s="1"/>
  <c r="J295" i="18"/>
  <c r="I279" i="18"/>
  <c r="H279" i="20" s="1"/>
  <c r="J279" i="18"/>
  <c r="J375" i="18"/>
  <c r="I375" i="18"/>
  <c r="H375" i="20" s="1"/>
  <c r="I107" i="18"/>
  <c r="H107" i="20" s="1"/>
  <c r="J107" i="18"/>
  <c r="J106" i="18"/>
  <c r="I106" i="18"/>
  <c r="H106" i="20" s="1"/>
  <c r="J230" i="18"/>
  <c r="I230" i="18"/>
  <c r="H230" i="20" s="1"/>
  <c r="I329" i="18"/>
  <c r="H329" i="20" s="1"/>
  <c r="J329" i="18"/>
  <c r="J130" i="18"/>
  <c r="I130" i="18"/>
  <c r="H130" i="20" s="1"/>
  <c r="I202" i="18"/>
  <c r="H202" i="20" s="1"/>
  <c r="J202" i="18"/>
  <c r="J165" i="18"/>
  <c r="I165" i="18"/>
  <c r="H165" i="20" s="1"/>
  <c r="I293" i="18"/>
  <c r="H293" i="20" s="1"/>
  <c r="J293" i="18"/>
  <c r="J171" i="18"/>
  <c r="I171" i="18"/>
  <c r="H171" i="20" s="1"/>
  <c r="I171" i="20" s="1"/>
  <c r="H171" i="22" s="1"/>
  <c r="I304" i="18"/>
  <c r="H304" i="20" s="1"/>
  <c r="J304" i="18"/>
  <c r="J272" i="18"/>
  <c r="I272" i="18"/>
  <c r="H272" i="20" s="1"/>
  <c r="I284" i="18"/>
  <c r="H284" i="20" s="1"/>
  <c r="J284" i="18"/>
  <c r="I16" i="18"/>
  <c r="H16" i="20" s="1"/>
  <c r="J16" i="18"/>
  <c r="J220" i="18"/>
  <c r="I220" i="18"/>
  <c r="H220" i="20" s="1"/>
  <c r="I220" i="20" s="1"/>
  <c r="H220" i="22" s="1"/>
  <c r="I223" i="18"/>
  <c r="H223" i="20" s="1"/>
  <c r="J223" i="18"/>
  <c r="I128" i="18"/>
  <c r="H128" i="20" s="1"/>
  <c r="J128" i="18"/>
  <c r="I319" i="18"/>
  <c r="H319" i="20" s="1"/>
  <c r="J319" i="18"/>
  <c r="I121" i="18"/>
  <c r="H121" i="20" s="1"/>
  <c r="J121" i="18"/>
  <c r="J159" i="18"/>
  <c r="I159" i="18"/>
  <c r="H159" i="20" s="1"/>
  <c r="J249" i="18"/>
  <c r="I249" i="18"/>
  <c r="H249" i="20" s="1"/>
  <c r="I167" i="18"/>
  <c r="H167" i="20" s="1"/>
  <c r="J167" i="18"/>
  <c r="J216" i="18"/>
  <c r="I216" i="18"/>
  <c r="H216" i="20" s="1"/>
  <c r="J30" i="18"/>
  <c r="I30" i="18"/>
  <c r="H30" i="20" s="1"/>
  <c r="J80" i="18"/>
  <c r="I80" i="18"/>
  <c r="H80" i="20" s="1"/>
  <c r="I44" i="18"/>
  <c r="H44" i="20" s="1"/>
  <c r="J44" i="18"/>
  <c r="J54" i="18"/>
  <c r="I54" i="18"/>
  <c r="H54" i="20" s="1"/>
  <c r="I89" i="18"/>
  <c r="H89" i="20" s="1"/>
  <c r="J89" i="18"/>
  <c r="J292" i="18"/>
  <c r="I292" i="18"/>
  <c r="BA292" i="6" s="1"/>
  <c r="D292" i="6" s="1"/>
  <c r="I294" i="18"/>
  <c r="H294" i="20" s="1"/>
  <c r="J294" i="18"/>
  <c r="J173" i="18"/>
  <c r="I173" i="18"/>
  <c r="H173" i="20" s="1"/>
  <c r="I173" i="20" s="1"/>
  <c r="H173" i="22" s="1"/>
  <c r="J261" i="18"/>
  <c r="I261" i="18"/>
  <c r="H261" i="20" s="1"/>
  <c r="I261" i="20" s="1"/>
  <c r="H261" i="22" s="1"/>
  <c r="J254" i="18"/>
  <c r="I254" i="18"/>
  <c r="H254" i="20" s="1"/>
  <c r="I101" i="18"/>
  <c r="H101" i="20" s="1"/>
  <c r="J101" i="18"/>
  <c r="I297" i="18"/>
  <c r="H297" i="20" s="1"/>
  <c r="J297" i="18"/>
  <c r="I42" i="18"/>
  <c r="H42" i="20" s="1"/>
  <c r="J42" i="18"/>
  <c r="J91" i="18"/>
  <c r="I91" i="18"/>
  <c r="H91" i="20" s="1"/>
  <c r="I203" i="18"/>
  <c r="H203" i="20" s="1"/>
  <c r="J203" i="18"/>
  <c r="J156" i="18"/>
  <c r="I156" i="18"/>
  <c r="H156" i="20" s="1"/>
  <c r="J318" i="18"/>
  <c r="I318" i="18"/>
  <c r="H318" i="20" s="1"/>
  <c r="I158" i="18"/>
  <c r="H158" i="20" s="1"/>
  <c r="J158" i="18"/>
  <c r="J336" i="18"/>
  <c r="I336" i="18"/>
  <c r="H336" i="20" s="1"/>
  <c r="I23" i="18"/>
  <c r="H23" i="20" s="1"/>
  <c r="J23" i="18"/>
  <c r="I245" i="18"/>
  <c r="H245" i="20" s="1"/>
  <c r="I245" i="20" s="1"/>
  <c r="H245" i="22" s="1"/>
  <c r="J245" i="18"/>
  <c r="J325" i="18"/>
  <c r="I325" i="18"/>
  <c r="H325" i="20" s="1"/>
  <c r="I325" i="20" s="1"/>
  <c r="H325" i="22" s="1"/>
  <c r="J374" i="18"/>
  <c r="I374" i="18"/>
  <c r="H374" i="20" s="1"/>
  <c r="I374" i="20" s="1"/>
  <c r="H374" i="22" s="1"/>
  <c r="I25" i="18"/>
  <c r="H25" i="20" s="1"/>
  <c r="J25" i="18"/>
  <c r="J66" i="18"/>
  <c r="I66" i="18"/>
  <c r="H66" i="20" s="1"/>
  <c r="J113" i="18"/>
  <c r="I113" i="18"/>
  <c r="H113" i="20" s="1"/>
  <c r="I337" i="18"/>
  <c r="H337" i="20" s="1"/>
  <c r="J337" i="18"/>
  <c r="J98" i="18"/>
  <c r="I98" i="18"/>
  <c r="H98" i="20" s="1"/>
  <c r="J92" i="18"/>
  <c r="I92" i="18"/>
  <c r="H92" i="20" s="1"/>
  <c r="J219" i="18"/>
  <c r="I219" i="18"/>
  <c r="H219" i="20" s="1"/>
  <c r="I260" i="18"/>
  <c r="H260" i="20" s="1"/>
  <c r="J260" i="18"/>
  <c r="J58" i="18"/>
  <c r="I58" i="18"/>
  <c r="H58" i="20" s="1"/>
  <c r="I306" i="18"/>
  <c r="H306" i="20" s="1"/>
  <c r="J306" i="18"/>
  <c r="I105" i="18"/>
  <c r="H105" i="20" s="1"/>
  <c r="J105" i="18"/>
  <c r="I88" i="18"/>
  <c r="H88" i="20" s="1"/>
  <c r="J88" i="18"/>
  <c r="I338" i="18"/>
  <c r="H338" i="20" s="1"/>
  <c r="J338" i="18"/>
  <c r="J333" i="18"/>
  <c r="I333" i="18"/>
  <c r="H333" i="20" s="1"/>
  <c r="I333" i="20" s="1"/>
  <c r="H333" i="22" s="1"/>
  <c r="I305" i="18"/>
  <c r="H305" i="20" s="1"/>
  <c r="J305" i="18"/>
  <c r="I154" i="18"/>
  <c r="H154" i="20" s="1"/>
  <c r="J154" i="18"/>
  <c r="J341" i="18"/>
  <c r="I341" i="18"/>
  <c r="H341" i="20" s="1"/>
  <c r="J122" i="18"/>
  <c r="I122" i="18"/>
  <c r="H122" i="20" s="1"/>
  <c r="J283" i="18"/>
  <c r="I283" i="18"/>
  <c r="H283" i="20" s="1"/>
  <c r="J209" i="18"/>
  <c r="I209" i="18"/>
  <c r="H209" i="20" s="1"/>
  <c r="I183" i="18"/>
  <c r="H183" i="20" s="1"/>
  <c r="J183" i="18"/>
  <c r="I20" i="18"/>
  <c r="H20" i="20" s="1"/>
  <c r="J20" i="18"/>
  <c r="J115" i="18"/>
  <c r="I115" i="18"/>
  <c r="H115" i="20" s="1"/>
  <c r="I115" i="20" s="1"/>
  <c r="H115" i="22" s="1"/>
  <c r="I175" i="18"/>
  <c r="H175" i="20" s="1"/>
  <c r="J175" i="18"/>
  <c r="I349" i="18"/>
  <c r="H349" i="20" s="1"/>
  <c r="J349" i="18"/>
  <c r="J340" i="18"/>
  <c r="I340" i="18"/>
  <c r="H340" i="20" s="1"/>
  <c r="J188" i="18"/>
  <c r="I188" i="18"/>
  <c r="BA188" i="6" s="1"/>
  <c r="D188" i="6" s="1"/>
  <c r="J21" i="18"/>
  <c r="I21" i="18"/>
  <c r="H21" i="20" s="1"/>
  <c r="I21" i="20" s="1"/>
  <c r="H21" i="22" s="1"/>
  <c r="J49" i="18"/>
  <c r="I49" i="18"/>
  <c r="H49" i="20" s="1"/>
  <c r="BA78" i="6"/>
  <c r="D78" i="6" s="1"/>
  <c r="BA140" i="6"/>
  <c r="D140" i="6" s="1"/>
  <c r="BA37" i="6"/>
  <c r="D37" i="6" s="1"/>
  <c r="BA346" i="6"/>
  <c r="D346" i="6" s="1"/>
  <c r="BA36" i="6"/>
  <c r="D36" i="6" s="1"/>
  <c r="BA27" i="6"/>
  <c r="D27" i="6" s="1"/>
  <c r="BA213" i="6"/>
  <c r="D213" i="6" s="1"/>
  <c r="BA317" i="6"/>
  <c r="D317" i="6" s="1"/>
  <c r="BA362" i="6"/>
  <c r="D362" i="6" s="1"/>
  <c r="BA355" i="6"/>
  <c r="D355" i="6" s="1"/>
  <c r="BA225" i="6"/>
  <c r="D225" i="6" s="1"/>
  <c r="BA303" i="6"/>
  <c r="D303" i="6" s="1"/>
  <c r="BA123" i="6"/>
  <c r="D123" i="6" s="1"/>
  <c r="BA45" i="6"/>
  <c r="D45" i="6" s="1"/>
  <c r="BA127" i="6"/>
  <c r="D127" i="6" s="1"/>
  <c r="BA201" i="6"/>
  <c r="D201" i="6" s="1"/>
  <c r="BA75" i="6"/>
  <c r="D75" i="6" s="1"/>
  <c r="BA133" i="6"/>
  <c r="D133" i="6" s="1"/>
  <c r="BA339" i="6"/>
  <c r="D339" i="6" s="1"/>
  <c r="BA196" i="6"/>
  <c r="D196" i="6" s="1"/>
  <c r="BA310" i="6"/>
  <c r="D310" i="6" s="1"/>
  <c r="BA102" i="6"/>
  <c r="D102" i="6" s="1"/>
  <c r="BA182" i="6"/>
  <c r="D182" i="6" s="1"/>
  <c r="BA48" i="6"/>
  <c r="D48" i="6" s="1"/>
  <c r="BA357" i="6"/>
  <c r="D357" i="6" s="1"/>
  <c r="BA244" i="6"/>
  <c r="D244" i="6" s="1"/>
  <c r="BA248" i="6"/>
  <c r="D248" i="6" s="1"/>
  <c r="BA330" i="6"/>
  <c r="D330" i="6" s="1"/>
  <c r="BA256" i="6"/>
  <c r="D256" i="6" s="1"/>
  <c r="BA104" i="6"/>
  <c r="D104" i="6" s="1"/>
  <c r="BA376" i="6"/>
  <c r="D376" i="6" s="1"/>
  <c r="BA226" i="6"/>
  <c r="D226" i="6" s="1"/>
  <c r="BA115" i="6"/>
  <c r="D115" i="6" s="1"/>
  <c r="BA49" i="6"/>
  <c r="D49" i="6" s="1"/>
  <c r="BA254" i="6"/>
  <c r="D254" i="6" s="1"/>
  <c r="BA249" i="6"/>
  <c r="D249" i="6" s="1"/>
  <c r="BA340" i="6"/>
  <c r="D340" i="6" s="1"/>
  <c r="BA325" i="6"/>
  <c r="D325" i="6" s="1"/>
  <c r="BA21" i="6"/>
  <c r="D21" i="6" s="1"/>
  <c r="BA219" i="6"/>
  <c r="D219" i="6" s="1"/>
  <c r="BA261" i="6"/>
  <c r="D261" i="6" s="1"/>
  <c r="BA46" i="6"/>
  <c r="D46" i="6" s="1"/>
  <c r="BA333" i="6"/>
  <c r="D333" i="6" s="1"/>
  <c r="BA29" i="6"/>
  <c r="D29" i="6" s="1"/>
  <c r="BA98" i="6"/>
  <c r="D98" i="6" s="1"/>
  <c r="BA126" i="6"/>
  <c r="D126" i="6" s="1"/>
  <c r="BA58" i="6"/>
  <c r="D58" i="6" s="1"/>
  <c r="BA165" i="6"/>
  <c r="D165" i="6" s="1"/>
  <c r="BA318" i="6"/>
  <c r="D318" i="6" s="1"/>
  <c r="BA156" i="6"/>
  <c r="D156" i="6" s="1"/>
  <c r="BA220" i="6"/>
  <c r="D220" i="6" s="1"/>
  <c r="BA272" i="6"/>
  <c r="D272" i="6" s="1"/>
  <c r="BA374" i="6"/>
  <c r="D374" i="6" s="1"/>
  <c r="G351" i="22"/>
  <c r="CC351" i="6" s="1"/>
  <c r="BA110" i="6"/>
  <c r="D110" i="6" s="1"/>
  <c r="BA186" i="6"/>
  <c r="D186" i="6" s="1"/>
  <c r="BA307" i="6"/>
  <c r="D307" i="6" s="1"/>
  <c r="BA372" i="6"/>
  <c r="D372" i="6" s="1"/>
  <c r="BA56" i="6"/>
  <c r="D56" i="6" s="1"/>
  <c r="BA246" i="6"/>
  <c r="D246" i="6" s="1"/>
  <c r="BA277" i="6"/>
  <c r="D277" i="6" s="1"/>
  <c r="BA315" i="6"/>
  <c r="D315" i="6" s="1"/>
  <c r="BA114" i="6"/>
  <c r="D114" i="6" s="1"/>
  <c r="BA232" i="6"/>
  <c r="D232" i="6" s="1"/>
  <c r="BA223" i="6"/>
  <c r="D223" i="6" s="1"/>
  <c r="BA128" i="6"/>
  <c r="D128" i="6" s="1"/>
  <c r="BA71" i="6"/>
  <c r="D71" i="6" s="1"/>
  <c r="BA163" i="6"/>
  <c r="D163" i="6" s="1"/>
  <c r="BA288" i="6"/>
  <c r="D288" i="6" s="1"/>
  <c r="BA89" i="6"/>
  <c r="D89" i="6" s="1"/>
  <c r="BA267" i="6"/>
  <c r="D267" i="6" s="1"/>
  <c r="BA181" i="6"/>
  <c r="D181" i="6" s="1"/>
  <c r="BA266" i="6"/>
  <c r="D266" i="6" s="1"/>
  <c r="BA99" i="6"/>
  <c r="D99" i="6" s="1"/>
  <c r="BA112" i="6"/>
  <c r="D112" i="6" s="1"/>
  <c r="BA61" i="6"/>
  <c r="D61" i="6" s="1"/>
  <c r="BA42" i="6"/>
  <c r="D42" i="6" s="1"/>
  <c r="BA275" i="6"/>
  <c r="D275" i="6" s="1"/>
  <c r="BA81" i="6"/>
  <c r="D81" i="6" s="1"/>
  <c r="BA364" i="6"/>
  <c r="D364" i="6" s="1"/>
  <c r="BA245" i="6"/>
  <c r="D245" i="6" s="1"/>
  <c r="BA25" i="6"/>
  <c r="D25" i="6" s="1"/>
  <c r="BA72" i="6"/>
  <c r="D72" i="6" s="1"/>
  <c r="BA161" i="6"/>
  <c r="D161" i="6" s="1"/>
  <c r="BA214" i="6"/>
  <c r="D214" i="6" s="1"/>
  <c r="BA84" i="6"/>
  <c r="D84" i="6" s="1"/>
  <c r="BA51" i="6"/>
  <c r="D51" i="6" s="1"/>
  <c r="BA239" i="6"/>
  <c r="D239" i="6" s="1"/>
  <c r="BA332" i="6"/>
  <c r="D332" i="6" s="1"/>
  <c r="BA73" i="6"/>
  <c r="D73" i="6" s="1"/>
  <c r="BA287" i="6"/>
  <c r="D287" i="6" s="1"/>
  <c r="BA321" i="6"/>
  <c r="D321" i="6" s="1"/>
  <c r="BA215" i="6"/>
  <c r="D215" i="6" s="1"/>
  <c r="BA263" i="6"/>
  <c r="D263" i="6" s="1"/>
  <c r="BA347" i="6"/>
  <c r="D347" i="6" s="1"/>
  <c r="BA289" i="6"/>
  <c r="D289" i="6" s="1"/>
  <c r="BA160" i="6"/>
  <c r="D160" i="6" s="1"/>
  <c r="BA334" i="6"/>
  <c r="D334" i="6" s="1"/>
  <c r="BA20" i="6"/>
  <c r="D20" i="6" s="1"/>
  <c r="BA349" i="6"/>
  <c r="D349" i="6" s="1"/>
  <c r="BA328" i="6"/>
  <c r="D328" i="6" s="1"/>
  <c r="BA290" i="6"/>
  <c r="D290" i="6" s="1"/>
  <c r="B167" i="24"/>
  <c r="D167" i="24" s="1"/>
  <c r="E167" i="24" s="1"/>
  <c r="F167" i="24" s="1"/>
  <c r="W167" i="23"/>
  <c r="AA152" i="22"/>
  <c r="Z152" i="22" s="1"/>
  <c r="Y152" i="22" s="1"/>
  <c r="G152" i="22"/>
  <c r="CC152" i="6" s="1"/>
  <c r="J86" i="18"/>
  <c r="I86" i="18"/>
  <c r="H86" i="20" s="1"/>
  <c r="I86" i="20" s="1"/>
  <c r="H86" i="22" s="1"/>
  <c r="J150" i="18"/>
  <c r="I150" i="18"/>
  <c r="H150" i="20" s="1"/>
  <c r="J377" i="18"/>
  <c r="I377" i="18"/>
  <c r="H377" i="20" s="1"/>
  <c r="I131" i="18"/>
  <c r="H131" i="20" s="1"/>
  <c r="J131" i="18"/>
  <c r="J282" i="18"/>
  <c r="I282" i="18"/>
  <c r="H282" i="20" s="1"/>
  <c r="J185" i="18"/>
  <c r="I185" i="18"/>
  <c r="H185" i="20" s="1"/>
  <c r="I185" i="20" s="1"/>
  <c r="H185" i="22" s="1"/>
  <c r="I326" i="18"/>
  <c r="H326" i="20" s="1"/>
  <c r="J326" i="18"/>
  <c r="I65" i="18"/>
  <c r="BA65" i="6" s="1"/>
  <c r="D65" i="6" s="1"/>
  <c r="J65" i="18"/>
  <c r="I148" i="18"/>
  <c r="BA148" i="6" s="1"/>
  <c r="D148" i="6" s="1"/>
  <c r="J148" i="18"/>
  <c r="J57" i="18"/>
  <c r="I57" i="18"/>
  <c r="H57" i="20" s="1"/>
  <c r="I365" i="18"/>
  <c r="BA365" i="6" s="1"/>
  <c r="D365" i="6" s="1"/>
  <c r="J365" i="18"/>
  <c r="I108" i="18"/>
  <c r="H108" i="20" s="1"/>
  <c r="J108" i="18"/>
  <c r="I120" i="18"/>
  <c r="H120" i="20" s="1"/>
  <c r="J120" i="18"/>
  <c r="I354" i="18"/>
  <c r="H354" i="20" s="1"/>
  <c r="J354" i="18"/>
  <c r="J222" i="18"/>
  <c r="I222" i="18"/>
  <c r="H222" i="20" s="1"/>
  <c r="I184" i="18"/>
  <c r="BA184" i="6" s="1"/>
  <c r="D184" i="6" s="1"/>
  <c r="J184" i="18"/>
  <c r="I35" i="18"/>
  <c r="H35" i="20" s="1"/>
  <c r="J35" i="18"/>
  <c r="J189" i="18"/>
  <c r="I189" i="18"/>
  <c r="H189" i="20" s="1"/>
  <c r="J143" i="18"/>
  <c r="I143" i="18"/>
  <c r="H143" i="20" s="1"/>
  <c r="J69" i="18"/>
  <c r="I69" i="18"/>
  <c r="H69" i="20" s="1"/>
  <c r="J369" i="18"/>
  <c r="I369" i="18"/>
  <c r="H369" i="20" s="1"/>
  <c r="I369" i="20" s="1"/>
  <c r="H369" i="22" s="1"/>
  <c r="I70" i="18"/>
  <c r="H70" i="20" s="1"/>
  <c r="J70" i="18"/>
  <c r="I77" i="18"/>
  <c r="BA77" i="6" s="1"/>
  <c r="D77" i="6" s="1"/>
  <c r="J77" i="18"/>
  <c r="J176" i="18"/>
  <c r="I176" i="18"/>
  <c r="H176" i="20" s="1"/>
  <c r="I233" i="18"/>
  <c r="BA233" i="6" s="1"/>
  <c r="D233" i="6" s="1"/>
  <c r="J233" i="18"/>
  <c r="I38" i="18"/>
  <c r="H38" i="20" s="1"/>
  <c r="J38" i="18"/>
  <c r="I351" i="18"/>
  <c r="H351" i="20" s="1"/>
  <c r="J351" i="18"/>
  <c r="J60" i="18"/>
  <c r="I60" i="18"/>
  <c r="H60" i="20" s="1"/>
  <c r="I60" i="20" s="1"/>
  <c r="H60" i="22" s="1"/>
  <c r="J194" i="18"/>
  <c r="I194" i="18"/>
  <c r="H194" i="20" s="1"/>
  <c r="I194" i="20" s="1"/>
  <c r="H194" i="22" s="1"/>
  <c r="I125" i="18"/>
  <c r="BA125" i="6" s="1"/>
  <c r="D125" i="6" s="1"/>
  <c r="J125" i="18"/>
  <c r="I273" i="18"/>
  <c r="BA273" i="6" s="1"/>
  <c r="D273" i="6" s="1"/>
  <c r="J273" i="18"/>
  <c r="J361" i="18"/>
  <c r="I361" i="18"/>
  <c r="H361" i="20" s="1"/>
  <c r="I361" i="20" s="1"/>
  <c r="H361" i="22" s="1"/>
  <c r="I34" i="18"/>
  <c r="BA34" i="6" s="1"/>
  <c r="D34" i="6" s="1"/>
  <c r="J34" i="18"/>
  <c r="J359" i="18"/>
  <c r="I359" i="18"/>
  <c r="H359" i="20" s="1"/>
  <c r="J358" i="18"/>
  <c r="I358" i="18"/>
  <c r="H358" i="20" s="1"/>
  <c r="I134" i="18"/>
  <c r="H134" i="20" s="1"/>
  <c r="J134" i="18"/>
  <c r="J174" i="18"/>
  <c r="I174" i="18"/>
  <c r="H174" i="20" s="1"/>
  <c r="I116" i="18"/>
  <c r="H116" i="20" s="1"/>
  <c r="J116" i="18"/>
  <c r="J83" i="18"/>
  <c r="I83" i="18"/>
  <c r="H83" i="20" s="1"/>
  <c r="I352" i="18"/>
  <c r="BA352" i="6" s="1"/>
  <c r="D352" i="6" s="1"/>
  <c r="J352" i="18"/>
  <c r="J258" i="18"/>
  <c r="I258" i="18"/>
  <c r="H258" i="20" s="1"/>
  <c r="J314" i="18"/>
  <c r="I314" i="18"/>
  <c r="H314" i="20" s="1"/>
  <c r="J207" i="18"/>
  <c r="I207" i="18"/>
  <c r="H207" i="20" s="1"/>
  <c r="I210" i="18"/>
  <c r="BA210" i="6" s="1"/>
  <c r="D210" i="6" s="1"/>
  <c r="I243" i="18"/>
  <c r="H243" i="20" s="1"/>
  <c r="I237" i="18"/>
  <c r="H237" i="20" s="1"/>
  <c r="J300" i="18"/>
  <c r="J344" i="18"/>
  <c r="J155" i="18"/>
  <c r="I59" i="18"/>
  <c r="H59" i="20" s="1"/>
  <c r="J259" i="18"/>
  <c r="J348" i="18"/>
  <c r="I363" i="18"/>
  <c r="H363" i="20" s="1"/>
  <c r="J332" i="18"/>
  <c r="J85" i="18"/>
  <c r="I373" i="18"/>
  <c r="BA373" i="6" s="1"/>
  <c r="D373" i="6" s="1"/>
  <c r="J96" i="18"/>
  <c r="I145" i="18"/>
  <c r="BA145" i="6" s="1"/>
  <c r="D145" i="6" s="1"/>
  <c r="J157" i="18"/>
  <c r="I198" i="18"/>
  <c r="BA198" i="6" s="1"/>
  <c r="D198" i="6" s="1"/>
  <c r="I139" i="18"/>
  <c r="BA139" i="6" s="1"/>
  <c r="D139" i="6" s="1"/>
  <c r="J187" i="18"/>
  <c r="I274" i="18"/>
  <c r="BA274" i="6" s="1"/>
  <c r="D274" i="6" s="1"/>
  <c r="I227" i="18"/>
  <c r="H227" i="20" s="1"/>
  <c r="I224" i="18"/>
  <c r="H224" i="20" s="1"/>
  <c r="J168" i="18"/>
  <c r="I353" i="18"/>
  <c r="H353" i="20" s="1"/>
  <c r="J50" i="18"/>
  <c r="J68" i="18"/>
  <c r="J255" i="18"/>
  <c r="J95" i="18"/>
  <c r="J229" i="18"/>
  <c r="I286" i="18"/>
  <c r="H286" i="20" s="1"/>
  <c r="I200" i="18"/>
  <c r="H200" i="20" s="1"/>
  <c r="J82" i="18"/>
  <c r="J117" i="18"/>
  <c r="J41" i="18"/>
  <c r="I172" i="18"/>
  <c r="H172" i="20" s="1"/>
  <c r="J257" i="18"/>
  <c r="I146" i="18"/>
  <c r="H146" i="20" s="1"/>
  <c r="J147" i="18"/>
  <c r="I276" i="18"/>
  <c r="H276" i="20" s="1"/>
  <c r="J118" i="18"/>
  <c r="J302" i="18"/>
  <c r="J368" i="18"/>
  <c r="J270" i="18"/>
  <c r="I236" i="18"/>
  <c r="BA236" i="6" s="1"/>
  <c r="D236" i="6" s="1"/>
  <c r="I356" i="18"/>
  <c r="BA356" i="6" s="1"/>
  <c r="D356" i="6" s="1"/>
  <c r="I24" i="18"/>
  <c r="BA24" i="6" s="1"/>
  <c r="D24" i="6" s="1"/>
  <c r="I350" i="18"/>
  <c r="BA350" i="6" s="1"/>
  <c r="D350" i="6" s="1"/>
  <c r="J191" i="18"/>
  <c r="J250" i="18"/>
  <c r="J371" i="18"/>
  <c r="I31" i="18"/>
  <c r="BA31" i="6" s="1"/>
  <c r="D31" i="6" s="1"/>
  <c r="I22" i="18"/>
  <c r="BA22" i="6" s="1"/>
  <c r="D22" i="6" s="1"/>
  <c r="J119" i="18"/>
  <c r="I62" i="18"/>
  <c r="BA62" i="6" s="1"/>
  <c r="D62" i="6" s="1"/>
  <c r="I309" i="18"/>
  <c r="BA309" i="6" s="1"/>
  <c r="D309" i="6" s="1"/>
  <c r="I311" i="18"/>
  <c r="BA311" i="6" s="1"/>
  <c r="D311" i="6" s="1"/>
  <c r="I378" i="18"/>
  <c r="BA378" i="6" s="1"/>
  <c r="D378" i="6" s="1"/>
  <c r="I137" i="18"/>
  <c r="BA137" i="6" s="1"/>
  <c r="D137" i="6" s="1"/>
  <c r="J169" i="18"/>
  <c r="J218" i="18"/>
  <c r="I144" i="18"/>
  <c r="BA144" i="6" s="1"/>
  <c r="D144" i="6" s="1"/>
  <c r="J275" i="18"/>
  <c r="I268" i="18"/>
  <c r="J289" i="18"/>
  <c r="J132" i="18"/>
  <c r="J163" i="18"/>
  <c r="I298" i="18"/>
  <c r="H298" i="20" s="1"/>
  <c r="I262" i="18"/>
  <c r="H262" i="20" s="1"/>
  <c r="J281" i="18"/>
  <c r="J247" i="18"/>
  <c r="I231" i="18"/>
  <c r="H231" i="20" s="1"/>
  <c r="I33" i="18"/>
  <c r="H33" i="20" s="1"/>
  <c r="J129" i="18"/>
  <c r="J114" i="18"/>
  <c r="I74" i="18"/>
  <c r="H74" i="20" s="1"/>
  <c r="I74" i="20" s="1"/>
  <c r="H74" i="22" s="1"/>
  <c r="J335" i="18"/>
  <c r="J208" i="18"/>
  <c r="J334" i="18"/>
  <c r="J221" i="18"/>
  <c r="BA85" i="6"/>
  <c r="D85" i="6" s="1"/>
  <c r="BA96" i="6"/>
  <c r="D96" i="6" s="1"/>
  <c r="BA295" i="6"/>
  <c r="D295" i="6" s="1"/>
  <c r="BA157" i="6"/>
  <c r="D157" i="6" s="1"/>
  <c r="BA90" i="6"/>
  <c r="D90" i="6" s="1"/>
  <c r="BA279" i="6"/>
  <c r="D279" i="6" s="1"/>
  <c r="BA53" i="6"/>
  <c r="D53" i="6" s="1"/>
  <c r="BA187" i="6"/>
  <c r="D187" i="6" s="1"/>
  <c r="BA135" i="6"/>
  <c r="D135" i="6" s="1"/>
  <c r="BA206" i="6"/>
  <c r="D206" i="6" s="1"/>
  <c r="BA44" i="6"/>
  <c r="D44" i="6" s="1"/>
  <c r="BA345" i="6"/>
  <c r="D345" i="6" s="1"/>
  <c r="BA191" i="6"/>
  <c r="D191" i="6" s="1"/>
  <c r="BA250" i="6"/>
  <c r="D250" i="6" s="1"/>
  <c r="BA371" i="6"/>
  <c r="D371" i="6" s="1"/>
  <c r="BA291" i="6"/>
  <c r="D291" i="6" s="1"/>
  <c r="BA88" i="6"/>
  <c r="D88" i="6" s="1"/>
  <c r="BA67" i="6"/>
  <c r="D67" i="6" s="1"/>
  <c r="BA119" i="6"/>
  <c r="D119" i="6" s="1"/>
  <c r="BA162" i="6"/>
  <c r="D162" i="6" s="1"/>
  <c r="BA121" i="6"/>
  <c r="D121" i="6" s="1"/>
  <c r="BA203" i="6"/>
  <c r="D203" i="6" s="1"/>
  <c r="BA169" i="6"/>
  <c r="D169" i="6" s="1"/>
  <c r="BA218" i="6"/>
  <c r="D218" i="6" s="1"/>
  <c r="BA86" i="6"/>
  <c r="D86" i="6" s="1"/>
  <c r="BA282" i="6"/>
  <c r="D282" i="6" s="1"/>
  <c r="BA176" i="6"/>
  <c r="D176" i="6" s="1"/>
  <c r="BA173" i="6"/>
  <c r="D173" i="6" s="1"/>
  <c r="BA194" i="6"/>
  <c r="D194" i="6" s="1"/>
  <c r="BA171" i="6"/>
  <c r="D171" i="6" s="1"/>
  <c r="BA60" i="6"/>
  <c r="D60" i="6" s="1"/>
  <c r="BA159" i="6"/>
  <c r="D159" i="6" s="1"/>
  <c r="BA150" i="6"/>
  <c r="D150" i="6" s="1"/>
  <c r="BA268" i="6"/>
  <c r="D268" i="6" s="1"/>
  <c r="BA361" i="6"/>
  <c r="D361" i="6" s="1"/>
  <c r="BA283" i="6"/>
  <c r="D283" i="6" s="1"/>
  <c r="BA322" i="6"/>
  <c r="D322" i="6" s="1"/>
  <c r="BA143" i="6"/>
  <c r="D143" i="6" s="1"/>
  <c r="BA124" i="6"/>
  <c r="D124" i="6" s="1"/>
  <c r="BA369" i="6"/>
  <c r="D369" i="6" s="1"/>
  <c r="BA185" i="6"/>
  <c r="D185" i="6" s="1"/>
  <c r="BA74" i="6"/>
  <c r="D74" i="6" s="1"/>
  <c r="BA314" i="6"/>
  <c r="D314" i="6" s="1"/>
  <c r="BA109" i="6"/>
  <c r="D109" i="6" s="1"/>
  <c r="N58" i="19"/>
  <c r="N59" i="19"/>
  <c r="N57" i="19"/>
  <c r="B152" i="24"/>
  <c r="W152" i="24" s="1"/>
  <c r="B211" i="24"/>
  <c r="W211" i="24" s="1"/>
  <c r="B108" i="24"/>
  <c r="W108" i="24" s="1"/>
  <c r="B59" i="24"/>
  <c r="B59" i="25" s="1"/>
  <c r="D108" i="23"/>
  <c r="E108" i="23" s="1"/>
  <c r="F108" i="23" s="1"/>
  <c r="G108" i="23" s="1"/>
  <c r="CD108" i="6" s="1"/>
  <c r="G335" i="22"/>
  <c r="CC335" i="6" s="1"/>
  <c r="W59" i="23"/>
  <c r="AA183" i="22"/>
  <c r="Z183" i="22" s="1"/>
  <c r="Y183" i="22" s="1"/>
  <c r="B331" i="24"/>
  <c r="W331" i="24" s="1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G152" i="23" s="1"/>
  <c r="CD152" i="6" s="1"/>
  <c r="B50" i="24"/>
  <c r="D50" i="24" s="1"/>
  <c r="E50" i="24" s="1"/>
  <c r="F50" i="24" s="1"/>
  <c r="B306" i="24"/>
  <c r="W306" i="24" s="1"/>
  <c r="AA28" i="22"/>
  <c r="Z28" i="22" s="1"/>
  <c r="Y28" i="22" s="1"/>
  <c r="D205" i="23"/>
  <c r="E205" i="23" s="1"/>
  <c r="F205" i="23" s="1"/>
  <c r="AA205" i="23" s="1"/>
  <c r="Z205" i="23" s="1"/>
  <c r="Y205" i="23" s="1"/>
  <c r="B323" i="24"/>
  <c r="W323" i="24" s="1"/>
  <c r="D259" i="23"/>
  <c r="E259" i="23" s="1"/>
  <c r="F259" i="23" s="1"/>
  <c r="AA259" i="23" s="1"/>
  <c r="Z259" i="23" s="1"/>
  <c r="Y259" i="23" s="1"/>
  <c r="AA363" i="22"/>
  <c r="Z363" i="22" s="1"/>
  <c r="Y363" i="22" s="1"/>
  <c r="B212" i="24"/>
  <c r="W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AA231" i="23" s="1"/>
  <c r="Z231" i="23" s="1"/>
  <c r="Y231" i="23" s="1"/>
  <c r="AA30" i="22"/>
  <c r="Z30" i="22" s="1"/>
  <c r="Y30" i="22" s="1"/>
  <c r="B28" i="24"/>
  <c r="W28" i="24" s="1"/>
  <c r="B205" i="24"/>
  <c r="W205" i="24" s="1"/>
  <c r="W28" i="23"/>
  <c r="B54" i="24"/>
  <c r="W54" i="24" s="1"/>
  <c r="B23" i="24"/>
  <c r="D23" i="24" s="1"/>
  <c r="E23" i="24" s="1"/>
  <c r="F23" i="24" s="1"/>
  <c r="B70" i="24"/>
  <c r="W70" i="24" s="1"/>
  <c r="W231" i="23"/>
  <c r="D192" i="23"/>
  <c r="E192" i="23" s="1"/>
  <c r="F192" i="23" s="1"/>
  <c r="AA192" i="23" s="1"/>
  <c r="Z192" i="23" s="1"/>
  <c r="Y192" i="23" s="1"/>
  <c r="W170" i="23"/>
  <c r="B329" i="24"/>
  <c r="W329" i="24" s="1"/>
  <c r="W131" i="23"/>
  <c r="D306" i="23"/>
  <c r="E306" i="23" s="1"/>
  <c r="F306" i="23" s="1"/>
  <c r="G306" i="23" s="1"/>
  <c r="CD306" i="6" s="1"/>
  <c r="B30" i="24"/>
  <c r="D30" i="24" s="1"/>
  <c r="E30" i="24" s="1"/>
  <c r="F30" i="24" s="1"/>
  <c r="G79" i="22"/>
  <c r="CC79" i="6" s="1"/>
  <c r="G38" i="22"/>
  <c r="CC38" i="6" s="1"/>
  <c r="W312" i="23"/>
  <c r="B129" i="24"/>
  <c r="W129" i="24" s="1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G170" i="23" s="1"/>
  <c r="CD170" i="6" s="1"/>
  <c r="AA197" i="22"/>
  <c r="Z197" i="22" s="1"/>
  <c r="Y197" i="22" s="1"/>
  <c r="B95" i="24"/>
  <c r="D95" i="24" s="1"/>
  <c r="E95" i="24" s="1"/>
  <c r="F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B269" i="24"/>
  <c r="W269" i="24" s="1"/>
  <c r="D300" i="23"/>
  <c r="E300" i="23" s="1"/>
  <c r="F300" i="23" s="1"/>
  <c r="G300" i="23" s="1"/>
  <c r="CD300" i="6" s="1"/>
  <c r="D167" i="23"/>
  <c r="E167" i="23" s="1"/>
  <c r="F167" i="23" s="1"/>
  <c r="G167" i="23" s="1"/>
  <c r="CD167" i="6" s="1"/>
  <c r="G212" i="22"/>
  <c r="CC212" i="6" s="1"/>
  <c r="B19" i="24"/>
  <c r="W19" i="24" s="1"/>
  <c r="W35" i="23"/>
  <c r="AA331" i="22"/>
  <c r="Z331" i="22" s="1"/>
  <c r="Y331" i="22" s="1"/>
  <c r="W353" i="23"/>
  <c r="W193" i="23"/>
  <c r="B335" i="24"/>
  <c r="W335" i="24" s="1"/>
  <c r="W377" i="23"/>
  <c r="W363" i="23"/>
  <c r="G297" i="22"/>
  <c r="CC297" i="6" s="1"/>
  <c r="W94" i="23"/>
  <c r="D294" i="23"/>
  <c r="E294" i="23" s="1"/>
  <c r="F294" i="23" s="1"/>
  <c r="G294" i="23" s="1"/>
  <c r="CD294" i="6" s="1"/>
  <c r="B359" i="24"/>
  <c r="D359" i="24" s="1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B237" i="24"/>
  <c r="W237" i="24" s="1"/>
  <c r="B353" i="24"/>
  <c r="D353" i="24" s="1"/>
  <c r="E353" i="24" s="1"/>
  <c r="F353" i="24" s="1"/>
  <c r="W335" i="23"/>
  <c r="B377" i="24"/>
  <c r="D377" i="24" s="1"/>
  <c r="E377" i="24" s="1"/>
  <c r="F377" i="24" s="1"/>
  <c r="B348" i="24"/>
  <c r="W348" i="24" s="1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B136" i="24"/>
  <c r="W136" i="24" s="1"/>
  <c r="W197" i="23"/>
  <c r="W237" i="23"/>
  <c r="D54" i="23"/>
  <c r="E54" i="23" s="1"/>
  <c r="F54" i="23" s="1"/>
  <c r="AA54" i="23" s="1"/>
  <c r="Z54" i="23" s="1"/>
  <c r="Y54" i="23" s="1"/>
  <c r="W30" i="23"/>
  <c r="B327" i="24"/>
  <c r="W327" i="24" s="1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B300" i="24"/>
  <c r="D300" i="24" s="1"/>
  <c r="E300" i="24" s="1"/>
  <c r="F300" i="24" s="1"/>
  <c r="B179" i="24"/>
  <c r="W179" i="24" s="1"/>
  <c r="W348" i="23"/>
  <c r="W19" i="23"/>
  <c r="D337" i="23"/>
  <c r="E337" i="23" s="1"/>
  <c r="F337" i="23" s="1"/>
  <c r="AA337" i="23" s="1"/>
  <c r="Z337" i="23" s="1"/>
  <c r="Y337" i="23" s="1"/>
  <c r="B301" i="24"/>
  <c r="D301" i="24" s="1"/>
  <c r="E301" i="24" s="1"/>
  <c r="F301" i="24" s="1"/>
  <c r="D358" i="23"/>
  <c r="E358" i="23" s="1"/>
  <c r="F358" i="23" s="1"/>
  <c r="AA358" i="23" s="1"/>
  <c r="Z358" i="23" s="1"/>
  <c r="Y358" i="23" s="1"/>
  <c r="B270" i="24"/>
  <c r="W270" i="24" s="1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B316" i="24"/>
  <c r="W316" i="24" s="1"/>
  <c r="D301" i="23"/>
  <c r="E301" i="23" s="1"/>
  <c r="F301" i="23" s="1"/>
  <c r="AA301" i="23" s="1"/>
  <c r="Z301" i="23" s="1"/>
  <c r="Y301" i="23" s="1"/>
  <c r="B358" i="24"/>
  <c r="W358" i="24" s="1"/>
  <c r="W136" i="23"/>
  <c r="B43" i="24"/>
  <c r="W43" i="24" s="1"/>
  <c r="AA224" i="22"/>
  <c r="Z224" i="22" s="1"/>
  <c r="Y224" i="22" s="1"/>
  <c r="B164" i="24"/>
  <c r="W164" i="24" s="1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B192" i="24"/>
  <c r="W192" i="24" s="1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B294" i="24"/>
  <c r="W294" i="24" s="1"/>
  <c r="B155" i="24"/>
  <c r="W155" i="24" s="1"/>
  <c r="D43" i="23"/>
  <c r="E43" i="23" s="1"/>
  <c r="F43" i="23" s="1"/>
  <c r="G43" i="23" s="1"/>
  <c r="CD43" i="6" s="1"/>
  <c r="B297" i="24"/>
  <c r="D297" i="24" s="1"/>
  <c r="E297" i="24" s="1"/>
  <c r="F297" i="24" s="1"/>
  <c r="D116" i="23"/>
  <c r="E116" i="23" s="1"/>
  <c r="F116" i="23" s="1"/>
  <c r="G116" i="23" s="1"/>
  <c r="CD116" i="6" s="1"/>
  <c r="W168" i="23"/>
  <c r="AA164" i="22"/>
  <c r="Z164" i="22" s="1"/>
  <c r="Y164" i="22" s="1"/>
  <c r="D155" i="23"/>
  <c r="E155" i="23" s="1"/>
  <c r="F155" i="23" s="1"/>
  <c r="G155" i="23" s="1"/>
  <c r="CD155" i="6" s="1"/>
  <c r="B116" i="24"/>
  <c r="D116" i="24" s="1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B338" i="24"/>
  <c r="D338" i="24" s="1"/>
  <c r="E338" i="24" s="1"/>
  <c r="F338" i="24" s="1"/>
  <c r="B284" i="24"/>
  <c r="D284" i="24" s="1"/>
  <c r="E284" i="24" s="1"/>
  <c r="F284" i="24" s="1"/>
  <c r="B224" i="24"/>
  <c r="W224" i="24" s="1"/>
  <c r="B97" i="24"/>
  <c r="D97" i="24" s="1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B153" i="24"/>
  <c r="W153" i="24" s="1"/>
  <c r="AA284" i="22"/>
  <c r="Z284" i="22" s="1"/>
  <c r="Y284" i="22" s="1"/>
  <c r="D55" i="23"/>
  <c r="E55" i="23" s="1"/>
  <c r="F55" i="23" s="1"/>
  <c r="G55" i="23" s="1"/>
  <c r="CD55" i="6" s="1"/>
  <c r="B180" i="24"/>
  <c r="W180" i="24" s="1"/>
  <c r="B64" i="24"/>
  <c r="W64" i="24" s="1"/>
  <c r="B243" i="24"/>
  <c r="W243" i="24" s="1"/>
  <c r="B216" i="24"/>
  <c r="W216" i="24" s="1"/>
  <c r="I251" i="20"/>
  <c r="H251" i="22" s="1"/>
  <c r="J251" i="22" s="1"/>
  <c r="B344" i="24"/>
  <c r="W344" i="24" s="1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B326" i="24"/>
  <c r="D326" i="24" s="1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B367" i="24"/>
  <c r="D367" i="24" s="1"/>
  <c r="E367" i="24" s="1"/>
  <c r="F367" i="24" s="1"/>
  <c r="H53" i="20"/>
  <c r="I53" i="20" s="1"/>
  <c r="H53" i="22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371" i="20"/>
  <c r="H87" i="20"/>
  <c r="J87" i="20" s="1"/>
  <c r="H145" i="20"/>
  <c r="I145" i="20" s="1"/>
  <c r="H145" i="22" s="1"/>
  <c r="H291" i="20"/>
  <c r="I291" i="20" s="1"/>
  <c r="H291" i="22" s="1"/>
  <c r="H268" i="20"/>
  <c r="J268" i="20" s="1"/>
  <c r="H76" i="20"/>
  <c r="J76" i="20" s="1"/>
  <c r="H347" i="20"/>
  <c r="H345" i="20"/>
  <c r="J345" i="20" s="1"/>
  <c r="D324" i="23"/>
  <c r="E324" i="23" s="1"/>
  <c r="F324" i="23" s="1"/>
  <c r="G324" i="23" s="1"/>
  <c r="CD324" i="6" s="1"/>
  <c r="H234" i="20"/>
  <c r="J234" i="20" s="1"/>
  <c r="H67" i="20"/>
  <c r="H112" i="20"/>
  <c r="I112" i="20" s="1"/>
  <c r="H112" i="22" s="1"/>
  <c r="H61" i="20"/>
  <c r="I61" i="20" s="1"/>
  <c r="H61" i="22" s="1"/>
  <c r="H162" i="20"/>
  <c r="J162" i="20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H133" i="20"/>
  <c r="J133" i="20" s="1"/>
  <c r="B324" i="24"/>
  <c r="D324" i="24" s="1"/>
  <c r="E324" i="24" s="1"/>
  <c r="F324" i="24" s="1"/>
  <c r="H119" i="20"/>
  <c r="I119" i="20" s="1"/>
  <c r="H119" i="22" s="1"/>
  <c r="H289" i="20"/>
  <c r="H71" i="20"/>
  <c r="I71" i="20" s="1"/>
  <c r="H71" i="22" s="1"/>
  <c r="H114" i="20"/>
  <c r="H339" i="20"/>
  <c r="I339" i="20" s="1"/>
  <c r="H339" i="22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73" i="20"/>
  <c r="H317" i="20"/>
  <c r="I317" i="20" s="1"/>
  <c r="H317" i="22" s="1"/>
  <c r="H186" i="20"/>
  <c r="J186" i="20" s="1"/>
  <c r="H169" i="20"/>
  <c r="H218" i="20"/>
  <c r="I218" i="20" s="1"/>
  <c r="H218" i="22" s="1"/>
  <c r="H263" i="20"/>
  <c r="I263" i="20" s="1"/>
  <c r="H263" i="22" s="1"/>
  <c r="H250" i="20"/>
  <c r="BA192" i="6"/>
  <c r="D192" i="6" s="1"/>
  <c r="W100" i="24"/>
  <c r="D100" i="24"/>
  <c r="E100" i="24" s="1"/>
  <c r="F100" i="24" s="1"/>
  <c r="B100" i="25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B134" i="25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B280" i="25"/>
  <c r="W172" i="24"/>
  <c r="D172" i="24"/>
  <c r="E172" i="24" s="1"/>
  <c r="F172" i="24" s="1"/>
  <c r="B172" i="25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B141" i="25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B339" i="24"/>
  <c r="G291" i="22"/>
  <c r="CC291" i="6" s="1"/>
  <c r="AA291" i="22"/>
  <c r="Z291" i="22" s="1"/>
  <c r="Y291" i="22" s="1"/>
  <c r="W291" i="23"/>
  <c r="D291" i="23"/>
  <c r="E291" i="23" s="1"/>
  <c r="F291" i="23" s="1"/>
  <c r="B291" i="24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B49" i="24"/>
  <c r="D276" i="24"/>
  <c r="E276" i="24" s="1"/>
  <c r="F276" i="24" s="1"/>
  <c r="W276" i="24"/>
  <c r="B276" i="25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B368" i="25"/>
  <c r="W232" i="23"/>
  <c r="D232" i="23"/>
  <c r="E232" i="23" s="1"/>
  <c r="F232" i="23" s="1"/>
  <c r="B232" i="24"/>
  <c r="W62" i="23"/>
  <c r="D62" i="23"/>
  <c r="E62" i="23" s="1"/>
  <c r="F62" i="23" s="1"/>
  <c r="B62" i="24"/>
  <c r="W309" i="23"/>
  <c r="D309" i="23"/>
  <c r="E309" i="23" s="1"/>
  <c r="F309" i="23" s="1"/>
  <c r="B309" i="24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B158" i="25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B26" i="25"/>
  <c r="W325" i="23"/>
  <c r="D325" i="23"/>
  <c r="E325" i="23" s="1"/>
  <c r="F325" i="23" s="1"/>
  <c r="B325" i="24"/>
  <c r="W277" i="23"/>
  <c r="D277" i="23"/>
  <c r="E277" i="23" s="1"/>
  <c r="F277" i="23" s="1"/>
  <c r="B277" i="24"/>
  <c r="D193" i="24"/>
  <c r="E193" i="24" s="1"/>
  <c r="F193" i="24" s="1"/>
  <c r="W193" i="24"/>
  <c r="B193" i="25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B233" i="24"/>
  <c r="W123" i="23"/>
  <c r="D123" i="23"/>
  <c r="E123" i="23" s="1"/>
  <c r="F123" i="23" s="1"/>
  <c r="B123" i="24"/>
  <c r="D45" i="23"/>
  <c r="E45" i="23" s="1"/>
  <c r="F45" i="23" s="1"/>
  <c r="W45" i="23"/>
  <c r="B45" i="24"/>
  <c r="G282" i="22"/>
  <c r="CC282" i="6" s="1"/>
  <c r="AA282" i="22"/>
  <c r="Z282" i="22" s="1"/>
  <c r="Y282" i="22" s="1"/>
  <c r="W230" i="24"/>
  <c r="D230" i="24"/>
  <c r="E230" i="24" s="1"/>
  <c r="F230" i="24" s="1"/>
  <c r="B230" i="25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B89" i="24"/>
  <c r="W61" i="23"/>
  <c r="D61" i="23"/>
  <c r="E61" i="23" s="1"/>
  <c r="F61" i="23" s="1"/>
  <c r="B61" i="24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B194" i="24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B149" i="25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B210" i="24"/>
  <c r="D210" i="23"/>
  <c r="E210" i="23" s="1"/>
  <c r="F210" i="23" s="1"/>
  <c r="G135" i="22"/>
  <c r="CC135" i="6" s="1"/>
  <c r="AA135" i="22"/>
  <c r="Z135" i="22" s="1"/>
  <c r="Y135" i="22" s="1"/>
  <c r="BA153" i="6"/>
  <c r="D153" i="6" s="1"/>
  <c r="BA79" i="6"/>
  <c r="D79" i="6" s="1"/>
  <c r="H79" i="20"/>
  <c r="BA327" i="6"/>
  <c r="D327" i="6" s="1"/>
  <c r="BA367" i="6"/>
  <c r="D367" i="6" s="1"/>
  <c r="H367" i="20"/>
  <c r="BA18" i="6"/>
  <c r="D18" i="6" s="1"/>
  <c r="BA331" i="6"/>
  <c r="D331" i="6" s="1"/>
  <c r="BA211" i="6"/>
  <c r="BA235" i="6"/>
  <c r="D235" i="6" s="1"/>
  <c r="BA103" i="6"/>
  <c r="D103" i="6" s="1"/>
  <c r="BA252" i="6"/>
  <c r="D252" i="6" s="1"/>
  <c r="BA204" i="6"/>
  <c r="D204" i="6" s="1"/>
  <c r="H204" i="20"/>
  <c r="BA40" i="6"/>
  <c r="D40" i="6" s="1"/>
  <c r="BA199" i="6"/>
  <c r="D199" i="6" s="1"/>
  <c r="BA113" i="6"/>
  <c r="BA280" i="6"/>
  <c r="D280" i="6" s="1"/>
  <c r="BA375" i="6"/>
  <c r="D375" i="6" s="1"/>
  <c r="BA341" i="6"/>
  <c r="D341" i="6" s="1"/>
  <c r="BA285" i="6"/>
  <c r="D285" i="6" s="1"/>
  <c r="BA209" i="6"/>
  <c r="D209" i="6" s="1"/>
  <c r="BA47" i="6"/>
  <c r="D47" i="6" s="1"/>
  <c r="BA336" i="6"/>
  <c r="D336" i="6" s="1"/>
  <c r="BA308" i="6"/>
  <c r="D308" i="6" s="1"/>
  <c r="BA178" i="6"/>
  <c r="D178" i="6" s="1"/>
  <c r="BA106" i="6"/>
  <c r="D106" i="6" s="1"/>
  <c r="BA271" i="6"/>
  <c r="D271" i="6" s="1"/>
  <c r="BA130" i="6"/>
  <c r="D130" i="6" s="1"/>
  <c r="BA66" i="6"/>
  <c r="D66" i="6" s="1"/>
  <c r="BA111" i="6"/>
  <c r="D111" i="6" s="1"/>
  <c r="BA17" i="6"/>
  <c r="D17" i="6" s="1"/>
  <c r="BA177" i="6"/>
  <c r="D177" i="6" s="1"/>
  <c r="BA30" i="6"/>
  <c r="D30" i="6" s="1"/>
  <c r="BA54" i="6"/>
  <c r="D54" i="6" s="1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B163" i="24"/>
  <c r="W98" i="23"/>
  <c r="D98" i="23"/>
  <c r="E98" i="23" s="1"/>
  <c r="F98" i="23" s="1"/>
  <c r="B98" i="24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B200" i="25"/>
  <c r="W168" i="24"/>
  <c r="B168" i="25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B343" i="25"/>
  <c r="H315" i="20"/>
  <c r="D315" i="23"/>
  <c r="E315" i="23" s="1"/>
  <c r="F315" i="23" s="1"/>
  <c r="W315" i="23"/>
  <c r="B315" i="24"/>
  <c r="G239" i="22"/>
  <c r="CC239" i="6" s="1"/>
  <c r="AA239" i="22"/>
  <c r="Z239" i="22" s="1"/>
  <c r="Y239" i="22" s="1"/>
  <c r="W239" i="23"/>
  <c r="D239" i="23"/>
  <c r="E239" i="23" s="1"/>
  <c r="F239" i="23" s="1"/>
  <c r="B239" i="24"/>
  <c r="W113" i="24"/>
  <c r="D113" i="24"/>
  <c r="E113" i="24" s="1"/>
  <c r="F113" i="24" s="1"/>
  <c r="B113" i="25"/>
  <c r="G350" i="22"/>
  <c r="CC350" i="6" s="1"/>
  <c r="AA350" i="22"/>
  <c r="Z350" i="22" s="1"/>
  <c r="Y350" i="22" s="1"/>
  <c r="H266" i="20"/>
  <c r="W238" i="24"/>
  <c r="D238" i="24"/>
  <c r="E238" i="24" s="1"/>
  <c r="F238" i="24" s="1"/>
  <c r="B238" i="25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B357" i="24"/>
  <c r="G307" i="22"/>
  <c r="CC307" i="6" s="1"/>
  <c r="AA307" i="22"/>
  <c r="Z307" i="22" s="1"/>
  <c r="Y307" i="22" s="1"/>
  <c r="H372" i="20"/>
  <c r="W250" i="23"/>
  <c r="D250" i="23"/>
  <c r="E250" i="23" s="1"/>
  <c r="F250" i="23" s="1"/>
  <c r="B250" i="24"/>
  <c r="W126" i="23"/>
  <c r="D126" i="23"/>
  <c r="E126" i="23" s="1"/>
  <c r="F126" i="23" s="1"/>
  <c r="B126" i="24"/>
  <c r="G96" i="22"/>
  <c r="CC96" i="6" s="1"/>
  <c r="AA96" i="22"/>
  <c r="Z96" i="22" s="1"/>
  <c r="Y96" i="22" s="1"/>
  <c r="W34" i="23"/>
  <c r="D34" i="23"/>
  <c r="E34" i="23" s="1"/>
  <c r="F34" i="23" s="1"/>
  <c r="B34" i="24"/>
  <c r="W341" i="24"/>
  <c r="B341" i="25"/>
  <c r="D341" i="24"/>
  <c r="E341" i="24" s="1"/>
  <c r="F341" i="24" s="1"/>
  <c r="W93" i="24"/>
  <c r="D93" i="24"/>
  <c r="E93" i="24" s="1"/>
  <c r="F93" i="24" s="1"/>
  <c r="B93" i="25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B140" i="24"/>
  <c r="H110" i="20"/>
  <c r="G37" i="22"/>
  <c r="CC37" i="6" s="1"/>
  <c r="AA37" i="22"/>
  <c r="Z37" i="22" s="1"/>
  <c r="Y37" i="22" s="1"/>
  <c r="D244" i="23"/>
  <c r="E244" i="23" s="1"/>
  <c r="F244" i="23" s="1"/>
  <c r="W244" i="23"/>
  <c r="B244" i="24"/>
  <c r="W248" i="23"/>
  <c r="D248" i="23"/>
  <c r="E248" i="23" s="1"/>
  <c r="F248" i="23" s="1"/>
  <c r="B248" i="24"/>
  <c r="W295" i="23"/>
  <c r="D295" i="23"/>
  <c r="E295" i="23" s="1"/>
  <c r="F295" i="23" s="1"/>
  <c r="B295" i="24"/>
  <c r="G125" i="22"/>
  <c r="CC125" i="6" s="1"/>
  <c r="AA125" i="22"/>
  <c r="Z125" i="22" s="1"/>
  <c r="Y125" i="22" s="1"/>
  <c r="W157" i="23"/>
  <c r="D157" i="23"/>
  <c r="E157" i="23" s="1"/>
  <c r="F157" i="23" s="1"/>
  <c r="B157" i="24"/>
  <c r="G305" i="23"/>
  <c r="CD305" i="6" s="1"/>
  <c r="AA305" i="23"/>
  <c r="Z305" i="23" s="1"/>
  <c r="Y305" i="23" s="1"/>
  <c r="W252" i="24"/>
  <c r="D252" i="24"/>
  <c r="E252" i="24" s="1"/>
  <c r="F252" i="24" s="1"/>
  <c r="B252" i="25"/>
  <c r="G204" i="23"/>
  <c r="CD204" i="6" s="1"/>
  <c r="AA204" i="23"/>
  <c r="Z204" i="23" s="1"/>
  <c r="Y204" i="23" s="1"/>
  <c r="W204" i="24"/>
  <c r="D204" i="24"/>
  <c r="E204" i="24" s="1"/>
  <c r="F204" i="24" s="1"/>
  <c r="B204" i="25"/>
  <c r="G222" i="23"/>
  <c r="CD222" i="6" s="1"/>
  <c r="AA222" i="23"/>
  <c r="Z222" i="23" s="1"/>
  <c r="Y222" i="23" s="1"/>
  <c r="W264" i="23"/>
  <c r="D264" i="23"/>
  <c r="E264" i="23" s="1"/>
  <c r="F264" i="23" s="1"/>
  <c r="B264" i="24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B165" i="24"/>
  <c r="D117" i="24"/>
  <c r="E117" i="24" s="1"/>
  <c r="F117" i="24" s="1"/>
  <c r="W117" i="24"/>
  <c r="B117" i="25"/>
  <c r="W91" i="24"/>
  <c r="D91" i="24"/>
  <c r="E91" i="24" s="1"/>
  <c r="F91" i="24" s="1"/>
  <c r="B91" i="25"/>
  <c r="W41" i="24"/>
  <c r="D41" i="24"/>
  <c r="E41" i="24" s="1"/>
  <c r="F41" i="24" s="1"/>
  <c r="B41" i="25"/>
  <c r="D364" i="23"/>
  <c r="E364" i="23" s="1"/>
  <c r="F364" i="23" s="1"/>
  <c r="W364" i="23"/>
  <c r="B364" i="24"/>
  <c r="W330" i="23"/>
  <c r="D330" i="23"/>
  <c r="E330" i="23" s="1"/>
  <c r="F330" i="23" s="1"/>
  <c r="B330" i="24"/>
  <c r="W256" i="23"/>
  <c r="D256" i="23"/>
  <c r="E256" i="23" s="1"/>
  <c r="F256" i="23" s="1"/>
  <c r="B256" i="24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B27" i="24"/>
  <c r="W231" i="24"/>
  <c r="D231" i="24"/>
  <c r="E231" i="24" s="1"/>
  <c r="F231" i="24" s="1"/>
  <c r="B231" i="25"/>
  <c r="W151" i="24"/>
  <c r="D151" i="24"/>
  <c r="E151" i="24" s="1"/>
  <c r="F151" i="24" s="1"/>
  <c r="B151" i="25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B228" i="25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B328" i="24"/>
  <c r="G268" i="22"/>
  <c r="CC268" i="6" s="1"/>
  <c r="AA268" i="22"/>
  <c r="Z268" i="22" s="1"/>
  <c r="Y268" i="22" s="1"/>
  <c r="W170" i="24"/>
  <c r="D170" i="24"/>
  <c r="E170" i="24" s="1"/>
  <c r="F170" i="24" s="1"/>
  <c r="B170" i="25"/>
  <c r="W56" i="23"/>
  <c r="D56" i="23"/>
  <c r="E56" i="23" s="1"/>
  <c r="F56" i="23" s="1"/>
  <c r="B56" i="24"/>
  <c r="G361" i="22"/>
  <c r="CC361" i="6" s="1"/>
  <c r="AA361" i="22"/>
  <c r="Z361" i="22" s="1"/>
  <c r="Y361" i="22" s="1"/>
  <c r="W273" i="23"/>
  <c r="D273" i="23"/>
  <c r="E273" i="23" s="1"/>
  <c r="F273" i="23" s="1"/>
  <c r="B273" i="24"/>
  <c r="W255" i="24"/>
  <c r="D255" i="24"/>
  <c r="E255" i="24" s="1"/>
  <c r="F255" i="24" s="1"/>
  <c r="B255" i="25"/>
  <c r="G19" i="23"/>
  <c r="CD19" i="6" s="1"/>
  <c r="AA19" i="23"/>
  <c r="Z19" i="23" s="1"/>
  <c r="Y19" i="23" s="1"/>
  <c r="W287" i="23"/>
  <c r="D287" i="23"/>
  <c r="E287" i="23" s="1"/>
  <c r="F287" i="23" s="1"/>
  <c r="B287" i="24"/>
  <c r="AA278" i="23"/>
  <c r="Z278" i="23" s="1"/>
  <c r="Y278" i="23" s="1"/>
  <c r="G278" i="23"/>
  <c r="CD278" i="6" s="1"/>
  <c r="W74" i="23"/>
  <c r="D74" i="23"/>
  <c r="E74" i="23" s="1"/>
  <c r="F74" i="23" s="1"/>
  <c r="B74" i="24"/>
  <c r="W35" i="24"/>
  <c r="D35" i="24"/>
  <c r="E35" i="24" s="1"/>
  <c r="F35" i="24" s="1"/>
  <c r="B35" i="25"/>
  <c r="G316" i="23"/>
  <c r="CD316" i="6" s="1"/>
  <c r="AA316" i="23"/>
  <c r="Z316" i="23" s="1"/>
  <c r="Y316" i="23" s="1"/>
  <c r="W318" i="23"/>
  <c r="D318" i="23"/>
  <c r="E318" i="23" s="1"/>
  <c r="F318" i="23" s="1"/>
  <c r="B318" i="24"/>
  <c r="G178" i="23"/>
  <c r="CD178" i="6" s="1"/>
  <c r="AA178" i="23"/>
  <c r="Z178" i="23" s="1"/>
  <c r="Y178" i="23" s="1"/>
  <c r="D178" i="24"/>
  <c r="E178" i="24" s="1"/>
  <c r="F178" i="24" s="1"/>
  <c r="W178" i="24"/>
  <c r="B178" i="25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B283" i="24"/>
  <c r="G226" i="22"/>
  <c r="CC226" i="6" s="1"/>
  <c r="AA226" i="22"/>
  <c r="Z226" i="22" s="1"/>
  <c r="Y226" i="22" s="1"/>
  <c r="BA243" i="6"/>
  <c r="D243" i="6" s="1"/>
  <c r="BA237" i="6"/>
  <c r="D237" i="6" s="1"/>
  <c r="BA269" i="6"/>
  <c r="D269" i="6" s="1"/>
  <c r="BA59" i="6"/>
  <c r="D59" i="6" s="1"/>
  <c r="BA316" i="6"/>
  <c r="D316" i="6" s="1"/>
  <c r="H316" i="20"/>
  <c r="BA363" i="6"/>
  <c r="D363" i="6" s="1"/>
  <c r="W76" i="23"/>
  <c r="D76" i="23"/>
  <c r="E76" i="23" s="1"/>
  <c r="F76" i="23" s="1"/>
  <c r="B76" i="24"/>
  <c r="D73" i="23"/>
  <c r="E73" i="23" s="1"/>
  <c r="F73" i="23" s="1"/>
  <c r="W73" i="23"/>
  <c r="B73" i="24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B156" i="24"/>
  <c r="W44" i="23"/>
  <c r="B44" i="24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B345" i="24"/>
  <c r="G133" i="22"/>
  <c r="CC133" i="6" s="1"/>
  <c r="AA133" i="22"/>
  <c r="Z133" i="22" s="1"/>
  <c r="Y133" i="22" s="1"/>
  <c r="W115" i="23"/>
  <c r="D115" i="23"/>
  <c r="E115" i="23" s="1"/>
  <c r="F115" i="23" s="1"/>
  <c r="B115" i="24"/>
  <c r="G234" i="22"/>
  <c r="CC234" i="6" s="1"/>
  <c r="AA234" i="22"/>
  <c r="Z234" i="22" s="1"/>
  <c r="Y234" i="22" s="1"/>
  <c r="W337" i="24"/>
  <c r="D337" i="24"/>
  <c r="E337" i="24" s="1"/>
  <c r="F337" i="24" s="1"/>
  <c r="B337" i="25"/>
  <c r="H267" i="20"/>
  <c r="G257" i="23"/>
  <c r="CD257" i="6" s="1"/>
  <c r="AA257" i="23"/>
  <c r="Z257" i="23" s="1"/>
  <c r="Y257" i="23" s="1"/>
  <c r="D191" i="23"/>
  <c r="E191" i="23" s="1"/>
  <c r="F191" i="23" s="1"/>
  <c r="W191" i="23"/>
  <c r="B191" i="24"/>
  <c r="W371" i="23"/>
  <c r="D371" i="23"/>
  <c r="E371" i="23" s="1"/>
  <c r="F371" i="23" s="1"/>
  <c r="B371" i="24"/>
  <c r="W87" i="23"/>
  <c r="D87" i="23"/>
  <c r="E87" i="23" s="1"/>
  <c r="F87" i="23" s="1"/>
  <c r="B87" i="24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B220" i="24"/>
  <c r="W317" i="23"/>
  <c r="D317" i="23"/>
  <c r="E317" i="23" s="1"/>
  <c r="F317" i="23" s="1"/>
  <c r="B317" i="24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B67" i="24"/>
  <c r="W196" i="23"/>
  <c r="D196" i="23"/>
  <c r="E196" i="23" s="1"/>
  <c r="F196" i="23" s="1"/>
  <c r="B196" i="24"/>
  <c r="W119" i="23"/>
  <c r="D119" i="23"/>
  <c r="E119" i="23" s="1"/>
  <c r="F119" i="23" s="1"/>
  <c r="B119" i="24"/>
  <c r="H232" i="20"/>
  <c r="W235" i="24"/>
  <c r="D235" i="24"/>
  <c r="E235" i="24" s="1"/>
  <c r="F235" i="24" s="1"/>
  <c r="B235" i="25"/>
  <c r="W103" i="24"/>
  <c r="D103" i="24"/>
  <c r="E103" i="24" s="1"/>
  <c r="F103" i="24" s="1"/>
  <c r="B103" i="25"/>
  <c r="G52" i="23"/>
  <c r="CD52" i="6" s="1"/>
  <c r="AA52" i="23"/>
  <c r="Z52" i="23" s="1"/>
  <c r="Y52" i="23" s="1"/>
  <c r="W52" i="24"/>
  <c r="D52" i="24"/>
  <c r="E52" i="24" s="1"/>
  <c r="F52" i="24" s="1"/>
  <c r="B52" i="25"/>
  <c r="W311" i="23"/>
  <c r="D311" i="23"/>
  <c r="E311" i="23" s="1"/>
  <c r="F311" i="23" s="1"/>
  <c r="B311" i="24"/>
  <c r="W310" i="23"/>
  <c r="D310" i="23"/>
  <c r="E310" i="23" s="1"/>
  <c r="F310" i="23" s="1"/>
  <c r="B310" i="24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H290" i="20"/>
  <c r="W242" i="24"/>
  <c r="D242" i="24"/>
  <c r="E242" i="24" s="1"/>
  <c r="F242" i="24" s="1"/>
  <c r="B242" i="25"/>
  <c r="D186" i="23"/>
  <c r="E186" i="23" s="1"/>
  <c r="F186" i="23" s="1"/>
  <c r="W186" i="23"/>
  <c r="B186" i="24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B121" i="24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B138" i="25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H277" i="20"/>
  <c r="AA245" i="22"/>
  <c r="Z245" i="22" s="1"/>
  <c r="Y245" i="22" s="1"/>
  <c r="G245" i="22"/>
  <c r="CC245" i="6" s="1"/>
  <c r="D203" i="23"/>
  <c r="E203" i="23" s="1"/>
  <c r="F203" i="23" s="1"/>
  <c r="W203" i="23"/>
  <c r="B203" i="24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B144" i="24"/>
  <c r="W112" i="23"/>
  <c r="D112" i="23"/>
  <c r="E112" i="23" s="1"/>
  <c r="F112" i="23" s="1"/>
  <c r="B112" i="24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B221" i="25"/>
  <c r="W195" i="24"/>
  <c r="D195" i="24"/>
  <c r="E195" i="24" s="1"/>
  <c r="F195" i="24" s="1"/>
  <c r="B195" i="25"/>
  <c r="W47" i="24"/>
  <c r="D47" i="24"/>
  <c r="E47" i="24" s="1"/>
  <c r="F47" i="24" s="1"/>
  <c r="B47" i="25"/>
  <c r="G21" i="22"/>
  <c r="CC21" i="6" s="1"/>
  <c r="AA21" i="22"/>
  <c r="Z21" i="22" s="1"/>
  <c r="Y21" i="22" s="1"/>
  <c r="W308" i="24"/>
  <c r="D308" i="24"/>
  <c r="E308" i="24" s="1"/>
  <c r="F308" i="24" s="1"/>
  <c r="B308" i="25"/>
  <c r="W176" i="23"/>
  <c r="D176" i="23"/>
  <c r="E176" i="23" s="1"/>
  <c r="F176" i="23" s="1"/>
  <c r="B176" i="24"/>
  <c r="W128" i="23"/>
  <c r="D128" i="23"/>
  <c r="E128" i="23" s="1"/>
  <c r="F128" i="23" s="1"/>
  <c r="B128" i="24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B271" i="25"/>
  <c r="W101" i="24"/>
  <c r="D101" i="24"/>
  <c r="E101" i="24" s="1"/>
  <c r="F101" i="24" s="1"/>
  <c r="B101" i="25"/>
  <c r="G171" i="22"/>
  <c r="CC171" i="6" s="1"/>
  <c r="AA171" i="22"/>
  <c r="Z171" i="22" s="1"/>
  <c r="Y171" i="22" s="1"/>
  <c r="D261" i="23"/>
  <c r="E261" i="23" s="1"/>
  <c r="F261" i="23" s="1"/>
  <c r="W261" i="23"/>
  <c r="B261" i="24"/>
  <c r="W319" i="24"/>
  <c r="D319" i="24"/>
  <c r="E319" i="24" s="1"/>
  <c r="F319" i="24" s="1"/>
  <c r="B319" i="25"/>
  <c r="W46" i="23"/>
  <c r="D46" i="23"/>
  <c r="E46" i="23" s="1"/>
  <c r="F46" i="23" s="1"/>
  <c r="B46" i="24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B60" i="24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B183" i="25"/>
  <c r="D77" i="23"/>
  <c r="E77" i="23" s="1"/>
  <c r="F77" i="23" s="1"/>
  <c r="W77" i="23"/>
  <c r="B77" i="24"/>
  <c r="H161" i="20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BA301" i="6"/>
  <c r="D301" i="6" s="1"/>
  <c r="H301" i="20"/>
  <c r="BA168" i="6"/>
  <c r="D168" i="6" s="1"/>
  <c r="H168" i="20"/>
  <c r="BA101" i="6"/>
  <c r="D101" i="6" s="1"/>
  <c r="BA50" i="6"/>
  <c r="D50" i="6" s="1"/>
  <c r="H50" i="20"/>
  <c r="BA338" i="6"/>
  <c r="D338" i="6" s="1"/>
  <c r="BA68" i="6"/>
  <c r="D68" i="6" s="1"/>
  <c r="H68" i="20"/>
  <c r="BA324" i="6"/>
  <c r="D324" i="6" s="1"/>
  <c r="H324" i="20"/>
  <c r="BA255" i="6"/>
  <c r="D255" i="6" s="1"/>
  <c r="H255" i="20"/>
  <c r="BA16" i="6"/>
  <c r="D16" i="6" s="1"/>
  <c r="BA95" i="6"/>
  <c r="D95" i="6" s="1"/>
  <c r="H95" i="20"/>
  <c r="BA100" i="6"/>
  <c r="D100" i="6" s="1"/>
  <c r="H100" i="20"/>
  <c r="BA229" i="6"/>
  <c r="D229" i="6" s="1"/>
  <c r="H229" i="20"/>
  <c r="BA305" i="6"/>
  <c r="D305" i="6" s="1"/>
  <c r="BA158" i="6"/>
  <c r="D158" i="6" s="1"/>
  <c r="BA82" i="6"/>
  <c r="D82" i="6" s="1"/>
  <c r="H82" i="20"/>
  <c r="BA343" i="6"/>
  <c r="D343" i="6" s="1"/>
  <c r="H343" i="20"/>
  <c r="BA117" i="6"/>
  <c r="D117" i="6" s="1"/>
  <c r="H117" i="20"/>
  <c r="BA41" i="6"/>
  <c r="D41" i="6" s="1"/>
  <c r="H41" i="20"/>
  <c r="BA360" i="6"/>
  <c r="D360" i="6" s="1"/>
  <c r="H360" i="20"/>
  <c r="BA257" i="6"/>
  <c r="D257" i="6" s="1"/>
  <c r="H257" i="20"/>
  <c r="BA141" i="6"/>
  <c r="H141" i="20"/>
  <c r="BA293" i="6"/>
  <c r="D293" i="6" s="1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H63" i="20"/>
  <c r="BA302" i="6"/>
  <c r="D302" i="6" s="1"/>
  <c r="H302" i="20"/>
  <c r="BA154" i="6"/>
  <c r="D154" i="6" s="1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B174" i="25"/>
  <c r="W38" i="24"/>
  <c r="B38" i="25"/>
  <c r="D38" i="24"/>
  <c r="E38" i="24" s="1"/>
  <c r="F38" i="24" s="1"/>
  <c r="H332" i="20"/>
  <c r="H321" i="20"/>
  <c r="W182" i="23"/>
  <c r="D182" i="23"/>
  <c r="E182" i="23" s="1"/>
  <c r="F182" i="23" s="1"/>
  <c r="B182" i="24"/>
  <c r="G289" i="22"/>
  <c r="CC289" i="6" s="1"/>
  <c r="AA289" i="22"/>
  <c r="Z289" i="22" s="1"/>
  <c r="Y289" i="22" s="1"/>
  <c r="W78" i="23"/>
  <c r="D78" i="23"/>
  <c r="E78" i="23" s="1"/>
  <c r="F78" i="23" s="1"/>
  <c r="B78" i="24"/>
  <c r="W314" i="23"/>
  <c r="D314" i="23"/>
  <c r="E314" i="23" s="1"/>
  <c r="F314" i="23" s="1"/>
  <c r="B314" i="24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B72" i="24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B360" i="25"/>
  <c r="G266" i="22"/>
  <c r="CC266" i="6" s="1"/>
  <c r="AA266" i="22"/>
  <c r="Z266" i="22" s="1"/>
  <c r="Y266" i="22" s="1"/>
  <c r="W266" i="23"/>
  <c r="D266" i="23"/>
  <c r="E266" i="23" s="1"/>
  <c r="F266" i="23" s="1"/>
  <c r="B266" i="24"/>
  <c r="D18" i="24"/>
  <c r="E18" i="24" s="1"/>
  <c r="F18" i="24" s="1"/>
  <c r="W18" i="24"/>
  <c r="B18" i="25"/>
  <c r="D373" i="23"/>
  <c r="E373" i="23" s="1"/>
  <c r="F373" i="23" s="1"/>
  <c r="W373" i="23"/>
  <c r="B373" i="24"/>
  <c r="H307" i="20"/>
  <c r="D223" i="23"/>
  <c r="E223" i="23" s="1"/>
  <c r="F223" i="23" s="1"/>
  <c r="W223" i="23"/>
  <c r="B223" i="24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B259" i="25"/>
  <c r="G201" i="22"/>
  <c r="CC201" i="6" s="1"/>
  <c r="AA201" i="22"/>
  <c r="Z201" i="22" s="1"/>
  <c r="Y201" i="22" s="1"/>
  <c r="W145" i="23"/>
  <c r="D145" i="23"/>
  <c r="E145" i="23" s="1"/>
  <c r="F145" i="23" s="1"/>
  <c r="B145" i="24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B154" i="25"/>
  <c r="G16" i="23"/>
  <c r="CD16" i="6" s="1"/>
  <c r="AA16" i="23"/>
  <c r="Z16" i="23" s="1"/>
  <c r="Y16" i="23" s="1"/>
  <c r="W132" i="24"/>
  <c r="D132" i="24"/>
  <c r="E132" i="24" s="1"/>
  <c r="F132" i="24" s="1"/>
  <c r="B132" i="25"/>
  <c r="W251" i="24"/>
  <c r="D251" i="24"/>
  <c r="E251" i="24" s="1"/>
  <c r="F251" i="24" s="1"/>
  <c r="B251" i="25"/>
  <c r="H157" i="20"/>
  <c r="G90" i="22"/>
  <c r="CC90" i="6" s="1"/>
  <c r="AA90" i="22"/>
  <c r="Z90" i="22" s="1"/>
  <c r="Y90" i="22" s="1"/>
  <c r="D340" i="23"/>
  <c r="E340" i="23" s="1"/>
  <c r="F340" i="23" s="1"/>
  <c r="W340" i="23"/>
  <c r="B340" i="24"/>
  <c r="G286" i="23"/>
  <c r="CD286" i="6" s="1"/>
  <c r="AA286" i="23"/>
  <c r="Z286" i="23" s="1"/>
  <c r="Y286" i="23" s="1"/>
  <c r="W162" i="23"/>
  <c r="D162" i="23"/>
  <c r="E162" i="23" s="1"/>
  <c r="F162" i="23" s="1"/>
  <c r="B162" i="24"/>
  <c r="G58" i="22"/>
  <c r="CC58" i="6" s="1"/>
  <c r="AA58" i="22"/>
  <c r="Z58" i="22" s="1"/>
  <c r="Y58" i="22" s="1"/>
  <c r="W36" i="23"/>
  <c r="D36" i="23"/>
  <c r="E36" i="23" s="1"/>
  <c r="F36" i="23" s="1"/>
  <c r="B36" i="24"/>
  <c r="G109" i="22"/>
  <c r="CC109" i="6" s="1"/>
  <c r="AA109" i="22"/>
  <c r="Z109" i="22" s="1"/>
  <c r="Y109" i="22" s="1"/>
  <c r="W51" i="23"/>
  <c r="D51" i="23"/>
  <c r="E51" i="23" s="1"/>
  <c r="F51" i="23" s="1"/>
  <c r="B51" i="24"/>
  <c r="D304" i="24"/>
  <c r="E304" i="24" s="1"/>
  <c r="F304" i="24" s="1"/>
  <c r="W304" i="24"/>
  <c r="B304" i="25"/>
  <c r="G262" i="23"/>
  <c r="CD262" i="6" s="1"/>
  <c r="AA262" i="23"/>
  <c r="Z262" i="23" s="1"/>
  <c r="Y262" i="23" s="1"/>
  <c r="D139" i="23"/>
  <c r="E139" i="23" s="1"/>
  <c r="F139" i="23" s="1"/>
  <c r="W139" i="23"/>
  <c r="B139" i="24"/>
  <c r="G53" i="22"/>
  <c r="CC53" i="6" s="1"/>
  <c r="AA53" i="22"/>
  <c r="Z53" i="22" s="1"/>
  <c r="Y53" i="22" s="1"/>
  <c r="D334" i="23"/>
  <c r="E334" i="23" s="1"/>
  <c r="F334" i="23" s="1"/>
  <c r="W334" i="23"/>
  <c r="B334" i="24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B246" i="24"/>
  <c r="W104" i="23"/>
  <c r="D104" i="23"/>
  <c r="E104" i="23" s="1"/>
  <c r="F104" i="23" s="1"/>
  <c r="B104" i="24"/>
  <c r="D197" i="24"/>
  <c r="E197" i="24" s="1"/>
  <c r="F197" i="24" s="1"/>
  <c r="W197" i="24"/>
  <c r="B197" i="25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B347" i="24"/>
  <c r="G376" i="22"/>
  <c r="CC376" i="6" s="1"/>
  <c r="AA376" i="22"/>
  <c r="Z376" i="22" s="1"/>
  <c r="Y376" i="22" s="1"/>
  <c r="W66" i="24"/>
  <c r="D66" i="24"/>
  <c r="E66" i="24" s="1"/>
  <c r="F66" i="24" s="1"/>
  <c r="B66" i="25"/>
  <c r="W75" i="23"/>
  <c r="D75" i="23"/>
  <c r="E75" i="23" s="1"/>
  <c r="F75" i="23" s="1"/>
  <c r="B75" i="24"/>
  <c r="W187" i="23"/>
  <c r="D187" i="23"/>
  <c r="E187" i="23" s="1"/>
  <c r="F187" i="23" s="1"/>
  <c r="B187" i="24"/>
  <c r="G333" i="22"/>
  <c r="CC333" i="6" s="1"/>
  <c r="AA333" i="22"/>
  <c r="Z333" i="22" s="1"/>
  <c r="Y333" i="22" s="1"/>
  <c r="W33" i="24"/>
  <c r="D33" i="24"/>
  <c r="E33" i="24" s="1"/>
  <c r="F33" i="24" s="1"/>
  <c r="B33" i="25"/>
  <c r="G352" i="22"/>
  <c r="CC352" i="6" s="1"/>
  <c r="AA352" i="22"/>
  <c r="Z352" i="22" s="1"/>
  <c r="Y352" i="22" s="1"/>
  <c r="D274" i="23"/>
  <c r="E274" i="23" s="1"/>
  <c r="F274" i="23" s="1"/>
  <c r="W274" i="23"/>
  <c r="B274" i="24"/>
  <c r="W84" i="23"/>
  <c r="D84" i="23"/>
  <c r="E84" i="23" s="1"/>
  <c r="F84" i="23" s="1"/>
  <c r="B84" i="24"/>
  <c r="W114" i="23"/>
  <c r="D114" i="23"/>
  <c r="E114" i="23" s="1"/>
  <c r="F114" i="23" s="1"/>
  <c r="B114" i="24"/>
  <c r="W354" i="24"/>
  <c r="B354" i="25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BA132" i="6"/>
  <c r="D132" i="6" s="1"/>
  <c r="H132" i="20"/>
  <c r="BA108" i="6"/>
  <c r="D108" i="6" s="1"/>
  <c r="BA120" i="6"/>
  <c r="D120" i="6" s="1"/>
  <c r="BA354" i="6"/>
  <c r="D354" i="6" s="1"/>
  <c r="BA35" i="6"/>
  <c r="D35" i="6" s="1"/>
  <c r="BA281" i="6"/>
  <c r="H281" i="20"/>
  <c r="BA247" i="6"/>
  <c r="D247" i="6" s="1"/>
  <c r="H247" i="20"/>
  <c r="BA294" i="6"/>
  <c r="D294" i="6" s="1"/>
  <c r="BA70" i="6"/>
  <c r="D70" i="6" s="1"/>
  <c r="BA38" i="6"/>
  <c r="D38" i="6" s="1"/>
  <c r="BA129" i="6"/>
  <c r="D129" i="6" s="1"/>
  <c r="H129" i="20"/>
  <c r="BA351" i="6"/>
  <c r="BA131" i="6"/>
  <c r="D131" i="6" s="1"/>
  <c r="BA326" i="6"/>
  <c r="D326" i="6" s="1"/>
  <c r="BA335" i="6"/>
  <c r="D335" i="6" s="1"/>
  <c r="H335" i="20"/>
  <c r="BA183" i="6"/>
  <c r="BA208" i="6"/>
  <c r="D208" i="6" s="1"/>
  <c r="H208" i="20"/>
  <c r="BA134" i="6"/>
  <c r="D134" i="6" s="1"/>
  <c r="BA116" i="6"/>
  <c r="D116" i="6" s="1"/>
  <c r="BA175" i="6"/>
  <c r="D175" i="6" s="1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B32" i="25"/>
  <c r="W229" i="24"/>
  <c r="D229" i="24"/>
  <c r="E229" i="24" s="1"/>
  <c r="F229" i="24" s="1"/>
  <c r="B229" i="25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B68" i="25"/>
  <c r="D213" i="23"/>
  <c r="E213" i="23" s="1"/>
  <c r="F213" i="23" s="1"/>
  <c r="W213" i="23"/>
  <c r="B213" i="24"/>
  <c r="G57" i="23"/>
  <c r="CD57" i="6" s="1"/>
  <c r="AA57" i="23"/>
  <c r="Z57" i="23" s="1"/>
  <c r="Y57" i="23" s="1"/>
  <c r="D57" i="24"/>
  <c r="E57" i="24" s="1"/>
  <c r="F57" i="24" s="1"/>
  <c r="W57" i="24"/>
  <c r="B57" i="25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B20" i="24"/>
  <c r="W267" i="23"/>
  <c r="D267" i="23"/>
  <c r="E267" i="23" s="1"/>
  <c r="F267" i="23" s="1"/>
  <c r="B267" i="24"/>
  <c r="G179" i="23"/>
  <c r="CD179" i="6" s="1"/>
  <c r="AA179" i="23"/>
  <c r="Z179" i="23" s="1"/>
  <c r="Y179" i="23" s="1"/>
  <c r="W142" i="24"/>
  <c r="D142" i="24"/>
  <c r="E142" i="24" s="1"/>
  <c r="F142" i="24" s="1"/>
  <c r="B142" i="25"/>
  <c r="G339" i="22"/>
  <c r="CC339" i="6" s="1"/>
  <c r="AA339" i="22"/>
  <c r="Z339" i="22" s="1"/>
  <c r="Y339" i="22" s="1"/>
  <c r="W209" i="24"/>
  <c r="D209" i="24"/>
  <c r="E209" i="24" s="1"/>
  <c r="F209" i="24" s="1"/>
  <c r="B209" i="25"/>
  <c r="W147" i="24"/>
  <c r="D147" i="24"/>
  <c r="E147" i="24" s="1"/>
  <c r="F147" i="24" s="1"/>
  <c r="B147" i="25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B254" i="24"/>
  <c r="D42" i="23"/>
  <c r="E42" i="23" s="1"/>
  <c r="F42" i="23" s="1"/>
  <c r="W42" i="23"/>
  <c r="B42" i="24"/>
  <c r="D249" i="23"/>
  <c r="E249" i="23" s="1"/>
  <c r="F249" i="23" s="1"/>
  <c r="W249" i="23"/>
  <c r="B249" i="24"/>
  <c r="D189" i="24"/>
  <c r="E189" i="24" s="1"/>
  <c r="F189" i="24" s="1"/>
  <c r="W189" i="24"/>
  <c r="B189" i="25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B166" i="25"/>
  <c r="G105" i="23"/>
  <c r="CD105" i="6" s="1"/>
  <c r="AA105" i="23"/>
  <c r="Z105" i="23" s="1"/>
  <c r="Y105" i="23" s="1"/>
  <c r="W105" i="24"/>
  <c r="D105" i="24"/>
  <c r="E105" i="24" s="1"/>
  <c r="F105" i="24" s="1"/>
  <c r="B105" i="25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B374" i="24"/>
  <c r="W362" i="23"/>
  <c r="D362" i="23"/>
  <c r="E362" i="23" s="1"/>
  <c r="F362" i="23" s="1"/>
  <c r="B362" i="24"/>
  <c r="W290" i="23"/>
  <c r="D290" i="23"/>
  <c r="E290" i="23" s="1"/>
  <c r="F290" i="23" s="1"/>
  <c r="B290" i="24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B225" i="24"/>
  <c r="G292" i="22"/>
  <c r="CC292" i="6" s="1"/>
  <c r="AA292" i="22"/>
  <c r="Z292" i="22" s="1"/>
  <c r="Y292" i="22" s="1"/>
  <c r="W292" i="23"/>
  <c r="D292" i="23"/>
  <c r="E292" i="23" s="1"/>
  <c r="F292" i="23" s="1"/>
  <c r="B292" i="24"/>
  <c r="G375" i="23"/>
  <c r="CD375" i="6" s="1"/>
  <c r="AA375" i="23"/>
  <c r="Z375" i="23" s="1"/>
  <c r="Y375" i="23" s="1"/>
  <c r="W375" i="24"/>
  <c r="D375" i="24"/>
  <c r="E375" i="24" s="1"/>
  <c r="F375" i="24" s="1"/>
  <c r="B375" i="25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B296" i="24"/>
  <c r="W120" i="24"/>
  <c r="D120" i="24"/>
  <c r="E120" i="24" s="1"/>
  <c r="F120" i="24" s="1"/>
  <c r="B120" i="25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B282" i="24"/>
  <c r="G230" i="23"/>
  <c r="CD230" i="6" s="1"/>
  <c r="AA230" i="23"/>
  <c r="Z230" i="23" s="1"/>
  <c r="Y230" i="23" s="1"/>
  <c r="D118" i="24"/>
  <c r="E118" i="24" s="1"/>
  <c r="F118" i="24" s="1"/>
  <c r="W118" i="24"/>
  <c r="B118" i="25"/>
  <c r="W92" i="24"/>
  <c r="D92" i="24"/>
  <c r="E92" i="24" s="1"/>
  <c r="F92" i="24" s="1"/>
  <c r="B92" i="25"/>
  <c r="W219" i="23"/>
  <c r="D219" i="23"/>
  <c r="E219" i="23" s="1"/>
  <c r="F219" i="23" s="1"/>
  <c r="B219" i="24"/>
  <c r="W173" i="23"/>
  <c r="D173" i="23"/>
  <c r="E173" i="23" s="1"/>
  <c r="F173" i="23" s="1"/>
  <c r="B173" i="24"/>
  <c r="G127" i="22"/>
  <c r="CC127" i="6" s="1"/>
  <c r="AA127" i="22"/>
  <c r="Z127" i="22" s="1"/>
  <c r="Y127" i="22" s="1"/>
  <c r="W127" i="23"/>
  <c r="D127" i="23"/>
  <c r="E127" i="23" s="1"/>
  <c r="F127" i="23" s="1"/>
  <c r="B127" i="24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B175" i="25"/>
  <c r="G284" i="23"/>
  <c r="CD284" i="6" s="1"/>
  <c r="AA284" i="23"/>
  <c r="Z284" i="23" s="1"/>
  <c r="Y284" i="23" s="1"/>
  <c r="D302" i="24"/>
  <c r="E302" i="24" s="1"/>
  <c r="F302" i="24" s="1"/>
  <c r="W302" i="24"/>
  <c r="B302" i="25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B111" i="25"/>
  <c r="W17" i="24"/>
  <c r="D17" i="24"/>
  <c r="E17" i="24" s="1"/>
  <c r="F17" i="24" s="1"/>
  <c r="B17" i="25"/>
  <c r="D349" i="23"/>
  <c r="E349" i="23" s="1"/>
  <c r="F349" i="23" s="1"/>
  <c r="W349" i="23"/>
  <c r="B349" i="24"/>
  <c r="G149" i="23"/>
  <c r="CD149" i="6" s="1"/>
  <c r="AA149" i="23"/>
  <c r="Z149" i="23" s="1"/>
  <c r="Y149" i="23" s="1"/>
  <c r="W281" i="24"/>
  <c r="D281" i="24"/>
  <c r="E281" i="24" s="1"/>
  <c r="F281" i="24" s="1"/>
  <c r="B281" i="25"/>
  <c r="W247" i="24"/>
  <c r="D247" i="24"/>
  <c r="E247" i="24" s="1"/>
  <c r="F247" i="24" s="1"/>
  <c r="B247" i="25"/>
  <c r="W159" i="23"/>
  <c r="D159" i="23"/>
  <c r="E159" i="23" s="1"/>
  <c r="F159" i="23" s="1"/>
  <c r="B159" i="24"/>
  <c r="G161" i="22"/>
  <c r="CC161" i="6" s="1"/>
  <c r="AA161" i="22"/>
  <c r="Z161" i="22" s="1"/>
  <c r="Y161" i="22" s="1"/>
  <c r="W161" i="23"/>
  <c r="D161" i="23"/>
  <c r="E161" i="23" s="1"/>
  <c r="F161" i="23" s="1"/>
  <c r="B161" i="24"/>
  <c r="G210" i="22"/>
  <c r="CC210" i="6" s="1"/>
  <c r="AA210" i="22"/>
  <c r="Z210" i="22" s="1"/>
  <c r="Y210" i="22" s="1"/>
  <c r="W135" i="23"/>
  <c r="D135" i="23"/>
  <c r="E135" i="23" s="1"/>
  <c r="F135" i="23" s="1"/>
  <c r="B135" i="24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304" i="6"/>
  <c r="D304" i="6" s="1"/>
  <c r="BA202" i="6"/>
  <c r="D202" i="6" s="1"/>
  <c r="BA138" i="6"/>
  <c r="D138" i="6" s="1"/>
  <c r="H138" i="20"/>
  <c r="BA151" i="6"/>
  <c r="D151" i="6" s="1"/>
  <c r="H151" i="20"/>
  <c r="BA107" i="6"/>
  <c r="D107" i="6" s="1"/>
  <c r="BA142" i="6"/>
  <c r="D142" i="6" s="1"/>
  <c r="H142" i="20"/>
  <c r="BA260" i="6"/>
  <c r="D260" i="6" s="1"/>
  <c r="BA241" i="6"/>
  <c r="D241" i="6" s="1"/>
  <c r="H241" i="20"/>
  <c r="BA278" i="6"/>
  <c r="D278" i="6" s="1"/>
  <c r="H278" i="20"/>
  <c r="BA319" i="6"/>
  <c r="D319" i="6" s="1"/>
  <c r="BA105" i="6"/>
  <c r="D105" i="6" s="1"/>
  <c r="BA379" i="6"/>
  <c r="D379" i="6" s="1"/>
  <c r="H379" i="20"/>
  <c r="BA167" i="6"/>
  <c r="D167" i="6" s="1"/>
  <c r="BA299" i="6"/>
  <c r="D299" i="6" s="1"/>
  <c r="H299" i="20"/>
  <c r="BA55" i="6"/>
  <c r="D55" i="6" s="1"/>
  <c r="H55" i="20"/>
  <c r="BA265" i="6"/>
  <c r="D265" i="6" s="1"/>
  <c r="H265" i="20"/>
  <c r="W81" i="23"/>
  <c r="D81" i="23"/>
  <c r="E81" i="23" s="1"/>
  <c r="F81" i="23" s="1"/>
  <c r="B81" i="24"/>
  <c r="W332" i="23"/>
  <c r="D332" i="23"/>
  <c r="E332" i="23" s="1"/>
  <c r="F332" i="23" s="1"/>
  <c r="B332" i="24"/>
  <c r="D321" i="23"/>
  <c r="E321" i="23" s="1"/>
  <c r="F321" i="23" s="1"/>
  <c r="W321" i="23"/>
  <c r="B321" i="24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B207" i="25"/>
  <c r="D366" i="24"/>
  <c r="E366" i="24" s="1"/>
  <c r="F366" i="24" s="1"/>
  <c r="W366" i="24"/>
  <c r="B366" i="25"/>
  <c r="D342" i="24"/>
  <c r="E342" i="24" s="1"/>
  <c r="F342" i="24" s="1"/>
  <c r="W342" i="24"/>
  <c r="B342" i="25"/>
  <c r="W312" i="24"/>
  <c r="D312" i="24"/>
  <c r="E312" i="24" s="1"/>
  <c r="F312" i="24" s="1"/>
  <c r="B312" i="25"/>
  <c r="H240" i="20"/>
  <c r="G200" i="23"/>
  <c r="CD200" i="6" s="1"/>
  <c r="AA200" i="23"/>
  <c r="Z200" i="23" s="1"/>
  <c r="Y200" i="23" s="1"/>
  <c r="W40" i="24"/>
  <c r="B40" i="25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B350" i="24"/>
  <c r="G238" i="23"/>
  <c r="CD238" i="6" s="1"/>
  <c r="AA238" i="23"/>
  <c r="Z238" i="23" s="1"/>
  <c r="Y238" i="23" s="1"/>
  <c r="W160" i="23"/>
  <c r="D160" i="23"/>
  <c r="E160" i="23" s="1"/>
  <c r="F160" i="23" s="1"/>
  <c r="B160" i="24"/>
  <c r="D48" i="23"/>
  <c r="E48" i="23" s="1"/>
  <c r="F48" i="23" s="1"/>
  <c r="W48" i="23"/>
  <c r="B48" i="24"/>
  <c r="W307" i="23"/>
  <c r="D307" i="23"/>
  <c r="E307" i="23" s="1"/>
  <c r="F307" i="23" s="1"/>
  <c r="B307" i="24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B96" i="24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B31" i="24"/>
  <c r="G70" i="23"/>
  <c r="CD70" i="6" s="1"/>
  <c r="AA70" i="23"/>
  <c r="Z70" i="23" s="1"/>
  <c r="Y70" i="23" s="1"/>
  <c r="W37" i="23"/>
  <c r="D37" i="23"/>
  <c r="E37" i="23" s="1"/>
  <c r="F37" i="23" s="1"/>
  <c r="B37" i="24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B346" i="24"/>
  <c r="G248" i="22"/>
  <c r="CC248" i="6" s="1"/>
  <c r="AA248" i="22"/>
  <c r="Z248" i="22" s="1"/>
  <c r="Y248" i="22" s="1"/>
  <c r="W208" i="24"/>
  <c r="D208" i="24"/>
  <c r="E208" i="24" s="1"/>
  <c r="F208" i="24" s="1"/>
  <c r="B208" i="25"/>
  <c r="W363" i="24"/>
  <c r="D363" i="24"/>
  <c r="E363" i="24" s="1"/>
  <c r="F363" i="24" s="1"/>
  <c r="B363" i="25"/>
  <c r="G295" i="22"/>
  <c r="CC295" i="6" s="1"/>
  <c r="AA295" i="22"/>
  <c r="Z295" i="22" s="1"/>
  <c r="Y295" i="22" s="1"/>
  <c r="W125" i="23"/>
  <c r="D125" i="23"/>
  <c r="E125" i="23" s="1"/>
  <c r="F125" i="23" s="1"/>
  <c r="B125" i="24"/>
  <c r="G157" i="22"/>
  <c r="CC157" i="6" s="1"/>
  <c r="AA157" i="22"/>
  <c r="Z157" i="22" s="1"/>
  <c r="Y157" i="22" s="1"/>
  <c r="W305" i="24"/>
  <c r="D305" i="24"/>
  <c r="E305" i="24" s="1"/>
  <c r="F305" i="24" s="1"/>
  <c r="B305" i="25"/>
  <c r="G252" i="23"/>
  <c r="CD252" i="6" s="1"/>
  <c r="AA252" i="23"/>
  <c r="Z252" i="23" s="1"/>
  <c r="Y252" i="23" s="1"/>
  <c r="D222" i="24"/>
  <c r="E222" i="24" s="1"/>
  <c r="F222" i="24" s="1"/>
  <c r="W222" i="24"/>
  <c r="B222" i="25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B214" i="24"/>
  <c r="W198" i="23"/>
  <c r="D198" i="23"/>
  <c r="E198" i="23" s="1"/>
  <c r="F198" i="23" s="1"/>
  <c r="B198" i="24"/>
  <c r="W82" i="24"/>
  <c r="D82" i="24"/>
  <c r="E82" i="24" s="1"/>
  <c r="F82" i="24" s="1"/>
  <c r="B82" i="25"/>
  <c r="W351" i="24"/>
  <c r="D351" i="24"/>
  <c r="E351" i="24" s="1"/>
  <c r="F351" i="24" s="1"/>
  <c r="B351" i="25"/>
  <c r="W279" i="23"/>
  <c r="D279" i="23"/>
  <c r="E279" i="23" s="1"/>
  <c r="F279" i="23" s="1"/>
  <c r="B279" i="24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B107" i="25"/>
  <c r="W39" i="24"/>
  <c r="D39" i="24"/>
  <c r="E39" i="24" s="1"/>
  <c r="F39" i="24" s="1"/>
  <c r="B39" i="25"/>
  <c r="W146" i="24"/>
  <c r="D146" i="24"/>
  <c r="E146" i="24" s="1"/>
  <c r="F146" i="24" s="1"/>
  <c r="B146" i="25"/>
  <c r="W94" i="24"/>
  <c r="D94" i="24"/>
  <c r="E94" i="24" s="1"/>
  <c r="F94" i="24" s="1"/>
  <c r="B94" i="25"/>
  <c r="W285" i="24"/>
  <c r="D285" i="24"/>
  <c r="E285" i="24" s="1"/>
  <c r="F285" i="24" s="1"/>
  <c r="B285" i="25"/>
  <c r="W215" i="23"/>
  <c r="D215" i="23"/>
  <c r="E215" i="23" s="1"/>
  <c r="F215" i="23" s="1"/>
  <c r="B215" i="24"/>
  <c r="W181" i="23"/>
  <c r="D181" i="23"/>
  <c r="E181" i="23" s="1"/>
  <c r="F181" i="23" s="1"/>
  <c r="B181" i="24"/>
  <c r="D71" i="23"/>
  <c r="E71" i="23" s="1"/>
  <c r="F71" i="23" s="1"/>
  <c r="W71" i="23"/>
  <c r="B71" i="24"/>
  <c r="D258" i="24"/>
  <c r="E258" i="24" s="1"/>
  <c r="F258" i="24" s="1"/>
  <c r="W258" i="24"/>
  <c r="B258" i="25"/>
  <c r="G328" i="22"/>
  <c r="CC328" i="6" s="1"/>
  <c r="AA328" i="22"/>
  <c r="Z328" i="22" s="1"/>
  <c r="Y328" i="22" s="1"/>
  <c r="W268" i="23"/>
  <c r="D268" i="23"/>
  <c r="E268" i="23" s="1"/>
  <c r="F268" i="23" s="1"/>
  <c r="B268" i="24"/>
  <c r="H246" i="20"/>
  <c r="G56" i="22"/>
  <c r="CC56" i="6" s="1"/>
  <c r="AA56" i="22"/>
  <c r="Z56" i="22" s="1"/>
  <c r="Y56" i="22" s="1"/>
  <c r="W361" i="23"/>
  <c r="D361" i="23"/>
  <c r="E361" i="23" s="1"/>
  <c r="F361" i="23" s="1"/>
  <c r="B361" i="24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B278" i="25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B69" i="25"/>
  <c r="G318" i="22"/>
  <c r="CC318" i="6" s="1"/>
  <c r="AA318" i="22"/>
  <c r="Z318" i="22" s="1"/>
  <c r="Y318" i="22" s="1"/>
  <c r="D106" i="24"/>
  <c r="E106" i="24" s="1"/>
  <c r="F106" i="24" s="1"/>
  <c r="W106" i="24"/>
  <c r="B106" i="25"/>
  <c r="W99" i="23"/>
  <c r="D99" i="23"/>
  <c r="E99" i="23" s="1"/>
  <c r="F99" i="23" s="1"/>
  <c r="B99" i="24"/>
  <c r="G283" i="22"/>
  <c r="CC283" i="6" s="1"/>
  <c r="AA283" i="22"/>
  <c r="Z283" i="22" s="1"/>
  <c r="Y283" i="22" s="1"/>
  <c r="W227" i="24"/>
  <c r="D227" i="24"/>
  <c r="E227" i="24" s="1"/>
  <c r="F227" i="24" s="1"/>
  <c r="B227" i="25"/>
  <c r="W226" i="23"/>
  <c r="D226" i="23"/>
  <c r="E226" i="23" s="1"/>
  <c r="F226" i="23" s="1"/>
  <c r="B226" i="24"/>
  <c r="BA64" i="6"/>
  <c r="D64" i="6" s="1"/>
  <c r="H64" i="20"/>
  <c r="BA297" i="6"/>
  <c r="D297" i="6" s="1"/>
  <c r="BA300" i="6"/>
  <c r="D300" i="6" s="1"/>
  <c r="H300" i="20"/>
  <c r="BA164" i="6"/>
  <c r="D164" i="6" s="1"/>
  <c r="H164" i="20"/>
  <c r="BA344" i="6"/>
  <c r="D344" i="6" s="1"/>
  <c r="H344" i="20"/>
  <c r="BA23" i="6"/>
  <c r="D23" i="6" s="1"/>
  <c r="BA155" i="6"/>
  <c r="H155" i="20"/>
  <c r="BA238" i="6"/>
  <c r="D238" i="6" s="1"/>
  <c r="H238" i="20"/>
  <c r="BA97" i="6"/>
  <c r="D97" i="6" s="1"/>
  <c r="H97" i="20"/>
  <c r="BA43" i="6"/>
  <c r="H43" i="20"/>
  <c r="BA337" i="6"/>
  <c r="BA259" i="6"/>
  <c r="D259" i="6" s="1"/>
  <c r="H259" i="20"/>
  <c r="BA136" i="6"/>
  <c r="D136" i="6" s="1"/>
  <c r="H136" i="20"/>
  <c r="BA348" i="6"/>
  <c r="D348" i="6" s="1"/>
  <c r="H348" i="20"/>
  <c r="BA306" i="6"/>
  <c r="D306" i="6" s="1"/>
  <c r="BA193" i="6"/>
  <c r="D193" i="6" s="1"/>
  <c r="H193" i="20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B236" i="24"/>
  <c r="W299" i="24"/>
  <c r="D299" i="24"/>
  <c r="E299" i="24" s="1"/>
  <c r="F299" i="24" s="1"/>
  <c r="B299" i="25"/>
  <c r="W356" i="23"/>
  <c r="D356" i="23"/>
  <c r="E356" i="23" s="1"/>
  <c r="F356" i="23" s="1"/>
  <c r="B356" i="24"/>
  <c r="W206" i="23"/>
  <c r="D206" i="23"/>
  <c r="E206" i="23" s="1"/>
  <c r="F206" i="23" s="1"/>
  <c r="B206" i="24"/>
  <c r="G44" i="22"/>
  <c r="CC44" i="6" s="1"/>
  <c r="AA44" i="22"/>
  <c r="Z44" i="22" s="1"/>
  <c r="Y44" i="22" s="1"/>
  <c r="W24" i="23"/>
  <c r="D24" i="23"/>
  <c r="E24" i="23" s="1"/>
  <c r="F24" i="23" s="1"/>
  <c r="B24" i="24"/>
  <c r="G345" i="22"/>
  <c r="CC345" i="6" s="1"/>
  <c r="AA345" i="22"/>
  <c r="Z345" i="22" s="1"/>
  <c r="Y345" i="22" s="1"/>
  <c r="W133" i="23"/>
  <c r="D133" i="23"/>
  <c r="E133" i="23" s="1"/>
  <c r="F133" i="23" s="1"/>
  <c r="B133" i="24"/>
  <c r="G115" i="22"/>
  <c r="CC115" i="6" s="1"/>
  <c r="AA115" i="22"/>
  <c r="Z115" i="22" s="1"/>
  <c r="Y115" i="22" s="1"/>
  <c r="W234" i="23"/>
  <c r="D234" i="23"/>
  <c r="E234" i="23" s="1"/>
  <c r="F234" i="23" s="1"/>
  <c r="B234" i="24"/>
  <c r="D257" i="24"/>
  <c r="E257" i="24" s="1"/>
  <c r="F257" i="24" s="1"/>
  <c r="W257" i="24"/>
  <c r="B257" i="25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B80" i="25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B320" i="25"/>
  <c r="W260" i="24"/>
  <c r="D260" i="24"/>
  <c r="E260" i="24" s="1"/>
  <c r="F260" i="24" s="1"/>
  <c r="B260" i="25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B88" i="24"/>
  <c r="W241" i="24"/>
  <c r="D241" i="24"/>
  <c r="E241" i="24" s="1"/>
  <c r="F241" i="24" s="1"/>
  <c r="B241" i="25"/>
  <c r="AA272" i="22"/>
  <c r="Z272" i="22" s="1"/>
  <c r="Y272" i="22" s="1"/>
  <c r="G272" i="22"/>
  <c r="CC272" i="6" s="1"/>
  <c r="W272" i="23"/>
  <c r="D272" i="23"/>
  <c r="E272" i="23" s="1"/>
  <c r="F272" i="23" s="1"/>
  <c r="B272" i="24"/>
  <c r="W22" i="23"/>
  <c r="D22" i="23"/>
  <c r="E22" i="23" s="1"/>
  <c r="F22" i="23" s="1"/>
  <c r="B22" i="24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B378" i="24"/>
  <c r="W137" i="23"/>
  <c r="D137" i="23"/>
  <c r="E137" i="23" s="1"/>
  <c r="F137" i="23" s="1"/>
  <c r="B137" i="24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B102" i="24"/>
  <c r="W355" i="23"/>
  <c r="D355" i="23"/>
  <c r="E355" i="23" s="1"/>
  <c r="F355" i="23" s="1"/>
  <c r="B355" i="24"/>
  <c r="W199" i="24"/>
  <c r="D199" i="24"/>
  <c r="E199" i="24" s="1"/>
  <c r="F199" i="24" s="1"/>
  <c r="B199" i="25"/>
  <c r="W25" i="23"/>
  <c r="D25" i="23"/>
  <c r="E25" i="23" s="1"/>
  <c r="F25" i="23" s="1"/>
  <c r="B25" i="24"/>
  <c r="G25" i="22"/>
  <c r="CC25" i="6" s="1"/>
  <c r="AA25" i="22"/>
  <c r="Z25" i="22" s="1"/>
  <c r="Y25" i="22" s="1"/>
  <c r="W370" i="24"/>
  <c r="D370" i="24"/>
  <c r="E370" i="24" s="1"/>
  <c r="F370" i="24" s="1"/>
  <c r="B370" i="25"/>
  <c r="W202" i="24"/>
  <c r="D202" i="24"/>
  <c r="E202" i="24" s="1"/>
  <c r="F202" i="24" s="1"/>
  <c r="B202" i="25"/>
  <c r="G138" i="23"/>
  <c r="CD138" i="6" s="1"/>
  <c r="AA138" i="23"/>
  <c r="Z138" i="23" s="1"/>
  <c r="Y138" i="23" s="1"/>
  <c r="AA28" i="23"/>
  <c r="Z28" i="23" s="1"/>
  <c r="Y28" i="23" s="1"/>
  <c r="G28" i="23"/>
  <c r="CD28" i="6" s="1"/>
  <c r="H288" i="20"/>
  <c r="W288" i="23"/>
  <c r="D288" i="23"/>
  <c r="E288" i="23" s="1"/>
  <c r="F288" i="23" s="1"/>
  <c r="B288" i="24"/>
  <c r="G359" i="23"/>
  <c r="CD359" i="6" s="1"/>
  <c r="AA359" i="23"/>
  <c r="Z359" i="23" s="1"/>
  <c r="Y359" i="23" s="1"/>
  <c r="W313" i="24"/>
  <c r="D313" i="24"/>
  <c r="E313" i="24" s="1"/>
  <c r="F313" i="24" s="1"/>
  <c r="B313" i="25"/>
  <c r="W245" i="23"/>
  <c r="D245" i="23"/>
  <c r="E245" i="23" s="1"/>
  <c r="F245" i="23" s="1"/>
  <c r="B245" i="24"/>
  <c r="G203" i="22"/>
  <c r="CC203" i="6" s="1"/>
  <c r="AA203" i="22"/>
  <c r="Z203" i="22" s="1"/>
  <c r="Y203" i="22" s="1"/>
  <c r="W169" i="23"/>
  <c r="D169" i="23"/>
  <c r="E169" i="23" s="1"/>
  <c r="F169" i="23" s="1"/>
  <c r="B169" i="24"/>
  <c r="W218" i="23"/>
  <c r="D218" i="23"/>
  <c r="E218" i="23" s="1"/>
  <c r="F218" i="23" s="1"/>
  <c r="B218" i="24"/>
  <c r="W188" i="23"/>
  <c r="D188" i="23"/>
  <c r="E188" i="23" s="1"/>
  <c r="F188" i="23" s="1"/>
  <c r="B188" i="24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B86" i="24"/>
  <c r="W303" i="23"/>
  <c r="D303" i="23"/>
  <c r="E303" i="23" s="1"/>
  <c r="F303" i="23" s="1"/>
  <c r="B303" i="24"/>
  <c r="W275" i="23"/>
  <c r="D275" i="23"/>
  <c r="E275" i="23" s="1"/>
  <c r="F275" i="23" s="1"/>
  <c r="B275" i="24"/>
  <c r="G195" i="23"/>
  <c r="CD195" i="6" s="1"/>
  <c r="AA195" i="23"/>
  <c r="Z195" i="23" s="1"/>
  <c r="Y195" i="23" s="1"/>
  <c r="W131" i="24"/>
  <c r="D131" i="24"/>
  <c r="E131" i="24" s="1"/>
  <c r="F131" i="24" s="1"/>
  <c r="B131" i="25"/>
  <c r="W79" i="24"/>
  <c r="D79" i="24"/>
  <c r="E79" i="24" s="1"/>
  <c r="F79" i="24" s="1"/>
  <c r="B79" i="25"/>
  <c r="AA47" i="23"/>
  <c r="Z47" i="23" s="1"/>
  <c r="Y47" i="23" s="1"/>
  <c r="G47" i="23"/>
  <c r="CD47" i="6" s="1"/>
  <c r="W21" i="23"/>
  <c r="D21" i="23"/>
  <c r="E21" i="23" s="1"/>
  <c r="F21" i="23" s="1"/>
  <c r="B21" i="24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B171" i="24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B298" i="25"/>
  <c r="W365" i="23"/>
  <c r="D365" i="23"/>
  <c r="E365" i="23" s="1"/>
  <c r="F365" i="23" s="1"/>
  <c r="B365" i="24"/>
  <c r="G60" i="22"/>
  <c r="CC60" i="6" s="1"/>
  <c r="AA60" i="22"/>
  <c r="Z60" i="22" s="1"/>
  <c r="Y60" i="22" s="1"/>
  <c r="W263" i="23"/>
  <c r="D263" i="23"/>
  <c r="E263" i="23" s="1"/>
  <c r="F263" i="23" s="1"/>
  <c r="B263" i="24"/>
  <c r="G77" i="22"/>
  <c r="CC77" i="6" s="1"/>
  <c r="AA77" i="22"/>
  <c r="Z77" i="22" s="1"/>
  <c r="Y77" i="22" s="1"/>
  <c r="H135" i="20"/>
  <c r="W177" i="24"/>
  <c r="D177" i="24"/>
  <c r="E177" i="24" s="1"/>
  <c r="F177" i="24" s="1"/>
  <c r="B177" i="25"/>
  <c r="W150" i="23"/>
  <c r="D150" i="23"/>
  <c r="E150" i="23" s="1"/>
  <c r="F150" i="23" s="1"/>
  <c r="B150" i="24"/>
  <c r="BA227" i="6"/>
  <c r="D227" i="6" s="1"/>
  <c r="BA224" i="6"/>
  <c r="D224" i="6" s="1"/>
  <c r="BA353" i="6"/>
  <c r="D353" i="6" s="1"/>
  <c r="BA94" i="6"/>
  <c r="D94" i="6" s="1"/>
  <c r="BA286" i="6"/>
  <c r="D286" i="6" s="1"/>
  <c r="BA242" i="6"/>
  <c r="D242" i="6" s="1"/>
  <c r="BA200" i="6"/>
  <c r="D200" i="6" s="1"/>
  <c r="BA91" i="6"/>
  <c r="D91" i="6" s="1"/>
  <c r="BA172" i="6"/>
  <c r="D172" i="6" s="1"/>
  <c r="BA122" i="6"/>
  <c r="D122" i="6" s="1"/>
  <c r="BA146" i="6"/>
  <c r="D146" i="6" s="1"/>
  <c r="BA195" i="6"/>
  <c r="D195" i="6" s="1"/>
  <c r="H195" i="20"/>
  <c r="BA320" i="6"/>
  <c r="D320" i="6" s="1"/>
  <c r="BA276" i="6"/>
  <c r="D276" i="6" s="1"/>
  <c r="BA230" i="6"/>
  <c r="D230" i="6" s="1"/>
  <c r="BA149" i="6"/>
  <c r="D149" i="6" s="1"/>
  <c r="H81" i="20"/>
  <c r="G182" i="22"/>
  <c r="CC182" i="6" s="1"/>
  <c r="AA182" i="22"/>
  <c r="Z182" i="22" s="1"/>
  <c r="Y182" i="22" s="1"/>
  <c r="W289" i="23"/>
  <c r="D289" i="23"/>
  <c r="E289" i="23" s="1"/>
  <c r="F289" i="23" s="1"/>
  <c r="B289" i="24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B240" i="24"/>
  <c r="D190" i="24"/>
  <c r="E190" i="24" s="1"/>
  <c r="F190" i="24" s="1"/>
  <c r="W190" i="24"/>
  <c r="B190" i="25"/>
  <c r="G72" i="22"/>
  <c r="CC72" i="6" s="1"/>
  <c r="AA72" i="22"/>
  <c r="Z72" i="22" s="1"/>
  <c r="Y72" i="22" s="1"/>
  <c r="D217" i="24"/>
  <c r="E217" i="24" s="1"/>
  <c r="F217" i="24" s="1"/>
  <c r="W217" i="24"/>
  <c r="B217" i="25"/>
  <c r="D85" i="23"/>
  <c r="E85" i="23" s="1"/>
  <c r="F85" i="23" s="1"/>
  <c r="W85" i="23"/>
  <c r="B85" i="24"/>
  <c r="AA360" i="23"/>
  <c r="Z360" i="23" s="1"/>
  <c r="Y360" i="23" s="1"/>
  <c r="G360" i="23"/>
  <c r="CD360" i="6" s="1"/>
  <c r="W322" i="23"/>
  <c r="D322" i="23"/>
  <c r="E322" i="23" s="1"/>
  <c r="F322" i="23" s="1"/>
  <c r="B322" i="24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B122" i="25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B143" i="24"/>
  <c r="D65" i="23"/>
  <c r="E65" i="23" s="1"/>
  <c r="F65" i="23" s="1"/>
  <c r="W65" i="23"/>
  <c r="B65" i="24"/>
  <c r="W372" i="23"/>
  <c r="D372" i="23"/>
  <c r="E372" i="23" s="1"/>
  <c r="F372" i="23" s="1"/>
  <c r="B372" i="24"/>
  <c r="W148" i="23"/>
  <c r="D148" i="23"/>
  <c r="E148" i="23" s="1"/>
  <c r="F148" i="23" s="1"/>
  <c r="B148" i="24"/>
  <c r="AA293" i="23"/>
  <c r="Z293" i="23" s="1"/>
  <c r="Y293" i="23" s="1"/>
  <c r="G293" i="23"/>
  <c r="CD293" i="6" s="1"/>
  <c r="W293" i="24"/>
  <c r="D293" i="24"/>
  <c r="E293" i="24" s="1"/>
  <c r="F293" i="24" s="1"/>
  <c r="B293" i="25"/>
  <c r="D201" i="23"/>
  <c r="E201" i="23" s="1"/>
  <c r="F201" i="23" s="1"/>
  <c r="W201" i="23"/>
  <c r="B201" i="24"/>
  <c r="G145" i="22"/>
  <c r="CC145" i="6" s="1"/>
  <c r="AA145" i="22"/>
  <c r="Z145" i="22" s="1"/>
  <c r="Y145" i="22" s="1"/>
  <c r="D110" i="23"/>
  <c r="E110" i="23" s="1"/>
  <c r="F110" i="23" s="1"/>
  <c r="W110" i="23"/>
  <c r="B110" i="24"/>
  <c r="W185" i="23"/>
  <c r="D185" i="23"/>
  <c r="E185" i="23" s="1"/>
  <c r="F185" i="23" s="1"/>
  <c r="B185" i="24"/>
  <c r="D63" i="24"/>
  <c r="E63" i="24" s="1"/>
  <c r="F63" i="24" s="1"/>
  <c r="W63" i="24"/>
  <c r="B63" i="25"/>
  <c r="G154" i="23"/>
  <c r="CD154" i="6" s="1"/>
  <c r="AA154" i="23"/>
  <c r="Z154" i="23" s="1"/>
  <c r="Y154" i="23" s="1"/>
  <c r="W16" i="24"/>
  <c r="D16" i="24"/>
  <c r="E16" i="24" s="1"/>
  <c r="F16" i="24" s="1"/>
  <c r="B16" i="25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B90" i="24"/>
  <c r="G340" i="22"/>
  <c r="CC340" i="6" s="1"/>
  <c r="AA340" i="22"/>
  <c r="Z340" i="22" s="1"/>
  <c r="Y340" i="22" s="1"/>
  <c r="W286" i="24"/>
  <c r="D286" i="24"/>
  <c r="E286" i="24" s="1"/>
  <c r="F286" i="24" s="1"/>
  <c r="B286" i="25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B58" i="24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B109" i="24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B262" i="25"/>
  <c r="G139" i="22"/>
  <c r="CC139" i="6" s="1"/>
  <c r="AA139" i="22"/>
  <c r="Z139" i="22" s="1"/>
  <c r="Y139" i="22" s="1"/>
  <c r="W53" i="23"/>
  <c r="D53" i="23"/>
  <c r="E53" i="23" s="1"/>
  <c r="F53" i="23" s="1"/>
  <c r="B53" i="24"/>
  <c r="G334" i="22"/>
  <c r="CC334" i="6" s="1"/>
  <c r="AA334" i="22"/>
  <c r="Z334" i="22" s="1"/>
  <c r="Y334" i="22" s="1"/>
  <c r="W336" i="24"/>
  <c r="D336" i="24"/>
  <c r="E336" i="24" s="1"/>
  <c r="F336" i="24" s="1"/>
  <c r="B336" i="25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B83" i="25"/>
  <c r="W55" i="24"/>
  <c r="D55" i="24"/>
  <c r="E55" i="24" s="1"/>
  <c r="F55" i="24" s="1"/>
  <c r="B55" i="25"/>
  <c r="W265" i="24"/>
  <c r="D265" i="24"/>
  <c r="E265" i="24" s="1"/>
  <c r="F265" i="24" s="1"/>
  <c r="B265" i="25"/>
  <c r="W130" i="24"/>
  <c r="D130" i="24"/>
  <c r="E130" i="24" s="1"/>
  <c r="F130" i="24" s="1"/>
  <c r="B130" i="25"/>
  <c r="W253" i="23"/>
  <c r="D253" i="23"/>
  <c r="E253" i="23" s="1"/>
  <c r="F253" i="23" s="1"/>
  <c r="B253" i="24"/>
  <c r="W369" i="23"/>
  <c r="D369" i="23"/>
  <c r="E369" i="23" s="1"/>
  <c r="F369" i="23" s="1"/>
  <c r="B369" i="24"/>
  <c r="G347" i="22"/>
  <c r="CC347" i="6" s="1"/>
  <c r="AA347" i="22"/>
  <c r="Z347" i="22" s="1"/>
  <c r="Y347" i="22" s="1"/>
  <c r="W376" i="23"/>
  <c r="D376" i="23"/>
  <c r="E376" i="23" s="1"/>
  <c r="F376" i="23" s="1"/>
  <c r="B376" i="24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B333" i="24"/>
  <c r="G33" i="23"/>
  <c r="CD33" i="6" s="1"/>
  <c r="AA33" i="23"/>
  <c r="Z33" i="23" s="1"/>
  <c r="Y33" i="23" s="1"/>
  <c r="W352" i="23"/>
  <c r="D352" i="23"/>
  <c r="E352" i="23" s="1"/>
  <c r="F352" i="23" s="1"/>
  <c r="B352" i="24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B29" i="24"/>
  <c r="W379" i="24"/>
  <c r="D379" i="24"/>
  <c r="E379" i="24" s="1"/>
  <c r="F379" i="24" s="1"/>
  <c r="B379" i="25"/>
  <c r="BA377" i="6"/>
  <c r="D377" i="6" s="1"/>
  <c r="BA57" i="6"/>
  <c r="BA166" i="6"/>
  <c r="D166" i="6" s="1"/>
  <c r="BA216" i="6"/>
  <c r="D216" i="6" s="1"/>
  <c r="BA298" i="6"/>
  <c r="D298" i="6" s="1"/>
  <c r="BA222" i="6"/>
  <c r="D222" i="6" s="1"/>
  <c r="BA262" i="6"/>
  <c r="D262" i="6" s="1"/>
  <c r="BA80" i="6"/>
  <c r="D80" i="6" s="1"/>
  <c r="BA189" i="6"/>
  <c r="D189" i="6" s="1"/>
  <c r="BA69" i="6"/>
  <c r="D69" i="6" s="1"/>
  <c r="BA231" i="6"/>
  <c r="D231" i="6" s="1"/>
  <c r="BA83" i="6"/>
  <c r="D83" i="6" s="1"/>
  <c r="BA258" i="6"/>
  <c r="D258" i="6" s="1"/>
  <c r="BA33" i="6"/>
  <c r="D33" i="6" s="1"/>
  <c r="BA207" i="6"/>
  <c r="D207" i="6" s="1"/>
  <c r="BA92" i="6"/>
  <c r="D92" i="6" s="1"/>
  <c r="BA212" i="6"/>
  <c r="D212" i="6" s="1"/>
  <c r="BA359" i="6"/>
  <c r="D359" i="6" s="1"/>
  <c r="BA358" i="6"/>
  <c r="D358" i="6" s="1"/>
  <c r="BA174" i="6"/>
  <c r="D174" i="6" s="1"/>
  <c r="J176" i="20" l="1"/>
  <c r="J143" i="20"/>
  <c r="J282" i="20"/>
  <c r="J150" i="20"/>
  <c r="J289" i="20"/>
  <c r="J121" i="20"/>
  <c r="J314" i="20"/>
  <c r="J73" i="20"/>
  <c r="D152" i="24"/>
  <c r="E152" i="24" s="1"/>
  <c r="F152" i="24" s="1"/>
  <c r="G152" i="24" s="1"/>
  <c r="CE152" i="6" s="1"/>
  <c r="B108" i="25"/>
  <c r="D108" i="25" s="1"/>
  <c r="E108" i="25" s="1"/>
  <c r="F108" i="25" s="1"/>
  <c r="J250" i="20"/>
  <c r="J88" i="20"/>
  <c r="B167" i="25"/>
  <c r="W167" i="25" s="1"/>
  <c r="H198" i="20"/>
  <c r="I198" i="20" s="1"/>
  <c r="H198" i="22" s="1"/>
  <c r="I198" i="22" s="1"/>
  <c r="H198" i="23" s="1"/>
  <c r="H350" i="20"/>
  <c r="I350" i="20" s="1"/>
  <c r="H350" i="22" s="1"/>
  <c r="I350" i="22" s="1"/>
  <c r="H350" i="23" s="1"/>
  <c r="H144" i="20"/>
  <c r="J144" i="20" s="1"/>
  <c r="H352" i="20"/>
  <c r="I352" i="20" s="1"/>
  <c r="H352" i="22" s="1"/>
  <c r="I352" i="22" s="1"/>
  <c r="H352" i="23" s="1"/>
  <c r="J203" i="20"/>
  <c r="W167" i="24"/>
  <c r="AA155" i="23"/>
  <c r="Z155" i="23" s="1"/>
  <c r="Y155" i="23" s="1"/>
  <c r="D136" i="24"/>
  <c r="E136" i="24" s="1"/>
  <c r="F136" i="24" s="1"/>
  <c r="AA136" i="24" s="1"/>
  <c r="Z136" i="24" s="1"/>
  <c r="Y136" i="24" s="1"/>
  <c r="B95" i="25"/>
  <c r="W95" i="25" s="1"/>
  <c r="B359" i="25"/>
  <c r="W359" i="25" s="1"/>
  <c r="H34" i="20"/>
  <c r="I34" i="20" s="1"/>
  <c r="H34" i="22" s="1"/>
  <c r="I34" i="22" s="1"/>
  <c r="H34" i="23" s="1"/>
  <c r="H365" i="20"/>
  <c r="J365" i="20" s="1"/>
  <c r="J283" i="20"/>
  <c r="J333" i="20"/>
  <c r="J98" i="20"/>
  <c r="J156" i="20"/>
  <c r="J159" i="20"/>
  <c r="J272" i="20"/>
  <c r="J89" i="20"/>
  <c r="H188" i="20"/>
  <c r="J188" i="20" s="1"/>
  <c r="J67" i="20"/>
  <c r="J44" i="20"/>
  <c r="J128" i="20"/>
  <c r="H139" i="20"/>
  <c r="I139" i="20" s="1"/>
  <c r="H139" i="22" s="1"/>
  <c r="J328" i="20"/>
  <c r="J223" i="20"/>
  <c r="H292" i="20"/>
  <c r="J292" i="20" s="1"/>
  <c r="J25" i="20"/>
  <c r="J347" i="20"/>
  <c r="J349" i="20"/>
  <c r="H274" i="20"/>
  <c r="I274" i="20" s="1"/>
  <c r="H274" i="22" s="1"/>
  <c r="I274" i="22" s="1"/>
  <c r="H274" i="23" s="1"/>
  <c r="H311" i="20"/>
  <c r="J311" i="20" s="1"/>
  <c r="H24" i="20"/>
  <c r="I24" i="20" s="1"/>
  <c r="H24" i="22" s="1"/>
  <c r="I24" i="22" s="1"/>
  <c r="H24" i="23" s="1"/>
  <c r="H137" i="20"/>
  <c r="J137" i="20" s="1"/>
  <c r="H236" i="20"/>
  <c r="J236" i="20" s="1"/>
  <c r="AA211" i="23"/>
  <c r="Z211" i="23" s="1"/>
  <c r="Y211" i="23" s="1"/>
  <c r="H77" i="20"/>
  <c r="I77" i="20" s="1"/>
  <c r="H77" i="22" s="1"/>
  <c r="J169" i="20"/>
  <c r="H378" i="20"/>
  <c r="J378" i="20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D54" i="24"/>
  <c r="E54" i="24" s="1"/>
  <c r="F54" i="24" s="1"/>
  <c r="AA54" i="24" s="1"/>
  <c r="Z54" i="24" s="1"/>
  <c r="Y54" i="24" s="1"/>
  <c r="J85" i="20"/>
  <c r="J114" i="20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H210" i="20"/>
  <c r="I210" i="20" s="1"/>
  <c r="H210" i="22" s="1"/>
  <c r="H125" i="20"/>
  <c r="I125" i="20" s="1"/>
  <c r="H125" i="22" s="1"/>
  <c r="I125" i="22" s="1"/>
  <c r="H125" i="23" s="1"/>
  <c r="H65" i="20"/>
  <c r="I65" i="20" s="1"/>
  <c r="H65" i="22" s="1"/>
  <c r="I65" i="22" s="1"/>
  <c r="H65" i="23" s="1"/>
  <c r="H148" i="20"/>
  <c r="I148" i="20" s="1"/>
  <c r="H148" i="22" s="1"/>
  <c r="I148" i="22" s="1"/>
  <c r="H148" i="23" s="1"/>
  <c r="H233" i="20"/>
  <c r="J233" i="20" s="1"/>
  <c r="H309" i="20"/>
  <c r="I309" i="20" s="1"/>
  <c r="H309" i="22" s="1"/>
  <c r="I309" i="22" s="1"/>
  <c r="H309" i="23" s="1"/>
  <c r="H373" i="20"/>
  <c r="I373" i="20" s="1"/>
  <c r="H373" i="22" s="1"/>
  <c r="I373" i="22" s="1"/>
  <c r="H373" i="23" s="1"/>
  <c r="H273" i="20"/>
  <c r="J273" i="20" s="1"/>
  <c r="H205" i="23"/>
  <c r="J205" i="23" s="1"/>
  <c r="W59" i="24"/>
  <c r="W50" i="24"/>
  <c r="B300" i="25"/>
  <c r="W300" i="25" s="1"/>
  <c r="D59" i="24"/>
  <c r="E59" i="24" s="1"/>
  <c r="F59" i="24" s="1"/>
  <c r="AA59" i="24" s="1"/>
  <c r="Z59" i="24" s="1"/>
  <c r="Y59" i="24" s="1"/>
  <c r="G363" i="23"/>
  <c r="CD363" i="6" s="1"/>
  <c r="AA269" i="23"/>
  <c r="Z269" i="23" s="1"/>
  <c r="Y269" i="23" s="1"/>
  <c r="B297" i="25"/>
  <c r="D297" i="25" s="1"/>
  <c r="E297" i="25" s="1"/>
  <c r="F297" i="25" s="1"/>
  <c r="W353" i="24"/>
  <c r="G259" i="23"/>
  <c r="CD259" i="6" s="1"/>
  <c r="W95" i="24"/>
  <c r="D316" i="24"/>
  <c r="E316" i="24" s="1"/>
  <c r="F316" i="24" s="1"/>
  <c r="G316" i="24" s="1"/>
  <c r="CE316" i="6" s="1"/>
  <c r="AA170" i="23"/>
  <c r="Z170" i="23" s="1"/>
  <c r="Y170" i="23" s="1"/>
  <c r="G231" i="23"/>
  <c r="CD231" i="6" s="1"/>
  <c r="AA152" i="23"/>
  <c r="Z152" i="23" s="1"/>
  <c r="Y152" i="23" s="1"/>
  <c r="W23" i="24"/>
  <c r="AA300" i="23"/>
  <c r="Z300" i="23" s="1"/>
  <c r="Y300" i="23" s="1"/>
  <c r="D212" i="24"/>
  <c r="E212" i="24" s="1"/>
  <c r="F212" i="24" s="1"/>
  <c r="AA212" i="24" s="1"/>
  <c r="Z212" i="24" s="1"/>
  <c r="Y212" i="24" s="1"/>
  <c r="AA108" i="23"/>
  <c r="Z108" i="23" s="1"/>
  <c r="Y108" i="23" s="1"/>
  <c r="G205" i="23"/>
  <c r="CD205" i="6" s="1"/>
  <c r="D306" i="24"/>
  <c r="E306" i="24" s="1"/>
  <c r="F306" i="24" s="1"/>
  <c r="AA306" i="24" s="1"/>
  <c r="Z306" i="24" s="1"/>
  <c r="Y306" i="24" s="1"/>
  <c r="D331" i="24"/>
  <c r="E331" i="24" s="1"/>
  <c r="F331" i="24" s="1"/>
  <c r="G331" i="24" s="1"/>
  <c r="CE331" i="6" s="1"/>
  <c r="AA197" i="23"/>
  <c r="Z197" i="23" s="1"/>
  <c r="Y197" i="23" s="1"/>
  <c r="B155" i="25"/>
  <c r="W155" i="25" s="1"/>
  <c r="D270" i="24"/>
  <c r="E270" i="24" s="1"/>
  <c r="F270" i="24" s="1"/>
  <c r="AA270" i="24" s="1"/>
  <c r="Z270" i="24" s="1"/>
  <c r="Y270" i="24" s="1"/>
  <c r="W301" i="24"/>
  <c r="B23" i="25"/>
  <c r="D23" i="25" s="1"/>
  <c r="E23" i="25" s="1"/>
  <c r="F23" i="25" s="1"/>
  <c r="B212" i="25"/>
  <c r="D212" i="25" s="1"/>
  <c r="E212" i="25" s="1"/>
  <c r="F212" i="25" s="1"/>
  <c r="D28" i="24"/>
  <c r="E28" i="24" s="1"/>
  <c r="F28" i="24" s="1"/>
  <c r="G28" i="24" s="1"/>
  <c r="CE28" i="6" s="1"/>
  <c r="D108" i="24"/>
  <c r="E108" i="24" s="1"/>
  <c r="F108" i="24" s="1"/>
  <c r="AA108" i="24" s="1"/>
  <c r="Z108" i="24" s="1"/>
  <c r="Y108" i="24" s="1"/>
  <c r="B152" i="25"/>
  <c r="D152" i="25" s="1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B306" i="25"/>
  <c r="W306" i="25" s="1"/>
  <c r="B331" i="25"/>
  <c r="W331" i="25" s="1"/>
  <c r="AA306" i="23"/>
  <c r="Z306" i="23" s="1"/>
  <c r="Y306" i="23" s="1"/>
  <c r="D211" i="24"/>
  <c r="E211" i="24" s="1"/>
  <c r="F211" i="24" s="1"/>
  <c r="G211" i="24" s="1"/>
  <c r="CE211" i="6" s="1"/>
  <c r="B211" i="25"/>
  <c r="D211" i="25" s="1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B50" i="25"/>
  <c r="W50" i="25" s="1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B327" i="25"/>
  <c r="D327" i="25" s="1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B323" i="25"/>
  <c r="W323" i="25" s="1"/>
  <c r="G358" i="23"/>
  <c r="CD358" i="6" s="1"/>
  <c r="B329" i="25"/>
  <c r="D329" i="25" s="1"/>
  <c r="E329" i="25" s="1"/>
  <c r="F329" i="25" s="1"/>
  <c r="B19" i="25"/>
  <c r="D19" i="25" s="1"/>
  <c r="E19" i="25" s="1"/>
  <c r="F19" i="25" s="1"/>
  <c r="D327" i="24"/>
  <c r="E327" i="24" s="1"/>
  <c r="F327" i="24" s="1"/>
  <c r="G327" i="24" s="1"/>
  <c r="CE327" i="6" s="1"/>
  <c r="B269" i="25"/>
  <c r="W269" i="25" s="1"/>
  <c r="B237" i="25"/>
  <c r="W237" i="25" s="1"/>
  <c r="G301" i="23"/>
  <c r="CD301" i="6" s="1"/>
  <c r="B205" i="25"/>
  <c r="W205" i="25" s="1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G348" i="24" s="1"/>
  <c r="CE348" i="6" s="1"/>
  <c r="B54" i="25"/>
  <c r="W54" i="25" s="1"/>
  <c r="B70" i="25"/>
  <c r="D70" i="25" s="1"/>
  <c r="E70" i="25" s="1"/>
  <c r="F70" i="25" s="1"/>
  <c r="B348" i="25"/>
  <c r="D348" i="25" s="1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B28" i="25"/>
  <c r="W28" i="25" s="1"/>
  <c r="B377" i="25"/>
  <c r="W377" i="25" s="1"/>
  <c r="D335" i="24"/>
  <c r="E335" i="24" s="1"/>
  <c r="F335" i="24" s="1"/>
  <c r="G335" i="24" s="1"/>
  <c r="CE335" i="6" s="1"/>
  <c r="B30" i="25"/>
  <c r="W30" i="25" s="1"/>
  <c r="W359" i="24"/>
  <c r="G94" i="23"/>
  <c r="CD94" i="6" s="1"/>
  <c r="B129" i="25"/>
  <c r="W129" i="25" s="1"/>
  <c r="W377" i="24"/>
  <c r="D224" i="24"/>
  <c r="E224" i="24" s="1"/>
  <c r="F224" i="24" s="1"/>
  <c r="G224" i="24" s="1"/>
  <c r="CE224" i="6" s="1"/>
  <c r="B353" i="25"/>
  <c r="W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B136" i="25"/>
  <c r="D136" i="25" s="1"/>
  <c r="E136" i="25" s="1"/>
  <c r="F136" i="25" s="1"/>
  <c r="B270" i="25"/>
  <c r="D270" i="25" s="1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B335" i="25"/>
  <c r="W335" i="25" s="1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B43" i="25"/>
  <c r="D43" i="25" s="1"/>
  <c r="E43" i="25" s="1"/>
  <c r="F43" i="25" s="1"/>
  <c r="B301" i="25"/>
  <c r="W301" i="25" s="1"/>
  <c r="B316" i="25"/>
  <c r="W316" i="25" s="1"/>
  <c r="I347" i="20"/>
  <c r="H347" i="22" s="1"/>
  <c r="I347" i="22" s="1"/>
  <c r="H347" i="23" s="1"/>
  <c r="AA255" i="23"/>
  <c r="Z255" i="23" s="1"/>
  <c r="Y255" i="23" s="1"/>
  <c r="I272" i="20"/>
  <c r="H272" i="22" s="1"/>
  <c r="I272" i="22" s="1"/>
  <c r="H272" i="23" s="1"/>
  <c r="B164" i="25"/>
  <c r="D164" i="25" s="1"/>
  <c r="E164" i="25" s="1"/>
  <c r="F164" i="25" s="1"/>
  <c r="I296" i="20"/>
  <c r="H296" i="22" s="1"/>
  <c r="I296" i="22" s="1"/>
  <c r="H296" i="23" s="1"/>
  <c r="B358" i="25"/>
  <c r="D358" i="25" s="1"/>
  <c r="E358" i="25" s="1"/>
  <c r="F358" i="25" s="1"/>
  <c r="G35" i="23"/>
  <c r="CD35" i="6" s="1"/>
  <c r="B192" i="25"/>
  <c r="W192" i="25" s="1"/>
  <c r="B179" i="25"/>
  <c r="D179" i="25" s="1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I75" i="20"/>
  <c r="H75" i="22" s="1"/>
  <c r="I75" i="22" s="1"/>
  <c r="H75" i="23" s="1"/>
  <c r="J90" i="20"/>
  <c r="J90" i="22" s="1"/>
  <c r="B97" i="25"/>
  <c r="D97" i="25" s="1"/>
  <c r="E97" i="25" s="1"/>
  <c r="F97" i="25" s="1"/>
  <c r="G312" i="23"/>
  <c r="CD312" i="6" s="1"/>
  <c r="I98" i="20"/>
  <c r="H98" i="22" s="1"/>
  <c r="J60" i="20"/>
  <c r="J60" i="22" s="1"/>
  <c r="B116" i="25"/>
  <c r="W116" i="25" s="1"/>
  <c r="AA243" i="23"/>
  <c r="Z243" i="23" s="1"/>
  <c r="Y243" i="23" s="1"/>
  <c r="I282" i="20"/>
  <c r="H282" i="22" s="1"/>
  <c r="I282" i="22" s="1"/>
  <c r="H282" i="23" s="1"/>
  <c r="G216" i="23"/>
  <c r="CD216" i="6" s="1"/>
  <c r="B180" i="25"/>
  <c r="W180" i="25" s="1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B294" i="25"/>
  <c r="D294" i="25" s="1"/>
  <c r="E294" i="25" s="1"/>
  <c r="F294" i="25" s="1"/>
  <c r="G180" i="23"/>
  <c r="CD180" i="6" s="1"/>
  <c r="W284" i="24"/>
  <c r="B243" i="25"/>
  <c r="D243" i="25" s="1"/>
  <c r="E243" i="25" s="1"/>
  <c r="F243" i="25" s="1"/>
  <c r="I251" i="22"/>
  <c r="H251" i="23" s="1"/>
  <c r="J251" i="23" s="1"/>
  <c r="B284" i="25"/>
  <c r="D284" i="25" s="1"/>
  <c r="E284" i="25" s="1"/>
  <c r="F284" i="25" s="1"/>
  <c r="G92" i="23"/>
  <c r="CD92" i="6" s="1"/>
  <c r="W367" i="24"/>
  <c r="I176" i="20"/>
  <c r="H176" i="22" s="1"/>
  <c r="I176" i="22" s="1"/>
  <c r="H176" i="23" s="1"/>
  <c r="J21" i="20"/>
  <c r="J21" i="22" s="1"/>
  <c r="I88" i="20"/>
  <c r="H88" i="22" s="1"/>
  <c r="J317" i="20"/>
  <c r="J317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J291" i="20"/>
  <c r="J291" i="22" s="1"/>
  <c r="J369" i="20"/>
  <c r="J369" i="22" s="1"/>
  <c r="AA258" i="23"/>
  <c r="Z258" i="23" s="1"/>
  <c r="Y258" i="23" s="1"/>
  <c r="I102" i="20"/>
  <c r="H102" i="22" s="1"/>
  <c r="J102" i="22" s="1"/>
  <c r="I67" i="20"/>
  <c r="H67" i="22" s="1"/>
  <c r="I67" i="22" s="1"/>
  <c r="H67" i="23" s="1"/>
  <c r="I87" i="20"/>
  <c r="H87" i="22" s="1"/>
  <c r="J87" i="22" s="1"/>
  <c r="B324" i="25"/>
  <c r="D324" i="25" s="1"/>
  <c r="E324" i="25" s="1"/>
  <c r="F324" i="25" s="1"/>
  <c r="I162" i="20"/>
  <c r="H162" i="22" s="1"/>
  <c r="I162" i="22" s="1"/>
  <c r="H162" i="23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B338" i="25"/>
  <c r="D338" i="25" s="1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I159" i="20"/>
  <c r="H159" i="22" s="1"/>
  <c r="B367" i="25"/>
  <c r="W367" i="25" s="1"/>
  <c r="I328" i="20"/>
  <c r="H328" i="22" s="1"/>
  <c r="I328" i="22" s="1"/>
  <c r="H328" i="23" s="1"/>
  <c r="G227" i="23"/>
  <c r="CD227" i="6" s="1"/>
  <c r="B224" i="25"/>
  <c r="W224" i="25" s="1"/>
  <c r="I268" i="20"/>
  <c r="H268" i="22" s="1"/>
  <c r="J268" i="22" s="1"/>
  <c r="B64" i="25"/>
  <c r="D64" i="25" s="1"/>
  <c r="E64" i="25" s="1"/>
  <c r="F64" i="25" s="1"/>
  <c r="J109" i="20"/>
  <c r="J109" i="22" s="1"/>
  <c r="J145" i="20"/>
  <c r="J145" i="22" s="1"/>
  <c r="J61" i="20"/>
  <c r="J61" i="22" s="1"/>
  <c r="I128" i="20"/>
  <c r="H128" i="22" s="1"/>
  <c r="I128" i="22" s="1"/>
  <c r="H128" i="23" s="1"/>
  <c r="I133" i="20"/>
  <c r="H133" i="22" s="1"/>
  <c r="I133" i="22" s="1"/>
  <c r="H133" i="23" s="1"/>
  <c r="B344" i="25"/>
  <c r="W344" i="25" s="1"/>
  <c r="B153" i="25"/>
  <c r="D153" i="25" s="1"/>
  <c r="E153" i="25" s="1"/>
  <c r="F153" i="25" s="1"/>
  <c r="B216" i="25"/>
  <c r="D216" i="25" s="1"/>
  <c r="E216" i="25" s="1"/>
  <c r="F216" i="25" s="1"/>
  <c r="I223" i="20"/>
  <c r="H223" i="22" s="1"/>
  <c r="B326" i="25"/>
  <c r="W326" i="25" s="1"/>
  <c r="AA367" i="23"/>
  <c r="Z367" i="23" s="1"/>
  <c r="Y367" i="23" s="1"/>
  <c r="I217" i="22"/>
  <c r="H217" i="23" s="1"/>
  <c r="J217" i="23" s="1"/>
  <c r="J263" i="20"/>
  <c r="J263" i="22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74" i="20"/>
  <c r="J74" i="22" s="1"/>
  <c r="J275" i="20"/>
  <c r="J275" i="22" s="1"/>
  <c r="J86" i="20"/>
  <c r="J86" i="22" s="1"/>
  <c r="J261" i="20"/>
  <c r="J261" i="22" s="1"/>
  <c r="I345" i="20"/>
  <c r="H345" i="22" s="1"/>
  <c r="J345" i="22" s="1"/>
  <c r="J201" i="20"/>
  <c r="J201" i="22" s="1"/>
  <c r="I371" i="20"/>
  <c r="H371" i="22" s="1"/>
  <c r="I355" i="20"/>
  <c r="H355" i="22" s="1"/>
  <c r="I355" i="22" s="1"/>
  <c r="H355" i="23" s="1"/>
  <c r="I234" i="20"/>
  <c r="H234" i="22" s="1"/>
  <c r="J234" i="22" s="1"/>
  <c r="I163" i="20"/>
  <c r="H163" i="22" s="1"/>
  <c r="J163" i="22" s="1"/>
  <c r="J173" i="20"/>
  <c r="J173" i="22" s="1"/>
  <c r="I143" i="20"/>
  <c r="H143" i="22" s="1"/>
  <c r="I143" i="22" s="1"/>
  <c r="H143" i="23" s="1"/>
  <c r="I349" i="20"/>
  <c r="H349" i="22" s="1"/>
  <c r="I349" i="22" s="1"/>
  <c r="H349" i="23" s="1"/>
  <c r="J171" i="20"/>
  <c r="J171" i="22" s="1"/>
  <c r="I236" i="20"/>
  <c r="H236" i="22" s="1"/>
  <c r="J236" i="22" s="1"/>
  <c r="J295" i="20"/>
  <c r="J295" i="22" s="1"/>
  <c r="I289" i="20"/>
  <c r="H289" i="22" s="1"/>
  <c r="I44" i="20"/>
  <c r="H44" i="22" s="1"/>
  <c r="I156" i="20"/>
  <c r="H156" i="22" s="1"/>
  <c r="I156" i="22" s="1"/>
  <c r="H156" i="23" s="1"/>
  <c r="I76" i="20"/>
  <c r="H76" i="22" s="1"/>
  <c r="I76" i="22" s="1"/>
  <c r="H76" i="23" s="1"/>
  <c r="I150" i="20"/>
  <c r="H150" i="22" s="1"/>
  <c r="J150" i="22" s="1"/>
  <c r="J374" i="20"/>
  <c r="J374" i="22" s="1"/>
  <c r="J253" i="20"/>
  <c r="J253" i="22" s="1"/>
  <c r="J322" i="20"/>
  <c r="J322" i="22" s="1"/>
  <c r="I85" i="20"/>
  <c r="H85" i="22" s="1"/>
  <c r="J85" i="22" s="1"/>
  <c r="J112" i="20"/>
  <c r="J112" i="22" s="1"/>
  <c r="J325" i="20"/>
  <c r="J325" i="22" s="1"/>
  <c r="J361" i="20"/>
  <c r="J361" i="22" s="1"/>
  <c r="I114" i="20"/>
  <c r="H114" i="22" s="1"/>
  <c r="J71" i="20"/>
  <c r="J71" i="22" s="1"/>
  <c r="J148" i="20"/>
  <c r="J148" i="22" s="1"/>
  <c r="I314" i="20"/>
  <c r="H314" i="22" s="1"/>
  <c r="J314" i="22" s="1"/>
  <c r="I89" i="20"/>
  <c r="H89" i="22" s="1"/>
  <c r="I89" i="22" s="1"/>
  <c r="H89" i="23" s="1"/>
  <c r="I186" i="20"/>
  <c r="H186" i="22" s="1"/>
  <c r="J186" i="22" s="1"/>
  <c r="J119" i="20"/>
  <c r="J119" i="22" s="1"/>
  <c r="J194" i="20"/>
  <c r="J194" i="22" s="1"/>
  <c r="I250" i="20"/>
  <c r="H250" i="22" s="1"/>
  <c r="I250" i="22" s="1"/>
  <c r="H250" i="23" s="1"/>
  <c r="I169" i="20"/>
  <c r="H169" i="22" s="1"/>
  <c r="I121" i="20"/>
  <c r="H121" i="22" s="1"/>
  <c r="J121" i="22" s="1"/>
  <c r="I124" i="20"/>
  <c r="H124" i="22" s="1"/>
  <c r="I124" i="22" s="1"/>
  <c r="H124" i="23" s="1"/>
  <c r="J339" i="20"/>
  <c r="J339" i="22" s="1"/>
  <c r="I187" i="20"/>
  <c r="H187" i="22" s="1"/>
  <c r="I187" i="22" s="1"/>
  <c r="H187" i="23" s="1"/>
  <c r="J46" i="20"/>
  <c r="J46" i="22" s="1"/>
  <c r="I283" i="20"/>
  <c r="H283" i="22" s="1"/>
  <c r="I283" i="22" s="1"/>
  <c r="H283" i="23" s="1"/>
  <c r="J218" i="20"/>
  <c r="J218" i="22" s="1"/>
  <c r="I203" i="20"/>
  <c r="H203" i="22" s="1"/>
  <c r="J196" i="20"/>
  <c r="J196" i="22" s="1"/>
  <c r="J220" i="20"/>
  <c r="J220" i="22" s="1"/>
  <c r="I73" i="20"/>
  <c r="H73" i="22" s="1"/>
  <c r="I73" i="22" s="1"/>
  <c r="H73" i="23" s="1"/>
  <c r="I310" i="20"/>
  <c r="H310" i="22" s="1"/>
  <c r="I310" i="22" s="1"/>
  <c r="H310" i="23" s="1"/>
  <c r="J115" i="20"/>
  <c r="J115" i="22" s="1"/>
  <c r="AI4" i="6"/>
  <c r="I374" i="22"/>
  <c r="H374" i="23" s="1"/>
  <c r="I53" i="22"/>
  <c r="H53" i="23" s="1"/>
  <c r="I109" i="22"/>
  <c r="H109" i="23" s="1"/>
  <c r="I171" i="22"/>
  <c r="H171" i="23" s="1"/>
  <c r="I160" i="22"/>
  <c r="H160" i="23" s="1"/>
  <c r="I194" i="22"/>
  <c r="H194" i="23" s="1"/>
  <c r="I275" i="22"/>
  <c r="H275" i="23" s="1"/>
  <c r="I86" i="22"/>
  <c r="H86" i="23" s="1"/>
  <c r="I74" i="22"/>
  <c r="H74" i="23" s="1"/>
  <c r="I173" i="22"/>
  <c r="H173" i="23" s="1"/>
  <c r="I253" i="22"/>
  <c r="H253" i="23" s="1"/>
  <c r="I90" i="22"/>
  <c r="H90" i="23" s="1"/>
  <c r="I263" i="22"/>
  <c r="H263" i="23" s="1"/>
  <c r="I21" i="22"/>
  <c r="H21" i="23" s="1"/>
  <c r="I218" i="22"/>
  <c r="H218" i="23" s="1"/>
  <c r="I206" i="22"/>
  <c r="H206" i="23" s="1"/>
  <c r="I361" i="22"/>
  <c r="H361" i="23" s="1"/>
  <c r="I291" i="22"/>
  <c r="H291" i="23" s="1"/>
  <c r="D57" i="6"/>
  <c r="Q4" i="6"/>
  <c r="AA379" i="24"/>
  <c r="Z379" i="24" s="1"/>
  <c r="Y379" i="24" s="1"/>
  <c r="G379" i="24"/>
  <c r="CE379" i="6" s="1"/>
  <c r="W29" i="24"/>
  <c r="B29" i="25"/>
  <c r="D29" i="24"/>
  <c r="E29" i="24" s="1"/>
  <c r="F29" i="24" s="1"/>
  <c r="B352" i="25"/>
  <c r="W352" i="24"/>
  <c r="D352" i="24"/>
  <c r="E352" i="24" s="1"/>
  <c r="F352" i="24" s="1"/>
  <c r="D333" i="24"/>
  <c r="E333" i="24" s="1"/>
  <c r="F333" i="24" s="1"/>
  <c r="B333" i="25"/>
  <c r="W333" i="24"/>
  <c r="B376" i="25"/>
  <c r="W376" i="24"/>
  <c r="D376" i="24"/>
  <c r="E376" i="24" s="1"/>
  <c r="F376" i="24" s="1"/>
  <c r="D369" i="24"/>
  <c r="E369" i="24" s="1"/>
  <c r="F369" i="24" s="1"/>
  <c r="B369" i="25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B53" i="25"/>
  <c r="D53" i="24"/>
  <c r="E53" i="24" s="1"/>
  <c r="F53" i="24" s="1"/>
  <c r="W53" i="24"/>
  <c r="J139" i="20"/>
  <c r="Y4" i="6"/>
  <c r="J27" i="20"/>
  <c r="I27" i="20"/>
  <c r="H27" i="22" s="1"/>
  <c r="J364" i="20"/>
  <c r="I364" i="20"/>
  <c r="H364" i="22" s="1"/>
  <c r="W109" i="24"/>
  <c r="D109" i="24"/>
  <c r="E109" i="24" s="1"/>
  <c r="F109" i="24" s="1"/>
  <c r="B109" i="25"/>
  <c r="G58" i="23"/>
  <c r="CD58" i="6" s="1"/>
  <c r="AA58" i="23"/>
  <c r="Z58" i="23" s="1"/>
  <c r="Y58" i="23" s="1"/>
  <c r="J58" i="20"/>
  <c r="I58" i="20"/>
  <c r="H58" i="22" s="1"/>
  <c r="W286" i="25"/>
  <c r="D286" i="25"/>
  <c r="E286" i="25" s="1"/>
  <c r="F286" i="25" s="1"/>
  <c r="W90" i="24"/>
  <c r="B90" i="25"/>
  <c r="D90" i="24"/>
  <c r="E90" i="24" s="1"/>
  <c r="F90" i="24" s="1"/>
  <c r="G16" i="24"/>
  <c r="CE16" i="6" s="1"/>
  <c r="AA16" i="24"/>
  <c r="Z16" i="24" s="1"/>
  <c r="Y16" i="24" s="1"/>
  <c r="J346" i="20"/>
  <c r="I346" i="20"/>
  <c r="H346" i="22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B110" i="25"/>
  <c r="D110" i="24"/>
  <c r="E110" i="24" s="1"/>
  <c r="F110" i="24" s="1"/>
  <c r="AA110" i="23"/>
  <c r="Z110" i="23" s="1"/>
  <c r="Y110" i="23" s="1"/>
  <c r="G110" i="23"/>
  <c r="CD110" i="6" s="1"/>
  <c r="W201" i="24"/>
  <c r="B201" i="25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B148" i="25"/>
  <c r="W148" i="24"/>
  <c r="G372" i="23"/>
  <c r="CD372" i="6" s="1"/>
  <c r="AA372" i="23"/>
  <c r="Z372" i="23" s="1"/>
  <c r="Y372" i="23" s="1"/>
  <c r="B65" i="25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I322" i="22"/>
  <c r="H322" i="23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B289" i="25"/>
  <c r="W289" i="24"/>
  <c r="J81" i="20"/>
  <c r="I81" i="20"/>
  <c r="H81" i="22" s="1"/>
  <c r="I149" i="20"/>
  <c r="H149" i="22" s="1"/>
  <c r="J149" i="20"/>
  <c r="I230" i="20"/>
  <c r="H230" i="22" s="1"/>
  <c r="J230" i="20"/>
  <c r="I276" i="20"/>
  <c r="H276" i="22" s="1"/>
  <c r="J276" i="20"/>
  <c r="I320" i="20"/>
  <c r="H320" i="22" s="1"/>
  <c r="J320" i="20"/>
  <c r="J195" i="20"/>
  <c r="I195" i="20"/>
  <c r="H195" i="22" s="1"/>
  <c r="I146" i="20"/>
  <c r="H146" i="22" s="1"/>
  <c r="J146" i="20"/>
  <c r="J122" i="20"/>
  <c r="I122" i="20"/>
  <c r="H122" i="22" s="1"/>
  <c r="J172" i="20"/>
  <c r="I172" i="20"/>
  <c r="H172" i="22" s="1"/>
  <c r="I91" i="20"/>
  <c r="H91" i="22" s="1"/>
  <c r="J91" i="20"/>
  <c r="J200" i="20"/>
  <c r="I200" i="20"/>
  <c r="H200" i="22" s="1"/>
  <c r="I242" i="20"/>
  <c r="H242" i="22" s="1"/>
  <c r="J242" i="20"/>
  <c r="J286" i="20"/>
  <c r="I286" i="20"/>
  <c r="H286" i="22" s="1"/>
  <c r="I94" i="20"/>
  <c r="H94" i="22" s="1"/>
  <c r="J94" i="20"/>
  <c r="I353" i="20"/>
  <c r="H353" i="22" s="1"/>
  <c r="J353" i="20"/>
  <c r="J224" i="20"/>
  <c r="I224" i="20"/>
  <c r="H224" i="22" s="1"/>
  <c r="J227" i="20"/>
  <c r="I227" i="20"/>
  <c r="H227" i="22" s="1"/>
  <c r="D150" i="24"/>
  <c r="E150" i="24" s="1"/>
  <c r="F150" i="24" s="1"/>
  <c r="B150" i="25"/>
  <c r="W150" i="24"/>
  <c r="AA177" i="24"/>
  <c r="Z177" i="24" s="1"/>
  <c r="Y177" i="24" s="1"/>
  <c r="G177" i="24"/>
  <c r="CE177" i="6" s="1"/>
  <c r="I77" i="22"/>
  <c r="H77" i="23" s="1"/>
  <c r="AA263" i="23"/>
  <c r="Z263" i="23" s="1"/>
  <c r="Y263" i="23" s="1"/>
  <c r="G263" i="23"/>
  <c r="CD263" i="6" s="1"/>
  <c r="W365" i="24"/>
  <c r="D365" i="24"/>
  <c r="E365" i="24" s="1"/>
  <c r="F365" i="24" s="1"/>
  <c r="B365" i="25"/>
  <c r="I46" i="22"/>
  <c r="H46" i="23" s="1"/>
  <c r="I261" i="22"/>
  <c r="H261" i="23" s="1"/>
  <c r="G171" i="23"/>
  <c r="CD171" i="6" s="1"/>
  <c r="AA171" i="23"/>
  <c r="Z171" i="23" s="1"/>
  <c r="Y171" i="23" s="1"/>
  <c r="AE4" i="6"/>
  <c r="AA21" i="23"/>
  <c r="Z21" i="23" s="1"/>
  <c r="Y21" i="23" s="1"/>
  <c r="G21" i="23"/>
  <c r="CD21" i="6" s="1"/>
  <c r="I45" i="20"/>
  <c r="H45" i="22" s="1"/>
  <c r="J45" i="20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B303" i="25"/>
  <c r="W86" i="24"/>
  <c r="B86" i="25"/>
  <c r="D86" i="24"/>
  <c r="E86" i="24" s="1"/>
  <c r="F86" i="24" s="1"/>
  <c r="G188" i="23"/>
  <c r="CD188" i="6" s="1"/>
  <c r="AA188" i="23"/>
  <c r="Z188" i="23" s="1"/>
  <c r="Y188" i="23" s="1"/>
  <c r="W218" i="24"/>
  <c r="B218" i="25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B288" i="25"/>
  <c r="W202" i="25"/>
  <c r="D202" i="25"/>
  <c r="E202" i="25" s="1"/>
  <c r="F202" i="25" s="1"/>
  <c r="W370" i="25"/>
  <c r="D370" i="25"/>
  <c r="E370" i="25" s="1"/>
  <c r="F370" i="25" s="1"/>
  <c r="W25" i="24"/>
  <c r="B25" i="25"/>
  <c r="D25" i="24"/>
  <c r="E25" i="24" s="1"/>
  <c r="F25" i="24" s="1"/>
  <c r="G199" i="24"/>
  <c r="CE199" i="6" s="1"/>
  <c r="AA199" i="24"/>
  <c r="Z199" i="24" s="1"/>
  <c r="Y199" i="24" s="1"/>
  <c r="I225" i="20"/>
  <c r="H225" i="22" s="1"/>
  <c r="J225" i="20"/>
  <c r="G355" i="23"/>
  <c r="CD355" i="6" s="1"/>
  <c r="AA355" i="23"/>
  <c r="Z355" i="23" s="1"/>
  <c r="Y355" i="23" s="1"/>
  <c r="W102" i="24"/>
  <c r="D102" i="24"/>
  <c r="E102" i="24" s="1"/>
  <c r="F102" i="24" s="1"/>
  <c r="B102" i="25"/>
  <c r="W137" i="24"/>
  <c r="B137" i="25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B22" i="25"/>
  <c r="D22" i="24"/>
  <c r="E22" i="24" s="1"/>
  <c r="F22" i="24" s="1"/>
  <c r="B272" i="25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I317" i="22"/>
  <c r="H317" i="23" s="1"/>
  <c r="D260" i="25"/>
  <c r="E260" i="25" s="1"/>
  <c r="F260" i="25" s="1"/>
  <c r="W260" i="25"/>
  <c r="AA320" i="24"/>
  <c r="Z320" i="24" s="1"/>
  <c r="Y320" i="24" s="1"/>
  <c r="G320" i="24"/>
  <c r="CE320" i="6" s="1"/>
  <c r="J49" i="20"/>
  <c r="I49" i="20"/>
  <c r="H49" i="22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I115" i="22"/>
  <c r="H115" i="23" s="1"/>
  <c r="G133" i="23"/>
  <c r="CD133" i="6" s="1"/>
  <c r="AA133" i="23"/>
  <c r="Z133" i="23" s="1"/>
  <c r="Y133" i="23" s="1"/>
  <c r="I213" i="20"/>
  <c r="H213" i="22" s="1"/>
  <c r="J213" i="20"/>
  <c r="W24" i="24"/>
  <c r="D24" i="24"/>
  <c r="E24" i="24" s="1"/>
  <c r="F24" i="24" s="1"/>
  <c r="B24" i="25"/>
  <c r="W206" i="24"/>
  <c r="B206" i="25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B236" i="25"/>
  <c r="W236" i="24"/>
  <c r="D236" i="24"/>
  <c r="E236" i="24" s="1"/>
  <c r="F236" i="24" s="1"/>
  <c r="AK4" i="6"/>
  <c r="D337" i="6"/>
  <c r="D43" i="6"/>
  <c r="P4" i="6"/>
  <c r="X4" i="6"/>
  <c r="D155" i="6"/>
  <c r="I29" i="20"/>
  <c r="H29" i="22" s="1"/>
  <c r="J29" i="20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B268" i="25"/>
  <c r="D258" i="25"/>
  <c r="E258" i="25" s="1"/>
  <c r="F258" i="25" s="1"/>
  <c r="W258" i="25"/>
  <c r="AA258" i="24"/>
  <c r="Z258" i="24" s="1"/>
  <c r="Y258" i="24" s="1"/>
  <c r="G258" i="24"/>
  <c r="CE258" i="6" s="1"/>
  <c r="W181" i="24"/>
  <c r="B181" i="25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B124" i="25"/>
  <c r="W124" i="24"/>
  <c r="J51" i="20"/>
  <c r="I51" i="20"/>
  <c r="H51" i="22" s="1"/>
  <c r="W279" i="24"/>
  <c r="D279" i="24"/>
  <c r="E279" i="24" s="1"/>
  <c r="F279" i="24" s="1"/>
  <c r="B279" i="25"/>
  <c r="AA351" i="24"/>
  <c r="Z351" i="24" s="1"/>
  <c r="Y351" i="24" s="1"/>
  <c r="G351" i="24"/>
  <c r="CE351" i="6" s="1"/>
  <c r="I36" i="20"/>
  <c r="H36" i="22" s="1"/>
  <c r="J36" i="20"/>
  <c r="G82" i="24"/>
  <c r="CE82" i="6" s="1"/>
  <c r="AA82" i="24"/>
  <c r="Z82" i="24" s="1"/>
  <c r="Y82" i="24" s="1"/>
  <c r="B198" i="25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I248" i="20"/>
  <c r="H248" i="22" s="1"/>
  <c r="J248" i="20"/>
  <c r="G346" i="23"/>
  <c r="CD346" i="6" s="1"/>
  <c r="AA346" i="23"/>
  <c r="Z346" i="23" s="1"/>
  <c r="Y346" i="23" s="1"/>
  <c r="D37" i="24"/>
  <c r="E37" i="24" s="1"/>
  <c r="F37" i="24" s="1"/>
  <c r="B37" i="25"/>
  <c r="W37" i="24"/>
  <c r="G97" i="24"/>
  <c r="CE97" i="6" s="1"/>
  <c r="AA97" i="24"/>
  <c r="Z97" i="24" s="1"/>
  <c r="Y97" i="24" s="1"/>
  <c r="W31" i="24"/>
  <c r="B31" i="25"/>
  <c r="D31" i="24"/>
  <c r="E31" i="24" s="1"/>
  <c r="F31" i="24" s="1"/>
  <c r="B96" i="25"/>
  <c r="W96" i="24"/>
  <c r="D96" i="24"/>
  <c r="E96" i="24" s="1"/>
  <c r="F96" i="24" s="1"/>
  <c r="W307" i="24"/>
  <c r="D307" i="24"/>
  <c r="E307" i="24" s="1"/>
  <c r="F307" i="24" s="1"/>
  <c r="B307" i="25"/>
  <c r="W160" i="24"/>
  <c r="B160" i="25"/>
  <c r="D160" i="24"/>
  <c r="E160" i="24" s="1"/>
  <c r="F160" i="24" s="1"/>
  <c r="D350" i="24"/>
  <c r="E350" i="24" s="1"/>
  <c r="F350" i="24" s="1"/>
  <c r="B350" i="25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B321" i="25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B81" i="25"/>
  <c r="W81" i="24"/>
  <c r="D81" i="24"/>
  <c r="E81" i="24" s="1"/>
  <c r="F81" i="24" s="1"/>
  <c r="D197" i="6"/>
  <c r="AA4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AA23" i="24"/>
  <c r="Z23" i="24" s="1"/>
  <c r="Y23" i="24" s="1"/>
  <c r="G23" i="24"/>
  <c r="CE23" i="6" s="1"/>
  <c r="W349" i="24"/>
  <c r="D349" i="24"/>
  <c r="E349" i="24" s="1"/>
  <c r="F349" i="24" s="1"/>
  <c r="B349" i="25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I61" i="22"/>
  <c r="H61" i="23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B219" i="25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B282" i="25"/>
  <c r="G120" i="24"/>
  <c r="CE120" i="6" s="1"/>
  <c r="AA120" i="24"/>
  <c r="Z120" i="24" s="1"/>
  <c r="Y120" i="24" s="1"/>
  <c r="D296" i="24"/>
  <c r="E296" i="24" s="1"/>
  <c r="F296" i="24" s="1"/>
  <c r="B296" i="25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B374" i="25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B249" i="25"/>
  <c r="W249" i="24"/>
  <c r="G249" i="23"/>
  <c r="CD249" i="6" s="1"/>
  <c r="AA249" i="23"/>
  <c r="Z249" i="23" s="1"/>
  <c r="Y249" i="23" s="1"/>
  <c r="W254" i="24"/>
  <c r="B254" i="25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W59" i="25"/>
  <c r="D59" i="25"/>
  <c r="E59" i="25" s="1"/>
  <c r="F59" i="25" s="1"/>
  <c r="D267" i="24"/>
  <c r="E267" i="24" s="1"/>
  <c r="F267" i="24" s="1"/>
  <c r="B267" i="25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75" i="20"/>
  <c r="I175" i="20"/>
  <c r="H175" i="22" s="1"/>
  <c r="J116" i="20"/>
  <c r="I116" i="20"/>
  <c r="H116" i="22" s="1"/>
  <c r="J134" i="20"/>
  <c r="I134" i="20"/>
  <c r="H134" i="22" s="1"/>
  <c r="I208" i="20"/>
  <c r="H208" i="22" s="1"/>
  <c r="J208" i="20"/>
  <c r="I183" i="20"/>
  <c r="H183" i="22" s="1"/>
  <c r="J183" i="20"/>
  <c r="J335" i="20"/>
  <c r="I335" i="20"/>
  <c r="H335" i="22" s="1"/>
  <c r="R4" i="6"/>
  <c r="J326" i="20"/>
  <c r="I326" i="20"/>
  <c r="H326" i="22" s="1"/>
  <c r="J131" i="20"/>
  <c r="I131" i="20"/>
  <c r="H131" i="22" s="1"/>
  <c r="J351" i="20"/>
  <c r="I351" i="20"/>
  <c r="H351" i="22" s="1"/>
  <c r="I129" i="20"/>
  <c r="H129" i="22" s="1"/>
  <c r="J129" i="20"/>
  <c r="J38" i="20"/>
  <c r="I38" i="20"/>
  <c r="H38" i="22" s="1"/>
  <c r="J70" i="20"/>
  <c r="I70" i="20"/>
  <c r="H70" i="22" s="1"/>
  <c r="J294" i="20"/>
  <c r="I294" i="20"/>
  <c r="H294" i="22" s="1"/>
  <c r="I247" i="20"/>
  <c r="H247" i="22" s="1"/>
  <c r="J247" i="20"/>
  <c r="I281" i="20"/>
  <c r="H281" i="22" s="1"/>
  <c r="J281" i="20"/>
  <c r="J35" i="20"/>
  <c r="I35" i="20"/>
  <c r="H35" i="22" s="1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I329" i="20"/>
  <c r="H329" i="22" s="1"/>
  <c r="J329" i="20"/>
  <c r="J226" i="20"/>
  <c r="I226" i="20"/>
  <c r="H226" i="22" s="1"/>
  <c r="D354" i="25"/>
  <c r="E354" i="25" s="1"/>
  <c r="F354" i="25" s="1"/>
  <c r="W354" i="25"/>
  <c r="W114" i="24"/>
  <c r="B114" i="25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B274" i="25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J333" i="22"/>
  <c r="I333" i="22"/>
  <c r="H333" i="23" s="1"/>
  <c r="W187" i="24"/>
  <c r="D187" i="24"/>
  <c r="E187" i="24" s="1"/>
  <c r="F187" i="24" s="1"/>
  <c r="B187" i="25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B347" i="25"/>
  <c r="W347" i="24"/>
  <c r="G347" i="23"/>
  <c r="CD347" i="6" s="1"/>
  <c r="AA347" i="23"/>
  <c r="Z347" i="23" s="1"/>
  <c r="Y347" i="23" s="1"/>
  <c r="I369" i="22"/>
  <c r="H369" i="23" s="1"/>
  <c r="J287" i="20"/>
  <c r="I287" i="20"/>
  <c r="H287" i="22" s="1"/>
  <c r="W104" i="24"/>
  <c r="D104" i="24"/>
  <c r="E104" i="24" s="1"/>
  <c r="F104" i="24" s="1"/>
  <c r="B104" i="25"/>
  <c r="AA246" i="23"/>
  <c r="Z246" i="23" s="1"/>
  <c r="Y246" i="23" s="1"/>
  <c r="G246" i="23"/>
  <c r="CD246" i="6" s="1"/>
  <c r="J215" i="20"/>
  <c r="I215" i="20"/>
  <c r="H215" i="22" s="1"/>
  <c r="W334" i="24"/>
  <c r="B334" i="25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B139" i="25"/>
  <c r="W139" i="24"/>
  <c r="AA139" i="23"/>
  <c r="Z139" i="23" s="1"/>
  <c r="Y139" i="23" s="1"/>
  <c r="G139" i="23"/>
  <c r="CD139" i="6" s="1"/>
  <c r="I256" i="20"/>
  <c r="H256" i="22" s="1"/>
  <c r="J256" i="20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B36" i="25"/>
  <c r="D36" i="24"/>
  <c r="E36" i="24" s="1"/>
  <c r="F36" i="24" s="1"/>
  <c r="W162" i="24"/>
  <c r="D162" i="24"/>
  <c r="E162" i="24" s="1"/>
  <c r="F162" i="24" s="1"/>
  <c r="B162" i="25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J244" i="20"/>
  <c r="I244" i="20"/>
  <c r="H244" i="22" s="1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B223" i="25"/>
  <c r="G223" i="23"/>
  <c r="CD223" i="6" s="1"/>
  <c r="AA223" i="23"/>
  <c r="Z223" i="23" s="1"/>
  <c r="Y223" i="23" s="1"/>
  <c r="I357" i="20"/>
  <c r="H357" i="22" s="1"/>
  <c r="J357" i="20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B314" i="25"/>
  <c r="W314" i="24"/>
  <c r="D314" i="24"/>
  <c r="E314" i="24" s="1"/>
  <c r="F314" i="24" s="1"/>
  <c r="AA78" i="23"/>
  <c r="Z78" i="23" s="1"/>
  <c r="Y78" i="23" s="1"/>
  <c r="G78" i="23"/>
  <c r="CD78" i="6" s="1"/>
  <c r="I78" i="20"/>
  <c r="H78" i="22" s="1"/>
  <c r="J78" i="20"/>
  <c r="W182" i="24"/>
  <c r="B182" i="25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W4" i="6"/>
  <c r="D141" i="6"/>
  <c r="I161" i="20"/>
  <c r="H161" i="22" s="1"/>
  <c r="J161" i="20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B46" i="25"/>
  <c r="AA319" i="24"/>
  <c r="Z319" i="24" s="1"/>
  <c r="Y319" i="24" s="1"/>
  <c r="G319" i="24"/>
  <c r="CE319" i="6" s="1"/>
  <c r="W261" i="24"/>
  <c r="D261" i="24"/>
  <c r="E261" i="24" s="1"/>
  <c r="F261" i="24" s="1"/>
  <c r="B261" i="25"/>
  <c r="G261" i="23"/>
  <c r="CD261" i="6" s="1"/>
  <c r="AA261" i="23"/>
  <c r="Z261" i="23" s="1"/>
  <c r="Y261" i="23" s="1"/>
  <c r="D101" i="25"/>
  <c r="E101" i="25" s="1"/>
  <c r="F101" i="25" s="1"/>
  <c r="W101" i="25"/>
  <c r="J219" i="20"/>
  <c r="I219" i="20"/>
  <c r="H219" i="22" s="1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B176" i="25"/>
  <c r="W176" i="24"/>
  <c r="W308" i="25"/>
  <c r="D308" i="25"/>
  <c r="E308" i="25" s="1"/>
  <c r="F308" i="25" s="1"/>
  <c r="D47" i="25"/>
  <c r="E47" i="25" s="1"/>
  <c r="F47" i="25" s="1"/>
  <c r="W47" i="25"/>
  <c r="I123" i="20"/>
  <c r="H123" i="22" s="1"/>
  <c r="J123" i="20"/>
  <c r="D195" i="25"/>
  <c r="E195" i="25" s="1"/>
  <c r="F195" i="25" s="1"/>
  <c r="W195" i="25"/>
  <c r="G221" i="24"/>
  <c r="CE221" i="6" s="1"/>
  <c r="AA221" i="24"/>
  <c r="Z221" i="24" s="1"/>
  <c r="Y221" i="24" s="1"/>
  <c r="W112" i="24"/>
  <c r="B112" i="25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B121" i="25"/>
  <c r="W121" i="24"/>
  <c r="W242" i="25"/>
  <c r="D242" i="25"/>
  <c r="E242" i="25" s="1"/>
  <c r="F242" i="25" s="1"/>
  <c r="W310" i="24"/>
  <c r="B310" i="25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B119" i="25"/>
  <c r="D119" i="24"/>
  <c r="E119" i="24" s="1"/>
  <c r="F119" i="24" s="1"/>
  <c r="W119" i="24"/>
  <c r="G196" i="23"/>
  <c r="CD196" i="6" s="1"/>
  <c r="AA196" i="23"/>
  <c r="Z196" i="23" s="1"/>
  <c r="Y196" i="23" s="1"/>
  <c r="W67" i="24"/>
  <c r="B67" i="25"/>
  <c r="D67" i="24"/>
  <c r="E67" i="24" s="1"/>
  <c r="F67" i="24" s="1"/>
  <c r="D317" i="24"/>
  <c r="E317" i="24" s="1"/>
  <c r="F317" i="24" s="1"/>
  <c r="B317" i="25"/>
  <c r="W317" i="24"/>
  <c r="W220" i="24"/>
  <c r="D220" i="24"/>
  <c r="E220" i="24" s="1"/>
  <c r="F220" i="24" s="1"/>
  <c r="B220" i="25"/>
  <c r="D87" i="24"/>
  <c r="E87" i="24" s="1"/>
  <c r="F87" i="24" s="1"/>
  <c r="B87" i="25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B44" i="25"/>
  <c r="W156" i="24"/>
  <c r="B156" i="25"/>
  <c r="D156" i="24"/>
  <c r="E156" i="24" s="1"/>
  <c r="F156" i="24" s="1"/>
  <c r="W76" i="24"/>
  <c r="D76" i="24"/>
  <c r="E76" i="24" s="1"/>
  <c r="F76" i="24" s="1"/>
  <c r="B76" i="25"/>
  <c r="D283" i="24"/>
  <c r="E283" i="24" s="1"/>
  <c r="F283" i="24" s="1"/>
  <c r="B283" i="25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B318" i="25"/>
  <c r="W318" i="24"/>
  <c r="D35" i="25"/>
  <c r="E35" i="25" s="1"/>
  <c r="F35" i="25" s="1"/>
  <c r="W35" i="25"/>
  <c r="W74" i="24"/>
  <c r="B74" i="25"/>
  <c r="D74" i="24"/>
  <c r="E74" i="24" s="1"/>
  <c r="F74" i="24" s="1"/>
  <c r="I376" i="20"/>
  <c r="H376" i="22" s="1"/>
  <c r="J376" i="20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B273" i="25"/>
  <c r="W56" i="24"/>
  <c r="B56" i="25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B256" i="25"/>
  <c r="G330" i="23"/>
  <c r="CD330" i="6" s="1"/>
  <c r="AA330" i="23"/>
  <c r="Z330" i="23" s="1"/>
  <c r="Y330" i="23" s="1"/>
  <c r="B364" i="25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B165" i="25"/>
  <c r="W165" i="24"/>
  <c r="AC4" i="6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W157" i="24"/>
  <c r="D157" i="24"/>
  <c r="E157" i="24" s="1"/>
  <c r="F157" i="24" s="1"/>
  <c r="B157" i="25"/>
  <c r="B295" i="25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B244" i="25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B34" i="25"/>
  <c r="D34" i="24"/>
  <c r="E34" i="24" s="1"/>
  <c r="F34" i="24" s="1"/>
  <c r="W34" i="24"/>
  <c r="B126" i="25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B239" i="25"/>
  <c r="D239" i="24"/>
  <c r="E239" i="24" s="1"/>
  <c r="F239" i="24" s="1"/>
  <c r="B315" i="25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B98" i="25"/>
  <c r="D98" i="24"/>
  <c r="E98" i="24" s="1"/>
  <c r="F98" i="24" s="1"/>
  <c r="G163" i="23"/>
  <c r="CD163" i="6" s="1"/>
  <c r="AA163" i="23"/>
  <c r="Z163" i="23" s="1"/>
  <c r="Y163" i="23" s="1"/>
  <c r="D113" i="6"/>
  <c r="U4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B89" i="25"/>
  <c r="W89" i="24"/>
  <c r="G230" i="24"/>
  <c r="CE230" i="6" s="1"/>
  <c r="AA230" i="24"/>
  <c r="Z230" i="24" s="1"/>
  <c r="Y230" i="24" s="1"/>
  <c r="W123" i="24"/>
  <c r="B123" i="25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B325" i="25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B62" i="25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B49" i="25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I192" i="20"/>
  <c r="H192" i="22" s="1"/>
  <c r="J174" i="20"/>
  <c r="I174" i="20"/>
  <c r="H174" i="22" s="1"/>
  <c r="J358" i="20"/>
  <c r="I358" i="20"/>
  <c r="H358" i="22" s="1"/>
  <c r="J359" i="20"/>
  <c r="I359" i="20"/>
  <c r="H359" i="22" s="1"/>
  <c r="J212" i="20"/>
  <c r="I212" i="20"/>
  <c r="H212" i="22" s="1"/>
  <c r="I92" i="20"/>
  <c r="H92" i="22" s="1"/>
  <c r="J92" i="20"/>
  <c r="J207" i="20"/>
  <c r="I207" i="20"/>
  <c r="H207" i="22" s="1"/>
  <c r="J33" i="20"/>
  <c r="I33" i="20"/>
  <c r="H33" i="22" s="1"/>
  <c r="J258" i="20"/>
  <c r="I258" i="20"/>
  <c r="H258" i="22" s="1"/>
  <c r="J83" i="20"/>
  <c r="I83" i="20"/>
  <c r="H83" i="22" s="1"/>
  <c r="J231" i="20"/>
  <c r="I231" i="20"/>
  <c r="H231" i="22" s="1"/>
  <c r="J69" i="20"/>
  <c r="I69" i="20"/>
  <c r="H69" i="22" s="1"/>
  <c r="I189" i="20"/>
  <c r="H189" i="22" s="1"/>
  <c r="J189" i="20"/>
  <c r="J80" i="20"/>
  <c r="I80" i="20"/>
  <c r="H80" i="22" s="1"/>
  <c r="I262" i="20"/>
  <c r="H262" i="22" s="1"/>
  <c r="J262" i="20"/>
  <c r="J222" i="20"/>
  <c r="I222" i="20"/>
  <c r="H222" i="22" s="1"/>
  <c r="I298" i="20"/>
  <c r="H298" i="22" s="1"/>
  <c r="J298" i="20"/>
  <c r="J216" i="20"/>
  <c r="I216" i="20"/>
  <c r="H216" i="22" s="1"/>
  <c r="I166" i="20"/>
  <c r="H166" i="22" s="1"/>
  <c r="J166" i="20"/>
  <c r="J57" i="20"/>
  <c r="I57" i="20"/>
  <c r="H57" i="22" s="1"/>
  <c r="J377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J318" i="20"/>
  <c r="I318" i="20"/>
  <c r="H318" i="22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B253" i="25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G167" i="24"/>
  <c r="CE167" i="6" s="1"/>
  <c r="AA167" i="24"/>
  <c r="Z167" i="24" s="1"/>
  <c r="Y167" i="24" s="1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I330" i="20"/>
  <c r="H330" i="22" s="1"/>
  <c r="J330" i="20"/>
  <c r="G109" i="23"/>
  <c r="CD109" i="6" s="1"/>
  <c r="AA109" i="23"/>
  <c r="Z109" i="23" s="1"/>
  <c r="Y109" i="23" s="1"/>
  <c r="I165" i="20"/>
  <c r="H165" i="22" s="1"/>
  <c r="J165" i="20"/>
  <c r="W58" i="24"/>
  <c r="B58" i="25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B185" i="25"/>
  <c r="I145" i="22"/>
  <c r="H145" i="23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B372" i="25"/>
  <c r="W372" i="24"/>
  <c r="W143" i="24"/>
  <c r="B143" i="25"/>
  <c r="D143" i="24"/>
  <c r="E143" i="24" s="1"/>
  <c r="F143" i="24" s="1"/>
  <c r="J48" i="20"/>
  <c r="I48" i="20"/>
  <c r="H48" i="22" s="1"/>
  <c r="AA122" i="24"/>
  <c r="Z122" i="24" s="1"/>
  <c r="Y122" i="24" s="1"/>
  <c r="G122" i="24"/>
  <c r="CE122" i="6" s="1"/>
  <c r="D322" i="24"/>
  <c r="E322" i="24" s="1"/>
  <c r="F322" i="24" s="1"/>
  <c r="B322" i="25"/>
  <c r="W322" i="24"/>
  <c r="W85" i="24"/>
  <c r="D85" i="24"/>
  <c r="E85" i="24" s="1"/>
  <c r="F85" i="24" s="1"/>
  <c r="B85" i="25"/>
  <c r="G85" i="23"/>
  <c r="CD85" i="6" s="1"/>
  <c r="AA85" i="23"/>
  <c r="Z85" i="23" s="1"/>
  <c r="Y85" i="23" s="1"/>
  <c r="B240" i="25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I135" i="20"/>
  <c r="H135" i="22" s="1"/>
  <c r="W263" i="24"/>
  <c r="B263" i="25"/>
  <c r="D263" i="24"/>
  <c r="E263" i="24" s="1"/>
  <c r="F263" i="24" s="1"/>
  <c r="I60" i="22"/>
  <c r="H60" i="23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B171" i="25"/>
  <c r="D21" i="24"/>
  <c r="E21" i="24" s="1"/>
  <c r="F21" i="24" s="1"/>
  <c r="B21" i="25"/>
  <c r="W21" i="24"/>
  <c r="G79" i="24"/>
  <c r="CE79" i="6" s="1"/>
  <c r="AA79" i="24"/>
  <c r="Z79" i="24" s="1"/>
  <c r="Y79" i="24" s="1"/>
  <c r="D131" i="25"/>
  <c r="E131" i="25" s="1"/>
  <c r="F131" i="25" s="1"/>
  <c r="W131" i="25"/>
  <c r="B275" i="25"/>
  <c r="D275" i="24"/>
  <c r="E275" i="24" s="1"/>
  <c r="F275" i="24" s="1"/>
  <c r="W275" i="24"/>
  <c r="G303" i="23"/>
  <c r="CD303" i="6" s="1"/>
  <c r="AA303" i="23"/>
  <c r="Z303" i="23" s="1"/>
  <c r="Y303" i="23" s="1"/>
  <c r="J303" i="20"/>
  <c r="I303" i="20"/>
  <c r="H303" i="22" s="1"/>
  <c r="G86" i="23"/>
  <c r="CD86" i="6" s="1"/>
  <c r="AA86" i="23"/>
  <c r="Z86" i="23" s="1"/>
  <c r="Y86" i="23" s="1"/>
  <c r="I112" i="22"/>
  <c r="H112" i="23" s="1"/>
  <c r="W188" i="24"/>
  <c r="B188" i="25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B169" i="25"/>
  <c r="W245" i="24"/>
  <c r="B245" i="25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I288" i="20"/>
  <c r="H288" i="22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B355" i="25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B378" i="25"/>
  <c r="D378" i="24"/>
  <c r="E378" i="24" s="1"/>
  <c r="F378" i="24" s="1"/>
  <c r="I196" i="22"/>
  <c r="H196" i="23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B88" i="25"/>
  <c r="I220" i="22"/>
  <c r="H220" i="23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B234" i="25"/>
  <c r="W133" i="24"/>
  <c r="D133" i="24"/>
  <c r="E133" i="24" s="1"/>
  <c r="F133" i="24" s="1"/>
  <c r="B133" i="25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B356" i="25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06" i="20"/>
  <c r="H306" i="22" s="1"/>
  <c r="J306" i="20"/>
  <c r="I348" i="20"/>
  <c r="H348" i="22" s="1"/>
  <c r="J348" i="20"/>
  <c r="I136" i="20"/>
  <c r="H136" i="22" s="1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J297" i="20"/>
  <c r="I64" i="20"/>
  <c r="H64" i="22" s="1"/>
  <c r="J64" i="20"/>
  <c r="O4" i="6"/>
  <c r="D226" i="24"/>
  <c r="E226" i="24" s="1"/>
  <c r="F226" i="24" s="1"/>
  <c r="B226" i="25"/>
  <c r="W226" i="24"/>
  <c r="G227" i="24"/>
  <c r="CE227" i="6" s="1"/>
  <c r="AA227" i="24"/>
  <c r="Z227" i="24" s="1"/>
  <c r="Y227" i="24" s="1"/>
  <c r="AA95" i="24"/>
  <c r="Z95" i="24" s="1"/>
  <c r="Y95" i="24" s="1"/>
  <c r="G95" i="24"/>
  <c r="CE95" i="6" s="1"/>
  <c r="B99" i="25"/>
  <c r="D99" i="24"/>
  <c r="E99" i="24" s="1"/>
  <c r="F99" i="24" s="1"/>
  <c r="W99" i="24"/>
  <c r="W361" i="24"/>
  <c r="D361" i="24"/>
  <c r="E361" i="24" s="1"/>
  <c r="F361" i="24" s="1"/>
  <c r="B361" i="25"/>
  <c r="I104" i="20"/>
  <c r="H104" i="22" s="1"/>
  <c r="J104" i="20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B71" i="25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B215" i="25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B214" i="25"/>
  <c r="W214" i="24"/>
  <c r="J214" i="20"/>
  <c r="I214" i="20"/>
  <c r="H214" i="22" s="1"/>
  <c r="J340" i="20"/>
  <c r="I340" i="20"/>
  <c r="H340" i="22" s="1"/>
  <c r="G305" i="24"/>
  <c r="CE305" i="6" s="1"/>
  <c r="AA305" i="24"/>
  <c r="Z305" i="24" s="1"/>
  <c r="Y305" i="24" s="1"/>
  <c r="B125" i="25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B346" i="25"/>
  <c r="D346" i="24"/>
  <c r="E346" i="24" s="1"/>
  <c r="F346" i="24" s="1"/>
  <c r="G37" i="23"/>
  <c r="CD37" i="6" s="1"/>
  <c r="AA37" i="23"/>
  <c r="Z37" i="23" s="1"/>
  <c r="Y37" i="23" s="1"/>
  <c r="J140" i="20"/>
  <c r="I140" i="20"/>
  <c r="H140" i="22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B48" i="25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B332" i="25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I167" i="20"/>
  <c r="H167" i="22" s="1"/>
  <c r="J379" i="20"/>
  <c r="I379" i="20"/>
  <c r="H379" i="22" s="1"/>
  <c r="J105" i="20"/>
  <c r="I105" i="20"/>
  <c r="H105" i="22" s="1"/>
  <c r="J319" i="20"/>
  <c r="I319" i="20"/>
  <c r="H319" i="22" s="1"/>
  <c r="J278" i="20"/>
  <c r="I278" i="20"/>
  <c r="H278" i="22" s="1"/>
  <c r="J241" i="20"/>
  <c r="I241" i="20"/>
  <c r="H241" i="22" s="1"/>
  <c r="I260" i="20"/>
  <c r="H260" i="22" s="1"/>
  <c r="J260" i="20"/>
  <c r="J142" i="20"/>
  <c r="I142" i="20"/>
  <c r="H142" i="22" s="1"/>
  <c r="I107" i="20"/>
  <c r="H107" i="22" s="1"/>
  <c r="J107" i="20"/>
  <c r="I151" i="20"/>
  <c r="H151" i="22" s="1"/>
  <c r="J151" i="20"/>
  <c r="J138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B135" i="25"/>
  <c r="D135" i="24"/>
  <c r="E135" i="24" s="1"/>
  <c r="F135" i="24" s="1"/>
  <c r="W161" i="24"/>
  <c r="D161" i="24"/>
  <c r="E161" i="24" s="1"/>
  <c r="F161" i="24" s="1"/>
  <c r="B161" i="25"/>
  <c r="W159" i="24"/>
  <c r="D159" i="24"/>
  <c r="E159" i="24" s="1"/>
  <c r="F159" i="24" s="1"/>
  <c r="B159" i="25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B127" i="25"/>
  <c r="W127" i="24"/>
  <c r="D127" i="24"/>
  <c r="E127" i="24" s="1"/>
  <c r="F127" i="24" s="1"/>
  <c r="D173" i="24"/>
  <c r="E173" i="24" s="1"/>
  <c r="F173" i="24" s="1"/>
  <c r="B173" i="25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I325" i="22"/>
  <c r="H325" i="23" s="1"/>
  <c r="W375" i="25"/>
  <c r="D375" i="25"/>
  <c r="E375" i="25" s="1"/>
  <c r="F375" i="25" s="1"/>
  <c r="W292" i="24"/>
  <c r="D292" i="24"/>
  <c r="E292" i="24" s="1"/>
  <c r="F292" i="24" s="1"/>
  <c r="B292" i="25"/>
  <c r="W225" i="24"/>
  <c r="B225" i="25"/>
  <c r="D225" i="24"/>
  <c r="E225" i="24" s="1"/>
  <c r="F225" i="24" s="1"/>
  <c r="B290" i="25"/>
  <c r="W290" i="24"/>
  <c r="D290" i="24"/>
  <c r="E290" i="24" s="1"/>
  <c r="F290" i="24" s="1"/>
  <c r="W362" i="24"/>
  <c r="B362" i="25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B42" i="25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I339" i="22"/>
  <c r="H339" i="23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B20" i="25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B213" i="25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AJ4" i="6"/>
  <c r="Z4" i="6"/>
  <c r="D183" i="6"/>
  <c r="D351" i="6"/>
  <c r="AL4" i="6"/>
  <c r="AG4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B84" i="25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B75" i="25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B246" i="25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B51" i="25"/>
  <c r="G36" i="23"/>
  <c r="CD36" i="6" s="1"/>
  <c r="AA36" i="23"/>
  <c r="Z36" i="23" s="1"/>
  <c r="Y36" i="23" s="1"/>
  <c r="G162" i="23"/>
  <c r="CD162" i="6" s="1"/>
  <c r="AA162" i="23"/>
  <c r="Z162" i="23" s="1"/>
  <c r="Y162" i="23" s="1"/>
  <c r="B340" i="25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I37" i="20"/>
  <c r="H37" i="22" s="1"/>
  <c r="J37" i="20"/>
  <c r="D145" i="24"/>
  <c r="E145" i="24" s="1"/>
  <c r="F145" i="24" s="1"/>
  <c r="B145" i="25"/>
  <c r="W145" i="24"/>
  <c r="I201" i="22"/>
  <c r="H201" i="23" s="1"/>
  <c r="D259" i="25"/>
  <c r="E259" i="25" s="1"/>
  <c r="F259" i="25" s="1"/>
  <c r="W259" i="25"/>
  <c r="J126" i="20"/>
  <c r="I126" i="20"/>
  <c r="H126" i="22" s="1"/>
  <c r="I307" i="20"/>
  <c r="H307" i="22" s="1"/>
  <c r="J307" i="20"/>
  <c r="B373" i="25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B266" i="25"/>
  <c r="D360" i="25"/>
  <c r="E360" i="25" s="1"/>
  <c r="F360" i="25" s="1"/>
  <c r="W360" i="25"/>
  <c r="W72" i="24"/>
  <c r="D72" i="24"/>
  <c r="E72" i="24" s="1"/>
  <c r="F72" i="24" s="1"/>
  <c r="B72" i="25"/>
  <c r="G314" i="23"/>
  <c r="CD314" i="6" s="1"/>
  <c r="AA314" i="23"/>
  <c r="Z314" i="23" s="1"/>
  <c r="Y314" i="23" s="1"/>
  <c r="W78" i="24"/>
  <c r="D78" i="24"/>
  <c r="E78" i="24" s="1"/>
  <c r="F78" i="24" s="1"/>
  <c r="B78" i="25"/>
  <c r="G182" i="23"/>
  <c r="CD182" i="6" s="1"/>
  <c r="AA182" i="23"/>
  <c r="Z182" i="23" s="1"/>
  <c r="Y182" i="23" s="1"/>
  <c r="J182" i="20"/>
  <c r="I182" i="20"/>
  <c r="H182" i="22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I301" i="20"/>
  <c r="H301" i="22" s="1"/>
  <c r="J301" i="20"/>
  <c r="J284" i="20"/>
  <c r="I284" i="20"/>
  <c r="H284" i="22" s="1"/>
  <c r="D77" i="24"/>
  <c r="E77" i="24" s="1"/>
  <c r="F77" i="24" s="1"/>
  <c r="B77" i="25"/>
  <c r="W77" i="24"/>
  <c r="G77" i="23"/>
  <c r="CD77" i="6" s="1"/>
  <c r="AA77" i="23"/>
  <c r="Z77" i="23" s="1"/>
  <c r="Y77" i="23" s="1"/>
  <c r="D60" i="24"/>
  <c r="E60" i="24" s="1"/>
  <c r="F60" i="24" s="1"/>
  <c r="B60" i="25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J127" i="20"/>
  <c r="I127" i="20"/>
  <c r="H127" i="22" s="1"/>
  <c r="D271" i="25"/>
  <c r="E271" i="25" s="1"/>
  <c r="F271" i="25" s="1"/>
  <c r="W271" i="25"/>
  <c r="G50" i="24"/>
  <c r="CE50" i="6" s="1"/>
  <c r="AA50" i="24"/>
  <c r="Z50" i="24" s="1"/>
  <c r="Y50" i="24" s="1"/>
  <c r="W128" i="24"/>
  <c r="B128" i="25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B144" i="25"/>
  <c r="D144" i="24"/>
  <c r="E144" i="24" s="1"/>
  <c r="F144" i="24" s="1"/>
  <c r="W144" i="24"/>
  <c r="B203" i="25"/>
  <c r="D203" i="24"/>
  <c r="E203" i="24" s="1"/>
  <c r="F203" i="24" s="1"/>
  <c r="W203" i="24"/>
  <c r="G203" i="23"/>
  <c r="CD203" i="6" s="1"/>
  <c r="AA203" i="23"/>
  <c r="Z203" i="23" s="1"/>
  <c r="Y203" i="23" s="1"/>
  <c r="J277" i="20"/>
  <c r="I277" i="20"/>
  <c r="H277" i="22" s="1"/>
  <c r="AA121" i="23"/>
  <c r="Z121" i="23" s="1"/>
  <c r="Y121" i="23" s="1"/>
  <c r="G121" i="23"/>
  <c r="CD121" i="6" s="1"/>
  <c r="W186" i="24"/>
  <c r="B186" i="25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J362" i="20"/>
  <c r="I362" i="20"/>
  <c r="H362" i="22" s="1"/>
  <c r="AA310" i="23"/>
  <c r="Z310" i="23" s="1"/>
  <c r="Y310" i="23" s="1"/>
  <c r="G310" i="23"/>
  <c r="CD310" i="6" s="1"/>
  <c r="B311" i="25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J232" i="20"/>
  <c r="I232" i="20"/>
  <c r="H232" i="22" s="1"/>
  <c r="G119" i="23"/>
  <c r="CD119" i="6" s="1"/>
  <c r="AA119" i="23"/>
  <c r="Z119" i="23" s="1"/>
  <c r="Y119" i="23" s="1"/>
  <c r="W196" i="24"/>
  <c r="B196" i="25"/>
  <c r="D196" i="24"/>
  <c r="E196" i="24" s="1"/>
  <c r="F196" i="24" s="1"/>
  <c r="G67" i="23"/>
  <c r="CD67" i="6" s="1"/>
  <c r="AA67" i="23"/>
  <c r="Z67" i="23" s="1"/>
  <c r="Y67" i="23" s="1"/>
  <c r="J249" i="20"/>
  <c r="I249" i="20"/>
  <c r="H249" i="22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I254" i="20"/>
  <c r="H254" i="22" s="1"/>
  <c r="J254" i="20"/>
  <c r="AA87" i="23"/>
  <c r="Z87" i="23" s="1"/>
  <c r="Y87" i="23" s="1"/>
  <c r="G87" i="23"/>
  <c r="CD87" i="6" s="1"/>
  <c r="D371" i="24"/>
  <c r="E371" i="24" s="1"/>
  <c r="F371" i="24" s="1"/>
  <c r="B371" i="25"/>
  <c r="W371" i="24"/>
  <c r="W191" i="24"/>
  <c r="D191" i="24"/>
  <c r="E191" i="24" s="1"/>
  <c r="F191" i="24" s="1"/>
  <c r="B191" i="25"/>
  <c r="G191" i="23"/>
  <c r="CD191" i="6" s="1"/>
  <c r="AA191" i="23"/>
  <c r="Z191" i="23" s="1"/>
  <c r="Y191" i="23" s="1"/>
  <c r="I267" i="20"/>
  <c r="H267" i="22" s="1"/>
  <c r="J267" i="20"/>
  <c r="D337" i="25"/>
  <c r="E337" i="25" s="1"/>
  <c r="F337" i="25" s="1"/>
  <c r="W337" i="25"/>
  <c r="D115" i="24"/>
  <c r="E115" i="24" s="1"/>
  <c r="F115" i="24" s="1"/>
  <c r="B115" i="25"/>
  <c r="W115" i="24"/>
  <c r="D345" i="24"/>
  <c r="E345" i="24" s="1"/>
  <c r="F345" i="24" s="1"/>
  <c r="B345" i="25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B73" i="25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63" i="20"/>
  <c r="H363" i="22" s="1"/>
  <c r="I316" i="20"/>
  <c r="H316" i="22" s="1"/>
  <c r="J316" i="20"/>
  <c r="I59" i="20"/>
  <c r="H59" i="22" s="1"/>
  <c r="J59" i="20"/>
  <c r="I269" i="20"/>
  <c r="H269" i="22" s="1"/>
  <c r="J269" i="20"/>
  <c r="I237" i="20"/>
  <c r="H237" i="22" s="1"/>
  <c r="J237" i="20"/>
  <c r="J243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B287" i="25"/>
  <c r="W287" i="24"/>
  <c r="D287" i="24"/>
  <c r="E287" i="24" s="1"/>
  <c r="F287" i="24" s="1"/>
  <c r="V4" i="6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B328" i="25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B27" i="25"/>
  <c r="G256" i="23"/>
  <c r="CD256" i="6" s="1"/>
  <c r="AA256" i="23"/>
  <c r="Z256" i="23" s="1"/>
  <c r="Y256" i="23" s="1"/>
  <c r="W330" i="24"/>
  <c r="D330" i="24"/>
  <c r="E330" i="24" s="1"/>
  <c r="F330" i="24" s="1"/>
  <c r="B330" i="25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B264" i="25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B248" i="25"/>
  <c r="W248" i="24"/>
  <c r="D248" i="24"/>
  <c r="E248" i="24" s="1"/>
  <c r="F248" i="24" s="1"/>
  <c r="W140" i="24"/>
  <c r="B140" i="25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B250" i="25"/>
  <c r="D250" i="24"/>
  <c r="E250" i="24" s="1"/>
  <c r="F250" i="24" s="1"/>
  <c r="J372" i="20"/>
  <c r="I372" i="20"/>
  <c r="H372" i="22" s="1"/>
  <c r="AF4" i="6"/>
  <c r="D357" i="24"/>
  <c r="E357" i="24" s="1"/>
  <c r="F357" i="24" s="1"/>
  <c r="B357" i="25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B163" i="25"/>
  <c r="W163" i="24"/>
  <c r="I54" i="20"/>
  <c r="H54" i="22" s="1"/>
  <c r="J54" i="20"/>
  <c r="I30" i="20"/>
  <c r="H30" i="22" s="1"/>
  <c r="J30" i="20"/>
  <c r="J177" i="20"/>
  <c r="I177" i="20"/>
  <c r="H177" i="22" s="1"/>
  <c r="J17" i="20"/>
  <c r="I17" i="20"/>
  <c r="H17" i="22" s="1"/>
  <c r="J111" i="20"/>
  <c r="I111" i="20"/>
  <c r="H111" i="22" s="1"/>
  <c r="I66" i="20"/>
  <c r="H66" i="22" s="1"/>
  <c r="J66" i="20"/>
  <c r="I130" i="20"/>
  <c r="H130" i="22" s="1"/>
  <c r="J130" i="20"/>
  <c r="I271" i="20"/>
  <c r="H271" i="22" s="1"/>
  <c r="J271" i="20"/>
  <c r="I106" i="20"/>
  <c r="H106" i="22" s="1"/>
  <c r="J106" i="20"/>
  <c r="J178" i="20"/>
  <c r="I178" i="20"/>
  <c r="H178" i="22" s="1"/>
  <c r="J308" i="20"/>
  <c r="I308" i="20"/>
  <c r="H308" i="22" s="1"/>
  <c r="J336" i="20"/>
  <c r="I336" i="20"/>
  <c r="H336" i="22" s="1"/>
  <c r="J47" i="20"/>
  <c r="I47" i="20"/>
  <c r="H47" i="22" s="1"/>
  <c r="J209" i="20"/>
  <c r="I209" i="20"/>
  <c r="H209" i="22" s="1"/>
  <c r="I285" i="20"/>
  <c r="H285" i="22" s="1"/>
  <c r="J285" i="20"/>
  <c r="J341" i="20"/>
  <c r="I341" i="20"/>
  <c r="H341" i="22" s="1"/>
  <c r="I375" i="20"/>
  <c r="H375" i="22" s="1"/>
  <c r="J375" i="20"/>
  <c r="J280" i="20"/>
  <c r="I280" i="20"/>
  <c r="H280" i="22" s="1"/>
  <c r="I113" i="20"/>
  <c r="H113" i="22" s="1"/>
  <c r="J113" i="20"/>
  <c r="J199" i="20"/>
  <c r="I199" i="20"/>
  <c r="H199" i="22" s="1"/>
  <c r="I40" i="20"/>
  <c r="H40" i="22" s="1"/>
  <c r="J40" i="20"/>
  <c r="J204" i="20"/>
  <c r="I204" i="20"/>
  <c r="H204" i="22" s="1"/>
  <c r="I252" i="20"/>
  <c r="H252" i="22" s="1"/>
  <c r="J252" i="20"/>
  <c r="I103" i="20"/>
  <c r="H103" i="22" s="1"/>
  <c r="J103" i="20"/>
  <c r="I235" i="20"/>
  <c r="H235" i="22" s="1"/>
  <c r="J235" i="20"/>
  <c r="J211" i="20"/>
  <c r="I211" i="20"/>
  <c r="H211" i="22" s="1"/>
  <c r="I331" i="20"/>
  <c r="H331" i="22" s="1"/>
  <c r="J331" i="20"/>
  <c r="J18" i="20"/>
  <c r="I18" i="20"/>
  <c r="H18" i="22" s="1"/>
  <c r="J367" i="20"/>
  <c r="I367" i="20"/>
  <c r="H367" i="22" s="1"/>
  <c r="J327" i="20"/>
  <c r="I327" i="20"/>
  <c r="H327" i="22" s="1"/>
  <c r="J79" i="20"/>
  <c r="I79" i="20"/>
  <c r="H79" i="22" s="1"/>
  <c r="J153" i="20"/>
  <c r="I153" i="20"/>
  <c r="H153" i="22" s="1"/>
  <c r="B210" i="25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B194" i="25"/>
  <c r="G194" i="23"/>
  <c r="CD194" i="6" s="1"/>
  <c r="AA194" i="23"/>
  <c r="Z194" i="23" s="1"/>
  <c r="Y194" i="23" s="1"/>
  <c r="W61" i="24"/>
  <c r="D61" i="24"/>
  <c r="E61" i="24" s="1"/>
  <c r="F61" i="24" s="1"/>
  <c r="B61" i="25"/>
  <c r="G89" i="23"/>
  <c r="CD89" i="6" s="1"/>
  <c r="AA89" i="23"/>
  <c r="Z89" i="23" s="1"/>
  <c r="Y89" i="23" s="1"/>
  <c r="D230" i="25"/>
  <c r="E230" i="25" s="1"/>
  <c r="F230" i="25" s="1"/>
  <c r="W230" i="25"/>
  <c r="B45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B233" i="25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B277" i="25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B309" i="25"/>
  <c r="D309" i="24"/>
  <c r="E309" i="24" s="1"/>
  <c r="F309" i="24" s="1"/>
  <c r="G62" i="23"/>
  <c r="CD62" i="6" s="1"/>
  <c r="AA62" i="23"/>
  <c r="Z62" i="23" s="1"/>
  <c r="Y62" i="23" s="1"/>
  <c r="B232" i="25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B291" i="25"/>
  <c r="W339" i="24"/>
  <c r="B339" i="25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289" i="22" l="1"/>
  <c r="J98" i="22"/>
  <c r="W108" i="25"/>
  <c r="AA152" i="24"/>
  <c r="Z152" i="24" s="1"/>
  <c r="Y152" i="24" s="1"/>
  <c r="I378" i="20"/>
  <c r="H378" i="22" s="1"/>
  <c r="J378" i="22" s="1"/>
  <c r="J184" i="20"/>
  <c r="J184" i="22" s="1"/>
  <c r="J184" i="23" s="1"/>
  <c r="J22" i="20"/>
  <c r="I273" i="20"/>
  <c r="H273" i="22" s="1"/>
  <c r="I273" i="22" s="1"/>
  <c r="H273" i="23" s="1"/>
  <c r="I273" i="23" s="1"/>
  <c r="H273" i="24" s="1"/>
  <c r="D359" i="25"/>
  <c r="E359" i="25" s="1"/>
  <c r="F359" i="25" s="1"/>
  <c r="G359" i="25" s="1"/>
  <c r="CF359" i="6" s="1"/>
  <c r="G136" i="24"/>
  <c r="CE136" i="6" s="1"/>
  <c r="D167" i="25"/>
  <c r="E167" i="25" s="1"/>
  <c r="F167" i="25" s="1"/>
  <c r="G167" i="25" s="1"/>
  <c r="CF167" i="6" s="1"/>
  <c r="J350" i="20"/>
  <c r="J350" i="22" s="1"/>
  <c r="J350" i="23" s="1"/>
  <c r="J44" i="22"/>
  <c r="I188" i="20"/>
  <c r="H188" i="22" s="1"/>
  <c r="I188" i="22" s="1"/>
  <c r="H188" i="23" s="1"/>
  <c r="I188" i="23" s="1"/>
  <c r="H188" i="24" s="1"/>
  <c r="J352" i="20"/>
  <c r="J352" i="22" s="1"/>
  <c r="J352" i="23" s="1"/>
  <c r="J223" i="22"/>
  <c r="I365" i="20"/>
  <c r="H365" i="22" s="1"/>
  <c r="J365" i="22" s="1"/>
  <c r="J25" i="22"/>
  <c r="I356" i="20"/>
  <c r="H356" i="22" s="1"/>
  <c r="J356" i="22" s="1"/>
  <c r="D95" i="25"/>
  <c r="E95" i="25" s="1"/>
  <c r="F95" i="25" s="1"/>
  <c r="AA95" i="25" s="1"/>
  <c r="Z95" i="25" s="1"/>
  <c r="Y95" i="25" s="1"/>
  <c r="J198" i="20"/>
  <c r="J198" i="22" s="1"/>
  <c r="J198" i="23" s="1"/>
  <c r="J159" i="22"/>
  <c r="J88" i="22"/>
  <c r="J24" i="20"/>
  <c r="J24" i="22" s="1"/>
  <c r="J24" i="23" s="1"/>
  <c r="G54" i="24"/>
  <c r="CE54" i="6" s="1"/>
  <c r="J203" i="22"/>
  <c r="J34" i="20"/>
  <c r="J34" i="22" s="1"/>
  <c r="J34" i="23" s="1"/>
  <c r="I144" i="20"/>
  <c r="H144" i="22" s="1"/>
  <c r="J144" i="22" s="1"/>
  <c r="I292" i="20"/>
  <c r="H292" i="22" s="1"/>
  <c r="I292" i="22" s="1"/>
  <c r="H292" i="23" s="1"/>
  <c r="I292" i="23" s="1"/>
  <c r="H292" i="24" s="1"/>
  <c r="I98" i="22"/>
  <c r="H98" i="23" s="1"/>
  <c r="J98" i="23" s="1"/>
  <c r="J274" i="20"/>
  <c r="J274" i="22" s="1"/>
  <c r="J274" i="23" s="1"/>
  <c r="I233" i="20"/>
  <c r="H233" i="22" s="1"/>
  <c r="J233" i="22" s="1"/>
  <c r="J77" i="20"/>
  <c r="J77" i="22" s="1"/>
  <c r="J77" i="23" s="1"/>
  <c r="I311" i="20"/>
  <c r="H311" i="22" s="1"/>
  <c r="J311" i="22" s="1"/>
  <c r="I31" i="20"/>
  <c r="H31" i="22" s="1"/>
  <c r="J31" i="22" s="1"/>
  <c r="J371" i="22"/>
  <c r="I137" i="20"/>
  <c r="H137" i="22" s="1"/>
  <c r="J137" i="22" s="1"/>
  <c r="J169" i="22"/>
  <c r="J210" i="20"/>
  <c r="J210" i="22" s="1"/>
  <c r="J114" i="22"/>
  <c r="J62" i="20"/>
  <c r="J62" i="22" s="1"/>
  <c r="J62" i="23" s="1"/>
  <c r="J373" i="20"/>
  <c r="J373" i="22" s="1"/>
  <c r="J373" i="23" s="1"/>
  <c r="J22" i="22"/>
  <c r="J22" i="23" s="1"/>
  <c r="D300" i="25"/>
  <c r="E300" i="25" s="1"/>
  <c r="F300" i="25" s="1"/>
  <c r="G300" i="25" s="1"/>
  <c r="CF300" i="6" s="1"/>
  <c r="J125" i="20"/>
  <c r="J125" i="22" s="1"/>
  <c r="J125" i="23" s="1"/>
  <c r="J309" i="20"/>
  <c r="J309" i="22" s="1"/>
  <c r="J309" i="23" s="1"/>
  <c r="J65" i="20"/>
  <c r="J65" i="22" s="1"/>
  <c r="J65" i="23" s="1"/>
  <c r="W297" i="25"/>
  <c r="AA348" i="24"/>
  <c r="Z348" i="24" s="1"/>
  <c r="Y348" i="24" s="1"/>
  <c r="J296" i="22"/>
  <c r="J296" i="23" s="1"/>
  <c r="D30" i="25"/>
  <c r="E30" i="25" s="1"/>
  <c r="F30" i="25" s="1"/>
  <c r="G30" i="25" s="1"/>
  <c r="CF30" i="6" s="1"/>
  <c r="G108" i="24"/>
  <c r="CE108" i="6" s="1"/>
  <c r="G323" i="24"/>
  <c r="CE323" i="6" s="1"/>
  <c r="G306" i="24"/>
  <c r="CE306" i="6" s="1"/>
  <c r="I205" i="23"/>
  <c r="H205" i="24" s="1"/>
  <c r="G59" i="24"/>
  <c r="CE59" i="6" s="1"/>
  <c r="W43" i="25"/>
  <c r="D353" i="25"/>
  <c r="E353" i="25" s="1"/>
  <c r="F353" i="25" s="1"/>
  <c r="AA353" i="25" s="1"/>
  <c r="Z353" i="25" s="1"/>
  <c r="Y353" i="25" s="1"/>
  <c r="AA316" i="24"/>
  <c r="Z316" i="24" s="1"/>
  <c r="Y316" i="24" s="1"/>
  <c r="D331" i="25"/>
  <c r="E331" i="25" s="1"/>
  <c r="F331" i="25" s="1"/>
  <c r="G331" i="25" s="1"/>
  <c r="CF331" i="6" s="1"/>
  <c r="AA237" i="24"/>
  <c r="Z237" i="24" s="1"/>
  <c r="Y237" i="24" s="1"/>
  <c r="AA331" i="24"/>
  <c r="Z331" i="24" s="1"/>
  <c r="Y331" i="24" s="1"/>
  <c r="D377" i="25"/>
  <c r="E377" i="25" s="1"/>
  <c r="F377" i="25" s="1"/>
  <c r="G377" i="25" s="1"/>
  <c r="CF377" i="6" s="1"/>
  <c r="W70" i="25"/>
  <c r="W212" i="25"/>
  <c r="D269" i="25"/>
  <c r="E269" i="25" s="1"/>
  <c r="F269" i="25" s="1"/>
  <c r="G269" i="25" s="1"/>
  <c r="CF269" i="6" s="1"/>
  <c r="G19" i="24"/>
  <c r="CE19" i="6" s="1"/>
  <c r="AA211" i="24"/>
  <c r="Z211" i="24" s="1"/>
  <c r="Y211" i="24" s="1"/>
  <c r="G212" i="24"/>
  <c r="CE212" i="6" s="1"/>
  <c r="W19" i="25"/>
  <c r="D155" i="25"/>
  <c r="E155" i="25" s="1"/>
  <c r="F155" i="25" s="1"/>
  <c r="G155" i="25" s="1"/>
  <c r="CF155" i="6" s="1"/>
  <c r="G270" i="24"/>
  <c r="CE270" i="6" s="1"/>
  <c r="AA28" i="24"/>
  <c r="Z28" i="24" s="1"/>
  <c r="Y28" i="24" s="1"/>
  <c r="W23" i="25"/>
  <c r="W152" i="25"/>
  <c r="D306" i="25"/>
  <c r="E306" i="25" s="1"/>
  <c r="F306" i="25" s="1"/>
  <c r="AA306" i="25" s="1"/>
  <c r="Z306" i="25" s="1"/>
  <c r="Y306" i="25" s="1"/>
  <c r="AA129" i="24"/>
  <c r="Z129" i="24" s="1"/>
  <c r="Y129" i="24" s="1"/>
  <c r="W329" i="25"/>
  <c r="W211" i="25"/>
  <c r="W327" i="25"/>
  <c r="W136" i="25"/>
  <c r="D54" i="25"/>
  <c r="E54" i="25" s="1"/>
  <c r="F54" i="25" s="1"/>
  <c r="AA54" i="25" s="1"/>
  <c r="Z54" i="25" s="1"/>
  <c r="Y54" i="25" s="1"/>
  <c r="D129" i="25"/>
  <c r="E129" i="25" s="1"/>
  <c r="F129" i="25" s="1"/>
  <c r="G129" i="25" s="1"/>
  <c r="CF129" i="6" s="1"/>
  <c r="D192" i="25"/>
  <c r="E192" i="25" s="1"/>
  <c r="F192" i="25" s="1"/>
  <c r="G192" i="25" s="1"/>
  <c r="CF192" i="6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J75" i="22"/>
  <c r="J75" i="23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102" i="22"/>
  <c r="H102" i="23" s="1"/>
  <c r="I102" i="23" s="1"/>
  <c r="H102" i="24" s="1"/>
  <c r="I217" i="23"/>
  <c r="H217" i="24" s="1"/>
  <c r="J217" i="24" s="1"/>
  <c r="J176" i="22"/>
  <c r="J176" i="23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128" i="22"/>
  <c r="J128" i="23" s="1"/>
  <c r="J162" i="22"/>
  <c r="J162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I223" i="22"/>
  <c r="H223" i="23" s="1"/>
  <c r="J223" i="23" s="1"/>
  <c r="W153" i="25"/>
  <c r="J133" i="22"/>
  <c r="J133" i="23" s="1"/>
  <c r="I234" i="22"/>
  <c r="H234" i="23" s="1"/>
  <c r="I234" i="23" s="1"/>
  <c r="H234" i="24" s="1"/>
  <c r="I44" i="22"/>
  <c r="H44" i="23" s="1"/>
  <c r="J89" i="22"/>
  <c r="J89" i="23" s="1"/>
  <c r="J310" i="22"/>
  <c r="J310" i="23" s="1"/>
  <c r="I371" i="22"/>
  <c r="H371" i="23" s="1"/>
  <c r="J355" i="22"/>
  <c r="J355" i="23" s="1"/>
  <c r="I345" i="22"/>
  <c r="H345" i="23" s="1"/>
  <c r="J345" i="23" s="1"/>
  <c r="I163" i="22"/>
  <c r="H163" i="23" s="1"/>
  <c r="J163" i="23" s="1"/>
  <c r="I169" i="22"/>
  <c r="H169" i="23" s="1"/>
  <c r="I236" i="22"/>
  <c r="H236" i="23" s="1"/>
  <c r="J236" i="23" s="1"/>
  <c r="J143" i="22"/>
  <c r="J143" i="23" s="1"/>
  <c r="J250" i="22"/>
  <c r="J250" i="23" s="1"/>
  <c r="I85" i="22"/>
  <c r="H85" i="23" s="1"/>
  <c r="I85" i="23" s="1"/>
  <c r="H85" i="24" s="1"/>
  <c r="I150" i="22"/>
  <c r="H150" i="23" s="1"/>
  <c r="J150" i="23" s="1"/>
  <c r="I203" i="22"/>
  <c r="H203" i="23" s="1"/>
  <c r="I314" i="22"/>
  <c r="H314" i="23" s="1"/>
  <c r="J314" i="23" s="1"/>
  <c r="J76" i="22"/>
  <c r="J76" i="23" s="1"/>
  <c r="I186" i="22"/>
  <c r="H186" i="23" s="1"/>
  <c r="I186" i="23" s="1"/>
  <c r="H186" i="24" s="1"/>
  <c r="J349" i="22"/>
  <c r="J349" i="23" s="1"/>
  <c r="J187" i="22"/>
  <c r="J187" i="23" s="1"/>
  <c r="I121" i="22"/>
  <c r="H121" i="23" s="1"/>
  <c r="J121" i="23" s="1"/>
  <c r="J124" i="22"/>
  <c r="J124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J201" i="23"/>
  <c r="I339" i="23"/>
  <c r="H339" i="24" s="1"/>
  <c r="J339" i="23"/>
  <c r="I328" i="23"/>
  <c r="H328" i="24" s="1"/>
  <c r="J196" i="23"/>
  <c r="I196" i="23"/>
  <c r="H196" i="24" s="1"/>
  <c r="I60" i="23"/>
  <c r="H60" i="24" s="1"/>
  <c r="J60" i="23"/>
  <c r="I355" i="23"/>
  <c r="H355" i="24" s="1"/>
  <c r="J322" i="23"/>
  <c r="I322" i="23"/>
  <c r="H322" i="24" s="1"/>
  <c r="I198" i="23"/>
  <c r="H198" i="24" s="1"/>
  <c r="I296" i="23"/>
  <c r="H296" i="24" s="1"/>
  <c r="I145" i="23"/>
  <c r="H145" i="24" s="1"/>
  <c r="J145" i="23"/>
  <c r="I347" i="23"/>
  <c r="H347" i="24" s="1"/>
  <c r="I75" i="23"/>
  <c r="H75" i="24" s="1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J325" i="23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I199" i="22"/>
  <c r="H199" i="23" s="1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70" i="25"/>
  <c r="CF70" i="6" s="1"/>
  <c r="AA70" i="25"/>
  <c r="Z70" i="25" s="1"/>
  <c r="Y70" i="25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J254" i="22"/>
  <c r="I254" i="22"/>
  <c r="H254" i="23" s="1"/>
  <c r="I220" i="23"/>
  <c r="H220" i="24" s="1"/>
  <c r="J220" i="23"/>
  <c r="I42" i="22"/>
  <c r="H42" i="23" s="1"/>
  <c r="J42" i="22"/>
  <c r="J317" i="23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I104" i="22"/>
  <c r="H104" i="23" s="1"/>
  <c r="J104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J303" i="22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I123" i="22"/>
  <c r="H123" i="23" s="1"/>
  <c r="J123" i="22"/>
  <c r="G47" i="25"/>
  <c r="CF47" i="6" s="1"/>
  <c r="AA47" i="25"/>
  <c r="Z47" i="25" s="1"/>
  <c r="Y47" i="25" s="1"/>
  <c r="W176" i="25"/>
  <c r="D176" i="25"/>
  <c r="E176" i="25" s="1"/>
  <c r="F176" i="25" s="1"/>
  <c r="I128" i="23"/>
  <c r="H128" i="24" s="1"/>
  <c r="J219" i="22"/>
  <c r="I219" i="22"/>
  <c r="H219" i="23" s="1"/>
  <c r="I261" i="23"/>
  <c r="H261" i="24" s="1"/>
  <c r="J261" i="23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I244" i="22"/>
  <c r="H244" i="23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J256" i="22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J70" i="22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I349" i="23"/>
  <c r="H349" i="24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J361" i="23"/>
  <c r="G69" i="25"/>
  <c r="CF69" i="6" s="1"/>
  <c r="AA69" i="25"/>
  <c r="Z69" i="25" s="1"/>
  <c r="Y69" i="25" s="1"/>
  <c r="G227" i="25"/>
  <c r="CF227" i="6" s="1"/>
  <c r="AA227" i="25"/>
  <c r="Z227" i="25" s="1"/>
  <c r="Y227" i="25" s="1"/>
  <c r="J29" i="22"/>
  <c r="I29" i="22"/>
  <c r="H29" i="23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J49" i="22"/>
  <c r="I49" i="22"/>
  <c r="H49" i="23" s="1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J45" i="22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J263" i="23"/>
  <c r="I263" i="23"/>
  <c r="H263" i="24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143" i="23"/>
  <c r="H143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J27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I156" i="23"/>
  <c r="H156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10" i="23"/>
  <c r="H310" i="24" s="1"/>
  <c r="I362" i="22"/>
  <c r="H362" i="23" s="1"/>
  <c r="J362" i="22"/>
  <c r="W186" i="25"/>
  <c r="D186" i="25"/>
  <c r="E186" i="25" s="1"/>
  <c r="F186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J127" i="22"/>
  <c r="I127" i="22"/>
  <c r="H127" i="23" s="1"/>
  <c r="J46" i="23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J182" i="22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AA212" i="25"/>
  <c r="Z212" i="25" s="1"/>
  <c r="Y212" i="25" s="1"/>
  <c r="G212" i="25"/>
  <c r="CF212" i="6" s="1"/>
  <c r="AA297" i="25"/>
  <c r="Z297" i="25" s="1"/>
  <c r="Y297" i="25" s="1"/>
  <c r="G297" i="25"/>
  <c r="CF297" i="6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340" i="22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J48" i="22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I330" i="22"/>
  <c r="H330" i="23" s="1"/>
  <c r="J330" i="22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J333" i="23"/>
  <c r="I333" i="23"/>
  <c r="H333" i="24" s="1"/>
  <c r="I318" i="22"/>
  <c r="H318" i="23" s="1"/>
  <c r="J318" i="22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I376" i="22"/>
  <c r="H376" i="23" s="1"/>
  <c r="J376" i="22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J115" i="23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J357" i="22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AA59" i="25"/>
  <c r="Z59" i="25" s="1"/>
  <c r="Y59" i="25" s="1"/>
  <c r="G59" i="25"/>
  <c r="CF59" i="6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J248" i="22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133" i="23"/>
  <c r="H133" i="24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J225" i="22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J21" i="23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J139" i="22"/>
  <c r="I139" i="22"/>
  <c r="H139" i="23" s="1"/>
  <c r="W53" i="25"/>
  <c r="D53" i="25"/>
  <c r="E53" i="25" s="1"/>
  <c r="F53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371" i="23" l="1"/>
  <c r="I144" i="22"/>
  <c r="H144" i="23" s="1"/>
  <c r="I144" i="23" s="1"/>
  <c r="H144" i="24" s="1"/>
  <c r="I144" i="24" s="1"/>
  <c r="H144" i="25" s="1"/>
  <c r="AA359" i="25"/>
  <c r="Z359" i="25" s="1"/>
  <c r="Y359" i="25" s="1"/>
  <c r="AA167" i="25"/>
  <c r="Z167" i="25" s="1"/>
  <c r="Y167" i="25" s="1"/>
  <c r="I137" i="22"/>
  <c r="H137" i="23" s="1"/>
  <c r="J137" i="23" s="1"/>
  <c r="J44" i="23"/>
  <c r="I378" i="22"/>
  <c r="H378" i="23" s="1"/>
  <c r="J378" i="23" s="1"/>
  <c r="I365" i="22"/>
  <c r="H365" i="23" s="1"/>
  <c r="J365" i="23" s="1"/>
  <c r="J88" i="23"/>
  <c r="I356" i="22"/>
  <c r="H356" i="23" s="1"/>
  <c r="I356" i="23" s="1"/>
  <c r="H356" i="24" s="1"/>
  <c r="I356" i="24" s="1"/>
  <c r="H356" i="25" s="1"/>
  <c r="J273" i="22"/>
  <c r="J273" i="23" s="1"/>
  <c r="J273" i="24" s="1"/>
  <c r="I31" i="22"/>
  <c r="H31" i="23" s="1"/>
  <c r="J31" i="23" s="1"/>
  <c r="J292" i="22"/>
  <c r="J292" i="23" s="1"/>
  <c r="J292" i="24" s="1"/>
  <c r="G95" i="25"/>
  <c r="CF95" i="6" s="1"/>
  <c r="J188" i="22"/>
  <c r="J188" i="23" s="1"/>
  <c r="J188" i="24" s="1"/>
  <c r="I98" i="23"/>
  <c r="H98" i="24" s="1"/>
  <c r="J98" i="24" s="1"/>
  <c r="J203" i="23"/>
  <c r="I311" i="22"/>
  <c r="H311" i="23" s="1"/>
  <c r="I311" i="23" s="1"/>
  <c r="H311" i="24" s="1"/>
  <c r="I311" i="24" s="1"/>
  <c r="H311" i="25" s="1"/>
  <c r="I233" i="22"/>
  <c r="H233" i="23" s="1"/>
  <c r="J233" i="23" s="1"/>
  <c r="J169" i="23"/>
  <c r="G50" i="25"/>
  <c r="CF50" i="6" s="1"/>
  <c r="AA300" i="25"/>
  <c r="Z300" i="25" s="1"/>
  <c r="Y300" i="25" s="1"/>
  <c r="AA30" i="25"/>
  <c r="Z30" i="25" s="1"/>
  <c r="Y30" i="25" s="1"/>
  <c r="AA155" i="25"/>
  <c r="Z155" i="25" s="1"/>
  <c r="Y155" i="25" s="1"/>
  <c r="AA331" i="25"/>
  <c r="Z331" i="25" s="1"/>
  <c r="Y331" i="25" s="1"/>
  <c r="AA377" i="25"/>
  <c r="Z377" i="25" s="1"/>
  <c r="Y377" i="25" s="1"/>
  <c r="G306" i="25"/>
  <c r="CF306" i="6" s="1"/>
  <c r="AA269" i="25"/>
  <c r="Z269" i="25" s="1"/>
  <c r="Y269" i="25" s="1"/>
  <c r="G353" i="25"/>
  <c r="CF353" i="6" s="1"/>
  <c r="I217" i="24"/>
  <c r="H217" i="25" s="1"/>
  <c r="J217" i="25" s="1"/>
  <c r="I205" i="24"/>
  <c r="J205" i="24"/>
  <c r="AA237" i="25"/>
  <c r="Z237" i="25" s="1"/>
  <c r="Y237" i="25" s="1"/>
  <c r="J159" i="23"/>
  <c r="J159" i="24" s="1"/>
  <c r="AA129" i="25"/>
  <c r="Z129" i="25" s="1"/>
  <c r="Y129" i="25" s="1"/>
  <c r="G335" i="25"/>
  <c r="CF335" i="6" s="1"/>
  <c r="AA28" i="25"/>
  <c r="Z28" i="25" s="1"/>
  <c r="Y28" i="25" s="1"/>
  <c r="AA192" i="25"/>
  <c r="Z192" i="25" s="1"/>
  <c r="Y192" i="25" s="1"/>
  <c r="G54" i="25"/>
  <c r="CF54" i="6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114" i="23"/>
  <c r="J114" i="24" s="1"/>
  <c r="J268" i="23"/>
  <c r="J268" i="24" s="1"/>
  <c r="J25" i="23"/>
  <c r="J25" i="24" s="1"/>
  <c r="J102" i="23"/>
  <c r="J102" i="24" s="1"/>
  <c r="I345" i="23"/>
  <c r="H345" i="24" s="1"/>
  <c r="J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234" i="23"/>
  <c r="J234" i="24" s="1"/>
  <c r="I121" i="23"/>
  <c r="H121" i="24" s="1"/>
  <c r="I121" i="24" s="1"/>
  <c r="H121" i="25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33" i="24"/>
  <c r="H333" i="25" s="1"/>
  <c r="J333" i="24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I188" i="24"/>
  <c r="H188" i="25" s="1"/>
  <c r="I133" i="24"/>
  <c r="H133" i="25" s="1"/>
  <c r="J133" i="24"/>
  <c r="J115" i="24"/>
  <c r="I115" i="24"/>
  <c r="H115" i="25" s="1"/>
  <c r="J250" i="24"/>
  <c r="I250" i="24"/>
  <c r="H250" i="25" s="1"/>
  <c r="I350" i="24"/>
  <c r="H350" i="25" s="1"/>
  <c r="J350" i="24"/>
  <c r="I251" i="25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J310" i="24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I376" i="23"/>
  <c r="H376" i="24" s="1"/>
  <c r="J376" i="23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J330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J127" i="23"/>
  <c r="I127" i="23"/>
  <c r="H127" i="24" s="1"/>
  <c r="J128" i="24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J349" i="24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J49" i="23"/>
  <c r="I49" i="23"/>
  <c r="H49" i="24" s="1"/>
  <c r="J213" i="23"/>
  <c r="I213" i="23"/>
  <c r="H213" i="24" s="1"/>
  <c r="I29" i="23"/>
  <c r="H29" i="24" s="1"/>
  <c r="J29" i="23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J123" i="23"/>
  <c r="I123" i="23"/>
  <c r="H123" i="24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J355" i="24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J104" i="23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J88" i="24" l="1"/>
  <c r="J144" i="23"/>
  <c r="J144" i="24" s="1"/>
  <c r="I137" i="23"/>
  <c r="H137" i="24" s="1"/>
  <c r="J137" i="24" s="1"/>
  <c r="J44" i="24"/>
  <c r="J311" i="23"/>
  <c r="J311" i="24" s="1"/>
  <c r="J311" i="25" s="1"/>
  <c r="J356" i="23"/>
  <c r="J356" i="24" s="1"/>
  <c r="I365" i="23"/>
  <c r="H365" i="24" s="1"/>
  <c r="J365" i="24" s="1"/>
  <c r="I98" i="24"/>
  <c r="H98" i="25" s="1"/>
  <c r="J98" i="25" s="1"/>
  <c r="I217" i="25"/>
  <c r="I31" i="23"/>
  <c r="H31" i="24" s="1"/>
  <c r="I31" i="24" s="1"/>
  <c r="H31" i="25" s="1"/>
  <c r="I31" i="25" s="1"/>
  <c r="I163" i="24"/>
  <c r="H163" i="25" s="1"/>
  <c r="J163" i="25" s="1"/>
  <c r="I378" i="24"/>
  <c r="H378" i="25" s="1"/>
  <c r="I378" i="25" s="1"/>
  <c r="I88" i="24"/>
  <c r="H88" i="25" s="1"/>
  <c r="I88" i="25" s="1"/>
  <c r="I233" i="23"/>
  <c r="H233" i="24" s="1"/>
  <c r="J233" i="24" s="1"/>
  <c r="J205" i="25"/>
  <c r="J289" i="24"/>
  <c r="J289" i="25" s="1"/>
  <c r="J371" i="24"/>
  <c r="J371" i="25" s="1"/>
  <c r="J223" i="24"/>
  <c r="J223" i="25" s="1"/>
  <c r="I236" i="24"/>
  <c r="H236" i="25" s="1"/>
  <c r="I236" i="25" s="1"/>
  <c r="I345" i="24"/>
  <c r="H345" i="25" s="1"/>
  <c r="J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I137" i="24"/>
  <c r="H137" i="25" s="1"/>
  <c r="J137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23" i="24"/>
  <c r="H123" i="25" s="1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3" i="25"/>
  <c r="I333" i="25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J127" i="24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376" i="24"/>
  <c r="H376" i="25" s="1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98" i="25" l="1"/>
  <c r="J31" i="24"/>
  <c r="J31" i="25" s="1"/>
  <c r="I163" i="25"/>
  <c r="J88" i="25"/>
  <c r="I365" i="24"/>
  <c r="H365" i="25" s="1"/>
  <c r="I365" i="25" s="1"/>
  <c r="I233" i="24"/>
  <c r="H233" i="25" s="1"/>
  <c r="J233" i="25" s="1"/>
  <c r="I203" i="25"/>
  <c r="J236" i="25"/>
  <c r="J365" i="25"/>
  <c r="I233" i="25"/>
  <c r="I345" i="25"/>
  <c r="J44" i="25"/>
  <c r="I137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W15" i="17"/>
  <c r="B383" i="17"/>
  <c r="AK6" i="17"/>
  <c r="H9" i="17"/>
  <c r="B14" i="19" s="1"/>
  <c r="D15" i="17"/>
  <c r="B15" i="18"/>
  <c r="AJ5" i="18" l="1"/>
  <c r="AK5" i="18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B15" i="20"/>
  <c r="AJ10" i="17"/>
  <c r="E9" i="17"/>
  <c r="D382" i="17"/>
  <c r="D383" i="17"/>
  <c r="AJ8" i="17"/>
  <c r="D381" i="17"/>
  <c r="D9" i="17"/>
  <c r="D11" i="17" s="1"/>
  <c r="E38" i="19" s="1"/>
  <c r="AJ5" i="20" l="1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E11" i="17"/>
  <c r="AK6" i="20"/>
  <c r="AJ6" i="20"/>
  <c r="W15" i="20"/>
  <c r="B382" i="20"/>
  <c r="B383" i="20"/>
  <c r="B381" i="20"/>
  <c r="H9" i="20"/>
  <c r="B16" i="19" s="1"/>
  <c r="D15" i="20"/>
  <c r="AJ7" i="20" s="1"/>
  <c r="B15" i="22"/>
  <c r="AJ5" i="22" l="1"/>
  <c r="AK5" i="22"/>
  <c r="AJ9" i="18"/>
  <c r="AJ11" i="18" s="1"/>
  <c r="AK7" i="18"/>
  <c r="E39" i="19"/>
  <c r="F9" i="17"/>
  <c r="F11" i="17" s="1"/>
  <c r="F383" i="17"/>
  <c r="F382" i="17"/>
  <c r="F381" i="17"/>
  <c r="C14" i="19"/>
  <c r="F38" i="19"/>
  <c r="AK12" i="17"/>
  <c r="AK13" i="17" s="1"/>
  <c r="AA15" i="17"/>
  <c r="AL9" i="17" s="1"/>
  <c r="G15" i="17"/>
  <c r="AM10" i="17"/>
  <c r="H15" i="17"/>
  <c r="J15" i="17" s="1"/>
  <c r="C15" i="6" s="1"/>
  <c r="AJ13" i="17"/>
  <c r="AL10" i="17"/>
  <c r="AA381" i="17"/>
  <c r="I15" i="17"/>
  <c r="B15" i="6" s="1"/>
  <c r="AK6" i="22"/>
  <c r="B382" i="22"/>
  <c r="B381" i="22"/>
  <c r="AJ6" i="22"/>
  <c r="W15" i="22"/>
  <c r="B383" i="22"/>
  <c r="H9" i="22"/>
  <c r="B17" i="19" s="1"/>
  <c r="D15" i="22"/>
  <c r="AJ7" i="22" s="1"/>
  <c r="B15" i="23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AJ5" i="23" l="1"/>
  <c r="AK5" i="23"/>
  <c r="AM9" i="18"/>
  <c r="AK9" i="18"/>
  <c r="AK11" i="18"/>
  <c r="E40" i="19"/>
  <c r="C31" i="19"/>
  <c r="J38" i="19"/>
  <c r="G31" i="19"/>
  <c r="G381" i="17"/>
  <c r="BZ15" i="6"/>
  <c r="AB9" i="17"/>
  <c r="Z15" i="17"/>
  <c r="AL7" i="17" s="1"/>
  <c r="C15" i="19"/>
  <c r="F39" i="19"/>
  <c r="D14" i="19"/>
  <c r="G38" i="19"/>
  <c r="AJ9" i="20"/>
  <c r="AJ11" i="20" s="1"/>
  <c r="AK7" i="20"/>
  <c r="G382" i="17"/>
  <c r="G383" i="17"/>
  <c r="G12" i="17" s="1"/>
  <c r="D7" i="6" s="1"/>
  <c r="AA9" i="17"/>
  <c r="AM8" i="17"/>
  <c r="AA382" i="17"/>
  <c r="AA383" i="17"/>
  <c r="D381" i="22"/>
  <c r="D383" i="22"/>
  <c r="D382" i="22"/>
  <c r="AJ8" i="22"/>
  <c r="D9" i="22"/>
  <c r="D11" i="22" s="1"/>
  <c r="E15" i="22"/>
  <c r="E14" i="19"/>
  <c r="E31" i="19" s="1"/>
  <c r="AM10" i="18"/>
  <c r="AK10" i="18"/>
  <c r="AK12" i="18" s="1"/>
  <c r="AK13" i="18" s="1"/>
  <c r="F382" i="18"/>
  <c r="F381" i="18"/>
  <c r="F383" i="18"/>
  <c r="H15" i="18"/>
  <c r="F9" i="18"/>
  <c r="AA15" i="18"/>
  <c r="G15" i="18"/>
  <c r="CA15" i="6" s="1"/>
  <c r="E383" i="20"/>
  <c r="E382" i="20"/>
  <c r="AK8" i="20"/>
  <c r="E381" i="20"/>
  <c r="AJ10" i="20"/>
  <c r="AJ12" i="20" s="1"/>
  <c r="AJ13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B15" i="24"/>
  <c r="AL8" i="17"/>
  <c r="AL9" i="18" l="1"/>
  <c r="AM7" i="18"/>
  <c r="AJ9" i="22"/>
  <c r="AJ11" i="22" s="1"/>
  <c r="AK7" i="22"/>
  <c r="AK5" i="24"/>
  <c r="AJ5" i="24"/>
  <c r="E41" i="19"/>
  <c r="D31" i="19"/>
  <c r="Z381" i="17"/>
  <c r="Y15" i="17"/>
  <c r="AL5" i="17" s="1"/>
  <c r="AL11" i="17" s="1"/>
  <c r="AJ3" i="17" s="1"/>
  <c r="O14" i="19" s="1"/>
  <c r="M14" i="19" s="1"/>
  <c r="Z383" i="17"/>
  <c r="W7" i="7"/>
  <c r="Z9" i="17"/>
  <c r="Z382" i="17"/>
  <c r="C16" i="19"/>
  <c r="F40" i="19"/>
  <c r="AK9" i="20"/>
  <c r="AK11" i="20" s="1"/>
  <c r="AM9" i="20"/>
  <c r="D382" i="23"/>
  <c r="D381" i="23"/>
  <c r="D383" i="23"/>
  <c r="D9" i="23"/>
  <c r="D11" i="23" s="1"/>
  <c r="AJ8" i="23"/>
  <c r="E15" i="23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B15" i="25"/>
  <c r="AJ5" i="25" s="1"/>
  <c r="G382" i="18"/>
  <c r="G381" i="18"/>
  <c r="G383" i="18"/>
  <c r="G12" i="18" s="1"/>
  <c r="F11" i="18"/>
  <c r="G15" i="19"/>
  <c r="J39" i="19" s="1"/>
  <c r="AB9" i="18"/>
  <c r="F14" i="19"/>
  <c r="F31" i="19" s="1"/>
  <c r="E383" i="22"/>
  <c r="AJ10" i="22"/>
  <c r="AJ12" i="22" s="1"/>
  <c r="AJ13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I15" i="18"/>
  <c r="H15" i="20" s="1"/>
  <c r="AJ9" i="23" l="1"/>
  <c r="AJ11" i="23" s="1"/>
  <c r="AK7" i="23"/>
  <c r="AM9" i="22"/>
  <c r="AK9" i="22"/>
  <c r="AK11" i="22" s="1"/>
  <c r="E42" i="19"/>
  <c r="X9" i="17"/>
  <c r="Y11" i="17" s="1"/>
  <c r="AM6" i="17"/>
  <c r="AM12" i="17" s="1"/>
  <c r="AK4" i="17" s="1"/>
  <c r="R14" i="19" s="1"/>
  <c r="Y382" i="17"/>
  <c r="Y383" i="17"/>
  <c r="Y381" i="17"/>
  <c r="C17" i="19"/>
  <c r="F41" i="19"/>
  <c r="D15" i="19"/>
  <c r="G39" i="19"/>
  <c r="AK13" i="20"/>
  <c r="AL9" i="20"/>
  <c r="AM7" i="20"/>
  <c r="J15" i="20"/>
  <c r="I15" i="20"/>
  <c r="H15" i="22" s="1"/>
  <c r="AL13" i="17"/>
  <c r="AJ4" i="17"/>
  <c r="P14" i="19" s="1"/>
  <c r="G16" i="19"/>
  <c r="J40" i="19" s="1"/>
  <c r="F11" i="20"/>
  <c r="AB9" i="20"/>
  <c r="E15" i="19"/>
  <c r="D382" i="24"/>
  <c r="D383" i="24"/>
  <c r="AJ8" i="24"/>
  <c r="D381" i="24"/>
  <c r="D9" i="24"/>
  <c r="D11" i="24" s="1"/>
  <c r="E15" i="24"/>
  <c r="AA11" i="17"/>
  <c r="AA5" i="17" s="1"/>
  <c r="I14" i="19" s="1"/>
  <c r="AM13" i="17"/>
  <c r="E381" i="23"/>
  <c r="AJ10" i="23"/>
  <c r="AJ12" i="23" s="1"/>
  <c r="AJ13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M10" i="22"/>
  <c r="G15" i="22"/>
  <c r="CC15" i="6" s="1"/>
  <c r="F9" i="22"/>
  <c r="AA15" i="22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K9" i="23" l="1"/>
  <c r="AM9" i="23"/>
  <c r="AK11" i="23"/>
  <c r="AL9" i="22"/>
  <c r="AM7" i="22"/>
  <c r="AK13" i="22"/>
  <c r="AL5" i="18"/>
  <c r="AL11" i="18" s="1"/>
  <c r="AJ3" i="18" s="1"/>
  <c r="O15" i="19" s="1"/>
  <c r="AM5" i="18"/>
  <c r="AM11" i="18" s="1"/>
  <c r="AK3" i="18" s="1"/>
  <c r="Q15" i="19" s="1"/>
  <c r="N15" i="19" s="1"/>
  <c r="AK7" i="24"/>
  <c r="AJ9" i="24"/>
  <c r="AJ11" i="24" s="1"/>
  <c r="M15" i="19"/>
  <c r="E43" i="19"/>
  <c r="I38" i="19"/>
  <c r="I31" i="19"/>
  <c r="Z11" i="17"/>
  <c r="Z5" i="17" s="1"/>
  <c r="H14" i="19" s="1"/>
  <c r="J14" i="19"/>
  <c r="J31" i="19" s="1"/>
  <c r="C18" i="19"/>
  <c r="F42" i="19"/>
  <c r="D16" i="19"/>
  <c r="G40" i="19"/>
  <c r="D381" i="25"/>
  <c r="D383" i="25"/>
  <c r="D382" i="25"/>
  <c r="D9" i="25"/>
  <c r="D11" i="25" s="1"/>
  <c r="E44" i="19" s="1"/>
  <c r="E33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K13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AJ13" i="24" s="1"/>
  <c r="E382" i="24"/>
  <c r="E9" i="24"/>
  <c r="E11" i="24" s="1"/>
  <c r="F15" i="24"/>
  <c r="AK8" i="24"/>
  <c r="F15" i="19"/>
  <c r="AL9" i="23" l="1"/>
  <c r="AM7" i="23"/>
  <c r="E16" i="19"/>
  <c r="F16" i="19" s="1"/>
  <c r="H38" i="19"/>
  <c r="H31" i="19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AA11" i="18"/>
  <c r="AA5" i="18" s="1"/>
  <c r="I15" i="19" s="1"/>
  <c r="Z11" i="18"/>
  <c r="Z5" i="18" s="1"/>
  <c r="H15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l="1"/>
  <c r="AL11" i="22" s="1"/>
  <c r="AJ3" i="22" s="1"/>
  <c r="O17" i="19" s="1"/>
  <c r="AM5" i="22"/>
  <c r="AM11" i="22" s="1"/>
  <c r="AK3" i="22" s="1"/>
  <c r="Q17" i="19" s="1"/>
  <c r="AM7" i="24"/>
  <c r="AL9" i="24"/>
  <c r="I39" i="19"/>
  <c r="H39" i="19"/>
  <c r="M16" i="19"/>
  <c r="N16" i="19"/>
  <c r="D18" i="19"/>
  <c r="G42" i="19"/>
  <c r="C20" i="19"/>
  <c r="F44" i="19"/>
  <c r="F33" i="19" s="1"/>
  <c r="AK13" i="24"/>
  <c r="AL13" i="20"/>
  <c r="AJ4" i="20"/>
  <c r="P16" i="19" s="1"/>
  <c r="M17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N17" i="19" s="1"/>
  <c r="G19" i="19"/>
  <c r="J43" i="19" s="1"/>
  <c r="F11" i="24"/>
  <c r="AB9" i="24"/>
  <c r="G381" i="24"/>
  <c r="G382" i="24"/>
  <c r="G383" i="24"/>
  <c r="G12" i="24" s="1"/>
  <c r="C9" i="19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AL5" i="23" l="1"/>
  <c r="AL11" i="23" s="1"/>
  <c r="AJ3" i="23" s="1"/>
  <c r="O18" i="19" s="1"/>
  <c r="AM5" i="23"/>
  <c r="AM11" i="23" s="1"/>
  <c r="AK3" i="23" s="1"/>
  <c r="Q18" i="19" s="1"/>
  <c r="I40" i="19"/>
  <c r="E18" i="19"/>
  <c r="F18" i="19" s="1"/>
  <c r="H40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M18" i="19" s="1"/>
  <c r="BA7" i="7"/>
  <c r="I7" i="6"/>
  <c r="J17" i="19"/>
  <c r="AA11" i="22"/>
  <c r="AA5" i="22" s="1"/>
  <c r="I17" i="19" s="1"/>
  <c r="AM13" i="22"/>
  <c r="AK4" i="22"/>
  <c r="R17" i="19" s="1"/>
  <c r="G20" i="19"/>
  <c r="J44" i="19" s="1"/>
  <c r="J33" i="19" s="1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N18" i="19" l="1"/>
  <c r="AM5" i="24"/>
  <c r="AM11" i="24" s="1"/>
  <c r="AK3" i="24" s="1"/>
  <c r="Q19" i="19" s="1"/>
  <c r="AL5" i="24"/>
  <c r="AL11" i="24" s="1"/>
  <c r="AJ3" i="24" s="1"/>
  <c r="O19" i="19" s="1"/>
  <c r="H41" i="19"/>
  <c r="E19" i="19"/>
  <c r="F19" i="19" s="1"/>
  <c r="I41" i="19"/>
  <c r="D20" i="19"/>
  <c r="D9" i="19" s="1"/>
  <c r="G44" i="19"/>
  <c r="G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M19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N19" i="19" s="1"/>
  <c r="H43" i="19" l="1"/>
  <c r="I42" i="19"/>
  <c r="H42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N20" i="19" s="1"/>
  <c r="AM13" i="24"/>
  <c r="Y11" i="24"/>
  <c r="H15" i="25"/>
  <c r="I43" i="19" l="1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3" i="19" l="1"/>
  <c r="N33" i="19" s="1"/>
  <c r="O35" i="19"/>
  <c r="N35" i="19" s="1"/>
  <c r="O34" i="19"/>
  <c r="O36" i="19"/>
  <c r="N36" i="19" s="1"/>
  <c r="H44" i="19"/>
  <c r="H33" i="19" s="1"/>
  <c r="I33" i="19"/>
  <c r="H9" i="19"/>
  <c r="I9" i="19"/>
  <c r="J380" i="15"/>
  <c r="J381" i="15" s="1"/>
  <c r="I380" i="15"/>
  <c r="I382" i="15" s="1"/>
  <c r="N34" i="19" l="1"/>
  <c r="N32" i="19" s="1"/>
  <c r="O32" i="19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C380" i="6" s="1"/>
  <c r="I380" i="17"/>
  <c r="B380" i="6" s="1"/>
  <c r="J382" i="17" l="1"/>
  <c r="J381" i="17"/>
  <c r="J383" i="17"/>
  <c r="I382" i="17"/>
  <c r="I383" i="17"/>
  <c r="H380" i="18"/>
  <c r="I381" i="17"/>
  <c r="J380" i="18" l="1"/>
  <c r="I380" i="18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excédents du 26 Fév et 17 Sept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<sst xmlns="http://schemas.openxmlformats.org/spreadsheetml/2006/main" count="2172" uniqueCount="376">
  <si>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</si>
  <si>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</si>
  <si>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</si>
  <si>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</si>
  <si>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</si>
  <si>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</si>
  <si>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</si>
  <si>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</si>
  <si>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</si>
  <si>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</si>
  <si>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</si>
  <si>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</si>
  <si>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</si>
  <si>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</si>
  <si>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</si>
  <si>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</si>
  <si>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</si>
  <si>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</si>
  <si>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</si>
  <si>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</si>
  <si>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</si>
  <si>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</si>
  <si>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</si>
  <si>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</si>
  <si>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</si>
  <si>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</si>
  <si>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</si>
  <si>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</si>
  <si>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</si>
  <si>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</si>
  <si>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</si>
  <si>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</si>
  <si>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</si>
  <si>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</si>
  <si>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</si>
  <si>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</si>
  <si>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</si>
  <si>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</si>
  <si>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</si>
  <si>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</si>
  <si>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</si>
  <si>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</si>
  <si>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</si>
  <si>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</si>
  <si>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</si>
  <si>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</si>
  <si>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</si>
  <si>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</si>
  <si>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</si>
  <si>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</si>
  <si>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</si>
  <si>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</si>
  <si>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</si>
  <si>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</si>
  <si>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</si>
  <si>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</si>
  <si>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</si>
  <si>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</si>
  <si>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</si>
  <si>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</si>
  <si>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</si>
  <si>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</si>
  <si>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</si>
  <si>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</si>
  <si>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</si>
  <si>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</si>
  <si>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</si>
  <si>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</si>
  <si>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</si>
  <si>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</si>
  <si>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</si>
  <si>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</si>
  <si>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</si>
  <si>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</si>
  <si>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</si>
  <si>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</si>
  <si>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</si>
  <si>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</si>
  <si>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</si>
  <si>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</si>
  <si>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</si>
  <si>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</si>
  <si>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</si>
  <si>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</si>
  <si>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</si>
  <si>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</si>
  <si>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</si>
  <si>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</si>
  <si>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</si>
  <si>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</si>
  <si>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</si>
  <si>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</si>
  <si>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</si>
  <si>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</si>
  <si>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</si>
  <si>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</si>
  <si>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</si>
  <si>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</si>
  <si>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</si>
  <si>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</si>
  <si>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</si>
  <si>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</si>
  <si>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</si>
  <si>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</si>
  <si>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</si>
  <si>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</si>
  <si>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</si>
  <si>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</si>
  <si>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</si>
  <si>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</si>
  <si>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</si>
  <si>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</si>
  <si>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</si>
  <si>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</si>
  <si>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</si>
  <si>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</si>
  <si>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</si>
  <si>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</si>
  <si>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</si>
  <si>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</si>
  <si>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</si>
  <si>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</si>
  <si>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</si>
  <si>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</si>
  <si>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</si>
  <si>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</si>
  <si>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</si>
  <si>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</si>
  <si>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</si>
  <si>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</si>
  <si>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</si>
  <si>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</si>
  <si>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</si>
  <si>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</si>
  <si>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</si>
  <si>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</si>
  <si>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</si>
  <si>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</si>
  <si>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</si>
  <si>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</si>
  <si>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</si>
  <si>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</si>
  <si>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</si>
  <si>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</si>
  <si>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</si>
  <si>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</si>
  <si>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</si>
  <si>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</si>
  <si>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</si>
  <si>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</si>
  <si>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</si>
  <si>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</si>
  <si>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</si>
  <si>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</si>
  <si>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</si>
  <si>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</si>
  <si>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</si>
  <si>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</si>
  <si>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</si>
  <si>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</si>
  <si>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</si>
  <si>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</si>
  <si>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</si>
  <si>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</si>
  <si>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</si>
  <si>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</si>
  <si>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</si>
  <si>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</si>
  <si>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</si>
  <si>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</si>
  <si>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</si>
  <si>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</si>
  <si>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</si>
  <si>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</si>
  <si>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</si>
  <si>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</si>
  <si>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</si>
  <si>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</si>
  <si>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</si>
  <si>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</si>
  <si>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</si>
  <si>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</si>
  <si>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</si>
  <si>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</si>
  <si>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</si>
  <si>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</si>
  <si>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</si>
  <si>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</si>
  <si>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</si>
  <si>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</si>
  <si>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</si>
  <si>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</si>
  <si>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</si>
  <si>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</si>
  <si>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</si>
  <si>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</si>
  <si>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</si>
  <si>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</si>
  <si>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</si>
  <si>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</si>
  <si>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</si>
  <si>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</si>
  <si>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</si>
  <si>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</si>
  <si>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</si>
  <si>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</si>
  <si>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</si>
  <si>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</si>
  <si>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</si>
  <si>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</si>
  <si>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</si>
  <si>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</si>
  <si>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</si>
  <si>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</si>
  <si>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</si>
  <si>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</si>
  <si>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</si>
  <si>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</si>
  <si>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</si>
  <si>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</si>
  <si>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</si>
  <si>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</si>
  <si>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</si>
  <si>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</si>
  <si>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</si>
  <si>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</si>
  <si>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</si>
  <si>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</si>
  <si>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</si>
  <si>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</si>
  <si>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</si>
  <si>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</si>
  <si>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</si>
  <si>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</si>
  <si>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</si>
  <si>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</si>
  <si>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</si>
  <si>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</si>
  <si>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</si>
  <si>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</si>
  <si>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</si>
  <si>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</si>
  <si>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</si>
  <si>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</si>
  <si>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</si>
  <si>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</si>
  <si>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</si>
  <si>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</si>
  <si>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</si>
  <si>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</si>
  <si>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</si>
  <si>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</si>
  <si>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</si>
  <si>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</si>
  <si>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</si>
  <si>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</si>
  <si>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</si>
  <si>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</si>
  <si>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</si>
  <si>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</si>
  <si>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</si>
  <si>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</si>
  <si>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</si>
  <si>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</si>
  <si>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</si>
  <si>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</si>
  <si>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</si>
  <si>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</si>
  <si>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</si>
  <si>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</si>
  <si>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</si>
  <si>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</si>
  <si>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</si>
  <si>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</si>
  <si>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</si>
  <si>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</si>
  <si>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</si>
  <si>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</si>
  <si>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</si>
  <si>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</si>
  <si>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</si>
  <si>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</si>
  <si>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</si>
  <si>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</si>
  <si>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</si>
  <si>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</si>
  <si>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</si>
  <si>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</si>
  <si>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</si>
  <si>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</si>
  <si>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</si>
  <si>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</si>
  <si>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</si>
  <si>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</si>
  <si>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</si>
  <si>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</si>
  <si>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</si>
  <si>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</si>
  <si>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</si>
  <si>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</si>
  <si>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</si>
  <si>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</si>
  <si>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</si>
  <si>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</si>
  <si>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</si>
  <si>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</si>
  <si>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</si>
  <si>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</si>
  <si>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</si>
  <si>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</si>
  <si>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</si>
  <si>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</si>
  <si>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</si>
  <si>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</si>
  <si>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</si>
  <si>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</si>
  <si>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</si>
  <si>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</si>
  <si>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</si>
  <si>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</si>
  <si>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</si>
  <si>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</si>
  <si>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</si>
  <si>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MdS Escalquens</t>
  </si>
  <si>
    <t>Arbre 3</t>
  </si>
  <si>
    <t>Arbre 9</t>
  </si>
  <si>
    <t>Arbre 1</t>
  </si>
  <si>
    <t>Arbre 10</t>
  </si>
  <si>
    <t>Arbre 11</t>
  </si>
  <si>
    <t>Arbre 12</t>
  </si>
  <si>
    <t>Arbre 13</t>
  </si>
  <si>
    <t>Arbre 14</t>
  </si>
  <si>
    <t>Arbre 15</t>
  </si>
  <si>
    <t>Arbre 16</t>
  </si>
  <si>
    <t>Centre du champ PV G.E.:</t>
  </si>
  <si>
    <t>Centre du champ PV G.C.:</t>
  </si>
  <si>
    <t>Centre du champ PV D.C.:</t>
  </si>
  <si>
    <t>Centre du champ PV D.E.:</t>
  </si>
  <si>
    <t>Lampadaire parc sud</t>
  </si>
  <si>
    <t>Porte entrée MdS</t>
  </si>
  <si>
    <t>Entrée MdS</t>
  </si>
  <si>
    <t>Coin parking Nord</t>
  </si>
  <si>
    <t>Chemin SE face entrée MdS</t>
  </si>
  <si>
    <t>2022-01 Escalq MdS pano</t>
  </si>
  <si>
    <t>2022-01Escalq MdS arrière</t>
  </si>
  <si>
    <t>Hauteur 0 = Entrée MdS</t>
  </si>
  <si>
    <t>Hauteur fenêtre arrière batiment</t>
  </si>
  <si>
    <t>Vitre H</t>
  </si>
  <si>
    <t>Vitre B</t>
  </si>
  <si>
    <t>Toiture D</t>
  </si>
  <si>
    <t>2022-01-MsS entrée</t>
  </si>
  <si>
    <t>Sélection champ PV</t>
  </si>
  <si>
    <t>Externe ou Centre (E/C):</t>
  </si>
  <si>
    <t>E</t>
  </si>
  <si>
    <t>Gauche / Droite: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</si>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</sst>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91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Alignment="1" applyProtection="1">
      <alignment horizontal="center"/>
      <protection locked="0"/>
    </xf>
    <xf numFmtId="2" fontId="95" fillId="0" borderId="1" xfId="0" applyNumberFormat="1" applyFont="1" applyBorder="1" applyProtection="1">
      <protection locked="0"/>
    </xf>
    <xf numFmtId="0" fontId="36" fillId="0" borderId="0" xfId="0" applyFont="1" applyBorder="1" applyAlignment="1" applyProtection="1">
      <alignment horizontal="left"/>
    </xf>
    <xf numFmtId="2" fontId="38" fillId="0" borderId="0" xfId="0" applyNumberFormat="1" applyFont="1" applyAlignment="1" applyProtection="1">
      <alignment horizontal="center" vertical="center"/>
    </xf>
    <xf numFmtId="0" fontId="33" fillId="0" borderId="0" xfId="0" applyFont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0" borderId="21" xfId="0" applyNumberFormat="1" applyFont="1" applyBorder="1" applyProtection="1"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100" fillId="0" borderId="0" xfId="0" applyNumberFormat="1" applyFont="1" applyFill="1" applyBorder="1" applyProtection="1">
      <protection locked="0"/>
    </xf>
    <xf numFmtId="2" fontId="93" fillId="34" borderId="22" xfId="0" applyNumberFormat="1" applyFont="1" applyFill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2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6.9312393969065518</c:v>
                </c:pt>
                <c:pt idx="6">
                  <c:v>6.6749068975496648</c:v>
                </c:pt>
                <c:pt idx="7">
                  <c:v>6.2034049318622841</c:v>
                </c:pt>
                <c:pt idx="8">
                  <c:v>5.4247462361335632</c:v>
                </c:pt>
                <c:pt idx="9">
                  <c:v>4.32011202477889</c:v>
                </c:pt>
                <c:pt idx="10">
                  <c:v>3.2280215515929003</c:v>
                </c:pt>
                <c:pt idx="11">
                  <c:v>2.648736386140448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3.070426909927114</c:v>
                </c:pt>
                <c:pt idx="1">
                  <c:v>4.1464141105098493</c:v>
                </c:pt>
                <c:pt idx="2">
                  <c:v>5.3334430058244333</c:v>
                </c:pt>
                <c:pt idx="3">
                  <c:v>6.3479853871903362</c:v>
                </c:pt>
                <c:pt idx="4">
                  <c:v>6.7529534386004508</c:v>
                </c:pt>
                <c:pt idx="5">
                  <c:v>6.7034214799798253</c:v>
                </c:pt>
                <c:pt idx="6">
                  <c:v>6.4582863180280903</c:v>
                </c:pt>
                <c:pt idx="7">
                  <c:v>6.0058108988083099</c:v>
                </c:pt>
                <c:pt idx="8">
                  <c:v>5.255224625846604</c:v>
                </c:pt>
                <c:pt idx="9">
                  <c:v>4.1873218015246989</c:v>
                </c:pt>
                <c:pt idx="10">
                  <c:v>3.1306340287514041</c:v>
                </c:pt>
                <c:pt idx="11">
                  <c:v>2.5698281531515299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2.9799067222601106</c:v>
                </c:pt>
                <c:pt idx="1">
                  <c:v>4.0421124486868134</c:v>
                </c:pt>
                <c:pt idx="2">
                  <c:v>5.2100825706933103</c:v>
                </c:pt>
                <c:pt idx="3">
                  <c:v>6.1726724922776386</c:v>
                </c:pt>
                <c:pt idx="4">
                  <c:v>6.5380112598129001</c:v>
                </c:pt>
                <c:pt idx="5">
                  <c:v>6.472103286577207</c:v>
                </c:pt>
                <c:pt idx="6">
                  <c:v>6.2236644747693068</c:v>
                </c:pt>
                <c:pt idx="7">
                  <c:v>5.7737114984722719</c:v>
                </c:pt>
                <c:pt idx="8">
                  <c:v>5.0350849772225166</c:v>
                </c:pt>
                <c:pt idx="9">
                  <c:v>3.9959664461716846</c:v>
                </c:pt>
                <c:pt idx="10">
                  <c:v>2.9850745856133689</c:v>
                </c:pt>
                <c:pt idx="11">
                  <c:v>2.4663596141793152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2.8675341085356125</c:v>
                </c:pt>
                <c:pt idx="1">
                  <c:v>3.8758390763918746</c:v>
                </c:pt>
                <c:pt idx="2">
                  <c:v>4.9880585981936472</c:v>
                </c:pt>
                <c:pt idx="3">
                  <c:v>5.935667615320714</c:v>
                </c:pt>
                <c:pt idx="4">
                  <c:v>6.8157947191769104</c:v>
                </c:pt>
                <c:pt idx="5">
                  <c:v>6.7812554024621257</c:v>
                </c:pt>
                <c:pt idx="6">
                  <c:v>6.5302197664740129</c:v>
                </c:pt>
                <c:pt idx="7">
                  <c:v>6.0681628302166706</c:v>
                </c:pt>
                <c:pt idx="8">
                  <c:v>5.3045638731784637</c:v>
                </c:pt>
                <c:pt idx="9">
                  <c:v>4.2189113682191133</c:v>
                </c:pt>
                <c:pt idx="10">
                  <c:v>3.1469166228296213</c:v>
                </c:pt>
                <c:pt idx="11">
                  <c:v>2.5787510049751856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2.993923094437037</c:v>
                </c:pt>
                <c:pt idx="1">
                  <c:v>4.0506214220537258</c:v>
                </c:pt>
                <c:pt idx="2">
                  <c:v>5.2165737194931738</c:v>
                </c:pt>
                <c:pt idx="3">
                  <c:v>6.2110341947264169</c:v>
                </c:pt>
                <c:pt idx="4">
                  <c:v>6.6078559421467009</c:v>
                </c:pt>
                <c:pt idx="5">
                  <c:v>6.5595615294737302</c:v>
                </c:pt>
                <c:pt idx="6">
                  <c:v>6.319415855523089</c:v>
                </c:pt>
                <c:pt idx="7">
                  <c:v>5.875782754360813</c:v>
                </c:pt>
                <c:pt idx="8">
                  <c:v>5.1392261642962778</c:v>
                </c:pt>
                <c:pt idx="9">
                  <c:v>4.088666352636591</c:v>
                </c:pt>
                <c:pt idx="10">
                  <c:v>3.0505018295428261</c:v>
                </c:pt>
                <c:pt idx="11">
                  <c:v>2.5007992837407218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2.9067325741407446</c:v>
                </c:pt>
                <c:pt idx="1">
                  <c:v>3.9380238265585774</c:v>
                </c:pt>
                <c:pt idx="2">
                  <c:v>5.076713956882279</c:v>
                </c:pt>
                <c:pt idx="3">
                  <c:v>6.0479231944544614</c:v>
                </c:pt>
                <c:pt idx="4">
                  <c:v>6.7360680362858396</c:v>
                </c:pt>
                <c:pt idx="5">
                  <c:v>6.6857854676981958</c:v>
                </c:pt>
                <c:pt idx="6">
                  <c:v>6.4379967289140607</c:v>
                </c:pt>
                <c:pt idx="7">
                  <c:v>5.9815800821176008</c:v>
                </c:pt>
                <c:pt idx="8">
                  <c:v>5.2266264433944132</c:v>
                </c:pt>
                <c:pt idx="9">
                  <c:v>4.1510468606351489</c:v>
                </c:pt>
                <c:pt idx="10">
                  <c:v>3.0909453499855317</c:v>
                </c:pt>
                <c:pt idx="11">
                  <c:v>2.5321053094280814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2.9414054525100406</c:v>
                </c:pt>
                <c:pt idx="1">
                  <c:v>3.9864743957999575</c:v>
                </c:pt>
                <c:pt idx="2">
                  <c:v>5.140160744404831</c:v>
                </c:pt>
                <c:pt idx="3">
                  <c:v>6.1224389505089567</c:v>
                </c:pt>
                <c:pt idx="4">
                  <c:v>6.5141999400163035</c:v>
                </c:pt>
                <c:pt idx="5">
                  <c:v>6.4666998244978116</c:v>
                </c:pt>
                <c:pt idx="6">
                  <c:v>6.2296411266775626</c:v>
                </c:pt>
                <c:pt idx="7">
                  <c:v>5.7913113545438959</c:v>
                </c:pt>
                <c:pt idx="8">
                  <c:v>5.0627148733967697</c:v>
                </c:pt>
                <c:pt idx="9">
                  <c:v>4.0211085016376948</c:v>
                </c:pt>
                <c:pt idx="10">
                  <c:v>2.9946128011282904</c:v>
                </c:pt>
                <c:pt idx="11">
                  <c:v>2.4555661710607199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2.8548959301411037</c:v>
                </c:pt>
                <c:pt idx="1">
                  <c:v>3.874675333774702</c:v>
                </c:pt>
                <c:pt idx="2">
                  <c:v>5.0020682343242777</c:v>
                </c:pt>
                <c:pt idx="3">
                  <c:v>5.9751204336405364</c:v>
                </c:pt>
                <c:pt idx="4">
                  <c:v>6.6432944542150016</c:v>
                </c:pt>
                <c:pt idx="5">
                  <c:v>6.5935012858382462</c:v>
                </c:pt>
                <c:pt idx="6">
                  <c:v>6.3497623857180407</c:v>
                </c:pt>
                <c:pt idx="7">
                  <c:v>5.9013748868554048</c:v>
                </c:pt>
                <c:pt idx="8">
                  <c:v>5.1607766168277598</c:v>
                </c:pt>
                <c:pt idx="9">
                  <c:v>4.1100623357843222</c:v>
                </c:pt>
                <c:pt idx="10">
                  <c:v>3.0712395199304492</c:v>
                </c:pt>
                <c:pt idx="11">
                  <c:v>2.520194696089789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2.9214493161494346</c:v>
                </c:pt>
                <c:pt idx="1">
                  <c:v>3.9452430241366909</c:v>
                </c:pt>
                <c:pt idx="2">
                  <c:v>5.0747275824048934</c:v>
                </c:pt>
                <c:pt idx="3">
                  <c:v>6.0401296786950995</c:v>
                </c:pt>
                <c:pt idx="4">
                  <c:v>6.4254958648823965</c:v>
                </c:pt>
                <c:pt idx="5">
                  <c:v>6.3783907749648288</c:v>
                </c:pt>
                <c:pt idx="6">
                  <c:v>6.1452191046760412</c:v>
                </c:pt>
                <c:pt idx="7">
                  <c:v>5.7147909747539805</c:v>
                </c:pt>
                <c:pt idx="8">
                  <c:v>5.000699206951559</c:v>
                </c:pt>
                <c:pt idx="9">
                  <c:v>3.9846877627380568</c:v>
                </c:pt>
                <c:pt idx="10">
                  <c:v>2.979291728348914</c:v>
                </c:pt>
                <c:pt idx="11">
                  <c:v>2.4457092676878904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2.8382823602461933</c:v>
                </c:pt>
                <c:pt idx="1">
                  <c:v>3.8368017454419854</c:v>
                </c:pt>
                <c:pt idx="2">
                  <c:v>4.9393337321527371</c:v>
                </c:pt>
                <c:pt idx="3">
                  <c:v>5.8819175237566057</c:v>
                </c:pt>
                <c:pt idx="4">
                  <c:v>6.551142344789624</c:v>
                </c:pt>
                <c:pt idx="5">
                  <c:v>6.5021204465091555</c:v>
                </c:pt>
                <c:pt idx="6">
                  <c:v>6.2615666756551835</c:v>
                </c:pt>
                <c:pt idx="7">
                  <c:v>5.8189093610869742</c:v>
                </c:pt>
                <c:pt idx="8">
                  <c:v>5.0875875366924266</c:v>
                </c:pt>
                <c:pt idx="9">
                  <c:v>4.0487962437289342</c:v>
                </c:pt>
                <c:pt idx="10">
                  <c:v>3.0225699191645488</c:v>
                </c:pt>
                <c:pt idx="11">
                  <c:v>2.4779736585968513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61688"/>
        <c:axId val="392860904"/>
      </c:lineChart>
      <c:dateAx>
        <c:axId val="39286168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090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9286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16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22.537704513700483</c:v>
                </c:pt>
                <c:pt idx="1">
                  <c:v>22.678365436537334</c:v>
                </c:pt>
                <c:pt idx="2">
                  <c:v>22.828093353293426</c:v>
                </c:pt>
                <c:pt idx="3">
                  <c:v>22.986422138497854</c:v>
                </c:pt>
                <c:pt idx="4">
                  <c:v>23.152885684938369</c:v>
                </c:pt>
                <c:pt idx="5">
                  <c:v>23.327017904015925</c:v>
                </c:pt>
                <c:pt idx="6">
                  <c:v>23.508352742765339</c:v>
                </c:pt>
                <c:pt idx="7">
                  <c:v>23.696424194547891</c:v>
                </c:pt>
                <c:pt idx="8">
                  <c:v>23.893666741238373</c:v>
                </c:pt>
                <c:pt idx="9">
                  <c:v>24.102248897831711</c:v>
                </c:pt>
                <c:pt idx="10">
                  <c:v>24.321329928064294</c:v>
                </c:pt>
                <c:pt idx="11">
                  <c:v>24.550140829986919</c:v>
                </c:pt>
                <c:pt idx="12">
                  <c:v>24.787912791048434</c:v>
                </c:pt>
                <c:pt idx="13">
                  <c:v>25.033877210534097</c:v>
                </c:pt>
                <c:pt idx="14">
                  <c:v>25.287265702252061</c:v>
                </c:pt>
                <c:pt idx="15">
                  <c:v>25.54739804353412</c:v>
                </c:pt>
                <c:pt idx="16">
                  <c:v>25.813616283707049</c:v>
                </c:pt>
                <c:pt idx="17">
                  <c:v>26.085152664533219</c:v>
                </c:pt>
                <c:pt idx="18">
                  <c:v>26.36123968103367</c:v>
                </c:pt>
                <c:pt idx="19">
                  <c:v>26.641109726748976</c:v>
                </c:pt>
                <c:pt idx="20">
                  <c:v>26.923995301079763</c:v>
                </c:pt>
                <c:pt idx="21">
                  <c:v>27.209127370165053</c:v>
                </c:pt>
                <c:pt idx="22">
                  <c:v>27.499587136193401</c:v>
                </c:pt>
                <c:pt idx="23">
                  <c:v>27.798366143556052</c:v>
                </c:pt>
                <c:pt idx="24">
                  <c:v>28.104634208412378</c:v>
                </c:pt>
                <c:pt idx="25">
                  <c:v>28.417497891315456</c:v>
                </c:pt>
                <c:pt idx="26">
                  <c:v>28.736064106858443</c:v>
                </c:pt>
                <c:pt idx="27">
                  <c:v>29.059440134852625</c:v>
                </c:pt>
                <c:pt idx="28">
                  <c:v>29.386733617807469</c:v>
                </c:pt>
                <c:pt idx="29">
                  <c:v>29.717021506196595</c:v>
                </c:pt>
                <c:pt idx="30">
                  <c:v>30.04932439618905</c:v>
                </c:pt>
                <c:pt idx="31">
                  <c:v>30.382751039643043</c:v>
                </c:pt>
                <c:pt idx="32">
                  <c:v>30.716410554896768</c:v>
                </c:pt>
                <c:pt idx="33">
                  <c:v>31.049412419800866</c:v>
                </c:pt>
                <c:pt idx="34">
                  <c:v>31.380866475595568</c:v>
                </c:pt>
                <c:pt idx="35">
                  <c:v>31.709882924565754</c:v>
                </c:pt>
                <c:pt idx="36">
                  <c:v>32.038012453735021</c:v>
                </c:pt>
                <c:pt idx="37">
                  <c:v>32.367374248309162</c:v>
                </c:pt>
                <c:pt idx="38">
                  <c:v>32.697872039586045</c:v>
                </c:pt>
                <c:pt idx="39">
                  <c:v>33.029406942043323</c:v>
                </c:pt>
                <c:pt idx="40">
                  <c:v>33.361880132080458</c:v>
                </c:pt>
                <c:pt idx="41">
                  <c:v>33.695192843498234</c:v>
                </c:pt>
                <c:pt idx="42">
                  <c:v>34.029246361815765</c:v>
                </c:pt>
                <c:pt idx="43">
                  <c:v>34.363962851465594</c:v>
                </c:pt>
                <c:pt idx="44">
                  <c:v>34.69927488346849</c:v>
                </c:pt>
                <c:pt idx="45">
                  <c:v>35.035083921015307</c:v>
                </c:pt>
                <c:pt idx="46">
                  <c:v>35.371291460599309</c:v>
                </c:pt>
                <c:pt idx="47">
                  <c:v>35.707799023884597</c:v>
                </c:pt>
                <c:pt idx="48">
                  <c:v>36.044508152029891</c:v>
                </c:pt>
                <c:pt idx="49">
                  <c:v>36.3813203979566</c:v>
                </c:pt>
                <c:pt idx="50">
                  <c:v>36.718384319299361</c:v>
                </c:pt>
                <c:pt idx="51">
                  <c:v>37.055895971640894</c:v>
                </c:pt>
                <c:pt idx="52">
                  <c:v>37.393814163343009</c:v>
                </c:pt>
                <c:pt idx="53">
                  <c:v>37.732139214583221</c:v>
                </c:pt>
                <c:pt idx="54">
                  <c:v>38.070871190254024</c:v>
                </c:pt>
                <c:pt idx="55">
                  <c:v>38.410010090527834</c:v>
                </c:pt>
                <c:pt idx="56">
                  <c:v>38.749555846305917</c:v>
                </c:pt>
                <c:pt idx="57">
                  <c:v>39.089476491199811</c:v>
                </c:pt>
                <c:pt idx="58">
                  <c:v>39.429750837608424</c:v>
                </c:pt>
                <c:pt idx="59">
                  <c:v>39.770378531627294</c:v>
                </c:pt>
                <c:pt idx="60">
                  <c:v>40.111359137467964</c:v>
                </c:pt>
                <c:pt idx="61">
                  <c:v>40.452692134712649</c:v>
                </c:pt>
                <c:pt idx="62">
                  <c:v>40.794376916593059</c:v>
                </c:pt>
                <c:pt idx="63">
                  <c:v>41.136412786865286</c:v>
                </c:pt>
                <c:pt idx="64">
                  <c:v>41.479867947339912</c:v>
                </c:pt>
                <c:pt idx="65">
                  <c:v>41.825461595000903</c:v>
                </c:pt>
                <c:pt idx="66">
                  <c:v>42.172717177163044</c:v>
                </c:pt>
                <c:pt idx="67">
                  <c:v>42.521139954480347</c:v>
                </c:pt>
                <c:pt idx="68">
                  <c:v>42.870235260786515</c:v>
                </c:pt>
                <c:pt idx="69">
                  <c:v>43.219508502527013</c:v>
                </c:pt>
                <c:pt idx="70">
                  <c:v>43.568465157593877</c:v>
                </c:pt>
                <c:pt idx="71">
                  <c:v>43.916608621257495</c:v>
                </c:pt>
                <c:pt idx="72">
                  <c:v>44.263476567359717</c:v>
                </c:pt>
                <c:pt idx="73">
                  <c:v>44.608574754565538</c:v>
                </c:pt>
                <c:pt idx="74">
                  <c:v>44.951409026099689</c:v>
                </c:pt>
                <c:pt idx="75">
                  <c:v>45.29148531661771</c:v>
                </c:pt>
                <c:pt idx="76">
                  <c:v>45.628309652132764</c:v>
                </c:pt>
                <c:pt idx="77">
                  <c:v>45.961388156115156</c:v>
                </c:pt>
                <c:pt idx="78">
                  <c:v>46.293167184884098</c:v>
                </c:pt>
                <c:pt idx="79">
                  <c:v>46.625889590809258</c:v>
                </c:pt>
                <c:pt idx="80">
                  <c:v>46.958784710434095</c:v>
                </c:pt>
                <c:pt idx="81">
                  <c:v>47.291062159256356</c:v>
                </c:pt>
                <c:pt idx="82">
                  <c:v>47.621931788987432</c:v>
                </c:pt>
                <c:pt idx="83">
                  <c:v>47.95060369590945</c:v>
                </c:pt>
                <c:pt idx="84">
                  <c:v>48.2762882301313</c:v>
                </c:pt>
                <c:pt idx="85">
                  <c:v>48.598190317812815</c:v>
                </c:pt>
                <c:pt idx="86">
                  <c:v>48.915523050457189</c:v>
                </c:pt>
                <c:pt idx="87">
                  <c:v>49.227497574636033</c:v>
                </c:pt>
                <c:pt idx="88">
                  <c:v>49.533325332177824</c:v>
                </c:pt>
                <c:pt idx="89">
                  <c:v>49.832218064225515</c:v>
                </c:pt>
                <c:pt idx="90">
                  <c:v>50.123387829100544</c:v>
                </c:pt>
                <c:pt idx="91">
                  <c:v>50.40604701039365</c:v>
                </c:pt>
                <c:pt idx="92">
                  <c:v>50.681589978426821</c:v>
                </c:pt>
                <c:pt idx="93">
                  <c:v>50.951869164262718</c:v>
                </c:pt>
                <c:pt idx="94">
                  <c:v>51.216790953342084</c:v>
                </c:pt>
                <c:pt idx="95">
                  <c:v>51.476256234589677</c:v>
                </c:pt>
                <c:pt idx="96">
                  <c:v>51.730165978906825</c:v>
                </c:pt>
                <c:pt idx="97">
                  <c:v>51.978421245173642</c:v>
                </c:pt>
                <c:pt idx="98">
                  <c:v>52.220923184119762</c:v>
                </c:pt>
                <c:pt idx="99">
                  <c:v>52.457572356036543</c:v>
                </c:pt>
                <c:pt idx="100">
                  <c:v>52.688276147905661</c:v>
                </c:pt>
                <c:pt idx="101">
                  <c:v>52.912936123908196</c:v>
                </c:pt>
                <c:pt idx="102">
                  <c:v>53.13145397356503</c:v>
                </c:pt>
                <c:pt idx="103">
                  <c:v>53.343731526990943</c:v>
                </c:pt>
                <c:pt idx="104">
                  <c:v>53.54967075460106</c:v>
                </c:pt>
                <c:pt idx="105">
                  <c:v>53.749173779976871</c:v>
                </c:pt>
                <c:pt idx="106">
                  <c:v>53.942388560588896</c:v>
                </c:pt>
                <c:pt idx="107">
                  <c:v>54.129525659259066</c:v>
                </c:pt>
                <c:pt idx="108">
                  <c:v>54.310586473687152</c:v>
                </c:pt>
                <c:pt idx="109">
                  <c:v>54.485571771563301</c:v>
                </c:pt>
                <c:pt idx="110">
                  <c:v>54.654482429859655</c:v>
                </c:pt>
                <c:pt idx="111">
                  <c:v>54.817319465236451</c:v>
                </c:pt>
                <c:pt idx="112">
                  <c:v>54.974084065374562</c:v>
                </c:pt>
                <c:pt idx="113">
                  <c:v>55.124774700841783</c:v>
                </c:pt>
                <c:pt idx="114">
                  <c:v>55.269393604989958</c:v>
                </c:pt>
                <c:pt idx="115">
                  <c:v>55.407942384398808</c:v>
                </c:pt>
                <c:pt idx="116">
                  <c:v>55.54042281655925</c:v>
                </c:pt>
                <c:pt idx="117">
                  <c:v>55.666836853850768</c:v>
                </c:pt>
                <c:pt idx="118">
                  <c:v>55.787186633887806</c:v>
                </c:pt>
                <c:pt idx="119">
                  <c:v>55.90147447519491</c:v>
                </c:pt>
                <c:pt idx="120">
                  <c:v>56.008852695926279</c:v>
                </c:pt>
                <c:pt idx="121">
                  <c:v>60.739063746174971</c:v>
                </c:pt>
                <c:pt idx="122">
                  <c:v>60.84114804254223</c:v>
                </c:pt>
                <c:pt idx="123">
                  <c:v>60.93604547748879</c:v>
                </c:pt>
                <c:pt idx="124">
                  <c:v>61.024182798804361</c:v>
                </c:pt>
                <c:pt idx="125">
                  <c:v>61.105986586384113</c:v>
                </c:pt>
                <c:pt idx="126">
                  <c:v>61.181883259556081</c:v>
                </c:pt>
                <c:pt idx="127">
                  <c:v>61.252300024057462</c:v>
                </c:pt>
                <c:pt idx="128">
                  <c:v>61.317666705608822</c:v>
                </c:pt>
                <c:pt idx="129">
                  <c:v>61.378409409475168</c:v>
                </c:pt>
                <c:pt idx="130">
                  <c:v>61.434954085582099</c:v>
                </c:pt>
                <c:pt idx="131">
                  <c:v>61.487726532423522</c:v>
                </c:pt>
                <c:pt idx="132">
                  <c:v>61.537152392425533</c:v>
                </c:pt>
                <c:pt idx="133">
                  <c:v>61.583657153165483</c:v>
                </c:pt>
                <c:pt idx="134">
                  <c:v>61.626146385326408</c:v>
                </c:pt>
                <c:pt idx="135">
                  <c:v>61.663386245388182</c:v>
                </c:pt>
                <c:pt idx="136">
                  <c:v>61.695595968328348</c:v>
                </c:pt>
                <c:pt idx="137">
                  <c:v>61.722989800542848</c:v>
                </c:pt>
                <c:pt idx="138">
                  <c:v>61.745781929283893</c:v>
                </c:pt>
                <c:pt idx="139">
                  <c:v>61.764186485533571</c:v>
                </c:pt>
                <c:pt idx="140">
                  <c:v>61.77841754436102</c:v>
                </c:pt>
                <c:pt idx="141">
                  <c:v>61.788685833505788</c:v>
                </c:pt>
                <c:pt idx="142">
                  <c:v>61.795204097498427</c:v>
                </c:pt>
                <c:pt idx="143">
                  <c:v>61.79818609020311</c:v>
                </c:pt>
                <c:pt idx="144">
                  <c:v>61.797845451974851</c:v>
                </c:pt>
                <c:pt idx="145">
                  <c:v>61.794395754379764</c:v>
                </c:pt>
                <c:pt idx="146">
                  <c:v>61.788050493125418</c:v>
                </c:pt>
                <c:pt idx="147">
                  <c:v>61.779023086151248</c:v>
                </c:pt>
                <c:pt idx="148">
                  <c:v>61.766080048971709</c:v>
                </c:pt>
                <c:pt idx="149">
                  <c:v>61.74812885773931</c:v>
                </c:pt>
                <c:pt idx="150">
                  <c:v>61.725593668428949</c:v>
                </c:pt>
                <c:pt idx="151">
                  <c:v>61.698900015064375</c:v>
                </c:pt>
                <c:pt idx="152">
                  <c:v>61.668473247474708</c:v>
                </c:pt>
                <c:pt idx="153">
                  <c:v>61.634738527588809</c:v>
                </c:pt>
                <c:pt idx="154">
                  <c:v>61.598120824099276</c:v>
                </c:pt>
                <c:pt idx="155">
                  <c:v>61.559040638558663</c:v>
                </c:pt>
                <c:pt idx="156">
                  <c:v>61.517926338767076</c:v>
                </c:pt>
                <c:pt idx="157">
                  <c:v>61.475202297091833</c:v>
                </c:pt>
                <c:pt idx="158">
                  <c:v>61.431292682643182</c:v>
                </c:pt>
                <c:pt idx="159">
                  <c:v>61.386621461545722</c:v>
                </c:pt>
                <c:pt idx="160">
                  <c:v>61.341612392862174</c:v>
                </c:pt>
                <c:pt idx="161">
                  <c:v>61.296689027095894</c:v>
                </c:pt>
                <c:pt idx="162">
                  <c:v>61.251217698966116</c:v>
                </c:pt>
                <c:pt idx="163">
                  <c:v>61.204279706767494</c:v>
                </c:pt>
                <c:pt idx="164">
                  <c:v>61.15587681844319</c:v>
                </c:pt>
                <c:pt idx="165">
                  <c:v>61.106009929944747</c:v>
                </c:pt>
                <c:pt idx="166">
                  <c:v>61.054679906527305</c:v>
                </c:pt>
                <c:pt idx="167">
                  <c:v>61.001887578094831</c:v>
                </c:pt>
                <c:pt idx="168">
                  <c:v>60.947633740757894</c:v>
                </c:pt>
                <c:pt idx="169">
                  <c:v>60.891915517534166</c:v>
                </c:pt>
                <c:pt idx="170">
                  <c:v>60.83473844972039</c:v>
                </c:pt>
                <c:pt idx="171">
                  <c:v>60.776103247400719</c:v>
                </c:pt>
                <c:pt idx="172">
                  <c:v>60.716010578129449</c:v>
                </c:pt>
                <c:pt idx="173">
                  <c:v>60.65446112790756</c:v>
                </c:pt>
                <c:pt idx="174">
                  <c:v>60.591455544809556</c:v>
                </c:pt>
                <c:pt idx="175">
                  <c:v>60.526994377233422</c:v>
                </c:pt>
                <c:pt idx="176">
                  <c:v>60.46107813354002</c:v>
                </c:pt>
                <c:pt idx="177">
                  <c:v>60.393702139261528</c:v>
                </c:pt>
                <c:pt idx="178">
                  <c:v>60.324870592348312</c:v>
                </c:pt>
                <c:pt idx="179">
                  <c:v>60.254583858695156</c:v>
                </c:pt>
                <c:pt idx="180">
                  <c:v>60.182842265900035</c:v>
                </c:pt>
                <c:pt idx="181">
                  <c:v>60.109646106131343</c:v>
                </c:pt>
                <c:pt idx="182">
                  <c:v>60.034995635116765</c:v>
                </c:pt>
                <c:pt idx="183">
                  <c:v>59.958890088163471</c:v>
                </c:pt>
                <c:pt idx="184">
                  <c:v>59.881333618829579</c:v>
                </c:pt>
                <c:pt idx="185">
                  <c:v>59.802326424329145</c:v>
                </c:pt>
                <c:pt idx="186">
                  <c:v>59.721868671749156</c:v>
                </c:pt>
                <c:pt idx="187">
                  <c:v>59.63996049739265</c:v>
                </c:pt>
                <c:pt idx="188">
                  <c:v>59.556602012460274</c:v>
                </c:pt>
                <c:pt idx="189">
                  <c:v>59.471793302796137</c:v>
                </c:pt>
                <c:pt idx="190">
                  <c:v>59.3859910972457</c:v>
                </c:pt>
                <c:pt idx="191">
                  <c:v>59.29950641603196</c:v>
                </c:pt>
                <c:pt idx="192">
                  <c:v>59.212133752990638</c:v>
                </c:pt>
                <c:pt idx="193">
                  <c:v>59.123662253243594</c:v>
                </c:pt>
                <c:pt idx="194">
                  <c:v>59.033881139022689</c:v>
                </c:pt>
                <c:pt idx="195">
                  <c:v>58.942579711634743</c:v>
                </c:pt>
                <c:pt idx="196">
                  <c:v>58.849547353858647</c:v>
                </c:pt>
                <c:pt idx="197">
                  <c:v>58.754575299457223</c:v>
                </c:pt>
                <c:pt idx="198">
                  <c:v>58.657454131437774</c:v>
                </c:pt>
                <c:pt idx="199">
                  <c:v>58.557973493603257</c:v>
                </c:pt>
                <c:pt idx="200">
                  <c:v>58.455923118858202</c:v>
                </c:pt>
                <c:pt idx="201">
                  <c:v>58.35109283000849</c:v>
                </c:pt>
                <c:pt idx="202">
                  <c:v>58.243272546250743</c:v>
                </c:pt>
                <c:pt idx="203">
                  <c:v>58.132252281756394</c:v>
                </c:pt>
                <c:pt idx="204">
                  <c:v>58.018348332939276</c:v>
                </c:pt>
                <c:pt idx="205">
                  <c:v>57.902018712285788</c:v>
                </c:pt>
                <c:pt idx="206">
                  <c:v>57.783268975546683</c:v>
                </c:pt>
                <c:pt idx="207">
                  <c:v>57.662099553388416</c:v>
                </c:pt>
                <c:pt idx="208">
                  <c:v>57.53851089236602</c:v>
                </c:pt>
                <c:pt idx="209">
                  <c:v>57.412503459819106</c:v>
                </c:pt>
                <c:pt idx="210">
                  <c:v>57.28407774245251</c:v>
                </c:pt>
                <c:pt idx="211">
                  <c:v>57.153225395083354</c:v>
                </c:pt>
                <c:pt idx="212">
                  <c:v>57.019945178354376</c:v>
                </c:pt>
                <c:pt idx="213">
                  <c:v>56.88423762487087</c:v>
                </c:pt>
                <c:pt idx="214">
                  <c:v>56.746103290669545</c:v>
                </c:pt>
                <c:pt idx="215">
                  <c:v>56.605542756561469</c:v>
                </c:pt>
                <c:pt idx="216">
                  <c:v>56.462556629314719</c:v>
                </c:pt>
                <c:pt idx="217">
                  <c:v>56.317145538054163</c:v>
                </c:pt>
                <c:pt idx="218">
                  <c:v>56.169765507944014</c:v>
                </c:pt>
                <c:pt idx="219">
                  <c:v>56.020724732497733</c:v>
                </c:pt>
                <c:pt idx="220">
                  <c:v>55.869812001640199</c:v>
                </c:pt>
                <c:pt idx="221">
                  <c:v>55.716817741442668</c:v>
                </c:pt>
                <c:pt idx="222">
                  <c:v>55.561532481392788</c:v>
                </c:pt>
                <c:pt idx="223">
                  <c:v>55.403746856699307</c:v>
                </c:pt>
                <c:pt idx="224">
                  <c:v>55.243251604662817</c:v>
                </c:pt>
                <c:pt idx="225">
                  <c:v>55.079830645973459</c:v>
                </c:pt>
                <c:pt idx="226">
                  <c:v>54.913283857950404</c:v>
                </c:pt>
                <c:pt idx="227">
                  <c:v>54.743402284992236</c:v>
                </c:pt>
                <c:pt idx="228">
                  <c:v>54.569977067210843</c:v>
                </c:pt>
                <c:pt idx="229">
                  <c:v>54.392799438916121</c:v>
                </c:pt>
                <c:pt idx="230">
                  <c:v>54.21166073165773</c:v>
                </c:pt>
                <c:pt idx="231">
                  <c:v>54.02635236580317</c:v>
                </c:pt>
                <c:pt idx="232">
                  <c:v>53.837190566990721</c:v>
                </c:pt>
                <c:pt idx="233">
                  <c:v>53.644628397015126</c:v>
                </c:pt>
                <c:pt idx="234">
                  <c:v>53.448674663489406</c:v>
                </c:pt>
                <c:pt idx="235">
                  <c:v>53.249330548622304</c:v>
                </c:pt>
                <c:pt idx="236">
                  <c:v>53.046597234236735</c:v>
                </c:pt>
                <c:pt idx="237">
                  <c:v>52.840475924014406</c:v>
                </c:pt>
                <c:pt idx="238">
                  <c:v>52.630967827288266</c:v>
                </c:pt>
                <c:pt idx="239">
                  <c:v>52.418069655428077</c:v>
                </c:pt>
                <c:pt idx="240">
                  <c:v>52.20178952707866</c:v>
                </c:pt>
                <c:pt idx="241">
                  <c:v>51.98212866106001</c:v>
                </c:pt>
                <c:pt idx="242">
                  <c:v>51.759088288618578</c:v>
                </c:pt>
                <c:pt idx="243">
                  <c:v>51.532669648772043</c:v>
                </c:pt>
                <c:pt idx="244">
                  <c:v>51.302873991857425</c:v>
                </c:pt>
                <c:pt idx="245">
                  <c:v>51.069702577743236</c:v>
                </c:pt>
                <c:pt idx="246">
                  <c:v>50.833156681594723</c:v>
                </c:pt>
                <c:pt idx="247">
                  <c:v>50.593221808995196</c:v>
                </c:pt>
                <c:pt idx="248">
                  <c:v>50.349902257287866</c:v>
                </c:pt>
                <c:pt idx="249">
                  <c:v>50.103199384368722</c:v>
                </c:pt>
                <c:pt idx="250">
                  <c:v>49.853114570868122</c:v>
                </c:pt>
                <c:pt idx="251">
                  <c:v>49.599649216612228</c:v>
                </c:pt>
                <c:pt idx="252">
                  <c:v>49.342804743198421</c:v>
                </c:pt>
                <c:pt idx="253">
                  <c:v>49.082566485090595</c:v>
                </c:pt>
                <c:pt idx="254">
                  <c:v>48.818940453250384</c:v>
                </c:pt>
                <c:pt idx="255">
                  <c:v>48.551928197815343</c:v>
                </c:pt>
                <c:pt idx="256">
                  <c:v>48.281531297529405</c:v>
                </c:pt>
                <c:pt idx="257">
                  <c:v>48.007751360254339</c:v>
                </c:pt>
                <c:pt idx="258">
                  <c:v>47.730590021854539</c:v>
                </c:pt>
                <c:pt idx="259">
                  <c:v>47.450048950539461</c:v>
                </c:pt>
                <c:pt idx="260">
                  <c:v>47.165903070454597</c:v>
                </c:pt>
                <c:pt idx="261">
                  <c:v>46.877987519003874</c:v>
                </c:pt>
                <c:pt idx="262">
                  <c:v>46.586424269203881</c:v>
                </c:pt>
                <c:pt idx="263">
                  <c:v>46.291319766192359</c:v>
                </c:pt>
                <c:pt idx="264">
                  <c:v>45.992780436757933</c:v>
                </c:pt>
                <c:pt idx="265">
                  <c:v>45.690912455026478</c:v>
                </c:pt>
                <c:pt idx="266">
                  <c:v>45.385822069448558</c:v>
                </c:pt>
                <c:pt idx="267">
                  <c:v>45.077541990815448</c:v>
                </c:pt>
                <c:pt idx="268">
                  <c:v>44.766194828146268</c:v>
                </c:pt>
                <c:pt idx="269">
                  <c:v>44.45188747565431</c:v>
                </c:pt>
                <c:pt idx="270">
                  <c:v>44.134726845767318</c:v>
                </c:pt>
                <c:pt idx="271">
                  <c:v>43.814819873642698</c:v>
                </c:pt>
                <c:pt idx="272">
                  <c:v>43.492273510439468</c:v>
                </c:pt>
                <c:pt idx="273">
                  <c:v>43.167194726084979</c:v>
                </c:pt>
                <c:pt idx="274">
                  <c:v>42.838070243115396</c:v>
                </c:pt>
                <c:pt idx="275">
                  <c:v>42.503658507905399</c:v>
                </c:pt>
                <c:pt idx="276">
                  <c:v>42.164600049091781</c:v>
                </c:pt>
                <c:pt idx="277">
                  <c:v>41.821525927822464</c:v>
                </c:pt>
                <c:pt idx="278">
                  <c:v>41.475067083432812</c:v>
                </c:pt>
                <c:pt idx="279">
                  <c:v>41.125854336557808</c:v>
                </c:pt>
                <c:pt idx="280">
                  <c:v>40.774518383174545</c:v>
                </c:pt>
                <c:pt idx="281">
                  <c:v>40.421670098289653</c:v>
                </c:pt>
                <c:pt idx="282">
                  <c:v>40.068009678225259</c:v>
                </c:pt>
                <c:pt idx="283">
                  <c:v>39.714166638705052</c:v>
                </c:pt>
                <c:pt idx="284">
                  <c:v>39.360770295383112</c:v>
                </c:pt>
                <c:pt idx="285">
                  <c:v>39.008449758525892</c:v>
                </c:pt>
                <c:pt idx="286">
                  <c:v>38.657833923591781</c:v>
                </c:pt>
                <c:pt idx="287">
                  <c:v>38.30955146263566</c:v>
                </c:pt>
                <c:pt idx="288">
                  <c:v>37.96153352390364</c:v>
                </c:pt>
                <c:pt idx="289">
                  <c:v>37.611689610446952</c:v>
                </c:pt>
                <c:pt idx="290">
                  <c:v>37.260614655801533</c:v>
                </c:pt>
                <c:pt idx="291">
                  <c:v>36.908830685922389</c:v>
                </c:pt>
                <c:pt idx="292">
                  <c:v>36.556859359899356</c:v>
                </c:pt>
                <c:pt idx="293">
                  <c:v>36.205221965591271</c:v>
                </c:pt>
                <c:pt idx="294">
                  <c:v>35.854439417803832</c:v>
                </c:pt>
                <c:pt idx="295">
                  <c:v>35.505104641381145</c:v>
                </c:pt>
                <c:pt idx="296">
                  <c:v>35.157752451681851</c:v>
                </c:pt>
                <c:pt idx="297">
                  <c:v>34.812899363745963</c:v>
                </c:pt>
                <c:pt idx="298">
                  <c:v>34.471062334915381</c:v>
                </c:pt>
                <c:pt idx="299">
                  <c:v>34.132757923931337</c:v>
                </c:pt>
                <c:pt idx="300">
                  <c:v>33.798502308268851</c:v>
                </c:pt>
                <c:pt idx="301">
                  <c:v>33.468811299778302</c:v>
                </c:pt>
                <c:pt idx="302">
                  <c:v>33.142218684591391</c:v>
                </c:pt>
                <c:pt idx="303">
                  <c:v>32.817032392927864</c:v>
                </c:pt>
                <c:pt idx="304">
                  <c:v>32.493520257894886</c:v>
                </c:pt>
                <c:pt idx="305">
                  <c:v>32.171992864187601</c:v>
                </c:pt>
                <c:pt idx="306">
                  <c:v>31.852760587228396</c:v>
                </c:pt>
                <c:pt idx="307">
                  <c:v>31.536133602609922</c:v>
                </c:pt>
                <c:pt idx="308">
                  <c:v>31.222421895868052</c:v>
                </c:pt>
                <c:pt idx="309">
                  <c:v>30.911967410087094</c:v>
                </c:pt>
                <c:pt idx="310">
                  <c:v>30.605015793579032</c:v>
                </c:pt>
                <c:pt idx="311">
                  <c:v>30.301877446866499</c:v>
                </c:pt>
                <c:pt idx="312">
                  <c:v>30.002862600711445</c:v>
                </c:pt>
                <c:pt idx="313">
                  <c:v>29.708281323931299</c:v>
                </c:pt>
                <c:pt idx="314">
                  <c:v>29.418443527671485</c:v>
                </c:pt>
                <c:pt idx="315">
                  <c:v>29.133658975132189</c:v>
                </c:pt>
                <c:pt idx="316">
                  <c:v>28.852327130490718</c:v>
                </c:pt>
                <c:pt idx="317">
                  <c:v>28.573141499062388</c:v>
                </c:pt>
                <c:pt idx="318">
                  <c:v>28.296691401102258</c:v>
                </c:pt>
                <c:pt idx="319">
                  <c:v>28.02348877911318</c:v>
                </c:pt>
                <c:pt idx="320">
                  <c:v>27.754045689919479</c:v>
                </c:pt>
                <c:pt idx="321">
                  <c:v>27.488874346374306</c:v>
                </c:pt>
                <c:pt idx="322">
                  <c:v>27.228487139756378</c:v>
                </c:pt>
                <c:pt idx="323">
                  <c:v>26.973276157198395</c:v>
                </c:pt>
                <c:pt idx="324">
                  <c:v>26.723729555160816</c:v>
                </c:pt>
                <c:pt idx="325">
                  <c:v>26.480364150686313</c:v>
                </c:pt>
                <c:pt idx="326">
                  <c:v>26.243697584348784</c:v>
                </c:pt>
                <c:pt idx="327">
                  <c:v>26.014247007133516</c:v>
                </c:pt>
                <c:pt idx="328">
                  <c:v>25.792528962674503</c:v>
                </c:pt>
                <c:pt idx="329">
                  <c:v>25.579060047729456</c:v>
                </c:pt>
                <c:pt idx="330">
                  <c:v>25.371702866771702</c:v>
                </c:pt>
                <c:pt idx="331">
                  <c:v>25.168280043462591</c:v>
                </c:pt>
                <c:pt idx="332">
                  <c:v>24.969279937743995</c:v>
                </c:pt>
                <c:pt idx="333">
                  <c:v>24.775329579501189</c:v>
                </c:pt>
                <c:pt idx="334">
                  <c:v>24.587055565528964</c:v>
                </c:pt>
                <c:pt idx="335">
                  <c:v>24.405084059366317</c:v>
                </c:pt>
                <c:pt idx="336">
                  <c:v>24.230040790511357</c:v>
                </c:pt>
                <c:pt idx="337">
                  <c:v>24.062665137391932</c:v>
                </c:pt>
                <c:pt idx="338">
                  <c:v>23.903688096216818</c:v>
                </c:pt>
                <c:pt idx="339">
                  <c:v>23.753730714929141</c:v>
                </c:pt>
                <c:pt idx="340">
                  <c:v>23.613414025867861</c:v>
                </c:pt>
                <c:pt idx="341">
                  <c:v>23.483359023969761</c:v>
                </c:pt>
                <c:pt idx="342">
                  <c:v>23.364186655856695</c:v>
                </c:pt>
                <c:pt idx="343">
                  <c:v>23.256517824838461</c:v>
                </c:pt>
                <c:pt idx="344">
                  <c:v>23.158343585994484</c:v>
                </c:pt>
                <c:pt idx="345">
                  <c:v>23.067569285161259</c:v>
                </c:pt>
                <c:pt idx="346">
                  <c:v>22.98486584535263</c:v>
                </c:pt>
                <c:pt idx="347">
                  <c:v>22.910723774206613</c:v>
                </c:pt>
                <c:pt idx="348">
                  <c:v>22.845633782835204</c:v>
                </c:pt>
                <c:pt idx="349">
                  <c:v>22.7900867569262</c:v>
                </c:pt>
                <c:pt idx="350">
                  <c:v>22.744573705623896</c:v>
                </c:pt>
                <c:pt idx="351">
                  <c:v>22.709661482889576</c:v>
                </c:pt>
                <c:pt idx="352">
                  <c:v>22.685732909416892</c:v>
                </c:pt>
                <c:pt idx="353">
                  <c:v>22.673279444088671</c:v>
                </c:pt>
                <c:pt idx="354">
                  <c:v>22.672792517558534</c:v>
                </c:pt>
                <c:pt idx="355">
                  <c:v>22.684763513190983</c:v>
                </c:pt>
                <c:pt idx="356">
                  <c:v>22.709684280976827</c:v>
                </c:pt>
                <c:pt idx="357">
                  <c:v>22.748045675741572</c:v>
                </c:pt>
                <c:pt idx="358">
                  <c:v>22.800241284209644</c:v>
                </c:pt>
                <c:pt idx="359">
                  <c:v>22.86601128806138</c:v>
                </c:pt>
                <c:pt idx="360">
                  <c:v>22.944974198561582</c:v>
                </c:pt>
                <c:pt idx="361">
                  <c:v>23.03656701491817</c:v>
                </c:pt>
                <c:pt idx="362">
                  <c:v>23.140301768913492</c:v>
                </c:pt>
                <c:pt idx="363">
                  <c:v>23.255690603706817</c:v>
                </c:pt>
                <c:pt idx="364">
                  <c:v>23.382245775265154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22.93</c:v>
                </c:pt>
                <c:pt idx="1">
                  <c:v>15.814</c:v>
                </c:pt>
                <c:pt idx="2">
                  <c:v>17.074999999999999</c:v>
                </c:pt>
                <c:pt idx="3">
                  <c:v>18.144000000000002</c:v>
                </c:pt>
                <c:pt idx="4">
                  <c:v>14.348000000000001</c:v>
                </c:pt>
                <c:pt idx="5">
                  <c:v>20.589000000000002</c:v>
                </c:pt>
                <c:pt idx="6">
                  <c:v>10.096</c:v>
                </c:pt>
                <c:pt idx="7">
                  <c:v>7.1850000000000005</c:v>
                </c:pt>
                <c:pt idx="8">
                  <c:v>2.145</c:v>
                </c:pt>
                <c:pt idx="9">
                  <c:v>1.7590000000000001</c:v>
                </c:pt>
                <c:pt idx="10">
                  <c:v>24.657</c:v>
                </c:pt>
                <c:pt idx="11">
                  <c:v>21.433</c:v>
                </c:pt>
                <c:pt idx="12">
                  <c:v>5.4939999999999998</c:v>
                </c:pt>
                <c:pt idx="13">
                  <c:v>26.071000000000002</c:v>
                </c:pt>
                <c:pt idx="14">
                  <c:v>26.376000000000001</c:v>
                </c:pt>
                <c:pt idx="15">
                  <c:v>25.804000000000002</c:v>
                </c:pt>
                <c:pt idx="16">
                  <c:v>11.915000000000001</c:v>
                </c:pt>
                <c:pt idx="17">
                  <c:v>3.7850000000000001</c:v>
                </c:pt>
                <c:pt idx="18">
                  <c:v>10.327</c:v>
                </c:pt>
                <c:pt idx="19">
                  <c:v>6.4670000000000005</c:v>
                </c:pt>
                <c:pt idx="20">
                  <c:v>20.618000000000002</c:v>
                </c:pt>
                <c:pt idx="21">
                  <c:v>27.521000000000001</c:v>
                </c:pt>
                <c:pt idx="22">
                  <c:v>27.641999999999999</c:v>
                </c:pt>
                <c:pt idx="23">
                  <c:v>28.177</c:v>
                </c:pt>
                <c:pt idx="24">
                  <c:v>27.245000000000001</c:v>
                </c:pt>
                <c:pt idx="25">
                  <c:v>27.907</c:v>
                </c:pt>
                <c:pt idx="26">
                  <c:v>26.666</c:v>
                </c:pt>
                <c:pt idx="27">
                  <c:v>4.2140000000000004</c:v>
                </c:pt>
                <c:pt idx="28">
                  <c:v>8.8940000000000001</c:v>
                </c:pt>
                <c:pt idx="29">
                  <c:v>4.593</c:v>
                </c:pt>
                <c:pt idx="30">
                  <c:v>7.6160000000000005</c:v>
                </c:pt>
                <c:pt idx="31">
                  <c:v>12.638</c:v>
                </c:pt>
                <c:pt idx="32">
                  <c:v>5.335</c:v>
                </c:pt>
                <c:pt idx="33">
                  <c:v>10.47</c:v>
                </c:pt>
                <c:pt idx="34">
                  <c:v>10.311999999999999</c:v>
                </c:pt>
                <c:pt idx="35">
                  <c:v>9.0609999999999999</c:v>
                </c:pt>
                <c:pt idx="36">
                  <c:v>21.109000000000002</c:v>
                </c:pt>
                <c:pt idx="37">
                  <c:v>8.8960000000000008</c:v>
                </c:pt>
                <c:pt idx="38">
                  <c:v>32.991</c:v>
                </c:pt>
                <c:pt idx="39">
                  <c:v>33.271999999999998</c:v>
                </c:pt>
                <c:pt idx="40">
                  <c:v>31.027000000000001</c:v>
                </c:pt>
                <c:pt idx="41">
                  <c:v>17.187000000000001</c:v>
                </c:pt>
                <c:pt idx="42">
                  <c:v>26.336000000000002</c:v>
                </c:pt>
                <c:pt idx="43">
                  <c:v>32.22</c:v>
                </c:pt>
                <c:pt idx="44">
                  <c:v>15.125999999999999</c:v>
                </c:pt>
                <c:pt idx="45">
                  <c:v>18.243000000000002</c:v>
                </c:pt>
                <c:pt idx="46">
                  <c:v>8.9730000000000008</c:v>
                </c:pt>
                <c:pt idx="47">
                  <c:v>11.179</c:v>
                </c:pt>
                <c:pt idx="48">
                  <c:v>28.859000000000002</c:v>
                </c:pt>
                <c:pt idx="49">
                  <c:v>19.581</c:v>
                </c:pt>
                <c:pt idx="50">
                  <c:v>19.462</c:v>
                </c:pt>
                <c:pt idx="51">
                  <c:v>21.547000000000001</c:v>
                </c:pt>
                <c:pt idx="52">
                  <c:v>32.926000000000002</c:v>
                </c:pt>
                <c:pt idx="53">
                  <c:v>34.597999999999999</c:v>
                </c:pt>
                <c:pt idx="54">
                  <c:v>21.536000000000001</c:v>
                </c:pt>
                <c:pt idx="55">
                  <c:v>30.839000000000002</c:v>
                </c:pt>
                <c:pt idx="56">
                  <c:v>39.083949999999994</c:v>
                </c:pt>
                <c:pt idx="57">
                  <c:v>27.937000000000001</c:v>
                </c:pt>
                <c:pt idx="58">
                  <c:v>33.725999999999999</c:v>
                </c:pt>
                <c:pt idx="59">
                  <c:v>39.128999999999998</c:v>
                </c:pt>
                <c:pt idx="60">
                  <c:v>11.401</c:v>
                </c:pt>
                <c:pt idx="61">
                  <c:v>34.981999999999999</c:v>
                </c:pt>
                <c:pt idx="62">
                  <c:v>3.7589999999999999</c:v>
                </c:pt>
                <c:pt idx="63">
                  <c:v>12.943</c:v>
                </c:pt>
                <c:pt idx="64">
                  <c:v>15.604000000000001</c:v>
                </c:pt>
                <c:pt idx="65">
                  <c:v>38.436999999999998</c:v>
                </c:pt>
                <c:pt idx="66">
                  <c:v>31.324999999999999</c:v>
                </c:pt>
                <c:pt idx="67">
                  <c:v>30.54</c:v>
                </c:pt>
                <c:pt idx="68">
                  <c:v>24.311</c:v>
                </c:pt>
                <c:pt idx="69">
                  <c:v>15.077</c:v>
                </c:pt>
                <c:pt idx="70">
                  <c:v>15.692</c:v>
                </c:pt>
                <c:pt idx="71">
                  <c:v>8.7989999999999995</c:v>
                </c:pt>
                <c:pt idx="72">
                  <c:v>14.177</c:v>
                </c:pt>
                <c:pt idx="73">
                  <c:v>13.494</c:v>
                </c:pt>
                <c:pt idx="74">
                  <c:v>13.467000000000001</c:v>
                </c:pt>
                <c:pt idx="75">
                  <c:v>11.31</c:v>
                </c:pt>
                <c:pt idx="76">
                  <c:v>14.621</c:v>
                </c:pt>
                <c:pt idx="77">
                  <c:v>27.934000000000001</c:v>
                </c:pt>
                <c:pt idx="78">
                  <c:v>31.016999999999999</c:v>
                </c:pt>
                <c:pt idx="79">
                  <c:v>43.905999999999999</c:v>
                </c:pt>
                <c:pt idx="80">
                  <c:v>41.683999999999997</c:v>
                </c:pt>
                <c:pt idx="81">
                  <c:v>47.512</c:v>
                </c:pt>
                <c:pt idx="82">
                  <c:v>46.731000000000002</c:v>
                </c:pt>
                <c:pt idx="83">
                  <c:v>41.585999999999999</c:v>
                </c:pt>
                <c:pt idx="84">
                  <c:v>46.033999999999999</c:v>
                </c:pt>
                <c:pt idx="85">
                  <c:v>44.505000000000003</c:v>
                </c:pt>
                <c:pt idx="86">
                  <c:v>14.331</c:v>
                </c:pt>
                <c:pt idx="87">
                  <c:v>27.504999999999999</c:v>
                </c:pt>
                <c:pt idx="88">
                  <c:v>7.7119999999999997</c:v>
                </c:pt>
                <c:pt idx="89">
                  <c:v>27.469000000000001</c:v>
                </c:pt>
                <c:pt idx="90">
                  <c:v>32.166000000000004</c:v>
                </c:pt>
                <c:pt idx="91">
                  <c:v>20.080000000000002</c:v>
                </c:pt>
                <c:pt idx="92">
                  <c:v>22.339000000000002</c:v>
                </c:pt>
                <c:pt idx="93">
                  <c:v>44.968000000000004</c:v>
                </c:pt>
                <c:pt idx="94">
                  <c:v>51.6</c:v>
                </c:pt>
                <c:pt idx="95">
                  <c:v>11.169</c:v>
                </c:pt>
                <c:pt idx="96">
                  <c:v>37.493000000000002</c:v>
                </c:pt>
                <c:pt idx="97">
                  <c:v>30.46</c:v>
                </c:pt>
                <c:pt idx="98">
                  <c:v>35.734999999999999</c:v>
                </c:pt>
                <c:pt idx="99">
                  <c:v>52.253</c:v>
                </c:pt>
                <c:pt idx="100">
                  <c:v>43.307000000000002</c:v>
                </c:pt>
                <c:pt idx="101">
                  <c:v>36.987000000000002</c:v>
                </c:pt>
                <c:pt idx="102">
                  <c:v>7.9039999999999999</c:v>
                </c:pt>
                <c:pt idx="103">
                  <c:v>40.005000000000003</c:v>
                </c:pt>
                <c:pt idx="104">
                  <c:v>43.652999999999999</c:v>
                </c:pt>
                <c:pt idx="105">
                  <c:v>45.292000000000002</c:v>
                </c:pt>
                <c:pt idx="106">
                  <c:v>53.158999999999999</c:v>
                </c:pt>
                <c:pt idx="107">
                  <c:v>39.323999999999998</c:v>
                </c:pt>
                <c:pt idx="108">
                  <c:v>9.1920000000000002</c:v>
                </c:pt>
                <c:pt idx="109">
                  <c:v>9.59</c:v>
                </c:pt>
                <c:pt idx="110">
                  <c:v>9.2309999999999999</c:v>
                </c:pt>
                <c:pt idx="111">
                  <c:v>26.829000000000001</c:v>
                </c:pt>
                <c:pt idx="112">
                  <c:v>8.9350000000000005</c:v>
                </c:pt>
                <c:pt idx="113">
                  <c:v>30.874000000000002</c:v>
                </c:pt>
                <c:pt idx="114">
                  <c:v>46.725000000000001</c:v>
                </c:pt>
                <c:pt idx="115">
                  <c:v>53.57</c:v>
                </c:pt>
                <c:pt idx="116">
                  <c:v>38.886000000000003</c:v>
                </c:pt>
                <c:pt idx="117">
                  <c:v>23.43</c:v>
                </c:pt>
                <c:pt idx="118">
                  <c:v>42.85</c:v>
                </c:pt>
                <c:pt idx="119">
                  <c:v>45.358000000000004</c:v>
                </c:pt>
                <c:pt idx="120">
                  <c:v>45.893000000000001</c:v>
                </c:pt>
                <c:pt idx="121">
                  <c:v>29.515000000000001</c:v>
                </c:pt>
                <c:pt idx="122">
                  <c:v>41.195999999999998</c:v>
                </c:pt>
                <c:pt idx="123">
                  <c:v>22.308</c:v>
                </c:pt>
                <c:pt idx="124">
                  <c:v>45.761000000000003</c:v>
                </c:pt>
                <c:pt idx="125">
                  <c:v>40.157000000000004</c:v>
                </c:pt>
                <c:pt idx="126">
                  <c:v>54.938000000000002</c:v>
                </c:pt>
                <c:pt idx="127">
                  <c:v>50.658999999999999</c:v>
                </c:pt>
                <c:pt idx="128">
                  <c:v>58.172000000000004</c:v>
                </c:pt>
                <c:pt idx="129">
                  <c:v>54.338999999999999</c:v>
                </c:pt>
                <c:pt idx="130">
                  <c:v>58.594999999999999</c:v>
                </c:pt>
                <c:pt idx="131">
                  <c:v>43.686</c:v>
                </c:pt>
                <c:pt idx="132">
                  <c:v>45.758000000000003</c:v>
                </c:pt>
                <c:pt idx="133">
                  <c:v>52.142000000000003</c:v>
                </c:pt>
                <c:pt idx="134">
                  <c:v>54.871000000000002</c:v>
                </c:pt>
                <c:pt idx="135">
                  <c:v>53.228999999999999</c:v>
                </c:pt>
                <c:pt idx="136">
                  <c:v>56.77</c:v>
                </c:pt>
                <c:pt idx="137">
                  <c:v>54.908000000000001</c:v>
                </c:pt>
                <c:pt idx="138">
                  <c:v>57.721000000000004</c:v>
                </c:pt>
                <c:pt idx="139">
                  <c:v>51.506</c:v>
                </c:pt>
                <c:pt idx="140">
                  <c:v>51.606000000000002</c:v>
                </c:pt>
                <c:pt idx="141">
                  <c:v>39.200000000000003</c:v>
                </c:pt>
                <c:pt idx="142">
                  <c:v>20.696999999999999</c:v>
                </c:pt>
                <c:pt idx="143">
                  <c:v>17.11</c:v>
                </c:pt>
                <c:pt idx="144">
                  <c:v>43.04</c:v>
                </c:pt>
                <c:pt idx="145">
                  <c:v>26.163</c:v>
                </c:pt>
                <c:pt idx="146">
                  <c:v>48.169000000000004</c:v>
                </c:pt>
                <c:pt idx="147">
                  <c:v>57.937000000000005</c:v>
                </c:pt>
                <c:pt idx="148">
                  <c:v>62.643999999999998</c:v>
                </c:pt>
                <c:pt idx="149">
                  <c:v>53.152999999999999</c:v>
                </c:pt>
                <c:pt idx="150">
                  <c:v>57.620000000000005</c:v>
                </c:pt>
                <c:pt idx="151">
                  <c:v>58.713999999999999</c:v>
                </c:pt>
                <c:pt idx="152">
                  <c:v>46.826999999999998</c:v>
                </c:pt>
                <c:pt idx="153">
                  <c:v>57.276000000000003</c:v>
                </c:pt>
                <c:pt idx="154">
                  <c:v>27.305</c:v>
                </c:pt>
                <c:pt idx="155">
                  <c:v>37.625</c:v>
                </c:pt>
                <c:pt idx="156">
                  <c:v>49.078000000000003</c:v>
                </c:pt>
                <c:pt idx="157">
                  <c:v>29.771000000000001</c:v>
                </c:pt>
                <c:pt idx="158">
                  <c:v>22.195</c:v>
                </c:pt>
                <c:pt idx="159">
                  <c:v>48.356000000000002</c:v>
                </c:pt>
                <c:pt idx="160">
                  <c:v>60.325000000000003</c:v>
                </c:pt>
                <c:pt idx="161">
                  <c:v>58.295999999999999</c:v>
                </c:pt>
                <c:pt idx="162">
                  <c:v>45.252000000000002</c:v>
                </c:pt>
                <c:pt idx="163">
                  <c:v>56.908000000000001</c:v>
                </c:pt>
                <c:pt idx="164">
                  <c:v>50.588999999999999</c:v>
                </c:pt>
                <c:pt idx="165">
                  <c:v>57.03</c:v>
                </c:pt>
                <c:pt idx="166">
                  <c:v>54.774999999999999</c:v>
                </c:pt>
                <c:pt idx="167">
                  <c:v>54.922000000000004</c:v>
                </c:pt>
                <c:pt idx="168">
                  <c:v>57.428000000000004</c:v>
                </c:pt>
                <c:pt idx="169">
                  <c:v>58.823999999999998</c:v>
                </c:pt>
                <c:pt idx="170">
                  <c:v>33.183999999999997</c:v>
                </c:pt>
                <c:pt idx="171">
                  <c:v>23.881</c:v>
                </c:pt>
                <c:pt idx="172">
                  <c:v>46.253999999999998</c:v>
                </c:pt>
                <c:pt idx="173">
                  <c:v>43.628999999999998</c:v>
                </c:pt>
                <c:pt idx="174">
                  <c:v>41.152000000000001</c:v>
                </c:pt>
                <c:pt idx="175">
                  <c:v>35.712000000000003</c:v>
                </c:pt>
                <c:pt idx="176">
                  <c:v>12.679</c:v>
                </c:pt>
                <c:pt idx="177">
                  <c:v>15.406000000000001</c:v>
                </c:pt>
                <c:pt idx="178">
                  <c:v>61.117000000000004</c:v>
                </c:pt>
                <c:pt idx="179">
                  <c:v>59.364000000000004</c:v>
                </c:pt>
                <c:pt idx="180">
                  <c:v>14.64</c:v>
                </c:pt>
                <c:pt idx="181">
                  <c:v>52.805</c:v>
                </c:pt>
                <c:pt idx="182">
                  <c:v>58.331000000000003</c:v>
                </c:pt>
                <c:pt idx="183">
                  <c:v>48.051000000000002</c:v>
                </c:pt>
                <c:pt idx="184">
                  <c:v>46.488</c:v>
                </c:pt>
                <c:pt idx="185">
                  <c:v>58.274999999999999</c:v>
                </c:pt>
                <c:pt idx="186">
                  <c:v>49.533999999999999</c:v>
                </c:pt>
                <c:pt idx="187">
                  <c:v>57.695999999999998</c:v>
                </c:pt>
                <c:pt idx="188">
                  <c:v>60.181000000000004</c:v>
                </c:pt>
                <c:pt idx="189">
                  <c:v>59.477000000000004</c:v>
                </c:pt>
                <c:pt idx="190">
                  <c:v>58.911000000000001</c:v>
                </c:pt>
                <c:pt idx="191">
                  <c:v>57.363</c:v>
                </c:pt>
                <c:pt idx="192">
                  <c:v>57.114000000000004</c:v>
                </c:pt>
                <c:pt idx="193">
                  <c:v>56.823</c:v>
                </c:pt>
                <c:pt idx="194">
                  <c:v>56.228000000000002</c:v>
                </c:pt>
                <c:pt idx="195">
                  <c:v>54.372</c:v>
                </c:pt>
                <c:pt idx="196">
                  <c:v>55.953000000000003</c:v>
                </c:pt>
                <c:pt idx="197">
                  <c:v>55.46</c:v>
                </c:pt>
                <c:pt idx="198">
                  <c:v>56.459000000000003</c:v>
                </c:pt>
                <c:pt idx="199">
                  <c:v>46.655000000000001</c:v>
                </c:pt>
                <c:pt idx="200">
                  <c:v>46.198999999999998</c:v>
                </c:pt>
                <c:pt idx="201">
                  <c:v>54.633000000000003</c:v>
                </c:pt>
                <c:pt idx="202">
                  <c:v>44.112000000000002</c:v>
                </c:pt>
                <c:pt idx="203">
                  <c:v>50.689</c:v>
                </c:pt>
                <c:pt idx="204">
                  <c:v>54.873000000000005</c:v>
                </c:pt>
                <c:pt idx="205">
                  <c:v>27.963000000000001</c:v>
                </c:pt>
                <c:pt idx="206">
                  <c:v>59.298000000000002</c:v>
                </c:pt>
                <c:pt idx="207">
                  <c:v>59.338000000000001</c:v>
                </c:pt>
                <c:pt idx="208">
                  <c:v>46.264000000000003</c:v>
                </c:pt>
                <c:pt idx="209">
                  <c:v>33.042999999999999</c:v>
                </c:pt>
                <c:pt idx="210">
                  <c:v>51.105000000000004</c:v>
                </c:pt>
                <c:pt idx="211">
                  <c:v>56.743000000000002</c:v>
                </c:pt>
                <c:pt idx="212">
                  <c:v>56.358000000000004</c:v>
                </c:pt>
                <c:pt idx="213">
                  <c:v>56.346000000000004</c:v>
                </c:pt>
                <c:pt idx="214">
                  <c:v>53.209000000000003</c:v>
                </c:pt>
                <c:pt idx="215">
                  <c:v>52.42</c:v>
                </c:pt>
                <c:pt idx="216">
                  <c:v>47.603999999999999</c:v>
                </c:pt>
                <c:pt idx="217">
                  <c:v>52.271999999999998</c:v>
                </c:pt>
                <c:pt idx="218">
                  <c:v>55.006</c:v>
                </c:pt>
                <c:pt idx="219">
                  <c:v>55.469000000000001</c:v>
                </c:pt>
                <c:pt idx="220">
                  <c:v>53.387</c:v>
                </c:pt>
                <c:pt idx="221">
                  <c:v>50.448999999999998</c:v>
                </c:pt>
                <c:pt idx="222">
                  <c:v>48.783000000000001</c:v>
                </c:pt>
                <c:pt idx="223">
                  <c:v>49.753</c:v>
                </c:pt>
                <c:pt idx="224">
                  <c:v>37.442999999999998</c:v>
                </c:pt>
                <c:pt idx="225">
                  <c:v>35.541000000000004</c:v>
                </c:pt>
                <c:pt idx="226">
                  <c:v>40.261000000000003</c:v>
                </c:pt>
                <c:pt idx="227">
                  <c:v>37.238</c:v>
                </c:pt>
                <c:pt idx="228">
                  <c:v>29.876000000000001</c:v>
                </c:pt>
                <c:pt idx="229">
                  <c:v>37.905000000000001</c:v>
                </c:pt>
                <c:pt idx="230">
                  <c:v>43.177</c:v>
                </c:pt>
                <c:pt idx="231">
                  <c:v>51.850999999999999</c:v>
                </c:pt>
                <c:pt idx="232">
                  <c:v>35.024999999999999</c:v>
                </c:pt>
                <c:pt idx="233">
                  <c:v>27.914000000000001</c:v>
                </c:pt>
                <c:pt idx="234">
                  <c:v>50.622999999999998</c:v>
                </c:pt>
                <c:pt idx="235">
                  <c:v>48.261000000000003</c:v>
                </c:pt>
                <c:pt idx="236">
                  <c:v>33.835999999999999</c:v>
                </c:pt>
                <c:pt idx="237">
                  <c:v>44.933999999999997</c:v>
                </c:pt>
                <c:pt idx="238">
                  <c:v>51.1</c:v>
                </c:pt>
                <c:pt idx="239">
                  <c:v>49.988</c:v>
                </c:pt>
                <c:pt idx="240">
                  <c:v>34.204999999999998</c:v>
                </c:pt>
                <c:pt idx="241">
                  <c:v>49.657000000000004</c:v>
                </c:pt>
                <c:pt idx="242">
                  <c:v>25.649000000000001</c:v>
                </c:pt>
                <c:pt idx="243">
                  <c:v>41.984999999999999</c:v>
                </c:pt>
                <c:pt idx="244">
                  <c:v>40.407000000000004</c:v>
                </c:pt>
                <c:pt idx="245">
                  <c:v>39.450000000000003</c:v>
                </c:pt>
                <c:pt idx="246">
                  <c:v>47.679000000000002</c:v>
                </c:pt>
                <c:pt idx="247">
                  <c:v>41.675000000000004</c:v>
                </c:pt>
                <c:pt idx="248">
                  <c:v>47.161000000000001</c:v>
                </c:pt>
                <c:pt idx="249">
                  <c:v>37.542999999999999</c:v>
                </c:pt>
                <c:pt idx="250">
                  <c:v>36.487000000000002</c:v>
                </c:pt>
                <c:pt idx="251">
                  <c:v>24.437000000000001</c:v>
                </c:pt>
                <c:pt idx="252">
                  <c:v>48.338000000000001</c:v>
                </c:pt>
                <c:pt idx="253">
                  <c:v>47.743000000000002</c:v>
                </c:pt>
                <c:pt idx="254">
                  <c:v>34.654000000000003</c:v>
                </c:pt>
                <c:pt idx="255">
                  <c:v>14.71</c:v>
                </c:pt>
                <c:pt idx="256">
                  <c:v>36.887</c:v>
                </c:pt>
                <c:pt idx="257">
                  <c:v>42.246000000000002</c:v>
                </c:pt>
                <c:pt idx="258">
                  <c:v>33.753999999999998</c:v>
                </c:pt>
                <c:pt idx="259">
                  <c:v>47.167499999999997</c:v>
                </c:pt>
                <c:pt idx="260">
                  <c:v>47.160000000000004</c:v>
                </c:pt>
                <c:pt idx="261">
                  <c:v>46.52</c:v>
                </c:pt>
                <c:pt idx="262">
                  <c:v>48.291000000000004</c:v>
                </c:pt>
                <c:pt idx="263">
                  <c:v>47.048000000000002</c:v>
                </c:pt>
                <c:pt idx="264">
                  <c:v>45.527000000000001</c:v>
                </c:pt>
                <c:pt idx="265">
                  <c:v>28.896000000000001</c:v>
                </c:pt>
                <c:pt idx="266">
                  <c:v>17.504000000000001</c:v>
                </c:pt>
                <c:pt idx="267">
                  <c:v>36.862000000000002</c:v>
                </c:pt>
                <c:pt idx="268">
                  <c:v>33.750999999999998</c:v>
                </c:pt>
                <c:pt idx="269">
                  <c:v>17.897000000000002</c:v>
                </c:pt>
                <c:pt idx="270">
                  <c:v>20.285</c:v>
                </c:pt>
                <c:pt idx="271">
                  <c:v>24.373000000000001</c:v>
                </c:pt>
                <c:pt idx="272">
                  <c:v>28.923000000000002</c:v>
                </c:pt>
                <c:pt idx="273">
                  <c:v>37.792000000000002</c:v>
                </c:pt>
                <c:pt idx="274">
                  <c:v>40.298000000000002</c:v>
                </c:pt>
                <c:pt idx="275">
                  <c:v>38.902000000000001</c:v>
                </c:pt>
                <c:pt idx="276">
                  <c:v>42.853000000000002</c:v>
                </c:pt>
                <c:pt idx="277">
                  <c:v>43.69</c:v>
                </c:pt>
                <c:pt idx="278">
                  <c:v>12.069000000000001</c:v>
                </c:pt>
                <c:pt idx="279">
                  <c:v>30.315999999999999</c:v>
                </c:pt>
                <c:pt idx="280">
                  <c:v>17.495999999999999</c:v>
                </c:pt>
                <c:pt idx="281">
                  <c:v>39.948</c:v>
                </c:pt>
                <c:pt idx="282">
                  <c:v>32.070999999999998</c:v>
                </c:pt>
                <c:pt idx="283">
                  <c:v>23.327000000000002</c:v>
                </c:pt>
                <c:pt idx="284">
                  <c:v>28.952999999999999</c:v>
                </c:pt>
                <c:pt idx="285">
                  <c:v>24.242000000000001</c:v>
                </c:pt>
                <c:pt idx="286">
                  <c:v>18.844000000000001</c:v>
                </c:pt>
                <c:pt idx="287">
                  <c:v>38.721000000000004</c:v>
                </c:pt>
                <c:pt idx="288">
                  <c:v>34.176000000000002</c:v>
                </c:pt>
                <c:pt idx="289">
                  <c:v>20.289000000000001</c:v>
                </c:pt>
                <c:pt idx="290">
                  <c:v>35.789000000000001</c:v>
                </c:pt>
                <c:pt idx="291">
                  <c:v>16.635000000000002</c:v>
                </c:pt>
                <c:pt idx="292">
                  <c:v>7.0049999999999999</c:v>
                </c:pt>
                <c:pt idx="293">
                  <c:v>17.048000000000002</c:v>
                </c:pt>
                <c:pt idx="294">
                  <c:v>34.442999999999998</c:v>
                </c:pt>
                <c:pt idx="295">
                  <c:v>17.702000000000002</c:v>
                </c:pt>
                <c:pt idx="296">
                  <c:v>26.190999999999999</c:v>
                </c:pt>
                <c:pt idx="297">
                  <c:v>23.157</c:v>
                </c:pt>
                <c:pt idx="298">
                  <c:v>12.909000000000001</c:v>
                </c:pt>
                <c:pt idx="299">
                  <c:v>14.934000000000001</c:v>
                </c:pt>
                <c:pt idx="300">
                  <c:v>17.965</c:v>
                </c:pt>
                <c:pt idx="301">
                  <c:v>27.901</c:v>
                </c:pt>
                <c:pt idx="302">
                  <c:v>23.988</c:v>
                </c:pt>
                <c:pt idx="303">
                  <c:v>22.815999999999999</c:v>
                </c:pt>
                <c:pt idx="304">
                  <c:v>20.225999999999999</c:v>
                </c:pt>
                <c:pt idx="305">
                  <c:v>30.006</c:v>
                </c:pt>
                <c:pt idx="306">
                  <c:v>10.532999999999999</c:v>
                </c:pt>
                <c:pt idx="307">
                  <c:v>18.190999999999999</c:v>
                </c:pt>
                <c:pt idx="308">
                  <c:v>30.987000000000002</c:v>
                </c:pt>
                <c:pt idx="309">
                  <c:v>30.943000000000001</c:v>
                </c:pt>
                <c:pt idx="310">
                  <c:v>29.025000000000002</c:v>
                </c:pt>
                <c:pt idx="311">
                  <c:v>20.931000000000001</c:v>
                </c:pt>
                <c:pt idx="312">
                  <c:v>10.31</c:v>
                </c:pt>
                <c:pt idx="313">
                  <c:v>20.817</c:v>
                </c:pt>
                <c:pt idx="314">
                  <c:v>28.475999999999999</c:v>
                </c:pt>
                <c:pt idx="315">
                  <c:v>28.042000000000002</c:v>
                </c:pt>
                <c:pt idx="316">
                  <c:v>26.969000000000001</c:v>
                </c:pt>
                <c:pt idx="317">
                  <c:v>9.9860000000000007</c:v>
                </c:pt>
                <c:pt idx="318">
                  <c:v>12.814</c:v>
                </c:pt>
                <c:pt idx="319">
                  <c:v>27.589000000000002</c:v>
                </c:pt>
                <c:pt idx="320">
                  <c:v>14.124000000000001</c:v>
                </c:pt>
                <c:pt idx="321">
                  <c:v>16.167999999999999</c:v>
                </c:pt>
                <c:pt idx="322">
                  <c:v>7.3890000000000002</c:v>
                </c:pt>
                <c:pt idx="323">
                  <c:v>16.260000000000002</c:v>
                </c:pt>
                <c:pt idx="324">
                  <c:v>3.266</c:v>
                </c:pt>
                <c:pt idx="325">
                  <c:v>8.08</c:v>
                </c:pt>
                <c:pt idx="326">
                  <c:v>13.551</c:v>
                </c:pt>
                <c:pt idx="327">
                  <c:v>14.221</c:v>
                </c:pt>
                <c:pt idx="328">
                  <c:v>4.9279999999999999</c:v>
                </c:pt>
                <c:pt idx="329">
                  <c:v>11.324</c:v>
                </c:pt>
                <c:pt idx="330">
                  <c:v>14.907</c:v>
                </c:pt>
                <c:pt idx="331">
                  <c:v>10.815</c:v>
                </c:pt>
                <c:pt idx="332">
                  <c:v>15.750999999999999</c:v>
                </c:pt>
                <c:pt idx="333">
                  <c:v>4.1159999999999997</c:v>
                </c:pt>
                <c:pt idx="334">
                  <c:v>3.8959999999999999</c:v>
                </c:pt>
                <c:pt idx="335">
                  <c:v>5.8529999999999998</c:v>
                </c:pt>
                <c:pt idx="336">
                  <c:v>9.8090000000000011</c:v>
                </c:pt>
                <c:pt idx="337">
                  <c:v>17.988</c:v>
                </c:pt>
                <c:pt idx="338">
                  <c:v>23.846</c:v>
                </c:pt>
                <c:pt idx="339">
                  <c:v>11.722</c:v>
                </c:pt>
                <c:pt idx="340">
                  <c:v>21.122</c:v>
                </c:pt>
                <c:pt idx="341">
                  <c:v>4.242</c:v>
                </c:pt>
                <c:pt idx="342">
                  <c:v>5.1770000000000005</c:v>
                </c:pt>
                <c:pt idx="343">
                  <c:v>12.532</c:v>
                </c:pt>
                <c:pt idx="344">
                  <c:v>17.931000000000001</c:v>
                </c:pt>
                <c:pt idx="345">
                  <c:v>5.48</c:v>
                </c:pt>
                <c:pt idx="346">
                  <c:v>5.548</c:v>
                </c:pt>
                <c:pt idx="347">
                  <c:v>17.715</c:v>
                </c:pt>
                <c:pt idx="348">
                  <c:v>6.0540000000000003</c:v>
                </c:pt>
                <c:pt idx="349">
                  <c:v>5.3470000000000004</c:v>
                </c:pt>
                <c:pt idx="350">
                  <c:v>3.625</c:v>
                </c:pt>
                <c:pt idx="351">
                  <c:v>21.623000000000001</c:v>
                </c:pt>
                <c:pt idx="352">
                  <c:v>18.400000000000002</c:v>
                </c:pt>
                <c:pt idx="353">
                  <c:v>4.6900000000000004</c:v>
                </c:pt>
                <c:pt idx="354">
                  <c:v>21.472999999999999</c:v>
                </c:pt>
                <c:pt idx="355">
                  <c:v>18.155000000000001</c:v>
                </c:pt>
                <c:pt idx="356">
                  <c:v>18.399000000000001</c:v>
                </c:pt>
                <c:pt idx="357">
                  <c:v>21.867000000000001</c:v>
                </c:pt>
                <c:pt idx="358">
                  <c:v>12.354000000000001</c:v>
                </c:pt>
                <c:pt idx="359">
                  <c:v>21.358000000000001</c:v>
                </c:pt>
                <c:pt idx="360">
                  <c:v>7.2370000000000001</c:v>
                </c:pt>
                <c:pt idx="361">
                  <c:v>22.466999999999999</c:v>
                </c:pt>
                <c:pt idx="362">
                  <c:v>10.670999999999999</c:v>
                </c:pt>
                <c:pt idx="363">
                  <c:v>14.458</c:v>
                </c:pt>
                <c:pt idx="364">
                  <c:v>11.962</c:v>
                </c:pt>
                <c:pt idx="365">
                  <c:v>4.5395500000000002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'2022'!$W$15:$W$379</c:f>
              <c:numCache>
                <c:formatCode>0.00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056016"/>
        <c:axId val="394639904"/>
      </c:lineChart>
      <c:dateAx>
        <c:axId val="39305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39904"/>
        <c:crosses val="autoZero"/>
        <c:auto val="1"/>
        <c:lblOffset val="100"/>
        <c:baseTimeUnit val="days"/>
        <c:majorUnit val="1"/>
        <c:majorTimeUnit val="months"/>
      </c:dateAx>
      <c:valAx>
        <c:axId val="3946399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60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23.44080698870216</c:v>
                </c:pt>
                <c:pt idx="1">
                  <c:v>23.58563504322457</c:v>
                </c:pt>
                <c:pt idx="2">
                  <c:v>23.73986879944113</c:v>
                </c:pt>
                <c:pt idx="3">
                  <c:v>23.903022976336182</c:v>
                </c:pt>
                <c:pt idx="4">
                  <c:v>24.074612422242737</c:v>
                </c:pt>
                <c:pt idx="5">
                  <c:v>24.2541521121668</c:v>
                </c:pt>
                <c:pt idx="6">
                  <c:v>24.441157162281776</c:v>
                </c:pt>
                <c:pt idx="7">
                  <c:v>24.635142837727134</c:v>
                </c:pt>
                <c:pt idx="8">
                  <c:v>24.838636258240662</c:v>
                </c:pt>
                <c:pt idx="9">
                  <c:v>25.053929327287989</c:v>
                </c:pt>
                <c:pt idx="10">
                  <c:v>25.280194622432631</c:v>
                </c:pt>
                <c:pt idx="11">
                  <c:v>25.516632714932733</c:v>
                </c:pt>
                <c:pt idx="12">
                  <c:v>25.762444491345288</c:v>
                </c:pt>
                <c:pt idx="13">
                  <c:v>26.016831170953047</c:v>
                </c:pt>
                <c:pt idx="14">
                  <c:v>26.278994303078921</c:v>
                </c:pt>
                <c:pt idx="15">
                  <c:v>26.548193093959384</c:v>
                </c:pt>
                <c:pt idx="16">
                  <c:v>26.823704573149307</c:v>
                </c:pt>
                <c:pt idx="17">
                  <c:v>27.10473126493121</c:v>
                </c:pt>
                <c:pt idx="18">
                  <c:v>27.390476049017963</c:v>
                </c:pt>
                <c:pt idx="19">
                  <c:v>27.680141928054745</c:v>
                </c:pt>
                <c:pt idx="20">
                  <c:v>27.972932159728817</c:v>
                </c:pt>
                <c:pt idx="21">
                  <c:v>28.268050556579738</c:v>
                </c:pt>
                <c:pt idx="22">
                  <c:v>28.568693196075753</c:v>
                </c:pt>
                <c:pt idx="23">
                  <c:v>28.87796209165359</c:v>
                </c:pt>
                <c:pt idx="24">
                  <c:v>29.194953990578615</c:v>
                </c:pt>
                <c:pt idx="25">
                  <c:v>29.51874113139851</c:v>
                </c:pt>
                <c:pt idx="26">
                  <c:v>29.848396200984656</c:v>
                </c:pt>
                <c:pt idx="27">
                  <c:v>30.182992343321413</c:v>
                </c:pt>
                <c:pt idx="28">
                  <c:v>30.521603154393933</c:v>
                </c:pt>
                <c:pt idx="29">
                  <c:v>30.863285595445838</c:v>
                </c:pt>
                <c:pt idx="30">
                  <c:v>31.207056950903613</c:v>
                </c:pt>
                <c:pt idx="31">
                  <c:v>31.551992185630041</c:v>
                </c:pt>
                <c:pt idx="32">
                  <c:v>31.897166719878474</c:v>
                </c:pt>
                <c:pt idx="33">
                  <c:v>32.241656421551127</c:v>
                </c:pt>
                <c:pt idx="34">
                  <c:v>32.584537609970205</c:v>
                </c:pt>
                <c:pt idx="35">
                  <c:v>32.924887053456139</c:v>
                </c:pt>
                <c:pt idx="36">
                  <c:v>33.264313897580116</c:v>
                </c:pt>
                <c:pt idx="37">
                  <c:v>33.604995707447742</c:v>
                </c:pt>
                <c:pt idx="38">
                  <c:v>33.946835279147152</c:v>
                </c:pt>
                <c:pt idx="39">
                  <c:v>34.289729850517737</c:v>
                </c:pt>
                <c:pt idx="40">
                  <c:v>34.633576725140266</c:v>
                </c:pt>
                <c:pt idx="41">
                  <c:v>34.978273269704978</c:v>
                </c:pt>
                <c:pt idx="42">
                  <c:v>35.323716910343492</c:v>
                </c:pt>
                <c:pt idx="43">
                  <c:v>35.669818250117409</c:v>
                </c:pt>
                <c:pt idx="44">
                  <c:v>36.016491992662196</c:v>
                </c:pt>
                <c:pt idx="45">
                  <c:v>36.363635755957596</c:v>
                </c:pt>
                <c:pt idx="46">
                  <c:v>36.711147206185558</c:v>
                </c:pt>
                <c:pt idx="47">
                  <c:v>37.058924052053776</c:v>
                </c:pt>
                <c:pt idx="48">
                  <c:v>37.406864041609282</c:v>
                </c:pt>
                <c:pt idx="49">
                  <c:v>37.754864956820164</c:v>
                </c:pt>
                <c:pt idx="50">
                  <c:v>38.103080814455701</c:v>
                </c:pt>
                <c:pt idx="51">
                  <c:v>38.451722523172883</c:v>
                </c:pt>
                <c:pt idx="52">
                  <c:v>38.800768408132981</c:v>
                </c:pt>
                <c:pt idx="53">
                  <c:v>39.150218635679366</c:v>
                </c:pt>
                <c:pt idx="54">
                  <c:v>39.500073210721105</c:v>
                </c:pt>
                <c:pt idx="55">
                  <c:v>39.850332095490479</c:v>
                </c:pt>
                <c:pt idx="56">
                  <c:v>40.200995205988534</c:v>
                </c:pt>
                <c:pt idx="57">
                  <c:v>40.552040318502385</c:v>
                </c:pt>
                <c:pt idx="58">
                  <c:v>40.903454011612816</c:v>
                </c:pt>
                <c:pt idx="59">
                  <c:v>41.255235997728846</c:v>
                </c:pt>
                <c:pt idx="60">
                  <c:v>41.607385932294953</c:v>
                </c:pt>
                <c:pt idx="61">
                  <c:v>41.959903411399893</c:v>
                </c:pt>
                <c:pt idx="62">
                  <c:v>42.312787970335087</c:v>
                </c:pt>
                <c:pt idx="63">
                  <c:v>42.666039080586479</c:v>
                </c:pt>
                <c:pt idx="64">
                  <c:v>43.020764605482341</c:v>
                </c:pt>
                <c:pt idx="65">
                  <c:v>43.377720329740932</c:v>
                </c:pt>
                <c:pt idx="66">
                  <c:v>43.736404813495156</c:v>
                </c:pt>
                <c:pt idx="67">
                  <c:v>44.096305371123698</c:v>
                </c:pt>
                <c:pt idx="68">
                  <c:v>44.456909476686242</c:v>
                </c:pt>
                <c:pt idx="69">
                  <c:v>44.817704763205455</c:v>
                </c:pt>
                <c:pt idx="70">
                  <c:v>45.178179021199789</c:v>
                </c:pt>
                <c:pt idx="71">
                  <c:v>45.53781909676394</c:v>
                </c:pt>
                <c:pt idx="72">
                  <c:v>45.896135383154515</c:v>
                </c:pt>
                <c:pt idx="73">
                  <c:v>46.252616201088273</c:v>
                </c:pt>
                <c:pt idx="74">
                  <c:v>46.606750037118616</c:v>
                </c:pt>
                <c:pt idx="75">
                  <c:v>46.958025549237995</c:v>
                </c:pt>
                <c:pt idx="76">
                  <c:v>47.305931565123906</c:v>
                </c:pt>
                <c:pt idx="77">
                  <c:v>47.649957086634657</c:v>
                </c:pt>
                <c:pt idx="78">
                  <c:v>47.992638978817091</c:v>
                </c:pt>
                <c:pt idx="79">
                  <c:v>48.336305203823422</c:v>
                </c:pt>
                <c:pt idx="80">
                  <c:v>48.680147568721253</c:v>
                </c:pt>
                <c:pt idx="81">
                  <c:v>49.023347576093194</c:v>
                </c:pt>
                <c:pt idx="82">
                  <c:v>49.365087060901388</c:v>
                </c:pt>
                <c:pt idx="83">
                  <c:v>49.704548195753745</c:v>
                </c:pt>
                <c:pt idx="84">
                  <c:v>50.040913496927246</c:v>
                </c:pt>
                <c:pt idx="85">
                  <c:v>50.373362247085886</c:v>
                </c:pt>
                <c:pt idx="86">
                  <c:v>50.701078777833978</c:v>
                </c:pt>
                <c:pt idx="87">
                  <c:v>51.02324664870816</c:v>
                </c:pt>
                <c:pt idx="88">
                  <c:v>51.339049790424333</c:v>
                </c:pt>
                <c:pt idx="89">
                  <c:v>51.64767250480147</c:v>
                </c:pt>
                <c:pt idx="90">
                  <c:v>51.948299478870403</c:v>
                </c:pt>
                <c:pt idx="91">
                  <c:v>52.240115788738215</c:v>
                </c:pt>
                <c:pt idx="92">
                  <c:v>52.524567702905529</c:v>
                </c:pt>
                <c:pt idx="93">
                  <c:v>52.803576551206035</c:v>
                </c:pt>
                <c:pt idx="94">
                  <c:v>53.077044111620225</c:v>
                </c:pt>
                <c:pt idx="95">
                  <c:v>53.344868747097365</c:v>
                </c:pt>
                <c:pt idx="96">
                  <c:v>53.606948893263365</c:v>
                </c:pt>
                <c:pt idx="97">
                  <c:v>53.86318306256674</c:v>
                </c:pt>
                <c:pt idx="98">
                  <c:v>54.113469846232178</c:v>
                </c:pt>
                <c:pt idx="99">
                  <c:v>54.357707382711233</c:v>
                </c:pt>
                <c:pt idx="100">
                  <c:v>54.595798263342353</c:v>
                </c:pt>
                <c:pt idx="101">
                  <c:v>54.827641420060033</c:v>
                </c:pt>
                <c:pt idx="102">
                  <c:v>55.053135887428304</c:v>
                </c:pt>
                <c:pt idx="103">
                  <c:v>55.272180816337524</c:v>
                </c:pt>
                <c:pt idx="104">
                  <c:v>55.484675471587224</c:v>
                </c:pt>
                <c:pt idx="105">
                  <c:v>55.690519243096205</c:v>
                </c:pt>
                <c:pt idx="106">
                  <c:v>55.889866178707535</c:v>
                </c:pt>
                <c:pt idx="107">
                  <c:v>56.08293613999507</c:v>
                </c:pt>
                <c:pt idx="108">
                  <c:v>56.269730619163688</c:v>
                </c:pt>
                <c:pt idx="109">
                  <c:v>56.450251010321765</c:v>
                </c:pt>
                <c:pt idx="110">
                  <c:v>56.624498781260854</c:v>
                </c:pt>
                <c:pt idx="111">
                  <c:v>56.792475493630349</c:v>
                </c:pt>
                <c:pt idx="112">
                  <c:v>56.954182824638757</c:v>
                </c:pt>
                <c:pt idx="113">
                  <c:v>57.109620867931845</c:v>
                </c:pt>
                <c:pt idx="114">
                  <c:v>57.258792061614344</c:v>
                </c:pt>
                <c:pt idx="115">
                  <c:v>57.401698368773985</c:v>
                </c:pt>
                <c:pt idx="116">
                  <c:v>57.538341871112635</c:v>
                </c:pt>
                <c:pt idx="117">
                  <c:v>57.668724771331583</c:v>
                </c:pt>
                <c:pt idx="118">
                  <c:v>57.79284940218119</c:v>
                </c:pt>
                <c:pt idx="119">
                  <c:v>57.910718220397641</c:v>
                </c:pt>
                <c:pt idx="120">
                  <c:v>58.021453115708709</c:v>
                </c:pt>
                <c:pt idx="121">
                  <c:v>58.124445019267647</c:v>
                </c:pt>
                <c:pt idx="122">
                  <c:v>58.220106102392258</c:v>
                </c:pt>
                <c:pt idx="123">
                  <c:v>58.308846154690904</c:v>
                </c:pt>
                <c:pt idx="124">
                  <c:v>58.391074893179237</c:v>
                </c:pt>
                <c:pt idx="125">
                  <c:v>58.467201951249365</c:v>
                </c:pt>
                <c:pt idx="126">
                  <c:v>58.537636884267641</c:v>
                </c:pt>
                <c:pt idx="127">
                  <c:v>58.602789840241378</c:v>
                </c:pt>
                <c:pt idx="128">
                  <c:v>58.663072257977035</c:v>
                </c:pt>
                <c:pt idx="129">
                  <c:v>58.718893545780993</c:v>
                </c:pt>
                <c:pt idx="130">
                  <c:v>58.770663027079181</c:v>
                </c:pt>
                <c:pt idx="131">
                  <c:v>58.818789940972586</c:v>
                </c:pt>
                <c:pt idx="132">
                  <c:v>58.863683434230857</c:v>
                </c:pt>
                <c:pt idx="133">
                  <c:v>58.90575255849555</c:v>
                </c:pt>
                <c:pt idx="134">
                  <c:v>58.943952710900945</c:v>
                </c:pt>
                <c:pt idx="135">
                  <c:v>58.97710596717495</c:v>
                </c:pt>
                <c:pt idx="136">
                  <c:v>59.005422822413557</c:v>
                </c:pt>
                <c:pt idx="137">
                  <c:v>59.029110838907926</c:v>
                </c:pt>
                <c:pt idx="138">
                  <c:v>59.048377588617974</c:v>
                </c:pt>
                <c:pt idx="139">
                  <c:v>59.063430649177782</c:v>
                </c:pt>
                <c:pt idx="140">
                  <c:v>59.074477596971192</c:v>
                </c:pt>
                <c:pt idx="141">
                  <c:v>59.08172386167422</c:v>
                </c:pt>
                <c:pt idx="142">
                  <c:v>59.085376103385357</c:v>
                </c:pt>
                <c:pt idx="143">
                  <c:v>59.085641730838965</c:v>
                </c:pt>
                <c:pt idx="144">
                  <c:v>59.082728077486934</c:v>
                </c:pt>
                <c:pt idx="145">
                  <c:v>59.076842420122986</c:v>
                </c:pt>
                <c:pt idx="146">
                  <c:v>59.068191962240277</c:v>
                </c:pt>
                <c:pt idx="147">
                  <c:v>59.05698382206819</c:v>
                </c:pt>
                <c:pt idx="148">
                  <c:v>59.042042059881773</c:v>
                </c:pt>
                <c:pt idx="149">
                  <c:v>59.022325906069682</c:v>
                </c:pt>
                <c:pt idx="150">
                  <c:v>58.998244356036032</c:v>
                </c:pt>
                <c:pt idx="151">
                  <c:v>58.970207404005642</c:v>
                </c:pt>
                <c:pt idx="152">
                  <c:v>58.938624763814119</c:v>
                </c:pt>
                <c:pt idx="153">
                  <c:v>58.903905854702565</c:v>
                </c:pt>
                <c:pt idx="154">
                  <c:v>58.866459785969177</c:v>
                </c:pt>
                <c:pt idx="155">
                  <c:v>58.826692648393283</c:v>
                </c:pt>
                <c:pt idx="156">
                  <c:v>58.785015349842325</c:v>
                </c:pt>
                <c:pt idx="157">
                  <c:v>58.741835990903041</c:v>
                </c:pt>
                <c:pt idx="158">
                  <c:v>58.697562316595402</c:v>
                </c:pt>
                <c:pt idx="159">
                  <c:v>58.652601709452156</c:v>
                </c:pt>
                <c:pt idx="160">
                  <c:v>58.607361179217676</c:v>
                </c:pt>
                <c:pt idx="161">
                  <c:v>58.562247355825164</c:v>
                </c:pt>
                <c:pt idx="162">
                  <c:v>58.516656704796411</c:v>
                </c:pt>
                <c:pt idx="163">
                  <c:v>58.469714429592571</c:v>
                </c:pt>
                <c:pt idx="164">
                  <c:v>58.42142367971784</c:v>
                </c:pt>
                <c:pt idx="165">
                  <c:v>58.371786881307791</c:v>
                </c:pt>
                <c:pt idx="166">
                  <c:v>58.320806275243363</c:v>
                </c:pt>
                <c:pt idx="167">
                  <c:v>58.268483908476732</c:v>
                </c:pt>
                <c:pt idx="168">
                  <c:v>58.214821632171194</c:v>
                </c:pt>
                <c:pt idx="169">
                  <c:v>58.159818739832637</c:v>
                </c:pt>
                <c:pt idx="170">
                  <c:v>58.103479775322683</c:v>
                </c:pt>
                <c:pt idx="171">
                  <c:v>58.045806002316183</c:v>
                </c:pt>
                <c:pt idx="172">
                  <c:v>57.986798476570421</c:v>
                </c:pt>
                <c:pt idx="173">
                  <c:v>57.926458082249063</c:v>
                </c:pt>
                <c:pt idx="174">
                  <c:v>57.864785501336939</c:v>
                </c:pt>
                <c:pt idx="175">
                  <c:v>57.801781181803243</c:v>
                </c:pt>
                <c:pt idx="176">
                  <c:v>57.737445376328694</c:v>
                </c:pt>
                <c:pt idx="177">
                  <c:v>57.671774808132618</c:v>
                </c:pt>
                <c:pt idx="178">
                  <c:v>57.604771802594279</c:v>
                </c:pt>
                <c:pt idx="179">
                  <c:v>57.536436037872463</c:v>
                </c:pt>
                <c:pt idx="180">
                  <c:v>57.466767022013343</c:v>
                </c:pt>
                <c:pt idx="181">
                  <c:v>57.395764103452905</c:v>
                </c:pt>
                <c:pt idx="182">
                  <c:v>57.323426478408024</c:v>
                </c:pt>
                <c:pt idx="183">
                  <c:v>57.249752561325337</c:v>
                </c:pt>
                <c:pt idx="184">
                  <c:v>57.174743873229936</c:v>
                </c:pt>
                <c:pt idx="185">
                  <c:v>57.098399250268727</c:v>
                </c:pt>
                <c:pt idx="186">
                  <c:v>57.020717421219814</c:v>
                </c:pt>
                <c:pt idx="187">
                  <c:v>56.941697017076066</c:v>
                </c:pt>
                <c:pt idx="188">
                  <c:v>56.861336586826631</c:v>
                </c:pt>
                <c:pt idx="189">
                  <c:v>56.779634607639544</c:v>
                </c:pt>
                <c:pt idx="190">
                  <c:v>56.69702546332541</c:v>
                </c:pt>
                <c:pt idx="191">
                  <c:v>56.613805911686924</c:v>
                </c:pt>
                <c:pt idx="192">
                  <c:v>56.52977644374986</c:v>
                </c:pt>
                <c:pt idx="193">
                  <c:v>56.444734067779819</c:v>
                </c:pt>
                <c:pt idx="194">
                  <c:v>56.358475878645265</c:v>
                </c:pt>
                <c:pt idx="195">
                  <c:v>56.270799067751014</c:v>
                </c:pt>
                <c:pt idx="196">
                  <c:v>56.181500933076968</c:v>
                </c:pt>
                <c:pt idx="197">
                  <c:v>56.090380703129952</c:v>
                </c:pt>
                <c:pt idx="198">
                  <c:v>55.997236602908963</c:v>
                </c:pt>
                <c:pt idx="199">
                  <c:v>55.901866322004452</c:v>
                </c:pt>
                <c:pt idx="200">
                  <c:v>55.804067690036142</c:v>
                </c:pt>
                <c:pt idx="201">
                  <c:v>55.703638682857623</c:v>
                </c:pt>
                <c:pt idx="202">
                  <c:v>55.600377433614391</c:v>
                </c:pt>
                <c:pt idx="203">
                  <c:v>55.494082235650424</c:v>
                </c:pt>
                <c:pt idx="204">
                  <c:v>55.385053809695734</c:v>
                </c:pt>
                <c:pt idx="205">
                  <c:v>55.273727994449075</c:v>
                </c:pt>
                <c:pt idx="206">
                  <c:v>55.160107457618615</c:v>
                </c:pt>
                <c:pt idx="207">
                  <c:v>55.044191617567066</c:v>
                </c:pt>
                <c:pt idx="208">
                  <c:v>54.92597998626497</c:v>
                </c:pt>
                <c:pt idx="209">
                  <c:v>54.805472174532184</c:v>
                </c:pt>
                <c:pt idx="210">
                  <c:v>54.682667890613523</c:v>
                </c:pt>
                <c:pt idx="211">
                  <c:v>54.557561441250819</c:v>
                </c:pt>
                <c:pt idx="212">
                  <c:v>54.430150856433038</c:v>
                </c:pt>
                <c:pt idx="213">
                  <c:v>54.300436114473349</c:v>
                </c:pt>
                <c:pt idx="214">
                  <c:v>54.16841728887379</c:v>
                </c:pt>
                <c:pt idx="215">
                  <c:v>54.034094546960532</c:v>
                </c:pt>
                <c:pt idx="216">
                  <c:v>53.897468147981947</c:v>
                </c:pt>
                <c:pt idx="217">
                  <c:v>53.758538436313174</c:v>
                </c:pt>
                <c:pt idx="218">
                  <c:v>53.617740480869443</c:v>
                </c:pt>
                <c:pt idx="219">
                  <c:v>53.475371244645103</c:v>
                </c:pt>
                <c:pt idx="220">
                  <c:v>53.331229247991125</c:v>
                </c:pt>
                <c:pt idx="221">
                  <c:v>53.185114418148764</c:v>
                </c:pt>
                <c:pt idx="222">
                  <c:v>53.036826827680031</c:v>
                </c:pt>
                <c:pt idx="223">
                  <c:v>52.886166692274912</c:v>
                </c:pt>
                <c:pt idx="224">
                  <c:v>52.732934362942252</c:v>
                </c:pt>
                <c:pt idx="225">
                  <c:v>52.576925472638266</c:v>
                </c:pt>
                <c:pt idx="226">
                  <c:v>52.417946188921015</c:v>
                </c:pt>
                <c:pt idx="227">
                  <c:v>52.255797241465913</c:v>
                </c:pt>
                <c:pt idx="228">
                  <c:v>52.090279473593782</c:v>
                </c:pt>
                <c:pt idx="229">
                  <c:v>51.921193837282125</c:v>
                </c:pt>
                <c:pt idx="230">
                  <c:v>51.748341392774037</c:v>
                </c:pt>
                <c:pt idx="231">
                  <c:v>51.571523297511021</c:v>
                </c:pt>
                <c:pt idx="232">
                  <c:v>51.391041610177183</c:v>
                </c:pt>
                <c:pt idx="233">
                  <c:v>51.207330701840462</c:v>
                </c:pt>
                <c:pt idx="234">
                  <c:v>51.020396273811784</c:v>
                </c:pt>
                <c:pt idx="235">
                  <c:v>50.830239717058404</c:v>
                </c:pt>
                <c:pt idx="236">
                  <c:v>50.6368624274008</c:v>
                </c:pt>
                <c:pt idx="237">
                  <c:v>50.440265818527038</c:v>
                </c:pt>
                <c:pt idx="238">
                  <c:v>50.240451310621147</c:v>
                </c:pt>
                <c:pt idx="239">
                  <c:v>50.03741935511492</c:v>
                </c:pt>
                <c:pt idx="240">
                  <c:v>49.831176232930183</c:v>
                </c:pt>
                <c:pt idx="241">
                  <c:v>49.621723380654814</c:v>
                </c:pt>
                <c:pt idx="242">
                  <c:v>49.409062246436015</c:v>
                </c:pt>
                <c:pt idx="243">
                  <c:v>49.193194285850829</c:v>
                </c:pt>
                <c:pt idx="244">
                  <c:v>48.974120965657242</c:v>
                </c:pt>
                <c:pt idx="245">
                  <c:v>48.751843762460005</c:v>
                </c:pt>
                <c:pt idx="246">
                  <c:v>48.526364168549165</c:v>
                </c:pt>
                <c:pt idx="247">
                  <c:v>48.297673485695775</c:v>
                </c:pt>
                <c:pt idx="248">
                  <c:v>48.06577436073723</c:v>
                </c:pt>
                <c:pt idx="249">
                  <c:v>47.830668352664588</c:v>
                </c:pt>
                <c:pt idx="250">
                  <c:v>47.592357042448242</c:v>
                </c:pt>
                <c:pt idx="251">
                  <c:v>47.350842029091091</c:v>
                </c:pt>
                <c:pt idx="252">
                  <c:v>47.106124931237332</c:v>
                </c:pt>
                <c:pt idx="253">
                  <c:v>46.858197697568713</c:v>
                </c:pt>
                <c:pt idx="254">
                  <c:v>46.607062993243524</c:v>
                </c:pt>
                <c:pt idx="255">
                  <c:v>46.35272253166719</c:v>
                </c:pt>
                <c:pt idx="256">
                  <c:v>46.095178044737018</c:v>
                </c:pt>
                <c:pt idx="257">
                  <c:v>45.834431280654904</c:v>
                </c:pt>
                <c:pt idx="258">
                  <c:v>45.570483999807756</c:v>
                </c:pt>
                <c:pt idx="259">
                  <c:v>45.303337975482144</c:v>
                </c:pt>
                <c:pt idx="260">
                  <c:v>45.032778536697904</c:v>
                </c:pt>
                <c:pt idx="261">
                  <c:v>44.758653897133762</c:v>
                </c:pt>
                <c:pt idx="262">
                  <c:v>44.481075802687485</c:v>
                </c:pt>
                <c:pt idx="263">
                  <c:v>44.200145913494673</c:v>
                </c:pt>
                <c:pt idx="264">
                  <c:v>43.915965834542909</c:v>
                </c:pt>
                <c:pt idx="265">
                  <c:v>43.628636971121701</c:v>
                </c:pt>
                <c:pt idx="266">
                  <c:v>43.338260717673556</c:v>
                </c:pt>
                <c:pt idx="267">
                  <c:v>43.044903930977583</c:v>
                </c:pt>
                <c:pt idx="268">
                  <c:v>42.748677636507352</c:v>
                </c:pt>
                <c:pt idx="269">
                  <c:v>42.449683325629515</c:v>
                </c:pt>
                <c:pt idx="270">
                  <c:v>42.148022412991217</c:v>
                </c:pt>
                <c:pt idx="271">
                  <c:v>41.843796235020029</c:v>
                </c:pt>
                <c:pt idx="272">
                  <c:v>41.537106038036541</c:v>
                </c:pt>
                <c:pt idx="273">
                  <c:v>41.228052975862624</c:v>
                </c:pt>
                <c:pt idx="274">
                  <c:v>40.915191347532577</c:v>
                </c:pt>
                <c:pt idx="275">
                  <c:v>40.597352959494565</c:v>
                </c:pt>
                <c:pt idx="276">
                  <c:v>40.275142383960826</c:v>
                </c:pt>
                <c:pt idx="277">
                  <c:v>39.949160311887766</c:v>
                </c:pt>
                <c:pt idx="278">
                  <c:v>39.620007206551364</c:v>
                </c:pt>
                <c:pt idx="279">
                  <c:v>39.288283309440637</c:v>
                </c:pt>
                <c:pt idx="280">
                  <c:v>38.954588638654442</c:v>
                </c:pt>
                <c:pt idx="281">
                  <c:v>38.619491805608774</c:v>
                </c:pt>
                <c:pt idx="282">
                  <c:v>38.283625453380701</c:v>
                </c:pt>
                <c:pt idx="283">
                  <c:v>37.947588940470808</c:v>
                </c:pt>
                <c:pt idx="284">
                  <c:v>37.611981408657108</c:v>
                </c:pt>
                <c:pt idx="285">
                  <c:v>37.277401787314865</c:v>
                </c:pt>
                <c:pt idx="286">
                  <c:v>36.944448794495443</c:v>
                </c:pt>
                <c:pt idx="287">
                  <c:v>36.613720939387392</c:v>
                </c:pt>
                <c:pt idx="288">
                  <c:v>36.283240816402426</c:v>
                </c:pt>
                <c:pt idx="289">
                  <c:v>35.950998660478426</c:v>
                </c:pt>
                <c:pt idx="290">
                  <c:v>35.617543787865529</c:v>
                </c:pt>
                <c:pt idx="291">
                  <c:v>35.283373141948594</c:v>
                </c:pt>
                <c:pt idx="292">
                  <c:v>34.948983373688826</c:v>
                </c:pt>
                <c:pt idx="293">
                  <c:v>34.614870848896921</c:v>
                </c:pt>
                <c:pt idx="294">
                  <c:v>34.281531657744779</c:v>
                </c:pt>
                <c:pt idx="295">
                  <c:v>33.949526001769158</c:v>
                </c:pt>
                <c:pt idx="296">
                  <c:v>33.619375295659815</c:v>
                </c:pt>
                <c:pt idx="297">
                  <c:v>33.291571945229393</c:v>
                </c:pt>
                <c:pt idx="298">
                  <c:v>32.96660858084001</c:v>
                </c:pt>
                <c:pt idx="299">
                  <c:v>32.644977571941283</c:v>
                </c:pt>
                <c:pt idx="300">
                  <c:v>32.327171052266564</c:v>
                </c:pt>
                <c:pt idx="301">
                  <c:v>32.013680942534023</c:v>
                </c:pt>
                <c:pt idx="302">
                  <c:v>31.70310579404364</c:v>
                </c:pt>
                <c:pt idx="303">
                  <c:v>31.393866527974001</c:v>
                </c:pt>
                <c:pt idx="304">
                  <c:v>31.086227195779387</c:v>
                </c:pt>
                <c:pt idx="305">
                  <c:v>30.780482444433922</c:v>
                </c:pt>
                <c:pt idx="306">
                  <c:v>30.476926856509554</c:v>
                </c:pt>
                <c:pt idx="307">
                  <c:v>30.1758549694663</c:v>
                </c:pt>
                <c:pt idx="308">
                  <c:v>29.877561294304979</c:v>
                </c:pt>
                <c:pt idx="309">
                  <c:v>29.5823365459356</c:v>
                </c:pt>
                <c:pt idx="310">
                  <c:v>29.290419204137287</c:v>
                </c:pt>
                <c:pt idx="311">
                  <c:v>29.002105549738346</c:v>
                </c:pt>
                <c:pt idx="312">
                  <c:v>28.717691867052011</c:v>
                </c:pt>
                <c:pt idx="313">
                  <c:v>28.437474450443403</c:v>
                </c:pt>
                <c:pt idx="314">
                  <c:v>28.161749606336919</c:v>
                </c:pt>
                <c:pt idx="315">
                  <c:v>27.890813659287147</c:v>
                </c:pt>
                <c:pt idx="316">
                  <c:v>27.623137254271263</c:v>
                </c:pt>
                <c:pt idx="317">
                  <c:v>27.357435092993491</c:v>
                </c:pt>
                <c:pt idx="318">
                  <c:v>27.094238855353446</c:v>
                </c:pt>
                <c:pt idx="319">
                  <c:v>26.834040411255966</c:v>
                </c:pt>
                <c:pt idx="320">
                  <c:v>26.57733181915896</c:v>
                </c:pt>
                <c:pt idx="321">
                  <c:v>26.324605349314901</c:v>
                </c:pt>
                <c:pt idx="322">
                  <c:v>26.076353488483072</c:v>
                </c:pt>
                <c:pt idx="323">
                  <c:v>25.832993061250626</c:v>
                </c:pt>
                <c:pt idx="324">
                  <c:v>25.59502229050775</c:v>
                </c:pt>
                <c:pt idx="325">
                  <c:v>25.362936173405956</c:v>
                </c:pt>
                <c:pt idx="326">
                  <c:v>25.137230293491566</c:v>
                </c:pt>
                <c:pt idx="327">
                  <c:v>24.91840004378831</c:v>
                </c:pt>
                <c:pt idx="328">
                  <c:v>24.706940548160535</c:v>
                </c:pt>
                <c:pt idx="329">
                  <c:v>24.503347039041451</c:v>
                </c:pt>
                <c:pt idx="330">
                  <c:v>24.305577264045358</c:v>
                </c:pt>
                <c:pt idx="331">
                  <c:v>24.111533014914073</c:v>
                </c:pt>
                <c:pt idx="332">
                  <c:v>23.921715217580712</c:v>
                </c:pt>
                <c:pt idx="333">
                  <c:v>23.73672426134009</c:v>
                </c:pt>
                <c:pt idx="334">
                  <c:v>23.55716018960657</c:v>
                </c:pt>
                <c:pt idx="335">
                  <c:v>23.383622688418647</c:v>
                </c:pt>
                <c:pt idx="336">
                  <c:v>23.216711074500875</c:v>
                </c:pt>
                <c:pt idx="337">
                  <c:v>23.057101122742477</c:v>
                </c:pt>
                <c:pt idx="338">
                  <c:v>22.905458169953185</c:v>
                </c:pt>
                <c:pt idx="339">
                  <c:v>22.762378165120744</c:v>
                </c:pt>
                <c:pt idx="340">
                  <c:v>22.628456926288489</c:v>
                </c:pt>
                <c:pt idx="341">
                  <c:v>22.504290115374378</c:v>
                </c:pt>
                <c:pt idx="342">
                  <c:v>22.390473224771604</c:v>
                </c:pt>
                <c:pt idx="343">
                  <c:v>22.28760158048399</c:v>
                </c:pt>
                <c:pt idx="344">
                  <c:v>22.193755514510762</c:v>
                </c:pt>
                <c:pt idx="345">
                  <c:v>22.106933215035731</c:v>
                </c:pt>
                <c:pt idx="346">
                  <c:v>22.027803814810486</c:v>
                </c:pt>
                <c:pt idx="347">
                  <c:v>21.956837153806315</c:v>
                </c:pt>
                <c:pt idx="348">
                  <c:v>21.894503203913342</c:v>
                </c:pt>
                <c:pt idx="349">
                  <c:v>21.841272042030823</c:v>
                </c:pt>
                <c:pt idx="350">
                  <c:v>21.797613802387396</c:v>
                </c:pt>
                <c:pt idx="351">
                  <c:v>21.764081101893733</c:v>
                </c:pt>
                <c:pt idx="352">
                  <c:v>21.741070927710897</c:v>
                </c:pt>
                <c:pt idx="353">
                  <c:v>21.729053444883274</c:v>
                </c:pt>
                <c:pt idx="354">
                  <c:v>21.728498782765378</c:v>
                </c:pt>
                <c:pt idx="355">
                  <c:v>21.739877015568272</c:v>
                </c:pt>
                <c:pt idx="356">
                  <c:v>21.763658540549358</c:v>
                </c:pt>
                <c:pt idx="357">
                  <c:v>21.800312948313127</c:v>
                </c:pt>
                <c:pt idx="358">
                  <c:v>21.850216538710473</c:v>
                </c:pt>
                <c:pt idx="359">
                  <c:v>21.913120745586937</c:v>
                </c:pt>
                <c:pt idx="360">
                  <c:v>21.988630481077823</c:v>
                </c:pt>
                <c:pt idx="361">
                  <c:v>22.076197423629559</c:v>
                </c:pt>
                <c:pt idx="362">
                  <c:v>22.175354877796011</c:v>
                </c:pt>
                <c:pt idx="363">
                  <c:v>22.285636230255751</c:v>
                </c:pt>
                <c:pt idx="364">
                  <c:v>22.406574955525265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7.2709999999999999</c:v>
                </c:pt>
                <c:pt idx="1">
                  <c:v>3.9809999999999999</c:v>
                </c:pt>
                <c:pt idx="2">
                  <c:v>24.238</c:v>
                </c:pt>
                <c:pt idx="3">
                  <c:v>20.452999999999999</c:v>
                </c:pt>
                <c:pt idx="4">
                  <c:v>3.1379999999999999</c:v>
                </c:pt>
                <c:pt idx="5">
                  <c:v>7.3220000000000001</c:v>
                </c:pt>
                <c:pt idx="6">
                  <c:v>14.141999999999999</c:v>
                </c:pt>
                <c:pt idx="7">
                  <c:v>19.067</c:v>
                </c:pt>
                <c:pt idx="8">
                  <c:v>5.9809999999999999</c:v>
                </c:pt>
                <c:pt idx="9">
                  <c:v>5.3769999999999998</c:v>
                </c:pt>
                <c:pt idx="10">
                  <c:v>4.9489999999999998</c:v>
                </c:pt>
                <c:pt idx="11">
                  <c:v>11.261000000000001</c:v>
                </c:pt>
                <c:pt idx="12">
                  <c:v>9.327</c:v>
                </c:pt>
                <c:pt idx="13">
                  <c:v>11.311999999999999</c:v>
                </c:pt>
                <c:pt idx="14">
                  <c:v>18.644000000000002</c:v>
                </c:pt>
                <c:pt idx="15">
                  <c:v>18.02</c:v>
                </c:pt>
                <c:pt idx="16">
                  <c:v>7.2480000000000002</c:v>
                </c:pt>
                <c:pt idx="17">
                  <c:v>27.198</c:v>
                </c:pt>
                <c:pt idx="18">
                  <c:v>28.507999999999999</c:v>
                </c:pt>
                <c:pt idx="19">
                  <c:v>6.585</c:v>
                </c:pt>
                <c:pt idx="20">
                  <c:v>12.764000000000001</c:v>
                </c:pt>
                <c:pt idx="21">
                  <c:v>6.1520000000000001</c:v>
                </c:pt>
                <c:pt idx="22">
                  <c:v>8.3109999999999999</c:v>
                </c:pt>
                <c:pt idx="23">
                  <c:v>15.914</c:v>
                </c:pt>
                <c:pt idx="24">
                  <c:v>8.1129999999999995</c:v>
                </c:pt>
                <c:pt idx="25">
                  <c:v>18.086000000000002</c:v>
                </c:pt>
                <c:pt idx="26">
                  <c:v>5.4720000000000004</c:v>
                </c:pt>
                <c:pt idx="27">
                  <c:v>17.283000000000001</c:v>
                </c:pt>
                <c:pt idx="28">
                  <c:v>15.524000000000001</c:v>
                </c:pt>
                <c:pt idx="29">
                  <c:v>8.702</c:v>
                </c:pt>
                <c:pt idx="30">
                  <c:v>8.58</c:v>
                </c:pt>
                <c:pt idx="31">
                  <c:v>7.7250000000000005</c:v>
                </c:pt>
                <c:pt idx="32">
                  <c:v>28.02</c:v>
                </c:pt>
                <c:pt idx="33">
                  <c:v>21.039000000000001</c:v>
                </c:pt>
                <c:pt idx="34">
                  <c:v>16.53</c:v>
                </c:pt>
                <c:pt idx="35">
                  <c:v>14.532999999999999</c:v>
                </c:pt>
                <c:pt idx="36">
                  <c:v>9.7620000000000005</c:v>
                </c:pt>
                <c:pt idx="37">
                  <c:v>19.472999999999999</c:v>
                </c:pt>
                <c:pt idx="38">
                  <c:v>4.4939999999999998</c:v>
                </c:pt>
                <c:pt idx="39">
                  <c:v>12.750999999999999</c:v>
                </c:pt>
                <c:pt idx="40">
                  <c:v>14.488</c:v>
                </c:pt>
                <c:pt idx="41">
                  <c:v>29.477</c:v>
                </c:pt>
                <c:pt idx="42">
                  <c:v>5.1239999999999997</c:v>
                </c:pt>
                <c:pt idx="43">
                  <c:v>7.8440000000000003</c:v>
                </c:pt>
                <c:pt idx="44">
                  <c:v>35.582999999999998</c:v>
                </c:pt>
                <c:pt idx="45">
                  <c:v>33.463999999999999</c:v>
                </c:pt>
                <c:pt idx="46">
                  <c:v>31.19</c:v>
                </c:pt>
                <c:pt idx="47">
                  <c:v>34.372</c:v>
                </c:pt>
                <c:pt idx="48">
                  <c:v>16.321000000000002</c:v>
                </c:pt>
                <c:pt idx="49">
                  <c:v>36.800000000000004</c:v>
                </c:pt>
                <c:pt idx="50">
                  <c:v>30.274000000000001</c:v>
                </c:pt>
                <c:pt idx="51">
                  <c:v>12.268000000000001</c:v>
                </c:pt>
                <c:pt idx="52">
                  <c:v>9.2270000000000003</c:v>
                </c:pt>
                <c:pt idx="53">
                  <c:v>30.52</c:v>
                </c:pt>
                <c:pt idx="54">
                  <c:v>37.811</c:v>
                </c:pt>
                <c:pt idx="55">
                  <c:v>34.061999999999998</c:v>
                </c:pt>
                <c:pt idx="56">
                  <c:v>8.3160000000000007</c:v>
                </c:pt>
                <c:pt idx="57">
                  <c:v>40.076999999999998</c:v>
                </c:pt>
                <c:pt idx="58">
                  <c:v>33.225000000000001</c:v>
                </c:pt>
                <c:pt idx="59">
                  <c:v>36.9</c:v>
                </c:pt>
                <c:pt idx="60">
                  <c:v>16.539000000000001</c:v>
                </c:pt>
                <c:pt idx="61">
                  <c:v>15.385</c:v>
                </c:pt>
                <c:pt idx="62">
                  <c:v>29.865000000000002</c:v>
                </c:pt>
                <c:pt idx="63">
                  <c:v>35.448999999999998</c:v>
                </c:pt>
                <c:pt idx="64">
                  <c:v>11.215</c:v>
                </c:pt>
                <c:pt idx="65">
                  <c:v>10.997</c:v>
                </c:pt>
                <c:pt idx="66">
                  <c:v>22.77</c:v>
                </c:pt>
                <c:pt idx="67">
                  <c:v>42.128999999999998</c:v>
                </c:pt>
                <c:pt idx="68">
                  <c:v>41.863</c:v>
                </c:pt>
                <c:pt idx="69">
                  <c:v>30.663</c:v>
                </c:pt>
                <c:pt idx="70">
                  <c:v>31.882000000000001</c:v>
                </c:pt>
                <c:pt idx="71">
                  <c:v>40.475000000000001</c:v>
                </c:pt>
                <c:pt idx="72">
                  <c:v>27.586000000000002</c:v>
                </c:pt>
                <c:pt idx="73">
                  <c:v>17.936</c:v>
                </c:pt>
                <c:pt idx="74">
                  <c:v>31.25</c:v>
                </c:pt>
                <c:pt idx="75">
                  <c:v>25.422000000000001</c:v>
                </c:pt>
                <c:pt idx="76">
                  <c:v>21.187000000000001</c:v>
                </c:pt>
                <c:pt idx="77">
                  <c:v>9.918000000000001</c:v>
                </c:pt>
                <c:pt idx="78">
                  <c:v>41.128</c:v>
                </c:pt>
                <c:pt idx="79">
                  <c:v>39.965000000000003</c:v>
                </c:pt>
                <c:pt idx="80">
                  <c:v>39.677999999999997</c:v>
                </c:pt>
                <c:pt idx="81">
                  <c:v>49.566000000000003</c:v>
                </c:pt>
                <c:pt idx="82">
                  <c:v>48.767000000000003</c:v>
                </c:pt>
                <c:pt idx="83">
                  <c:v>35.335999999999999</c:v>
                </c:pt>
                <c:pt idx="84">
                  <c:v>39.146999999999998</c:v>
                </c:pt>
                <c:pt idx="85">
                  <c:v>45.521000000000001</c:v>
                </c:pt>
                <c:pt idx="86">
                  <c:v>49.536000000000001</c:v>
                </c:pt>
                <c:pt idx="87">
                  <c:v>51.566000000000003</c:v>
                </c:pt>
                <c:pt idx="88">
                  <c:v>48.140999999999998</c:v>
                </c:pt>
                <c:pt idx="89">
                  <c:v>46.420999999999999</c:v>
                </c:pt>
                <c:pt idx="90">
                  <c:v>47.117000000000004</c:v>
                </c:pt>
                <c:pt idx="91">
                  <c:v>42.689</c:v>
                </c:pt>
                <c:pt idx="92">
                  <c:v>51.619</c:v>
                </c:pt>
                <c:pt idx="93">
                  <c:v>51.276000000000003</c:v>
                </c:pt>
                <c:pt idx="94">
                  <c:v>49.024000000000001</c:v>
                </c:pt>
                <c:pt idx="95">
                  <c:v>33.474000000000004</c:v>
                </c:pt>
                <c:pt idx="96">
                  <c:v>53.72</c:v>
                </c:pt>
                <c:pt idx="97">
                  <c:v>53.012999999999998</c:v>
                </c:pt>
                <c:pt idx="98">
                  <c:v>31.617000000000001</c:v>
                </c:pt>
                <c:pt idx="99">
                  <c:v>33.816000000000003</c:v>
                </c:pt>
                <c:pt idx="100">
                  <c:v>8.36</c:v>
                </c:pt>
                <c:pt idx="101">
                  <c:v>44.102000000000004</c:v>
                </c:pt>
                <c:pt idx="102">
                  <c:v>49.228000000000002</c:v>
                </c:pt>
                <c:pt idx="103">
                  <c:v>54.774000000000001</c:v>
                </c:pt>
                <c:pt idx="104">
                  <c:v>55.491</c:v>
                </c:pt>
                <c:pt idx="105">
                  <c:v>48.127000000000002</c:v>
                </c:pt>
                <c:pt idx="106">
                  <c:v>50.643000000000001</c:v>
                </c:pt>
                <c:pt idx="107">
                  <c:v>39.233000000000004</c:v>
                </c:pt>
                <c:pt idx="108">
                  <c:v>55.2</c:v>
                </c:pt>
                <c:pt idx="109">
                  <c:v>38.148000000000003</c:v>
                </c:pt>
                <c:pt idx="110">
                  <c:v>51.213000000000001</c:v>
                </c:pt>
                <c:pt idx="111">
                  <c:v>56.987000000000002</c:v>
                </c:pt>
                <c:pt idx="112">
                  <c:v>56.911999999999999</c:v>
                </c:pt>
                <c:pt idx="113">
                  <c:v>53.837000000000003</c:v>
                </c:pt>
                <c:pt idx="114">
                  <c:v>25.894000000000002</c:v>
                </c:pt>
                <c:pt idx="115">
                  <c:v>7.2919999999999998</c:v>
                </c:pt>
                <c:pt idx="116">
                  <c:v>20.023</c:v>
                </c:pt>
                <c:pt idx="117">
                  <c:v>16.202000000000002</c:v>
                </c:pt>
                <c:pt idx="118">
                  <c:v>25.239000000000001</c:v>
                </c:pt>
                <c:pt idx="119">
                  <c:v>14.507</c:v>
                </c:pt>
                <c:pt idx="120">
                  <c:v>18.181999999999999</c:v>
                </c:pt>
                <c:pt idx="121">
                  <c:v>45.877000000000002</c:v>
                </c:pt>
                <c:pt idx="122">
                  <c:v>56.826999999999998</c:v>
                </c:pt>
                <c:pt idx="123">
                  <c:v>49.968000000000004</c:v>
                </c:pt>
                <c:pt idx="124">
                  <c:v>32.488999999999997</c:v>
                </c:pt>
                <c:pt idx="125">
                  <c:v>33.599000000000004</c:v>
                </c:pt>
                <c:pt idx="126">
                  <c:v>26.446999999999999</c:v>
                </c:pt>
                <c:pt idx="127">
                  <c:v>54.972999999999999</c:v>
                </c:pt>
                <c:pt idx="128">
                  <c:v>20.51</c:v>
                </c:pt>
                <c:pt idx="129">
                  <c:v>39.768000000000001</c:v>
                </c:pt>
                <c:pt idx="130">
                  <c:v>34.733000000000004</c:v>
                </c:pt>
                <c:pt idx="131">
                  <c:v>39.957000000000001</c:v>
                </c:pt>
                <c:pt idx="132">
                  <c:v>45.34</c:v>
                </c:pt>
                <c:pt idx="133">
                  <c:v>45.313000000000002</c:v>
                </c:pt>
                <c:pt idx="134">
                  <c:v>20.253</c:v>
                </c:pt>
                <c:pt idx="135">
                  <c:v>12.499000000000001</c:v>
                </c:pt>
                <c:pt idx="136">
                  <c:v>53.216000000000001</c:v>
                </c:pt>
                <c:pt idx="137">
                  <c:v>34.317999999999998</c:v>
                </c:pt>
                <c:pt idx="138">
                  <c:v>41.828000000000003</c:v>
                </c:pt>
                <c:pt idx="139">
                  <c:v>58.438000000000002</c:v>
                </c:pt>
                <c:pt idx="140">
                  <c:v>37.959000000000003</c:v>
                </c:pt>
                <c:pt idx="141">
                  <c:v>28.629000000000001</c:v>
                </c:pt>
                <c:pt idx="142">
                  <c:v>37.012</c:v>
                </c:pt>
                <c:pt idx="143">
                  <c:v>25.271000000000001</c:v>
                </c:pt>
                <c:pt idx="144">
                  <c:v>47.018999999999998</c:v>
                </c:pt>
                <c:pt idx="145">
                  <c:v>51.469000000000001</c:v>
                </c:pt>
                <c:pt idx="146">
                  <c:v>57.25</c:v>
                </c:pt>
                <c:pt idx="147">
                  <c:v>48.933999999999997</c:v>
                </c:pt>
                <c:pt idx="148">
                  <c:v>35.186</c:v>
                </c:pt>
                <c:pt idx="149">
                  <c:v>51.204000000000001</c:v>
                </c:pt>
                <c:pt idx="150">
                  <c:v>55.63</c:v>
                </c:pt>
                <c:pt idx="151">
                  <c:v>34.822000000000003</c:v>
                </c:pt>
                <c:pt idx="152">
                  <c:v>46.097999999999999</c:v>
                </c:pt>
                <c:pt idx="153">
                  <c:v>52.896999999999998</c:v>
                </c:pt>
                <c:pt idx="154">
                  <c:v>7.5250000000000004</c:v>
                </c:pt>
                <c:pt idx="155">
                  <c:v>41.901000000000003</c:v>
                </c:pt>
                <c:pt idx="156">
                  <c:v>43.980000000000004</c:v>
                </c:pt>
                <c:pt idx="157">
                  <c:v>48.435000000000002</c:v>
                </c:pt>
                <c:pt idx="158">
                  <c:v>57.265000000000001</c:v>
                </c:pt>
                <c:pt idx="159">
                  <c:v>55.633000000000003</c:v>
                </c:pt>
                <c:pt idx="160">
                  <c:v>55.594000000000001</c:v>
                </c:pt>
                <c:pt idx="161">
                  <c:v>46.082000000000001</c:v>
                </c:pt>
                <c:pt idx="162">
                  <c:v>45.76</c:v>
                </c:pt>
                <c:pt idx="163">
                  <c:v>55.184000000000005</c:v>
                </c:pt>
                <c:pt idx="164">
                  <c:v>51.646999999999998</c:v>
                </c:pt>
                <c:pt idx="165">
                  <c:v>50.009</c:v>
                </c:pt>
                <c:pt idx="166">
                  <c:v>45.835999999999999</c:v>
                </c:pt>
                <c:pt idx="167">
                  <c:v>15.502000000000001</c:v>
                </c:pt>
                <c:pt idx="168">
                  <c:v>42.308</c:v>
                </c:pt>
                <c:pt idx="169">
                  <c:v>31.76</c:v>
                </c:pt>
                <c:pt idx="170">
                  <c:v>34.021000000000001</c:v>
                </c:pt>
                <c:pt idx="171">
                  <c:v>33.613999999999997</c:v>
                </c:pt>
                <c:pt idx="172">
                  <c:v>37.813000000000002</c:v>
                </c:pt>
                <c:pt idx="173">
                  <c:v>20.202999999999999</c:v>
                </c:pt>
                <c:pt idx="174">
                  <c:v>36.917999999999999</c:v>
                </c:pt>
                <c:pt idx="175">
                  <c:v>52.258000000000003</c:v>
                </c:pt>
                <c:pt idx="176">
                  <c:v>55.508000000000003</c:v>
                </c:pt>
                <c:pt idx="177">
                  <c:v>8.5820000000000007</c:v>
                </c:pt>
                <c:pt idx="178">
                  <c:v>30.978000000000002</c:v>
                </c:pt>
                <c:pt idx="179">
                  <c:v>40.298000000000002</c:v>
                </c:pt>
                <c:pt idx="180">
                  <c:v>47.222000000000001</c:v>
                </c:pt>
                <c:pt idx="181">
                  <c:v>51.201000000000001</c:v>
                </c:pt>
                <c:pt idx="182">
                  <c:v>51.377000000000002</c:v>
                </c:pt>
                <c:pt idx="183">
                  <c:v>32.346000000000004</c:v>
                </c:pt>
                <c:pt idx="184">
                  <c:v>35.228999999999999</c:v>
                </c:pt>
                <c:pt idx="185">
                  <c:v>55.673000000000002</c:v>
                </c:pt>
                <c:pt idx="186">
                  <c:v>19.766000000000002</c:v>
                </c:pt>
                <c:pt idx="187">
                  <c:v>41.624000000000002</c:v>
                </c:pt>
                <c:pt idx="188">
                  <c:v>47.053000000000004</c:v>
                </c:pt>
                <c:pt idx="189">
                  <c:v>55.791000000000004</c:v>
                </c:pt>
                <c:pt idx="190">
                  <c:v>49.573</c:v>
                </c:pt>
                <c:pt idx="191">
                  <c:v>49.667999999999999</c:v>
                </c:pt>
                <c:pt idx="192">
                  <c:v>12.731</c:v>
                </c:pt>
                <c:pt idx="193">
                  <c:v>23.241</c:v>
                </c:pt>
                <c:pt idx="194">
                  <c:v>26.437999999999999</c:v>
                </c:pt>
                <c:pt idx="195">
                  <c:v>35.44</c:v>
                </c:pt>
                <c:pt idx="196">
                  <c:v>39.399000000000001</c:v>
                </c:pt>
                <c:pt idx="197">
                  <c:v>56.103999999999999</c:v>
                </c:pt>
                <c:pt idx="198">
                  <c:v>50.545000000000002</c:v>
                </c:pt>
                <c:pt idx="199">
                  <c:v>54.491</c:v>
                </c:pt>
                <c:pt idx="200">
                  <c:v>44.927</c:v>
                </c:pt>
                <c:pt idx="201">
                  <c:v>42.350999999999999</c:v>
                </c:pt>
                <c:pt idx="202">
                  <c:v>50.381</c:v>
                </c:pt>
                <c:pt idx="203">
                  <c:v>42.125</c:v>
                </c:pt>
                <c:pt idx="204">
                  <c:v>26.783999999999999</c:v>
                </c:pt>
                <c:pt idx="205">
                  <c:v>34.274000000000001</c:v>
                </c:pt>
                <c:pt idx="206">
                  <c:v>33.549999999999997</c:v>
                </c:pt>
                <c:pt idx="207">
                  <c:v>45.152999999999999</c:v>
                </c:pt>
                <c:pt idx="208">
                  <c:v>24.161999999999999</c:v>
                </c:pt>
                <c:pt idx="209">
                  <c:v>51.817999999999998</c:v>
                </c:pt>
                <c:pt idx="210">
                  <c:v>17.259</c:v>
                </c:pt>
                <c:pt idx="211">
                  <c:v>12.26</c:v>
                </c:pt>
                <c:pt idx="212">
                  <c:v>44.496000000000002</c:v>
                </c:pt>
                <c:pt idx="213">
                  <c:v>49.411000000000001</c:v>
                </c:pt>
                <c:pt idx="214">
                  <c:v>34.423999999999999</c:v>
                </c:pt>
                <c:pt idx="215">
                  <c:v>33.817</c:v>
                </c:pt>
                <c:pt idx="216">
                  <c:v>47.877000000000002</c:v>
                </c:pt>
                <c:pt idx="217">
                  <c:v>19.463000000000001</c:v>
                </c:pt>
                <c:pt idx="218">
                  <c:v>23.513000000000002</c:v>
                </c:pt>
                <c:pt idx="219">
                  <c:v>39.180999999999997</c:v>
                </c:pt>
                <c:pt idx="220">
                  <c:v>51.285000000000004</c:v>
                </c:pt>
                <c:pt idx="221">
                  <c:v>48.753</c:v>
                </c:pt>
                <c:pt idx="222">
                  <c:v>47.411999999999999</c:v>
                </c:pt>
                <c:pt idx="223">
                  <c:v>45.249000000000002</c:v>
                </c:pt>
                <c:pt idx="224">
                  <c:v>30.186</c:v>
                </c:pt>
                <c:pt idx="225">
                  <c:v>46.428000000000004</c:v>
                </c:pt>
                <c:pt idx="226">
                  <c:v>20.990000000000002</c:v>
                </c:pt>
                <c:pt idx="227">
                  <c:v>30.318999999999999</c:v>
                </c:pt>
                <c:pt idx="228">
                  <c:v>40.445999999999998</c:v>
                </c:pt>
                <c:pt idx="229">
                  <c:v>49.541000000000004</c:v>
                </c:pt>
                <c:pt idx="230">
                  <c:v>42.155999999999999</c:v>
                </c:pt>
                <c:pt idx="231">
                  <c:v>48.978999999999999</c:v>
                </c:pt>
                <c:pt idx="232">
                  <c:v>46.384</c:v>
                </c:pt>
                <c:pt idx="233">
                  <c:v>19.649000000000001</c:v>
                </c:pt>
                <c:pt idx="234">
                  <c:v>47.454999999999998</c:v>
                </c:pt>
                <c:pt idx="235">
                  <c:v>43.334000000000003</c:v>
                </c:pt>
                <c:pt idx="236">
                  <c:v>46.142000000000003</c:v>
                </c:pt>
                <c:pt idx="237">
                  <c:v>48.25</c:v>
                </c:pt>
                <c:pt idx="238">
                  <c:v>42.497999999999998</c:v>
                </c:pt>
                <c:pt idx="239">
                  <c:v>49.896000000000001</c:v>
                </c:pt>
                <c:pt idx="240">
                  <c:v>49.447000000000003</c:v>
                </c:pt>
                <c:pt idx="241">
                  <c:v>48.219000000000001</c:v>
                </c:pt>
                <c:pt idx="242">
                  <c:v>47.78</c:v>
                </c:pt>
                <c:pt idx="243">
                  <c:v>33.936</c:v>
                </c:pt>
                <c:pt idx="244">
                  <c:v>18.423000000000002</c:v>
                </c:pt>
                <c:pt idx="245">
                  <c:v>32.734000000000002</c:v>
                </c:pt>
                <c:pt idx="246">
                  <c:v>40.640999999999998</c:v>
                </c:pt>
                <c:pt idx="247">
                  <c:v>42.536000000000001</c:v>
                </c:pt>
                <c:pt idx="248">
                  <c:v>45.518999999999998</c:v>
                </c:pt>
                <c:pt idx="249">
                  <c:v>35.32</c:v>
                </c:pt>
                <c:pt idx="250">
                  <c:v>29.911000000000001</c:v>
                </c:pt>
                <c:pt idx="251">
                  <c:v>16.917000000000002</c:v>
                </c:pt>
                <c:pt idx="252">
                  <c:v>36.262</c:v>
                </c:pt>
                <c:pt idx="253">
                  <c:v>38.957000000000001</c:v>
                </c:pt>
                <c:pt idx="254">
                  <c:v>43.811</c:v>
                </c:pt>
                <c:pt idx="255">
                  <c:v>31.138000000000002</c:v>
                </c:pt>
                <c:pt idx="256">
                  <c:v>19.379000000000001</c:v>
                </c:pt>
                <c:pt idx="257">
                  <c:v>28.785</c:v>
                </c:pt>
                <c:pt idx="258">
                  <c:v>20.141999999999999</c:v>
                </c:pt>
                <c:pt idx="259">
                  <c:v>42.666000000000004</c:v>
                </c:pt>
                <c:pt idx="260">
                  <c:v>9.5370000000000008</c:v>
                </c:pt>
                <c:pt idx="261">
                  <c:v>33.899000000000001</c:v>
                </c:pt>
                <c:pt idx="262">
                  <c:v>28.03</c:v>
                </c:pt>
                <c:pt idx="263">
                  <c:v>11.123000000000001</c:v>
                </c:pt>
                <c:pt idx="264">
                  <c:v>41.375999999999998</c:v>
                </c:pt>
                <c:pt idx="265">
                  <c:v>35.954000000000001</c:v>
                </c:pt>
                <c:pt idx="266">
                  <c:v>36.764000000000003</c:v>
                </c:pt>
                <c:pt idx="267">
                  <c:v>31.89</c:v>
                </c:pt>
                <c:pt idx="268">
                  <c:v>36.084000000000003</c:v>
                </c:pt>
                <c:pt idx="269">
                  <c:v>21.309000000000001</c:v>
                </c:pt>
                <c:pt idx="270">
                  <c:v>24.843</c:v>
                </c:pt>
                <c:pt idx="271">
                  <c:v>31.571000000000002</c:v>
                </c:pt>
                <c:pt idx="272">
                  <c:v>17.152999999999999</c:v>
                </c:pt>
                <c:pt idx="273">
                  <c:v>30.696999999999999</c:v>
                </c:pt>
                <c:pt idx="274">
                  <c:v>37.774999999999999</c:v>
                </c:pt>
                <c:pt idx="275">
                  <c:v>6.3159999999999998</c:v>
                </c:pt>
                <c:pt idx="276">
                  <c:v>31.363</c:v>
                </c:pt>
                <c:pt idx="277">
                  <c:v>13.167</c:v>
                </c:pt>
                <c:pt idx="278">
                  <c:v>26.557000000000002</c:v>
                </c:pt>
                <c:pt idx="279">
                  <c:v>39.792000000000002</c:v>
                </c:pt>
                <c:pt idx="280">
                  <c:v>36.895000000000003</c:v>
                </c:pt>
                <c:pt idx="281">
                  <c:v>15.231</c:v>
                </c:pt>
                <c:pt idx="282">
                  <c:v>29.440999999999999</c:v>
                </c:pt>
                <c:pt idx="283">
                  <c:v>38.456000000000003</c:v>
                </c:pt>
                <c:pt idx="284">
                  <c:v>36.356000000000002</c:v>
                </c:pt>
                <c:pt idx="285">
                  <c:v>35.045000000000002</c:v>
                </c:pt>
                <c:pt idx="286">
                  <c:v>38.407000000000004</c:v>
                </c:pt>
                <c:pt idx="287">
                  <c:v>32.097000000000001</c:v>
                </c:pt>
                <c:pt idx="288">
                  <c:v>35.198999999999998</c:v>
                </c:pt>
                <c:pt idx="289">
                  <c:v>32.332999999999998</c:v>
                </c:pt>
                <c:pt idx="290">
                  <c:v>33.036000000000001</c:v>
                </c:pt>
                <c:pt idx="291">
                  <c:v>33.463000000000001</c:v>
                </c:pt>
                <c:pt idx="292">
                  <c:v>26.057000000000002</c:v>
                </c:pt>
                <c:pt idx="293">
                  <c:v>14.541</c:v>
                </c:pt>
                <c:pt idx="294">
                  <c:v>12.016</c:v>
                </c:pt>
                <c:pt idx="295">
                  <c:v>33.902000000000001</c:v>
                </c:pt>
                <c:pt idx="296">
                  <c:v>34.819000000000003</c:v>
                </c:pt>
                <c:pt idx="297">
                  <c:v>31.927</c:v>
                </c:pt>
                <c:pt idx="298">
                  <c:v>24.564</c:v>
                </c:pt>
                <c:pt idx="299">
                  <c:v>27.989000000000001</c:v>
                </c:pt>
                <c:pt idx="300">
                  <c:v>32.125999999999998</c:v>
                </c:pt>
                <c:pt idx="301">
                  <c:v>16.802</c:v>
                </c:pt>
                <c:pt idx="302">
                  <c:v>10.028</c:v>
                </c:pt>
                <c:pt idx="303">
                  <c:v>18.115000000000002</c:v>
                </c:pt>
                <c:pt idx="304">
                  <c:v>16.617000000000001</c:v>
                </c:pt>
                <c:pt idx="305">
                  <c:v>25.44</c:v>
                </c:pt>
                <c:pt idx="306">
                  <c:v>16.120999999999999</c:v>
                </c:pt>
                <c:pt idx="307">
                  <c:v>15.282999999999999</c:v>
                </c:pt>
                <c:pt idx="308">
                  <c:v>9.8070000000000004</c:v>
                </c:pt>
                <c:pt idx="309">
                  <c:v>11.889000000000001</c:v>
                </c:pt>
                <c:pt idx="310">
                  <c:v>8.0229999999999997</c:v>
                </c:pt>
                <c:pt idx="311">
                  <c:v>22.016000000000002</c:v>
                </c:pt>
                <c:pt idx="312">
                  <c:v>16.184999999999999</c:v>
                </c:pt>
                <c:pt idx="313">
                  <c:v>6.0280000000000005</c:v>
                </c:pt>
                <c:pt idx="314">
                  <c:v>10.286</c:v>
                </c:pt>
                <c:pt idx="315">
                  <c:v>6.758</c:v>
                </c:pt>
                <c:pt idx="316">
                  <c:v>5.13</c:v>
                </c:pt>
                <c:pt idx="317">
                  <c:v>5.9640000000000004</c:v>
                </c:pt>
                <c:pt idx="318">
                  <c:v>4.6509999999999998</c:v>
                </c:pt>
                <c:pt idx="319">
                  <c:v>8.718</c:v>
                </c:pt>
                <c:pt idx="320">
                  <c:v>2.6320000000000001</c:v>
                </c:pt>
                <c:pt idx="321">
                  <c:v>16.431999999999999</c:v>
                </c:pt>
                <c:pt idx="322">
                  <c:v>25.123000000000001</c:v>
                </c:pt>
                <c:pt idx="323">
                  <c:v>20.024000000000001</c:v>
                </c:pt>
                <c:pt idx="324">
                  <c:v>9.0590000000000011</c:v>
                </c:pt>
                <c:pt idx="325">
                  <c:v>17.899000000000001</c:v>
                </c:pt>
                <c:pt idx="326">
                  <c:v>12.022</c:v>
                </c:pt>
                <c:pt idx="327">
                  <c:v>1.7690000000000001</c:v>
                </c:pt>
                <c:pt idx="328">
                  <c:v>16.123999999999999</c:v>
                </c:pt>
                <c:pt idx="329">
                  <c:v>7.2450000000000001</c:v>
                </c:pt>
                <c:pt idx="330">
                  <c:v>14.719000000000001</c:v>
                </c:pt>
                <c:pt idx="331">
                  <c:v>6.1160000000000005</c:v>
                </c:pt>
                <c:pt idx="332">
                  <c:v>6.9960000000000004</c:v>
                </c:pt>
                <c:pt idx="333">
                  <c:v>19.564</c:v>
                </c:pt>
                <c:pt idx="334">
                  <c:v>3.956</c:v>
                </c:pt>
                <c:pt idx="335">
                  <c:v>9.0139999999999993</c:v>
                </c:pt>
                <c:pt idx="336">
                  <c:v>15.062000000000001</c:v>
                </c:pt>
                <c:pt idx="337">
                  <c:v>6.4930000000000003</c:v>
                </c:pt>
                <c:pt idx="338">
                  <c:v>9.2720000000000002</c:v>
                </c:pt>
                <c:pt idx="339">
                  <c:v>11.448</c:v>
                </c:pt>
                <c:pt idx="340">
                  <c:v>5.3449999999999998</c:v>
                </c:pt>
                <c:pt idx="341">
                  <c:v>9.3930000000000007</c:v>
                </c:pt>
                <c:pt idx="342">
                  <c:v>7.7720000000000002</c:v>
                </c:pt>
                <c:pt idx="343">
                  <c:v>2.032</c:v>
                </c:pt>
                <c:pt idx="344">
                  <c:v>12.394</c:v>
                </c:pt>
                <c:pt idx="345">
                  <c:v>21.565999999999999</c:v>
                </c:pt>
                <c:pt idx="346">
                  <c:v>22.576000000000001</c:v>
                </c:pt>
                <c:pt idx="347">
                  <c:v>22.266000000000002</c:v>
                </c:pt>
                <c:pt idx="348">
                  <c:v>21.088000000000001</c:v>
                </c:pt>
                <c:pt idx="349">
                  <c:v>22.080000000000002</c:v>
                </c:pt>
                <c:pt idx="350">
                  <c:v>22.533999999999999</c:v>
                </c:pt>
                <c:pt idx="351">
                  <c:v>22.681000000000001</c:v>
                </c:pt>
                <c:pt idx="352">
                  <c:v>22.429000000000002</c:v>
                </c:pt>
                <c:pt idx="353">
                  <c:v>21.786999999999999</c:v>
                </c:pt>
                <c:pt idx="354">
                  <c:v>16.37</c:v>
                </c:pt>
                <c:pt idx="355">
                  <c:v>22.11</c:v>
                </c:pt>
                <c:pt idx="356">
                  <c:v>5.9820000000000002</c:v>
                </c:pt>
                <c:pt idx="357">
                  <c:v>12.232000000000001</c:v>
                </c:pt>
                <c:pt idx="358">
                  <c:v>9.011000000000001</c:v>
                </c:pt>
                <c:pt idx="359">
                  <c:v>10.962</c:v>
                </c:pt>
                <c:pt idx="360">
                  <c:v>10.022</c:v>
                </c:pt>
                <c:pt idx="361">
                  <c:v>4.6109999999999998</c:v>
                </c:pt>
                <c:pt idx="362">
                  <c:v>3.9380000000000002</c:v>
                </c:pt>
                <c:pt idx="363">
                  <c:v>16.397000000000002</c:v>
                </c:pt>
                <c:pt idx="364">
                  <c:v>22.772000000000002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640688"/>
        <c:axId val="394637160"/>
      </c:lineChart>
      <c:dateAx>
        <c:axId val="39464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37160"/>
        <c:crosses val="autoZero"/>
        <c:auto val="1"/>
        <c:lblOffset val="100"/>
        <c:baseTimeUnit val="days"/>
        <c:majorUnit val="1"/>
        <c:majorTimeUnit val="months"/>
      </c:dateAx>
      <c:valAx>
        <c:axId val="3946371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406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25.018618251549075</c:v>
                </c:pt>
                <c:pt idx="1">
                  <c:v>25.174601492515322</c:v>
                </c:pt>
                <c:pt idx="2">
                  <c:v>25.340693976211895</c:v>
                </c:pt>
                <c:pt idx="3">
                  <c:v>25.51638132927096</c:v>
                </c:pt>
                <c:pt idx="4">
                  <c:v>25.701149181333957</c:v>
                </c:pt>
                <c:pt idx="5">
                  <c:v>25.894483154260282</c:v>
                </c:pt>
                <c:pt idx="6">
                  <c:v>26.095868869910046</c:v>
                </c:pt>
                <c:pt idx="7">
                  <c:v>26.304791951069429</c:v>
                </c:pt>
                <c:pt idx="8">
                  <c:v>26.523948318244525</c:v>
                </c:pt>
                <c:pt idx="9">
                  <c:v>26.755811064052672</c:v>
                </c:pt>
                <c:pt idx="10">
                  <c:v>26.99953157808778</c:v>
                </c:pt>
                <c:pt idx="11">
                  <c:v>27.254261245615417</c:v>
                </c:pt>
                <c:pt idx="12">
                  <c:v>27.519151445203097</c:v>
                </c:pt>
                <c:pt idx="13">
                  <c:v>27.79335356028735</c:v>
                </c:pt>
                <c:pt idx="14">
                  <c:v>28.076018969718046</c:v>
                </c:pt>
                <c:pt idx="15">
                  <c:v>28.366299082122644</c:v>
                </c:pt>
                <c:pt idx="16">
                  <c:v>28.660179281325362</c:v>
                </c:pt>
                <c:pt idx="17">
                  <c:v>28.959912708445561</c:v>
                </c:pt>
                <c:pt idx="18">
                  <c:v>29.26464915783362</c:v>
                </c:pt>
                <c:pt idx="19">
                  <c:v>29.573538799464682</c:v>
                </c:pt>
                <c:pt idx="20">
                  <c:v>29.885732173987371</c:v>
                </c:pt>
                <c:pt idx="21">
                  <c:v>30.200380206696568</c:v>
                </c:pt>
                <c:pt idx="22">
                  <c:v>30.520892884718513</c:v>
                </c:pt>
                <c:pt idx="23">
                  <c:v>30.850585898067663</c:v>
                </c:pt>
                <c:pt idx="24">
                  <c:v>31.188469321405812</c:v>
                </c:pt>
                <c:pt idx="25">
                  <c:v>31.533553699747994</c:v>
                </c:pt>
                <c:pt idx="26">
                  <c:v>31.884850013424042</c:v>
                </c:pt>
                <c:pt idx="27">
                  <c:v>32.241369683337041</c:v>
                </c:pt>
                <c:pt idx="28">
                  <c:v>32.602124561914685</c:v>
                </c:pt>
                <c:pt idx="29">
                  <c:v>32.966126932102121</c:v>
                </c:pt>
                <c:pt idx="30">
                  <c:v>33.332389435145735</c:v>
                </c:pt>
                <c:pt idx="31">
                  <c:v>33.699925211157385</c:v>
                </c:pt>
                <c:pt idx="32">
                  <c:v>34.067747837007737</c:v>
                </c:pt>
                <c:pt idx="33">
                  <c:v>34.434871317767637</c:v>
                </c:pt>
                <c:pt idx="34">
                  <c:v>34.800310090860819</c:v>
                </c:pt>
                <c:pt idx="35">
                  <c:v>35.163079024047754</c:v>
                </c:pt>
                <c:pt idx="36">
                  <c:v>35.524894763722145</c:v>
                </c:pt>
                <c:pt idx="37">
                  <c:v>35.888057222709477</c:v>
                </c:pt>
                <c:pt idx="38">
                  <c:v>36.252456571201733</c:v>
                </c:pt>
                <c:pt idx="39">
                  <c:v>36.617982989499041</c:v>
                </c:pt>
                <c:pt idx="40">
                  <c:v>36.984526707665466</c:v>
                </c:pt>
                <c:pt idx="41">
                  <c:v>37.351978005978353</c:v>
                </c:pt>
                <c:pt idx="42">
                  <c:v>37.720227214544551</c:v>
                </c:pt>
                <c:pt idx="43">
                  <c:v>38.089164745538142</c:v>
                </c:pt>
                <c:pt idx="44">
                  <c:v>38.458681048261731</c:v>
                </c:pt>
                <c:pt idx="45">
                  <c:v>38.828666608329492</c:v>
                </c:pt>
                <c:pt idx="46">
                  <c:v>39.199011961912262</c:v>
                </c:pt>
                <c:pt idx="47">
                  <c:v>39.56960769404045</c:v>
                </c:pt>
                <c:pt idx="48">
                  <c:v>39.940344439490133</c:v>
                </c:pt>
                <c:pt idx="49">
                  <c:v>40.311112881148084</c:v>
                </c:pt>
                <c:pt idx="50">
                  <c:v>40.68207712091013</c:v>
                </c:pt>
                <c:pt idx="51">
                  <c:v>41.053474044070121</c:v>
                </c:pt>
                <c:pt idx="52">
                  <c:v>41.425303593332941</c:v>
                </c:pt>
                <c:pt idx="53">
                  <c:v>41.797565714553059</c:v>
                </c:pt>
                <c:pt idx="54">
                  <c:v>42.170260352142314</c:v>
                </c:pt>
                <c:pt idx="55">
                  <c:v>42.543387449721628</c:v>
                </c:pt>
                <c:pt idx="56">
                  <c:v>42.916946948813049</c:v>
                </c:pt>
                <c:pt idx="57">
                  <c:v>43.290938636683784</c:v>
                </c:pt>
                <c:pt idx="58">
                  <c:v>43.665362362891607</c:v>
                </c:pt>
                <c:pt idx="59">
                  <c:v>44.04021802890297</c:v>
                </c:pt>
                <c:pt idx="60">
                  <c:v>44.415505529824017</c:v>
                </c:pt>
                <c:pt idx="61">
                  <c:v>44.791224753388924</c:v>
                </c:pt>
                <c:pt idx="62">
                  <c:v>45.167375579815179</c:v>
                </c:pt>
                <c:pt idx="63">
                  <c:v>45.543957879842857</c:v>
                </c:pt>
                <c:pt idx="64">
                  <c:v>45.922154338235494</c:v>
                </c:pt>
                <c:pt idx="65">
                  <c:v>46.302783203760043</c:v>
                </c:pt>
                <c:pt idx="66">
                  <c:v>46.685297945259755</c:v>
                </c:pt>
                <c:pt idx="67">
                  <c:v>47.069152190858418</c:v>
                </c:pt>
                <c:pt idx="68">
                  <c:v>47.453799790514132</c:v>
                </c:pt>
                <c:pt idx="69">
                  <c:v>47.838694815510451</c:v>
                </c:pt>
                <c:pt idx="70">
                  <c:v>48.223291556887943</c:v>
                </c:pt>
                <c:pt idx="71">
                  <c:v>48.607044524612938</c:v>
                </c:pt>
                <c:pt idx="72">
                  <c:v>48.9894087398716</c:v>
                </c:pt>
                <c:pt idx="73">
                  <c:v>49.369839186002928</c:v>
                </c:pt>
                <c:pt idx="74">
                  <c:v>49.747791064680861</c:v>
                </c:pt>
                <c:pt idx="75">
                  <c:v>50.122719799077672</c:v>
                </c:pt>
                <c:pt idx="76">
                  <c:v>50.494081028830408</c:v>
                </c:pt>
                <c:pt idx="77">
                  <c:v>50.861330611343689</c:v>
                </c:pt>
                <c:pt idx="78">
                  <c:v>51.227177078166605</c:v>
                </c:pt>
                <c:pt idx="79">
                  <c:v>51.594109737008267</c:v>
                </c:pt>
                <c:pt idx="80">
                  <c:v>51.961256122969601</c:v>
                </c:pt>
                <c:pt idx="81">
                  <c:v>52.327744107062266</c:v>
                </c:pt>
                <c:pt idx="82">
                  <c:v>52.692701917523344</c:v>
                </c:pt>
                <c:pt idx="83">
                  <c:v>53.055258139621571</c:v>
                </c:pt>
                <c:pt idx="84">
                  <c:v>53.414541715913842</c:v>
                </c:pt>
                <c:pt idx="85">
                  <c:v>53.769681891399514</c:v>
                </c:pt>
                <c:pt idx="86">
                  <c:v>54.119808316348255</c:v>
                </c:pt>
                <c:pt idx="87">
                  <c:v>54.464050994675226</c:v>
                </c:pt>
                <c:pt idx="88">
                  <c:v>54.80154029158119</c:v>
                </c:pt>
                <c:pt idx="89">
                  <c:v>55.131406925919975</c:v>
                </c:pt>
                <c:pt idx="90">
                  <c:v>55.452781977437112</c:v>
                </c:pt>
                <c:pt idx="91">
                  <c:v>55.764796882820804</c:v>
                </c:pt>
                <c:pt idx="92">
                  <c:v>56.06899648022042</c:v>
                </c:pt>
                <c:pt idx="93">
                  <c:v>56.367432915496785</c:v>
                </c:pt>
                <c:pt idx="94">
                  <c:v>56.65999893537721</c:v>
                </c:pt>
                <c:pt idx="95">
                  <c:v>56.946587259853679</c:v>
                </c:pt>
                <c:pt idx="96">
                  <c:v>57.2270906489235</c:v>
                </c:pt>
                <c:pt idx="97">
                  <c:v>57.501401902997117</c:v>
                </c:pt>
                <c:pt idx="98">
                  <c:v>57.769413860972783</c:v>
                </c:pt>
                <c:pt idx="99">
                  <c:v>58.031019375200643</c:v>
                </c:pt>
                <c:pt idx="100">
                  <c:v>58.286111470013431</c:v>
                </c:pt>
                <c:pt idx="101">
                  <c:v>58.534583126332748</c:v>
                </c:pt>
                <c:pt idx="102">
                  <c:v>58.776327366899267</c:v>
                </c:pt>
                <c:pt idx="103">
                  <c:v>59.01123726654302</c:v>
                </c:pt>
                <c:pt idx="104">
                  <c:v>59.239205945209378</c:v>
                </c:pt>
                <c:pt idx="105">
                  <c:v>59.460126575483002</c:v>
                </c:pt>
                <c:pt idx="106">
                  <c:v>59.674164119513144</c:v>
                </c:pt>
                <c:pt idx="107">
                  <c:v>59.881555830353854</c:v>
                </c:pt>
                <c:pt idx="108">
                  <c:v>60.082303461588495</c:v>
                </c:pt>
                <c:pt idx="109">
                  <c:v>60.276408806192634</c:v>
                </c:pt>
                <c:pt idx="110">
                  <c:v>60.463873662805113</c:v>
                </c:pt>
                <c:pt idx="111">
                  <c:v>60.644699837634825</c:v>
                </c:pt>
                <c:pt idx="112">
                  <c:v>60.818889149016442</c:v>
                </c:pt>
                <c:pt idx="113">
                  <c:v>60.986443383858024</c:v>
                </c:pt>
                <c:pt idx="114">
                  <c:v>61.147364444364911</c:v>
                </c:pt>
                <c:pt idx="115">
                  <c:v>61.301654189226142</c:v>
                </c:pt>
                <c:pt idx="116">
                  <c:v>61.449314495383504</c:v>
                </c:pt>
                <c:pt idx="117">
                  <c:v>61.590347256832651</c:v>
                </c:pt>
                <c:pt idx="118">
                  <c:v>61.724754390647121</c:v>
                </c:pt>
                <c:pt idx="119">
                  <c:v>61.852537827003886</c:v>
                </c:pt>
                <c:pt idx="120">
                  <c:v>61.972758907355029</c:v>
                </c:pt>
                <c:pt idx="121">
                  <c:v>62.08476864077619</c:v>
                </c:pt>
                <c:pt idx="122">
                  <c:v>62.189003770788688</c:v>
                </c:pt>
                <c:pt idx="123">
                  <c:v>62.285900698569549</c:v>
                </c:pt>
                <c:pt idx="124">
                  <c:v>62.375895672613979</c:v>
                </c:pt>
                <c:pt idx="125">
                  <c:v>62.459424778275014</c:v>
                </c:pt>
                <c:pt idx="126">
                  <c:v>62.536923945375719</c:v>
                </c:pt>
                <c:pt idx="127">
                  <c:v>62.60882901864305</c:v>
                </c:pt>
                <c:pt idx="128">
                  <c:v>62.675575709052339</c:v>
                </c:pt>
                <c:pt idx="129">
                  <c:v>62.737599492187506</c:v>
                </c:pt>
                <c:pt idx="130">
                  <c:v>62.795335686877642</c:v>
                </c:pt>
                <c:pt idx="131">
                  <c:v>62.849219459369067</c:v>
                </c:pt>
                <c:pt idx="132">
                  <c:v>62.899685818757114</c:v>
                </c:pt>
                <c:pt idx="133">
                  <c:v>62.947169618392955</c:v>
                </c:pt>
                <c:pt idx="134">
                  <c:v>62.990552310194055</c:v>
                </c:pt>
                <c:pt idx="135">
                  <c:v>63.028571554027785</c:v>
                </c:pt>
                <c:pt idx="136">
                  <c:v>63.061446429586802</c:v>
                </c:pt>
                <c:pt idx="137">
                  <c:v>63.089395718855926</c:v>
                </c:pt>
                <c:pt idx="138">
                  <c:v>63.112638143398023</c:v>
                </c:pt>
                <c:pt idx="139">
                  <c:v>63.131392368058371</c:v>
                </c:pt>
                <c:pt idx="140">
                  <c:v>63.145877002116585</c:v>
                </c:pt>
                <c:pt idx="141">
                  <c:v>63.15631026952947</c:v>
                </c:pt>
                <c:pt idx="142">
                  <c:v>63.162910476281404</c:v>
                </c:pt>
                <c:pt idx="143">
                  <c:v>63.165895996073218</c:v>
                </c:pt>
                <c:pt idx="144">
                  <c:v>63.165485129128342</c:v>
                </c:pt>
                <c:pt idx="145">
                  <c:v>63.161896109783513</c:v>
                </c:pt>
                <c:pt idx="146">
                  <c:v>63.155347099557389</c:v>
                </c:pt>
                <c:pt idx="147">
                  <c:v>63.146056185469618</c:v>
                </c:pt>
                <c:pt idx="148">
                  <c:v>63.132762680923534</c:v>
                </c:pt>
                <c:pt idx="149">
                  <c:v>63.114350646085583</c:v>
                </c:pt>
                <c:pt idx="150">
                  <c:v>63.091254955146553</c:v>
                </c:pt>
                <c:pt idx="151">
                  <c:v>63.063910530844431</c:v>
                </c:pt>
                <c:pt idx="152">
                  <c:v>63.032752111174823</c:v>
                </c:pt>
                <c:pt idx="153">
                  <c:v>62.998214245586752</c:v>
                </c:pt>
                <c:pt idx="154">
                  <c:v>62.960731289492919</c:v>
                </c:pt>
                <c:pt idx="155">
                  <c:v>62.920737036807786</c:v>
                </c:pt>
                <c:pt idx="156">
                  <c:v>62.878665951705798</c:v>
                </c:pt>
                <c:pt idx="157">
                  <c:v>62.834951811135703</c:v>
                </c:pt>
                <c:pt idx="158">
                  <c:v>62.790028187157183</c:v>
                </c:pt>
                <c:pt idx="159">
                  <c:v>62.744328447019853</c:v>
                </c:pt>
                <c:pt idx="160">
                  <c:v>62.698285748786468</c:v>
                </c:pt>
                <c:pt idx="161">
                  <c:v>62.652333039581499</c:v>
                </c:pt>
                <c:pt idx="162">
                  <c:v>62.605822763638187</c:v>
                </c:pt>
                <c:pt idx="163">
                  <c:v>62.557819168919956</c:v>
                </c:pt>
                <c:pt idx="164">
                  <c:v>62.508323439659208</c:v>
                </c:pt>
                <c:pt idx="165">
                  <c:v>62.457336614023731</c:v>
                </c:pt>
                <c:pt idx="166">
                  <c:v>62.404859698084067</c:v>
                </c:pt>
                <c:pt idx="167">
                  <c:v>62.350893660783306</c:v>
                </c:pt>
                <c:pt idx="168">
                  <c:v>62.295439435282553</c:v>
                </c:pt>
                <c:pt idx="169">
                  <c:v>62.238497438022733</c:v>
                </c:pt>
                <c:pt idx="170">
                  <c:v>62.180069030507795</c:v>
                </c:pt>
                <c:pt idx="171">
                  <c:v>62.120155027114365</c:v>
                </c:pt>
                <c:pt idx="172">
                  <c:v>62.058756198094173</c:v>
                </c:pt>
                <c:pt idx="173">
                  <c:v>61.995873275989595</c:v>
                </c:pt>
                <c:pt idx="174">
                  <c:v>61.93150694884531</c:v>
                </c:pt>
                <c:pt idx="175">
                  <c:v>61.86565785477255</c:v>
                </c:pt>
                <c:pt idx="176">
                  <c:v>61.798326589289843</c:v>
                </c:pt>
                <c:pt idx="177">
                  <c:v>61.729513087100486</c:v>
                </c:pt>
                <c:pt idx="178">
                  <c:v>61.659218387596425</c:v>
                </c:pt>
                <c:pt idx="179">
                  <c:v>61.587442951302293</c:v>
                </c:pt>
                <c:pt idx="180">
                  <c:v>61.514187196448702</c:v>
                </c:pt>
                <c:pt idx="181">
                  <c:v>61.439451501971924</c:v>
                </c:pt>
                <c:pt idx="182">
                  <c:v>61.363236206572282</c:v>
                </c:pt>
                <c:pt idx="183">
                  <c:v>61.285541434999303</c:v>
                </c:pt>
                <c:pt idx="184">
                  <c:v>61.206368059408469</c:v>
                </c:pt>
                <c:pt idx="185">
                  <c:v>61.125716328571109</c:v>
                </c:pt>
                <c:pt idx="186">
                  <c:v>61.043586460567852</c:v>
                </c:pt>
                <c:pt idx="187">
                  <c:v>60.959978642153729</c:v>
                </c:pt>
                <c:pt idx="188">
                  <c:v>60.874893034594095</c:v>
                </c:pt>
                <c:pt idx="189">
                  <c:v>60.788329773425609</c:v>
                </c:pt>
                <c:pt idx="190">
                  <c:v>60.700755691631876</c:v>
                </c:pt>
                <c:pt idx="191">
                  <c:v>60.612492784651891</c:v>
                </c:pt>
                <c:pt idx="192">
                  <c:v>60.523326236148314</c:v>
                </c:pt>
                <c:pt idx="193">
                  <c:v>60.433040585783736</c:v>
                </c:pt>
                <c:pt idx="194">
                  <c:v>60.3414204535229</c:v>
                </c:pt>
                <c:pt idx="195">
                  <c:v>60.248250541569455</c:v>
                </c:pt>
                <c:pt idx="196">
                  <c:v>60.153315636726653</c:v>
                </c:pt>
                <c:pt idx="197">
                  <c:v>60.056401248082715</c:v>
                </c:pt>
                <c:pt idx="198">
                  <c:v>59.957292557075604</c:v>
                </c:pt>
                <c:pt idx="199">
                  <c:v>59.855774636808718</c:v>
                </c:pt>
                <c:pt idx="200">
                  <c:v>59.751632652024739</c:v>
                </c:pt>
                <c:pt idx="201">
                  <c:v>59.644651859668095</c:v>
                </c:pt>
                <c:pt idx="202">
                  <c:v>59.534617615264864</c:v>
                </c:pt>
                <c:pt idx="203">
                  <c:v>59.42131537122814</c:v>
                </c:pt>
                <c:pt idx="204">
                  <c:v>59.305068429115536</c:v>
                </c:pt>
                <c:pt idx="205">
                  <c:v>59.186343853736176</c:v>
                </c:pt>
                <c:pt idx="206">
                  <c:v>59.065143246420782</c:v>
                </c:pt>
                <c:pt idx="207">
                  <c:v>58.9414670914827</c:v>
                </c:pt>
                <c:pt idx="208">
                  <c:v>58.815315887677976</c:v>
                </c:pt>
                <c:pt idx="209">
                  <c:v>58.686690152873247</c:v>
                </c:pt>
                <c:pt idx="210">
                  <c:v>58.555590422297314</c:v>
                </c:pt>
                <c:pt idx="211">
                  <c:v>58.422016020300582</c:v>
                </c:pt>
                <c:pt idx="212">
                  <c:v>58.285966814566251</c:v>
                </c:pt>
                <c:pt idx="213">
                  <c:v>58.147443376521586</c:v>
                </c:pt>
                <c:pt idx="214">
                  <c:v>58.006446296895852</c:v>
                </c:pt>
                <c:pt idx="215">
                  <c:v>57.862976187086396</c:v>
                </c:pt>
                <c:pt idx="216">
                  <c:v>57.717033680365596</c:v>
                </c:pt>
                <c:pt idx="217">
                  <c:v>57.568619428205217</c:v>
                </c:pt>
                <c:pt idx="218">
                  <c:v>57.418199492258893</c:v>
                </c:pt>
                <c:pt idx="219">
                  <c:v>57.26609604462702</c:v>
                </c:pt>
                <c:pt idx="220">
                  <c:v>57.112094271139945</c:v>
                </c:pt>
                <c:pt idx="221">
                  <c:v>56.955979983307579</c:v>
                </c:pt>
                <c:pt idx="222">
                  <c:v>56.797539092195812</c:v>
                </c:pt>
                <c:pt idx="223">
                  <c:v>56.636557610814727</c:v>
                </c:pt>
                <c:pt idx="224">
                  <c:v>56.472821650422887</c:v>
                </c:pt>
                <c:pt idx="225">
                  <c:v>56.306115815588797</c:v>
                </c:pt>
                <c:pt idx="226">
                  <c:v>56.136227686448194</c:v>
                </c:pt>
                <c:pt idx="227">
                  <c:v>55.962943661661782</c:v>
                </c:pt>
                <c:pt idx="228">
                  <c:v>55.786050232634544</c:v>
                </c:pt>
                <c:pt idx="229">
                  <c:v>55.605333981871503</c:v>
                </c:pt>
                <c:pt idx="230">
                  <c:v>55.420581585974297</c:v>
                </c:pt>
                <c:pt idx="231">
                  <c:v>55.231579806904051</c:v>
                </c:pt>
                <c:pt idx="232">
                  <c:v>55.038651747168572</c:v>
                </c:pt>
                <c:pt idx="233">
                  <c:v>54.842262618712724</c:v>
                </c:pt>
                <c:pt idx="234">
                  <c:v>54.642414102711292</c:v>
                </c:pt>
                <c:pt idx="235">
                  <c:v>54.439107327773876</c:v>
                </c:pt>
                <c:pt idx="236">
                  <c:v>54.232343424474493</c:v>
                </c:pt>
                <c:pt idx="237">
                  <c:v>54.022123529440613</c:v>
                </c:pt>
                <c:pt idx="238">
                  <c:v>53.808448780148368</c:v>
                </c:pt>
                <c:pt idx="239">
                  <c:v>53.591320859348556</c:v>
                </c:pt>
                <c:pt idx="240">
                  <c:v>53.370742549144424</c:v>
                </c:pt>
                <c:pt idx="241">
                  <c:v>53.146714996715247</c:v>
                </c:pt>
                <c:pt idx="242">
                  <c:v>52.919239354448429</c:v>
                </c:pt>
                <c:pt idx="243">
                  <c:v>52.688316774853199</c:v>
                </c:pt>
                <c:pt idx="244">
                  <c:v>52.453948413821799</c:v>
                </c:pt>
                <c:pt idx="245">
                  <c:v>52.216135428402197</c:v>
                </c:pt>
                <c:pt idx="246">
                  <c:v>51.974878982257998</c:v>
                </c:pt>
                <c:pt idx="247">
                  <c:v>51.730178018876984</c:v>
                </c:pt>
                <c:pt idx="248">
                  <c:v>51.482034464384022</c:v>
                </c:pt>
                <c:pt idx="249">
                  <c:v>51.230449491347507</c:v>
                </c:pt>
                <c:pt idx="250">
                  <c:v>50.975424280069475</c:v>
                </c:pt>
                <c:pt idx="251">
                  <c:v>50.716960014179172</c:v>
                </c:pt>
                <c:pt idx="252">
                  <c:v>50.455057882453815</c:v>
                </c:pt>
                <c:pt idx="253">
                  <c:v>50.189717017282128</c:v>
                </c:pt>
                <c:pt idx="254">
                  <c:v>49.920938079724628</c:v>
                </c:pt>
                <c:pt idx="255">
                  <c:v>49.648722280108046</c:v>
                </c:pt>
                <c:pt idx="256">
                  <c:v>49.373070833410395</c:v>
                </c:pt>
                <c:pt idx="257">
                  <c:v>49.093984958710578</c:v>
                </c:pt>
                <c:pt idx="258">
                  <c:v>48.811465877004935</c:v>
                </c:pt>
                <c:pt idx="259">
                  <c:v>48.525514814645682</c:v>
                </c:pt>
                <c:pt idx="260">
                  <c:v>48.235901243644761</c:v>
                </c:pt>
                <c:pt idx="261">
                  <c:v>47.942466041099891</c:v>
                </c:pt>
                <c:pt idx="262">
                  <c:v>47.645319667745248</c:v>
                </c:pt>
                <c:pt idx="263">
                  <c:v>47.344570339732648</c:v>
                </c:pt>
                <c:pt idx="264">
                  <c:v>47.04032622616122</c:v>
                </c:pt>
                <c:pt idx="265">
                  <c:v>46.732695412087956</c:v>
                </c:pt>
                <c:pt idx="266">
                  <c:v>46.421785945402696</c:v>
                </c:pt>
                <c:pt idx="267">
                  <c:v>46.107704692851208</c:v>
                </c:pt>
                <c:pt idx="268">
                  <c:v>45.790561633899657</c:v>
                </c:pt>
                <c:pt idx="269">
                  <c:v>45.470464667509383</c:v>
                </c:pt>
                <c:pt idx="270">
                  <c:v>45.147521628348322</c:v>
                </c:pt>
                <c:pt idx="271">
                  <c:v>44.82184028984382</c:v>
                </c:pt>
                <c:pt idx="272">
                  <c:v>44.493528356202958</c:v>
                </c:pt>
                <c:pt idx="273">
                  <c:v>44.162693464646232</c:v>
                </c:pt>
                <c:pt idx="274">
                  <c:v>43.827787340588202</c:v>
                </c:pt>
                <c:pt idx="275">
                  <c:v>43.487598467042602</c:v>
                </c:pt>
                <c:pt idx="276">
                  <c:v>43.142769284789729</c:v>
                </c:pt>
                <c:pt idx="277">
                  <c:v>42.79394200505525</c:v>
                </c:pt>
                <c:pt idx="278">
                  <c:v>42.441758586017883</c:v>
                </c:pt>
                <c:pt idx="279">
                  <c:v>42.086860738329484</c:v>
                </c:pt>
                <c:pt idx="280">
                  <c:v>41.7298899225135</c:v>
                </c:pt>
                <c:pt idx="281">
                  <c:v>41.371481202544651</c:v>
                </c:pt>
                <c:pt idx="282">
                  <c:v>41.012276728789246</c:v>
                </c:pt>
                <c:pt idx="283">
                  <c:v>40.652917307861188</c:v>
                </c:pt>
                <c:pt idx="284">
                  <c:v>40.294043506920566</c:v>
                </c:pt>
                <c:pt idx="285">
                  <c:v>39.936295657346115</c:v>
                </c:pt>
                <c:pt idx="286">
                  <c:v>39.58031385498235</c:v>
                </c:pt>
                <c:pt idx="287">
                  <c:v>39.226737961948309</c:v>
                </c:pt>
                <c:pt idx="288">
                  <c:v>38.873451125307604</c:v>
                </c:pt>
                <c:pt idx="289">
                  <c:v>38.518273666619081</c:v>
                </c:pt>
                <c:pt idx="290">
                  <c:v>38.161757535665473</c:v>
                </c:pt>
                <c:pt idx="291">
                  <c:v>37.80443579912118</c:v>
                </c:pt>
                <c:pt idx="292">
                  <c:v>37.446841292230246</c:v>
                </c:pt>
                <c:pt idx="293">
                  <c:v>37.089506621658884</c:v>
                </c:pt>
                <c:pt idx="294">
                  <c:v>36.732964170122266</c:v>
                </c:pt>
                <c:pt idx="295">
                  <c:v>36.377746655555271</c:v>
                </c:pt>
                <c:pt idx="296">
                  <c:v>36.024391410343092</c:v>
                </c:pt>
                <c:pt idx="297">
                  <c:v>35.673429886969828</c:v>
                </c:pt>
                <c:pt idx="298">
                  <c:v>35.32539343764018</c:v>
                </c:pt>
                <c:pt idx="299">
                  <c:v>34.980813208383687</c:v>
                </c:pt>
                <c:pt idx="300">
                  <c:v>34.640220147712974</c:v>
                </c:pt>
                <c:pt idx="301">
                  <c:v>34.304145011806462</c:v>
                </c:pt>
                <c:pt idx="302">
                  <c:v>33.971093234219268</c:v>
                </c:pt>
                <c:pt idx="303">
                  <c:v>33.639425680579045</c:v>
                </c:pt>
                <c:pt idx="304">
                  <c:v>33.309453690371818</c:v>
                </c:pt>
                <c:pt idx="305">
                  <c:v>32.981495445656343</c:v>
                </c:pt>
                <c:pt idx="306">
                  <c:v>32.655869021869592</c:v>
                </c:pt>
                <c:pt idx="307">
                  <c:v>32.332892394884098</c:v>
                </c:pt>
                <c:pt idx="308">
                  <c:v>32.012883447618108</c:v>
                </c:pt>
                <c:pt idx="309">
                  <c:v>31.696148135135861</c:v>
                </c:pt>
                <c:pt idx="310">
                  <c:v>31.383004024726475</c:v>
                </c:pt>
                <c:pt idx="311">
                  <c:v>31.073769096831221</c:v>
                </c:pt>
                <c:pt idx="312">
                  <c:v>30.768761247443315</c:v>
                </c:pt>
                <c:pt idx="313">
                  <c:v>30.468298291721368</c:v>
                </c:pt>
                <c:pt idx="314">
                  <c:v>30.172697963259395</c:v>
                </c:pt>
                <c:pt idx="315">
                  <c:v>29.882277918228336</c:v>
                </c:pt>
                <c:pt idx="316">
                  <c:v>29.595403717100016</c:v>
                </c:pt>
                <c:pt idx="317">
                  <c:v>29.310613674050842</c:v>
                </c:pt>
                <c:pt idx="318">
                  <c:v>29.02844062487744</c:v>
                </c:pt>
                <c:pt idx="319">
                  <c:v>28.749414730542771</c:v>
                </c:pt>
                <c:pt idx="320">
                  <c:v>28.474066055657417</c:v>
                </c:pt>
                <c:pt idx="321">
                  <c:v>28.202924581115408</c:v>
                </c:pt>
                <c:pt idx="322">
                  <c:v>27.936520199227118</c:v>
                </c:pt>
                <c:pt idx="323">
                  <c:v>27.675402512859993</c:v>
                </c:pt>
                <c:pt idx="324">
                  <c:v>27.420110990353631</c:v>
                </c:pt>
                <c:pt idx="325">
                  <c:v>27.171174534044887</c:v>
                </c:pt>
                <c:pt idx="326">
                  <c:v>26.929122134189743</c:v>
                </c:pt>
                <c:pt idx="327">
                  <c:v>26.694482671473619</c:v>
                </c:pt>
                <c:pt idx="328">
                  <c:v>26.467784895709137</c:v>
                </c:pt>
                <c:pt idx="329">
                  <c:v>26.249557528760938</c:v>
                </c:pt>
                <c:pt idx="330">
                  <c:v>26.037617089189489</c:v>
                </c:pt>
                <c:pt idx="331">
                  <c:v>25.829811085195708</c:v>
                </c:pt>
                <c:pt idx="332">
                  <c:v>25.626749969331399</c:v>
                </c:pt>
                <c:pt idx="333">
                  <c:v>25.429071258657732</c:v>
                </c:pt>
                <c:pt idx="334">
                  <c:v>25.237412276795013</c:v>
                </c:pt>
                <c:pt idx="335">
                  <c:v>25.052410152029264</c:v>
                </c:pt>
                <c:pt idx="336">
                  <c:v>24.874701812434925</c:v>
                </c:pt>
                <c:pt idx="337">
                  <c:v>24.704903129487274</c:v>
                </c:pt>
                <c:pt idx="338">
                  <c:v>24.543633216524693</c:v>
                </c:pt>
                <c:pt idx="339">
                  <c:v>24.391528935711722</c:v>
                </c:pt>
                <c:pt idx="340">
                  <c:v>24.249226872004293</c:v>
                </c:pt>
                <c:pt idx="341">
                  <c:v>24.117363316363829</c:v>
                </c:pt>
                <c:pt idx="342">
                  <c:v>23.996574261988357</c:v>
                </c:pt>
                <c:pt idx="343">
                  <c:v>23.887495418542663</c:v>
                </c:pt>
                <c:pt idx="344">
                  <c:v>23.788074849772435</c:v>
                </c:pt>
                <c:pt idx="345">
                  <c:v>23.696172824748647</c:v>
                </c:pt>
                <c:pt idx="346">
                  <c:v>23.612373893492457</c:v>
                </c:pt>
                <c:pt idx="347">
                  <c:v>23.537180666117901</c:v>
                </c:pt>
                <c:pt idx="348">
                  <c:v>23.471095640386839</c:v>
                </c:pt>
                <c:pt idx="349">
                  <c:v>23.414621198229192</c:v>
                </c:pt>
                <c:pt idx="350">
                  <c:v>23.368259580045404</c:v>
                </c:pt>
                <c:pt idx="351">
                  <c:v>23.332555572928705</c:v>
                </c:pt>
                <c:pt idx="352">
                  <c:v>23.308030592913592</c:v>
                </c:pt>
                <c:pt idx="353">
                  <c:v>23.295186128288147</c:v>
                </c:pt>
                <c:pt idx="354">
                  <c:v>23.294523579894339</c:v>
                </c:pt>
                <c:pt idx="355">
                  <c:v>23.306544256468385</c:v>
                </c:pt>
                <c:pt idx="356">
                  <c:v>23.331749639457179</c:v>
                </c:pt>
                <c:pt idx="357">
                  <c:v>23.370640542573831</c:v>
                </c:pt>
                <c:pt idx="358">
                  <c:v>23.423617706300139</c:v>
                </c:pt>
                <c:pt idx="359">
                  <c:v>23.490414183647605</c:v>
                </c:pt>
                <c:pt idx="360">
                  <c:v>23.570510175892696</c:v>
                </c:pt>
                <c:pt idx="361">
                  <c:v>23.663363523991539</c:v>
                </c:pt>
                <c:pt idx="362">
                  <c:v>23.768474413317755</c:v>
                </c:pt>
                <c:pt idx="363">
                  <c:v>23.885343157503179</c:v>
                </c:pt>
                <c:pt idx="364">
                  <c:v>24.013470215333125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10.439</c:v>
                </c:pt>
                <c:pt idx="70">
                  <c:v>40.956000000000003</c:v>
                </c:pt>
                <c:pt idx="71">
                  <c:v>27.803999999999998</c:v>
                </c:pt>
                <c:pt idx="72">
                  <c:v>23.11</c:v>
                </c:pt>
                <c:pt idx="73">
                  <c:v>12.707000000000001</c:v>
                </c:pt>
                <c:pt idx="74">
                  <c:v>47.841999999999999</c:v>
                </c:pt>
                <c:pt idx="75">
                  <c:v>15.763999999999999</c:v>
                </c:pt>
                <c:pt idx="76">
                  <c:v>33.887999999999998</c:v>
                </c:pt>
                <c:pt idx="77">
                  <c:v>12.301</c:v>
                </c:pt>
                <c:pt idx="78">
                  <c:v>50.628</c:v>
                </c:pt>
                <c:pt idx="79">
                  <c:v>50.87</c:v>
                </c:pt>
                <c:pt idx="80">
                  <c:v>49.661999999999999</c:v>
                </c:pt>
                <c:pt idx="81">
                  <c:v>46.54</c:v>
                </c:pt>
                <c:pt idx="82">
                  <c:v>50.965000000000003</c:v>
                </c:pt>
                <c:pt idx="83">
                  <c:v>44.454000000000001</c:v>
                </c:pt>
                <c:pt idx="84">
                  <c:v>54.258000000000003</c:v>
                </c:pt>
                <c:pt idx="85">
                  <c:v>53.420999999999999</c:v>
                </c:pt>
                <c:pt idx="86">
                  <c:v>52.405000000000001</c:v>
                </c:pt>
                <c:pt idx="87">
                  <c:v>52.863999999999997</c:v>
                </c:pt>
                <c:pt idx="88">
                  <c:v>53.802999999999997</c:v>
                </c:pt>
                <c:pt idx="89">
                  <c:v>45.543999999999997</c:v>
                </c:pt>
                <c:pt idx="90">
                  <c:v>39.637999999999998</c:v>
                </c:pt>
                <c:pt idx="91">
                  <c:v>16.885000000000002</c:v>
                </c:pt>
                <c:pt idx="92">
                  <c:v>15.369</c:v>
                </c:pt>
                <c:pt idx="93">
                  <c:v>40.959000000000003</c:v>
                </c:pt>
                <c:pt idx="94">
                  <c:v>51.905000000000001</c:v>
                </c:pt>
                <c:pt idx="95">
                  <c:v>20.521000000000001</c:v>
                </c:pt>
                <c:pt idx="96">
                  <c:v>32.926000000000002</c:v>
                </c:pt>
                <c:pt idx="97">
                  <c:v>34.781999999999996</c:v>
                </c:pt>
                <c:pt idx="98">
                  <c:v>41.207000000000001</c:v>
                </c:pt>
                <c:pt idx="99">
                  <c:v>33.856000000000002</c:v>
                </c:pt>
                <c:pt idx="100">
                  <c:v>9.7829999999999995</c:v>
                </c:pt>
                <c:pt idx="101">
                  <c:v>58.314999999999998</c:v>
                </c:pt>
                <c:pt idx="102">
                  <c:v>58.268000000000001</c:v>
                </c:pt>
                <c:pt idx="103">
                  <c:v>28.927</c:v>
                </c:pt>
                <c:pt idx="104">
                  <c:v>39.384999999999998</c:v>
                </c:pt>
                <c:pt idx="105">
                  <c:v>35.451000000000001</c:v>
                </c:pt>
                <c:pt idx="106">
                  <c:v>38.002000000000002</c:v>
                </c:pt>
                <c:pt idx="107">
                  <c:v>28.565999999999999</c:v>
                </c:pt>
                <c:pt idx="108">
                  <c:v>51.302</c:v>
                </c:pt>
                <c:pt idx="109">
                  <c:v>52.051000000000002</c:v>
                </c:pt>
                <c:pt idx="110">
                  <c:v>19.22</c:v>
                </c:pt>
                <c:pt idx="111">
                  <c:v>33.32</c:v>
                </c:pt>
                <c:pt idx="112">
                  <c:v>37.042999999999999</c:v>
                </c:pt>
                <c:pt idx="113">
                  <c:v>51.851999999999997</c:v>
                </c:pt>
                <c:pt idx="114">
                  <c:v>35.655999999999999</c:v>
                </c:pt>
                <c:pt idx="115">
                  <c:v>28.896000000000001</c:v>
                </c:pt>
                <c:pt idx="116">
                  <c:v>29.513000000000002</c:v>
                </c:pt>
                <c:pt idx="117">
                  <c:v>46.210999999999999</c:v>
                </c:pt>
                <c:pt idx="118">
                  <c:v>51.212000000000003</c:v>
                </c:pt>
                <c:pt idx="119">
                  <c:v>60.962000000000003</c:v>
                </c:pt>
                <c:pt idx="120">
                  <c:v>56.456000000000003</c:v>
                </c:pt>
                <c:pt idx="121">
                  <c:v>31.757999999999999</c:v>
                </c:pt>
                <c:pt idx="122">
                  <c:v>20.169</c:v>
                </c:pt>
                <c:pt idx="123">
                  <c:v>34.542999999999999</c:v>
                </c:pt>
                <c:pt idx="124">
                  <c:v>48.722999999999999</c:v>
                </c:pt>
                <c:pt idx="125">
                  <c:v>63.206000000000003</c:v>
                </c:pt>
                <c:pt idx="126">
                  <c:v>46.204000000000001</c:v>
                </c:pt>
                <c:pt idx="127">
                  <c:v>31.92</c:v>
                </c:pt>
                <c:pt idx="128">
                  <c:v>47.125</c:v>
                </c:pt>
                <c:pt idx="129">
                  <c:v>39.503999999999998</c:v>
                </c:pt>
                <c:pt idx="130">
                  <c:v>37.426000000000002</c:v>
                </c:pt>
                <c:pt idx="131">
                  <c:v>55.429000000000002</c:v>
                </c:pt>
                <c:pt idx="132">
                  <c:v>63.923000000000002</c:v>
                </c:pt>
                <c:pt idx="133">
                  <c:v>62.378</c:v>
                </c:pt>
                <c:pt idx="134">
                  <c:v>62.936</c:v>
                </c:pt>
                <c:pt idx="135">
                  <c:v>54.081000000000003</c:v>
                </c:pt>
                <c:pt idx="136">
                  <c:v>6.5140000000000002</c:v>
                </c:pt>
                <c:pt idx="137">
                  <c:v>36.835000000000001</c:v>
                </c:pt>
                <c:pt idx="138">
                  <c:v>26.331</c:v>
                </c:pt>
                <c:pt idx="139">
                  <c:v>52.524999999999999</c:v>
                </c:pt>
                <c:pt idx="140">
                  <c:v>50.362000000000002</c:v>
                </c:pt>
                <c:pt idx="141">
                  <c:v>59.935000000000002</c:v>
                </c:pt>
                <c:pt idx="142">
                  <c:v>51.996000000000002</c:v>
                </c:pt>
                <c:pt idx="143">
                  <c:v>12.366</c:v>
                </c:pt>
                <c:pt idx="144">
                  <c:v>25.402000000000001</c:v>
                </c:pt>
                <c:pt idx="145">
                  <c:v>26.045000000000002</c:v>
                </c:pt>
                <c:pt idx="146">
                  <c:v>31.324999999999999</c:v>
                </c:pt>
                <c:pt idx="147">
                  <c:v>27.669</c:v>
                </c:pt>
                <c:pt idx="148">
                  <c:v>40.127000000000002</c:v>
                </c:pt>
                <c:pt idx="149">
                  <c:v>56.734999999999999</c:v>
                </c:pt>
                <c:pt idx="150">
                  <c:v>61.771999999999998</c:v>
                </c:pt>
                <c:pt idx="151">
                  <c:v>62.201000000000001</c:v>
                </c:pt>
                <c:pt idx="152">
                  <c:v>61.433999999999997</c:v>
                </c:pt>
                <c:pt idx="153">
                  <c:v>47.531999999999996</c:v>
                </c:pt>
                <c:pt idx="154">
                  <c:v>56.350999999999999</c:v>
                </c:pt>
                <c:pt idx="155">
                  <c:v>10.319000000000001</c:v>
                </c:pt>
                <c:pt idx="156">
                  <c:v>57.976999999999997</c:v>
                </c:pt>
                <c:pt idx="157">
                  <c:v>22.622</c:v>
                </c:pt>
                <c:pt idx="158">
                  <c:v>62.765999999999998</c:v>
                </c:pt>
                <c:pt idx="159">
                  <c:v>51.468000000000004</c:v>
                </c:pt>
                <c:pt idx="160">
                  <c:v>20.850999999999999</c:v>
                </c:pt>
                <c:pt idx="161">
                  <c:v>32.375999999999998</c:v>
                </c:pt>
                <c:pt idx="162">
                  <c:v>55.523000000000003</c:v>
                </c:pt>
                <c:pt idx="163">
                  <c:v>63.253999999999998</c:v>
                </c:pt>
                <c:pt idx="164">
                  <c:v>25.574999999999999</c:v>
                </c:pt>
                <c:pt idx="165">
                  <c:v>25.265999999999998</c:v>
                </c:pt>
                <c:pt idx="166">
                  <c:v>62.722999999999999</c:v>
                </c:pt>
                <c:pt idx="167">
                  <c:v>61.219000000000001</c:v>
                </c:pt>
                <c:pt idx="168">
                  <c:v>58.319000000000003</c:v>
                </c:pt>
                <c:pt idx="169">
                  <c:v>50.813000000000002</c:v>
                </c:pt>
                <c:pt idx="170">
                  <c:v>31.356000000000002</c:v>
                </c:pt>
                <c:pt idx="171">
                  <c:v>11.305</c:v>
                </c:pt>
                <c:pt idx="172">
                  <c:v>54.603000000000002</c:v>
                </c:pt>
                <c:pt idx="173">
                  <c:v>53.482999999999997</c:v>
                </c:pt>
                <c:pt idx="174">
                  <c:v>38.765999999999998</c:v>
                </c:pt>
                <c:pt idx="175">
                  <c:v>55.1</c:v>
                </c:pt>
                <c:pt idx="176">
                  <c:v>58.689</c:v>
                </c:pt>
                <c:pt idx="177">
                  <c:v>58.25</c:v>
                </c:pt>
                <c:pt idx="178">
                  <c:v>57.737000000000002</c:v>
                </c:pt>
                <c:pt idx="179">
                  <c:v>56.094000000000001</c:v>
                </c:pt>
                <c:pt idx="180">
                  <c:v>51.765999999999998</c:v>
                </c:pt>
                <c:pt idx="181">
                  <c:v>17.638000000000002</c:v>
                </c:pt>
                <c:pt idx="182">
                  <c:v>31.012</c:v>
                </c:pt>
                <c:pt idx="183">
                  <c:v>48.728999999999999</c:v>
                </c:pt>
                <c:pt idx="184">
                  <c:v>57.026000000000003</c:v>
                </c:pt>
                <c:pt idx="185">
                  <c:v>55.598999999999997</c:v>
                </c:pt>
                <c:pt idx="186">
                  <c:v>54.688000000000002</c:v>
                </c:pt>
                <c:pt idx="187">
                  <c:v>51.244</c:v>
                </c:pt>
                <c:pt idx="188">
                  <c:v>35.637999999999998</c:v>
                </c:pt>
                <c:pt idx="189">
                  <c:v>20.32</c:v>
                </c:pt>
                <c:pt idx="190">
                  <c:v>59.000999999999998</c:v>
                </c:pt>
                <c:pt idx="191">
                  <c:v>59.831000000000003</c:v>
                </c:pt>
                <c:pt idx="192">
                  <c:v>60.23</c:v>
                </c:pt>
                <c:pt idx="193">
                  <c:v>52.652999999999999</c:v>
                </c:pt>
                <c:pt idx="194">
                  <c:v>59.987000000000002</c:v>
                </c:pt>
                <c:pt idx="195">
                  <c:v>61.298999999999999</c:v>
                </c:pt>
                <c:pt idx="196">
                  <c:v>59.646000000000001</c:v>
                </c:pt>
                <c:pt idx="197">
                  <c:v>52.259</c:v>
                </c:pt>
                <c:pt idx="198">
                  <c:v>40.54</c:v>
                </c:pt>
                <c:pt idx="199">
                  <c:v>58.03</c:v>
                </c:pt>
                <c:pt idx="200">
                  <c:v>27.936</c:v>
                </c:pt>
                <c:pt idx="201">
                  <c:v>46.731000000000002</c:v>
                </c:pt>
                <c:pt idx="202">
                  <c:v>50.674999999999997</c:v>
                </c:pt>
                <c:pt idx="203">
                  <c:v>54.981000000000002</c:v>
                </c:pt>
                <c:pt idx="204">
                  <c:v>55.203000000000003</c:v>
                </c:pt>
                <c:pt idx="205">
                  <c:v>55.747</c:v>
                </c:pt>
                <c:pt idx="206">
                  <c:v>22.702999999999999</c:v>
                </c:pt>
                <c:pt idx="207">
                  <c:v>12.829000000000001</c:v>
                </c:pt>
                <c:pt idx="208">
                  <c:v>53.551000000000002</c:v>
                </c:pt>
                <c:pt idx="209">
                  <c:v>57.978000000000002</c:v>
                </c:pt>
                <c:pt idx="210">
                  <c:v>28.265000000000001</c:v>
                </c:pt>
                <c:pt idx="211">
                  <c:v>55.725000000000001</c:v>
                </c:pt>
                <c:pt idx="212">
                  <c:v>50.238</c:v>
                </c:pt>
                <c:pt idx="213">
                  <c:v>55.216000000000001</c:v>
                </c:pt>
                <c:pt idx="214">
                  <c:v>55.725000000000001</c:v>
                </c:pt>
                <c:pt idx="215">
                  <c:v>53.005000000000003</c:v>
                </c:pt>
                <c:pt idx="216">
                  <c:v>53.173000000000002</c:v>
                </c:pt>
                <c:pt idx="217">
                  <c:v>39.363999999999997</c:v>
                </c:pt>
                <c:pt idx="218">
                  <c:v>43.362000000000002</c:v>
                </c:pt>
                <c:pt idx="219">
                  <c:v>53.883000000000003</c:v>
                </c:pt>
                <c:pt idx="220">
                  <c:v>50.292000000000002</c:v>
                </c:pt>
                <c:pt idx="221">
                  <c:v>40.381</c:v>
                </c:pt>
                <c:pt idx="222">
                  <c:v>24.216000000000001</c:v>
                </c:pt>
                <c:pt idx="223">
                  <c:v>28.332999999999998</c:v>
                </c:pt>
                <c:pt idx="224">
                  <c:v>48.764000000000003</c:v>
                </c:pt>
                <c:pt idx="225">
                  <c:v>55.723999999999997</c:v>
                </c:pt>
                <c:pt idx="226">
                  <c:v>28.463999999999999</c:v>
                </c:pt>
                <c:pt idx="227">
                  <c:v>54.634</c:v>
                </c:pt>
                <c:pt idx="228">
                  <c:v>53.731999999999999</c:v>
                </c:pt>
                <c:pt idx="229">
                  <c:v>37.198</c:v>
                </c:pt>
                <c:pt idx="230">
                  <c:v>34.807000000000002</c:v>
                </c:pt>
                <c:pt idx="231">
                  <c:v>31.306000000000001</c:v>
                </c:pt>
                <c:pt idx="232">
                  <c:v>49.508000000000003</c:v>
                </c:pt>
                <c:pt idx="233">
                  <c:v>55.292000000000002</c:v>
                </c:pt>
                <c:pt idx="234">
                  <c:v>52.670999999999999</c:v>
                </c:pt>
                <c:pt idx="235">
                  <c:v>52.460999999999999</c:v>
                </c:pt>
                <c:pt idx="236">
                  <c:v>46.57</c:v>
                </c:pt>
                <c:pt idx="237">
                  <c:v>43.43</c:v>
                </c:pt>
                <c:pt idx="238">
                  <c:v>31.706</c:v>
                </c:pt>
                <c:pt idx="239">
                  <c:v>38.909999999999997</c:v>
                </c:pt>
                <c:pt idx="240">
                  <c:v>50.046999999999997</c:v>
                </c:pt>
                <c:pt idx="241">
                  <c:v>49.268000000000001</c:v>
                </c:pt>
                <c:pt idx="242">
                  <c:v>46.918999999999997</c:v>
                </c:pt>
                <c:pt idx="243">
                  <c:v>17.100000000000001</c:v>
                </c:pt>
                <c:pt idx="244">
                  <c:v>51.182000000000002</c:v>
                </c:pt>
                <c:pt idx="245">
                  <c:v>52.366999999999997</c:v>
                </c:pt>
                <c:pt idx="246">
                  <c:v>52.093000000000004</c:v>
                </c:pt>
                <c:pt idx="247">
                  <c:v>37.435000000000002</c:v>
                </c:pt>
                <c:pt idx="248">
                  <c:v>53.093000000000004</c:v>
                </c:pt>
                <c:pt idx="249">
                  <c:v>48.137</c:v>
                </c:pt>
                <c:pt idx="250">
                  <c:v>45.777000000000001</c:v>
                </c:pt>
                <c:pt idx="251">
                  <c:v>39.674999999999997</c:v>
                </c:pt>
                <c:pt idx="252">
                  <c:v>13.462999999999999</c:v>
                </c:pt>
                <c:pt idx="253">
                  <c:v>46.381999999999998</c:v>
                </c:pt>
                <c:pt idx="254">
                  <c:v>49.444000000000003</c:v>
                </c:pt>
                <c:pt idx="255">
                  <c:v>38.545999999999999</c:v>
                </c:pt>
                <c:pt idx="256">
                  <c:v>40.863</c:v>
                </c:pt>
                <c:pt idx="257">
                  <c:v>41.381</c:v>
                </c:pt>
                <c:pt idx="258">
                  <c:v>42.749000000000002</c:v>
                </c:pt>
                <c:pt idx="259">
                  <c:v>41.570999999999998</c:v>
                </c:pt>
                <c:pt idx="260">
                  <c:v>26.959</c:v>
                </c:pt>
                <c:pt idx="261">
                  <c:v>41.581000000000003</c:v>
                </c:pt>
                <c:pt idx="262">
                  <c:v>46.054000000000002</c:v>
                </c:pt>
                <c:pt idx="263">
                  <c:v>33.362000000000002</c:v>
                </c:pt>
                <c:pt idx="264">
                  <c:v>8.6349999999999998</c:v>
                </c:pt>
                <c:pt idx="265">
                  <c:v>40.771000000000001</c:v>
                </c:pt>
                <c:pt idx="266">
                  <c:v>28.036999999999999</c:v>
                </c:pt>
                <c:pt idx="267">
                  <c:v>29.97</c:v>
                </c:pt>
                <c:pt idx="268">
                  <c:v>36.959000000000003</c:v>
                </c:pt>
                <c:pt idx="269">
                  <c:v>36.957000000000001</c:v>
                </c:pt>
                <c:pt idx="270">
                  <c:v>37.308999999999997</c:v>
                </c:pt>
                <c:pt idx="271">
                  <c:v>42.851999999999997</c:v>
                </c:pt>
                <c:pt idx="272">
                  <c:v>26.725000000000001</c:v>
                </c:pt>
                <c:pt idx="273">
                  <c:v>33.017000000000003</c:v>
                </c:pt>
                <c:pt idx="274">
                  <c:v>23.542000000000002</c:v>
                </c:pt>
                <c:pt idx="275">
                  <c:v>34.439</c:v>
                </c:pt>
                <c:pt idx="276">
                  <c:v>10.154</c:v>
                </c:pt>
                <c:pt idx="277">
                  <c:v>38.624000000000002</c:v>
                </c:pt>
                <c:pt idx="278">
                  <c:v>18.22</c:v>
                </c:pt>
                <c:pt idx="279">
                  <c:v>29.942</c:v>
                </c:pt>
                <c:pt idx="280">
                  <c:v>38.933999999999997</c:v>
                </c:pt>
                <c:pt idx="281">
                  <c:v>9.4390000000000001</c:v>
                </c:pt>
                <c:pt idx="282">
                  <c:v>29.207999999999998</c:v>
                </c:pt>
                <c:pt idx="283">
                  <c:v>40.503</c:v>
                </c:pt>
                <c:pt idx="284">
                  <c:v>20.334</c:v>
                </c:pt>
                <c:pt idx="285">
                  <c:v>38.298999999999999</c:v>
                </c:pt>
                <c:pt idx="286">
                  <c:v>11.923999999999999</c:v>
                </c:pt>
                <c:pt idx="287">
                  <c:v>31.414000000000001</c:v>
                </c:pt>
                <c:pt idx="288">
                  <c:v>32.549999999999997</c:v>
                </c:pt>
                <c:pt idx="289">
                  <c:v>19.739999999999998</c:v>
                </c:pt>
                <c:pt idx="290">
                  <c:v>14.943</c:v>
                </c:pt>
                <c:pt idx="291">
                  <c:v>29.605</c:v>
                </c:pt>
                <c:pt idx="292">
                  <c:v>12.15</c:v>
                </c:pt>
                <c:pt idx="293">
                  <c:v>23.722999999999999</c:v>
                </c:pt>
                <c:pt idx="294">
                  <c:v>4.7590000000000003</c:v>
                </c:pt>
                <c:pt idx="295">
                  <c:v>17.518000000000001</c:v>
                </c:pt>
                <c:pt idx="296">
                  <c:v>17.276</c:v>
                </c:pt>
                <c:pt idx="297">
                  <c:v>29.623000000000001</c:v>
                </c:pt>
                <c:pt idx="298">
                  <c:v>34.856000000000002</c:v>
                </c:pt>
                <c:pt idx="299">
                  <c:v>23.995000000000001</c:v>
                </c:pt>
                <c:pt idx="300">
                  <c:v>9.3439999999999994</c:v>
                </c:pt>
                <c:pt idx="301">
                  <c:v>28.907</c:v>
                </c:pt>
                <c:pt idx="302">
                  <c:v>22.518000000000001</c:v>
                </c:pt>
                <c:pt idx="303">
                  <c:v>17.483000000000001</c:v>
                </c:pt>
                <c:pt idx="304">
                  <c:v>6.9980000000000002</c:v>
                </c:pt>
                <c:pt idx="305">
                  <c:v>5.452</c:v>
                </c:pt>
                <c:pt idx="306">
                  <c:v>13.724</c:v>
                </c:pt>
                <c:pt idx="307">
                  <c:v>12.086</c:v>
                </c:pt>
                <c:pt idx="308">
                  <c:v>12.923999999999999</c:v>
                </c:pt>
                <c:pt idx="309">
                  <c:v>13.179</c:v>
                </c:pt>
                <c:pt idx="310">
                  <c:v>4.194</c:v>
                </c:pt>
                <c:pt idx="311">
                  <c:v>13.144</c:v>
                </c:pt>
                <c:pt idx="312">
                  <c:v>19.541</c:v>
                </c:pt>
                <c:pt idx="313">
                  <c:v>18.576000000000001</c:v>
                </c:pt>
                <c:pt idx="314">
                  <c:v>23.495999999999999</c:v>
                </c:pt>
                <c:pt idx="315">
                  <c:v>18.504000000000001</c:v>
                </c:pt>
                <c:pt idx="316">
                  <c:v>18.808</c:v>
                </c:pt>
                <c:pt idx="317">
                  <c:v>5.8070000000000004</c:v>
                </c:pt>
                <c:pt idx="318">
                  <c:v>11.558</c:v>
                </c:pt>
                <c:pt idx="319">
                  <c:v>14.265000000000001</c:v>
                </c:pt>
                <c:pt idx="320">
                  <c:v>12.523</c:v>
                </c:pt>
                <c:pt idx="321">
                  <c:v>11.513</c:v>
                </c:pt>
                <c:pt idx="322">
                  <c:v>18.334</c:v>
                </c:pt>
                <c:pt idx="323">
                  <c:v>27.77</c:v>
                </c:pt>
                <c:pt idx="324">
                  <c:v>27.106999999999999</c:v>
                </c:pt>
                <c:pt idx="325">
                  <c:v>13.29</c:v>
                </c:pt>
                <c:pt idx="326">
                  <c:v>6.8159999999999998</c:v>
                </c:pt>
                <c:pt idx="327">
                  <c:v>13.776999999999999</c:v>
                </c:pt>
                <c:pt idx="328">
                  <c:v>11.683999999999999</c:v>
                </c:pt>
                <c:pt idx="329">
                  <c:v>19.134</c:v>
                </c:pt>
                <c:pt idx="330">
                  <c:v>18.959</c:v>
                </c:pt>
                <c:pt idx="331">
                  <c:v>11.706</c:v>
                </c:pt>
                <c:pt idx="332">
                  <c:v>15.666</c:v>
                </c:pt>
                <c:pt idx="333">
                  <c:v>11.48</c:v>
                </c:pt>
                <c:pt idx="334">
                  <c:v>7.9050000000000002</c:v>
                </c:pt>
                <c:pt idx="335">
                  <c:v>4.1319999999999997</c:v>
                </c:pt>
                <c:pt idx="336">
                  <c:v>4.6120000000000001</c:v>
                </c:pt>
                <c:pt idx="337">
                  <c:v>6.0949999999999998</c:v>
                </c:pt>
                <c:pt idx="338">
                  <c:v>8.9540000000000006</c:v>
                </c:pt>
                <c:pt idx="339">
                  <c:v>8.782</c:v>
                </c:pt>
                <c:pt idx="340">
                  <c:v>15.117000000000001</c:v>
                </c:pt>
                <c:pt idx="341">
                  <c:v>16.524999999999999</c:v>
                </c:pt>
                <c:pt idx="342">
                  <c:v>11.446999999999999</c:v>
                </c:pt>
                <c:pt idx="343">
                  <c:v>20.876000000000001</c:v>
                </c:pt>
                <c:pt idx="344">
                  <c:v>1.897</c:v>
                </c:pt>
                <c:pt idx="345">
                  <c:v>4.6219999999999999</c:v>
                </c:pt>
                <c:pt idx="346">
                  <c:v>2.383</c:v>
                </c:pt>
                <c:pt idx="347">
                  <c:v>18.283000000000001</c:v>
                </c:pt>
                <c:pt idx="348">
                  <c:v>24.021999999999998</c:v>
                </c:pt>
                <c:pt idx="349">
                  <c:v>14.061</c:v>
                </c:pt>
                <c:pt idx="350">
                  <c:v>12.568</c:v>
                </c:pt>
                <c:pt idx="351">
                  <c:v>18.443999999999999</c:v>
                </c:pt>
                <c:pt idx="352">
                  <c:v>10.648</c:v>
                </c:pt>
                <c:pt idx="353">
                  <c:v>8.6180000000000003</c:v>
                </c:pt>
                <c:pt idx="354">
                  <c:v>19.038</c:v>
                </c:pt>
                <c:pt idx="355">
                  <c:v>7.1509999999999998</c:v>
                </c:pt>
                <c:pt idx="356">
                  <c:v>6.6550000000000002</c:v>
                </c:pt>
                <c:pt idx="357">
                  <c:v>13.207000000000001</c:v>
                </c:pt>
                <c:pt idx="358">
                  <c:v>11.131</c:v>
                </c:pt>
                <c:pt idx="359">
                  <c:v>8.1690000000000005</c:v>
                </c:pt>
                <c:pt idx="360">
                  <c:v>20.562999999999999</c:v>
                </c:pt>
                <c:pt idx="361">
                  <c:v>4.319</c:v>
                </c:pt>
                <c:pt idx="362">
                  <c:v>24.161000000000001</c:v>
                </c:pt>
                <c:pt idx="363">
                  <c:v>24.164000000000001</c:v>
                </c:pt>
                <c:pt idx="364">
                  <c:v>17.335000000000001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637944"/>
        <c:axId val="388699008"/>
      </c:lineChart>
      <c:dateAx>
        <c:axId val="39463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8699008"/>
        <c:crosses val="autoZero"/>
        <c:auto val="1"/>
        <c:lblOffset val="100"/>
        <c:baseTimeUnit val="days"/>
        <c:majorUnit val="1"/>
        <c:majorTimeUnit val="months"/>
      </c:dateAx>
      <c:valAx>
        <c:axId val="3886990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379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1.9164771863366958E-5</c:v>
                </c:pt>
                <c:pt idx="17">
                  <c:v>3.8329176438200996E-5</c:v>
                </c:pt>
                <c:pt idx="18">
                  <c:v>5.749321373160754E-5</c:v>
                </c:pt>
                <c:pt idx="19">
                  <c:v>7.6656883750580995E-5</c:v>
                </c:pt>
                <c:pt idx="20">
                  <c:v>9.582018650222679E-5</c:v>
                </c:pt>
                <c:pt idx="21">
                  <c:v>1.1498312199365035E-4</c:v>
                </c:pt>
                <c:pt idx="22">
                  <c:v>1.3414569023162404E-4</c:v>
                </c:pt>
                <c:pt idx="23">
                  <c:v>1.5330789122347532E-4</c:v>
                </c:pt>
                <c:pt idx="24">
                  <c:v>1.7246972497597657E-4</c:v>
                </c:pt>
                <c:pt idx="25">
                  <c:v>1.9163119149645524E-4</c:v>
                </c:pt>
                <c:pt idx="26">
                  <c:v>2.1079229079168371E-4</c:v>
                </c:pt>
                <c:pt idx="27">
                  <c:v>2.2995302286887842E-4</c:v>
                </c:pt>
                <c:pt idx="28">
                  <c:v>2.4911338773492275E-4</c:v>
                </c:pt>
                <c:pt idx="29">
                  <c:v>2.6827338539703316E-4</c:v>
                </c:pt>
                <c:pt idx="30">
                  <c:v>2.8743301586220404E-4</c:v>
                </c:pt>
                <c:pt idx="31">
                  <c:v>3.0659227913731879E-4</c:v>
                </c:pt>
                <c:pt idx="32">
                  <c:v>3.2575117522959385E-4</c:v>
                </c:pt>
                <c:pt idx="33">
                  <c:v>3.4490970414602362E-4</c:v>
                </c:pt>
                <c:pt idx="34">
                  <c:v>3.6406786589349149E-4</c:v>
                </c:pt>
                <c:pt idx="35">
                  <c:v>3.8322566047921391E-4</c:v>
                </c:pt>
                <c:pt idx="36">
                  <c:v>4.0238308791029631E-4</c:v>
                </c:pt>
                <c:pt idx="37">
                  <c:v>4.2154014819351104E-4</c:v>
                </c:pt>
                <c:pt idx="38">
                  <c:v>4.4069684133607456E-4</c:v>
                </c:pt>
                <c:pt idx="39">
                  <c:v>4.5985316734498127E-4</c:v>
                </c:pt>
                <c:pt idx="40">
                  <c:v>4.7900912622722558E-4</c:v>
                </c:pt>
                <c:pt idx="41">
                  <c:v>4.9816471799002393E-4</c:v>
                </c:pt>
                <c:pt idx="42">
                  <c:v>5.1731994264014869E-4</c:v>
                </c:pt>
                <c:pt idx="43">
                  <c:v>5.364748001848163E-4</c:v>
                </c:pt>
                <c:pt idx="44">
                  <c:v>5.5562929063102118E-4</c:v>
                </c:pt>
                <c:pt idx="45">
                  <c:v>5.7478341398575772E-4</c:v>
                </c:pt>
                <c:pt idx="46">
                  <c:v>5.9393717025602033E-4</c:v>
                </c:pt>
                <c:pt idx="47">
                  <c:v>6.1309055944902546E-4</c:v>
                </c:pt>
                <c:pt idx="48">
                  <c:v>6.322435815716565E-4</c:v>
                </c:pt>
                <c:pt idx="49">
                  <c:v>6.5139623663101887E-4</c:v>
                </c:pt>
                <c:pt idx="50">
                  <c:v>6.7054852463410697E-4</c:v>
                </c:pt>
                <c:pt idx="51">
                  <c:v>6.8970044558791521E-4</c:v>
                </c:pt>
                <c:pt idx="52">
                  <c:v>7.0885199949954902E-4</c:v>
                </c:pt>
                <c:pt idx="53">
                  <c:v>7.2800318637600281E-4</c:v>
                </c:pt>
                <c:pt idx="54">
                  <c:v>7.4715400622438199E-4</c:v>
                </c:pt>
                <c:pt idx="55">
                  <c:v>7.6630445905168099E-4</c:v>
                </c:pt>
                <c:pt idx="56">
                  <c:v>7.8545454486489419E-4</c:v>
                </c:pt>
                <c:pt idx="57">
                  <c:v>8.0460426367101601E-4</c:v>
                </c:pt>
                <c:pt idx="58">
                  <c:v>8.2375361547726289E-4</c:v>
                </c:pt>
                <c:pt idx="59">
                  <c:v>8.429026002904072E-4</c:v>
                </c:pt>
                <c:pt idx="60">
                  <c:v>8.6205121811777641E-4</c:v>
                </c:pt>
                <c:pt idx="61">
                  <c:v>8.8119946896614287E-4</c:v>
                </c:pt>
                <c:pt idx="62">
                  <c:v>9.0034735284272305E-4</c:v>
                </c:pt>
                <c:pt idx="63">
                  <c:v>9.1949486975440031E-4</c:v>
                </c:pt>
                <c:pt idx="64">
                  <c:v>9.3864201970839112E-4</c:v>
                </c:pt>
                <c:pt idx="65">
                  <c:v>9.5778880271157885E-4</c:v>
                </c:pt>
                <c:pt idx="66">
                  <c:v>9.769352187709579E-4</c:v>
                </c:pt>
                <c:pt idx="67">
                  <c:v>9.9608126789374474E-4</c:v>
                </c:pt>
                <c:pt idx="68">
                  <c:v>1.0152269500868227E-3</c:v>
                </c:pt>
                <c:pt idx="69">
                  <c:v>1.0343722653572973E-3</c:v>
                </c:pt>
                <c:pt idx="70">
                  <c:v>1.0535172137120519E-3</c:v>
                </c:pt>
                <c:pt idx="71">
                  <c:v>1.0726617951584139E-3</c:v>
                </c:pt>
                <c:pt idx="72">
                  <c:v>1.0918060097031557E-3</c:v>
                </c:pt>
                <c:pt idx="73">
                  <c:v>1.1109498573533827E-3</c:v>
                </c:pt>
                <c:pt idx="74">
                  <c:v>1.1300933381162004E-3</c:v>
                </c:pt>
                <c:pt idx="75">
                  <c:v>1.1492364519984921E-3</c:v>
                </c:pt>
                <c:pt idx="76">
                  <c:v>1.1683791990073633E-3</c:v>
                </c:pt>
                <c:pt idx="77">
                  <c:v>1.1875215791499194E-3</c:v>
                </c:pt>
                <c:pt idx="78">
                  <c:v>1.2066635924331548E-3</c:v>
                </c:pt>
                <c:pt idx="79">
                  <c:v>1.2258052388639529E-3</c:v>
                </c:pt>
                <c:pt idx="80">
                  <c:v>1.2449465184496411E-3</c:v>
                </c:pt>
                <c:pt idx="81">
                  <c:v>1.2640874311968808E-3</c:v>
                </c:pt>
                <c:pt idx="82">
                  <c:v>1.2832279771129995E-3</c:v>
                </c:pt>
                <c:pt idx="83">
                  <c:v>1.3023681562048806E-3</c:v>
                </c:pt>
                <c:pt idx="84">
                  <c:v>1.3215079684796294E-3</c:v>
                </c:pt>
                <c:pt idx="85">
                  <c:v>1.3406474139442404E-3</c:v>
                </c:pt>
                <c:pt idx="86">
                  <c:v>1.359786492605819E-3</c:v>
                </c:pt>
                <c:pt idx="87">
                  <c:v>1.3789252044712486E-3</c:v>
                </c:pt>
                <c:pt idx="88">
                  <c:v>1.3980635495475235E-3</c:v>
                </c:pt>
                <c:pt idx="89">
                  <c:v>1.4172015278419714E-3</c:v>
                </c:pt>
                <c:pt idx="90">
                  <c:v>1.4363391393613645E-3</c:v>
                </c:pt>
                <c:pt idx="91">
                  <c:v>1.4554763841126972E-3</c:v>
                </c:pt>
                <c:pt idx="92">
                  <c:v>1.474613262103186E-3</c:v>
                </c:pt>
                <c:pt idx="93">
                  <c:v>1.4937497733398253E-3</c:v>
                </c:pt>
                <c:pt idx="94">
                  <c:v>1.5128859178294984E-3</c:v>
                </c:pt>
                <c:pt idx="95">
                  <c:v>1.5320216955794219E-3</c:v>
                </c:pt>
                <c:pt idx="96">
                  <c:v>1.5511571065964791E-3</c:v>
                </c:pt>
                <c:pt idx="97">
                  <c:v>1.5702921508876644E-3</c:v>
                </c:pt>
                <c:pt idx="98">
                  <c:v>1.5894268284601942E-3</c:v>
                </c:pt>
                <c:pt idx="99">
                  <c:v>1.608561139320952E-3</c:v>
                </c:pt>
                <c:pt idx="100">
                  <c:v>1.6276950834770432E-3</c:v>
                </c:pt>
                <c:pt idx="101">
                  <c:v>1.6468286609354621E-3</c:v>
                </c:pt>
                <c:pt idx="102">
                  <c:v>1.6659618717032032E-3</c:v>
                </c:pt>
                <c:pt idx="103">
                  <c:v>1.6850947157873719E-3</c:v>
                </c:pt>
                <c:pt idx="104">
                  <c:v>1.7042271931948516E-3</c:v>
                </c:pt>
                <c:pt idx="105">
                  <c:v>1.7233593039328587E-3</c:v>
                </c:pt>
                <c:pt idx="106">
                  <c:v>1.7424910480082767E-3</c:v>
                </c:pt>
                <c:pt idx="107">
                  <c:v>1.7616224254282109E-3</c:v>
                </c:pt>
                <c:pt idx="108">
                  <c:v>1.7807534361996558E-3</c:v>
                </c:pt>
                <c:pt idx="109">
                  <c:v>1.7998840803296057E-3</c:v>
                </c:pt>
                <c:pt idx="110">
                  <c:v>1.8190143578251661E-3</c:v>
                </c:pt>
                <c:pt idx="111">
                  <c:v>1.8381442686933314E-3</c:v>
                </c:pt>
                <c:pt idx="112">
                  <c:v>1.8572738129410959E-3</c:v>
                </c:pt>
                <c:pt idx="113">
                  <c:v>1.8764029905755653E-3</c:v>
                </c:pt>
                <c:pt idx="114">
                  <c:v>1.8955318016036227E-3</c:v>
                </c:pt>
                <c:pt idx="115">
                  <c:v>1.9146602460324846E-3</c:v>
                </c:pt>
                <c:pt idx="116">
                  <c:v>1.9337883238690345E-3</c:v>
                </c:pt>
                <c:pt idx="117">
                  <c:v>1.9529160351202668E-3</c:v>
                </c:pt>
                <c:pt idx="118">
                  <c:v>1.9720433797932868E-3</c:v>
                </c:pt>
                <c:pt idx="119">
                  <c:v>1.9911703578952E-3</c:v>
                </c:pt>
                <c:pt idx="120">
                  <c:v>2.0102969694328898E-3</c:v>
                </c:pt>
                <c:pt idx="121">
                  <c:v>2.0294232144134616E-3</c:v>
                </c:pt>
                <c:pt idx="122">
                  <c:v>2.0485490928437988E-3</c:v>
                </c:pt>
                <c:pt idx="123">
                  <c:v>2.0676746047311179E-3</c:v>
                </c:pt>
                <c:pt idx="124">
                  <c:v>2.0867997500824131E-3</c:v>
                </c:pt>
                <c:pt idx="125">
                  <c:v>2.105924528904568E-3</c:v>
                </c:pt>
                <c:pt idx="126">
                  <c:v>2.125048941204799E-3</c:v>
                </c:pt>
                <c:pt idx="127">
                  <c:v>2.1441729869899895E-3</c:v>
                </c:pt>
                <c:pt idx="128">
                  <c:v>2.1632966662672448E-3</c:v>
                </c:pt>
                <c:pt idx="129">
                  <c:v>2.1824199790434484E-3</c:v>
                </c:pt>
                <c:pt idx="130">
                  <c:v>2.2015429253258167E-3</c:v>
                </c:pt>
                <c:pt idx="131">
                  <c:v>2.2206655051212332E-3</c:v>
                </c:pt>
                <c:pt idx="132">
                  <c:v>2.2397877184368031E-3</c:v>
                </c:pt>
                <c:pt idx="133">
                  <c:v>2.25890956527941E-3</c:v>
                </c:pt>
                <c:pt idx="134">
                  <c:v>2.2780310456562702E-3</c:v>
                </c:pt>
                <c:pt idx="135">
                  <c:v>2.2971521595743782E-3</c:v>
                </c:pt>
                <c:pt idx="136">
                  <c:v>2.3162729070406174E-3</c:v>
                </c:pt>
                <c:pt idx="137">
                  <c:v>2.3353932880620931E-3</c:v>
                </c:pt>
                <c:pt idx="138">
                  <c:v>2.3545133026459109E-3</c:v>
                </c:pt>
                <c:pt idx="139">
                  <c:v>2.373632950798954E-3</c:v>
                </c:pt>
                <c:pt idx="140">
                  <c:v>2.3927522325282169E-3</c:v>
                </c:pt>
                <c:pt idx="141">
                  <c:v>2.4118711478409161E-3</c:v>
                </c:pt>
                <c:pt idx="142">
                  <c:v>2.4309896967439348E-3</c:v>
                </c:pt>
                <c:pt idx="143">
                  <c:v>2.4501078792443787E-3</c:v>
                </c:pt>
                <c:pt idx="144">
                  <c:v>2.4692256953491309E-3</c:v>
                </c:pt>
                <c:pt idx="145">
                  <c:v>2.4883431450654081E-3</c:v>
                </c:pt>
                <c:pt idx="146">
                  <c:v>2.5074602283999825E-3</c:v>
                </c:pt>
                <c:pt idx="147">
                  <c:v>2.5265769453600706E-3</c:v>
                </c:pt>
                <c:pt idx="148">
                  <c:v>2.5456932959526668E-3</c:v>
                </c:pt>
                <c:pt idx="149">
                  <c:v>2.5648092801847655E-3</c:v>
                </c:pt>
                <c:pt idx="150">
                  <c:v>2.5839248980633611E-3</c:v>
                </c:pt>
                <c:pt idx="151">
                  <c:v>2.6030401495955591E-3</c:v>
                </c:pt>
                <c:pt idx="152">
                  <c:v>2.6221550347882427E-3</c:v>
                </c:pt>
                <c:pt idx="153">
                  <c:v>2.6412695536486286E-3</c:v>
                </c:pt>
                <c:pt idx="154">
                  <c:v>2.660383706183489E-3</c:v>
                </c:pt>
                <c:pt idx="155">
                  <c:v>2.6794974924000403E-3</c:v>
                </c:pt>
                <c:pt idx="156">
                  <c:v>2.6986109123052771E-3</c:v>
                </c:pt>
                <c:pt idx="157">
                  <c:v>2.7177239659060826E-3</c:v>
                </c:pt>
                <c:pt idx="158">
                  <c:v>2.7368366532096733E-3</c:v>
                </c:pt>
                <c:pt idx="159">
                  <c:v>2.7559489742228216E-3</c:v>
                </c:pt>
                <c:pt idx="160">
                  <c:v>2.7750609289528549E-3</c:v>
                </c:pt>
                <c:pt idx="161">
                  <c:v>2.7941725174065457E-3</c:v>
                </c:pt>
                <c:pt idx="162">
                  <c:v>2.8132837395911103E-3</c:v>
                </c:pt>
                <c:pt idx="163">
                  <c:v>2.8323945955133212E-3</c:v>
                </c:pt>
                <c:pt idx="164">
                  <c:v>2.8515050851803947E-3</c:v>
                </c:pt>
                <c:pt idx="165">
                  <c:v>2.8706152085993253E-3</c:v>
                </c:pt>
                <c:pt idx="166">
                  <c:v>2.8897249657771074E-3</c:v>
                </c:pt>
                <c:pt idx="167">
                  <c:v>2.9088343567207353E-3</c:v>
                </c:pt>
                <c:pt idx="168">
                  <c:v>2.9279433814372036E-3</c:v>
                </c:pt>
                <c:pt idx="169">
                  <c:v>2.9470520399336175E-3</c:v>
                </c:pt>
                <c:pt idx="170">
                  <c:v>2.9661603322169716E-3</c:v>
                </c:pt>
                <c:pt idx="171">
                  <c:v>2.9852682582942602E-3</c:v>
                </c:pt>
                <c:pt idx="172">
                  <c:v>3.0043758181724778E-3</c:v>
                </c:pt>
                <c:pt idx="173">
                  <c:v>3.0234830118586187E-3</c:v>
                </c:pt>
                <c:pt idx="174">
                  <c:v>3.0425898393597883E-3</c:v>
                </c:pt>
                <c:pt idx="175">
                  <c:v>3.0616963006829812E-3</c:v>
                </c:pt>
                <c:pt idx="176">
                  <c:v>3.0808023958351916E-3</c:v>
                </c:pt>
                <c:pt idx="177">
                  <c:v>3.099908124823525E-3</c:v>
                </c:pt>
                <c:pt idx="178">
                  <c:v>3.1190134876548647E-3</c:v>
                </c:pt>
                <c:pt idx="179">
                  <c:v>3.1381184843362053E-3</c:v>
                </c:pt>
                <c:pt idx="180">
                  <c:v>3.1572231148747631E-3</c:v>
                </c:pt>
                <c:pt idx="181">
                  <c:v>3.1763273792774216E-3</c:v>
                </c:pt>
                <c:pt idx="182">
                  <c:v>3.195431277551064E-3</c:v>
                </c:pt>
                <c:pt idx="183">
                  <c:v>3.214534809703018E-3</c:v>
                </c:pt>
                <c:pt idx="184">
                  <c:v>3.2336379757400557E-3</c:v>
                </c:pt>
                <c:pt idx="185">
                  <c:v>3.2527407756692828E-3</c:v>
                </c:pt>
                <c:pt idx="186">
                  <c:v>3.2718432094978045E-3</c:v>
                </c:pt>
                <c:pt idx="187">
                  <c:v>3.2909452772323933E-3</c:v>
                </c:pt>
                <c:pt idx="188">
                  <c:v>3.3100469788802656E-3</c:v>
                </c:pt>
                <c:pt idx="189">
                  <c:v>3.3291483144484157E-3</c:v>
                </c:pt>
                <c:pt idx="190">
                  <c:v>3.3482492839438383E-3</c:v>
                </c:pt>
                <c:pt idx="191">
                  <c:v>3.3673498873735275E-3</c:v>
                </c:pt>
                <c:pt idx="192">
                  <c:v>3.3864501247444778E-3</c:v>
                </c:pt>
                <c:pt idx="193">
                  <c:v>3.4055499960636837E-3</c:v>
                </c:pt>
                <c:pt idx="194">
                  <c:v>3.4246495013383615E-3</c:v>
                </c:pt>
                <c:pt idx="195">
                  <c:v>3.4437486405752837E-3</c:v>
                </c:pt>
                <c:pt idx="196">
                  <c:v>3.4628474137815557E-3</c:v>
                </c:pt>
                <c:pt idx="197">
                  <c:v>3.4819458209641718E-3</c:v>
                </c:pt>
                <c:pt idx="198">
                  <c:v>3.5010438621302375E-3</c:v>
                </c:pt>
                <c:pt idx="199">
                  <c:v>3.5201415372866363E-3</c:v>
                </c:pt>
                <c:pt idx="200">
                  <c:v>3.5392388464404734E-3</c:v>
                </c:pt>
                <c:pt idx="201">
                  <c:v>3.5583357895988543E-3</c:v>
                </c:pt>
                <c:pt idx="202">
                  <c:v>3.5774323667685515E-3</c:v>
                </c:pt>
                <c:pt idx="203">
                  <c:v>3.5965285779566702E-3</c:v>
                </c:pt>
                <c:pt idx="204">
                  <c:v>3.6156244231703161E-3</c:v>
                </c:pt>
                <c:pt idx="205">
                  <c:v>3.6347199024164834E-3</c:v>
                </c:pt>
                <c:pt idx="206">
                  <c:v>3.6538150157020555E-3</c:v>
                </c:pt>
                <c:pt idx="207">
                  <c:v>3.6729097630342489E-3</c:v>
                </c:pt>
                <c:pt idx="208">
                  <c:v>3.6920041444198359E-3</c:v>
                </c:pt>
                <c:pt idx="209">
                  <c:v>3.7110981598660331E-3</c:v>
                </c:pt>
                <c:pt idx="210">
                  <c:v>3.7301918093798347E-3</c:v>
                </c:pt>
                <c:pt idx="211">
                  <c:v>3.7492850929681243E-3</c:v>
                </c:pt>
                <c:pt idx="212">
                  <c:v>3.7683780106380071E-3</c:v>
                </c:pt>
                <c:pt idx="213">
                  <c:v>3.7874705623964777E-3</c:v>
                </c:pt>
                <c:pt idx="214">
                  <c:v>3.8065627482505304E-3</c:v>
                </c:pt>
                <c:pt idx="215">
                  <c:v>3.8256545682071597E-3</c:v>
                </c:pt>
                <c:pt idx="216">
                  <c:v>3.8447460222734708E-3</c:v>
                </c:pt>
                <c:pt idx="217">
                  <c:v>3.8638371104564584E-3</c:v>
                </c:pt>
                <c:pt idx="218">
                  <c:v>3.8829278327631167E-3</c:v>
                </c:pt>
                <c:pt idx="219">
                  <c:v>3.9020181892003292E-3</c:v>
                </c:pt>
                <c:pt idx="220">
                  <c:v>3.9211081797753122E-3</c:v>
                </c:pt>
                <c:pt idx="221">
                  <c:v>3.9401978044948383E-3</c:v>
                </c:pt>
                <c:pt idx="222">
                  <c:v>3.9592870633662347E-3</c:v>
                </c:pt>
                <c:pt idx="223">
                  <c:v>3.9783759563962739E-3</c:v>
                </c:pt>
                <c:pt idx="224">
                  <c:v>3.9974644835919504E-3</c:v>
                </c:pt>
                <c:pt idx="225">
                  <c:v>4.0165526449604805E-3</c:v>
                </c:pt>
                <c:pt idx="226">
                  <c:v>4.0356404405086366E-3</c:v>
                </c:pt>
                <c:pt idx="227">
                  <c:v>4.0547278702436351E-3</c:v>
                </c:pt>
                <c:pt idx="228">
                  <c:v>4.0738149341723595E-3</c:v>
                </c:pt>
                <c:pt idx="229">
                  <c:v>4.0929016323019152E-3</c:v>
                </c:pt>
                <c:pt idx="230">
                  <c:v>4.1119879646391855E-3</c:v>
                </c:pt>
                <c:pt idx="231">
                  <c:v>4.1310739311912759E-3</c:v>
                </c:pt>
                <c:pt idx="232">
                  <c:v>4.1501595319651807E-3</c:v>
                </c:pt>
                <c:pt idx="233">
                  <c:v>4.1692447669678945E-3</c:v>
                </c:pt>
                <c:pt idx="234">
                  <c:v>4.1883296362064115E-3</c:v>
                </c:pt>
                <c:pt idx="235">
                  <c:v>4.2074141396878373E-3</c:v>
                </c:pt>
                <c:pt idx="236">
                  <c:v>4.2264982774190551E-3</c:v>
                </c:pt>
                <c:pt idx="237">
                  <c:v>4.2455820494070595E-3</c:v>
                </c:pt>
                <c:pt idx="238">
                  <c:v>4.2646654556590669E-3</c:v>
                </c:pt>
                <c:pt idx="239">
                  <c:v>4.2837484961818495E-3</c:v>
                </c:pt>
                <c:pt idx="240">
                  <c:v>4.3028311709825129E-3</c:v>
                </c:pt>
                <c:pt idx="241">
                  <c:v>4.3219134800680514E-3</c:v>
                </c:pt>
                <c:pt idx="242">
                  <c:v>4.3409954234455705E-3</c:v>
                </c:pt>
                <c:pt idx="243">
                  <c:v>4.3600770011219536E-3</c:v>
                </c:pt>
                <c:pt idx="244">
                  <c:v>4.3791582131043061E-3</c:v>
                </c:pt>
                <c:pt idx="245">
                  <c:v>4.3982390593995113E-3</c:v>
                </c:pt>
                <c:pt idx="246">
                  <c:v>4.4173195400146748E-3</c:v>
                </c:pt>
                <c:pt idx="247">
                  <c:v>4.4363996549567908E-3</c:v>
                </c:pt>
                <c:pt idx="248">
                  <c:v>4.4554794042328538E-3</c:v>
                </c:pt>
                <c:pt idx="249">
                  <c:v>4.4745587878498583E-3</c:v>
                </c:pt>
                <c:pt idx="250">
                  <c:v>4.4936378058147985E-3</c:v>
                </c:pt>
                <c:pt idx="251">
                  <c:v>4.5127164581347801E-3</c:v>
                </c:pt>
                <c:pt idx="252">
                  <c:v>4.5317947448166862E-3</c:v>
                </c:pt>
                <c:pt idx="253">
                  <c:v>4.5508726658676224E-3</c:v>
                </c:pt>
                <c:pt idx="254">
                  <c:v>4.5699502212945831E-3</c:v>
                </c:pt>
                <c:pt idx="255">
                  <c:v>4.5890274111044516E-3</c:v>
                </c:pt>
                <c:pt idx="256">
                  <c:v>4.6081042353044444E-3</c:v>
                </c:pt>
                <c:pt idx="257">
                  <c:v>4.6271806939013338E-3</c:v>
                </c:pt>
                <c:pt idx="258">
                  <c:v>4.6462567869023363E-3</c:v>
                </c:pt>
                <c:pt idx="259">
                  <c:v>4.6653325143143354E-3</c:v>
                </c:pt>
                <c:pt idx="260">
                  <c:v>4.6844078761443253E-3</c:v>
                </c:pt>
                <c:pt idx="261">
                  <c:v>4.7034828723994115E-3</c:v>
                </c:pt>
                <c:pt idx="262">
                  <c:v>4.7225575030865885E-3</c:v>
                </c:pt>
                <c:pt idx="263">
                  <c:v>4.7416317682127396E-3</c:v>
                </c:pt>
                <c:pt idx="264">
                  <c:v>4.7607056677849702E-3</c:v>
                </c:pt>
                <c:pt idx="265">
                  <c:v>4.7797792018102747E-3</c:v>
                </c:pt>
                <c:pt idx="266">
                  <c:v>4.7988523702956476E-3</c:v>
                </c:pt>
                <c:pt idx="267">
                  <c:v>4.8179251732480832E-3</c:v>
                </c:pt>
                <c:pt idx="268">
                  <c:v>4.836997610674687E-3</c:v>
                </c:pt>
                <c:pt idx="269">
                  <c:v>4.8560696825822314E-3</c:v>
                </c:pt>
                <c:pt idx="270">
                  <c:v>4.8751413889780437E-3</c:v>
                </c:pt>
                <c:pt idx="271">
                  <c:v>4.8942127298687854E-3</c:v>
                </c:pt>
                <c:pt idx="272">
                  <c:v>4.9132837052617839E-3</c:v>
                </c:pt>
                <c:pt idx="273">
                  <c:v>4.9323543151637006E-3</c:v>
                </c:pt>
                <c:pt idx="274">
                  <c:v>4.9514245595818629E-3</c:v>
                </c:pt>
                <c:pt idx="275">
                  <c:v>4.9704944385231542E-3</c:v>
                </c:pt>
                <c:pt idx="276">
                  <c:v>4.9895639519945689E-3</c:v>
                </c:pt>
                <c:pt idx="277">
                  <c:v>5.0086331000029904E-3</c:v>
                </c:pt>
                <c:pt idx="278">
                  <c:v>5.0277018825556352E-3</c:v>
                </c:pt>
                <c:pt idx="279">
                  <c:v>5.0467702996593866E-3</c:v>
                </c:pt>
                <c:pt idx="280">
                  <c:v>5.0658383513213501E-3</c:v>
                </c:pt>
                <c:pt idx="281">
                  <c:v>5.084906037548409E-3</c:v>
                </c:pt>
                <c:pt idx="282">
                  <c:v>5.1039733583475577E-3</c:v>
                </c:pt>
                <c:pt idx="283">
                  <c:v>5.1230403137259017E-3</c:v>
                </c:pt>
                <c:pt idx="284">
                  <c:v>5.1421069036903244E-3</c:v>
                </c:pt>
                <c:pt idx="285">
                  <c:v>5.1611731282479312E-3</c:v>
                </c:pt>
                <c:pt idx="286">
                  <c:v>5.1802389874057164E-3</c:v>
                </c:pt>
                <c:pt idx="287">
                  <c:v>5.1993044811706746E-3</c:v>
                </c:pt>
                <c:pt idx="288">
                  <c:v>5.2183696095498E-3</c:v>
                </c:pt>
                <c:pt idx="289">
                  <c:v>5.2374343725500871E-3</c:v>
                </c:pt>
                <c:pt idx="290">
                  <c:v>5.2564987701785304E-3</c:v>
                </c:pt>
                <c:pt idx="291">
                  <c:v>5.2755628024421242E-3</c:v>
                </c:pt>
                <c:pt idx="292">
                  <c:v>5.2946264693478629E-3</c:v>
                </c:pt>
                <c:pt idx="293">
                  <c:v>5.3136897709028519E-3</c:v>
                </c:pt>
                <c:pt idx="294">
                  <c:v>5.3327527071139746E-3</c:v>
                </c:pt>
                <c:pt idx="295">
                  <c:v>5.3518152779883366E-3</c:v>
                </c:pt>
                <c:pt idx="296">
                  <c:v>5.370877483532821E-3</c:v>
                </c:pt>
                <c:pt idx="297">
                  <c:v>5.3899393237544224E-3</c:v>
                </c:pt>
                <c:pt idx="298">
                  <c:v>5.4090007986602462E-3</c:v>
                </c:pt>
                <c:pt idx="299">
                  <c:v>5.4280619082572867E-3</c:v>
                </c:pt>
                <c:pt idx="300">
                  <c:v>5.4471226525525385E-3</c:v>
                </c:pt>
                <c:pt idx="301">
                  <c:v>5.4661830315528848E-3</c:v>
                </c:pt>
                <c:pt idx="302">
                  <c:v>5.485243045265431E-3</c:v>
                </c:pt>
                <c:pt idx="303">
                  <c:v>5.5043026936972828E-3</c:v>
                </c:pt>
                <c:pt idx="304">
                  <c:v>5.5233619768552122E-3</c:v>
                </c:pt>
                <c:pt idx="305">
                  <c:v>5.5424208947463249E-3</c:v>
                </c:pt>
                <c:pt idx="306">
                  <c:v>5.5614794473776152E-3</c:v>
                </c:pt>
                <c:pt idx="307">
                  <c:v>5.5805376347561886E-3</c:v>
                </c:pt>
                <c:pt idx="308">
                  <c:v>5.5995954568888173E-3</c:v>
                </c:pt>
                <c:pt idx="309">
                  <c:v>5.6186529137827179E-3</c:v>
                </c:pt>
                <c:pt idx="310">
                  <c:v>5.6377100054447737E-3</c:v>
                </c:pt>
                <c:pt idx="311">
                  <c:v>5.6567667318819792E-3</c:v>
                </c:pt>
                <c:pt idx="312">
                  <c:v>5.6758230931014397E-3</c:v>
                </c:pt>
                <c:pt idx="313">
                  <c:v>5.6948790891100387E-3</c:v>
                </c:pt>
                <c:pt idx="314">
                  <c:v>5.7139347199148816E-3</c:v>
                </c:pt>
                <c:pt idx="315">
                  <c:v>5.7329899855228517E-3</c:v>
                </c:pt>
                <c:pt idx="316">
                  <c:v>5.7520448859410545E-3</c:v>
                </c:pt>
                <c:pt idx="317">
                  <c:v>5.7710994211763733E-3</c:v>
                </c:pt>
                <c:pt idx="318">
                  <c:v>5.7901535912359137E-3</c:v>
                </c:pt>
                <c:pt idx="319">
                  <c:v>5.8092073961266699E-3</c:v>
                </c:pt>
                <c:pt idx="320">
                  <c:v>5.8282608358555255E-3</c:v>
                </c:pt>
                <c:pt idx="321">
                  <c:v>5.8473139104295857E-3</c:v>
                </c:pt>
                <c:pt idx="322">
                  <c:v>5.8663666198558451E-3</c:v>
                </c:pt>
                <c:pt idx="323">
                  <c:v>5.8854189641411869E-3</c:v>
                </c:pt>
                <c:pt idx="324">
                  <c:v>5.9044709432928277E-3</c:v>
                </c:pt>
                <c:pt idx="325">
                  <c:v>5.9235225573175398E-3</c:v>
                </c:pt>
                <c:pt idx="326">
                  <c:v>5.9425738062224287E-3</c:v>
                </c:pt>
                <c:pt idx="327">
                  <c:v>5.9616246900144887E-3</c:v>
                </c:pt>
                <c:pt idx="328">
                  <c:v>5.9806752087007142E-3</c:v>
                </c:pt>
                <c:pt idx="329">
                  <c:v>5.9997253622880997E-3</c:v>
                </c:pt>
                <c:pt idx="330">
                  <c:v>6.0187751507836396E-3</c:v>
                </c:pt>
                <c:pt idx="331">
                  <c:v>6.0378245741943282E-3</c:v>
                </c:pt>
                <c:pt idx="332">
                  <c:v>6.0568736325271599E-3</c:v>
                </c:pt>
                <c:pt idx="333">
                  <c:v>6.0759223257891293E-3</c:v>
                </c:pt>
                <c:pt idx="334">
                  <c:v>6.0949706539872306E-3</c:v>
                </c:pt>
                <c:pt idx="335">
                  <c:v>6.1140186171284583E-3</c:v>
                </c:pt>
                <c:pt idx="336">
                  <c:v>6.1330662152198068E-3</c:v>
                </c:pt>
                <c:pt idx="337">
                  <c:v>6.1521134482682704E-3</c:v>
                </c:pt>
                <c:pt idx="338">
                  <c:v>6.1711603162809547E-3</c:v>
                </c:pt>
                <c:pt idx="339">
                  <c:v>6.190206819264632E-3</c:v>
                </c:pt>
                <c:pt idx="340">
                  <c:v>6.2092529572265187E-3</c:v>
                </c:pt>
                <c:pt idx="341">
                  <c:v>6.2282987301734982E-3</c:v>
                </c:pt>
                <c:pt idx="342">
                  <c:v>6.2473441381125649E-3</c:v>
                </c:pt>
                <c:pt idx="343">
                  <c:v>6.2663891810507133E-3</c:v>
                </c:pt>
                <c:pt idx="344">
                  <c:v>6.2854338589950487E-3</c:v>
                </c:pt>
                <c:pt idx="345">
                  <c:v>6.3044781719523435E-3</c:v>
                </c:pt>
                <c:pt idx="346">
                  <c:v>6.3235221199298142E-3</c:v>
                </c:pt>
                <c:pt idx="347">
                  <c:v>6.3425657029343441E-3</c:v>
                </c:pt>
                <c:pt idx="348">
                  <c:v>6.3616089209730387E-3</c:v>
                </c:pt>
                <c:pt idx="349">
                  <c:v>6.3806517740526703E-3</c:v>
                </c:pt>
                <c:pt idx="350">
                  <c:v>6.3996942621804553E-3</c:v>
                </c:pt>
                <c:pt idx="351">
                  <c:v>6.4187363853632773E-3</c:v>
                </c:pt>
                <c:pt idx="352">
                  <c:v>6.4377781436081305E-3</c:v>
                </c:pt>
                <c:pt idx="353">
                  <c:v>6.4568195369220094E-3</c:v>
                </c:pt>
                <c:pt idx="354">
                  <c:v>6.4758605653119083E-3</c:v>
                </c:pt>
                <c:pt idx="355">
                  <c:v>6.4949012287849328E-3</c:v>
                </c:pt>
                <c:pt idx="356">
                  <c:v>6.5139415273479662E-3</c:v>
                </c:pt>
                <c:pt idx="357">
                  <c:v>6.5329814610080028E-3</c:v>
                </c:pt>
                <c:pt idx="358">
                  <c:v>6.5520210297720372E-3</c:v>
                </c:pt>
                <c:pt idx="359">
                  <c:v>6.5710602336470636E-3</c:v>
                </c:pt>
                <c:pt idx="360">
                  <c:v>6.5900990726401876E-3</c:v>
                </c:pt>
                <c:pt idx="361">
                  <c:v>6.6091375467581814E-3</c:v>
                </c:pt>
                <c:pt idx="362">
                  <c:v>6.6281756560082616E-3</c:v>
                </c:pt>
                <c:pt idx="363">
                  <c:v>6.6472134003973116E-3</c:v>
                </c:pt>
                <c:pt idx="364">
                  <c:v>6.6662507799323256E-3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9.1293501279315307E-5</c:v>
                </c:pt>
                <c:pt idx="17">
                  <c:v>1.8250042900123481E-4</c:v>
                </c:pt>
                <c:pt idx="18">
                  <c:v>2.7362121190877215E-4</c:v>
                </c:pt>
                <c:pt idx="19">
                  <c:v>3.6465629537574127E-4</c:v>
                </c:pt>
                <c:pt idx="20">
                  <c:v>4.556061415582823E-4</c:v>
                </c:pt>
                <c:pt idx="21">
                  <c:v>5.4647122854590289E-4</c:v>
                </c:pt>
                <c:pt idx="22">
                  <c:v>6.3725204859682333E-4</c:v>
                </c:pt>
                <c:pt idx="23">
                  <c:v>7.2794910555262771E-4</c:v>
                </c:pt>
                <c:pt idx="24">
                  <c:v>8.1856291153689458E-4</c:v>
                </c:pt>
                <c:pt idx="25">
                  <c:v>9.0909398304914071E-4</c:v>
                </c:pt>
                <c:pt idx="26">
                  <c:v>9.9954283657203275E-4</c:v>
                </c:pt>
                <c:pt idx="27">
                  <c:v>1.0899099838131809E-3</c:v>
                </c:pt>
                <c:pt idx="28">
                  <c:v>1.1801959267056545E-3</c:v>
                </c:pt>
                <c:pt idx="29">
                  <c:v>1.2704011522918644E-3</c:v>
                </c:pt>
                <c:pt idx="30">
                  <c:v>1.3605261276143068E-3</c:v>
                </c:pt>
                <c:pt idx="31">
                  <c:v>1.4505712947342215E-3</c:v>
                </c:pt>
                <c:pt idx="32">
                  <c:v>1.540537065994793E-3</c:v>
                </c:pt>
                <c:pt idx="33">
                  <c:v>1.630423819640057E-3</c:v>
                </c:pt>
                <c:pt idx="34">
                  <c:v>1.7202318958932413E-3</c:v>
                </c:pt>
                <c:pt idx="35">
                  <c:v>1.8099615935904126E-3</c:v>
                </c:pt>
                <c:pt idx="36">
                  <c:v>1.8996131674554461E-3</c:v>
                </c:pt>
                <c:pt idx="37">
                  <c:v>1.989186826092248E-3</c:v>
                </c:pt>
                <c:pt idx="38">
                  <c:v>2.0786827307586434E-3</c:v>
                </c:pt>
                <c:pt idx="39">
                  <c:v>2.168100994974719E-3</c:v>
                </c:pt>
                <c:pt idx="40">
                  <c:v>2.2574416850058465E-3</c:v>
                </c:pt>
                <c:pt idx="41">
                  <c:v>2.3467048212479943E-3</c:v>
                </c:pt>
                <c:pt idx="42">
                  <c:v>2.4358903805301139E-3</c:v>
                </c:pt>
                <c:pt idx="43">
                  <c:v>2.5249982993354597E-3</c:v>
                </c:pt>
                <c:pt idx="44">
                  <c:v>2.6140284779312406E-3</c:v>
                </c:pt>
                <c:pt idx="45">
                  <c:v>2.7029807853834751E-3</c:v>
                </c:pt>
                <c:pt idx="46">
                  <c:v>2.7918550654223695E-3</c:v>
                </c:pt>
                <c:pt idx="47">
                  <c:v>2.8806511431122834E-3</c:v>
                </c:pt>
                <c:pt idx="48">
                  <c:v>2.9693688322700224E-3</c:v>
                </c:pt>
                <c:pt idx="49">
                  <c:v>3.0580079435656203E-3</c:v>
                </c:pt>
                <c:pt idx="50">
                  <c:v>3.1465682932316158E-3</c:v>
                </c:pt>
                <c:pt idx="51">
                  <c:v>3.2350497122991375E-3</c:v>
                </c:pt>
                <c:pt idx="52">
                  <c:v>3.3234520562730745E-3</c:v>
                </c:pt>
                <c:pt idx="53">
                  <c:v>3.4117752151536949E-3</c:v>
                </c:pt>
                <c:pt idx="54">
                  <c:v>3.5000191237083986E-3</c:v>
                </c:pt>
                <c:pt idx="55">
                  <c:v>3.5881837718946675E-3</c:v>
                </c:pt>
                <c:pt idx="56">
                  <c:v>3.6762692153344072E-3</c:v>
                </c:pt>
                <c:pt idx="57">
                  <c:v>3.7642755857400785E-3</c:v>
                </c:pt>
                <c:pt idx="58">
                  <c:v>3.8522031011941917E-3</c:v>
                </c:pt>
                <c:pt idx="59">
                  <c:v>3.9400520761865565E-3</c:v>
                </c:pt>
                <c:pt idx="60">
                  <c:v>4.0278229313174471E-3</c:v>
                </c:pt>
                <c:pt idx="61">
                  <c:v>4.1155162025795855E-3</c:v>
                </c:pt>
                <c:pt idx="62">
                  <c:v>4.2031325501377193E-3</c:v>
                </c:pt>
                <c:pt idx="63">
                  <c:v>4.2906727665312115E-3</c:v>
                </c:pt>
                <c:pt idx="64">
                  <c:v>4.3781377842324184E-3</c:v>
                </c:pt>
                <c:pt idx="65">
                  <c:v>4.4655286825018492E-3</c:v>
                </c:pt>
                <c:pt idx="66">
                  <c:v>4.55284669348947E-3</c:v>
                </c:pt>
                <c:pt idx="67">
                  <c:v>4.6400932075405434E-3</c:v>
                </c:pt>
                <c:pt idx="68">
                  <c:v>4.7272697776735966E-3</c:v>
                </c:pt>
                <c:pt idx="69">
                  <c:v>4.8143781232071262E-3</c:v>
                </c:pt>
                <c:pt idx="70">
                  <c:v>4.9014201325211842E-3</c:v>
                </c:pt>
                <c:pt idx="71">
                  <c:v>4.9883978649486677E-3</c:v>
                </c:pt>
                <c:pt idx="72">
                  <c:v>5.0753135518001157E-3</c:v>
                </c:pt>
                <c:pt idx="73">
                  <c:v>5.1621695965339215E-3</c:v>
                </c:pt>
                <c:pt idx="74">
                  <c:v>5.2489685740915093E-3</c:v>
                </c:pt>
                <c:pt idx="75">
                  <c:v>5.3357132294245381E-3</c:v>
                </c:pt>
                <c:pt idx="76">
                  <c:v>5.4224064752467016E-3</c:v>
                </c:pt>
                <c:pt idx="77">
                  <c:v>5.5090513890491645E-3</c:v>
                </c:pt>
                <c:pt idx="78">
                  <c:v>5.5956512094222349E-3</c:v>
                </c:pt>
                <c:pt idx="79">
                  <c:v>5.6822093317304102E-3</c:v>
                </c:pt>
                <c:pt idx="80">
                  <c:v>5.7687293031899274E-3</c:v>
                </c:pt>
                <c:pt idx="81">
                  <c:v>5.855214817399871E-3</c:v>
                </c:pt>
                <c:pt idx="82">
                  <c:v>5.9416697083784099E-3</c:v>
                </c:pt>
                <c:pt idx="83">
                  <c:v>6.0280979441554436E-3</c:v>
                </c:pt>
                <c:pt idx="84">
                  <c:v>6.1145036199713653E-3</c:v>
                </c:pt>
                <c:pt idx="85">
                  <c:v>6.2008909511294874E-3</c:v>
                </c:pt>
                <c:pt idx="86">
                  <c:v>6.2872642655465698E-3</c:v>
                </c:pt>
                <c:pt idx="87">
                  <c:v>6.3736279960415467E-3</c:v>
                </c:pt>
                <c:pt idx="88">
                  <c:v>6.4599866723982959E-3</c:v>
                </c:pt>
                <c:pt idx="89">
                  <c:v>6.5463449132325893E-3</c:v>
                </c:pt>
                <c:pt idx="90">
                  <c:v>6.6327074176877419E-3</c:v>
                </c:pt>
                <c:pt idx="91">
                  <c:v>6.7190789569771285E-3</c:v>
                </c:pt>
                <c:pt idx="92">
                  <c:v>6.8054643657853376E-3</c:v>
                </c:pt>
                <c:pt idx="93">
                  <c:v>6.8918685335328756E-3</c:v>
                </c:pt>
                <c:pt idx="94">
                  <c:v>6.9782963955029795E-3</c:v>
                </c:pt>
                <c:pt idx="95">
                  <c:v>7.064752923822375E-3</c:v>
                </c:pt>
                <c:pt idx="96">
                  <c:v>7.1512431182816708E-3</c:v>
                </c:pt>
                <c:pt idx="97">
                  <c:v>7.2377719969750004E-3</c:v>
                </c:pt>
                <c:pt idx="98">
                  <c:v>7.3243445867337935E-3</c:v>
                </c:pt>
                <c:pt idx="99">
                  <c:v>7.4109659133241275E-3</c:v>
                </c:pt>
                <c:pt idx="100">
                  <c:v>7.4976409913737824E-3</c:v>
                </c:pt>
                <c:pt idx="101">
                  <c:v>7.584374813992001E-3</c:v>
                </c:pt>
                <c:pt idx="102">
                  <c:v>7.6711723420426637E-3</c:v>
                </c:pt>
                <c:pt idx="103">
                  <c:v>7.7580384930308966E-3</c:v>
                </c:pt>
                <c:pt idx="104">
                  <c:v>7.8449781295631456E-3</c:v>
                </c:pt>
                <c:pt idx="105">
                  <c:v>7.9319960473416985E-3</c:v>
                </c:pt>
                <c:pt idx="106">
                  <c:v>8.0190969626578665E-3</c:v>
                </c:pt>
                <c:pt idx="107">
                  <c:v>8.1062854993506871E-3</c:v>
                </c:pt>
                <c:pt idx="108">
                  <c:v>8.1935661752038213E-3</c:v>
                </c:pt>
                <c:pt idx="109">
                  <c:v>8.2809433877588136E-3</c:v>
                </c:pt>
                <c:pt idx="110">
                  <c:v>8.3684213995301494E-3</c:v>
                </c:pt>
                <c:pt idx="111">
                  <c:v>8.4560043226160897E-3</c:v>
                </c:pt>
                <c:pt idx="112">
                  <c:v>8.5436961027081856E-3</c:v>
                </c:pt>
                <c:pt idx="113">
                  <c:v>8.6315005025128268E-3</c:v>
                </c:pt>
                <c:pt idx="114">
                  <c:v>8.7194210846089706E-3</c:v>
                </c:pt>
                <c:pt idx="115">
                  <c:v>8.8074611937779858E-3</c:v>
                </c:pt>
                <c:pt idx="116">
                  <c:v>8.8956239388537205E-3</c:v>
                </c:pt>
                <c:pt idx="117">
                  <c:v>8.9839121741532198E-3</c:v>
                </c:pt>
                <c:pt idx="118">
                  <c:v>9.0723284805617095E-3</c:v>
                </c:pt>
                <c:pt idx="119">
                  <c:v>9.1608751463578119E-3</c:v>
                </c:pt>
                <c:pt idx="120">
                  <c:v>9.2495541478779305E-3</c:v>
                </c:pt>
                <c:pt idx="121">
                  <c:v>9.3383671301310745E-3</c:v>
                </c:pt>
                <c:pt idx="122">
                  <c:v>9.4273153874867999E-3</c:v>
                </c:pt>
                <c:pt idx="123">
                  <c:v>9.5163998445708785E-3</c:v>
                </c:pt>
                <c:pt idx="124">
                  <c:v>9.605621037512637E-3</c:v>
                </c:pt>
                <c:pt idx="125">
                  <c:v>9.6949790956978293E-3</c:v>
                </c:pt>
                <c:pt idx="126">
                  <c:v>9.7844737241885166E-3</c:v>
                </c:pt>
                <c:pt idx="127">
                  <c:v>9.8741041869781204E-3</c:v>
                </c:pt>
                <c:pt idx="128">
                  <c:v>9.963869291254774E-3</c:v>
                </c:pt>
                <c:pt idx="129">
                  <c:v>1.0053767372849735E-2</c:v>
                </c:pt>
                <c:pt idx="130">
                  <c:v>1.0143796283048848E-2</c:v>
                </c:pt>
                <c:pt idx="131">
                  <c:v>1.0233953376945156E-2</c:v>
                </c:pt>
                <c:pt idx="132">
                  <c:v>1.0324235503508151E-2</c:v>
                </c:pt>
                <c:pt idx="133">
                  <c:v>1.0414638997541152E-2</c:v>
                </c:pt>
                <c:pt idx="134">
                  <c:v>1.0505159673692E-2</c:v>
                </c:pt>
                <c:pt idx="135">
                  <c:v>1.0595792822673455E-2</c:v>
                </c:pt>
                <c:pt idx="136">
                  <c:v>1.0686533209839894E-2</c:v>
                </c:pt>
                <c:pt idx="137">
                  <c:v>1.0777375076253846E-2</c:v>
                </c:pt>
                <c:pt idx="138">
                  <c:v>1.0868312142361891E-2</c:v>
                </c:pt>
                <c:pt idx="139">
                  <c:v>1.0959337614382973E-2</c:v>
                </c:pt>
                <c:pt idx="140">
                  <c:v>1.1050444193494114E-2</c:v>
                </c:pt>
                <c:pt idx="141">
                  <c:v>1.1141624087879118E-2</c:v>
                </c:pt>
                <c:pt idx="142">
                  <c:v>1.1232869027684398E-2</c:v>
                </c:pt>
                <c:pt idx="143">
                  <c:v>1.1324170282903816E-2</c:v>
                </c:pt>
                <c:pt idx="144">
                  <c:v>1.1415518684191047E-2</c:v>
                </c:pt>
                <c:pt idx="145">
                  <c:v>1.1506904646573403E-2</c:v>
                </c:pt>
                <c:pt idx="146">
                  <c:v>1.1598318196016033E-2</c:v>
                </c:pt>
                <c:pt idx="147">
                  <c:v>1.168974899876031E-2</c:v>
                </c:pt>
                <c:pt idx="148">
                  <c:v>1.1781186393334342E-2</c:v>
                </c:pt>
                <c:pt idx="149">
                  <c:v>1.1872619425108153E-2</c:v>
                </c:pt>
                <c:pt idx="150">
                  <c:v>1.1964036883241328E-2</c:v>
                </c:pt>
                <c:pt idx="151">
                  <c:v>1.2055427339846027E-2</c:v>
                </c:pt>
                <c:pt idx="152">
                  <c:v>1.2146779191165259E-2</c:v>
                </c:pt>
                <c:pt idx="153">
                  <c:v>1.2238080700543875E-2</c:v>
                </c:pt>
                <c:pt idx="154">
                  <c:v>1.2329320042948616E-2</c:v>
                </c:pt>
                <c:pt idx="155">
                  <c:v>1.242048535077501E-2</c:v>
                </c:pt>
                <c:pt idx="156">
                  <c:v>1.251156476066106E-2</c:v>
                </c:pt>
                <c:pt idx="157">
                  <c:v>1.2602546461013017E-2</c:v>
                </c:pt>
                <c:pt idx="158">
                  <c:v>1.2693418739935661E-2</c:v>
                </c:pt>
                <c:pt idx="159">
                  <c:v>1.2784170033249283E-2</c:v>
                </c:pt>
                <c:pt idx="160">
                  <c:v>1.2874788972268118E-2</c:v>
                </c:pt>
                <c:pt idx="161">
                  <c:v>1.2965264431010209E-2</c:v>
                </c:pt>
                <c:pt idx="162">
                  <c:v>1.3055585572506922E-2</c:v>
                </c:pt>
                <c:pt idx="163">
                  <c:v>1.3145741893881435E-2</c:v>
                </c:pt>
                <c:pt idx="164">
                  <c:v>1.3235723269870008E-2</c:v>
                </c:pt>
                <c:pt idx="165">
                  <c:v>1.3325519994466515E-2</c:v>
                </c:pt>
                <c:pt idx="166">
                  <c:v>1.3415122820381873E-2</c:v>
                </c:pt>
                <c:pt idx="167">
                  <c:v>1.3504522996022235E-2</c:v>
                </c:pt>
                <c:pt idx="168">
                  <c:v>1.3593712299706802E-2</c:v>
                </c:pt>
                <c:pt idx="169">
                  <c:v>1.3682683070864539E-2</c:v>
                </c:pt>
                <c:pt idx="170">
                  <c:v>1.3771428237970521E-2</c:v>
                </c:pt>
                <c:pt idx="171">
                  <c:v>1.3859941343007064E-2</c:v>
                </c:pt>
                <c:pt idx="172">
                  <c:v>1.3948216562260335E-2</c:v>
                </c:pt>
                <c:pt idx="173">
                  <c:v>1.4036248723291974E-2</c:v>
                </c:pt>
                <c:pt idx="174">
                  <c:v>1.4124033317954593E-2</c:v>
                </c:pt>
                <c:pt idx="175">
                  <c:v>1.4211566511352088E-2</c:v>
                </c:pt>
                <c:pt idx="176">
                  <c:v>1.4298845146677588E-2</c:v>
                </c:pt>
                <c:pt idx="177">
                  <c:v>1.4385866745896021E-2</c:v>
                </c:pt>
                <c:pt idx="178">
                  <c:v>1.4472629506271846E-2</c:v>
                </c:pt>
                <c:pt idx="179">
                  <c:v>1.4559132292776769E-2</c:v>
                </c:pt>
                <c:pt idx="180">
                  <c:v>1.4645374626446727E-2</c:v>
                </c:pt>
                <c:pt idx="181">
                  <c:v>1.4731356668790479E-2</c:v>
                </c:pt>
                <c:pt idx="182">
                  <c:v>1.4817079202385437E-2</c:v>
                </c:pt>
                <c:pt idx="183">
                  <c:v>1.4902543607827889E-2</c:v>
                </c:pt>
                <c:pt idx="184">
                  <c:v>1.498775183723495E-2</c:v>
                </c:pt>
                <c:pt idx="185">
                  <c:v>1.5072706384523897E-2</c:v>
                </c:pt>
                <c:pt idx="186">
                  <c:v>1.5157410252721252E-2</c:v>
                </c:pt>
                <c:pt idx="187">
                  <c:v>1.5241866918577573E-2</c:v>
                </c:pt>
                <c:pt idx="188">
                  <c:v>1.5326080294785495E-2</c:v>
                </c:pt>
                <c:pt idx="189">
                  <c:v>1.541005469011714E-2</c:v>
                </c:pt>
                <c:pt idx="190">
                  <c:v>1.5493794767812258E-2</c:v>
                </c:pt>
                <c:pt idx="191">
                  <c:v>1.5577305502561218E-2</c:v>
                </c:pt>
                <c:pt idx="192">
                  <c:v>1.566059213643534E-2</c:v>
                </c:pt>
                <c:pt idx="193">
                  <c:v>1.574366013412291E-2</c:v>
                </c:pt>
                <c:pt idx="194">
                  <c:v>1.5826515137831312E-2</c:v>
                </c:pt>
                <c:pt idx="195">
                  <c:v>1.5909162922213498E-2</c:v>
                </c:pt>
                <c:pt idx="196">
                  <c:v>1.5991609349672833E-2</c:v>
                </c:pt>
                <c:pt idx="197">
                  <c:v>1.6073860326390872E-2</c:v>
                </c:pt>
                <c:pt idx="198">
                  <c:v>1.6155921759411152E-2</c:v>
                </c:pt>
                <c:pt idx="199">
                  <c:v>1.623779951509681E-2</c:v>
                </c:pt>
                <c:pt idx="200">
                  <c:v>1.6319499379260971E-2</c:v>
                </c:pt>
                <c:pt idx="201">
                  <c:v>1.6401027019248129E-2</c:v>
                </c:pt>
                <c:pt idx="202">
                  <c:v>1.6482387948220288E-2</c:v>
                </c:pt>
                <c:pt idx="203">
                  <c:v>1.6563587491875253E-2</c:v>
                </c:pt>
                <c:pt idx="204">
                  <c:v>1.6644630757795993E-2</c:v>
                </c:pt>
                <c:pt idx="205">
                  <c:v>1.6725522607599335E-2</c:v>
                </c:pt>
                <c:pt idx="206">
                  <c:v>1.6806267632020314E-2</c:v>
                </c:pt>
                <c:pt idx="207">
                  <c:v>1.6886870129035312E-2</c:v>
                </c:pt>
                <c:pt idx="208">
                  <c:v>1.696733408509345E-2</c:v>
                </c:pt>
                <c:pt idx="209">
                  <c:v>1.7047663159490793E-2</c:v>
                </c:pt>
                <c:pt idx="210">
                  <c:v>1.712786067188805E-2</c:v>
                </c:pt>
                <c:pt idx="211">
                  <c:v>1.720792959293814E-2</c:v>
                </c:pt>
                <c:pt idx="212">
                  <c:v>1.728787253795663E-2</c:v>
                </c:pt>
                <c:pt idx="213">
                  <c:v>1.7367691763536069E-2</c:v>
                </c:pt>
                <c:pt idx="214">
                  <c:v>1.7447389166974223E-2</c:v>
                </c:pt>
                <c:pt idx="215">
                  <c:v>1.7526966288357537E-2</c:v>
                </c:pt>
                <c:pt idx="216">
                  <c:v>1.7606424315114312E-2</c:v>
                </c:pt>
                <c:pt idx="217">
                  <c:v>1.7685764088827841E-2</c:v>
                </c:pt>
                <c:pt idx="218">
                  <c:v>1.7764986114078191E-2</c:v>
                </c:pt>
                <c:pt idx="219">
                  <c:v>1.784409056906297E-2</c:v>
                </c:pt>
                <c:pt idx="220">
                  <c:v>1.7923077317731923E-2</c:v>
                </c:pt>
                <c:pt idx="221">
                  <c:v>1.8001945923158669E-2</c:v>
                </c:pt>
                <c:pt idx="222">
                  <c:v>1.8080695661864373E-2</c:v>
                </c:pt>
                <c:pt idx="223">
                  <c:v>1.8159325538803697E-2</c:v>
                </c:pt>
                <c:pt idx="224">
                  <c:v>1.8237834302722578E-2</c:v>
                </c:pt>
                <c:pt idx="225">
                  <c:v>1.8316220461600159E-2</c:v>
                </c:pt>
                <c:pt idx="226">
                  <c:v>1.8394482297894095E-2</c:v>
                </c:pt>
                <c:pt idx="227">
                  <c:v>1.8472617883318762E-2</c:v>
                </c:pt>
                <c:pt idx="228">
                  <c:v>1.8550625092899703E-2</c:v>
                </c:pt>
                <c:pt idx="229">
                  <c:v>1.8628501618065427E-2</c:v>
                </c:pt>
                <c:pt idx="230">
                  <c:v>1.8706244978557916E-2</c:v>
                </c:pt>
                <c:pt idx="231">
                  <c:v>1.8783852532967115E-2</c:v>
                </c:pt>
                <c:pt idx="232">
                  <c:v>1.8861321487721131E-2</c:v>
                </c:pt>
                <c:pt idx="233">
                  <c:v>1.8938648904392445E-2</c:v>
                </c:pt>
                <c:pt idx="234">
                  <c:v>1.9015831705211809E-2</c:v>
                </c:pt>
                <c:pt idx="235">
                  <c:v>1.9092866676713938E-2</c:v>
                </c:pt>
                <c:pt idx="236">
                  <c:v>1.9169750471473498E-2</c:v>
                </c:pt>
                <c:pt idx="237">
                  <c:v>1.9246479607924503E-2</c:v>
                </c:pt>
                <c:pt idx="238">
                  <c:v>1.9323050468292628E-2</c:v>
                </c:pt>
                <c:pt idx="239">
                  <c:v>1.9399459294704734E-2</c:v>
                </c:pt>
                <c:pt idx="240">
                  <c:v>1.9475702183576228E-2</c:v>
                </c:pt>
                <c:pt idx="241">
                  <c:v>1.9551775078410771E-2</c:v>
                </c:pt>
                <c:pt idx="242">
                  <c:v>1.9627673761180808E-2</c:v>
                </c:pt>
                <c:pt idx="243">
                  <c:v>1.9703393842488901E-2</c:v>
                </c:pt>
                <c:pt idx="244">
                  <c:v>1.9778930750739707E-2</c:v>
                </c:pt>
                <c:pt idx="245">
                  <c:v>1.9854279720579678E-2</c:v>
                </c:pt>
                <c:pt idx="246">
                  <c:v>1.9929435780886181E-2</c:v>
                </c:pt>
                <c:pt idx="247">
                  <c:v>2.0004393742608824E-2</c:v>
                </c:pt>
                <c:pt idx="248">
                  <c:v>2.0079148186783722E-2</c:v>
                </c:pt>
                <c:pt idx="249">
                  <c:v>2.0153693453055396E-2</c:v>
                </c:pt>
                <c:pt idx="250">
                  <c:v>2.022802362905126E-2</c:v>
                </c:pt>
                <c:pt idx="251">
                  <c:v>2.030213254095891E-2</c:v>
                </c:pt>
                <c:pt idx="252">
                  <c:v>2.0376013745658568E-2</c:v>
                </c:pt>
                <c:pt idx="253">
                  <c:v>2.0449660524759342E-2</c:v>
                </c:pt>
                <c:pt idx="254">
                  <c:v>2.0523065880880948E-2</c:v>
                </c:pt>
                <c:pt idx="255">
                  <c:v>2.0596222536509775E-2</c:v>
                </c:pt>
                <c:pt idx="256">
                  <c:v>2.0669122935742284E-2</c:v>
                </c:pt>
                <c:pt idx="257">
                  <c:v>2.0741759249206924E-2</c:v>
                </c:pt>
                <c:pt idx="258">
                  <c:v>2.081412338243099E-2</c:v>
                </c:pt>
                <c:pt idx="259">
                  <c:v>2.0886206987889119E-2</c:v>
                </c:pt>
                <c:pt idx="260">
                  <c:v>2.0958001480937145E-2</c:v>
                </c:pt>
                <c:pt idx="261">
                  <c:v>2.1029498059798007E-2</c:v>
                </c:pt>
                <c:pt idx="262">
                  <c:v>2.110068772972655E-2</c:v>
                </c:pt>
                <c:pt idx="263">
                  <c:v>2.1171561331437383E-2</c:v>
                </c:pt>
                <c:pt idx="264">
                  <c:v>2.1242109573834454E-2</c:v>
                </c:pt>
                <c:pt idx="265">
                  <c:v>2.1312323071034006E-2</c:v>
                </c:pt>
                <c:pt idx="266">
                  <c:v>2.1382192383623849E-2</c:v>
                </c:pt>
                <c:pt idx="267">
                  <c:v>2.1451708064052003E-2</c:v>
                </c:pt>
                <c:pt idx="268">
                  <c:v>2.1520860705987979E-2</c:v>
                </c:pt>
                <c:pt idx="269">
                  <c:v>2.1589640997449363E-2</c:v>
                </c:pt>
                <c:pt idx="270">
                  <c:v>2.1658039777437136E-2</c:v>
                </c:pt>
                <c:pt idx="271">
                  <c:v>2.1726048095774893E-2</c:v>
                </c:pt>
                <c:pt idx="272">
                  <c:v>2.1793657275799933E-2</c:v>
                </c:pt>
                <c:pt idx="273">
                  <c:v>2.1860858979510303E-2</c:v>
                </c:pt>
                <c:pt idx="274">
                  <c:v>2.1927645274729689E-2</c:v>
                </c:pt>
                <c:pt idx="275">
                  <c:v>2.1994008703813885E-2</c:v>
                </c:pt>
                <c:pt idx="276">
                  <c:v>2.2059942353387266E-2</c:v>
                </c:pt>
                <c:pt idx="277">
                  <c:v>2.2125439924567787E-2</c:v>
                </c:pt>
                <c:pt idx="278">
                  <c:v>2.2190495803112109E-2</c:v>
                </c:pt>
                <c:pt idx="279">
                  <c:v>2.2255105128892103E-2</c:v>
                </c:pt>
                <c:pt idx="280">
                  <c:v>2.2319263864097317E-2</c:v>
                </c:pt>
                <c:pt idx="281">
                  <c:v>2.2382968859548189E-2</c:v>
                </c:pt>
                <c:pt idx="282">
                  <c:v>2.2446217918499666E-2</c:v>
                </c:pt>
                <c:pt idx="283">
                  <c:v>2.2509009857316482E-2</c:v>
                </c:pt>
                <c:pt idx="284">
                  <c:v>2.2571344562408439E-2</c:v>
                </c:pt>
                <c:pt idx="285">
                  <c:v>2.2633223042827045E-2</c:v>
                </c:pt>
                <c:pt idx="286">
                  <c:v>2.2694647477944811E-2</c:v>
                </c:pt>
                <c:pt idx="287">
                  <c:v>2.2755621259663166E-2</c:v>
                </c:pt>
                <c:pt idx="288">
                  <c:v>2.2816149028626356E-2</c:v>
                </c:pt>
                <c:pt idx="289">
                  <c:v>2.2876236703955499E-2</c:v>
                </c:pt>
                <c:pt idx="290">
                  <c:v>2.2935891506058698E-2</c:v>
                </c:pt>
                <c:pt idx="291">
                  <c:v>2.299512197212079E-2</c:v>
                </c:pt>
                <c:pt idx="292">
                  <c:v>2.3053937963927434E-2</c:v>
                </c:pt>
                <c:pt idx="293">
                  <c:v>2.3112350667735201E-2</c:v>
                </c:pt>
                <c:pt idx="294">
                  <c:v>2.31703725859582E-2</c:v>
                </c:pt>
                <c:pt idx="295">
                  <c:v>2.3228017520505788E-2</c:v>
                </c:pt>
                <c:pt idx="296">
                  <c:v>2.3285300547671334E-2</c:v>
                </c:pt>
                <c:pt idx="297">
                  <c:v>2.3342237984540031E-2</c:v>
                </c:pt>
                <c:pt idx="298">
                  <c:v>2.33988473469533E-2</c:v>
                </c:pt>
                <c:pt idx="299">
                  <c:v>2.3455147299138047E-2</c:v>
                </c:pt>
                <c:pt idx="300">
                  <c:v>2.3511157595179102E-2</c:v>
                </c:pt>
                <c:pt idx="301">
                  <c:v>2.3566899012583954E-2</c:v>
                </c:pt>
                <c:pt idx="302">
                  <c:v>2.3622393278257672E-2</c:v>
                </c:pt>
                <c:pt idx="303">
                  <c:v>2.3677662987273401E-2</c:v>
                </c:pt>
                <c:pt idx="304">
                  <c:v>2.3732731514888767E-2</c:v>
                </c:pt>
                <c:pt idx="305">
                  <c:v>2.3787622922320444E-2</c:v>
                </c:pt>
                <c:pt idx="306">
                  <c:v>2.3842361856847342E-2</c:v>
                </c:pt>
                <c:pt idx="307">
                  <c:v>2.3896973446867042E-2</c:v>
                </c:pt>
                <c:pt idx="308">
                  <c:v>2.3951483192579105E-2</c:v>
                </c:pt>
                <c:pt idx="309">
                  <c:v>2.4005916853013096E-2</c:v>
                </c:pt>
                <c:pt idx="310">
                  <c:v>2.4060300330156971E-2</c:v>
                </c:pt>
                <c:pt idx="311">
                  <c:v>2.4114659550974138E-2</c:v>
                </c:pt>
                <c:pt idx="312">
                  <c:v>2.4169020348122114E-2</c:v>
                </c:pt>
                <c:pt idx="313">
                  <c:v>2.4223408340205362E-2</c:v>
                </c:pt>
                <c:pt idx="314">
                  <c:v>2.4277848812405873E-2</c:v>
                </c:pt>
                <c:pt idx="315">
                  <c:v>2.433236659833973E-2</c:v>
                </c:pt>
                <c:pt idx="316">
                  <c:v>2.4386985963985312E-2</c:v>
                </c:pt>
                <c:pt idx="317">
                  <c:v>2.4441730494518279E-2</c:v>
                </c:pt>
                <c:pt idx="318">
                  <c:v>2.4496622984871232E-2</c:v>
                </c:pt>
                <c:pt idx="319">
                  <c:v>2.4551685334811457E-2</c:v>
                </c:pt>
                <c:pt idx="320">
                  <c:v>2.4606938449298239E-2</c:v>
                </c:pt>
                <c:pt idx="321">
                  <c:v>2.4662402144843349E-2</c:v>
                </c:pt>
                <c:pt idx="322">
                  <c:v>2.4718095062553215E-2</c:v>
                </c:pt>
                <c:pt idx="323">
                  <c:v>2.477403458848064E-2</c:v>
                </c:pt>
                <c:pt idx="324">
                  <c:v>2.483023678185748E-2</c:v>
                </c:pt>
                <c:pt idx="325">
                  <c:v>2.4886716311718265E-2</c:v>
                </c:pt>
                <c:pt idx="326">
                  <c:v>2.494348640235855E-2</c:v>
                </c:pt>
                <c:pt idx="327">
                  <c:v>2.5000558788001614E-2</c:v>
                </c:pt>
                <c:pt idx="328">
                  <c:v>2.5057943676973962E-2</c:v>
                </c:pt>
                <c:pt idx="329">
                  <c:v>2.5115649725613538E-2</c:v>
                </c:pt>
                <c:pt idx="330">
                  <c:v>2.517368402205666E-2</c:v>
                </c:pt>
                <c:pt idx="331">
                  <c:v>2.5232052079970202E-2</c:v>
                </c:pt>
                <c:pt idx="332">
                  <c:v>2.5290757842215194E-2</c:v>
                </c:pt>
                <c:pt idx="333">
                  <c:v>2.5349803694348628E-2</c:v>
                </c:pt>
                <c:pt idx="334">
                  <c:v>2.5409190487790608E-2</c:v>
                </c:pt>
                <c:pt idx="335">
                  <c:v>2.5468917572407025E-2</c:v>
                </c:pt>
                <c:pt idx="336">
                  <c:v>2.5528982838182744E-2</c:v>
                </c:pt>
                <c:pt idx="337">
                  <c:v>2.5589382765587816E-2</c:v>
                </c:pt>
                <c:pt idx="338">
                  <c:v>2.5650112484171254E-2</c:v>
                </c:pt>
                <c:pt idx="339">
                  <c:v>2.5711165838852502E-2</c:v>
                </c:pt>
                <c:pt idx="340">
                  <c:v>2.5772535463321103E-2</c:v>
                </c:pt>
                <c:pt idx="341">
                  <c:v>2.583421285990194E-2</c:v>
                </c:pt>
                <c:pt idx="342">
                  <c:v>2.5896188485194302E-2</c:v>
                </c:pt>
                <c:pt idx="343">
                  <c:v>2.5958451840752406E-2</c:v>
                </c:pt>
                <c:pt idx="344">
                  <c:v>2.6020991568038977E-2</c:v>
                </c:pt>
                <c:pt idx="345">
                  <c:v>2.6083795546856203E-2</c:v>
                </c:pt>
                <c:pt idx="346">
                  <c:v>2.6146850996436967E-2</c:v>
                </c:pt>
                <c:pt idx="347">
                  <c:v>2.6210144578366051E-2</c:v>
                </c:pt>
                <c:pt idx="348">
                  <c:v>2.6273662500495131E-2</c:v>
                </c:pt>
                <c:pt idx="349">
                  <c:v>2.63373906210164E-2</c:v>
                </c:pt>
                <c:pt idx="350">
                  <c:v>2.6401314551869354E-2</c:v>
                </c:pt>
                <c:pt idx="351">
                  <c:v>2.6465419760670805E-2</c:v>
                </c:pt>
                <c:pt idx="352">
                  <c:v>2.6529691670382258E-2</c:v>
                </c:pt>
                <c:pt idx="353">
                  <c:v>2.6594115755958603E-2</c:v>
                </c:pt>
                <c:pt idx="354">
                  <c:v>2.6658677637259393E-2</c:v>
                </c:pt>
                <c:pt idx="355">
                  <c:v>2.672336316754664E-2</c:v>
                </c:pt>
                <c:pt idx="356">
                  <c:v>2.6788158516942082E-2</c:v>
                </c:pt>
                <c:pt idx="357">
                  <c:v>2.6853050250270766E-2</c:v>
                </c:pt>
                <c:pt idx="358">
                  <c:v>2.6918025398776607E-2</c:v>
                </c:pt>
                <c:pt idx="359">
                  <c:v>2.698307152525806E-2</c:v>
                </c:pt>
                <c:pt idx="360">
                  <c:v>2.7048176782238791E-2</c:v>
                </c:pt>
                <c:pt idx="361">
                  <c:v>2.7113329962856775E-2</c:v>
                </c:pt>
                <c:pt idx="362">
                  <c:v>2.7178520544226713E-2</c:v>
                </c:pt>
                <c:pt idx="363">
                  <c:v>2.7243738723103414E-2</c:v>
                </c:pt>
                <c:pt idx="364">
                  <c:v>2.7308975443746754E-2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1.8516552066306652E-9</c:v>
                </c:pt>
                <c:pt idx="1">
                  <c:v>4.5651007778837731E-8</c:v>
                </c:pt>
                <c:pt idx="2">
                  <c:v>8.8725201488858312E-8</c:v>
                </c:pt>
                <c:pt idx="3">
                  <c:v>1.3141304052316225E-7</c:v>
                </c:pt>
                <c:pt idx="4">
                  <c:v>1.7407842117838315E-7</c:v>
                </c:pt>
                <c:pt idx="5">
                  <c:v>2.1711054441215938E-7</c:v>
                </c:pt>
                <c:pt idx="6">
                  <c:v>2.609242375537569E-7</c:v>
                </c:pt>
                <c:pt idx="7">
                  <c:v>3.0596040409811967E-7</c:v>
                </c:pt>
                <c:pt idx="8">
                  <c:v>3.5264393211867623E-7</c:v>
                </c:pt>
                <c:pt idx="9">
                  <c:v>4.0100659019948482E-7</c:v>
                </c:pt>
                <c:pt idx="10">
                  <c:v>4.5086525775856344E-7</c:v>
                </c:pt>
                <c:pt idx="11">
                  <c:v>5.0240729549172289E-7</c:v>
                </c:pt>
                <c:pt idx="12">
                  <c:v>5.5583456950997384E-7</c:v>
                </c:pt>
                <c:pt idx="13">
                  <c:v>6.1136380558712467E-7</c:v>
                </c:pt>
                <c:pt idx="14">
                  <c:v>6.6922702677487345E-7</c:v>
                </c:pt>
                <c:pt idx="15">
                  <c:v>7.2863003267357001E-7</c:v>
                </c:pt>
                <c:pt idx="16">
                  <c:v>7.8788124965235689E-7</c:v>
                </c:pt>
                <c:pt idx="17">
                  <c:v>8.4661659616561848E-7</c:v>
                </c:pt>
                <c:pt idx="18">
                  <c:v>9.0445983687129819E-7</c:v>
                </c:pt>
                <c:pt idx="19">
                  <c:v>9.6102658774587707E-7</c:v>
                </c:pt>
                <c:pt idx="20">
                  <c:v>1.0159211319353825E-6</c:v>
                </c:pt>
                <c:pt idx="21">
                  <c:v>1.0687278026378978E-6</c:v>
                </c:pt>
                <c:pt idx="22">
                  <c:v>1.1188562578825868E-6</c:v>
                </c:pt>
                <c:pt idx="23">
                  <c:v>1.1663158923168083E-6</c:v>
                </c:pt>
                <c:pt idx="24">
                  <c:v>1.2120042827731872E-6</c:v>
                </c:pt>
                <c:pt idx="25">
                  <c:v>1.2557306511299889E-6</c:v>
                </c:pt>
                <c:pt idx="26">
                  <c:v>1.2972985514803386E-6</c:v>
                </c:pt>
                <c:pt idx="27">
                  <c:v>1.3365043223902658E-6</c:v>
                </c:pt>
                <c:pt idx="28">
                  <c:v>1.3731354380692626E-6</c:v>
                </c:pt>
                <c:pt idx="29">
                  <c:v>1.4071691221389143E-6</c:v>
                </c:pt>
                <c:pt idx="30">
                  <c:v>1.4409125062373904E-6</c:v>
                </c:pt>
                <c:pt idx="31">
                  <c:v>1.474503041462885E-6</c:v>
                </c:pt>
                <c:pt idx="32">
                  <c:v>1.5080842562707391E-6</c:v>
                </c:pt>
                <c:pt idx="33">
                  <c:v>1.5418059833522579E-6</c:v>
                </c:pt>
                <c:pt idx="34">
                  <c:v>1.575824703495928E-6</c:v>
                </c:pt>
                <c:pt idx="35">
                  <c:v>1.6103040080393987E-6</c:v>
                </c:pt>
                <c:pt idx="36">
                  <c:v>1.6452900621698505E-6</c:v>
                </c:pt>
                <c:pt idx="37">
                  <c:v>1.6807531285386279E-6</c:v>
                </c:pt>
                <c:pt idx="38">
                  <c:v>1.7155333965010911E-6</c:v>
                </c:pt>
                <c:pt idx="39">
                  <c:v>1.7496049551329137E-6</c:v>
                </c:pt>
                <c:pt idx="40">
                  <c:v>1.7829394327040369E-6</c:v>
                </c:pt>
                <c:pt idx="41">
                  <c:v>1.8155059310331036E-6</c:v>
                </c:pt>
                <c:pt idx="42">
                  <c:v>1.8472709658356803E-6</c:v>
                </c:pt>
                <c:pt idx="43">
                  <c:v>1.8773377857463105E-6</c:v>
                </c:pt>
                <c:pt idx="44">
                  <c:v>1.9051832130619105E-6</c:v>
                </c:pt>
                <c:pt idx="45">
                  <c:v>1.9306096186591396E-6</c:v>
                </c:pt>
                <c:pt idx="46">
                  <c:v>1.9534066853118773E-6</c:v>
                </c:pt>
                <c:pt idx="47">
                  <c:v>1.9733507369753094E-6</c:v>
                </c:pt>
                <c:pt idx="48">
                  <c:v>1.9902040290810879E-6</c:v>
                </c:pt>
                <c:pt idx="49">
                  <c:v>2.003713994877317E-6</c:v>
                </c:pt>
                <c:pt idx="50">
                  <c:v>2.0135989109572528E-6</c:v>
                </c:pt>
                <c:pt idx="51">
                  <c:v>2.0204561583494849E-6</c:v>
                </c:pt>
                <c:pt idx="52">
                  <c:v>2.024163270389885E-6</c:v>
                </c:pt>
                <c:pt idx="53">
                  <c:v>2.0245025354868566E-6</c:v>
                </c:pt>
                <c:pt idx="54">
                  <c:v>2.0212555274363941E-6</c:v>
                </c:pt>
                <c:pt idx="55">
                  <c:v>2.0141926855285809E-6</c:v>
                </c:pt>
                <c:pt idx="56">
                  <c:v>2.0030728355403047E-6</c:v>
                </c:pt>
                <c:pt idx="57">
                  <c:v>1.9911610075215112E-6</c:v>
                </c:pt>
                <c:pt idx="58">
                  <c:v>1.980096660630013E-6</c:v>
                </c:pt>
                <c:pt idx="59">
                  <c:v>1.9701834080473751E-6</c:v>
                </c:pt>
                <c:pt idx="60">
                  <c:v>1.9617486642114132E-6</c:v>
                </c:pt>
                <c:pt idx="61">
                  <c:v>1.9551451264088579E-6</c:v>
                </c:pt>
                <c:pt idx="62">
                  <c:v>1.9507523423384703E-6</c:v>
                </c:pt>
                <c:pt idx="63">
                  <c:v>1.948978373021591E-6</c:v>
                </c:pt>
                <c:pt idx="64">
                  <c:v>1.9502113278343127E-6</c:v>
                </c:pt>
                <c:pt idx="65">
                  <c:v>1.9551540269797785E-6</c:v>
                </c:pt>
                <c:pt idx="66">
                  <c:v>1.9628158835027325E-6</c:v>
                </c:pt>
                <c:pt idx="67">
                  <c:v>1.9736246855359013E-6</c:v>
                </c:pt>
                <c:pt idx="68">
                  <c:v>1.9880368556215822E-6</c:v>
                </c:pt>
                <c:pt idx="69">
                  <c:v>2.0065396735981421E-6</c:v>
                </c:pt>
                <c:pt idx="70">
                  <c:v>2.0296537215164736E-6</c:v>
                </c:pt>
                <c:pt idx="71">
                  <c:v>2.0579305395794063E-6</c:v>
                </c:pt>
                <c:pt idx="72">
                  <c:v>2.0859776408109212E-6</c:v>
                </c:pt>
                <c:pt idx="73">
                  <c:v>2.1137938231352497E-6</c:v>
                </c:pt>
                <c:pt idx="74">
                  <c:v>2.1413770094219387E-6</c:v>
                </c:pt>
                <c:pt idx="75">
                  <c:v>2.1687240578290636E-6</c:v>
                </c:pt>
                <c:pt idx="76">
                  <c:v>2.1958305584819295E-6</c:v>
                </c:pt>
                <c:pt idx="77">
                  <c:v>2.2226906150894381E-6</c:v>
                </c:pt>
                <c:pt idx="78">
                  <c:v>2.2491538762476821E-6</c:v>
                </c:pt>
                <c:pt idx="79">
                  <c:v>2.2758432462446077E-6</c:v>
                </c:pt>
                <c:pt idx="80">
                  <c:v>2.3023961692424367E-6</c:v>
                </c:pt>
                <c:pt idx="81">
                  <c:v>2.3288497450990537E-6</c:v>
                </c:pt>
                <c:pt idx="82">
                  <c:v>2.3552416675765766E-6</c:v>
                </c:pt>
                <c:pt idx="83">
                  <c:v>2.3816101328273688E-6</c:v>
                </c:pt>
                <c:pt idx="84">
                  <c:v>2.4079937616291797E-6</c:v>
                </c:pt>
                <c:pt idx="85">
                  <c:v>2.4354396767191224E-6</c:v>
                </c:pt>
                <c:pt idx="86">
                  <c:v>2.4641059999089355E-6</c:v>
                </c:pt>
                <c:pt idx="87">
                  <c:v>2.4941527206426928E-6</c:v>
                </c:pt>
                <c:pt idx="88">
                  <c:v>2.5257502597839092E-6</c:v>
                </c:pt>
                <c:pt idx="89">
                  <c:v>2.5590804699395531E-6</c:v>
                </c:pt>
                <c:pt idx="90">
                  <c:v>2.5943377463979261E-6</c:v>
                </c:pt>
                <c:pt idx="91">
                  <c:v>2.6317302593424769E-6</c:v>
                </c:pt>
                <c:pt idx="92">
                  <c:v>2.6713663447560987E-6</c:v>
                </c:pt>
                <c:pt idx="93">
                  <c:v>2.7130113272485718E-6</c:v>
                </c:pt>
                <c:pt idx="94">
                  <c:v>2.755533823408912E-6</c:v>
                </c:pt>
                <c:pt idx="95">
                  <c:v>2.7989710680464524E-6</c:v>
                </c:pt>
                <c:pt idx="96">
                  <c:v>2.8433614720488761E-6</c:v>
                </c:pt>
                <c:pt idx="97">
                  <c:v>2.8887446953881681E-6</c:v>
                </c:pt>
                <c:pt idx="98">
                  <c:v>2.9351617331105643E-6</c:v>
                </c:pt>
                <c:pt idx="99">
                  <c:v>2.9832321311680279E-6</c:v>
                </c:pt>
                <c:pt idx="100">
                  <c:v>3.031305836699197E-6</c:v>
                </c:pt>
                <c:pt idx="101">
                  <c:v>3.0792936823703076E-6</c:v>
                </c:pt>
                <c:pt idx="102">
                  <c:v>3.1270962346428601E-6</c:v>
                </c:pt>
                <c:pt idx="103">
                  <c:v>3.1746030130767017E-6</c:v>
                </c:pt>
                <c:pt idx="104">
                  <c:v>3.2216916749331E-6</c:v>
                </c:pt>
                <c:pt idx="105">
                  <c:v>3.2682271637066947E-6</c:v>
                </c:pt>
                <c:pt idx="106">
                  <c:v>3.314045732542701E-6</c:v>
                </c:pt>
                <c:pt idx="107">
                  <c:v>3.3606750547451592E-6</c:v>
                </c:pt>
                <c:pt idx="108">
                  <c:v>3.4087294830422652E-6</c:v>
                </c:pt>
                <c:pt idx="109">
                  <c:v>3.4583069920194859E-6</c:v>
                </c:pt>
                <c:pt idx="110">
                  <c:v>3.5095243431885927E-6</c:v>
                </c:pt>
                <c:pt idx="111">
                  <c:v>3.5625087820507149E-6</c:v>
                </c:pt>
                <c:pt idx="112">
                  <c:v>3.6173885779656898E-6</c:v>
                </c:pt>
                <c:pt idx="113">
                  <c:v>3.6750472571258574E-6</c:v>
                </c:pt>
                <c:pt idx="114">
                  <c:v>3.7346823978528711E-6</c:v>
                </c:pt>
                <c:pt idx="115">
                  <c:v>3.7964301481103174E-6</c:v>
                </c:pt>
                <c:pt idx="116">
                  <c:v>3.8604387651490018E-6</c:v>
                </c:pt>
                <c:pt idx="117">
                  <c:v>3.9268696588475787E-6</c:v>
                </c:pt>
                <c:pt idx="118">
                  <c:v>3.9958984929898954E-6</c:v>
                </c:pt>
                <c:pt idx="119">
                  <c:v>4.0677163448924246E-6</c:v>
                </c:pt>
                <c:pt idx="120">
                  <c:v>4.1425937935858865E-6</c:v>
                </c:pt>
                <c:pt idx="121">
                  <c:v>4.2232219545246085E-6</c:v>
                </c:pt>
                <c:pt idx="122">
                  <c:v>4.3069772733495303E-6</c:v>
                </c:pt>
                <c:pt idx="123">
                  <c:v>4.3940329894524536E-6</c:v>
                </c:pt>
                <c:pt idx="124">
                  <c:v>4.4845764931044506E-6</c:v>
                </c:pt>
                <c:pt idx="125">
                  <c:v>4.5788102066671834E-6</c:v>
                </c:pt>
                <c:pt idx="126">
                  <c:v>4.6769524653888264E-6</c:v>
                </c:pt>
                <c:pt idx="127">
                  <c:v>4.7779547679292127E-6</c:v>
                </c:pt>
                <c:pt idx="128">
                  <c:v>4.8805361481052781E-6</c:v>
                </c:pt>
                <c:pt idx="129">
                  <c:v>4.9846254425430314E-6</c:v>
                </c:pt>
                <c:pt idx="130">
                  <c:v>5.0901457841767036E-6</c:v>
                </c:pt>
                <c:pt idx="131">
                  <c:v>5.197014762422536E-6</c:v>
                </c:pt>
                <c:pt idx="132">
                  <c:v>5.3051446433970472E-6</c:v>
                </c:pt>
                <c:pt idx="133">
                  <c:v>5.4144426512692388E-6</c:v>
                </c:pt>
                <c:pt idx="134">
                  <c:v>5.5249475450964976E-6</c:v>
                </c:pt>
                <c:pt idx="135">
                  <c:v>5.6343399385841828E-6</c:v>
                </c:pt>
                <c:pt idx="136">
                  <c:v>5.7378401752896972E-6</c:v>
                </c:pt>
                <c:pt idx="137">
                  <c:v>5.8345526045623033E-6</c:v>
                </c:pt>
                <c:pt idx="138">
                  <c:v>5.9235297613494477E-6</c:v>
                </c:pt>
                <c:pt idx="139">
                  <c:v>6.0037729943268921E-6</c:v>
                </c:pt>
                <c:pt idx="140">
                  <c:v>6.0742335009225944E-6</c:v>
                </c:pt>
                <c:pt idx="141">
                  <c:v>6.1389426443595578E-6</c:v>
                </c:pt>
                <c:pt idx="142">
                  <c:v>6.199608220503969E-6</c:v>
                </c:pt>
                <c:pt idx="143">
                  <c:v>6.2558803579513674E-6</c:v>
                </c:pt>
                <c:pt idx="144">
                  <c:v>6.3074474967366996E-6</c:v>
                </c:pt>
                <c:pt idx="145">
                  <c:v>6.354001638132314E-6</c:v>
                </c:pt>
                <c:pt idx="146">
                  <c:v>6.395240242931955E-6</c:v>
                </c:pt>
                <c:pt idx="147">
                  <c:v>6.4308681880451104E-6</c:v>
                </c:pt>
                <c:pt idx="148">
                  <c:v>6.4607510848989409E-6</c:v>
                </c:pt>
                <c:pt idx="149">
                  <c:v>6.4860315025557099E-6</c:v>
                </c:pt>
                <c:pt idx="150">
                  <c:v>6.5106621724566141E-6</c:v>
                </c:pt>
                <c:pt idx="151">
                  <c:v>6.5349217165402091E-6</c:v>
                </c:pt>
                <c:pt idx="152">
                  <c:v>6.5591228998544637E-6</c:v>
                </c:pt>
                <c:pt idx="153">
                  <c:v>6.5836128665978297E-6</c:v>
                </c:pt>
                <c:pt idx="154">
                  <c:v>6.6087731082507171E-6</c:v>
                </c:pt>
                <c:pt idx="155">
                  <c:v>6.6408954762371179E-6</c:v>
                </c:pt>
                <c:pt idx="156">
                  <c:v>6.6724620455823753E-6</c:v>
                </c:pt>
                <c:pt idx="157">
                  <c:v>6.7037392677212114E-6</c:v>
                </c:pt>
                <c:pt idx="158">
                  <c:v>6.735019936866664E-6</c:v>
                </c:pt>
                <c:pt idx="159">
                  <c:v>6.7666225983742757E-6</c:v>
                </c:pt>
                <c:pt idx="160">
                  <c:v>6.7988907236781572E-6</c:v>
                </c:pt>
                <c:pt idx="161">
                  <c:v>6.8321916513093973E-6</c:v>
                </c:pt>
                <c:pt idx="162">
                  <c:v>6.8670337885098781E-6</c:v>
                </c:pt>
                <c:pt idx="163">
                  <c:v>6.9106102165105213E-6</c:v>
                </c:pt>
                <c:pt idx="164">
                  <c:v>6.9619261531254503E-6</c:v>
                </c:pt>
                <c:pt idx="165">
                  <c:v>7.0218468852208054E-6</c:v>
                </c:pt>
                <c:pt idx="166">
                  <c:v>7.0912547882582596E-6</c:v>
                </c:pt>
                <c:pt idx="167">
                  <c:v>7.1710462424377799E-6</c:v>
                </c:pt>
                <c:pt idx="168">
                  <c:v>7.2621285144096025E-6</c:v>
                </c:pt>
                <c:pt idx="169">
                  <c:v>7.3730663259998744E-6</c:v>
                </c:pt>
                <c:pt idx="170">
                  <c:v>7.4966100435076129E-6</c:v>
                </c:pt>
                <c:pt idx="171">
                  <c:v>7.6336232956741285E-6</c:v>
                </c:pt>
                <c:pt idx="172">
                  <c:v>7.7849685199082877E-6</c:v>
                </c:pt>
                <c:pt idx="173">
                  <c:v>7.9514230879877304E-6</c:v>
                </c:pt>
                <c:pt idx="174">
                  <c:v>8.1337463434669547E-6</c:v>
                </c:pt>
                <c:pt idx="175">
                  <c:v>8.3327625931344404E-6</c:v>
                </c:pt>
                <c:pt idx="176">
                  <c:v>8.5492827848512696E-6</c:v>
                </c:pt>
                <c:pt idx="177">
                  <c:v>8.7940500700305658E-6</c:v>
                </c:pt>
                <c:pt idx="178">
                  <c:v>9.0592427089332625E-6</c:v>
                </c:pt>
                <c:pt idx="179">
                  <c:v>9.3456634648343814E-6</c:v>
                </c:pt>
                <c:pt idx="180">
                  <c:v>9.654092768261056E-6</c:v>
                </c:pt>
                <c:pt idx="181">
                  <c:v>9.9852875437820589E-6</c:v>
                </c:pt>
                <c:pt idx="182">
                  <c:v>1.0339980315119907E-5</c:v>
                </c:pt>
                <c:pt idx="183">
                  <c:v>1.0721766044330401E-5</c:v>
                </c:pt>
                <c:pt idx="184">
                  <c:v>1.1121438539000402E-5</c:v>
                </c:pt>
                <c:pt idx="185">
                  <c:v>1.1539355377258414E-5</c:v>
                </c:pt>
                <c:pt idx="186">
                  <c:v>1.1975860008664216E-5</c:v>
                </c:pt>
                <c:pt idx="187">
                  <c:v>1.2431282335968127E-5</c:v>
                </c:pt>
                <c:pt idx="188">
                  <c:v>1.290593939833952E-5</c:v>
                </c:pt>
                <c:pt idx="189">
                  <c:v>1.3400136143181264E-5</c:v>
                </c:pt>
                <c:pt idx="190">
                  <c:v>1.3914059287560371E-5</c:v>
                </c:pt>
                <c:pt idx="191">
                  <c:v>1.4464946893916821E-5</c:v>
                </c:pt>
                <c:pt idx="192">
                  <c:v>1.5041399346390446E-5</c:v>
                </c:pt>
                <c:pt idx="193">
                  <c:v>1.5643865683606802E-5</c:v>
                </c:pt>
                <c:pt idx="194">
                  <c:v>1.6272788347505931E-5</c:v>
                </c:pt>
                <c:pt idx="195">
                  <c:v>1.6928605388400049E-5</c:v>
                </c:pt>
                <c:pt idx="196">
                  <c:v>1.7611752731075521E-5</c:v>
                </c:pt>
                <c:pt idx="197">
                  <c:v>1.8312108501676234E-5</c:v>
                </c:pt>
                <c:pt idx="198">
                  <c:v>1.9026392281605684E-5</c:v>
                </c:pt>
                <c:pt idx="199">
                  <c:v>1.9754679724580198E-5</c:v>
                </c:pt>
                <c:pt idx="200">
                  <c:v>2.0497067888736008E-5</c:v>
                </c:pt>
                <c:pt idx="201">
                  <c:v>2.125367612523722E-5</c:v>
                </c:pt>
                <c:pt idx="202">
                  <c:v>2.2024646884375169E-5</c:v>
                </c:pt>
                <c:pt idx="203">
                  <c:v>2.2810146454354883E-5</c:v>
                </c:pt>
                <c:pt idx="204">
                  <c:v>2.361011343084146E-5</c:v>
                </c:pt>
                <c:pt idx="205">
                  <c:v>2.4416014562550589E-5</c:v>
                </c:pt>
                <c:pt idx="206">
                  <c:v>2.5208235023356099E-5</c:v>
                </c:pt>
                <c:pt idx="207">
                  <c:v>2.5986245607125717E-5</c:v>
                </c:pt>
                <c:pt idx="208">
                  <c:v>2.6749543762772044E-5</c:v>
                </c:pt>
                <c:pt idx="209">
                  <c:v>2.7497651615854287E-5</c:v>
                </c:pt>
                <c:pt idx="210">
                  <c:v>2.8230114005639384E-5</c:v>
                </c:pt>
                <c:pt idx="211">
                  <c:v>2.8967554725519574E-5</c:v>
                </c:pt>
                <c:pt idx="212">
                  <c:v>2.9721795995836582E-5</c:v>
                </c:pt>
                <c:pt idx="213">
                  <c:v>3.0493056831393315E-5</c:v>
                </c:pt>
                <c:pt idx="214">
                  <c:v>3.1281555210937413E-5</c:v>
                </c:pt>
                <c:pt idx="215">
                  <c:v>3.2087507857630027E-5</c:v>
                </c:pt>
                <c:pt idx="216">
                  <c:v>3.2911130029483753E-5</c:v>
                </c:pt>
                <c:pt idx="217">
                  <c:v>3.3752635325659769E-5</c:v>
                </c:pt>
                <c:pt idx="218">
                  <c:v>3.4611954973019226E-5</c:v>
                </c:pt>
                <c:pt idx="219">
                  <c:v>3.5498499884836295E-5</c:v>
                </c:pt>
                <c:pt idx="220">
                  <c:v>3.6421950353283708E-5</c:v>
                </c:pt>
                <c:pt idx="221">
                  <c:v>3.7382922456156283E-5</c:v>
                </c:pt>
                <c:pt idx="222">
                  <c:v>3.8382037880006199E-5</c:v>
                </c:pt>
                <c:pt idx="223">
                  <c:v>3.9419925967484868E-5</c:v>
                </c:pt>
                <c:pt idx="224">
                  <c:v>4.0497225818306039E-5</c:v>
                </c:pt>
                <c:pt idx="225">
                  <c:v>4.1643084539021929E-5</c:v>
                </c:pt>
                <c:pt idx="226">
                  <c:v>4.2835681251954153E-5</c:v>
                </c:pt>
                <c:pt idx="227">
                  <c:v>4.4075781691824382E-5</c:v>
                </c:pt>
                <c:pt idx="228">
                  <c:v>4.5364170444257159E-5</c:v>
                </c:pt>
                <c:pt idx="229">
                  <c:v>4.6701653697410166E-5</c:v>
                </c:pt>
                <c:pt idx="230">
                  <c:v>4.8089062061748427E-5</c:v>
                </c:pt>
                <c:pt idx="231">
                  <c:v>4.9527253475357323E-5</c:v>
                </c:pt>
                <c:pt idx="232">
                  <c:v>5.1016619134173882E-5</c:v>
                </c:pt>
                <c:pt idx="233">
                  <c:v>5.2571065401922324E-5</c:v>
                </c:pt>
                <c:pt idx="234">
                  <c:v>5.4181245825167888E-5</c:v>
                </c:pt>
                <c:pt idx="235">
                  <c:v>5.5847882321157423E-5</c:v>
                </c:pt>
                <c:pt idx="236">
                  <c:v>5.7571722123673963E-5</c:v>
                </c:pt>
                <c:pt idx="237">
                  <c:v>5.9353483513067325E-5</c:v>
                </c:pt>
                <c:pt idx="238">
                  <c:v>6.1193889786717107E-5</c:v>
                </c:pt>
                <c:pt idx="239">
                  <c:v>6.3083547363801181E-5</c:v>
                </c:pt>
                <c:pt idx="240">
                  <c:v>6.4992409255395175E-5</c:v>
                </c:pt>
                <c:pt idx="241">
                  <c:v>6.6920643014236993E-5</c:v>
                </c:pt>
                <c:pt idx="242">
                  <c:v>6.8868418428351164E-5</c:v>
                </c:pt>
                <c:pt idx="243">
                  <c:v>7.0835906400186334E-5</c:v>
                </c:pt>
                <c:pt idx="244">
                  <c:v>7.2823277712907701E-5</c:v>
                </c:pt>
                <c:pt idx="245">
                  <c:v>7.48307017014304E-5</c:v>
                </c:pt>
                <c:pt idx="246">
                  <c:v>7.6858344814128939E-5</c:v>
                </c:pt>
                <c:pt idx="247">
                  <c:v>7.8949288286537904E-5</c:v>
                </c:pt>
                <c:pt idx="248">
                  <c:v>8.1089600762338038E-5</c:v>
                </c:pt>
                <c:pt idx="249">
                  <c:v>8.3279821525376752E-5</c:v>
                </c:pt>
                <c:pt idx="250">
                  <c:v>8.5520482558985725E-5</c:v>
                </c:pt>
                <c:pt idx="251">
                  <c:v>8.7812106766841115E-5</c:v>
                </c:pt>
                <c:pt idx="252">
                  <c:v>9.0155206088515428E-5</c:v>
                </c:pt>
                <c:pt idx="253">
                  <c:v>9.2591355455210318E-5</c:v>
                </c:pt>
                <c:pt idx="254">
                  <c:v>9.5132437175429101E-5</c:v>
                </c:pt>
                <c:pt idx="255">
                  <c:v>9.7779624891010207E-5</c:v>
                </c:pt>
                <c:pt idx="256">
                  <c:v>1.0053407631318645E-4</c:v>
                </c:pt>
                <c:pt idx="257">
                  <c:v>1.0339693074486773E-4</c:v>
                </c:pt>
                <c:pt idx="258">
                  <c:v>1.0636930655375625E-4</c:v>
                </c:pt>
                <c:pt idx="259">
                  <c:v>1.0945229862512508E-4</c:v>
                </c:pt>
                <c:pt idx="260">
                  <c:v>1.1264751703277356E-4</c:v>
                </c:pt>
                <c:pt idx="261">
                  <c:v>1.1595607472768044E-4</c:v>
                </c:pt>
                <c:pt idx="262">
                  <c:v>1.1933289875899441E-4</c:v>
                </c:pt>
                <c:pt idx="263">
                  <c:v>1.227781590281155E-4</c:v>
                </c:pt>
                <c:pt idx="264">
                  <c:v>1.2629196343426959E-4</c:v>
                </c:pt>
                <c:pt idx="265">
                  <c:v>1.2987504518022835E-4</c:v>
                </c:pt>
                <c:pt idx="266">
                  <c:v>1.3352779099699011E-4</c:v>
                </c:pt>
                <c:pt idx="267">
                  <c:v>1.3727500497234829E-4</c:v>
                </c:pt>
                <c:pt idx="268">
                  <c:v>1.4107281660552458E-4</c:v>
                </c:pt>
                <c:pt idx="269">
                  <c:v>1.4492058815488169E-4</c:v>
                </c:pt>
                <c:pt idx="270">
                  <c:v>1.4881758531158171E-4</c:v>
                </c:pt>
                <c:pt idx="271">
                  <c:v>1.5276297737081031E-4</c:v>
                </c:pt>
                <c:pt idx="272">
                  <c:v>1.5675583823347817E-4</c:v>
                </c:pt>
                <c:pt idx="273">
                  <c:v>1.6079514821994942E-4</c:v>
                </c:pt>
                <c:pt idx="274">
                  <c:v>1.648860250385538E-4</c:v>
                </c:pt>
                <c:pt idx="275">
                  <c:v>1.6948838699226541E-4</c:v>
                </c:pt>
                <c:pt idx="276">
                  <c:v>1.746058743628895E-4</c:v>
                </c:pt>
                <c:pt idx="277">
                  <c:v>1.802413952606885E-4</c:v>
                </c:pt>
                <c:pt idx="278">
                  <c:v>1.8639743113781245E-4</c:v>
                </c:pt>
                <c:pt idx="279">
                  <c:v>1.9307594708063797E-4</c:v>
                </c:pt>
                <c:pt idx="280">
                  <c:v>2.0027830019754954E-4</c:v>
                </c:pt>
                <c:pt idx="281">
                  <c:v>2.0815378826432213E-4</c:v>
                </c:pt>
                <c:pt idx="282">
                  <c:v>2.1667731513324976E-4</c:v>
                </c:pt>
                <c:pt idx="283">
                  <c:v>2.2584907155793728E-4</c:v>
                </c:pt>
                <c:pt idx="284">
                  <c:v>2.3566814863354785E-4</c:v>
                </c:pt>
                <c:pt idx="285">
                  <c:v>2.4613241877041649E-4</c:v>
                </c:pt>
                <c:pt idx="286">
                  <c:v>2.5723841703126886E-4</c:v>
                </c:pt>
                <c:pt idx="287">
                  <c:v>2.6898122360666308E-4</c:v>
                </c:pt>
                <c:pt idx="288">
                  <c:v>2.8137429332133871E-4</c:v>
                </c:pt>
                <c:pt idx="289">
                  <c:v>2.9423597427372014E-4</c:v>
                </c:pt>
                <c:pt idx="290">
                  <c:v>3.0708416923685029E-4</c:v>
                </c:pt>
                <c:pt idx="291">
                  <c:v>3.1991157538266906E-4</c:v>
                </c:pt>
                <c:pt idx="292">
                  <c:v>3.3271041605709801E-4</c:v>
                </c:pt>
                <c:pt idx="293">
                  <c:v>3.4547245752814074E-4</c:v>
                </c:pt>
                <c:pt idx="294">
                  <c:v>3.581890262874327E-4</c:v>
                </c:pt>
                <c:pt idx="295">
                  <c:v>3.7083577894549938E-4</c:v>
                </c:pt>
                <c:pt idx="296">
                  <c:v>3.832532759529023E-4</c:v>
                </c:pt>
                <c:pt idx="297">
                  <c:v>3.9543467287596904E-4</c:v>
                </c:pt>
                <c:pt idx="298">
                  <c:v>4.0736995031215865E-4</c:v>
                </c:pt>
                <c:pt idx="299">
                  <c:v>4.1904891040424124E-4</c:v>
                </c:pt>
                <c:pt idx="300">
                  <c:v>4.3046120838270691E-4</c:v>
                </c:pt>
                <c:pt idx="301">
                  <c:v>4.4159638324961866E-4</c:v>
                </c:pt>
                <c:pt idx="302">
                  <c:v>4.5247084704258436E-4</c:v>
                </c:pt>
                <c:pt idx="303">
                  <c:v>4.6319263393358658E-4</c:v>
                </c:pt>
                <c:pt idx="304">
                  <c:v>4.7396262348899554E-4</c:v>
                </c:pt>
                <c:pt idx="305">
                  <c:v>4.8477945139278059E-4</c:v>
                </c:pt>
                <c:pt idx="306">
                  <c:v>4.9564195069540132E-4</c:v>
                </c:pt>
                <c:pt idx="307">
                  <c:v>5.065491474541611E-4</c:v>
                </c:pt>
                <c:pt idx="308">
                  <c:v>5.1750025108197612E-4</c:v>
                </c:pt>
                <c:pt idx="309">
                  <c:v>5.2886782716943693E-4</c:v>
                </c:pt>
                <c:pt idx="310">
                  <c:v>5.4066698613347986E-4</c:v>
                </c:pt>
                <c:pt idx="311">
                  <c:v>5.5289738172626995E-4</c:v>
                </c:pt>
                <c:pt idx="312">
                  <c:v>5.6555863087272718E-4</c:v>
                </c:pt>
                <c:pt idx="313">
                  <c:v>5.7865028226101697E-4</c:v>
                </c:pt>
                <c:pt idx="314">
                  <c:v>5.9217177658685229E-4</c:v>
                </c:pt>
                <c:pt idx="315">
                  <c:v>6.0612239755741609E-4</c:v>
                </c:pt>
                <c:pt idx="316">
                  <c:v>6.205421140250641E-4</c:v>
                </c:pt>
                <c:pt idx="317">
                  <c:v>6.3444026809275525E-4</c:v>
                </c:pt>
                <c:pt idx="318">
                  <c:v>6.477324616902721E-4</c:v>
                </c:pt>
                <c:pt idx="319">
                  <c:v>6.6041955472410528E-4</c:v>
                </c:pt>
                <c:pt idx="320">
                  <c:v>6.7250125202685635E-4</c:v>
                </c:pt>
                <c:pt idx="321">
                  <c:v>6.8397599534522234E-4</c:v>
                </c:pt>
                <c:pt idx="322">
                  <c:v>6.9484085994728922E-4</c:v>
                </c:pt>
                <c:pt idx="323">
                  <c:v>7.0437693123061404E-4</c:v>
                </c:pt>
                <c:pt idx="324">
                  <c:v>7.1220349778812453E-4</c:v>
                </c:pt>
                <c:pt idx="325">
                  <c:v>7.1831130881664024E-4</c:v>
                </c:pt>
                <c:pt idx="326">
                  <c:v>7.2268483101550936E-4</c:v>
                </c:pt>
                <c:pt idx="327">
                  <c:v>7.2530981273127816E-4</c:v>
                </c:pt>
                <c:pt idx="328">
                  <c:v>7.2617429951674832E-4</c:v>
                </c:pt>
                <c:pt idx="329">
                  <c:v>7.2526516145017636E-4</c:v>
                </c:pt>
                <c:pt idx="330">
                  <c:v>7.2264354434562698E-4</c:v>
                </c:pt>
                <c:pt idx="331">
                  <c:v>7.1994477798921898E-4</c:v>
                </c:pt>
                <c:pt idx="332">
                  <c:v>7.1819288104302509E-4</c:v>
                </c:pt>
                <c:pt idx="333">
                  <c:v>7.1737404631098836E-4</c:v>
                </c:pt>
                <c:pt idx="334">
                  <c:v>7.1747370201988617E-4</c:v>
                </c:pt>
                <c:pt idx="335">
                  <c:v>7.1847632461256709E-4</c:v>
                </c:pt>
                <c:pt idx="336">
                  <c:v>7.2036524334421754E-4</c:v>
                </c:pt>
                <c:pt idx="337">
                  <c:v>7.239654193137657E-4</c:v>
                </c:pt>
                <c:pt idx="338">
                  <c:v>7.2998226692570875E-4</c:v>
                </c:pt>
                <c:pt idx="339">
                  <c:v>7.3839889179929492E-4</c:v>
                </c:pt>
                <c:pt idx="340">
                  <c:v>7.4919543272933026E-4</c:v>
                </c:pt>
                <c:pt idx="341">
                  <c:v>7.6234830330727268E-4</c:v>
                </c:pt>
                <c:pt idx="342">
                  <c:v>7.778294175793273E-4</c:v>
                </c:pt>
                <c:pt idx="343">
                  <c:v>7.9560541336027983E-4</c:v>
                </c:pt>
                <c:pt idx="344">
                  <c:v>8.1572895808935931E-4</c:v>
                </c:pt>
                <c:pt idx="345">
                  <c:v>8.3826054220517026E-4</c:v>
                </c:pt>
                <c:pt idx="346">
                  <c:v>8.5974675702671388E-4</c:v>
                </c:pt>
                <c:pt idx="347">
                  <c:v>8.8015371860153944E-4</c:v>
                </c:pt>
                <c:pt idx="348">
                  <c:v>8.9944517648747331E-4</c:v>
                </c:pt>
                <c:pt idx="349">
                  <c:v>9.1758300054252341E-4</c:v>
                </c:pt>
                <c:pt idx="350">
                  <c:v>9.3452771391334998E-4</c:v>
                </c:pt>
                <c:pt idx="351">
                  <c:v>9.4841182285051464E-4</c:v>
                </c:pt>
                <c:pt idx="352">
                  <c:v>9.5835581331634064E-4</c:v>
                </c:pt>
                <c:pt idx="353">
                  <c:v>9.6433240751566502E-4</c:v>
                </c:pt>
                <c:pt idx="354">
                  <c:v>9.6632107428396507E-4</c:v>
                </c:pt>
                <c:pt idx="355">
                  <c:v>9.6430943278788647E-4</c:v>
                </c:pt>
                <c:pt idx="356">
                  <c:v>9.5828246502643346E-4</c:v>
                </c:pt>
                <c:pt idx="357">
                  <c:v>9.4825940772525928E-4</c:v>
                </c:pt>
                <c:pt idx="358">
                  <c:v>9.3425973470482519E-4</c:v>
                </c:pt>
                <c:pt idx="359">
                  <c:v>9.1634172414343574E-4</c:v>
                </c:pt>
                <c:pt idx="360">
                  <c:v>8.9540971749397049E-4</c:v>
                </c:pt>
                <c:pt idx="361">
                  <c:v>8.7331608798014179E-4</c:v>
                </c:pt>
                <c:pt idx="362">
                  <c:v>8.5011509340180054E-4</c:v>
                </c:pt>
                <c:pt idx="363">
                  <c:v>8.258623595479484E-4</c:v>
                </c:pt>
                <c:pt idx="364">
                  <c:v>8.0061439634258381E-4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699792"/>
        <c:axId val="394311128"/>
      </c:lineChart>
      <c:dateAx>
        <c:axId val="3886997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311128"/>
        <c:crosses val="autoZero"/>
        <c:auto val="1"/>
        <c:lblOffset val="100"/>
        <c:baseTimeUnit val="days"/>
        <c:majorUnit val="1"/>
        <c:majorTimeUnit val="months"/>
      </c:dateAx>
      <c:valAx>
        <c:axId val="394311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86997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6.6852877946201872E-3</c:v>
                </c:pt>
                <c:pt idx="1">
                  <c:v>6.7043244444681127E-3</c:v>
                </c:pt>
                <c:pt idx="2">
                  <c:v>6.7233607294829856E-3</c:v>
                </c:pt>
                <c:pt idx="3">
                  <c:v>6.7423966496718002E-3</c:v>
                </c:pt>
                <c:pt idx="4">
                  <c:v>6.761432205041551E-3</c:v>
                </c:pt>
                <c:pt idx="5">
                  <c:v>6.7804673955992323E-3</c:v>
                </c:pt>
                <c:pt idx="6">
                  <c:v>6.7995022213517275E-3</c:v>
                </c:pt>
                <c:pt idx="7">
                  <c:v>6.8185366823062532E-3</c:v>
                </c:pt>
                <c:pt idx="8">
                  <c:v>6.8375707784696926E-3</c:v>
                </c:pt>
                <c:pt idx="9">
                  <c:v>6.8566045098489292E-3</c:v>
                </c:pt>
                <c:pt idx="10">
                  <c:v>6.8756378764510684E-3</c:v>
                </c:pt>
                <c:pt idx="11">
                  <c:v>6.8946708782831045E-3</c:v>
                </c:pt>
                <c:pt idx="12">
                  <c:v>6.9137035153519211E-3</c:v>
                </c:pt>
                <c:pt idx="13">
                  <c:v>6.9327357876647344E-3</c:v>
                </c:pt>
                <c:pt idx="14">
                  <c:v>6.9517676952283169E-3</c:v>
                </c:pt>
                <c:pt idx="15">
                  <c:v>6.9707992380496631E-3</c:v>
                </c:pt>
                <c:pt idx="16">
                  <c:v>6.9898304161358782E-3</c:v>
                </c:pt>
                <c:pt idx="17">
                  <c:v>7.0088612294939567E-3</c:v>
                </c:pt>
                <c:pt idx="18">
                  <c:v>7.0278916781307821E-3</c:v>
                </c:pt>
                <c:pt idx="19">
                  <c:v>7.0469217620534597E-3</c:v>
                </c:pt>
                <c:pt idx="20">
                  <c:v>7.0659514812688728E-3</c:v>
                </c:pt>
                <c:pt idx="21">
                  <c:v>7.0849808357841271E-3</c:v>
                </c:pt>
                <c:pt idx="22">
                  <c:v>7.1040098256061057E-3</c:v>
                </c:pt>
                <c:pt idx="23">
                  <c:v>7.1230384507418032E-3</c:v>
                </c:pt>
                <c:pt idx="24">
                  <c:v>7.1420667111982139E-3</c:v>
                </c:pt>
                <c:pt idx="25">
                  <c:v>7.1610946069824433E-3</c:v>
                </c:pt>
                <c:pt idx="26">
                  <c:v>7.1801221381013747E-3</c:v>
                </c:pt>
                <c:pt idx="27">
                  <c:v>7.1991493045618915E-3</c:v>
                </c:pt>
                <c:pt idx="28">
                  <c:v>7.2181761063712102E-3</c:v>
                </c:pt>
                <c:pt idx="29">
                  <c:v>7.2372025435362142E-3</c:v>
                </c:pt>
                <c:pt idx="30">
                  <c:v>7.2562286160638978E-3</c:v>
                </c:pt>
                <c:pt idx="31">
                  <c:v>7.2752543239612555E-3</c:v>
                </c:pt>
                <c:pt idx="32">
                  <c:v>7.2942796672351706E-3</c:v>
                </c:pt>
                <c:pt idx="33">
                  <c:v>7.3133046458927486E-3</c:v>
                </c:pt>
                <c:pt idx="34">
                  <c:v>7.3323292599409839E-3</c:v>
                </c:pt>
                <c:pt idx="35">
                  <c:v>7.3513535093868709E-3</c:v>
                </c:pt>
                <c:pt idx="36">
                  <c:v>7.370377394237293E-3</c:v>
                </c:pt>
                <c:pt idx="37">
                  <c:v>7.3894009144993555E-3</c:v>
                </c:pt>
                <c:pt idx="38">
                  <c:v>7.408424070179942E-3</c:v>
                </c:pt>
                <c:pt idx="39">
                  <c:v>7.4274468612861577E-3</c:v>
                </c:pt>
                <c:pt idx="40">
                  <c:v>7.4464692878248862E-3</c:v>
                </c:pt>
                <c:pt idx="41">
                  <c:v>7.4654913498031217E-3</c:v>
                </c:pt>
                <c:pt idx="42">
                  <c:v>7.4845130472278587E-3</c:v>
                </c:pt>
                <c:pt idx="43">
                  <c:v>7.5035343801060916E-3</c:v>
                </c:pt>
                <c:pt idx="44">
                  <c:v>7.5225553484449259E-3</c:v>
                </c:pt>
                <c:pt idx="45">
                  <c:v>7.5415759522511339E-3</c:v>
                </c:pt>
                <c:pt idx="46">
                  <c:v>7.560596191531932E-3</c:v>
                </c:pt>
                <c:pt idx="47">
                  <c:v>7.5796160662940926E-3</c:v>
                </c:pt>
                <c:pt idx="48">
                  <c:v>7.5986355765447211E-3</c:v>
                </c:pt>
                <c:pt idx="49">
                  <c:v>7.617654722290701E-3</c:v>
                </c:pt>
                <c:pt idx="50">
                  <c:v>7.6366735035391375E-3</c:v>
                </c:pt>
                <c:pt idx="51">
                  <c:v>7.6556919202970253E-3</c:v>
                </c:pt>
                <c:pt idx="52">
                  <c:v>7.6747099725712475E-3</c:v>
                </c:pt>
                <c:pt idx="53">
                  <c:v>7.6937276603687987E-3</c:v>
                </c:pt>
                <c:pt idx="54">
                  <c:v>7.7127449836967843E-3</c:v>
                </c:pt>
                <c:pt idx="55">
                  <c:v>7.7317619425620876E-3</c:v>
                </c:pt>
                <c:pt idx="56">
                  <c:v>7.750778536971703E-3</c:v>
                </c:pt>
                <c:pt idx="57">
                  <c:v>7.7697947669326251E-3</c:v>
                </c:pt>
                <c:pt idx="58">
                  <c:v>7.788810632451848E-3</c:v>
                </c:pt>
                <c:pt idx="59">
                  <c:v>7.8078261335362553E-3</c:v>
                </c:pt>
                <c:pt idx="60">
                  <c:v>7.8268412701930634E-3</c:v>
                </c:pt>
                <c:pt idx="61">
                  <c:v>7.8458560424290447E-3</c:v>
                </c:pt>
                <c:pt idx="62">
                  <c:v>7.8648704502511935E-3</c:v>
                </c:pt>
                <c:pt idx="63">
                  <c:v>7.8838844936666153E-3</c:v>
                </c:pt>
                <c:pt idx="64">
                  <c:v>7.9028981726823044E-3</c:v>
                </c:pt>
                <c:pt idx="65">
                  <c:v>7.9219114873050334E-3</c:v>
                </c:pt>
                <c:pt idx="66">
                  <c:v>7.9409244375420185E-3</c:v>
                </c:pt>
                <c:pt idx="67">
                  <c:v>7.9599370234001432E-3</c:v>
                </c:pt>
                <c:pt idx="68">
                  <c:v>7.9789492448864019E-3</c:v>
                </c:pt>
                <c:pt idx="69">
                  <c:v>7.997961102007678E-3</c:v>
                </c:pt>
                <c:pt idx="70">
                  <c:v>8.0169725947711878E-3</c:v>
                </c:pt>
                <c:pt idx="71">
                  <c:v>8.0359837231837039E-3</c:v>
                </c:pt>
                <c:pt idx="72">
                  <c:v>8.0549944872523316E-3</c:v>
                </c:pt>
                <c:pt idx="73">
                  <c:v>8.0740048869839542E-3</c:v>
                </c:pt>
                <c:pt idx="74">
                  <c:v>8.0930149223855663E-3</c:v>
                </c:pt>
                <c:pt idx="75">
                  <c:v>8.1120245934642732E-3</c:v>
                </c:pt>
                <c:pt idx="76">
                  <c:v>8.1310339002268472E-3</c:v>
                </c:pt>
                <c:pt idx="77">
                  <c:v>8.1500428426805049E-3</c:v>
                </c:pt>
                <c:pt idx="78">
                  <c:v>8.1690514208321297E-3</c:v>
                </c:pt>
                <c:pt idx="79">
                  <c:v>8.1880596346886048E-3</c:v>
                </c:pt>
                <c:pt idx="80">
                  <c:v>8.2070674842570357E-3</c:v>
                </c:pt>
                <c:pt idx="81">
                  <c:v>8.2260749695444169E-3</c:v>
                </c:pt>
                <c:pt idx="82">
                  <c:v>8.2450820905576316E-3</c:v>
                </c:pt>
                <c:pt idx="83">
                  <c:v>8.2640888473036744E-3</c:v>
                </c:pt>
                <c:pt idx="84">
                  <c:v>8.2830952397896507E-3</c:v>
                </c:pt>
                <c:pt idx="85">
                  <c:v>8.3021012680223327E-3</c:v>
                </c:pt>
                <c:pt idx="86">
                  <c:v>8.321106932008937E-3</c:v>
                </c:pt>
                <c:pt idx="87">
                  <c:v>8.3401122317562359E-3</c:v>
                </c:pt>
                <c:pt idx="88">
                  <c:v>8.3591171672713349E-3</c:v>
                </c:pt>
                <c:pt idx="89">
                  <c:v>8.3781217385612283E-3</c:v>
                </c:pt>
                <c:pt idx="90">
                  <c:v>8.3971259456327996E-3</c:v>
                </c:pt>
                <c:pt idx="91">
                  <c:v>8.4161297884930431E-3</c:v>
                </c:pt>
                <c:pt idx="92">
                  <c:v>8.4351332671490642E-3</c:v>
                </c:pt>
                <c:pt idx="93">
                  <c:v>8.4541363816076354E-3</c:v>
                </c:pt>
                <c:pt idx="94">
                  <c:v>8.473139131875973E-3</c:v>
                </c:pt>
                <c:pt idx="95">
                  <c:v>8.4921415179608495E-3</c:v>
                </c:pt>
                <c:pt idx="96">
                  <c:v>8.5111435398693702E-3</c:v>
                </c:pt>
                <c:pt idx="97">
                  <c:v>8.5301451976084186E-3</c:v>
                </c:pt>
                <c:pt idx="98">
                  <c:v>8.5491464911851001E-3</c:v>
                </c:pt>
                <c:pt idx="99">
                  <c:v>8.568147420606298E-3</c:v>
                </c:pt>
                <c:pt idx="100">
                  <c:v>8.5871479858790067E-3</c:v>
                </c:pt>
                <c:pt idx="101">
                  <c:v>8.6061481870103318E-3</c:v>
                </c:pt>
                <c:pt idx="102">
                  <c:v>8.6251480240070455E-3</c:v>
                </c:pt>
                <c:pt idx="103">
                  <c:v>8.6441474968761423E-3</c:v>
                </c:pt>
                <c:pt idx="104">
                  <c:v>8.6631466056247275E-3</c:v>
                </c:pt>
                <c:pt idx="105">
                  <c:v>8.6821453502597956E-3</c:v>
                </c:pt>
                <c:pt idx="106">
                  <c:v>8.70114373078823E-3</c:v>
                </c:pt>
                <c:pt idx="107">
                  <c:v>8.7201417472170251E-3</c:v>
                </c:pt>
                <c:pt idx="108">
                  <c:v>8.7391393995531752E-3</c:v>
                </c:pt>
                <c:pt idx="109">
                  <c:v>8.7581366878035638E-3</c:v>
                </c:pt>
                <c:pt idx="110">
                  <c:v>8.7771336119754073E-3</c:v>
                </c:pt>
                <c:pt idx="111">
                  <c:v>8.7961301720754781E-3</c:v>
                </c:pt>
                <c:pt idx="112">
                  <c:v>8.8151263681107705E-3</c:v>
                </c:pt>
                <c:pt idx="113">
                  <c:v>8.8341222000882791E-3</c:v>
                </c:pt>
                <c:pt idx="114">
                  <c:v>8.8531176680149981E-3</c:v>
                </c:pt>
                <c:pt idx="115">
                  <c:v>8.872112771898033E-3</c:v>
                </c:pt>
                <c:pt idx="116">
                  <c:v>8.8911075117441563E-3</c:v>
                </c:pt>
                <c:pt idx="117">
                  <c:v>8.9101018875603621E-3</c:v>
                </c:pt>
                <c:pt idx="118">
                  <c:v>8.9290958993537561E-3</c:v>
                </c:pt>
                <c:pt idx="119">
                  <c:v>8.9480895471312216E-3</c:v>
                </c:pt>
                <c:pt idx="120">
                  <c:v>8.967082830899753E-3</c:v>
                </c:pt>
                <c:pt idx="121">
                  <c:v>8.9860757506663447E-3</c:v>
                </c:pt>
                <c:pt idx="122">
                  <c:v>9.0050683064379911E-3</c:v>
                </c:pt>
                <c:pt idx="123">
                  <c:v>9.0240604982216865E-3</c:v>
                </c:pt>
                <c:pt idx="124">
                  <c:v>9.0430523260243145E-3</c:v>
                </c:pt>
                <c:pt idx="125">
                  <c:v>9.0620437898528694E-3</c:v>
                </c:pt>
                <c:pt idx="126">
                  <c:v>9.0810348897143456E-3</c:v>
                </c:pt>
                <c:pt idx="127">
                  <c:v>9.1000256256157375E-3</c:v>
                </c:pt>
                <c:pt idx="128">
                  <c:v>9.1190159975640395E-3</c:v>
                </c:pt>
                <c:pt idx="129">
                  <c:v>9.138006005566135E-3</c:v>
                </c:pt>
                <c:pt idx="130">
                  <c:v>9.1569956496290184E-3</c:v>
                </c:pt>
                <c:pt idx="131">
                  <c:v>9.1759849297597951E-3</c:v>
                </c:pt>
                <c:pt idx="132">
                  <c:v>9.1949738459653485E-3</c:v>
                </c:pt>
                <c:pt idx="133">
                  <c:v>9.213962398252673E-3</c:v>
                </c:pt>
                <c:pt idx="134">
                  <c:v>9.2329505866286521E-3</c:v>
                </c:pt>
                <c:pt idx="135">
                  <c:v>9.2519384111003911E-3</c:v>
                </c:pt>
                <c:pt idx="136">
                  <c:v>9.2709258716747733E-3</c:v>
                </c:pt>
                <c:pt idx="137">
                  <c:v>9.2899129683587933E-3</c:v>
                </c:pt>
                <c:pt idx="138">
                  <c:v>9.3088997011595565E-3</c:v>
                </c:pt>
                <c:pt idx="139">
                  <c:v>9.3278860700837241E-3</c:v>
                </c:pt>
                <c:pt idx="140">
                  <c:v>9.3468720751386236E-3</c:v>
                </c:pt>
                <c:pt idx="141">
                  <c:v>9.3658577163310275E-3</c:v>
                </c:pt>
                <c:pt idx="142">
                  <c:v>9.3848429936679301E-3</c:v>
                </c:pt>
                <c:pt idx="143">
                  <c:v>9.4038279071563258E-3</c:v>
                </c:pt>
                <c:pt idx="144">
                  <c:v>9.422812456803098E-3</c:v>
                </c:pt>
                <c:pt idx="145">
                  <c:v>9.4417966426154631E-3</c:v>
                </c:pt>
                <c:pt idx="146">
                  <c:v>9.4607804646000826E-3</c:v>
                </c:pt>
                <c:pt idx="147">
                  <c:v>9.4797639227641728E-3</c:v>
                </c:pt>
                <c:pt idx="148">
                  <c:v>9.4987470171146171E-3</c:v>
                </c:pt>
                <c:pt idx="149">
                  <c:v>9.51772974765841E-3</c:v>
                </c:pt>
                <c:pt idx="150">
                  <c:v>9.5367121144025457E-3</c:v>
                </c:pt>
                <c:pt idx="151">
                  <c:v>9.5556941173537968E-3</c:v>
                </c:pt>
                <c:pt idx="152">
                  <c:v>9.5746757565193796E-3</c:v>
                </c:pt>
                <c:pt idx="153">
                  <c:v>9.5936570319061776E-3</c:v>
                </c:pt>
                <c:pt idx="154">
                  <c:v>9.6126379435211851E-3</c:v>
                </c:pt>
                <c:pt idx="155">
                  <c:v>9.6316184913713965E-3</c:v>
                </c:pt>
                <c:pt idx="156">
                  <c:v>9.6505986754635842E-3</c:v>
                </c:pt>
                <c:pt idx="157">
                  <c:v>9.6695784958049646E-3</c:v>
                </c:pt>
                <c:pt idx="158">
                  <c:v>9.6885579524024212E-3</c:v>
                </c:pt>
                <c:pt idx="159">
                  <c:v>9.7075370452629484E-3</c:v>
                </c:pt>
                <c:pt idx="160">
                  <c:v>9.7265157743934294E-3</c:v>
                </c:pt>
                <c:pt idx="161">
                  <c:v>9.7454941398009698E-3</c:v>
                </c:pt>
                <c:pt idx="162">
                  <c:v>9.7644721414924529E-3</c:v>
                </c:pt>
                <c:pt idx="163">
                  <c:v>9.7834497794747621E-3</c:v>
                </c:pt>
                <c:pt idx="164">
                  <c:v>9.8024270537551139E-3</c:v>
                </c:pt>
                <c:pt idx="165">
                  <c:v>9.8214039643401696E-3</c:v>
                </c:pt>
                <c:pt idx="166">
                  <c:v>9.8403805112371456E-3</c:v>
                </c:pt>
                <c:pt idx="167">
                  <c:v>9.8593566944530364E-3</c:v>
                </c:pt>
                <c:pt idx="168">
                  <c:v>9.8783325139945033E-3</c:v>
                </c:pt>
                <c:pt idx="169">
                  <c:v>9.8973079698688737E-3</c:v>
                </c:pt>
                <c:pt idx="170">
                  <c:v>9.9162830620829201E-3</c:v>
                </c:pt>
                <c:pt idx="171">
                  <c:v>9.9352577906436368E-3</c:v>
                </c:pt>
                <c:pt idx="172">
                  <c:v>9.9542321555580182E-3</c:v>
                </c:pt>
                <c:pt idx="173">
                  <c:v>9.9732061568330588E-3</c:v>
                </c:pt>
                <c:pt idx="174">
                  <c:v>9.9921797944756419E-3</c:v>
                </c:pt>
                <c:pt idx="175">
                  <c:v>1.0011153068492762E-2</c:v>
                </c:pt>
                <c:pt idx="176">
                  <c:v>1.0030125978891413E-2</c:v>
                </c:pt>
                <c:pt idx="177">
                  <c:v>1.0049098525678701E-2</c:v>
                </c:pt>
                <c:pt idx="178">
                  <c:v>1.0068070708861288E-2</c:v>
                </c:pt>
                <c:pt idx="179">
                  <c:v>1.0087042528446388E-2</c:v>
                </c:pt>
                <c:pt idx="180">
                  <c:v>1.0106013984440887E-2</c:v>
                </c:pt>
                <c:pt idx="181">
                  <c:v>1.0124985076851778E-2</c:v>
                </c:pt>
                <c:pt idx="182">
                  <c:v>1.0143955805686056E-2</c:v>
                </c:pt>
                <c:pt idx="183">
                  <c:v>1.0162926170950493E-2</c:v>
                </c:pt>
                <c:pt idx="184">
                  <c:v>1.0181896172652305E-2</c:v>
                </c:pt>
                <c:pt idx="185">
                  <c:v>1.0200865810798376E-2</c:v>
                </c:pt>
                <c:pt idx="186">
                  <c:v>1.0219835085395701E-2</c:v>
                </c:pt>
                <c:pt idx="187">
                  <c:v>1.0238803996451162E-2</c:v>
                </c:pt>
                <c:pt idx="188">
                  <c:v>1.0257772543971755E-2</c:v>
                </c:pt>
                <c:pt idx="189">
                  <c:v>1.0276740727964362E-2</c:v>
                </c:pt>
                <c:pt idx="190">
                  <c:v>1.02957085484362E-2</c:v>
                </c:pt>
                <c:pt idx="191">
                  <c:v>1.0314676005394041E-2</c:v>
                </c:pt>
                <c:pt idx="192">
                  <c:v>1.033364309884488E-2</c:v>
                </c:pt>
                <c:pt idx="193">
                  <c:v>1.0352609828795711E-2</c:v>
                </c:pt>
                <c:pt idx="194">
                  <c:v>1.0371576195253529E-2</c:v>
                </c:pt>
                <c:pt idx="195">
                  <c:v>1.0390542198225217E-2</c:v>
                </c:pt>
                <c:pt idx="196">
                  <c:v>1.0409507837717769E-2</c:v>
                </c:pt>
                <c:pt idx="197">
                  <c:v>1.0428473113738179E-2</c:v>
                </c:pt>
                <c:pt idx="198">
                  <c:v>1.0447438026293443E-2</c:v>
                </c:pt>
                <c:pt idx="199">
                  <c:v>1.0466402575390443E-2</c:v>
                </c:pt>
                <c:pt idx="200">
                  <c:v>1.0485366761036174E-2</c:v>
                </c:pt>
                <c:pt idx="201">
                  <c:v>1.0504330583237631E-2</c:v>
                </c:pt>
                <c:pt idx="202">
                  <c:v>1.0523294042001807E-2</c:v>
                </c:pt>
                <c:pt idx="203">
                  <c:v>1.0542257137335587E-2</c:v>
                </c:pt>
                <c:pt idx="204">
                  <c:v>1.0561219869245964E-2</c:v>
                </c:pt>
                <c:pt idx="205">
                  <c:v>1.0580182237739821E-2</c:v>
                </c:pt>
                <c:pt idx="206">
                  <c:v>1.0599144242824377E-2</c:v>
                </c:pt>
                <c:pt idx="207">
                  <c:v>1.061810588450629E-2</c:v>
                </c:pt>
                <c:pt idx="208">
                  <c:v>1.0637067162792779E-2</c:v>
                </c:pt>
                <c:pt idx="209">
                  <c:v>1.0656028077690616E-2</c:v>
                </c:pt>
                <c:pt idx="210">
                  <c:v>1.0674988629206905E-2</c:v>
                </c:pt>
                <c:pt idx="211">
                  <c:v>1.0693948817348531E-2</c:v>
                </c:pt>
                <c:pt idx="212">
                  <c:v>1.0712908642122487E-2</c:v>
                </c:pt>
                <c:pt idx="213">
                  <c:v>1.0731868103535658E-2</c:v>
                </c:pt>
                <c:pt idx="214">
                  <c:v>1.0750827201595148E-2</c:v>
                </c:pt>
                <c:pt idx="215">
                  <c:v>1.0769785936307841E-2</c:v>
                </c:pt>
                <c:pt idx="216">
                  <c:v>1.078874430768062E-2</c:v>
                </c:pt>
                <c:pt idx="217">
                  <c:v>1.0807702315720591E-2</c:v>
                </c:pt>
                <c:pt idx="218">
                  <c:v>1.0826659960434748E-2</c:v>
                </c:pt>
                <c:pt idx="219">
                  <c:v>1.0845617241829864E-2</c:v>
                </c:pt>
                <c:pt idx="220">
                  <c:v>1.0864574159913043E-2</c:v>
                </c:pt>
                <c:pt idx="221">
                  <c:v>1.0883530714691281E-2</c:v>
                </c:pt>
                <c:pt idx="222">
                  <c:v>1.0902486906171349E-2</c:v>
                </c:pt>
                <c:pt idx="223">
                  <c:v>1.0921442734360354E-2</c:v>
                </c:pt>
                <c:pt idx="224">
                  <c:v>1.0940398199265289E-2</c:v>
                </c:pt>
                <c:pt idx="225">
                  <c:v>1.0959353300893038E-2</c:v>
                </c:pt>
                <c:pt idx="226">
                  <c:v>1.0978308039250595E-2</c:v>
                </c:pt>
                <c:pt idx="227">
                  <c:v>1.0997262414344955E-2</c:v>
                </c:pt>
                <c:pt idx="228">
                  <c:v>1.1016216426183001E-2</c:v>
                </c:pt>
                <c:pt idx="229">
                  <c:v>1.1035170074771727E-2</c:v>
                </c:pt>
                <c:pt idx="230">
                  <c:v>1.1054123360118129E-2</c:v>
                </c:pt>
                <c:pt idx="231">
                  <c:v>1.1073076282229088E-2</c:v>
                </c:pt>
                <c:pt idx="232">
                  <c:v>1.1092028841111712E-2</c:v>
                </c:pt>
                <c:pt idx="233">
                  <c:v>1.1110981036772771E-2</c:v>
                </c:pt>
                <c:pt idx="234">
                  <c:v>1.1129932869219372E-2</c:v>
                </c:pt>
                <c:pt idx="235">
                  <c:v>1.1148884338458398E-2</c:v>
                </c:pt>
                <c:pt idx="236">
                  <c:v>1.1167835444496843E-2</c:v>
                </c:pt>
                <c:pt idx="237">
                  <c:v>1.1186786187341702E-2</c:v>
                </c:pt>
                <c:pt idx="238">
                  <c:v>1.1205736566999858E-2</c:v>
                </c:pt>
                <c:pt idx="239">
                  <c:v>1.1224686583478305E-2</c:v>
                </c:pt>
                <c:pt idx="240">
                  <c:v>1.1243636236784038E-2</c:v>
                </c:pt>
                <c:pt idx="241">
                  <c:v>1.1262585526924052E-2</c:v>
                </c:pt>
                <c:pt idx="242">
                  <c:v>1.1281534453905118E-2</c:v>
                </c:pt>
                <c:pt idx="243">
                  <c:v>1.1300483017734342E-2</c:v>
                </c:pt>
                <c:pt idx="244">
                  <c:v>1.1319431218418718E-2</c:v>
                </c:pt>
                <c:pt idx="245">
                  <c:v>1.1338379055965131E-2</c:v>
                </c:pt>
                <c:pt idx="246">
                  <c:v>1.1357326530380574E-2</c:v>
                </c:pt>
                <c:pt idx="247">
                  <c:v>1.1376273641672041E-2</c:v>
                </c:pt>
                <c:pt idx="248">
                  <c:v>1.1395220389846306E-2</c:v>
                </c:pt>
                <c:pt idx="249">
                  <c:v>1.1414166774910584E-2</c:v>
                </c:pt>
                <c:pt idx="250">
                  <c:v>1.1433112796871647E-2</c:v>
                </c:pt>
                <c:pt idx="251">
                  <c:v>1.1452058455736602E-2</c:v>
                </c:pt>
                <c:pt idx="252">
                  <c:v>1.1471003751512221E-2</c:v>
                </c:pt>
                <c:pt idx="253">
                  <c:v>1.1489948684205609E-2</c:v>
                </c:pt>
                <c:pt idx="254">
                  <c:v>1.150889325382376E-2</c:v>
                </c:pt>
                <c:pt idx="255">
                  <c:v>1.1527837460373447E-2</c:v>
                </c:pt>
                <c:pt idx="256">
                  <c:v>1.1546781303861775E-2</c:v>
                </c:pt>
                <c:pt idx="257">
                  <c:v>1.1565724784295628E-2</c:v>
                </c:pt>
                <c:pt idx="258">
                  <c:v>1.1584667901682111E-2</c:v>
                </c:pt>
                <c:pt idx="259">
                  <c:v>1.1603610656027996E-2</c:v>
                </c:pt>
                <c:pt idx="260">
                  <c:v>1.1622553047340278E-2</c:v>
                </c:pt>
                <c:pt idx="261">
                  <c:v>1.1641495075626063E-2</c:v>
                </c:pt>
                <c:pt idx="262">
                  <c:v>1.1660436740892122E-2</c:v>
                </c:pt>
                <c:pt idx="263">
                  <c:v>1.167937804314545E-2</c:v>
                </c:pt>
                <c:pt idx="264">
                  <c:v>1.1698318982393041E-2</c:v>
                </c:pt>
                <c:pt idx="265">
                  <c:v>1.171725955864189E-2</c:v>
                </c:pt>
                <c:pt idx="266">
                  <c:v>1.1736199771898992E-2</c:v>
                </c:pt>
                <c:pt idx="267">
                  <c:v>1.1755139622171118E-2</c:v>
                </c:pt>
                <c:pt idx="268">
                  <c:v>1.1774079109465374E-2</c:v>
                </c:pt>
                <c:pt idx="269">
                  <c:v>1.1793018233788755E-2</c:v>
                </c:pt>
                <c:pt idx="270">
                  <c:v>1.1811956995148032E-2</c:v>
                </c:pt>
                <c:pt idx="271">
                  <c:v>1.1830895393550311E-2</c:v>
                </c:pt>
                <c:pt idx="272">
                  <c:v>1.1849833429002476E-2</c:v>
                </c:pt>
                <c:pt idx="273">
                  <c:v>1.1868771101511522E-2</c:v>
                </c:pt>
                <c:pt idx="274">
                  <c:v>1.1887708411084441E-2</c:v>
                </c:pt>
                <c:pt idx="275">
                  <c:v>1.1906645357728007E-2</c:v>
                </c:pt>
                <c:pt idx="276">
                  <c:v>1.1925581941449437E-2</c:v>
                </c:pt>
                <c:pt idx="277">
                  <c:v>1.1944518162255502E-2</c:v>
                </c:pt>
                <c:pt idx="278">
                  <c:v>1.1963454020153308E-2</c:v>
                </c:pt>
                <c:pt idx="279">
                  <c:v>1.1982389515149627E-2</c:v>
                </c:pt>
                <c:pt idx="280">
                  <c:v>1.2001324647251566E-2</c:v>
                </c:pt>
                <c:pt idx="281">
                  <c:v>1.2020259416465895E-2</c:v>
                </c:pt>
                <c:pt idx="282">
                  <c:v>1.2039193822799832E-2</c:v>
                </c:pt>
                <c:pt idx="283">
                  <c:v>1.2058127866260149E-2</c:v>
                </c:pt>
                <c:pt idx="284">
                  <c:v>1.207706154685384E-2</c:v>
                </c:pt>
                <c:pt idx="285">
                  <c:v>1.2095994864587789E-2</c:v>
                </c:pt>
                <c:pt idx="286">
                  <c:v>1.2114927819469101E-2</c:v>
                </c:pt>
                <c:pt idx="287">
                  <c:v>1.213386041150466E-2</c:v>
                </c:pt>
                <c:pt idx="288">
                  <c:v>1.2152792640701349E-2</c:v>
                </c:pt>
                <c:pt idx="289">
                  <c:v>1.2171724507066273E-2</c:v>
                </c:pt>
                <c:pt idx="290">
                  <c:v>1.2190656010606205E-2</c:v>
                </c:pt>
                <c:pt idx="291">
                  <c:v>1.2209587151328249E-2</c:v>
                </c:pt>
                <c:pt idx="292">
                  <c:v>1.2228517929239291E-2</c:v>
                </c:pt>
                <c:pt idx="293">
                  <c:v>1.2247448344346323E-2</c:v>
                </c:pt>
                <c:pt idx="294">
                  <c:v>1.226637839665623E-2</c:v>
                </c:pt>
                <c:pt idx="295">
                  <c:v>1.2285308086176006E-2</c:v>
                </c:pt>
                <c:pt idx="296">
                  <c:v>1.2304237412912644E-2</c:v>
                </c:pt>
                <c:pt idx="297">
                  <c:v>1.2323166376872918E-2</c:v>
                </c:pt>
                <c:pt idx="298">
                  <c:v>1.2342094978064044E-2</c:v>
                </c:pt>
                <c:pt idx="299">
                  <c:v>1.2361023216492795E-2</c:v>
                </c:pt>
                <c:pt idx="300">
                  <c:v>1.2379951092166164E-2</c:v>
                </c:pt>
                <c:pt idx="301">
                  <c:v>1.2398878605091146E-2</c:v>
                </c:pt>
                <c:pt idx="302">
                  <c:v>1.2417805755274736E-2</c:v>
                </c:pt>
                <c:pt idx="303">
                  <c:v>1.2436732542723705E-2</c:v>
                </c:pt>
                <c:pt idx="304">
                  <c:v>1.245565896744516E-2</c:v>
                </c:pt>
                <c:pt idx="305">
                  <c:v>1.2474585029445984E-2</c:v>
                </c:pt>
                <c:pt idx="306">
                  <c:v>1.2493510728733059E-2</c:v>
                </c:pt>
                <c:pt idx="307">
                  <c:v>1.2512436065313604E-2</c:v>
                </c:pt>
                <c:pt idx="308">
                  <c:v>1.2531361039194278E-2</c:v>
                </c:pt>
                <c:pt idx="309">
                  <c:v>1.2550285650382187E-2</c:v>
                </c:pt>
                <c:pt idx="310">
                  <c:v>1.2569209898884215E-2</c:v>
                </c:pt>
                <c:pt idx="311">
                  <c:v>1.2588133784707245E-2</c:v>
                </c:pt>
                <c:pt idx="312">
                  <c:v>1.2607057307858494E-2</c:v>
                </c:pt>
                <c:pt idx="313">
                  <c:v>1.2625980468344622E-2</c:v>
                </c:pt>
                <c:pt idx="314">
                  <c:v>1.2644903266172736E-2</c:v>
                </c:pt>
                <c:pt idx="315">
                  <c:v>1.2663825701349718E-2</c:v>
                </c:pt>
                <c:pt idx="316">
                  <c:v>1.2682747773882563E-2</c:v>
                </c:pt>
                <c:pt idx="317">
                  <c:v>1.2701669483778266E-2</c:v>
                </c:pt>
                <c:pt idx="318">
                  <c:v>1.2720590831043599E-2</c:v>
                </c:pt>
                <c:pt idx="319">
                  <c:v>1.2739511815685778E-2</c:v>
                </c:pt>
                <c:pt idx="320">
                  <c:v>1.2758432437711464E-2</c:v>
                </c:pt>
                <c:pt idx="321">
                  <c:v>1.2777352697127764E-2</c:v>
                </c:pt>
                <c:pt idx="322">
                  <c:v>1.2796272593941671E-2</c:v>
                </c:pt>
                <c:pt idx="323">
                  <c:v>1.2815192128160069E-2</c:v>
                </c:pt>
                <c:pt idx="324">
                  <c:v>1.2834111299789841E-2</c:v>
                </c:pt>
                <c:pt idx="325">
                  <c:v>1.2853030108838093E-2</c:v>
                </c:pt>
                <c:pt idx="326">
                  <c:v>1.2871948555311596E-2</c:v>
                </c:pt>
                <c:pt idx="327">
                  <c:v>1.2890866639217458E-2</c:v>
                </c:pt>
                <c:pt idx="328">
                  <c:v>1.290978436056256E-2</c:v>
                </c:pt>
                <c:pt idx="329">
                  <c:v>1.2928701719353786E-2</c:v>
                </c:pt>
                <c:pt idx="330">
                  <c:v>1.2947618715598241E-2</c:v>
                </c:pt>
                <c:pt idx="331">
                  <c:v>1.2966535349302699E-2</c:v>
                </c:pt>
                <c:pt idx="332">
                  <c:v>1.2985451620474264E-2</c:v>
                </c:pt>
                <c:pt idx="333">
                  <c:v>1.3004367529119709E-2</c:v>
                </c:pt>
                <c:pt idx="334">
                  <c:v>1.3023283075246139E-2</c:v>
                </c:pt>
                <c:pt idx="335">
                  <c:v>1.3042198258860438E-2</c:v>
                </c:pt>
                <c:pt idx="336">
                  <c:v>1.3061113079969489E-2</c:v>
                </c:pt>
                <c:pt idx="337">
                  <c:v>1.3080027538580397E-2</c:v>
                </c:pt>
                <c:pt idx="338">
                  <c:v>1.3098941634700045E-2</c:v>
                </c:pt>
                <c:pt idx="339">
                  <c:v>1.3117855368335207E-2</c:v>
                </c:pt>
                <c:pt idx="340">
                  <c:v>1.3136768739493099E-2</c:v>
                </c:pt>
                <c:pt idx="341">
                  <c:v>1.3155681748180492E-2</c:v>
                </c:pt>
                <c:pt idx="342">
                  <c:v>1.3174594394404493E-2</c:v>
                </c:pt>
                <c:pt idx="343">
                  <c:v>1.3193506678171874E-2</c:v>
                </c:pt>
                <c:pt idx="344">
                  <c:v>1.3212418599489628E-2</c:v>
                </c:pt>
                <c:pt idx="345">
                  <c:v>1.3231330158364751E-2</c:v>
                </c:pt>
                <c:pt idx="346">
                  <c:v>1.3250241354804126E-2</c:v>
                </c:pt>
                <c:pt idx="347">
                  <c:v>1.3269152188814748E-2</c:v>
                </c:pt>
                <c:pt idx="348">
                  <c:v>1.328806266040361E-2</c:v>
                </c:pt>
                <c:pt idx="349">
                  <c:v>1.3306972769577596E-2</c:v>
                </c:pt>
                <c:pt idx="350">
                  <c:v>1.332588251634359E-2</c:v>
                </c:pt>
                <c:pt idx="351">
                  <c:v>1.3344791900708586E-2</c:v>
                </c:pt>
                <c:pt idx="352">
                  <c:v>1.3363700922679578E-2</c:v>
                </c:pt>
                <c:pt idx="353">
                  <c:v>1.3382609582263449E-2</c:v>
                </c:pt>
                <c:pt idx="354">
                  <c:v>1.3401517879467306E-2</c:v>
                </c:pt>
                <c:pt idx="355">
                  <c:v>1.3420425814297809E-2</c:v>
                </c:pt>
                <c:pt idx="356">
                  <c:v>1.3439333386762065E-2</c:v>
                </c:pt>
                <c:pt idx="357">
                  <c:v>1.3458240596867066E-2</c:v>
                </c:pt>
                <c:pt idx="358">
                  <c:v>1.3477147444619697E-2</c:v>
                </c:pt>
                <c:pt idx="359">
                  <c:v>1.3496053930026952E-2</c:v>
                </c:pt>
                <c:pt idx="360">
                  <c:v>1.3514960053095604E-2</c:v>
                </c:pt>
                <c:pt idx="361">
                  <c:v>1.3533865813832757E-2</c:v>
                </c:pt>
                <c:pt idx="362">
                  <c:v>1.3552771212245407E-2</c:v>
                </c:pt>
                <c:pt idx="363">
                  <c:v>1.3571676248340325E-2</c:v>
                </c:pt>
                <c:pt idx="364">
                  <c:v>1.3590580922124507E-2</c:v>
                </c:pt>
                <c:pt idx="365">
                  <c:v>1.3609485233605056E-2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2.7374222417962678E-2</c:v>
                </c:pt>
                <c:pt idx="1">
                  <c:v>2.7439472137366947E-2</c:v>
                </c:pt>
                <c:pt idx="2">
                  <c:v>2.7504717877990022E-2</c:v>
                </c:pt>
                <c:pt idx="3">
                  <c:v>2.7569953697410693E-2</c:v>
                </c:pt>
                <c:pt idx="4">
                  <c:v>2.7635174424672174E-2</c:v>
                </c:pt>
                <c:pt idx="5">
                  <c:v>2.7700375643298462E-2</c:v>
                </c:pt>
                <c:pt idx="6">
                  <c:v>2.7765553667787289E-2</c:v>
                </c:pt>
                <c:pt idx="7">
                  <c:v>2.7830705514011386E-2</c:v>
                </c:pt>
                <c:pt idx="8">
                  <c:v>2.789582886400966E-2</c:v>
                </c:pt>
                <c:pt idx="9">
                  <c:v>2.7960922025694369E-2</c:v>
                </c:pt>
                <c:pt idx="10">
                  <c:v>2.8025983888039483E-2</c:v>
                </c:pt>
                <c:pt idx="11">
                  <c:v>2.8091013872347942E-2</c:v>
                </c:pt>
                <c:pt idx="12">
                  <c:v>2.8156011880222345E-2</c:v>
                </c:pt>
                <c:pt idx="13">
                  <c:v>2.82209782388834E-2</c:v>
                </c:pt>
                <c:pt idx="14">
                  <c:v>2.8285913644493815E-2</c:v>
                </c:pt>
                <c:pt idx="15">
                  <c:v>2.8350819104152263E-2</c:v>
                </c:pt>
                <c:pt idx="16">
                  <c:v>2.8415695877221609E-2</c:v>
                </c:pt>
                <c:pt idx="17">
                  <c:v>2.8480545416649603E-2</c:v>
                </c:pt>
                <c:pt idx="18">
                  <c:v>2.8545369310926876E-2</c:v>
                </c:pt>
                <c:pt idx="19">
                  <c:v>2.861016922730782E-2</c:v>
                </c:pt>
                <c:pt idx="20">
                  <c:v>2.8674946856895228E-2</c:v>
                </c:pt>
                <c:pt idx="21">
                  <c:v>2.8739703862158125E-2</c:v>
                </c:pt>
                <c:pt idx="22">
                  <c:v>2.8804441827416687E-2</c:v>
                </c:pt>
                <c:pt idx="23">
                  <c:v>2.8869162212787392E-2</c:v>
                </c:pt>
                <c:pt idx="24">
                  <c:v>2.8933866312035709E-2</c:v>
                </c:pt>
                <c:pt idx="25">
                  <c:v>2.8998555214735652E-2</c:v>
                </c:pt>
                <c:pt idx="26">
                  <c:v>2.9063229773082611E-2</c:v>
                </c:pt>
                <c:pt idx="27">
                  <c:v>2.9127890573651102E-2</c:v>
                </c:pt>
                <c:pt idx="28">
                  <c:v>2.9192537914332666E-2</c:v>
                </c:pt>
                <c:pt idx="29">
                  <c:v>2.9257171786629888E-2</c:v>
                </c:pt>
                <c:pt idx="30">
                  <c:v>2.9321791863424113E-2</c:v>
                </c:pt>
                <c:pt idx="31">
                  <c:v>2.9386397492274313E-2</c:v>
                </c:pt>
                <c:pt idx="32">
                  <c:v>2.9450987694246158E-2</c:v>
                </c:pt>
                <c:pt idx="33">
                  <c:v>2.9515561168211694E-2</c:v>
                </c:pt>
                <c:pt idx="34">
                  <c:v>2.9580116300504059E-2</c:v>
                </c:pt>
                <c:pt idx="35">
                  <c:v>2.9644651179757484E-2</c:v>
                </c:pt>
                <c:pt idx="36">
                  <c:v>2.9709163616710756E-2</c:v>
                </c:pt>
                <c:pt idx="37">
                  <c:v>2.9773651168704653E-2</c:v>
                </c:pt>
                <c:pt idx="38">
                  <c:v>2.9838111168558824E-2</c:v>
                </c:pt>
                <c:pt idx="39">
                  <c:v>2.9902540757472836E-2</c:v>
                </c:pt>
                <c:pt idx="40">
                  <c:v>2.996693692156057E-2</c:v>
                </c:pt>
                <c:pt idx="41">
                  <c:v>3.0031296531594968E-2</c:v>
                </c:pt>
                <c:pt idx="42">
                  <c:v>3.0095616385514206E-2</c:v>
                </c:pt>
                <c:pt idx="43">
                  <c:v>3.0159893253219234E-2</c:v>
                </c:pt>
                <c:pt idx="44">
                  <c:v>3.0224123923176169E-2</c:v>
                </c:pt>
                <c:pt idx="45">
                  <c:v>3.0288305250327382E-2</c:v>
                </c:pt>
                <c:pt idx="46">
                  <c:v>3.0352434204809264E-2</c:v>
                </c:pt>
                <c:pt idx="47">
                  <c:v>3.0416507920975795E-2</c:v>
                </c:pt>
                <c:pt idx="48">
                  <c:v>3.0480523746232013E-2</c:v>
                </c:pt>
                <c:pt idx="49">
                  <c:v>3.0544479289192801E-2</c:v>
                </c:pt>
                <c:pt idx="50">
                  <c:v>3.0608372466697707E-2</c:v>
                </c:pt>
                <c:pt idx="51">
                  <c:v>3.0672201549233113E-2</c:v>
                </c:pt>
                <c:pt idx="52">
                  <c:v>3.0735965204337613E-2</c:v>
                </c:pt>
                <c:pt idx="53">
                  <c:v>3.0799662537595279E-2</c:v>
                </c:pt>
                <c:pt idx="54">
                  <c:v>3.0863293130853429E-2</c:v>
                </c:pt>
                <c:pt idx="55">
                  <c:v>3.0926857077337333E-2</c:v>
                </c:pt>
                <c:pt idx="56">
                  <c:v>3.099035501337187E-2</c:v>
                </c:pt>
                <c:pt idx="57">
                  <c:v>3.1053788146460995E-2</c:v>
                </c:pt>
                <c:pt idx="58">
                  <c:v>3.1117158279517252E-2</c:v>
                </c:pt>
                <c:pt idx="59">
                  <c:v>3.1180467831077148E-2</c:v>
                </c:pt>
                <c:pt idx="60">
                  <c:v>3.1243719851381947E-2</c:v>
                </c:pt>
                <c:pt idx="61">
                  <c:v>3.130691803424715E-2</c:v>
                </c:pt>
                <c:pt idx="62">
                  <c:v>3.1370066724687756E-2</c:v>
                </c:pt>
                <c:pt idx="63">
                  <c:v>3.1433170922309066E-2</c:v>
                </c:pt>
                <c:pt idx="64">
                  <c:v>3.1496236280513908E-2</c:v>
                </c:pt>
                <c:pt idx="65">
                  <c:v>3.1559269101616903E-2</c:v>
                </c:pt>
                <c:pt idx="66">
                  <c:v>3.1622276327993443E-2</c:v>
                </c:pt>
                <c:pt idx="67">
                  <c:v>3.1685265529425737E-2</c:v>
                </c:pt>
                <c:pt idx="68">
                  <c:v>3.1748244886839715E-2</c:v>
                </c:pt>
                <c:pt idx="69">
                  <c:v>3.181122317265489E-2</c:v>
                </c:pt>
                <c:pt idx="70">
                  <c:v>3.1874209727993812E-2</c:v>
                </c:pt>
                <c:pt idx="71">
                  <c:v>3.193721443701851E-2</c:v>
                </c:pt>
                <c:pt idx="72">
                  <c:v>3.2000247698677924E-2</c:v>
                </c:pt>
                <c:pt idx="73">
                  <c:v>3.2063320396163247E-2</c:v>
                </c:pt>
                <c:pt idx="74">
                  <c:v>3.2126443864376047E-2</c:v>
                </c:pt>
                <c:pt idx="75">
                  <c:v>3.21896298557185E-2</c:v>
                </c:pt>
                <c:pt idx="76">
                  <c:v>3.225289050451513E-2</c:v>
                </c:pt>
                <c:pt idx="77">
                  <c:v>3.2316238290370815E-2</c:v>
                </c:pt>
                <c:pt idx="78">
                  <c:v>3.2379686000762589E-2</c:v>
                </c:pt>
                <c:pt idx="79">
                  <c:v>3.2443246693150046E-2</c:v>
                </c:pt>
                <c:pt idx="80">
                  <c:v>3.250693365687473E-2</c:v>
                </c:pt>
                <c:pt idx="81">
                  <c:v>3.2570760375099636E-2</c:v>
                </c:pt>
                <c:pt idx="82">
                  <c:v>3.263474048701881E-2</c:v>
                </c:pt>
                <c:pt idx="83">
                  <c:v>3.2698887750543186E-2</c:v>
                </c:pt>
                <c:pt idx="84">
                  <c:v>3.2763216005642283E-2</c:v>
                </c:pt>
                <c:pt idx="85">
                  <c:v>3.2827739138493801E-2</c:v>
                </c:pt>
                <c:pt idx="86">
                  <c:v>3.2892471046563794E-2</c:v>
                </c:pt>
                <c:pt idx="87">
                  <c:v>3.2957425604710038E-2</c:v>
                </c:pt>
                <c:pt idx="88">
                  <c:v>3.3022616632371049E-2</c:v>
                </c:pt>
                <c:pt idx="89">
                  <c:v>3.3088057861872404E-2</c:v>
                </c:pt>
                <c:pt idx="90">
                  <c:v>3.3153762907852491E-2</c:v>
                </c:pt>
                <c:pt idx="91">
                  <c:v>3.3219745237781026E-2</c:v>
                </c:pt>
                <c:pt idx="92">
                  <c:v>3.3286018143515901E-2</c:v>
                </c:pt>
                <c:pt idx="93">
                  <c:v>3.3352594713818885E-2</c:v>
                </c:pt>
                <c:pt idx="94">
                  <c:v>3.3419487807726841E-2</c:v>
                </c:pt>
                <c:pt idx="95">
                  <c:v>3.3486710028654935E-2</c:v>
                </c:pt>
                <c:pt idx="96">
                  <c:v>3.3554273699090038E-2</c:v>
                </c:pt>
                <c:pt idx="97">
                  <c:v>3.3622190835718407E-2</c:v>
                </c:pt>
                <c:pt idx="98">
                  <c:v>3.369047312482043E-2</c:v>
                </c:pt>
                <c:pt idx="99">
                  <c:v>3.3759131897757796E-2</c:v>
                </c:pt>
                <c:pt idx="100">
                  <c:v>3.3828178106375201E-2</c:v>
                </c:pt>
                <c:pt idx="101">
                  <c:v>3.3897622298138419E-2</c:v>
                </c:pt>
                <c:pt idx="102">
                  <c:v>3.3967474590835836E-2</c:v>
                </c:pt>
                <c:pt idx="103">
                  <c:v>3.40377446466779E-2</c:v>
                </c:pt>
                <c:pt idx="104">
                  <c:v>3.4108441645641745E-2</c:v>
                </c:pt>
                <c:pt idx="105">
                  <c:v>3.4179574257924152E-2</c:v>
                </c:pt>
                <c:pt idx="106">
                  <c:v>3.425115061538523E-2</c:v>
                </c:pt>
                <c:pt idx="107">
                  <c:v>3.4323178281889008E-2</c:v>
                </c:pt>
                <c:pt idx="108">
                  <c:v>3.4395664222472269E-2</c:v>
                </c:pt>
                <c:pt idx="109">
                  <c:v>3.446861477130278E-2</c:v>
                </c:pt>
                <c:pt idx="110">
                  <c:v>3.454203559841898E-2</c:v>
                </c:pt>
                <c:pt idx="111">
                  <c:v>3.4615931675276837E-2</c:v>
                </c:pt>
                <c:pt idx="112">
                  <c:v>3.4690307239164699E-2</c:v>
                </c:pt>
                <c:pt idx="113">
                  <c:v>3.4765165756583137E-2</c:v>
                </c:pt>
                <c:pt idx="114">
                  <c:v>3.4840509885723743E-2</c:v>
                </c:pt>
                <c:pt idx="115">
                  <c:v>3.4916341438218111E-2</c:v>
                </c:pt>
                <c:pt idx="116">
                  <c:v>3.4992661340364752E-2</c:v>
                </c:pt>
                <c:pt idx="117">
                  <c:v>3.5069469594078105E-2</c:v>
                </c:pt>
                <c:pt idx="118">
                  <c:v>3.5146765237837531E-2</c:v>
                </c:pt>
                <c:pt idx="119">
                  <c:v>3.5224546307947996E-2</c:v>
                </c:pt>
                <c:pt idx="120">
                  <c:v>3.5302809800453354E-2</c:v>
                </c:pt>
                <c:pt idx="121">
                  <c:v>3.5381551634071258E-2</c:v>
                </c:pt>
                <c:pt idx="122">
                  <c:v>3.5460766614542429E-2</c:v>
                </c:pt>
                <c:pt idx="123">
                  <c:v>3.5540448400807716E-2</c:v>
                </c:pt>
                <c:pt idx="124">
                  <c:v>3.5620589473442092E-2</c:v>
                </c:pt>
                <c:pt idx="125">
                  <c:v>3.5701181105786794E-2</c:v>
                </c:pt>
                <c:pt idx="126">
                  <c:v>3.5782213338227911E-2</c:v>
                </c:pt>
                <c:pt idx="127">
                  <c:v>3.5863674956070825E-2</c:v>
                </c:pt>
                <c:pt idx="128">
                  <c:v>3.5945553471457538E-2</c:v>
                </c:pt>
                <c:pt idx="129">
                  <c:v>3.6027835109764698E-2</c:v>
                </c:pt>
                <c:pt idx="130">
                  <c:v>3.6110504800905795E-2</c:v>
                </c:pt>
                <c:pt idx="131">
                  <c:v>3.6193546175942046E-2</c:v>
                </c:pt>
                <c:pt idx="132">
                  <c:v>3.6276941569380702E-2</c:v>
                </c:pt>
                <c:pt idx="133">
                  <c:v>3.6360672027510171E-2</c:v>
                </c:pt>
                <c:pt idx="134">
                  <c:v>3.6444717323084588E-2</c:v>
                </c:pt>
                <c:pt idx="135">
                  <c:v>3.6529055976631815E-2</c:v>
                </c:pt>
                <c:pt idx="136">
                  <c:v>3.6613665284612545E-2</c:v>
                </c:pt>
                <c:pt idx="137">
                  <c:v>3.6698521354609943E-2</c:v>
                </c:pt>
                <c:pt idx="138">
                  <c:v>3.6783599147675962E-2</c:v>
                </c:pt>
                <c:pt idx="139">
                  <c:v>3.6868872527904675E-2</c:v>
                </c:pt>
                <c:pt idx="140">
                  <c:v>3.6954314319243224E-2</c:v>
                </c:pt>
                <c:pt idx="141">
                  <c:v>3.7039896369490205E-2</c:v>
                </c:pt>
                <c:pt idx="142">
                  <c:v>3.7125589621368138E-2</c:v>
                </c:pt>
                <c:pt idx="143">
                  <c:v>3.7211364190492348E-2</c:v>
                </c:pt>
                <c:pt idx="144">
                  <c:v>3.7297189449994099E-2</c:v>
                </c:pt>
                <c:pt idx="145">
                  <c:v>3.7383034121491868E-2</c:v>
                </c:pt>
                <c:pt idx="146">
                  <c:v>3.7468866372040555E-2</c:v>
                </c:pt>
                <c:pt idx="147">
                  <c:v>3.7554653916627156E-2</c:v>
                </c:pt>
                <c:pt idx="148">
                  <c:v>3.7640364125721616E-2</c:v>
                </c:pt>
                <c:pt idx="149">
                  <c:v>3.772596413733461E-2</c:v>
                </c:pt>
                <c:pt idx="150">
                  <c:v>3.781142097298134E-2</c:v>
                </c:pt>
                <c:pt idx="151">
                  <c:v>3.7896701656900879E-2</c:v>
                </c:pt>
                <c:pt idx="152">
                  <c:v>3.7981773337836491E-2</c:v>
                </c:pt>
                <c:pt idx="153">
                  <c:v>3.8066603412643521E-2</c:v>
                </c:pt>
                <c:pt idx="154">
                  <c:v>3.8151159650957625E-2</c:v>
                </c:pt>
                <c:pt idx="155">
                  <c:v>3.8235410320129469E-2</c:v>
                </c:pt>
                <c:pt idx="156">
                  <c:v>3.8319324309611331E-2</c:v>
                </c:pt>
                <c:pt idx="157">
                  <c:v>3.8402871253967193E-2</c:v>
                </c:pt>
                <c:pt idx="158">
                  <c:v>3.8486021653671744E-2</c:v>
                </c:pt>
                <c:pt idx="159">
                  <c:v>3.8568746992864444E-2</c:v>
                </c:pt>
                <c:pt idx="160">
                  <c:v>3.8651019853232757E-2</c:v>
                </c:pt>
                <c:pt idx="161">
                  <c:v>3.8732814023215156E-2</c:v>
                </c:pt>
                <c:pt idx="162">
                  <c:v>3.88141046017366E-2</c:v>
                </c:pt>
                <c:pt idx="163">
                  <c:v>3.8894868095721104E-2</c:v>
                </c:pt>
                <c:pt idx="164">
                  <c:v>3.8975082510662208E-2</c:v>
                </c:pt>
                <c:pt idx="165">
                  <c:v>3.9054727433577886E-2</c:v>
                </c:pt>
                <c:pt idx="166">
                  <c:v>3.9133784107726673E-2</c:v>
                </c:pt>
                <c:pt idx="167">
                  <c:v>3.9212235498519335E-2</c:v>
                </c:pt>
                <c:pt idx="168">
                  <c:v>3.9290066350123186E-2</c:v>
                </c:pt>
                <c:pt idx="169">
                  <c:v>3.9367263232323847E-2</c:v>
                </c:pt>
                <c:pt idx="170">
                  <c:v>3.944381457728189E-2</c:v>
                </c:pt>
                <c:pt idx="171">
                  <c:v>3.9519710705897784E-2</c:v>
                </c:pt>
                <c:pt idx="172">
                  <c:v>3.9594943843578354E-2</c:v>
                </c:pt>
                <c:pt idx="173">
                  <c:v>3.966950812527948E-2</c:v>
                </c:pt>
                <c:pt idx="174">
                  <c:v>3.9743399589783547E-2</c:v>
                </c:pt>
                <c:pt idx="175">
                  <c:v>3.9816616163254354E-2</c:v>
                </c:pt>
                <c:pt idx="176">
                  <c:v>3.9889157632196963E-2</c:v>
                </c:pt>
                <c:pt idx="177">
                  <c:v>3.9961025606033582E-2</c:v>
                </c:pt>
                <c:pt idx="178">
                  <c:v>4.0032223469588957E-2</c:v>
                </c:pt>
                <c:pt idx="179">
                  <c:v>4.010275632585867E-2</c:v>
                </c:pt>
                <c:pt idx="180">
                  <c:v>4.0172630929510525E-2</c:v>
                </c:pt>
                <c:pt idx="181">
                  <c:v>4.0241855611642494E-2</c:v>
                </c:pt>
                <c:pt idx="182">
                  <c:v>4.0310440196388853E-2</c:v>
                </c:pt>
                <c:pt idx="183">
                  <c:v>4.0378395910029383E-2</c:v>
                </c:pt>
                <c:pt idx="184">
                  <c:v>4.0445735283314209E-2</c:v>
                </c:pt>
                <c:pt idx="185">
                  <c:v>4.0512472047767117E-2</c:v>
                </c:pt>
                <c:pt idx="186">
                  <c:v>4.0578621026774855E-2</c:v>
                </c:pt>
                <c:pt idx="187">
                  <c:v>4.0644198022305907E-2</c:v>
                </c:pt>
                <c:pt idx="188">
                  <c:v>4.0709219698131335E-2</c:v>
                </c:pt>
                <c:pt idx="189">
                  <c:v>4.0773703460441055E-2</c:v>
                </c:pt>
                <c:pt idx="190">
                  <c:v>4.0837667336761252E-2</c:v>
                </c:pt>
                <c:pt idx="191">
                  <c:v>4.0901129854082938E-2</c:v>
                </c:pt>
                <c:pt idx="192">
                  <c:v>4.0964109917107097E-2</c:v>
                </c:pt>
                <c:pt idx="193">
                  <c:v>4.1026626687499672E-2</c:v>
                </c:pt>
                <c:pt idx="194">
                  <c:v>4.1088699465028078E-2</c:v>
                </c:pt>
                <c:pt idx="195">
                  <c:v>4.1150347571422427E-2</c:v>
                </c:pt>
                <c:pt idx="196">
                  <c:v>4.1211590237767735E-2</c:v>
                </c:pt>
                <c:pt idx="197">
                  <c:v>4.1272446496189559E-2</c:v>
                </c:pt>
                <c:pt idx="198">
                  <c:v>4.1332935076544002E-2</c:v>
                </c:pt>
                <c:pt idx="199">
                  <c:v>4.1393074308766514E-2</c:v>
                </c:pt>
                <c:pt idx="200">
                  <c:v>4.1452882031469906E-2</c:v>
                </c:pt>
                <c:pt idx="201">
                  <c:v>4.1512375507314576E-2</c:v>
                </c:pt>
                <c:pt idx="202">
                  <c:v>4.1571571345600515E-2</c:v>
                </c:pt>
                <c:pt idx="203">
                  <c:v>4.1630485432455205E-2</c:v>
                </c:pt>
                <c:pt idx="204">
                  <c:v>4.168913286891137E-2</c:v>
                </c:pt>
                <c:pt idx="205">
                  <c:v>4.1747527917088377E-2</c:v>
                </c:pt>
                <c:pt idx="206">
                  <c:v>4.180568395460775E-2</c:v>
                </c:pt>
                <c:pt idx="207">
                  <c:v>4.1863613437291343E-2</c:v>
                </c:pt>
                <c:pt idx="208">
                  <c:v>4.1921327870108008E-2</c:v>
                </c:pt>
                <c:pt idx="209">
                  <c:v>4.1978837786254213E-2</c:v>
                </c:pt>
                <c:pt idx="210">
                  <c:v>4.2036152734175325E-2</c:v>
                </c:pt>
                <c:pt idx="211">
                  <c:v>4.2093281272259239E-2</c:v>
                </c:pt>
                <c:pt idx="212">
                  <c:v>4.2150230970862117E-2</c:v>
                </c:pt>
                <c:pt idx="213">
                  <c:v>4.2207008421259358E-2</c:v>
                </c:pt>
                <c:pt idx="214">
                  <c:v>4.2263619251053701E-2</c:v>
                </c:pt>
                <c:pt idx="215">
                  <c:v>4.2320068145515893E-2</c:v>
                </c:pt>
                <c:pt idx="216">
                  <c:v>4.2376358874285598E-2</c:v>
                </c:pt>
                <c:pt idx="217">
                  <c:v>4.2432494322817454E-2</c:v>
                </c:pt>
                <c:pt idx="218">
                  <c:v>4.2488476527923029E-2</c:v>
                </c:pt>
                <c:pt idx="219">
                  <c:v>4.2544306716733343E-2</c:v>
                </c:pt>
                <c:pt idx="220">
                  <c:v>4.2599985348387617E-2</c:v>
                </c:pt>
                <c:pt idx="221">
                  <c:v>4.2655512157744623E-2</c:v>
                </c:pt>
                <c:pt idx="222">
                  <c:v>4.2710886200410782E-2</c:v>
                </c:pt>
                <c:pt idx="223">
                  <c:v>4.2766105898386593E-2</c:v>
                </c:pt>
                <c:pt idx="224">
                  <c:v>4.2821169085647745E-2</c:v>
                </c:pt>
                <c:pt idx="225">
                  <c:v>4.2876073053000785E-2</c:v>
                </c:pt>
                <c:pt idx="226">
                  <c:v>4.2930814591584265E-2</c:v>
                </c:pt>
                <c:pt idx="227">
                  <c:v>4.2985390034425433E-2</c:v>
                </c:pt>
                <c:pt idx="228">
                  <c:v>4.3039795295507548E-2</c:v>
                </c:pt>
                <c:pt idx="229">
                  <c:v>4.309402590585594E-2</c:v>
                </c:pt>
                <c:pt idx="230">
                  <c:v>4.3148077046208731E-2</c:v>
                </c:pt>
                <c:pt idx="231">
                  <c:v>4.3201943575901777E-2</c:v>
                </c:pt>
                <c:pt idx="232">
                  <c:v>4.3255620057665325E-2</c:v>
                </c:pt>
                <c:pt idx="233">
                  <c:v>4.3309100778101704E-2</c:v>
                </c:pt>
                <c:pt idx="234">
                  <c:v>4.3362379763688078E-2</c:v>
                </c:pt>
                <c:pt idx="235">
                  <c:v>4.3415450792224551E-2</c:v>
                </c:pt>
                <c:pt idx="236">
                  <c:v>4.346830739972668E-2</c:v>
                </c:pt>
                <c:pt idx="237">
                  <c:v>4.3520942882838372E-2</c:v>
                </c:pt>
                <c:pt idx="238">
                  <c:v>4.3573350296919493E-2</c:v>
                </c:pt>
                <c:pt idx="239">
                  <c:v>4.36255224500375E-2</c:v>
                </c:pt>
                <c:pt idx="240">
                  <c:v>4.367745189316645E-2</c:v>
                </c:pt>
                <c:pt idx="241">
                  <c:v>4.3729130906965605E-2</c:v>
                </c:pt>
                <c:pt idx="242">
                  <c:v>4.3780551485576392E-2</c:v>
                </c:pt>
                <c:pt idx="243">
                  <c:v>4.3831705317936072E-2</c:v>
                </c:pt>
                <c:pt idx="244">
                  <c:v>4.3882583767161948E-2</c:v>
                </c:pt>
                <c:pt idx="245">
                  <c:v>4.3933177848607174E-2</c:v>
                </c:pt>
                <c:pt idx="246">
                  <c:v>4.3983478207230906E-2</c:v>
                </c:pt>
                <c:pt idx="247">
                  <c:v>4.4033475094958217E-2</c:v>
                </c:pt>
                <c:pt idx="248">
                  <c:v>4.4083158348730285E-2</c:v>
                </c:pt>
                <c:pt idx="249">
                  <c:v>4.4132517369961523E-2</c:v>
                </c:pt>
                <c:pt idx="250">
                  <c:v>4.4181541106128167E-2</c:v>
                </c:pt>
                <c:pt idx="251">
                  <c:v>4.4230218035210468E-2</c:v>
                </c:pt>
                <c:pt idx="252">
                  <c:v>4.4278536153699928E-2</c:v>
                </c:pt>
                <c:pt idx="253">
                  <c:v>4.4326482968863053E-2</c:v>
                </c:pt>
                <c:pt idx="254">
                  <c:v>4.4374045495923109E-2</c:v>
                </c:pt>
                <c:pt idx="255">
                  <c:v>4.4421210260783613E-2</c:v>
                </c:pt>
                <c:pt idx="256">
                  <c:v>4.4467963308869936E-2</c:v>
                </c:pt>
                <c:pt idx="257">
                  <c:v>4.4514290220610368E-2</c:v>
                </c:pt>
                <c:pt idx="258">
                  <c:v>4.4560176134014598E-2</c:v>
                </c:pt>
                <c:pt idx="259">
                  <c:v>4.4605605774738009E-2</c:v>
                </c:pt>
                <c:pt idx="260">
                  <c:v>4.4650563493942676E-2</c:v>
                </c:pt>
                <c:pt idx="261">
                  <c:v>4.4695033314184222E-2</c:v>
                </c:pt>
                <c:pt idx="262">
                  <c:v>4.4738998983465554E-2</c:v>
                </c:pt>
                <c:pt idx="263">
                  <c:v>4.478244403750737E-2</c:v>
                </c:pt>
                <c:pt idx="264">
                  <c:v>4.4825351870190738E-2</c:v>
                </c:pt>
                <c:pt idx="265">
                  <c:v>4.4867705812029673E-2</c:v>
                </c:pt>
                <c:pt idx="266">
                  <c:v>4.4909489216434353E-2</c:v>
                </c:pt>
                <c:pt idx="267">
                  <c:v>4.4950685553426933E-2</c:v>
                </c:pt>
                <c:pt idx="268">
                  <c:v>4.4991278510375113E-2</c:v>
                </c:pt>
                <c:pt idx="269">
                  <c:v>4.5031252099213548E-2</c:v>
                </c:pt>
                <c:pt idx="270">
                  <c:v>4.5070590769530711E-2</c:v>
                </c:pt>
                <c:pt idx="271">
                  <c:v>4.510927952681134E-2</c:v>
                </c:pt>
                <c:pt idx="272">
                  <c:v>4.5147304055041422E-2</c:v>
                </c:pt>
                <c:pt idx="273">
                  <c:v>4.5184650842805832E-2</c:v>
                </c:pt>
                <c:pt idx="274">
                  <c:v>4.5221307311939241E-2</c:v>
                </c:pt>
                <c:pt idx="275">
                  <c:v>4.5257261947728403E-2</c:v>
                </c:pt>
                <c:pt idx="276">
                  <c:v>4.529250442961065E-2</c:v>
                </c:pt>
                <c:pt idx="277">
                  <c:v>4.5327025761269769E-2</c:v>
                </c:pt>
                <c:pt idx="278">
                  <c:v>4.5360818398995167E-2</c:v>
                </c:pt>
                <c:pt idx="279">
                  <c:v>4.5393876377147757E-2</c:v>
                </c:pt>
                <c:pt idx="280">
                  <c:v>4.5426195429561798E-2</c:v>
                </c:pt>
                <c:pt idx="281">
                  <c:v>4.5457773105711211E-2</c:v>
                </c:pt>
                <c:pt idx="282">
                  <c:v>4.5488608880477656E-2</c:v>
                </c:pt>
                <c:pt idx="283">
                  <c:v>4.5518704256379418E-2</c:v>
                </c:pt>
                <c:pt idx="284">
                  <c:v>4.5548062857152245E-2</c:v>
                </c:pt>
                <c:pt idx="285">
                  <c:v>4.5576690511617092E-2</c:v>
                </c:pt>
                <c:pt idx="286">
                  <c:v>4.5604595326825086E-2</c:v>
                </c:pt>
                <c:pt idx="287">
                  <c:v>4.5631787749534844E-2</c:v>
                </c:pt>
                <c:pt idx="288">
                  <c:v>4.5658280615153764E-2</c:v>
                </c:pt>
                <c:pt idx="289">
                  <c:v>4.5684089183359873E-2</c:v>
                </c:pt>
                <c:pt idx="290">
                  <c:v>4.5709231159715251E-2</c:v>
                </c:pt>
                <c:pt idx="291">
                  <c:v>4.5733726702684795E-2</c:v>
                </c:pt>
                <c:pt idx="292">
                  <c:v>4.5757598415583252E-2</c:v>
                </c:pt>
                <c:pt idx="293">
                  <c:v>4.5780871323090576E-2</c:v>
                </c:pt>
                <c:pt idx="294">
                  <c:v>4.5803572832095969E-2</c:v>
                </c:pt>
                <c:pt idx="295">
                  <c:v>4.5825732676757658E-2</c:v>
                </c:pt>
                <c:pt idx="296">
                  <c:v>4.5847382847793466E-2</c:v>
                </c:pt>
                <c:pt idx="297">
                  <c:v>4.5868557506148523E-2</c:v>
                </c:pt>
                <c:pt idx="298">
                  <c:v>4.5889292881317274E-2</c:v>
                </c:pt>
                <c:pt idx="299">
                  <c:v>4.590962715472853E-2</c:v>
                </c:pt>
                <c:pt idx="300">
                  <c:v>4.5929600328730842E-2</c:v>
                </c:pt>
                <c:pt idx="301">
                  <c:v>4.594925408184198E-2</c:v>
                </c:pt>
                <c:pt idx="302">
                  <c:v>4.5968631611048229E-2</c:v>
                </c:pt>
                <c:pt idx="303">
                  <c:v>4.5987777462056047E-2</c:v>
                </c:pt>
                <c:pt idx="304">
                  <c:v>4.6006737348508693E-2</c:v>
                </c:pt>
                <c:pt idx="305">
                  <c:v>4.6025557961282722E-2</c:v>
                </c:pt>
                <c:pt idx="306">
                  <c:v>4.604428676907444E-2</c:v>
                </c:pt>
                <c:pt idx="307">
                  <c:v>4.6062971811569556E-2</c:v>
                </c:pt>
                <c:pt idx="308">
                  <c:v>4.6081661486564542E-2</c:v>
                </c:pt>
                <c:pt idx="309">
                  <c:v>4.6100404332470993E-2</c:v>
                </c:pt>
                <c:pt idx="310">
                  <c:v>4.6119248807685295E-2</c:v>
                </c:pt>
                <c:pt idx="311">
                  <c:v>4.6138243068345464E-2</c:v>
                </c:pt>
                <c:pt idx="312">
                  <c:v>4.6157434746022769E-2</c:v>
                </c:pt>
                <c:pt idx="313">
                  <c:v>4.6176870726908972E-2</c:v>
                </c:pt>
                <c:pt idx="314">
                  <c:v>4.6196596934060183E-2</c:v>
                </c:pt>
                <c:pt idx="315">
                  <c:v>4.6216658114244247E-2</c:v>
                </c:pt>
                <c:pt idx="316">
                  <c:v>4.6237097630912188E-2</c:v>
                </c:pt>
                <c:pt idx="317">
                  <c:v>4.6257957264774198E-2</c:v>
                </c:pt>
                <c:pt idx="318">
                  <c:v>4.6279277023407582E-2</c:v>
                </c:pt>
                <c:pt idx="319">
                  <c:v>4.6301094961259344E-2</c:v>
                </c:pt>
                <c:pt idx="320">
                  <c:v>4.632344701132865E-2</c:v>
                </c:pt>
                <c:pt idx="321">
                  <c:v>4.6346366829726413E-2</c:v>
                </c:pt>
                <c:pt idx="322">
                  <c:v>4.6369885654210415E-2</c:v>
                </c:pt>
                <c:pt idx="323">
                  <c:v>4.6394032177686124E-2</c:v>
                </c:pt>
                <c:pt idx="324">
                  <c:v>4.6418832437546582E-2</c:v>
                </c:pt>
                <c:pt idx="325">
                  <c:v>4.6444309721600283E-2</c:v>
                </c:pt>
                <c:pt idx="326">
                  <c:v>4.647048449120459E-2</c:v>
                </c:pt>
                <c:pt idx="327">
                  <c:v>4.6497374322086803E-2</c:v>
                </c:pt>
                <c:pt idx="328">
                  <c:v>4.6524993863193732E-2</c:v>
                </c:pt>
                <c:pt idx="329">
                  <c:v>4.6553354813768169E-2</c:v>
                </c:pt>
                <c:pt idx="330">
                  <c:v>4.6582465918705601E-2</c:v>
                </c:pt>
                <c:pt idx="331">
                  <c:v>4.6612332982099693E-2</c:v>
                </c:pt>
                <c:pt idx="332">
                  <c:v>4.6642958898741295E-2</c:v>
                </c:pt>
                <c:pt idx="333">
                  <c:v>4.6674343703194086E-2</c:v>
                </c:pt>
                <c:pt idx="334">
                  <c:v>4.6706484635932216E-2</c:v>
                </c:pt>
                <c:pt idx="335">
                  <c:v>4.673937622589254E-2</c:v>
                </c:pt>
                <c:pt idx="336">
                  <c:v>4.6773010388666783E-2</c:v>
                </c:pt>
                <c:pt idx="337">
                  <c:v>4.6807376539439539E-2</c:v>
                </c:pt>
                <c:pt idx="338">
                  <c:v>4.6842461719666703E-2</c:v>
                </c:pt>
                <c:pt idx="339">
                  <c:v>4.6878250736386143E-2</c:v>
                </c:pt>
                <c:pt idx="340">
                  <c:v>4.6914726312961119E-2</c:v>
                </c:pt>
                <c:pt idx="341">
                  <c:v>4.6951869249975423E-2</c:v>
                </c:pt>
                <c:pt idx="342">
                  <c:v>4.6989658594929352E-2</c:v>
                </c:pt>
                <c:pt idx="343">
                  <c:v>4.7028071819329116E-2</c:v>
                </c:pt>
                <c:pt idx="344">
                  <c:v>4.7067085001716698E-2</c:v>
                </c:pt>
                <c:pt idx="345">
                  <c:v>4.7106673015156059E-2</c:v>
                </c:pt>
                <c:pt idx="346">
                  <c:v>4.7146809717672988E-2</c:v>
                </c:pt>
                <c:pt idx="347">
                  <c:v>4.7187468144140307E-2</c:v>
                </c:pt>
                <c:pt idx="348">
                  <c:v>4.7228620698108924E-2</c:v>
                </c:pt>
                <c:pt idx="349">
                  <c:v>4.7270239342105544E-2</c:v>
                </c:pt>
                <c:pt idx="350">
                  <c:v>4.7312295784952607E-2</c:v>
                </c:pt>
                <c:pt idx="351">
                  <c:v>4.7354761664711899E-2</c:v>
                </c:pt>
                <c:pt idx="352">
                  <c:v>4.7397608725911644E-2</c:v>
                </c:pt>
                <c:pt idx="353">
                  <c:v>4.7440808989786781E-2</c:v>
                </c:pt>
                <c:pt idx="354">
                  <c:v>4.7484334916341867E-2</c:v>
                </c:pt>
                <c:pt idx="355">
                  <c:v>4.7528159557135803E-2</c:v>
                </c:pt>
                <c:pt idx="356">
                  <c:v>4.7572256697786572E-2</c:v>
                </c:pt>
                <c:pt idx="357">
                  <c:v>4.7616600989300061E-2</c:v>
                </c:pt>
                <c:pt idx="358">
                  <c:v>4.7661168067440661E-2</c:v>
                </c:pt>
                <c:pt idx="359">
                  <c:v>4.7705934659479393E-2</c:v>
                </c:pt>
                <c:pt idx="360">
                  <c:v>4.7750878677779315E-2</c:v>
                </c:pt>
                <c:pt idx="361">
                  <c:v>4.7795979299803878E-2</c:v>
                </c:pt>
                <c:pt idx="362">
                  <c:v>4.7841217034262216E-2</c:v>
                </c:pt>
                <c:pt idx="363">
                  <c:v>4.7886573773235346E-2</c:v>
                </c:pt>
                <c:pt idx="364">
                  <c:v>4.7932032830255378E-2</c:v>
                </c:pt>
                <c:pt idx="365">
                  <c:v>4.7977578964437655E-2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7.7442998292207726E-4</c:v>
                </c:pt>
                <c:pt idx="1">
                  <c:v>7.5063480312851337E-4</c:v>
                </c:pt>
                <c:pt idx="2">
                  <c:v>7.2917655151397468E-4</c:v>
                </c:pt>
                <c:pt idx="3">
                  <c:v>7.1004044538825579E-4</c:v>
                </c:pt>
                <c:pt idx="4">
                  <c:v>6.9320671904305625E-4</c:v>
                </c:pt>
                <c:pt idx="5">
                  <c:v>6.7865112511665679E-4</c:v>
                </c:pt>
                <c:pt idx="6">
                  <c:v>6.6634544748125338E-4</c:v>
                </c:pt>
                <c:pt idx="7">
                  <c:v>6.5625801874101108E-4</c:v>
                </c:pt>
                <c:pt idx="8">
                  <c:v>6.4827576246166642E-4</c:v>
                </c:pt>
                <c:pt idx="9">
                  <c:v>6.4165092965328557E-4</c:v>
                </c:pt>
                <c:pt idx="10">
                  <c:v>6.3563123014713052E-4</c:v>
                </c:pt>
                <c:pt idx="11">
                  <c:v>6.3022604405921863E-4</c:v>
                </c:pt>
                <c:pt idx="12">
                  <c:v>6.2544248990962386E-4</c:v>
                </c:pt>
                <c:pt idx="13">
                  <c:v>6.2128564464390798E-4</c:v>
                </c:pt>
                <c:pt idx="14">
                  <c:v>6.1775876930340835E-4</c:v>
                </c:pt>
                <c:pt idx="15">
                  <c:v>6.1398544355141429E-4</c:v>
                </c:pt>
                <c:pt idx="16">
                  <c:v>6.0867414432989409E-4</c:v>
                </c:pt>
                <c:pt idx="17">
                  <c:v>6.0189254471695376E-4</c:v>
                </c:pt>
                <c:pt idx="18">
                  <c:v>5.9370671217482329E-4</c:v>
                </c:pt>
                <c:pt idx="19">
                  <c:v>5.841839098974194E-4</c:v>
                </c:pt>
                <c:pt idx="20">
                  <c:v>5.7339015513940275E-4</c:v>
                </c:pt>
                <c:pt idx="21">
                  <c:v>5.6142687066283086E-4</c:v>
                </c:pt>
                <c:pt idx="22">
                  <c:v>5.4823522371524956E-4</c:v>
                </c:pt>
                <c:pt idx="23">
                  <c:v>5.3409697015052086E-4</c:v>
                </c:pt>
                <c:pt idx="24">
                  <c:v>5.196229610532285E-4</c:v>
                </c:pt>
                <c:pt idx="25">
                  <c:v>5.0485158871355117E-4</c:v>
                </c:pt>
                <c:pt idx="26">
                  <c:v>4.8981796095410289E-4</c:v>
                </c:pt>
                <c:pt idx="27">
                  <c:v>4.7455390689452509E-4</c:v>
                </c:pt>
                <c:pt idx="28">
                  <c:v>4.5908801614800537E-4</c:v>
                </c:pt>
                <c:pt idx="29">
                  <c:v>4.4350939674029331E-4</c:v>
                </c:pt>
                <c:pt idx="30">
                  <c:v>4.2858594356508315E-4</c:v>
                </c:pt>
                <c:pt idx="31">
                  <c:v>4.1431125728834216E-4</c:v>
                </c:pt>
                <c:pt idx="32">
                  <c:v>4.0067731334515088E-4</c:v>
                </c:pt>
                <c:pt idx="33">
                  <c:v>3.8767475052589991E-4</c:v>
                </c:pt>
                <c:pt idx="34">
                  <c:v>3.7529313635611684E-4</c:v>
                </c:pt>
                <c:pt idx="35">
                  <c:v>3.6352120981949333E-4</c:v>
                </c:pt>
                <c:pt idx="36">
                  <c:v>3.5232030924293051E-4</c:v>
                </c:pt>
                <c:pt idx="37">
                  <c:v>3.4163771247255746E-4</c:v>
                </c:pt>
                <c:pt idx="38">
                  <c:v>3.3121191733755058E-4</c:v>
                </c:pt>
                <c:pt idx="39">
                  <c:v>3.2103654595661945E-4</c:v>
                </c:pt>
                <c:pt idx="40">
                  <c:v>3.1110529006724832E-4</c:v>
                </c:pt>
                <c:pt idx="41">
                  <c:v>3.0141192635839057E-4</c:v>
                </c:pt>
                <c:pt idx="42">
                  <c:v>2.9195032971047856E-4</c:v>
                </c:pt>
                <c:pt idx="43">
                  <c:v>2.8258497008302455E-4</c:v>
                </c:pt>
                <c:pt idx="44">
                  <c:v>2.7325716487016868E-4</c:v>
                </c:pt>
                <c:pt idx="45">
                  <c:v>2.6396558962764869E-4</c:v>
                </c:pt>
                <c:pt idx="46">
                  <c:v>2.5470882490280831E-4</c:v>
                </c:pt>
                <c:pt idx="47">
                  <c:v>2.4548536204689229E-4</c:v>
                </c:pt>
                <c:pt idx="48">
                  <c:v>2.3629360669291097E-4</c:v>
                </c:pt>
                <c:pt idx="49">
                  <c:v>2.27131879933276E-4</c:v>
                </c:pt>
                <c:pt idx="50">
                  <c:v>2.179969523026115E-4</c:v>
                </c:pt>
                <c:pt idx="51">
                  <c:v>2.0897856755288868E-4</c:v>
                </c:pt>
                <c:pt idx="52">
                  <c:v>2.0008514562419011E-4</c:v>
                </c:pt>
                <c:pt idx="53">
                  <c:v>1.9131193505250932E-4</c:v>
                </c:pt>
                <c:pt idx="54">
                  <c:v>1.8265543856778015E-4</c:v>
                </c:pt>
                <c:pt idx="55">
                  <c:v>1.7411231649585863E-4</c:v>
                </c:pt>
                <c:pt idx="56">
                  <c:v>1.6567937003039943E-4</c:v>
                </c:pt>
                <c:pt idx="57">
                  <c:v>1.5762900460074725E-4</c:v>
                </c:pt>
                <c:pt idx="58">
                  <c:v>1.5006642475921551E-4</c:v>
                </c:pt>
                <c:pt idx="59">
                  <c:v>1.4298001002509137E-4</c:v>
                </c:pt>
                <c:pt idx="60">
                  <c:v>1.3635855558057541E-4</c:v>
                </c:pt>
                <c:pt idx="61">
                  <c:v>1.3019125321939149E-4</c:v>
                </c:pt>
                <c:pt idx="62">
                  <c:v>1.244676749168943E-4</c:v>
                </c:pt>
                <c:pt idx="63">
                  <c:v>1.191777590080276E-4</c:v>
                </c:pt>
                <c:pt idx="64">
                  <c:v>1.1430885457729766E-4</c:v>
                </c:pt>
                <c:pt idx="65">
                  <c:v>1.0986826922958607E-4</c:v>
                </c:pt>
                <c:pt idx="66">
                  <c:v>1.057651532444653E-4</c:v>
                </c:pt>
                <c:pt idx="67">
                  <c:v>1.0199402115478085E-4</c:v>
                </c:pt>
                <c:pt idx="68">
                  <c:v>9.8549405753879939E-5</c:v>
                </c:pt>
                <c:pt idx="69">
                  <c:v>9.5425906477073473E-5</c:v>
                </c:pt>
                <c:pt idx="70">
                  <c:v>9.2618235933517691E-5</c:v>
                </c:pt>
                <c:pt idx="71">
                  <c:v>9.0121578474028065E-5</c:v>
                </c:pt>
                <c:pt idx="72">
                  <c:v>8.7683981985159834E-5</c:v>
                </c:pt>
                <c:pt idx="73">
                  <c:v>8.530544520425688E-5</c:v>
                </c:pt>
                <c:pt idx="74">
                  <c:v>8.2985892409905243E-5</c:v>
                </c:pt>
                <c:pt idx="75">
                  <c:v>8.0725182584291054E-5</c:v>
                </c:pt>
                <c:pt idx="76">
                  <c:v>7.8523118568755E-5</c:v>
                </c:pt>
                <c:pt idx="77">
                  <c:v>7.637945621085251E-5</c:v>
                </c:pt>
                <c:pt idx="78">
                  <c:v>7.4289199034875773E-5</c:v>
                </c:pt>
                <c:pt idx="79">
                  <c:v>7.2272847931150616E-5</c:v>
                </c:pt>
                <c:pt idx="80">
                  <c:v>7.0311714352443922E-5</c:v>
                </c:pt>
                <c:pt idx="81">
                  <c:v>6.8405888506725218E-5</c:v>
                </c:pt>
                <c:pt idx="82">
                  <c:v>6.6555313627146513E-5</c:v>
                </c:pt>
                <c:pt idx="83">
                  <c:v>6.4759800611190524E-5</c:v>
                </c:pt>
                <c:pt idx="84">
                  <c:v>6.3019042253217148E-5</c:v>
                </c:pt>
                <c:pt idx="85">
                  <c:v>6.1358227670150843E-5</c:v>
                </c:pt>
                <c:pt idx="86">
                  <c:v>5.9776001529555526E-5</c:v>
                </c:pt>
                <c:pt idx="87">
                  <c:v>5.8271616089069645E-5</c:v>
                </c:pt>
                <c:pt idx="88">
                  <c:v>5.6844317464555762E-5</c:v>
                </c:pt>
                <c:pt idx="89">
                  <c:v>5.5493361780582941E-5</c:v>
                </c:pt>
                <c:pt idx="90">
                  <c:v>5.4218030738589911E-5</c:v>
                </c:pt>
                <c:pt idx="91">
                  <c:v>5.3017646691671334E-5</c:v>
                </c:pt>
                <c:pt idx="92">
                  <c:v>5.1889354024004066E-5</c:v>
                </c:pt>
                <c:pt idx="93">
                  <c:v>5.0824955659229784E-5</c:v>
                </c:pt>
                <c:pt idx="94">
                  <c:v>4.9799771881638862E-5</c:v>
                </c:pt>
                <c:pt idx="95">
                  <c:v>4.8813006741308055E-5</c:v>
                </c:pt>
                <c:pt idx="96">
                  <c:v>4.7863902688395873E-5</c:v>
                </c:pt>
                <c:pt idx="97">
                  <c:v>4.6951742210284414E-5</c:v>
                </c:pt>
                <c:pt idx="98">
                  <c:v>4.607584957975943E-5</c:v>
                </c:pt>
                <c:pt idx="99">
                  <c:v>4.5243540968048379E-5</c:v>
                </c:pt>
                <c:pt idx="100">
                  <c:v>4.4428026374986405E-5</c:v>
                </c:pt>
                <c:pt idx="101">
                  <c:v>4.3628380094583733E-5</c:v>
                </c:pt>
                <c:pt idx="102">
                  <c:v>4.2843661713953742E-5</c:v>
                </c:pt>
                <c:pt idx="103">
                  <c:v>4.2072915526739272E-5</c:v>
                </c:pt>
                <c:pt idx="104">
                  <c:v>4.1315169929050899E-5</c:v>
                </c:pt>
                <c:pt idx="105">
                  <c:v>4.0569436772733511E-5</c:v>
                </c:pt>
                <c:pt idx="106">
                  <c:v>3.983452930152901E-5</c:v>
                </c:pt>
                <c:pt idx="107">
                  <c:v>3.9128019143232046E-5</c:v>
                </c:pt>
                <c:pt idx="108">
                  <c:v>3.8454000520210633E-5</c:v>
                </c:pt>
                <c:pt idx="109">
                  <c:v>3.7811724234994961E-5</c:v>
                </c:pt>
                <c:pt idx="110">
                  <c:v>3.7200587603890773E-5</c:v>
                </c:pt>
                <c:pt idx="111">
                  <c:v>3.6620024086511836E-5</c:v>
                </c:pt>
                <c:pt idx="112">
                  <c:v>3.6069399569804811E-5</c:v>
                </c:pt>
                <c:pt idx="113">
                  <c:v>3.5556663139007522E-5</c:v>
                </c:pt>
                <c:pt idx="114">
                  <c:v>3.5073327983759497E-5</c:v>
                </c:pt>
                <c:pt idx="115">
                  <c:v>3.4619177946032362E-5</c:v>
                </c:pt>
                <c:pt idx="116">
                  <c:v>3.4194059836140564E-5</c:v>
                </c:pt>
                <c:pt idx="117">
                  <c:v>3.3797884981387321E-5</c:v>
                </c:pt>
                <c:pt idx="118">
                  <c:v>3.3430630852768072E-5</c:v>
                </c:pt>
                <c:pt idx="119">
                  <c:v>3.3092342777205296E-5</c:v>
                </c:pt>
                <c:pt idx="120">
                  <c:v>3.2783633282904531E-5</c:v>
                </c:pt>
                <c:pt idx="121">
                  <c:v>3.2523694193366243E-5</c:v>
                </c:pt>
                <c:pt idx="122">
                  <c:v>3.2291789491432325E-5</c:v>
                </c:pt>
                <c:pt idx="123">
                  <c:v>3.2088110306110866E-5</c:v>
                </c:pt>
                <c:pt idx="124">
                  <c:v>3.1912940398683792E-5</c:v>
                </c:pt>
                <c:pt idx="125">
                  <c:v>3.1766656553286598E-5</c:v>
                </c:pt>
                <c:pt idx="126">
                  <c:v>3.164972894461016E-5</c:v>
                </c:pt>
                <c:pt idx="127">
                  <c:v>3.1555517603024371E-5</c:v>
                </c:pt>
                <c:pt idx="128">
                  <c:v>3.1473047171016945E-5</c:v>
                </c:pt>
                <c:pt idx="129">
                  <c:v>3.1402027434618971E-5</c:v>
                </c:pt>
                <c:pt idx="130">
                  <c:v>3.1342194014699786E-5</c:v>
                </c:pt>
                <c:pt idx="131">
                  <c:v>3.12933085011669E-5</c:v>
                </c:pt>
                <c:pt idx="132">
                  <c:v>3.1255158649705174E-5</c:v>
                </c:pt>
                <c:pt idx="133">
                  <c:v>3.122755861679249E-5</c:v>
                </c:pt>
                <c:pt idx="134">
                  <c:v>3.1211118811315736E-5</c:v>
                </c:pt>
                <c:pt idx="135">
                  <c:v>3.1195516790323997E-5</c:v>
                </c:pt>
                <c:pt idx="136">
                  <c:v>3.1156302091275644E-5</c:v>
                </c:pt>
                <c:pt idx="137">
                  <c:v>3.1091675669091048E-5</c:v>
                </c:pt>
                <c:pt idx="138">
                  <c:v>3.0999780149390794E-5</c:v>
                </c:pt>
                <c:pt idx="139">
                  <c:v>3.0878703517560212E-5</c:v>
                </c:pt>
                <c:pt idx="140">
                  <c:v>3.0726483378933096E-5</c:v>
                </c:pt>
                <c:pt idx="141">
                  <c:v>3.0562184892859903E-5</c:v>
                </c:pt>
                <c:pt idx="142">
                  <c:v>3.0393344891017542E-5</c:v>
                </c:pt>
                <c:pt idx="143">
                  <c:v>3.0219121189922494E-5</c:v>
                </c:pt>
                <c:pt idx="144">
                  <c:v>3.0038869436373478E-5</c:v>
                </c:pt>
                <c:pt idx="145">
                  <c:v>2.9851960639634954E-5</c:v>
                </c:pt>
                <c:pt idx="146">
                  <c:v>2.9657783823931177E-5</c:v>
                </c:pt>
                <c:pt idx="147">
                  <c:v>2.9455748763755739E-5</c:v>
                </c:pt>
                <c:pt idx="148">
                  <c:v>2.9245973760582498E-5</c:v>
                </c:pt>
                <c:pt idx="149">
                  <c:v>2.9033141974745719E-5</c:v>
                </c:pt>
                <c:pt idx="150">
                  <c:v>2.8830554276856946E-5</c:v>
                </c:pt>
                <c:pt idx="151">
                  <c:v>2.863842489859667E-5</c:v>
                </c:pt>
                <c:pt idx="152">
                  <c:v>2.8457017328049151E-5</c:v>
                </c:pt>
                <c:pt idx="153">
                  <c:v>2.8286643479251047E-5</c:v>
                </c:pt>
                <c:pt idx="154">
                  <c:v>2.8127662636210107E-5</c:v>
                </c:pt>
                <c:pt idx="155">
                  <c:v>2.8003730908031096E-5</c:v>
                </c:pt>
                <c:pt idx="156">
                  <c:v>2.7890177416636503E-5</c:v>
                </c:pt>
                <c:pt idx="157">
                  <c:v>2.7787620266977622E-5</c:v>
                </c:pt>
                <c:pt idx="158">
                  <c:v>2.7696723903911757E-5</c:v>
                </c:pt>
                <c:pt idx="159">
                  <c:v>2.7618196317259641E-5</c:v>
                </c:pt>
                <c:pt idx="160">
                  <c:v>2.7552785900345601E-5</c:v>
                </c:pt>
                <c:pt idx="161">
                  <c:v>2.7501277967377827E-5</c:v>
                </c:pt>
                <c:pt idx="162">
                  <c:v>2.7464964853399867E-5</c:v>
                </c:pt>
                <c:pt idx="163">
                  <c:v>2.7466657915483599E-5</c:v>
                </c:pt>
                <c:pt idx="164">
                  <c:v>2.7502585822118455E-5</c:v>
                </c:pt>
                <c:pt idx="165">
                  <c:v>2.7574523756124097E-5</c:v>
                </c:pt>
                <c:pt idx="166">
                  <c:v>2.7684260396824533E-5</c:v>
                </c:pt>
                <c:pt idx="167">
                  <c:v>2.7833592615585889E-5</c:v>
                </c:pt>
                <c:pt idx="168">
                  <c:v>2.8024320285705348E-5</c:v>
                </c:pt>
                <c:pt idx="169">
                  <c:v>2.8281412965262385E-5</c:v>
                </c:pt>
                <c:pt idx="170">
                  <c:v>2.8578129011276644E-5</c:v>
                </c:pt>
                <c:pt idx="171">
                  <c:v>2.8915925941915989E-5</c:v>
                </c:pt>
                <c:pt idx="172">
                  <c:v>2.9296249690392276E-5</c:v>
                </c:pt>
                <c:pt idx="173">
                  <c:v>2.9720227835776382E-5</c:v>
                </c:pt>
                <c:pt idx="174">
                  <c:v>3.0188935470910668E-5</c:v>
                </c:pt>
                <c:pt idx="175">
                  <c:v>3.0703709222431211E-5</c:v>
                </c:pt>
                <c:pt idx="176">
                  <c:v>3.1265856975887097E-5</c:v>
                </c:pt>
                <c:pt idx="177">
                  <c:v>3.190872962111684E-5</c:v>
                </c:pt>
                <c:pt idx="178">
                  <c:v>3.2608967499671771E-5</c:v>
                </c:pt>
                <c:pt idx="179">
                  <c:v>3.3368047901840687E-5</c:v>
                </c:pt>
                <c:pt idx="180">
                  <c:v>3.4187404022127416E-5</c:v>
                </c:pt>
                <c:pt idx="181">
                  <c:v>3.5068424210410889E-5</c:v>
                </c:pt>
                <c:pt idx="182">
                  <c:v>3.6012451721091488E-5</c:v>
                </c:pt>
                <c:pt idx="183">
                  <c:v>3.7027805630334528E-5</c:v>
                </c:pt>
                <c:pt idx="184">
                  <c:v>3.808876406192572E-5</c:v>
                </c:pt>
                <c:pt idx="185">
                  <c:v>3.9196017662177556E-5</c:v>
                </c:pt>
                <c:pt idx="186">
                  <c:v>4.0350238380019166E-5</c:v>
                </c:pt>
                <c:pt idx="187">
                  <c:v>4.1552081083542649E-5</c:v>
                </c:pt>
                <c:pt idx="188">
                  <c:v>4.280218529728539E-5</c:v>
                </c:pt>
                <c:pt idx="189">
                  <c:v>4.4101177037145716E-5</c:v>
                </c:pt>
                <c:pt idx="190">
                  <c:v>4.5449321258203035E-5</c:v>
                </c:pt>
                <c:pt idx="191">
                  <c:v>4.6884374616672644E-5</c:v>
                </c:pt>
                <c:pt idx="192">
                  <c:v>4.8370954622090842E-5</c:v>
                </c:pt>
                <c:pt idx="193">
                  <c:v>4.9909630703718126E-5</c:v>
                </c:pt>
                <c:pt idx="194">
                  <c:v>5.1500994661144652E-5</c:v>
                </c:pt>
                <c:pt idx="195">
                  <c:v>5.3145664706758833E-5</c:v>
                </c:pt>
                <c:pt idx="196">
                  <c:v>5.4844289421408469E-5</c:v>
                </c:pt>
                <c:pt idx="197">
                  <c:v>5.6575914304692523E-5</c:v>
                </c:pt>
                <c:pt idx="198">
                  <c:v>5.8333224104523159E-5</c:v>
                </c:pt>
                <c:pt idx="199">
                  <c:v>6.0116565660131106E-5</c:v>
                </c:pt>
                <c:pt idx="200">
                  <c:v>6.19263437804583E-5</c:v>
                </c:pt>
                <c:pt idx="201">
                  <c:v>6.3763021844935846E-5</c:v>
                </c:pt>
                <c:pt idx="202">
                  <c:v>6.5627122280657388E-5</c:v>
                </c:pt>
                <c:pt idx="203">
                  <c:v>6.7519226961978008E-5</c:v>
                </c:pt>
                <c:pt idx="204">
                  <c:v>6.9439235784802704E-5</c:v>
                </c:pt>
                <c:pt idx="205">
                  <c:v>7.1371195401751439E-5</c:v>
                </c:pt>
                <c:pt idx="206">
                  <c:v>7.3274897845562495E-5</c:v>
                </c:pt>
                <c:pt idx="207">
                  <c:v>7.5149942395488409E-5</c:v>
                </c:pt>
                <c:pt idx="208">
                  <c:v>7.6995955048959409E-5</c:v>
                </c:pt>
                <c:pt idx="209">
                  <c:v>7.8812584576127716E-5</c:v>
                </c:pt>
                <c:pt idx="210">
                  <c:v>8.0599498734911488E-5</c:v>
                </c:pt>
                <c:pt idx="211">
                  <c:v>8.2416357214230328E-5</c:v>
                </c:pt>
                <c:pt idx="212">
                  <c:v>8.4286751623278522E-5</c:v>
                </c:pt>
                <c:pt idx="213">
                  <c:v>8.6211476298780044E-5</c:v>
                </c:pt>
                <c:pt idx="214">
                  <c:v>8.8191316662139784E-5</c:v>
                </c:pt>
                <c:pt idx="215">
                  <c:v>9.0227049050285604E-5</c:v>
                </c:pt>
                <c:pt idx="216">
                  <c:v>9.231944056234482E-5</c:v>
                </c:pt>
                <c:pt idx="217">
                  <c:v>9.4469248934799809E-5</c:v>
                </c:pt>
                <c:pt idx="218">
                  <c:v>9.667643886339275E-5</c:v>
                </c:pt>
                <c:pt idx="219">
                  <c:v>9.8984794585073573E-5</c:v>
                </c:pt>
                <c:pt idx="220">
                  <c:v>1.0141243257504989E-4</c:v>
                </c:pt>
                <c:pt idx="221">
                  <c:v>1.0396116157588532E-4</c:v>
                </c:pt>
                <c:pt idx="222">
                  <c:v>1.0663280922050743E-4</c:v>
                </c:pt>
                <c:pt idx="223">
                  <c:v>1.0942922826807617E-4</c:v>
                </c:pt>
                <c:pt idx="224">
                  <c:v>1.1235230297021005E-4</c:v>
                </c:pt>
                <c:pt idx="225">
                  <c:v>1.1546425829665023E-4</c:v>
                </c:pt>
                <c:pt idx="226">
                  <c:v>1.1870375784803206E-4</c:v>
                </c:pt>
                <c:pt idx="227">
                  <c:v>1.2207272465981724E-4</c:v>
                </c:pt>
                <c:pt idx="228">
                  <c:v>1.2557314457141739E-4</c:v>
                </c:pt>
                <c:pt idx="229">
                  <c:v>1.2920707304240329E-4</c:v>
                </c:pt>
                <c:pt idx="230">
                  <c:v>1.3297664216961022E-4</c:v>
                </c:pt>
                <c:pt idx="231">
                  <c:v>1.3688406795429013E-4</c:v>
                </c:pt>
                <c:pt idx="232">
                  <c:v>1.4093028472042792E-4</c:v>
                </c:pt>
                <c:pt idx="233">
                  <c:v>1.4513374009149236E-4</c:v>
                </c:pt>
                <c:pt idx="234">
                  <c:v>1.4944951058638785E-4</c:v>
                </c:pt>
                <c:pt idx="235">
                  <c:v>1.5387889900354544E-4</c:v>
                </c:pt>
                <c:pt idx="236">
                  <c:v>1.5842328598181539E-4</c:v>
                </c:pt>
                <c:pt idx="237">
                  <c:v>1.6308397913364226E-4</c:v>
                </c:pt>
                <c:pt idx="238">
                  <c:v>1.678623056687563E-4</c:v>
                </c:pt>
                <c:pt idx="239">
                  <c:v>1.7276380689172324E-4</c:v>
                </c:pt>
                <c:pt idx="240">
                  <c:v>1.7772609248573414E-4</c:v>
                </c:pt>
                <c:pt idx="241">
                  <c:v>1.8274989132592228E-4</c:v>
                </c:pt>
                <c:pt idx="242">
                  <c:v>1.8783593128744884E-4</c:v>
                </c:pt>
                <c:pt idx="243">
                  <c:v>1.9298493672988923E-4</c:v>
                </c:pt>
                <c:pt idx="244">
                  <c:v>1.9819762565503703E-4</c:v>
                </c:pt>
                <c:pt idx="245">
                  <c:v>2.0347470658543587E-4</c:v>
                </c:pt>
                <c:pt idx="246">
                  <c:v>2.088168751242675E-4</c:v>
                </c:pt>
                <c:pt idx="247">
                  <c:v>2.1435125434870016E-4</c:v>
                </c:pt>
                <c:pt idx="248">
                  <c:v>2.2006115264774426E-4</c:v>
                </c:pt>
                <c:pt idx="249">
                  <c:v>2.2594859954150329E-4</c:v>
                </c:pt>
                <c:pt idx="250">
                  <c:v>2.3201560912101821E-4</c:v>
                </c:pt>
                <c:pt idx="251">
                  <c:v>2.3826417523395614E-4</c:v>
                </c:pt>
                <c:pt idx="252">
                  <c:v>2.4469626629635934E-4</c:v>
                </c:pt>
                <c:pt idx="253">
                  <c:v>2.5143723322094882E-4</c:v>
                </c:pt>
                <c:pt idx="254">
                  <c:v>2.5848585269228053E-4</c:v>
                </c:pt>
                <c:pt idx="255">
                  <c:v>2.6584547158284158E-4</c:v>
                </c:pt>
                <c:pt idx="256">
                  <c:v>2.7351940340182893E-4</c:v>
                </c:pt>
                <c:pt idx="257">
                  <c:v>2.8151092069500023E-4</c:v>
                </c:pt>
                <c:pt idx="258">
                  <c:v>2.8982324729279467E-4</c:v>
                </c:pt>
                <c:pt idx="259">
                  <c:v>2.9845955048655548E-4</c:v>
                </c:pt>
                <c:pt idx="260">
                  <c:v>3.0742441021966649E-4</c:v>
                </c:pt>
                <c:pt idx="261">
                  <c:v>3.1676376659366237E-4</c:v>
                </c:pt>
                <c:pt idx="262">
                  <c:v>3.2634601123727964E-4</c:v>
                </c:pt>
                <c:pt idx="263">
                  <c:v>3.3617234338833825E-4</c:v>
                </c:pt>
                <c:pt idx="264">
                  <c:v>3.4624378821423632E-4</c:v>
                </c:pt>
                <c:pt idx="265">
                  <c:v>3.5656308133020847E-4</c:v>
                </c:pt>
                <c:pt idx="266">
                  <c:v>3.6713200837716723E-4</c:v>
                </c:pt>
                <c:pt idx="267">
                  <c:v>3.7836199968477427E-4</c:v>
                </c:pt>
                <c:pt idx="268">
                  <c:v>3.9012677865076721E-4</c:v>
                </c:pt>
                <c:pt idx="269">
                  <c:v>4.0242956399646682E-4</c:v>
                </c:pt>
                <c:pt idx="270">
                  <c:v>4.1527323135829978E-4</c:v>
                </c:pt>
                <c:pt idx="271">
                  <c:v>4.2866028962072072E-4</c:v>
                </c:pt>
                <c:pt idx="272">
                  <c:v>4.4259285925928445E-4</c:v>
                </c:pt>
                <c:pt idx="273">
                  <c:v>4.5707265289034746E-4</c:v>
                </c:pt>
                <c:pt idx="274">
                  <c:v>4.7211879192728356E-4</c:v>
                </c:pt>
                <c:pt idx="275">
                  <c:v>4.8865873780111892E-4</c:v>
                </c:pt>
                <c:pt idx="276">
                  <c:v>5.0665696806810254E-4</c:v>
                </c:pt>
                <c:pt idx="277">
                  <c:v>5.2612069433995731E-4</c:v>
                </c:pt>
                <c:pt idx="278">
                  <c:v>5.4705571741582918E-4</c:v>
                </c:pt>
                <c:pt idx="279">
                  <c:v>5.69466169644239E-4</c:v>
                </c:pt>
                <c:pt idx="280">
                  <c:v>5.9335425251105421E-4</c:v>
                </c:pt>
                <c:pt idx="281">
                  <c:v>6.1919691328760627E-4</c:v>
                </c:pt>
                <c:pt idx="282">
                  <c:v>6.4656004309157763E-4</c:v>
                </c:pt>
                <c:pt idx="283">
                  <c:v>6.7543861147763599E-4</c:v>
                </c:pt>
                <c:pt idx="284">
                  <c:v>7.0582451516940591E-4</c:v>
                </c:pt>
                <c:pt idx="285">
                  <c:v>7.3770629916896171E-4</c:v>
                </c:pt>
                <c:pt idx="286">
                  <c:v>7.7106888109889802E-4</c:v>
                </c:pt>
                <c:pt idx="287">
                  <c:v>8.0589328078297566E-4</c:v>
                </c:pt>
                <c:pt idx="288">
                  <c:v>8.4221605720294747E-4</c:v>
                </c:pt>
                <c:pt idx="289">
                  <c:v>8.7951622479569703E-4</c:v>
                </c:pt>
                <c:pt idx="290">
                  <c:v>9.1682654913126968E-4</c:v>
                </c:pt>
                <c:pt idx="291">
                  <c:v>9.5412616611431243E-4</c:v>
                </c:pt>
                <c:pt idx="292">
                  <c:v>9.9139279535067747E-4</c:v>
                </c:pt>
                <c:pt idx="293">
                  <c:v>1.0286027836714062E-3</c:v>
                </c:pt>
                <c:pt idx="294">
                  <c:v>1.0657311502976035E-3</c:v>
                </c:pt>
                <c:pt idx="295">
                  <c:v>1.1018000847465576E-3</c:v>
                </c:pt>
                <c:pt idx="296">
                  <c:v>1.13629596439666E-3</c:v>
                </c:pt>
                <c:pt idx="297">
                  <c:v>1.1691953983424209E-3</c:v>
                </c:pt>
                <c:pt idx="298">
                  <c:v>1.2004664230958297E-3</c:v>
                </c:pt>
                <c:pt idx="299">
                  <c:v>1.2300775027182982E-3</c:v>
                </c:pt>
                <c:pt idx="300">
                  <c:v>1.2579977048596661E-3</c:v>
                </c:pt>
                <c:pt idx="301">
                  <c:v>1.2841968719089726E-3</c:v>
                </c:pt>
                <c:pt idx="302">
                  <c:v>1.3087237645688821E-3</c:v>
                </c:pt>
                <c:pt idx="303">
                  <c:v>1.3323981421839819E-3</c:v>
                </c:pt>
                <c:pt idx="304">
                  <c:v>1.3557952762351941E-3</c:v>
                </c:pt>
                <c:pt idx="305">
                  <c:v>1.3789122911487867E-3</c:v>
                </c:pt>
                <c:pt idx="306">
                  <c:v>1.4017469905042528E-3</c:v>
                </c:pt>
                <c:pt idx="307">
                  <c:v>1.4242978252041833E-3</c:v>
                </c:pt>
                <c:pt idx="308">
                  <c:v>1.4465638471808536E-3</c:v>
                </c:pt>
                <c:pt idx="309">
                  <c:v>1.4687959120281131E-3</c:v>
                </c:pt>
                <c:pt idx="310">
                  <c:v>1.4919560462034671E-3</c:v>
                </c:pt>
                <c:pt idx="311">
                  <c:v>1.5160447708937536E-3</c:v>
                </c:pt>
                <c:pt idx="312">
                  <c:v>1.5410624916058315E-3</c:v>
                </c:pt>
                <c:pt idx="313">
                  <c:v>1.5670094074719523E-3</c:v>
                </c:pt>
                <c:pt idx="314">
                  <c:v>1.5938854024069075E-3</c:v>
                </c:pt>
                <c:pt idx="315">
                  <c:v>1.6216899163075448E-3</c:v>
                </c:pt>
                <c:pt idx="316">
                  <c:v>1.650530584503753E-3</c:v>
                </c:pt>
                <c:pt idx="317">
                  <c:v>1.6779804196185655E-3</c:v>
                </c:pt>
                <c:pt idx="318">
                  <c:v>1.7032851000596391E-3</c:v>
                </c:pt>
                <c:pt idx="319">
                  <c:v>1.7264445565237777E-3</c:v>
                </c:pt>
                <c:pt idx="320">
                  <c:v>1.7474555658225084E-3</c:v>
                </c:pt>
                <c:pt idx="321">
                  <c:v>1.766311545979063E-3</c:v>
                </c:pt>
                <c:pt idx="322">
                  <c:v>1.7830023792953641E-3</c:v>
                </c:pt>
                <c:pt idx="323">
                  <c:v>1.7986183185079829E-3</c:v>
                </c:pt>
                <c:pt idx="324">
                  <c:v>1.8128920759676603E-3</c:v>
                </c:pt>
                <c:pt idx="325">
                  <c:v>1.8258036568828072E-3</c:v>
                </c:pt>
                <c:pt idx="326">
                  <c:v>1.8373178821563714E-3</c:v>
                </c:pt>
                <c:pt idx="327">
                  <c:v>1.8474031902243793E-3</c:v>
                </c:pt>
                <c:pt idx="328">
                  <c:v>1.8560337426036934E-3</c:v>
                </c:pt>
                <c:pt idx="329">
                  <c:v>1.8631801674374891E-3</c:v>
                </c:pt>
                <c:pt idx="330">
                  <c:v>1.8690041971291189E-3</c:v>
                </c:pt>
                <c:pt idx="331">
                  <c:v>1.8769979056669577E-3</c:v>
                </c:pt>
                <c:pt idx="332">
                  <c:v>1.8896854447857929E-3</c:v>
                </c:pt>
                <c:pt idx="333">
                  <c:v>1.9070417197010574E-3</c:v>
                </c:pt>
                <c:pt idx="334">
                  <c:v>1.9290394106900055E-3</c:v>
                </c:pt>
                <c:pt idx="335">
                  <c:v>1.9556477787614681E-3</c:v>
                </c:pt>
                <c:pt idx="336">
                  <c:v>1.9868313837251919E-3</c:v>
                </c:pt>
                <c:pt idx="337">
                  <c:v>2.0213124260835881E-3</c:v>
                </c:pt>
                <c:pt idx="338">
                  <c:v>2.0579214334280373E-3</c:v>
                </c:pt>
                <c:pt idx="339">
                  <c:v>2.0965936761510868E-3</c:v>
                </c:pt>
                <c:pt idx="340">
                  <c:v>2.1372555028072405E-3</c:v>
                </c:pt>
                <c:pt idx="341">
                  <c:v>2.179823704016608E-3</c:v>
                </c:pt>
                <c:pt idx="342">
                  <c:v>2.2242049512568749E-3</c:v>
                </c:pt>
                <c:pt idx="343">
                  <c:v>2.2702953299421191E-3</c:v>
                </c:pt>
                <c:pt idx="344">
                  <c:v>2.3182416410624045E-3</c:v>
                </c:pt>
                <c:pt idx="345">
                  <c:v>2.3682145866651652E-3</c:v>
                </c:pt>
                <c:pt idx="346">
                  <c:v>2.41395901553115E-3</c:v>
                </c:pt>
                <c:pt idx="347">
                  <c:v>2.4553835502134666E-3</c:v>
                </c:pt>
                <c:pt idx="348">
                  <c:v>2.4923930165003253E-3</c:v>
                </c:pt>
                <c:pt idx="349">
                  <c:v>2.524890249090726E-3</c:v>
                </c:pt>
                <c:pt idx="350">
                  <c:v>2.5527780065426773E-3</c:v>
                </c:pt>
                <c:pt idx="351">
                  <c:v>2.5731606582491675E-3</c:v>
                </c:pt>
                <c:pt idx="352">
                  <c:v>2.5871952878949648E-3</c:v>
                </c:pt>
                <c:pt idx="353">
                  <c:v>2.5948057270233291E-3</c:v>
                </c:pt>
                <c:pt idx="354">
                  <c:v>2.595927435648173E-3</c:v>
                </c:pt>
                <c:pt idx="355">
                  <c:v>2.590509972465896E-3</c:v>
                </c:pt>
                <c:pt idx="356">
                  <c:v>2.578499507723697E-3</c:v>
                </c:pt>
                <c:pt idx="357">
                  <c:v>2.5598976792965125E-3</c:v>
                </c:pt>
                <c:pt idx="358">
                  <c:v>2.5347090393495007E-3</c:v>
                </c:pt>
                <c:pt idx="359">
                  <c:v>2.5030315756479956E-3</c:v>
                </c:pt>
                <c:pt idx="360">
                  <c:v>2.463793749090139E-3</c:v>
                </c:pt>
                <c:pt idx="361">
                  <c:v>2.4198921359617088E-3</c:v>
                </c:pt>
                <c:pt idx="362">
                  <c:v>2.3714746982835349E-3</c:v>
                </c:pt>
                <c:pt idx="363">
                  <c:v>2.3186976439272581E-3</c:v>
                </c:pt>
                <c:pt idx="364">
                  <c:v>2.2617238558164409E-3</c:v>
                </c:pt>
                <c:pt idx="365">
                  <c:v>2.2007213350179774E-3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312304"/>
        <c:axId val="721412664"/>
      </c:lineChart>
      <c:dateAx>
        <c:axId val="394312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21412664"/>
        <c:crosses val="autoZero"/>
        <c:auto val="1"/>
        <c:lblOffset val="100"/>
        <c:baseTimeUnit val="days"/>
        <c:majorUnit val="1"/>
        <c:majorTimeUnit val="months"/>
      </c:dateAx>
      <c:valAx>
        <c:axId val="721412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312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24.152356128414507</c:v>
                </c:pt>
                <c:pt idx="1">
                  <c:v>24.301422132470968</c:v>
                </c:pt>
                <c:pt idx="2">
                  <c:v>24.460170191211287</c:v>
                </c:pt>
                <c:pt idx="3">
                  <c:v>24.628101356898373</c:v>
                </c:pt>
                <c:pt idx="4">
                  <c:v>24.804716805840613</c:v>
                </c:pt>
                <c:pt idx="5">
                  <c:v>24.989517833161131</c:v>
                </c:pt>
                <c:pt idx="6">
                  <c:v>25.182005865090904</c:v>
                </c:pt>
                <c:pt idx="7">
                  <c:v>25.381682464248776</c:v>
                </c:pt>
                <c:pt idx="8">
                  <c:v>25.59114873827567</c:v>
                </c:pt>
                <c:pt idx="9">
                  <c:v>25.812806357941572</c:v>
                </c:pt>
                <c:pt idx="10">
                  <c:v>26.045852518249291</c:v>
                </c:pt>
                <c:pt idx="11">
                  <c:v>26.28946527470767</c:v>
                </c:pt>
                <c:pt idx="12">
                  <c:v>26.54282294181769</c:v>
                </c:pt>
                <c:pt idx="13">
                  <c:v>26.80510410609164</c:v>
                </c:pt>
                <c:pt idx="14">
                  <c:v>27.075487618789222</c:v>
                </c:pt>
                <c:pt idx="15">
                  <c:v>27.353176635796654</c:v>
                </c:pt>
                <c:pt idx="16">
                  <c:v>27.6373870270994</c:v>
                </c:pt>
                <c:pt idx="17">
                  <c:v>27.927298446945152</c:v>
                </c:pt>
                <c:pt idx="18">
                  <c:v>28.222090829332487</c:v>
                </c:pt>
                <c:pt idx="19">
                  <c:v>28.520944289550176</c:v>
                </c:pt>
                <c:pt idx="20">
                  <c:v>28.823039175728596</c:v>
                </c:pt>
                <c:pt idx="21">
                  <c:v>29.127555004681078</c:v>
                </c:pt>
                <c:pt idx="22">
                  <c:v>29.437783702908433</c:v>
                </c:pt>
                <c:pt idx="23">
                  <c:v>29.756916719270684</c:v>
                </c:pt>
                <c:pt idx="24">
                  <c:v>30.083982662413778</c:v>
                </c:pt>
                <c:pt idx="25">
                  <c:v>30.418027068486179</c:v>
                </c:pt>
                <c:pt idx="26">
                  <c:v>30.758095812270906</c:v>
                </c:pt>
                <c:pt idx="27">
                  <c:v>31.10323511436361</c:v>
                </c:pt>
                <c:pt idx="28">
                  <c:v>31.452491534320473</c:v>
                </c:pt>
                <c:pt idx="29">
                  <c:v>31.804909951087573</c:v>
                </c:pt>
                <c:pt idx="30">
                  <c:v>32.159513562200615</c:v>
                </c:pt>
                <c:pt idx="31">
                  <c:v>32.515349935920547</c:v>
                </c:pt>
                <c:pt idx="32">
                  <c:v>32.871466985396182</c:v>
                </c:pt>
                <c:pt idx="33">
                  <c:v>33.226912960826091</c:v>
                </c:pt>
                <c:pt idx="34">
                  <c:v>33.580736453672174</c:v>
                </c:pt>
                <c:pt idx="35">
                  <c:v>33.931986394695755</c:v>
                </c:pt>
                <c:pt idx="36">
                  <c:v>34.282319829861066</c:v>
                </c:pt>
                <c:pt idx="37">
                  <c:v>34.633957473851403</c:v>
                </c:pt>
                <c:pt idx="38">
                  <c:v>34.986802080532158</c:v>
                </c:pt>
                <c:pt idx="39">
                  <c:v>35.340747793769552</c:v>
                </c:pt>
                <c:pt idx="40">
                  <c:v>35.695688804042788</c:v>
                </c:pt>
                <c:pt idx="41">
                  <c:v>36.05151934738187</c:v>
                </c:pt>
                <c:pt idx="42">
                  <c:v>36.408133703369963</c:v>
                </c:pt>
                <c:pt idx="43">
                  <c:v>36.765430955871508</c:v>
                </c:pt>
                <c:pt idx="44">
                  <c:v>37.123307565265428</c:v>
                </c:pt>
                <c:pt idx="45">
                  <c:v>37.481657958783615</c:v>
                </c:pt>
                <c:pt idx="46">
                  <c:v>37.840376602351576</c:v>
                </c:pt>
                <c:pt idx="47">
                  <c:v>38.19935799700319</c:v>
                </c:pt>
                <c:pt idx="48">
                  <c:v>38.558496677795247</c:v>
                </c:pt>
                <c:pt idx="49">
                  <c:v>38.917687210318803</c:v>
                </c:pt>
                <c:pt idx="50">
                  <c:v>39.277088175671842</c:v>
                </c:pt>
                <c:pt idx="51">
                  <c:v>39.636924789352349</c:v>
                </c:pt>
                <c:pt idx="52">
                  <c:v>39.99719660499327</c:v>
                </c:pt>
                <c:pt idx="53">
                  <c:v>40.357903679372939</c:v>
                </c:pt>
                <c:pt idx="54">
                  <c:v>40.719046005943525</c:v>
                </c:pt>
                <c:pt idx="55">
                  <c:v>41.080623555973617</c:v>
                </c:pt>
                <c:pt idx="56">
                  <c:v>41.442636275887253</c:v>
                </c:pt>
                <c:pt idx="57">
                  <c:v>41.805072567871669</c:v>
                </c:pt>
                <c:pt idx="58">
                  <c:v>42.167927462706622</c:v>
                </c:pt>
                <c:pt idx="59">
                  <c:v>42.531200777161303</c:v>
                </c:pt>
                <c:pt idx="60">
                  <c:v>42.894892294476811</c:v>
                </c:pt>
                <c:pt idx="61">
                  <c:v>43.259001762478263</c:v>
                </c:pt>
                <c:pt idx="62">
                  <c:v>43.623528892614793</c:v>
                </c:pt>
                <c:pt idx="63">
                  <c:v>43.988473357337149</c:v>
                </c:pt>
                <c:pt idx="64">
                  <c:v>44.35497737534083</c:v>
                </c:pt>
                <c:pt idx="65">
                  <c:v>44.723830389537241</c:v>
                </c:pt>
                <c:pt idx="66">
                  <c:v>45.09450795736349</c:v>
                </c:pt>
                <c:pt idx="67">
                  <c:v>45.466482013600306</c:v>
                </c:pt>
                <c:pt idx="68">
                  <c:v>45.839224626439417</c:v>
                </c:pt>
                <c:pt idx="69">
                  <c:v>46.212207997121773</c:v>
                </c:pt>
                <c:pt idx="70">
                  <c:v>46.584904458716039</c:v>
                </c:pt>
                <c:pt idx="71">
                  <c:v>46.956786460805112</c:v>
                </c:pt>
                <c:pt idx="72">
                  <c:v>47.327338290690186</c:v>
                </c:pt>
                <c:pt idx="73">
                  <c:v>47.696032724577016</c:v>
                </c:pt>
                <c:pt idx="74">
                  <c:v>48.062342675692548</c:v>
                </c:pt>
                <c:pt idx="75">
                  <c:v>48.425741199177622</c:v>
                </c:pt>
                <c:pt idx="76">
                  <c:v>48.785701489248808</c:v>
                </c:pt>
                <c:pt idx="77">
                  <c:v>49.141696882659872</c:v>
                </c:pt>
                <c:pt idx="78">
                  <c:v>49.496343651672255</c:v>
                </c:pt>
                <c:pt idx="79">
                  <c:v>49.852045250618957</c:v>
                </c:pt>
                <c:pt idx="80">
                  <c:v>50.207958891457004</c:v>
                </c:pt>
                <c:pt idx="81">
                  <c:v>50.563241111263274</c:v>
                </c:pt>
                <c:pt idx="82">
                  <c:v>50.917048707140303</c:v>
                </c:pt>
                <c:pt idx="83">
                  <c:v>51.268538739275925</c:v>
                </c:pt>
                <c:pt idx="84">
                  <c:v>51.616868534607931</c:v>
                </c:pt>
                <c:pt idx="85">
                  <c:v>51.961194359462503</c:v>
                </c:pt>
                <c:pt idx="86">
                  <c:v>52.300674104297933</c:v>
                </c:pt>
                <c:pt idx="87">
                  <c:v>52.63446590008968</c:v>
                </c:pt>
                <c:pt idx="88">
                  <c:v>52.961728162343157</c:v>
                </c:pt>
                <c:pt idx="89">
                  <c:v>53.281619587749155</c:v>
                </c:pt>
                <c:pt idx="90">
                  <c:v>53.593299165324403</c:v>
                </c:pt>
                <c:pt idx="91">
                  <c:v>53.895926176843929</c:v>
                </c:pt>
                <c:pt idx="92">
                  <c:v>54.190992536737809</c:v>
                </c:pt>
                <c:pt idx="93">
                  <c:v>54.480480898091706</c:v>
                </c:pt>
                <c:pt idx="94">
                  <c:v>54.764287797347897</c:v>
                </c:pt>
                <c:pt idx="95">
                  <c:v>55.042308532216794</c:v>
                </c:pt>
                <c:pt idx="96">
                  <c:v>55.314438450585286</c:v>
                </c:pt>
                <c:pt idx="97">
                  <c:v>55.58057295289742</c:v>
                </c:pt>
                <c:pt idx="98">
                  <c:v>55.840607492260126</c:v>
                </c:pt>
                <c:pt idx="99">
                  <c:v>56.094437138694381</c:v>
                </c:pt>
                <c:pt idx="100">
                  <c:v>56.341958936822884</c:v>
                </c:pt>
                <c:pt idx="101">
                  <c:v>56.583068561894912</c:v>
                </c:pt>
                <c:pt idx="102">
                  <c:v>56.817661755360881</c:v>
                </c:pt>
                <c:pt idx="103">
                  <c:v>57.045634336875949</c:v>
                </c:pt>
                <c:pt idx="104">
                  <c:v>57.266882199643113</c:v>
                </c:pt>
                <c:pt idx="105">
                  <c:v>57.481301319784158</c:v>
                </c:pt>
                <c:pt idx="106">
                  <c:v>57.689050465402204</c:v>
                </c:pt>
                <c:pt idx="107">
                  <c:v>57.890357354615432</c:v>
                </c:pt>
                <c:pt idx="108">
                  <c:v>58.085222806303712</c:v>
                </c:pt>
                <c:pt idx="109">
                  <c:v>58.273647971531304</c:v>
                </c:pt>
                <c:pt idx="110">
                  <c:v>58.455634046490168</c:v>
                </c:pt>
                <c:pt idx="111">
                  <c:v>58.63118228197434</c:v>
                </c:pt>
                <c:pt idx="112">
                  <c:v>58.80029399507341</c:v>
                </c:pt>
                <c:pt idx="113">
                  <c:v>58.962970063263867</c:v>
                </c:pt>
                <c:pt idx="114">
                  <c:v>59.119212396733467</c:v>
                </c:pt>
                <c:pt idx="115">
                  <c:v>59.269022489278065</c:v>
                </c:pt>
                <c:pt idx="116">
                  <c:v>59.412401906612544</c:v>
                </c:pt>
                <c:pt idx="117">
                  <c:v>59.549352286802439</c:v>
                </c:pt>
                <c:pt idx="118">
                  <c:v>59.679875347614072</c:v>
                </c:pt>
                <c:pt idx="119">
                  <c:v>59.803972878314092</c:v>
                </c:pt>
                <c:pt idx="120">
                  <c:v>59.920737258034293</c:v>
                </c:pt>
                <c:pt idx="121">
                  <c:v>60.029540008406798</c:v>
                </c:pt>
                <c:pt idx="122">
                  <c:v>60.130804574598557</c:v>
                </c:pt>
                <c:pt idx="123">
                  <c:v>60.224953069296276</c:v>
                </c:pt>
                <c:pt idx="124">
                  <c:v>60.312407534805914</c:v>
                </c:pt>
                <c:pt idx="125">
                  <c:v>60.393589931929263</c:v>
                </c:pt>
                <c:pt idx="126">
                  <c:v>60.468922146163379</c:v>
                </c:pt>
                <c:pt idx="127">
                  <c:v>60.538826412901876</c:v>
                </c:pt>
                <c:pt idx="128">
                  <c:v>60.603725165305804</c:v>
                </c:pt>
                <c:pt idx="129">
                  <c:v>60.664040111567054</c:v>
                </c:pt>
                <c:pt idx="130">
                  <c:v>60.720192879469103</c:v>
                </c:pt>
                <c:pt idx="131">
                  <c:v>60.772605018395815</c:v>
                </c:pt>
                <c:pt idx="132">
                  <c:v>60.821697992700003</c:v>
                </c:pt>
                <c:pt idx="133">
                  <c:v>60.867893180661362</c:v>
                </c:pt>
                <c:pt idx="134">
                  <c:v>60.910109887992249</c:v>
                </c:pt>
                <c:pt idx="135">
                  <c:v>60.947128935373442</c:v>
                </c:pt>
                <c:pt idx="136">
                  <c:v>60.979164392958872</c:v>
                </c:pt>
                <c:pt idx="137">
                  <c:v>61.006428954720278</c:v>
                </c:pt>
                <c:pt idx="138">
                  <c:v>61.029135307074007</c:v>
                </c:pt>
                <c:pt idx="139">
                  <c:v>61.047496128421827</c:v>
                </c:pt>
                <c:pt idx="140">
                  <c:v>61.061724085964073</c:v>
                </c:pt>
                <c:pt idx="141">
                  <c:v>61.072030538496406</c:v>
                </c:pt>
                <c:pt idx="142">
                  <c:v>61.07862751957056</c:v>
                </c:pt>
                <c:pt idx="143">
                  <c:v>61.081727543479275</c:v>
                </c:pt>
                <c:pt idx="144">
                  <c:v>61.081543068106491</c:v>
                </c:pt>
                <c:pt idx="145">
                  <c:v>61.078286506189016</c:v>
                </c:pt>
                <c:pt idx="146">
                  <c:v>61.072170213347086</c:v>
                </c:pt>
                <c:pt idx="147">
                  <c:v>61.0634064810978</c:v>
                </c:pt>
                <c:pt idx="148">
                  <c:v>61.050777564103448</c:v>
                </c:pt>
                <c:pt idx="149">
                  <c:v>61.033205466371733</c:v>
                </c:pt>
                <c:pt idx="150">
                  <c:v>61.011111492023552</c:v>
                </c:pt>
                <c:pt idx="151">
                  <c:v>60.984917555198926</c:v>
                </c:pt>
                <c:pt idx="152">
                  <c:v>60.955045373173455</c:v>
                </c:pt>
                <c:pt idx="153">
                  <c:v>60.921916457375659</c:v>
                </c:pt>
                <c:pt idx="154">
                  <c:v>60.88595210301974</c:v>
                </c:pt>
                <c:pt idx="155">
                  <c:v>60.847571971743228</c:v>
                </c:pt>
                <c:pt idx="156">
                  <c:v>60.807198437990479</c:v>
                </c:pt>
                <c:pt idx="157">
                  <c:v>60.765252103874602</c:v>
                </c:pt>
                <c:pt idx="158">
                  <c:v>60.722153327046584</c:v>
                </c:pt>
                <c:pt idx="159">
                  <c:v>60.678322217489445</c:v>
                </c:pt>
                <c:pt idx="160">
                  <c:v>60.634178630421815</c:v>
                </c:pt>
                <c:pt idx="161">
                  <c:v>60.590142162175688</c:v>
                </c:pt>
                <c:pt idx="162">
                  <c:v>60.5455873850429</c:v>
                </c:pt>
                <c:pt idx="163">
                  <c:v>60.499609170765247</c:v>
                </c:pt>
                <c:pt idx="164">
                  <c:v>60.452209520659103</c:v>
                </c:pt>
                <c:pt idx="165">
                  <c:v>60.40338999250703</c:v>
                </c:pt>
                <c:pt idx="166">
                  <c:v>60.3531520321866</c:v>
                </c:pt>
                <c:pt idx="167">
                  <c:v>60.301496967202205</c:v>
                </c:pt>
                <c:pt idx="168">
                  <c:v>60.248426006824786</c:v>
                </c:pt>
                <c:pt idx="169">
                  <c:v>60.193938841874505</c:v>
                </c:pt>
                <c:pt idx="170">
                  <c:v>60.138038154212666</c:v>
                </c:pt>
                <c:pt idx="171">
                  <c:v>60.080724800028406</c:v>
                </c:pt>
                <c:pt idx="172">
                  <c:v>60.02199950876637</c:v>
                </c:pt>
                <c:pt idx="173">
                  <c:v>59.961862903739984</c:v>
                </c:pt>
                <c:pt idx="174">
                  <c:v>59.900315485085969</c:v>
                </c:pt>
                <c:pt idx="175">
                  <c:v>59.837357612614682</c:v>
                </c:pt>
                <c:pt idx="176">
                  <c:v>59.772989528014435</c:v>
                </c:pt>
                <c:pt idx="177">
                  <c:v>59.707209438513644</c:v>
                </c:pt>
                <c:pt idx="178">
                  <c:v>59.6400188289768</c:v>
                </c:pt>
                <c:pt idx="179">
                  <c:v>59.5714175859694</c:v>
                </c:pt>
                <c:pt idx="180">
                  <c:v>59.501405492058375</c:v>
                </c:pt>
                <c:pt idx="181">
                  <c:v>59.429982232857668</c:v>
                </c:pt>
                <c:pt idx="182">
                  <c:v>59.357147400520198</c:v>
                </c:pt>
                <c:pt idx="183">
                  <c:v>59.282900085283821</c:v>
                </c:pt>
                <c:pt idx="184">
                  <c:v>59.207241313029321</c:v>
                </c:pt>
                <c:pt idx="185">
                  <c:v>59.130170463927016</c:v>
                </c:pt>
                <c:pt idx="186">
                  <c:v>59.051686852556628</c:v>
                </c:pt>
                <c:pt idx="187">
                  <c:v>58.971789732487338</c:v>
                </c:pt>
                <c:pt idx="188">
                  <c:v>58.89047830716364</c:v>
                </c:pt>
                <c:pt idx="189">
                  <c:v>58.807751734922192</c:v>
                </c:pt>
                <c:pt idx="190">
                  <c:v>58.724060672977473</c:v>
                </c:pt>
                <c:pt idx="191">
                  <c:v>58.639714478629223</c:v>
                </c:pt>
                <c:pt idx="192">
                  <c:v>58.554505791106926</c:v>
                </c:pt>
                <c:pt idx="193">
                  <c:v>58.468225195067262</c:v>
                </c:pt>
                <c:pt idx="194">
                  <c:v>58.380663341371104</c:v>
                </c:pt>
                <c:pt idx="195">
                  <c:v>58.291610952942371</c:v>
                </c:pt>
                <c:pt idx="196">
                  <c:v>58.200858830875603</c:v>
                </c:pt>
                <c:pt idx="197">
                  <c:v>58.108199118929598</c:v>
                </c:pt>
                <c:pt idx="198">
                  <c:v>58.013423250714425</c:v>
                </c:pt>
                <c:pt idx="199">
                  <c:v>57.916322312472772</c:v>
                </c:pt>
                <c:pt idx="200">
                  <c:v>57.816687488413734</c:v>
                </c:pt>
                <c:pt idx="201">
                  <c:v>57.714310063951395</c:v>
                </c:pt>
                <c:pt idx="202">
                  <c:v>57.608981434277709</c:v>
                </c:pt>
                <c:pt idx="203">
                  <c:v>57.500493104814254</c:v>
                </c:pt>
                <c:pt idx="204">
                  <c:v>57.389157100700764</c:v>
                </c:pt>
                <c:pt idx="205">
                  <c:v>57.275425055048956</c:v>
                </c:pt>
                <c:pt idx="206">
                  <c:v>57.159298982482774</c:v>
                </c:pt>
                <c:pt idx="207">
                  <c:v>57.040778665526425</c:v>
                </c:pt>
                <c:pt idx="208">
                  <c:v>56.919863941596006</c:v>
                </c:pt>
                <c:pt idx="209">
                  <c:v>56.796554707772948</c:v>
                </c:pt>
                <c:pt idx="210">
                  <c:v>56.670850919040873</c:v>
                </c:pt>
                <c:pt idx="211">
                  <c:v>56.54274919837642</c:v>
                </c:pt>
                <c:pt idx="212">
                  <c:v>56.412248292799411</c:v>
                </c:pt>
                <c:pt idx="213">
                  <c:v>56.279348305889044</c:v>
                </c:pt>
                <c:pt idx="214">
                  <c:v>56.144049398730751</c:v>
                </c:pt>
                <c:pt idx="215">
                  <c:v>56.006351789795353</c:v>
                </c:pt>
                <c:pt idx="216">
                  <c:v>55.866255754484499</c:v>
                </c:pt>
                <c:pt idx="217">
                  <c:v>55.72376161979826</c:v>
                </c:pt>
                <c:pt idx="218">
                  <c:v>55.579320277705953</c:v>
                </c:pt>
                <c:pt idx="219">
                  <c:v>55.433241499078335</c:v>
                </c:pt>
                <c:pt idx="220">
                  <c:v>55.285316752062521</c:v>
                </c:pt>
                <c:pt idx="221">
                  <c:v>55.135338523220398</c:v>
                </c:pt>
                <c:pt idx="222">
                  <c:v>54.983099401839681</c:v>
                </c:pt>
                <c:pt idx="223">
                  <c:v>54.828392080057874</c:v>
                </c:pt>
                <c:pt idx="224">
                  <c:v>54.671009347140405</c:v>
                </c:pt>
                <c:pt idx="225">
                  <c:v>54.510740799518452</c:v>
                </c:pt>
                <c:pt idx="226">
                  <c:v>54.347382880524407</c:v>
                </c:pt>
                <c:pt idx="227">
                  <c:v>54.180728657077736</c:v>
                </c:pt>
                <c:pt idx="228">
                  <c:v>54.010571279617587</c:v>
                </c:pt>
                <c:pt idx="229">
                  <c:v>53.836703978867291</c:v>
                </c:pt>
                <c:pt idx="230">
                  <c:v>53.658920067227513</c:v>
                </c:pt>
                <c:pt idx="231">
                  <c:v>53.477012928950593</c:v>
                </c:pt>
                <c:pt idx="232">
                  <c:v>53.291295295876786</c:v>
                </c:pt>
                <c:pt idx="233">
                  <c:v>53.102217319845636</c:v>
                </c:pt>
                <c:pt idx="234">
                  <c:v>52.909782488078285</c:v>
                </c:pt>
                <c:pt idx="235">
                  <c:v>52.713991823235354</c:v>
                </c:pt>
                <c:pt idx="236">
                  <c:v>52.514846351009375</c:v>
                </c:pt>
                <c:pt idx="237">
                  <c:v>52.312347108844186</c:v>
                </c:pt>
                <c:pt idx="238">
                  <c:v>52.106495137579799</c:v>
                </c:pt>
                <c:pt idx="239">
                  <c:v>51.897291265536794</c:v>
                </c:pt>
                <c:pt idx="240">
                  <c:v>51.684739845259486</c:v>
                </c:pt>
                <c:pt idx="241">
                  <c:v>51.468841927304283</c:v>
                </c:pt>
                <c:pt idx="242">
                  <c:v>51.24959857056318</c:v>
                </c:pt>
                <c:pt idx="243">
                  <c:v>51.027010837628282</c:v>
                </c:pt>
                <c:pt idx="244">
                  <c:v>50.801079798280547</c:v>
                </c:pt>
                <c:pt idx="245">
                  <c:v>50.571806527680906</c:v>
                </c:pt>
                <c:pt idx="246">
                  <c:v>50.339192112004014</c:v>
                </c:pt>
                <c:pt idx="247">
                  <c:v>50.103231305945215</c:v>
                </c:pt>
                <c:pt idx="248">
                  <c:v>49.863926166874954</c:v>
                </c:pt>
                <c:pt idx="249">
                  <c:v>49.621277814344865</c:v>
                </c:pt>
                <c:pt idx="250">
                  <c:v>49.375287382936371</c:v>
                </c:pt>
                <c:pt idx="251">
                  <c:v>49.125956018059831</c:v>
                </c:pt>
                <c:pt idx="252">
                  <c:v>48.873284877667516</c:v>
                </c:pt>
                <c:pt idx="253">
                  <c:v>48.617269130771191</c:v>
                </c:pt>
                <c:pt idx="254">
                  <c:v>48.3579102047484</c:v>
                </c:pt>
                <c:pt idx="255">
                  <c:v>48.09520931576342</c:v>
                </c:pt>
                <c:pt idx="256">
                  <c:v>47.829167691957188</c:v>
                </c:pt>
                <c:pt idx="257">
                  <c:v>47.559786572156888</c:v>
                </c:pt>
                <c:pt idx="258">
                  <c:v>47.287067202821248</c:v>
                </c:pt>
                <c:pt idx="259">
                  <c:v>47.011010840247813</c:v>
                </c:pt>
                <c:pt idx="260">
                  <c:v>46.731394174545166</c:v>
                </c:pt>
                <c:pt idx="261">
                  <c:v>46.448061112841302</c:v>
                </c:pt>
                <c:pt idx="262">
                  <c:v>46.16112284873175</c:v>
                </c:pt>
                <c:pt idx="263">
                  <c:v>45.870684285520475</c:v>
                </c:pt>
                <c:pt idx="264">
                  <c:v>45.576850286295517</c:v>
                </c:pt>
                <c:pt idx="265">
                  <c:v>45.279725581471418</c:v>
                </c:pt>
                <c:pt idx="266">
                  <c:v>44.979414889524683</c:v>
                </c:pt>
                <c:pt idx="267">
                  <c:v>44.676004561132643</c:v>
                </c:pt>
                <c:pt idx="268">
                  <c:v>44.369605245642965</c:v>
                </c:pt>
                <c:pt idx="269">
                  <c:v>44.060321666052715</c:v>
                </c:pt>
                <c:pt idx="270">
                  <c:v>43.748258488494827</c:v>
                </c:pt>
                <c:pt idx="271">
                  <c:v>43.433520323273029</c:v>
                </c:pt>
                <c:pt idx="272">
                  <c:v>43.116211715167744</c:v>
                </c:pt>
                <c:pt idx="273">
                  <c:v>42.796437143620381</c:v>
                </c:pt>
                <c:pt idx="274">
                  <c:v>42.472695879008867</c:v>
                </c:pt>
                <c:pt idx="275">
                  <c:v>42.143794289811872</c:v>
                </c:pt>
                <c:pt idx="276">
                  <c:v>41.810357155006059</c:v>
                </c:pt>
                <c:pt idx="277">
                  <c:v>41.473007200988867</c:v>
                </c:pt>
                <c:pt idx="278">
                  <c:v>41.13236697513701</c:v>
                </c:pt>
                <c:pt idx="279">
                  <c:v>40.789058851350944</c:v>
                </c:pt>
                <c:pt idx="280">
                  <c:v>40.443705027723659</c:v>
                </c:pt>
                <c:pt idx="281">
                  <c:v>40.096908395184876</c:v>
                </c:pt>
                <c:pt idx="282">
                  <c:v>39.749308471677786</c:v>
                </c:pt>
                <c:pt idx="283">
                  <c:v>39.401526981902798</c:v>
                </c:pt>
                <c:pt idx="284">
                  <c:v>39.05418548159966</c:v>
                </c:pt>
                <c:pt idx="285">
                  <c:v>38.707905361081842</c:v>
                </c:pt>
                <c:pt idx="286">
                  <c:v>38.363307845373981</c:v>
                </c:pt>
                <c:pt idx="287">
                  <c:v>38.021013995771305</c:v>
                </c:pt>
                <c:pt idx="288">
                  <c:v>37.678971427973217</c:v>
                </c:pt>
                <c:pt idx="289">
                  <c:v>37.335080320229252</c:v>
                </c:pt>
                <c:pt idx="290">
                  <c:v>36.989893421793305</c:v>
                </c:pt>
                <c:pt idx="291">
                  <c:v>36.643927196287137</c:v>
                </c:pt>
                <c:pt idx="292">
                  <c:v>36.297697892185063</c:v>
                </c:pt>
                <c:pt idx="293">
                  <c:v>35.951721547159437</c:v>
                </c:pt>
                <c:pt idx="294">
                  <c:v>35.606513994406399</c:v>
                </c:pt>
                <c:pt idx="295">
                  <c:v>35.262624459992814</c:v>
                </c:pt>
                <c:pt idx="296">
                  <c:v>34.92058440560227</c:v>
                </c:pt>
                <c:pt idx="297">
                  <c:v>34.580907449061513</c:v>
                </c:pt>
                <c:pt idx="298">
                  <c:v>34.24410731827993</c:v>
                </c:pt>
                <c:pt idx="299">
                  <c:v>33.910697547348541</c:v>
                </c:pt>
                <c:pt idx="300">
                  <c:v>33.581191492923196</c:v>
                </c:pt>
                <c:pt idx="301">
                  <c:v>33.256102347633728</c:v>
                </c:pt>
                <c:pt idx="302">
                  <c:v>32.933978161109025</c:v>
                </c:pt>
                <c:pt idx="303">
                  <c:v>32.613204588165836</c:v>
                </c:pt>
                <c:pt idx="304">
                  <c:v>32.294069996959848</c:v>
                </c:pt>
                <c:pt idx="305">
                  <c:v>31.976881962873918</c:v>
                </c:pt>
                <c:pt idx="306">
                  <c:v>31.661947997941123</c:v>
                </c:pt>
                <c:pt idx="307">
                  <c:v>31.34957556344779</c:v>
                </c:pt>
                <c:pt idx="308">
                  <c:v>31.040072082021748</c:v>
                </c:pt>
                <c:pt idx="309">
                  <c:v>30.733737209536905</c:v>
                </c:pt>
                <c:pt idx="310">
                  <c:v>30.430849227621596</c:v>
                </c:pt>
                <c:pt idx="311">
                  <c:v>30.131716577633377</c:v>
                </c:pt>
                <c:pt idx="312">
                  <c:v>29.836647679407498</c:v>
                </c:pt>
                <c:pt idx="313">
                  <c:v>29.545950935843138</c:v>
                </c:pt>
                <c:pt idx="314">
                  <c:v>29.259934733078655</c:v>
                </c:pt>
                <c:pt idx="315">
                  <c:v>28.978907445206193</c:v>
                </c:pt>
                <c:pt idx="316">
                  <c:v>28.701282436855411</c:v>
                </c:pt>
                <c:pt idx="317">
                  <c:v>28.425683443526392</c:v>
                </c:pt>
                <c:pt idx="318">
                  <c:v>28.152645259951804</c:v>
                </c:pt>
                <c:pt idx="319">
                  <c:v>27.882680778800609</c:v>
                </c:pt>
                <c:pt idx="320">
                  <c:v>27.616302973518231</c:v>
                </c:pt>
                <c:pt idx="321">
                  <c:v>27.354024916438597</c:v>
                </c:pt>
                <c:pt idx="322">
                  <c:v>27.09635977887261</c:v>
                </c:pt>
                <c:pt idx="323">
                  <c:v>26.843791154692369</c:v>
                </c:pt>
                <c:pt idx="324">
                  <c:v>26.596839911405151</c:v>
                </c:pt>
                <c:pt idx="325">
                  <c:v>26.356020124719596</c:v>
                </c:pt>
                <c:pt idx="326">
                  <c:v>26.121846248387818</c:v>
                </c:pt>
                <c:pt idx="327">
                  <c:v>25.894832615577791</c:v>
                </c:pt>
                <c:pt idx="328">
                  <c:v>25.675493388111462</c:v>
                </c:pt>
                <c:pt idx="329">
                  <c:v>25.464342802867169</c:v>
                </c:pt>
                <c:pt idx="330">
                  <c:v>25.259261046879828</c:v>
                </c:pt>
                <c:pt idx="331">
                  <c:v>25.05811415123538</c:v>
                </c:pt>
                <c:pt idx="332">
                  <c:v>24.86145881005357</c:v>
                </c:pt>
                <c:pt idx="333">
                  <c:v>24.669916509413646</c:v>
                </c:pt>
                <c:pt idx="334">
                  <c:v>24.484108503531804</c:v>
                </c:pt>
                <c:pt idx="335">
                  <c:v>24.304655808534832</c:v>
                </c:pt>
                <c:pt idx="336">
                  <c:v>24.132179194578534</c:v>
                </c:pt>
                <c:pt idx="337">
                  <c:v>23.967328859599295</c:v>
                </c:pt>
                <c:pt idx="338">
                  <c:v>23.810751218291177</c:v>
                </c:pt>
                <c:pt idx="339">
                  <c:v>23.663065402804019</c:v>
                </c:pt>
                <c:pt idx="340">
                  <c:v>23.524890387907774</c:v>
                </c:pt>
                <c:pt idx="341">
                  <c:v>23.396844970487351</c:v>
                </c:pt>
                <c:pt idx="342">
                  <c:v>23.279547761445482</c:v>
                </c:pt>
                <c:pt idx="343">
                  <c:v>23.173617194896856</c:v>
                </c:pt>
                <c:pt idx="344">
                  <c:v>23.077060558775354</c:v>
                </c:pt>
                <c:pt idx="345">
                  <c:v>22.98779968967893</c:v>
                </c:pt>
                <c:pt idx="346">
                  <c:v>22.906466328142105</c:v>
                </c:pt>
                <c:pt idx="347">
                  <c:v>22.833548978657227</c:v>
                </c:pt>
                <c:pt idx="348">
                  <c:v>22.769536198444026</c:v>
                </c:pt>
                <c:pt idx="349">
                  <c:v>22.714916582248311</c:v>
                </c:pt>
                <c:pt idx="350">
                  <c:v>22.670178725519985</c:v>
                </c:pt>
                <c:pt idx="351">
                  <c:v>22.635874776768492</c:v>
                </c:pt>
                <c:pt idx="352">
                  <c:v>22.612464815225348</c:v>
                </c:pt>
                <c:pt idx="353">
                  <c:v>22.600437207898118</c:v>
                </c:pt>
                <c:pt idx="354">
                  <c:v>22.600280301911681</c:v>
                </c:pt>
                <c:pt idx="355">
                  <c:v>22.61248241232504</c:v>
                </c:pt>
                <c:pt idx="356">
                  <c:v>22.637532247691158</c:v>
                </c:pt>
                <c:pt idx="357">
                  <c:v>22.675917610804923</c:v>
                </c:pt>
                <c:pt idx="358">
                  <c:v>22.728029380550307</c:v>
                </c:pt>
                <c:pt idx="359">
                  <c:v>22.793609544001246</c:v>
                </c:pt>
                <c:pt idx="360">
                  <c:v>22.872201053389478</c:v>
                </c:pt>
                <c:pt idx="361">
                  <c:v>22.963256430127213</c:v>
                </c:pt>
                <c:pt idx="362">
                  <c:v>23.066291136892399</c:v>
                </c:pt>
                <c:pt idx="363">
                  <c:v>23.180820704592687</c:v>
                </c:pt>
                <c:pt idx="364">
                  <c:v>23.306360743555675</c:v>
                </c:pt>
                <c:pt idx="365">
                  <c:v>23.442426924703394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14.833</c:v>
                </c:pt>
                <c:pt idx="1">
                  <c:v>23.25</c:v>
                </c:pt>
                <c:pt idx="2">
                  <c:v>8.0660000000000007</c:v>
                </c:pt>
                <c:pt idx="3">
                  <c:v>6.2590000000000003</c:v>
                </c:pt>
                <c:pt idx="4">
                  <c:v>13.637</c:v>
                </c:pt>
                <c:pt idx="5">
                  <c:v>25.068999999999999</c:v>
                </c:pt>
                <c:pt idx="6">
                  <c:v>7.0620000000000003</c:v>
                </c:pt>
                <c:pt idx="7">
                  <c:v>12.936</c:v>
                </c:pt>
                <c:pt idx="8">
                  <c:v>24.748000000000001</c:v>
                </c:pt>
                <c:pt idx="9">
                  <c:v>8.7219999999999995</c:v>
                </c:pt>
                <c:pt idx="10">
                  <c:v>26.308</c:v>
                </c:pt>
                <c:pt idx="11">
                  <c:v>26.402000000000001</c:v>
                </c:pt>
                <c:pt idx="12">
                  <c:v>15.603</c:v>
                </c:pt>
                <c:pt idx="13">
                  <c:v>26.172999999999998</c:v>
                </c:pt>
                <c:pt idx="14">
                  <c:v>22.597999999999999</c:v>
                </c:pt>
                <c:pt idx="15">
                  <c:v>23.838999999999999</c:v>
                </c:pt>
                <c:pt idx="16">
                  <c:v>4.5709999999999997</c:v>
                </c:pt>
                <c:pt idx="17">
                  <c:v>18.234999999999999</c:v>
                </c:pt>
                <c:pt idx="18">
                  <c:v>27.359000000000002</c:v>
                </c:pt>
                <c:pt idx="19">
                  <c:v>11.826000000000001</c:v>
                </c:pt>
                <c:pt idx="20">
                  <c:v>3.4740000000000002</c:v>
                </c:pt>
                <c:pt idx="21">
                  <c:v>1.153</c:v>
                </c:pt>
                <c:pt idx="22">
                  <c:v>13.63</c:v>
                </c:pt>
                <c:pt idx="23">
                  <c:v>16.231000000000002</c:v>
                </c:pt>
                <c:pt idx="24">
                  <c:v>16.327999999999999</c:v>
                </c:pt>
                <c:pt idx="25">
                  <c:v>6.7439999999999998</c:v>
                </c:pt>
                <c:pt idx="26">
                  <c:v>11.04</c:v>
                </c:pt>
                <c:pt idx="27">
                  <c:v>17.626000000000001</c:v>
                </c:pt>
                <c:pt idx="28">
                  <c:v>19.056000000000001</c:v>
                </c:pt>
                <c:pt idx="29">
                  <c:v>11.372999999999999</c:v>
                </c:pt>
                <c:pt idx="30">
                  <c:v>22.277999999999999</c:v>
                </c:pt>
                <c:pt idx="31">
                  <c:v>11.956</c:v>
                </c:pt>
                <c:pt idx="32">
                  <c:v>28.681999999999999</c:v>
                </c:pt>
                <c:pt idx="33">
                  <c:v>26.571000000000002</c:v>
                </c:pt>
                <c:pt idx="34">
                  <c:v>18.635000000000002</c:v>
                </c:pt>
                <c:pt idx="35">
                  <c:v>34.356999999999999</c:v>
                </c:pt>
                <c:pt idx="36">
                  <c:v>35.697000000000003</c:v>
                </c:pt>
                <c:pt idx="37">
                  <c:v>23.544</c:v>
                </c:pt>
                <c:pt idx="38">
                  <c:v>28.515000000000001</c:v>
                </c:pt>
                <c:pt idx="39">
                  <c:v>29.129000000000001</c:v>
                </c:pt>
                <c:pt idx="40">
                  <c:v>9.157</c:v>
                </c:pt>
                <c:pt idx="41">
                  <c:v>8.4220000000000006</c:v>
                </c:pt>
                <c:pt idx="42">
                  <c:v>20.038</c:v>
                </c:pt>
                <c:pt idx="43">
                  <c:v>16.951000000000001</c:v>
                </c:pt>
                <c:pt idx="44">
                  <c:v>30.757999999999999</c:v>
                </c:pt>
                <c:pt idx="45">
                  <c:v>36.521000000000001</c:v>
                </c:pt>
                <c:pt idx="46">
                  <c:v>21.6</c:v>
                </c:pt>
                <c:pt idx="47">
                  <c:v>5.7690000000000001</c:v>
                </c:pt>
                <c:pt idx="48">
                  <c:v>28.812999999999999</c:v>
                </c:pt>
                <c:pt idx="49">
                  <c:v>26.882000000000001</c:v>
                </c:pt>
                <c:pt idx="50">
                  <c:v>39.883000000000003</c:v>
                </c:pt>
                <c:pt idx="51">
                  <c:v>13.829000000000001</c:v>
                </c:pt>
                <c:pt idx="52">
                  <c:v>38.417000000000002</c:v>
                </c:pt>
                <c:pt idx="53">
                  <c:v>39.973999999999997</c:v>
                </c:pt>
                <c:pt idx="54">
                  <c:v>39.926000000000002</c:v>
                </c:pt>
                <c:pt idx="55">
                  <c:v>16.076000000000001</c:v>
                </c:pt>
                <c:pt idx="56">
                  <c:v>19.751000000000001</c:v>
                </c:pt>
                <c:pt idx="57">
                  <c:v>8.0790000000000006</c:v>
                </c:pt>
                <c:pt idx="58">
                  <c:v>18.189</c:v>
                </c:pt>
                <c:pt idx="59">
                  <c:v>15.598000000000001</c:v>
                </c:pt>
                <c:pt idx="60">
                  <c:v>29.762</c:v>
                </c:pt>
                <c:pt idx="61">
                  <c:v>23.271000000000001</c:v>
                </c:pt>
                <c:pt idx="62">
                  <c:v>5.3719999999999999</c:v>
                </c:pt>
                <c:pt idx="63">
                  <c:v>8.7349999999999994</c:v>
                </c:pt>
                <c:pt idx="64">
                  <c:v>11</c:v>
                </c:pt>
                <c:pt idx="65">
                  <c:v>21.175000000000001</c:v>
                </c:pt>
                <c:pt idx="66">
                  <c:v>27.581</c:v>
                </c:pt>
                <c:pt idx="67">
                  <c:v>32.066000000000003</c:v>
                </c:pt>
                <c:pt idx="68">
                  <c:v>26.501000000000001</c:v>
                </c:pt>
                <c:pt idx="69">
                  <c:v>32.311999999999998</c:v>
                </c:pt>
                <c:pt idx="70">
                  <c:v>41.677999999999997</c:v>
                </c:pt>
                <c:pt idx="71">
                  <c:v>16.687000000000001</c:v>
                </c:pt>
                <c:pt idx="72">
                  <c:v>40.29</c:v>
                </c:pt>
                <c:pt idx="73">
                  <c:v>32.552999999999997</c:v>
                </c:pt>
                <c:pt idx="74">
                  <c:v>48.665999999999997</c:v>
                </c:pt>
                <c:pt idx="75">
                  <c:v>9.4250000000000007</c:v>
                </c:pt>
                <c:pt idx="76">
                  <c:v>13.103</c:v>
                </c:pt>
                <c:pt idx="77">
                  <c:v>44.927</c:v>
                </c:pt>
                <c:pt idx="78">
                  <c:v>46.67</c:v>
                </c:pt>
                <c:pt idx="79">
                  <c:v>50.042000000000002</c:v>
                </c:pt>
                <c:pt idx="80">
                  <c:v>48.831000000000003</c:v>
                </c:pt>
                <c:pt idx="81">
                  <c:v>45.335999999999999</c:v>
                </c:pt>
                <c:pt idx="82">
                  <c:v>35.000999999999998</c:v>
                </c:pt>
                <c:pt idx="83">
                  <c:v>42.533000000000001</c:v>
                </c:pt>
                <c:pt idx="84">
                  <c:v>52.134999999999998</c:v>
                </c:pt>
                <c:pt idx="85">
                  <c:v>26.934000000000001</c:v>
                </c:pt>
                <c:pt idx="86">
                  <c:v>49.070999999999998</c:v>
                </c:pt>
                <c:pt idx="87">
                  <c:v>49.945999999999998</c:v>
                </c:pt>
                <c:pt idx="88">
                  <c:v>29.283999999999999</c:v>
                </c:pt>
                <c:pt idx="89">
                  <c:v>18.707000000000001</c:v>
                </c:pt>
                <c:pt idx="90">
                  <c:v>45.128</c:v>
                </c:pt>
                <c:pt idx="91">
                  <c:v>42.337000000000003</c:v>
                </c:pt>
                <c:pt idx="92">
                  <c:v>27.228000000000002</c:v>
                </c:pt>
                <c:pt idx="93">
                  <c:v>55.165999999999997</c:v>
                </c:pt>
                <c:pt idx="94">
                  <c:v>56.668999999999997</c:v>
                </c:pt>
                <c:pt idx="95">
                  <c:v>57.189</c:v>
                </c:pt>
                <c:pt idx="96">
                  <c:v>32.110999999999997</c:v>
                </c:pt>
                <c:pt idx="97">
                  <c:v>35.213000000000001</c:v>
                </c:pt>
                <c:pt idx="98">
                  <c:v>43.156999999999996</c:v>
                </c:pt>
                <c:pt idx="99">
                  <c:v>55.725999999999999</c:v>
                </c:pt>
                <c:pt idx="100">
                  <c:v>56.899000000000001</c:v>
                </c:pt>
                <c:pt idx="101">
                  <c:v>55.701000000000001</c:v>
                </c:pt>
                <c:pt idx="102">
                  <c:v>44.466999999999999</c:v>
                </c:pt>
                <c:pt idx="103">
                  <c:v>17.306999999999999</c:v>
                </c:pt>
                <c:pt idx="104">
                  <c:v>54.606000000000002</c:v>
                </c:pt>
                <c:pt idx="105">
                  <c:v>49.283999999999999</c:v>
                </c:pt>
                <c:pt idx="106">
                  <c:v>44.558</c:v>
                </c:pt>
                <c:pt idx="107">
                  <c:v>34.134</c:v>
                </c:pt>
                <c:pt idx="108">
                  <c:v>43.994999999999997</c:v>
                </c:pt>
                <c:pt idx="109">
                  <c:v>18.492999999999999</c:v>
                </c:pt>
                <c:pt idx="110">
                  <c:v>14.622999999999999</c:v>
                </c:pt>
                <c:pt idx="111">
                  <c:v>15.308999999999999</c:v>
                </c:pt>
                <c:pt idx="112">
                  <c:v>9.6440000000000001</c:v>
                </c:pt>
                <c:pt idx="113">
                  <c:v>16.388999999999999</c:v>
                </c:pt>
                <c:pt idx="114">
                  <c:v>54.923000000000002</c:v>
                </c:pt>
                <c:pt idx="115">
                  <c:v>46.838999999999999</c:v>
                </c:pt>
                <c:pt idx="116">
                  <c:v>25.306999999999999</c:v>
                </c:pt>
                <c:pt idx="117">
                  <c:v>21.885000000000002</c:v>
                </c:pt>
                <c:pt idx="118">
                  <c:v>29.417999999999999</c:v>
                </c:pt>
                <c:pt idx="119">
                  <c:v>52.289000000000001</c:v>
                </c:pt>
                <c:pt idx="120">
                  <c:v>44.42</c:v>
                </c:pt>
                <c:pt idx="121">
                  <c:v>20.826000000000001</c:v>
                </c:pt>
                <c:pt idx="122">
                  <c:v>35.152999999999999</c:v>
                </c:pt>
                <c:pt idx="123">
                  <c:v>51.606000000000002</c:v>
                </c:pt>
                <c:pt idx="124">
                  <c:v>57.305999999999997</c:v>
                </c:pt>
                <c:pt idx="125">
                  <c:v>51.91</c:v>
                </c:pt>
                <c:pt idx="126">
                  <c:v>57.701000000000001</c:v>
                </c:pt>
                <c:pt idx="127">
                  <c:v>51.043999999999997</c:v>
                </c:pt>
                <c:pt idx="128">
                  <c:v>52.079000000000001</c:v>
                </c:pt>
                <c:pt idx="129">
                  <c:v>49.540999999999997</c:v>
                </c:pt>
                <c:pt idx="130">
                  <c:v>11.788</c:v>
                </c:pt>
                <c:pt idx="131">
                  <c:v>8.2669999999999995</c:v>
                </c:pt>
                <c:pt idx="132">
                  <c:v>20.25</c:v>
                </c:pt>
                <c:pt idx="133">
                  <c:v>30.809000000000001</c:v>
                </c:pt>
                <c:pt idx="134">
                  <c:v>19.992000000000001</c:v>
                </c:pt>
                <c:pt idx="135">
                  <c:v>16.515000000000001</c:v>
                </c:pt>
                <c:pt idx="136">
                  <c:v>36.479999999999997</c:v>
                </c:pt>
                <c:pt idx="137">
                  <c:v>62.137999999999998</c:v>
                </c:pt>
                <c:pt idx="138">
                  <c:v>60.875999999999998</c:v>
                </c:pt>
                <c:pt idx="139">
                  <c:v>59.414999999999999</c:v>
                </c:pt>
                <c:pt idx="140">
                  <c:v>58.817999999999998</c:v>
                </c:pt>
                <c:pt idx="141">
                  <c:v>54.374000000000002</c:v>
                </c:pt>
                <c:pt idx="142">
                  <c:v>55.264000000000003</c:v>
                </c:pt>
                <c:pt idx="143">
                  <c:v>17.702000000000002</c:v>
                </c:pt>
                <c:pt idx="144">
                  <c:v>57.05</c:v>
                </c:pt>
                <c:pt idx="145">
                  <c:v>59.686</c:v>
                </c:pt>
                <c:pt idx="146">
                  <c:v>59.369</c:v>
                </c:pt>
                <c:pt idx="147">
                  <c:v>58.537999999999997</c:v>
                </c:pt>
                <c:pt idx="148">
                  <c:v>58.517000000000003</c:v>
                </c:pt>
                <c:pt idx="149">
                  <c:v>56.478999999999999</c:v>
                </c:pt>
                <c:pt idx="150">
                  <c:v>59.707000000000001</c:v>
                </c:pt>
                <c:pt idx="151">
                  <c:v>59.276000000000003</c:v>
                </c:pt>
                <c:pt idx="152">
                  <c:v>30.527000000000001</c:v>
                </c:pt>
                <c:pt idx="153">
                  <c:v>45.482999999999997</c:v>
                </c:pt>
                <c:pt idx="154">
                  <c:v>27.007000000000001</c:v>
                </c:pt>
                <c:pt idx="155">
                  <c:v>35.353999999999999</c:v>
                </c:pt>
                <c:pt idx="156">
                  <c:v>22.687999999999999</c:v>
                </c:pt>
                <c:pt idx="157">
                  <c:v>26.338999999999999</c:v>
                </c:pt>
                <c:pt idx="158">
                  <c:v>40.082999999999998</c:v>
                </c:pt>
                <c:pt idx="159">
                  <c:v>42.82</c:v>
                </c:pt>
                <c:pt idx="160">
                  <c:v>24.13</c:v>
                </c:pt>
                <c:pt idx="161">
                  <c:v>41.365000000000002</c:v>
                </c:pt>
                <c:pt idx="162">
                  <c:v>27.196999999999999</c:v>
                </c:pt>
                <c:pt idx="163">
                  <c:v>55.634</c:v>
                </c:pt>
                <c:pt idx="164">
                  <c:v>41.292000000000002</c:v>
                </c:pt>
                <c:pt idx="165">
                  <c:v>47.137999999999998</c:v>
                </c:pt>
                <c:pt idx="166">
                  <c:v>43.448999999999998</c:v>
                </c:pt>
                <c:pt idx="167">
                  <c:v>30.068999999999999</c:v>
                </c:pt>
                <c:pt idx="168">
                  <c:v>52.363999999999997</c:v>
                </c:pt>
                <c:pt idx="169">
                  <c:v>44.738999999999997</c:v>
                </c:pt>
                <c:pt idx="170">
                  <c:v>54.198</c:v>
                </c:pt>
                <c:pt idx="171">
                  <c:v>49.634</c:v>
                </c:pt>
                <c:pt idx="172">
                  <c:v>60.545000000000002</c:v>
                </c:pt>
                <c:pt idx="173">
                  <c:v>48.999000000000002</c:v>
                </c:pt>
                <c:pt idx="174">
                  <c:v>59.359000000000002</c:v>
                </c:pt>
                <c:pt idx="175">
                  <c:v>55.472999999999999</c:v>
                </c:pt>
                <c:pt idx="176">
                  <c:v>50.716999999999999</c:v>
                </c:pt>
                <c:pt idx="177">
                  <c:v>47.253</c:v>
                </c:pt>
                <c:pt idx="178">
                  <c:v>42.372</c:v>
                </c:pt>
                <c:pt idx="179">
                  <c:v>47.529000000000003</c:v>
                </c:pt>
                <c:pt idx="180">
                  <c:v>25.844000000000001</c:v>
                </c:pt>
                <c:pt idx="181">
                  <c:v>57.911999999999999</c:v>
                </c:pt>
                <c:pt idx="182">
                  <c:v>42.107999999999997</c:v>
                </c:pt>
                <c:pt idx="183">
                  <c:v>19.082999999999998</c:v>
                </c:pt>
                <c:pt idx="184">
                  <c:v>44.774000000000001</c:v>
                </c:pt>
                <c:pt idx="185">
                  <c:v>58.3</c:v>
                </c:pt>
                <c:pt idx="186">
                  <c:v>57.863999999999997</c:v>
                </c:pt>
                <c:pt idx="187">
                  <c:v>40.103999999999999</c:v>
                </c:pt>
                <c:pt idx="188">
                  <c:v>59.982999999999997</c:v>
                </c:pt>
                <c:pt idx="189">
                  <c:v>58.048000000000002</c:v>
                </c:pt>
                <c:pt idx="190">
                  <c:v>54.444000000000003</c:v>
                </c:pt>
                <c:pt idx="191">
                  <c:v>46.033999999999999</c:v>
                </c:pt>
                <c:pt idx="192">
                  <c:v>47.225999999999999</c:v>
                </c:pt>
                <c:pt idx="193">
                  <c:v>38.625999999999998</c:v>
                </c:pt>
                <c:pt idx="194">
                  <c:v>57.844999999999999</c:v>
                </c:pt>
                <c:pt idx="195">
                  <c:v>47.076999999999998</c:v>
                </c:pt>
                <c:pt idx="196">
                  <c:v>19.605</c:v>
                </c:pt>
                <c:pt idx="197">
                  <c:v>23.753</c:v>
                </c:pt>
                <c:pt idx="198">
                  <c:v>27.015999999999998</c:v>
                </c:pt>
                <c:pt idx="199">
                  <c:v>57.856000000000002</c:v>
                </c:pt>
                <c:pt idx="200">
                  <c:v>56.694000000000003</c:v>
                </c:pt>
                <c:pt idx="201">
                  <c:v>49.101999999999997</c:v>
                </c:pt>
                <c:pt idx="202">
                  <c:v>52.485999999999997</c:v>
                </c:pt>
                <c:pt idx="203">
                  <c:v>51.682000000000002</c:v>
                </c:pt>
                <c:pt idx="204">
                  <c:v>47.62</c:v>
                </c:pt>
                <c:pt idx="205">
                  <c:v>56.234000000000002</c:v>
                </c:pt>
                <c:pt idx="206">
                  <c:v>55.341999999999999</c:v>
                </c:pt>
                <c:pt idx="207">
                  <c:v>45.497999999999998</c:v>
                </c:pt>
                <c:pt idx="208">
                  <c:v>53.284999999999997</c:v>
                </c:pt>
                <c:pt idx="209">
                  <c:v>34.636000000000003</c:v>
                </c:pt>
                <c:pt idx="210">
                  <c:v>49.616999999999997</c:v>
                </c:pt>
                <c:pt idx="211">
                  <c:v>53.23</c:v>
                </c:pt>
                <c:pt idx="212">
                  <c:v>51.5</c:v>
                </c:pt>
                <c:pt idx="213">
                  <c:v>45.91</c:v>
                </c:pt>
                <c:pt idx="214">
                  <c:v>34.630000000000003</c:v>
                </c:pt>
                <c:pt idx="215">
                  <c:v>47.789000000000001</c:v>
                </c:pt>
                <c:pt idx="216">
                  <c:v>54.463000000000001</c:v>
                </c:pt>
                <c:pt idx="217">
                  <c:v>55.325000000000003</c:v>
                </c:pt>
                <c:pt idx="218">
                  <c:v>53.555999999999997</c:v>
                </c:pt>
                <c:pt idx="219">
                  <c:v>51.975999999999999</c:v>
                </c:pt>
                <c:pt idx="220">
                  <c:v>50.381999999999998</c:v>
                </c:pt>
                <c:pt idx="221">
                  <c:v>40.457999999999998</c:v>
                </c:pt>
                <c:pt idx="222">
                  <c:v>36.767000000000003</c:v>
                </c:pt>
                <c:pt idx="223">
                  <c:v>42.232999999999997</c:v>
                </c:pt>
                <c:pt idx="224">
                  <c:v>28.698</c:v>
                </c:pt>
                <c:pt idx="225">
                  <c:v>16.992999999999999</c:v>
                </c:pt>
                <c:pt idx="226">
                  <c:v>47.960999999999999</c:v>
                </c:pt>
                <c:pt idx="227">
                  <c:v>46.070999999999998</c:v>
                </c:pt>
                <c:pt idx="228">
                  <c:v>18.710999999999999</c:v>
                </c:pt>
                <c:pt idx="229">
                  <c:v>42.470999999999997</c:v>
                </c:pt>
                <c:pt idx="230">
                  <c:v>41.753999999999998</c:v>
                </c:pt>
                <c:pt idx="231">
                  <c:v>51.228999999999999</c:v>
                </c:pt>
                <c:pt idx="232">
                  <c:v>51.607999999999997</c:v>
                </c:pt>
                <c:pt idx="233">
                  <c:v>46.465000000000003</c:v>
                </c:pt>
                <c:pt idx="234">
                  <c:v>37.284999999999997</c:v>
                </c:pt>
                <c:pt idx="235">
                  <c:v>42.247999999999998</c:v>
                </c:pt>
                <c:pt idx="236">
                  <c:v>47.832000000000001</c:v>
                </c:pt>
                <c:pt idx="237">
                  <c:v>50.917000000000002</c:v>
                </c:pt>
                <c:pt idx="238">
                  <c:v>27.321999999999999</c:v>
                </c:pt>
                <c:pt idx="239">
                  <c:v>48.662999999999997</c:v>
                </c:pt>
                <c:pt idx="240">
                  <c:v>9.5429999999999993</c:v>
                </c:pt>
                <c:pt idx="241">
                  <c:v>22.712</c:v>
                </c:pt>
                <c:pt idx="242">
                  <c:v>32.860999999999997</c:v>
                </c:pt>
                <c:pt idx="243">
                  <c:v>45.25</c:v>
                </c:pt>
                <c:pt idx="244">
                  <c:v>46.79</c:v>
                </c:pt>
                <c:pt idx="245">
                  <c:v>52.018000000000001</c:v>
                </c:pt>
                <c:pt idx="246">
                  <c:v>50.156999999999996</c:v>
                </c:pt>
                <c:pt idx="247">
                  <c:v>50.482999999999997</c:v>
                </c:pt>
                <c:pt idx="248">
                  <c:v>45.305</c:v>
                </c:pt>
                <c:pt idx="249">
                  <c:v>28.015000000000001</c:v>
                </c:pt>
                <c:pt idx="250">
                  <c:v>45.552999999999997</c:v>
                </c:pt>
                <c:pt idx="251">
                  <c:v>47.585000000000001</c:v>
                </c:pt>
                <c:pt idx="252">
                  <c:v>24.550999999999998</c:v>
                </c:pt>
                <c:pt idx="253">
                  <c:v>43.604999999999997</c:v>
                </c:pt>
                <c:pt idx="254">
                  <c:v>43.33</c:v>
                </c:pt>
                <c:pt idx="255">
                  <c:v>46.220999999999997</c:v>
                </c:pt>
                <c:pt idx="256">
                  <c:v>45.725000000000001</c:v>
                </c:pt>
                <c:pt idx="257">
                  <c:v>46.771999999999998</c:v>
                </c:pt>
                <c:pt idx="258">
                  <c:v>40.478999999999999</c:v>
                </c:pt>
                <c:pt idx="259">
                  <c:v>41.162999999999997</c:v>
                </c:pt>
                <c:pt idx="260">
                  <c:v>41.536000000000001</c:v>
                </c:pt>
                <c:pt idx="261">
                  <c:v>19.276</c:v>
                </c:pt>
                <c:pt idx="262">
                  <c:v>32.499000000000002</c:v>
                </c:pt>
                <c:pt idx="263">
                  <c:v>31.495999999999999</c:v>
                </c:pt>
                <c:pt idx="264">
                  <c:v>27.753</c:v>
                </c:pt>
                <c:pt idx="265">
                  <c:v>25.324999999999999</c:v>
                </c:pt>
                <c:pt idx="266">
                  <c:v>37.786000000000001</c:v>
                </c:pt>
                <c:pt idx="267">
                  <c:v>20.876000000000001</c:v>
                </c:pt>
                <c:pt idx="268">
                  <c:v>20.646000000000001</c:v>
                </c:pt>
                <c:pt idx="269">
                  <c:v>14.234999999999999</c:v>
                </c:pt>
                <c:pt idx="270">
                  <c:v>12.301</c:v>
                </c:pt>
                <c:pt idx="271">
                  <c:v>30.709</c:v>
                </c:pt>
                <c:pt idx="272">
                  <c:v>34.106999999999999</c:v>
                </c:pt>
                <c:pt idx="273">
                  <c:v>41.97</c:v>
                </c:pt>
                <c:pt idx="274">
                  <c:v>7.9740000000000002</c:v>
                </c:pt>
                <c:pt idx="275">
                  <c:v>5.9889999999999999</c:v>
                </c:pt>
                <c:pt idx="276">
                  <c:v>16.891999999999999</c:v>
                </c:pt>
                <c:pt idx="277">
                  <c:v>21.129000000000001</c:v>
                </c:pt>
                <c:pt idx="278">
                  <c:v>28.23</c:v>
                </c:pt>
                <c:pt idx="279">
                  <c:v>6.4269999999999996</c:v>
                </c:pt>
                <c:pt idx="280">
                  <c:v>29.568999999999999</c:v>
                </c:pt>
                <c:pt idx="281">
                  <c:v>35.393999999999998</c:v>
                </c:pt>
                <c:pt idx="282">
                  <c:v>24.646999999999998</c:v>
                </c:pt>
                <c:pt idx="283">
                  <c:v>22.869</c:v>
                </c:pt>
                <c:pt idx="284">
                  <c:v>15.739000000000001</c:v>
                </c:pt>
                <c:pt idx="285">
                  <c:v>24.847000000000001</c:v>
                </c:pt>
                <c:pt idx="286">
                  <c:v>22.4</c:v>
                </c:pt>
                <c:pt idx="287">
                  <c:v>13.771000000000001</c:v>
                </c:pt>
                <c:pt idx="288">
                  <c:v>19.210999999999999</c:v>
                </c:pt>
                <c:pt idx="289">
                  <c:v>9.5749999999999993</c:v>
                </c:pt>
                <c:pt idx="290">
                  <c:v>36.518999999999998</c:v>
                </c:pt>
                <c:pt idx="291">
                  <c:v>36.308999999999997</c:v>
                </c:pt>
                <c:pt idx="292">
                  <c:v>29.86</c:v>
                </c:pt>
                <c:pt idx="293">
                  <c:v>5.6079999999999997</c:v>
                </c:pt>
                <c:pt idx="294">
                  <c:v>24.57</c:v>
                </c:pt>
                <c:pt idx="295">
                  <c:v>4.9950000000000001</c:v>
                </c:pt>
                <c:pt idx="296">
                  <c:v>9.5969999999999995</c:v>
                </c:pt>
                <c:pt idx="297">
                  <c:v>30.431999999999999</c:v>
                </c:pt>
                <c:pt idx="298">
                  <c:v>22.297999999999998</c:v>
                </c:pt>
                <c:pt idx="299">
                  <c:v>23.433</c:v>
                </c:pt>
                <c:pt idx="300">
                  <c:v>24.466000000000001</c:v>
                </c:pt>
                <c:pt idx="301">
                  <c:v>13.099</c:v>
                </c:pt>
                <c:pt idx="302">
                  <c:v>26.818000000000001</c:v>
                </c:pt>
                <c:pt idx="303">
                  <c:v>32.104999999999997</c:v>
                </c:pt>
                <c:pt idx="304">
                  <c:v>30.908000000000001</c:v>
                </c:pt>
                <c:pt idx="305">
                  <c:v>27.364000000000001</c:v>
                </c:pt>
                <c:pt idx="306">
                  <c:v>27.866</c:v>
                </c:pt>
                <c:pt idx="307">
                  <c:v>5.1719999999999997</c:v>
                </c:pt>
                <c:pt idx="308">
                  <c:v>15.654999999999999</c:v>
                </c:pt>
                <c:pt idx="309">
                  <c:v>23.021999999999998</c:v>
                </c:pt>
                <c:pt idx="310">
                  <c:v>16.626000000000001</c:v>
                </c:pt>
                <c:pt idx="311">
                  <c:v>5.3550000000000004</c:v>
                </c:pt>
                <c:pt idx="312">
                  <c:v>22.867999999999999</c:v>
                </c:pt>
                <c:pt idx="313">
                  <c:v>14.817</c:v>
                </c:pt>
                <c:pt idx="314">
                  <c:v>10.241</c:v>
                </c:pt>
                <c:pt idx="315">
                  <c:v>24.347000000000001</c:v>
                </c:pt>
                <c:pt idx="316">
                  <c:v>27.334</c:v>
                </c:pt>
                <c:pt idx="317">
                  <c:v>18.699000000000002</c:v>
                </c:pt>
                <c:pt idx="318">
                  <c:v>25.303000000000001</c:v>
                </c:pt>
                <c:pt idx="319">
                  <c:v>19.539000000000001</c:v>
                </c:pt>
                <c:pt idx="320">
                  <c:v>21.817</c:v>
                </c:pt>
                <c:pt idx="321">
                  <c:v>25.614000000000001</c:v>
                </c:pt>
                <c:pt idx="322">
                  <c:v>26.841999999999999</c:v>
                </c:pt>
                <c:pt idx="323">
                  <c:v>8.8290000000000006</c:v>
                </c:pt>
                <c:pt idx="324">
                  <c:v>19.265999999999998</c:v>
                </c:pt>
                <c:pt idx="325">
                  <c:v>27.439</c:v>
                </c:pt>
                <c:pt idx="326">
                  <c:v>27.347000000000001</c:v>
                </c:pt>
                <c:pt idx="327">
                  <c:v>25.472999999999999</c:v>
                </c:pt>
                <c:pt idx="328">
                  <c:v>24.155999999999999</c:v>
                </c:pt>
                <c:pt idx="329">
                  <c:v>25.283999999999999</c:v>
                </c:pt>
                <c:pt idx="330">
                  <c:v>21.893999999999998</c:v>
                </c:pt>
                <c:pt idx="331">
                  <c:v>15.404999999999999</c:v>
                </c:pt>
                <c:pt idx="332">
                  <c:v>8.6669999999999998</c:v>
                </c:pt>
                <c:pt idx="333">
                  <c:v>23.771999999999998</c:v>
                </c:pt>
                <c:pt idx="334">
                  <c:v>24.553000000000001</c:v>
                </c:pt>
                <c:pt idx="335">
                  <c:v>4.5819999999999999</c:v>
                </c:pt>
                <c:pt idx="336">
                  <c:v>1.2110000000000001</c:v>
                </c:pt>
                <c:pt idx="337">
                  <c:v>12.276999999999999</c:v>
                </c:pt>
                <c:pt idx="338">
                  <c:v>8.5</c:v>
                </c:pt>
                <c:pt idx="339">
                  <c:v>17.736000000000001</c:v>
                </c:pt>
                <c:pt idx="340">
                  <c:v>12.382999999999999</c:v>
                </c:pt>
                <c:pt idx="341">
                  <c:v>2.6560000000000001</c:v>
                </c:pt>
                <c:pt idx="342">
                  <c:v>8.7539999999999996</c:v>
                </c:pt>
                <c:pt idx="343">
                  <c:v>8.3620000000000001</c:v>
                </c:pt>
                <c:pt idx="344">
                  <c:v>4.5670000000000002</c:v>
                </c:pt>
                <c:pt idx="345">
                  <c:v>6.77</c:v>
                </c:pt>
                <c:pt idx="346">
                  <c:v>10.417999999999999</c:v>
                </c:pt>
                <c:pt idx="347">
                  <c:v>10.044</c:v>
                </c:pt>
                <c:pt idx="348">
                  <c:v>3.6589999999999998</c:v>
                </c:pt>
                <c:pt idx="349">
                  <c:v>2.3919999999999999</c:v>
                </c:pt>
                <c:pt idx="350">
                  <c:v>17.013000000000002</c:v>
                </c:pt>
                <c:pt idx="351">
                  <c:v>8.8520000000000003</c:v>
                </c:pt>
                <c:pt idx="352">
                  <c:v>11.278</c:v>
                </c:pt>
                <c:pt idx="353">
                  <c:v>8.7479999999999993</c:v>
                </c:pt>
                <c:pt idx="354">
                  <c:v>6.4050000000000002</c:v>
                </c:pt>
                <c:pt idx="355">
                  <c:v>8.0020000000000007</c:v>
                </c:pt>
                <c:pt idx="356">
                  <c:v>19.337</c:v>
                </c:pt>
                <c:pt idx="357">
                  <c:v>9.5180000000000007</c:v>
                </c:pt>
                <c:pt idx="358">
                  <c:v>10.885999999999999</c:v>
                </c:pt>
                <c:pt idx="359">
                  <c:v>4.008</c:v>
                </c:pt>
                <c:pt idx="360">
                  <c:v>14.475</c:v>
                </c:pt>
                <c:pt idx="361">
                  <c:v>6.1319999999999997</c:v>
                </c:pt>
                <c:pt idx="362">
                  <c:v>0</c:v>
                </c:pt>
                <c:pt idx="363">
                  <c:v>7.5250000000000004</c:v>
                </c:pt>
                <c:pt idx="364">
                  <c:v>12.071</c:v>
                </c:pt>
                <c:pt idx="365">
                  <c:v>13.802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798856"/>
        <c:axId val="186798464"/>
      </c:lineChart>
      <c:dateAx>
        <c:axId val="186798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798464"/>
        <c:crosses val="autoZero"/>
        <c:auto val="1"/>
        <c:lblOffset val="100"/>
        <c:baseTimeUnit val="days"/>
        <c:majorUnit val="1"/>
        <c:majorTimeUnit val="months"/>
      </c:dateAx>
      <c:valAx>
        <c:axId val="1867984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798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1.3628389182788747E-2</c:v>
                </c:pt>
                <c:pt idx="1">
                  <c:v>1.3647292769682462E-2</c:v>
                </c:pt>
                <c:pt idx="2">
                  <c:v>1.3666195994293306E-2</c:v>
                </c:pt>
                <c:pt idx="3">
                  <c:v>1.3685098856628164E-2</c:v>
                </c:pt>
                <c:pt idx="4">
                  <c:v>1.3704001356694029E-2</c:v>
                </c:pt>
                <c:pt idx="5">
                  <c:v>1.3722903494497785E-2</c:v>
                </c:pt>
                <c:pt idx="6">
                  <c:v>1.3741805270046314E-2</c:v>
                </c:pt>
                <c:pt idx="7">
                  <c:v>1.3760706683346613E-2</c:v>
                </c:pt>
                <c:pt idx="8">
                  <c:v>1.3779607734405785E-2</c:v>
                </c:pt>
                <c:pt idx="9">
                  <c:v>1.3798508423230493E-2</c:v>
                </c:pt>
                <c:pt idx="10">
                  <c:v>1.3817408749827842E-2</c:v>
                </c:pt>
                <c:pt idx="11">
                  <c:v>1.3836308714204715E-2</c:v>
                </c:pt>
                <c:pt idx="12">
                  <c:v>1.3855208316368106E-2</c:v>
                </c:pt>
                <c:pt idx="13">
                  <c:v>1.387410755632501E-2</c:v>
                </c:pt>
                <c:pt idx="14">
                  <c:v>1.38930064340822E-2</c:v>
                </c:pt>
                <c:pt idx="15">
                  <c:v>1.391190494964667E-2</c:v>
                </c:pt>
                <c:pt idx="16">
                  <c:v>1.3930803103025524E-2</c:v>
                </c:pt>
                <c:pt idx="17">
                  <c:v>1.3949700894225536E-2</c:v>
                </c:pt>
                <c:pt idx="18">
                  <c:v>1.3968598323253589E-2</c:v>
                </c:pt>
                <c:pt idx="19">
                  <c:v>1.39874953901169E-2</c:v>
                </c:pt>
                <c:pt idx="20">
                  <c:v>1.4006392094822129E-2</c:v>
                </c:pt>
                <c:pt idx="21">
                  <c:v>1.4025288437376271E-2</c:v>
                </c:pt>
                <c:pt idx="22">
                  <c:v>1.4044184417786432E-2</c:v>
                </c:pt>
                <c:pt idx="23">
                  <c:v>1.4063080036059383E-2</c:v>
                </c:pt>
                <c:pt idx="24">
                  <c:v>1.408197529220212E-2</c:v>
                </c:pt>
                <c:pt idx="25">
                  <c:v>1.4100870186221637E-2</c:v>
                </c:pt>
                <c:pt idx="26">
                  <c:v>1.4119764718124816E-2</c:v>
                </c:pt>
                <c:pt idx="27">
                  <c:v>1.4138658887918543E-2</c:v>
                </c:pt>
                <c:pt idx="28">
                  <c:v>1.415755269560981E-2</c:v>
                </c:pt>
                <c:pt idx="29">
                  <c:v>1.4176446141205612E-2</c:v>
                </c:pt>
                <c:pt idx="30">
                  <c:v>1.4195339224712833E-2</c:v>
                </c:pt>
                <c:pt idx="31">
                  <c:v>1.4214231946138356E-2</c:v>
                </c:pt>
                <c:pt idx="32">
                  <c:v>1.4233124305489286E-2</c:v>
                </c:pt>
                <c:pt idx="33">
                  <c:v>1.4252016302772397E-2</c:v>
                </c:pt>
                <c:pt idx="34">
                  <c:v>1.4270907937994681E-2</c:v>
                </c:pt>
                <c:pt idx="35">
                  <c:v>1.4289799211163134E-2</c:v>
                </c:pt>
                <c:pt idx="36">
                  <c:v>1.430869012228464E-2</c:v>
                </c:pt>
                <c:pt idx="37">
                  <c:v>1.432758067136608E-2</c:v>
                </c:pt>
                <c:pt idx="38">
                  <c:v>1.4346470858414451E-2</c:v>
                </c:pt>
                <c:pt idx="39">
                  <c:v>1.4365360683436745E-2</c:v>
                </c:pt>
                <c:pt idx="40">
                  <c:v>1.4384250146439848E-2</c:v>
                </c:pt>
                <c:pt idx="41">
                  <c:v>1.4403139247430752E-2</c:v>
                </c:pt>
                <c:pt idx="42">
                  <c:v>1.4422027986416341E-2</c:v>
                </c:pt>
                <c:pt idx="43">
                  <c:v>1.44409163634035E-2</c:v>
                </c:pt>
                <c:pt idx="44">
                  <c:v>1.4459804378399221E-2</c:v>
                </c:pt>
                <c:pt idx="45">
                  <c:v>1.447869203141039E-2</c:v>
                </c:pt>
                <c:pt idx="46">
                  <c:v>1.449757932244411E-2</c:v>
                </c:pt>
                <c:pt idx="47">
                  <c:v>1.4516466251507154E-2</c:v>
                </c:pt>
                <c:pt idx="48">
                  <c:v>1.4535352818606517E-2</c:v>
                </c:pt>
                <c:pt idx="49">
                  <c:v>1.4554239023749194E-2</c:v>
                </c:pt>
                <c:pt idx="50">
                  <c:v>1.4573124866941956E-2</c:v>
                </c:pt>
                <c:pt idx="51">
                  <c:v>1.4592010348191908E-2</c:v>
                </c:pt>
                <c:pt idx="52">
                  <c:v>1.4610895467505824E-2</c:v>
                </c:pt>
                <c:pt idx="53">
                  <c:v>1.4629780224890809E-2</c:v>
                </c:pt>
                <c:pt idx="54">
                  <c:v>1.4648664620353746E-2</c:v>
                </c:pt>
                <c:pt idx="55">
                  <c:v>1.4667548653901519E-2</c:v>
                </c:pt>
                <c:pt idx="56">
                  <c:v>1.4686432325541121E-2</c:v>
                </c:pt>
                <c:pt idx="57">
                  <c:v>1.4705315635279437E-2</c:v>
                </c:pt>
                <c:pt idx="58">
                  <c:v>1.472419858312346E-2</c:v>
                </c:pt>
                <c:pt idx="59">
                  <c:v>1.4743081169080074E-2</c:v>
                </c:pt>
                <c:pt idx="60">
                  <c:v>1.4761963393156274E-2</c:v>
                </c:pt>
                <c:pt idx="61">
                  <c:v>1.4780845255358943E-2</c:v>
                </c:pt>
                <c:pt idx="62">
                  <c:v>1.4799726755694964E-2</c:v>
                </c:pt>
                <c:pt idx="63">
                  <c:v>1.4818607894171443E-2</c:v>
                </c:pt>
                <c:pt idx="64">
                  <c:v>1.4837488670795151E-2</c:v>
                </c:pt>
                <c:pt idx="65">
                  <c:v>1.4856369085573085E-2</c:v>
                </c:pt>
                <c:pt idx="66">
                  <c:v>1.4875249138512237E-2</c:v>
                </c:pt>
                <c:pt idx="67">
                  <c:v>1.489412882961938E-2</c:v>
                </c:pt>
                <c:pt idx="68">
                  <c:v>1.4913008158901619E-2</c:v>
                </c:pt>
                <c:pt idx="69">
                  <c:v>1.4931887126365728E-2</c:v>
                </c:pt>
                <c:pt idx="70">
                  <c:v>1.4950765732018811E-2</c:v>
                </c:pt>
                <c:pt idx="71">
                  <c:v>1.4969643975867752E-2</c:v>
                </c:pt>
                <c:pt idx="72">
                  <c:v>1.4988521857919435E-2</c:v>
                </c:pt>
                <c:pt idx="73">
                  <c:v>1.5007399378180741E-2</c:v>
                </c:pt>
                <c:pt idx="74">
                  <c:v>1.5026276536658778E-2</c:v>
                </c:pt>
                <c:pt idx="75">
                  <c:v>1.5045153333360317E-2</c:v>
                </c:pt>
                <c:pt idx="76">
                  <c:v>1.5064029768292353E-2</c:v>
                </c:pt>
                <c:pt idx="77">
                  <c:v>1.508290584146188E-2</c:v>
                </c:pt>
                <c:pt idx="78">
                  <c:v>1.510178155287567E-2</c:v>
                </c:pt>
                <c:pt idx="79">
                  <c:v>1.512065690254083E-2</c:v>
                </c:pt>
                <c:pt idx="80">
                  <c:v>1.5139531890464242E-2</c:v>
                </c:pt>
                <c:pt idx="81">
                  <c:v>1.5158406516652789E-2</c:v>
                </c:pt>
                <c:pt idx="82">
                  <c:v>1.5177280781113356E-2</c:v>
                </c:pt>
                <c:pt idx="83">
                  <c:v>1.5196154683853047E-2</c:v>
                </c:pt>
                <c:pt idx="84">
                  <c:v>1.5215028224878746E-2</c:v>
                </c:pt>
                <c:pt idx="85">
                  <c:v>1.5233901404197225E-2</c:v>
                </c:pt>
                <c:pt idx="86">
                  <c:v>1.525277422181559E-2</c:v>
                </c:pt>
                <c:pt idx="87">
                  <c:v>1.5271646677740613E-2</c:v>
                </c:pt>
                <c:pt idx="88">
                  <c:v>1.52905187719794E-2</c:v>
                </c:pt>
                <c:pt idx="89">
                  <c:v>1.5309390504538833E-2</c:v>
                </c:pt>
                <c:pt idx="90">
                  <c:v>1.5328261875425797E-2</c:v>
                </c:pt>
                <c:pt idx="91">
                  <c:v>1.5347132884647174E-2</c:v>
                </c:pt>
                <c:pt idx="92">
                  <c:v>1.5366003532210071E-2</c:v>
                </c:pt>
                <c:pt idx="93">
                  <c:v>1.5384873818121259E-2</c:v>
                </c:pt>
                <c:pt idx="94">
                  <c:v>1.5403743742387732E-2</c:v>
                </c:pt>
                <c:pt idx="95">
                  <c:v>1.5422613305016375E-2</c:v>
                </c:pt>
                <c:pt idx="96">
                  <c:v>1.5441482506014181E-2</c:v>
                </c:pt>
                <c:pt idx="97">
                  <c:v>1.5460351345388035E-2</c:v>
                </c:pt>
                <c:pt idx="98">
                  <c:v>1.547921982314493E-2</c:v>
                </c:pt>
                <c:pt idx="99">
                  <c:v>1.5498087939291749E-2</c:v>
                </c:pt>
                <c:pt idx="100">
                  <c:v>1.5516955693835377E-2</c:v>
                </c:pt>
                <c:pt idx="101">
                  <c:v>1.5535823086782918E-2</c:v>
                </c:pt>
                <c:pt idx="102">
                  <c:v>1.5554690118141035E-2</c:v>
                </c:pt>
                <c:pt idx="103">
                  <c:v>1.5573556787916831E-2</c:v>
                </c:pt>
                <c:pt idx="104">
                  <c:v>1.5592423096117303E-2</c:v>
                </c:pt>
                <c:pt idx="105">
                  <c:v>1.5611289042749221E-2</c:v>
                </c:pt>
                <c:pt idx="106">
                  <c:v>1.563015462781947E-2</c:v>
                </c:pt>
                <c:pt idx="107">
                  <c:v>1.5649019851335266E-2</c:v>
                </c:pt>
                <c:pt idx="108">
                  <c:v>1.5667884713303271E-2</c:v>
                </c:pt>
                <c:pt idx="109">
                  <c:v>1.5686749213730478E-2</c:v>
                </c:pt>
                <c:pt idx="110">
                  <c:v>1.5705613352623771E-2</c:v>
                </c:pt>
                <c:pt idx="111">
                  <c:v>1.5724477129990255E-2</c:v>
                </c:pt>
                <c:pt idx="112">
                  <c:v>1.5743340545836704E-2</c:v>
                </c:pt>
                <c:pt idx="113">
                  <c:v>1.576220360017011E-2</c:v>
                </c:pt>
                <c:pt idx="114">
                  <c:v>1.578106629299747E-2</c:v>
                </c:pt>
                <c:pt idx="115">
                  <c:v>1.5799928624325554E-2</c:v>
                </c:pt>
                <c:pt idx="116">
                  <c:v>1.5818790594161358E-2</c:v>
                </c:pt>
                <c:pt idx="117">
                  <c:v>1.5837652202511765E-2</c:v>
                </c:pt>
                <c:pt idx="118">
                  <c:v>1.5856513449383769E-2</c:v>
                </c:pt>
                <c:pt idx="119">
                  <c:v>1.5875374334784365E-2</c:v>
                </c:pt>
                <c:pt idx="120">
                  <c:v>1.5894234858720324E-2</c:v>
                </c:pt>
                <c:pt idx="121">
                  <c:v>1.5913095021198642E-2</c:v>
                </c:pt>
                <c:pt idx="122">
                  <c:v>1.5931954822226202E-2</c:v>
                </c:pt>
                <c:pt idx="123">
                  <c:v>1.5950814261810109E-2</c:v>
                </c:pt>
                <c:pt idx="124">
                  <c:v>1.5969673339957025E-2</c:v>
                </c:pt>
                <c:pt idx="125">
                  <c:v>1.5988532056674054E-2</c:v>
                </c:pt>
                <c:pt idx="126">
                  <c:v>1.6007390411968081E-2</c:v>
                </c:pt>
                <c:pt idx="127">
                  <c:v>1.60262484058461E-2</c:v>
                </c:pt>
                <c:pt idx="128">
                  <c:v>1.6045106038314882E-2</c:v>
                </c:pt>
                <c:pt idx="129">
                  <c:v>1.6063963309381535E-2</c:v>
                </c:pt>
                <c:pt idx="130">
                  <c:v>1.6082820219052829E-2</c:v>
                </c:pt>
                <c:pt idx="131">
                  <c:v>1.610167676733576E-2</c:v>
                </c:pt>
                <c:pt idx="132">
                  <c:v>1.612053295423721E-2</c:v>
                </c:pt>
                <c:pt idx="133">
                  <c:v>1.6139388779764174E-2</c:v>
                </c:pt>
                <c:pt idx="134">
                  <c:v>1.6158244243923536E-2</c:v>
                </c:pt>
                <c:pt idx="135">
                  <c:v>1.6177099346722179E-2</c:v>
                </c:pt>
                <c:pt idx="136">
                  <c:v>1.6195954088167097E-2</c:v>
                </c:pt>
                <c:pt idx="137">
                  <c:v>1.6214808468265285E-2</c:v>
                </c:pt>
                <c:pt idx="138">
                  <c:v>1.6233662487023515E-2</c:v>
                </c:pt>
                <c:pt idx="139">
                  <c:v>1.6252516144448781E-2</c:v>
                </c:pt>
                <c:pt idx="140">
                  <c:v>1.6271369440547967E-2</c:v>
                </c:pt>
                <c:pt idx="141">
                  <c:v>1.6290222375328067E-2</c:v>
                </c:pt>
                <c:pt idx="142">
                  <c:v>1.6309074948795965E-2</c:v>
                </c:pt>
                <c:pt idx="143">
                  <c:v>1.6327927160958655E-2</c:v>
                </c:pt>
                <c:pt idx="144">
                  <c:v>1.6346779011822909E-2</c:v>
                </c:pt>
                <c:pt idx="145">
                  <c:v>1.6365630501395834E-2</c:v>
                </c:pt>
                <c:pt idx="146">
                  <c:v>1.63844816296842E-2</c:v>
                </c:pt>
                <c:pt idx="147">
                  <c:v>1.6403332396695003E-2</c:v>
                </c:pt>
                <c:pt idx="148">
                  <c:v>1.6422182802435126E-2</c:v>
                </c:pt>
                <c:pt idx="149">
                  <c:v>1.6441032846911563E-2</c:v>
                </c:pt>
                <c:pt idx="150">
                  <c:v>1.6459882530131198E-2</c:v>
                </c:pt>
                <c:pt idx="151">
                  <c:v>1.6478731852101025E-2</c:v>
                </c:pt>
                <c:pt idx="152">
                  <c:v>1.6497580812827817E-2</c:v>
                </c:pt>
                <c:pt idx="153">
                  <c:v>1.6516429412318567E-2</c:v>
                </c:pt>
                <c:pt idx="154">
                  <c:v>1.653527765058016E-2</c:v>
                </c:pt>
                <c:pt idx="155">
                  <c:v>1.6554125527619701E-2</c:v>
                </c:pt>
                <c:pt idx="156">
                  <c:v>1.657297304344385E-2</c:v>
                </c:pt>
                <c:pt idx="157">
                  <c:v>1.6591820198059715E-2</c:v>
                </c:pt>
                <c:pt idx="158">
                  <c:v>1.6610666991474177E-2</c:v>
                </c:pt>
                <c:pt idx="159">
                  <c:v>1.662951342369412E-2</c:v>
                </c:pt>
                <c:pt idx="160">
                  <c:v>1.6648359494726539E-2</c:v>
                </c:pt>
                <c:pt idx="161">
                  <c:v>1.6667205204578206E-2</c:v>
                </c:pt>
                <c:pt idx="162">
                  <c:v>1.6686050553256226E-2</c:v>
                </c:pt>
                <c:pt idx="163">
                  <c:v>1.6704895540767373E-2</c:v>
                </c:pt>
                <c:pt idx="164">
                  <c:v>1.672374016711875E-2</c:v>
                </c:pt>
                <c:pt idx="165">
                  <c:v>1.674258443231702E-2</c:v>
                </c:pt>
                <c:pt idx="166">
                  <c:v>1.6761428336369288E-2</c:v>
                </c:pt>
                <c:pt idx="167">
                  <c:v>1.6780271879282438E-2</c:v>
                </c:pt>
                <c:pt idx="168">
                  <c:v>1.6799115061063463E-2</c:v>
                </c:pt>
                <c:pt idx="169">
                  <c:v>1.6817957881719137E-2</c:v>
                </c:pt>
                <c:pt idx="170">
                  <c:v>1.6836800341256453E-2</c:v>
                </c:pt>
                <c:pt idx="171">
                  <c:v>1.6855642439682406E-2</c:v>
                </c:pt>
                <c:pt idx="172">
                  <c:v>1.6874484177003768E-2</c:v>
                </c:pt>
                <c:pt idx="173">
                  <c:v>1.6893325553227534E-2</c:v>
                </c:pt>
                <c:pt idx="174">
                  <c:v>1.6912166568360587E-2</c:v>
                </c:pt>
                <c:pt idx="175">
                  <c:v>1.6931007222409922E-2</c:v>
                </c:pt>
                <c:pt idx="176">
                  <c:v>1.6949847515382421E-2</c:v>
                </c:pt>
                <c:pt idx="177">
                  <c:v>1.696868744728508E-2</c:v>
                </c:pt>
                <c:pt idx="178">
                  <c:v>1.6987527018124671E-2</c:v>
                </c:pt>
                <c:pt idx="179">
                  <c:v>1.7006366227908187E-2</c:v>
                </c:pt>
                <c:pt idx="180">
                  <c:v>1.7025205076642513E-2</c:v>
                </c:pt>
                <c:pt idx="181">
                  <c:v>1.7044043564334643E-2</c:v>
                </c:pt>
                <c:pt idx="182">
                  <c:v>1.706288169099146E-2</c:v>
                </c:pt>
                <c:pt idx="183">
                  <c:v>1.7081719456619848E-2</c:v>
                </c:pt>
                <c:pt idx="184">
                  <c:v>1.710055686122669E-2</c:v>
                </c:pt>
                <c:pt idx="185">
                  <c:v>1.7119393904819091E-2</c:v>
                </c:pt>
                <c:pt idx="186">
                  <c:v>1.7138230587403824E-2</c:v>
                </c:pt>
                <c:pt idx="187">
                  <c:v>1.7157066908987773E-2</c:v>
                </c:pt>
                <c:pt idx="188">
                  <c:v>1.717590286957793E-2</c:v>
                </c:pt>
                <c:pt idx="189">
                  <c:v>1.7194738469181292E-2</c:v>
                </c:pt>
                <c:pt idx="190">
                  <c:v>1.721357370780463E-2</c:v>
                </c:pt>
                <c:pt idx="191">
                  <c:v>1.7232408585454828E-2</c:v>
                </c:pt>
                <c:pt idx="192">
                  <c:v>1.7251243102138991E-2</c:v>
                </c:pt>
                <c:pt idx="193">
                  <c:v>1.7270077257863892E-2</c:v>
                </c:pt>
                <c:pt idx="194">
                  <c:v>1.7288911052636524E-2</c:v>
                </c:pt>
                <c:pt idx="195">
                  <c:v>1.7307744486463772E-2</c:v>
                </c:pt>
                <c:pt idx="196">
                  <c:v>1.7326577559352629E-2</c:v>
                </c:pt>
                <c:pt idx="197">
                  <c:v>1.7345410271309869E-2</c:v>
                </c:pt>
                <c:pt idx="198">
                  <c:v>1.7364242622342485E-2</c:v>
                </c:pt>
                <c:pt idx="199">
                  <c:v>1.7383074612457361E-2</c:v>
                </c:pt>
                <c:pt idx="200">
                  <c:v>1.7401906241661491E-2</c:v>
                </c:pt>
                <c:pt idx="201">
                  <c:v>1.7420737509961648E-2</c:v>
                </c:pt>
                <c:pt idx="202">
                  <c:v>1.7439568417364937E-2</c:v>
                </c:pt>
                <c:pt idx="203">
                  <c:v>1.745839896387813E-2</c:v>
                </c:pt>
                <c:pt idx="204">
                  <c:v>1.7477229149508333E-2</c:v>
                </c:pt>
                <c:pt idx="205">
                  <c:v>1.7496058974262207E-2</c:v>
                </c:pt>
                <c:pt idx="206">
                  <c:v>1.7514888438146747E-2</c:v>
                </c:pt>
                <c:pt idx="207">
                  <c:v>1.7533717541168947E-2</c:v>
                </c:pt>
                <c:pt idx="208">
                  <c:v>1.755254628333569E-2</c:v>
                </c:pt>
                <c:pt idx="209">
                  <c:v>1.757137466465386E-2</c:v>
                </c:pt>
                <c:pt idx="210">
                  <c:v>1.7590202685130452E-2</c:v>
                </c:pt>
                <c:pt idx="211">
                  <c:v>1.7609030344772347E-2</c:v>
                </c:pt>
                <c:pt idx="212">
                  <c:v>1.762785764358632E-2</c:v>
                </c:pt>
                <c:pt idx="213">
                  <c:v>1.7646684581579475E-2</c:v>
                </c:pt>
                <c:pt idx="214">
                  <c:v>1.7665511158758695E-2</c:v>
                </c:pt>
                <c:pt idx="215">
                  <c:v>1.7684337375130865E-2</c:v>
                </c:pt>
                <c:pt idx="216">
                  <c:v>1.7703163230702867E-2</c:v>
                </c:pt>
                <c:pt idx="217">
                  <c:v>1.7721988725481586E-2</c:v>
                </c:pt>
                <c:pt idx="218">
                  <c:v>1.7740813859474014E-2</c:v>
                </c:pt>
                <c:pt idx="219">
                  <c:v>1.7759638632687147E-2</c:v>
                </c:pt>
                <c:pt idx="220">
                  <c:v>1.7778463045127646E-2</c:v>
                </c:pt>
                <c:pt idx="221">
                  <c:v>1.7797287096802616E-2</c:v>
                </c:pt>
                <c:pt idx="222">
                  <c:v>1.7816110787719053E-2</c:v>
                </c:pt>
                <c:pt idx="223">
                  <c:v>1.7834934117883616E-2</c:v>
                </c:pt>
                <c:pt idx="224">
                  <c:v>1.7853757087303412E-2</c:v>
                </c:pt>
                <c:pt idx="225">
                  <c:v>1.7872579695985213E-2</c:v>
                </c:pt>
                <c:pt idx="226">
                  <c:v>1.7891401943936125E-2</c:v>
                </c:pt>
                <c:pt idx="227">
                  <c:v>1.7910223831162808E-2</c:v>
                </c:pt>
                <c:pt idx="228">
                  <c:v>1.792904535767248E-2</c:v>
                </c:pt>
                <c:pt idx="229">
                  <c:v>1.79478665234718E-2</c:v>
                </c:pt>
                <c:pt idx="230">
                  <c:v>1.7966687328567765E-2</c:v>
                </c:pt>
                <c:pt idx="231">
                  <c:v>1.7985507772967257E-2</c:v>
                </c:pt>
                <c:pt idx="232">
                  <c:v>1.8004327856677271E-2</c:v>
                </c:pt>
                <c:pt idx="233">
                  <c:v>1.802314757970469E-2</c:v>
                </c:pt>
                <c:pt idx="234">
                  <c:v>1.8041966942056398E-2</c:v>
                </c:pt>
                <c:pt idx="235">
                  <c:v>1.8060785943739388E-2</c:v>
                </c:pt>
                <c:pt idx="236">
                  <c:v>1.8079604584760434E-2</c:v>
                </c:pt>
                <c:pt idx="237">
                  <c:v>1.8098422865126529E-2</c:v>
                </c:pt>
                <c:pt idx="238">
                  <c:v>1.8117240784844557E-2</c:v>
                </c:pt>
                <c:pt idx="239">
                  <c:v>1.8136058343921513E-2</c:v>
                </c:pt>
                <c:pt idx="240">
                  <c:v>1.8154875542364168E-2</c:v>
                </c:pt>
                <c:pt idx="241">
                  <c:v>1.8173692380179518E-2</c:v>
                </c:pt>
                <c:pt idx="242">
                  <c:v>1.8192508857374445E-2</c:v>
                </c:pt>
                <c:pt idx="243">
                  <c:v>1.8211324973955945E-2</c:v>
                </c:pt>
                <c:pt idx="244">
                  <c:v>1.8230140729930788E-2</c:v>
                </c:pt>
                <c:pt idx="245">
                  <c:v>1.8248956125305971E-2</c:v>
                </c:pt>
                <c:pt idx="246">
                  <c:v>1.8267771160088486E-2</c:v>
                </c:pt>
                <c:pt idx="247">
                  <c:v>1.8286585834285107E-2</c:v>
                </c:pt>
                <c:pt idx="248">
                  <c:v>1.8305400147902717E-2</c:v>
                </c:pt>
                <c:pt idx="249">
                  <c:v>1.8324214100948422E-2</c:v>
                </c:pt>
                <c:pt idx="250">
                  <c:v>1.8343027693428882E-2</c:v>
                </c:pt>
                <c:pt idx="251">
                  <c:v>1.8361840925351203E-2</c:v>
                </c:pt>
                <c:pt idx="252">
                  <c:v>1.8380653796722268E-2</c:v>
                </c:pt>
                <c:pt idx="253">
                  <c:v>1.8399466307548851E-2</c:v>
                </c:pt>
                <c:pt idx="254">
                  <c:v>1.8418278457837944E-2</c:v>
                </c:pt>
                <c:pt idx="255">
                  <c:v>1.8437090247596544E-2</c:v>
                </c:pt>
                <c:pt idx="256">
                  <c:v>1.8455901676831532E-2</c:v>
                </c:pt>
                <c:pt idx="257">
                  <c:v>1.8474712745549682E-2</c:v>
                </c:pt>
                <c:pt idx="258">
                  <c:v>1.8493523453757987E-2</c:v>
                </c:pt>
                <c:pt idx="259">
                  <c:v>1.8512333801463332E-2</c:v>
                </c:pt>
                <c:pt idx="260">
                  <c:v>1.853114378867271E-2</c:v>
                </c:pt>
                <c:pt idx="261">
                  <c:v>1.8549953415393006E-2</c:v>
                </c:pt>
                <c:pt idx="262">
                  <c:v>1.8568762681631101E-2</c:v>
                </c:pt>
                <c:pt idx="263">
                  <c:v>1.8587571587393881E-2</c:v>
                </c:pt>
                <c:pt idx="264">
                  <c:v>1.8606380132688227E-2</c:v>
                </c:pt>
                <c:pt idx="265">
                  <c:v>1.8625188317521135E-2</c:v>
                </c:pt>
                <c:pt idx="266">
                  <c:v>1.8643996141899377E-2</c:v>
                </c:pt>
                <c:pt idx="267">
                  <c:v>1.8662803605830058E-2</c:v>
                </c:pt>
                <c:pt idx="268">
                  <c:v>1.8681610709319951E-2</c:v>
                </c:pt>
                <c:pt idx="269">
                  <c:v>1.870041745237605E-2</c:v>
                </c:pt>
                <c:pt idx="270">
                  <c:v>1.8719223835005128E-2</c:v>
                </c:pt>
                <c:pt idx="271">
                  <c:v>1.8738029857214289E-2</c:v>
                </c:pt>
                <c:pt idx="272">
                  <c:v>1.8756835519010195E-2</c:v>
                </c:pt>
                <c:pt idx="273">
                  <c:v>1.8775640820399953E-2</c:v>
                </c:pt>
                <c:pt idx="274">
                  <c:v>1.8794445761390333E-2</c:v>
                </c:pt>
                <c:pt idx="275">
                  <c:v>1.881325034198833E-2</c:v>
                </c:pt>
                <c:pt idx="276">
                  <c:v>1.8832054562200939E-2</c:v>
                </c:pt>
                <c:pt idx="277">
                  <c:v>1.8850858422034822E-2</c:v>
                </c:pt>
                <c:pt idx="278">
                  <c:v>1.8869661921497083E-2</c:v>
                </c:pt>
                <c:pt idx="279">
                  <c:v>1.8888465060594606E-2</c:v>
                </c:pt>
                <c:pt idx="280">
                  <c:v>1.8907267839334163E-2</c:v>
                </c:pt>
                <c:pt idx="281">
                  <c:v>1.892607025772286E-2</c:v>
                </c:pt>
                <c:pt idx="282">
                  <c:v>1.8944872315767358E-2</c:v>
                </c:pt>
                <c:pt idx="283">
                  <c:v>1.8963674013474763E-2</c:v>
                </c:pt>
                <c:pt idx="284">
                  <c:v>1.8982475350851957E-2</c:v>
                </c:pt>
                <c:pt idx="285">
                  <c:v>1.9001276327905825E-2</c:v>
                </c:pt>
                <c:pt idx="286">
                  <c:v>1.9020076944643249E-2</c:v>
                </c:pt>
                <c:pt idx="287">
                  <c:v>1.9038877201071114E-2</c:v>
                </c:pt>
                <c:pt idx="288">
                  <c:v>1.9057677097196302E-2</c:v>
                </c:pt>
                <c:pt idx="289">
                  <c:v>1.9076476633025918E-2</c:v>
                </c:pt>
                <c:pt idx="290">
                  <c:v>1.9095275808566625E-2</c:v>
                </c:pt>
                <c:pt idx="291">
                  <c:v>1.9114074623825417E-2</c:v>
                </c:pt>
                <c:pt idx="292">
                  <c:v>1.9132873078809176E-2</c:v>
                </c:pt>
                <c:pt idx="293">
                  <c:v>1.9151671173524898E-2</c:v>
                </c:pt>
                <c:pt idx="294">
                  <c:v>1.9170468907979354E-2</c:v>
                </c:pt>
                <c:pt idx="295">
                  <c:v>1.918926628217954E-2</c:v>
                </c:pt>
                <c:pt idx="296">
                  <c:v>1.9208063296132338E-2</c:v>
                </c:pt>
                <c:pt idx="297">
                  <c:v>1.9226859949844743E-2</c:v>
                </c:pt>
                <c:pt idx="298">
                  <c:v>1.9245656243323417E-2</c:v>
                </c:pt>
                <c:pt idx="299">
                  <c:v>1.9264452176575575E-2</c:v>
                </c:pt>
                <c:pt idx="300">
                  <c:v>1.9283247749607879E-2</c:v>
                </c:pt>
                <c:pt idx="301">
                  <c:v>1.9302042962427324E-2</c:v>
                </c:pt>
                <c:pt idx="302">
                  <c:v>1.9320837815040792E-2</c:v>
                </c:pt>
                <c:pt idx="303">
                  <c:v>1.9339632307455168E-2</c:v>
                </c:pt>
                <c:pt idx="304">
                  <c:v>1.9358426439677334E-2</c:v>
                </c:pt>
                <c:pt idx="305">
                  <c:v>1.9377220211714397E-2</c:v>
                </c:pt>
                <c:pt idx="306">
                  <c:v>1.9396013623573016E-2</c:v>
                </c:pt>
                <c:pt idx="307">
                  <c:v>1.9414806675260188E-2</c:v>
                </c:pt>
                <c:pt idx="308">
                  <c:v>1.9433599366782794E-2</c:v>
                </c:pt>
                <c:pt idx="309">
                  <c:v>1.9452391698147831E-2</c:v>
                </c:pt>
                <c:pt idx="310">
                  <c:v>1.9471183669362069E-2</c:v>
                </c:pt>
                <c:pt idx="311">
                  <c:v>1.9489975280432503E-2</c:v>
                </c:pt>
                <c:pt idx="312">
                  <c:v>1.9508766531365906E-2</c:v>
                </c:pt>
                <c:pt idx="313">
                  <c:v>1.9527557422169384E-2</c:v>
                </c:pt>
                <c:pt idx="314">
                  <c:v>1.9546347952849707E-2</c:v>
                </c:pt>
                <c:pt idx="315">
                  <c:v>1.9565138123413761E-2</c:v>
                </c:pt>
                <c:pt idx="316">
                  <c:v>1.9583927933868428E-2</c:v>
                </c:pt>
                <c:pt idx="317">
                  <c:v>1.9602717384220703E-2</c:v>
                </c:pt>
                <c:pt idx="318">
                  <c:v>1.9621506474477468E-2</c:v>
                </c:pt>
                <c:pt idx="319">
                  <c:v>1.9640295204645608E-2</c:v>
                </c:pt>
                <c:pt idx="320">
                  <c:v>1.9659083574732117E-2</c:v>
                </c:pt>
                <c:pt idx="321">
                  <c:v>1.9677871584743656E-2</c:v>
                </c:pt>
                <c:pt idx="322">
                  <c:v>1.969665923468733E-2</c:v>
                </c:pt>
                <c:pt idx="323">
                  <c:v>1.9715446524569913E-2</c:v>
                </c:pt>
                <c:pt idx="324">
                  <c:v>1.9734233454398509E-2</c:v>
                </c:pt>
                <c:pt idx="325">
                  <c:v>1.9753020024179779E-2</c:v>
                </c:pt>
                <c:pt idx="326">
                  <c:v>1.9771806233920719E-2</c:v>
                </c:pt>
                <c:pt idx="327">
                  <c:v>1.9790592083628211E-2</c:v>
                </c:pt>
                <c:pt idx="328">
                  <c:v>1.980937757330925E-2</c:v>
                </c:pt>
                <c:pt idx="329">
                  <c:v>1.9828162702970609E-2</c:v>
                </c:pt>
                <c:pt idx="330">
                  <c:v>1.9846947472619281E-2</c:v>
                </c:pt>
                <c:pt idx="331">
                  <c:v>1.986573188226215E-2</c:v>
                </c:pt>
                <c:pt idx="332">
                  <c:v>1.9884515931906099E-2</c:v>
                </c:pt>
                <c:pt idx="333">
                  <c:v>1.9903299621558013E-2</c:v>
                </c:pt>
                <c:pt idx="334">
                  <c:v>1.9922082951224773E-2</c:v>
                </c:pt>
                <c:pt idx="335">
                  <c:v>1.9940865920913264E-2</c:v>
                </c:pt>
                <c:pt idx="336">
                  <c:v>1.9959648530630481E-2</c:v>
                </c:pt>
                <c:pt idx="337">
                  <c:v>1.9978430780383305E-2</c:v>
                </c:pt>
                <c:pt idx="338">
                  <c:v>1.999721267017851E-2</c:v>
                </c:pt>
                <c:pt idx="339">
                  <c:v>2.0015994200023091E-2</c:v>
                </c:pt>
                <c:pt idx="340">
                  <c:v>2.0034775369924041E-2</c:v>
                </c:pt>
                <c:pt idx="341">
                  <c:v>2.0053556179888021E-2</c:v>
                </c:pt>
                <c:pt idx="342">
                  <c:v>2.0072336629922138E-2</c:v>
                </c:pt>
                <c:pt idx="343">
                  <c:v>2.0091116720033164E-2</c:v>
                </c:pt>
                <c:pt idx="344">
                  <c:v>2.0109896450228093E-2</c:v>
                </c:pt>
                <c:pt idx="345">
                  <c:v>2.0128675820513808E-2</c:v>
                </c:pt>
                <c:pt idx="346">
                  <c:v>2.0147454830897082E-2</c:v>
                </c:pt>
                <c:pt idx="347">
                  <c:v>2.0166233481385021E-2</c:v>
                </c:pt>
                <c:pt idx="348">
                  <c:v>2.0185011771984285E-2</c:v>
                </c:pt>
                <c:pt idx="349">
                  <c:v>2.020378970270198E-2</c:v>
                </c:pt>
                <c:pt idx="350">
                  <c:v>2.0222567273544878E-2</c:v>
                </c:pt>
                <c:pt idx="351">
                  <c:v>2.0241344484519974E-2</c:v>
                </c:pt>
                <c:pt idx="352">
                  <c:v>2.026012133563404E-2</c:v>
                </c:pt>
                <c:pt idx="353">
                  <c:v>2.0278897826894071E-2</c:v>
                </c:pt>
                <c:pt idx="354">
                  <c:v>2.0297673958306839E-2</c:v>
                </c:pt>
                <c:pt idx="355">
                  <c:v>2.0316449729879449E-2</c:v>
                </c:pt>
                <c:pt idx="356">
                  <c:v>2.0335225141618674E-2</c:v>
                </c:pt>
                <c:pt idx="357">
                  <c:v>2.0354000193531396E-2</c:v>
                </c:pt>
                <c:pt idx="358">
                  <c:v>2.0372774885624501E-2</c:v>
                </c:pt>
                <c:pt idx="359">
                  <c:v>2.039154921790487E-2</c:v>
                </c:pt>
                <c:pt idx="360">
                  <c:v>2.0410323190379498E-2</c:v>
                </c:pt>
                <c:pt idx="361">
                  <c:v>2.0429096803055269E-2</c:v>
                </c:pt>
                <c:pt idx="362">
                  <c:v>2.0447870055939066E-2</c:v>
                </c:pt>
                <c:pt idx="363">
                  <c:v>2.0466642949037661E-2</c:v>
                </c:pt>
                <c:pt idx="364">
                  <c:v>2.0485415482358049E-2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4.8025118577546266E-2</c:v>
                </c:pt>
                <c:pt idx="1">
                  <c:v>4.8116358260133281E-2</c:v>
                </c:pt>
                <c:pt idx="2">
                  <c:v>4.820761392352016E-2</c:v>
                </c:pt>
                <c:pt idx="3">
                  <c:v>4.8298874980228557E-2</c:v>
                </c:pt>
                <c:pt idx="4">
                  <c:v>4.8390132215424153E-2</c:v>
                </c:pt>
                <c:pt idx="5">
                  <c:v>4.84813777536902E-2</c:v>
                </c:pt>
                <c:pt idx="6">
                  <c:v>4.8572605014532623E-2</c:v>
                </c:pt>
                <c:pt idx="7">
                  <c:v>4.8663808657406042E-2</c:v>
                </c:pt>
                <c:pt idx="8">
                  <c:v>4.8754984517133358E-2</c:v>
                </c:pt>
                <c:pt idx="9">
                  <c:v>4.884612953066636E-2</c:v>
                </c:pt>
                <c:pt idx="10">
                  <c:v>4.8937241656198054E-2</c:v>
                </c:pt>
                <c:pt idx="11">
                  <c:v>4.9028319785690867E-2</c:v>
                </c:pt>
                <c:pt idx="12">
                  <c:v>4.9119363651926776E-2</c:v>
                </c:pt>
                <c:pt idx="13">
                  <c:v>4.9210373731215944E-2</c:v>
                </c:pt>
                <c:pt idx="14">
                  <c:v>4.9301351142919371E-2</c:v>
                </c:pt>
                <c:pt idx="15">
                  <c:v>4.9392297546948565E-2</c:v>
                </c:pt>
                <c:pt idx="16">
                  <c:v>4.9483215040400833E-2</c:v>
                </c:pt>
                <c:pt idx="17">
                  <c:v>4.9574106054473273E-2</c:v>
                </c:pt>
                <c:pt idx="18">
                  <c:v>4.9664973252772235E-2</c:v>
                </c:pt>
                <c:pt idx="19">
                  <c:v>4.9755819432097309E-2</c:v>
                </c:pt>
                <c:pt idx="20">
                  <c:v>4.9846647426731894E-2</c:v>
                </c:pt>
                <c:pt idx="21">
                  <c:v>4.9937460017215336E-2</c:v>
                </c:pt>
                <c:pt idx="22">
                  <c:v>5.0028259844506123E-2</c:v>
                </c:pt>
                <c:pt idx="23">
                  <c:v>5.0119049330371861E-2</c:v>
                </c:pt>
                <c:pt idx="24">
                  <c:v>5.0209830604760669E-2</c:v>
                </c:pt>
                <c:pt idx="25">
                  <c:v>5.0300605440822148E-2</c:v>
                </c:pt>
                <c:pt idx="26">
                  <c:v>5.039137519815301E-2</c:v>
                </c:pt>
                <c:pt idx="27">
                  <c:v>5.0482140774746567E-2</c:v>
                </c:pt>
                <c:pt idx="28">
                  <c:v>5.057290256802479E-2</c:v>
                </c:pt>
                <c:pt idx="29">
                  <c:v>5.0663660445230574E-2</c:v>
                </c:pt>
                <c:pt idx="30">
                  <c:v>5.0754413723354069E-2</c:v>
                </c:pt>
                <c:pt idx="31">
                  <c:v>5.084516115866463E-2</c:v>
                </c:pt>
                <c:pt idx="32">
                  <c:v>5.0935900945817805E-2</c:v>
                </c:pt>
                <c:pt idx="33">
                  <c:v>5.1026630726407368E-2</c:v>
                </c:pt>
                <c:pt idx="34">
                  <c:v>5.1117347606735287E-2</c:v>
                </c:pt>
                <c:pt idx="35">
                  <c:v>5.120804818448095E-2</c:v>
                </c:pt>
                <c:pt idx="36">
                  <c:v>5.1298728583862391E-2</c:v>
                </c:pt>
                <c:pt idx="37">
                  <c:v>5.1389384498801621E-2</c:v>
                </c:pt>
                <c:pt idx="38">
                  <c:v>5.1480011243530133E-2</c:v>
                </c:pt>
                <c:pt idx="39">
                  <c:v>5.1570603810003668E-2</c:v>
                </c:pt>
                <c:pt idx="40">
                  <c:v>5.1661156931434637E-2</c:v>
                </c:pt>
                <c:pt idx="41">
                  <c:v>5.1751665151199194E-2</c:v>
                </c:pt>
                <c:pt idx="42">
                  <c:v>5.1842122896333317E-2</c:v>
                </c:pt>
                <c:pt idx="43">
                  <c:v>5.1932524554797951E-2</c:v>
                </c:pt>
                <c:pt idx="44">
                  <c:v>5.2022864555668902E-2</c:v>
                </c:pt>
                <c:pt idx="45">
                  <c:v>5.2113137451392053E-2</c:v>
                </c:pt>
                <c:pt idx="46">
                  <c:v>5.2203338001238227E-2</c:v>
                </c:pt>
                <c:pt idx="47">
                  <c:v>5.2293461255095694E-2</c:v>
                </c:pt>
                <c:pt idx="48">
                  <c:v>5.2383502636750609E-2</c:v>
                </c:pt>
                <c:pt idx="49">
                  <c:v>5.2473458025826279E-2</c:v>
                </c:pt>
                <c:pt idx="50">
                  <c:v>5.2563323837582533E-2</c:v>
                </c:pt>
                <c:pt idx="51">
                  <c:v>5.2653097099812501E-2</c:v>
                </c:pt>
                <c:pt idx="52">
                  <c:v>5.2742775526119556E-2</c:v>
                </c:pt>
                <c:pt idx="53">
                  <c:v>5.2832357584908028E-2</c:v>
                </c:pt>
                <c:pt idx="54">
                  <c:v>5.2921842563477872E-2</c:v>
                </c:pt>
                <c:pt idx="55">
                  <c:v>5.3011230626676613E-2</c:v>
                </c:pt>
                <c:pt idx="56">
                  <c:v>5.3100522869627617E-2</c:v>
                </c:pt>
                <c:pt idx="57">
                  <c:v>5.3189721364124559E-2</c:v>
                </c:pt>
                <c:pt idx="58">
                  <c:v>5.327882919835418E-2</c:v>
                </c:pt>
                <c:pt idx="59">
                  <c:v>5.3367850509684248E-2</c:v>
                </c:pt>
                <c:pt idx="60">
                  <c:v>5.3456790510329436E-2</c:v>
                </c:pt>
                <c:pt idx="61">
                  <c:v>5.3545655505781949E-2</c:v>
                </c:pt>
                <c:pt idx="62">
                  <c:v>5.3634452905970173E-2</c:v>
                </c:pt>
                <c:pt idx="63">
                  <c:v>5.3723191229179269E-2</c:v>
                </c:pt>
                <c:pt idx="64">
                  <c:v>5.3811880098839665E-2</c:v>
                </c:pt>
                <c:pt idx="65">
                  <c:v>5.390053023335499E-2</c:v>
                </c:pt>
                <c:pt idx="66">
                  <c:v>5.398915342920433E-2</c:v>
                </c:pt>
                <c:pt idx="67">
                  <c:v>5.4077762537611734E-2</c:v>
                </c:pt>
                <c:pt idx="68">
                  <c:v>5.4166371435128507E-2</c:v>
                </c:pt>
                <c:pt idx="69">
                  <c:v>5.4254994988520731E-2</c:v>
                </c:pt>
                <c:pt idx="70">
                  <c:v>5.4343649014395159E-2</c:v>
                </c:pt>
                <c:pt idx="71">
                  <c:v>5.4432350234030563E-2</c:v>
                </c:pt>
                <c:pt idx="72">
                  <c:v>5.4521116223908497E-2</c:v>
                </c:pt>
                <c:pt idx="73">
                  <c:v>5.4609965362457623E-2</c:v>
                </c:pt>
                <c:pt idx="74">
                  <c:v>5.4698916773538289E-2</c:v>
                </c:pt>
                <c:pt idx="75">
                  <c:v>5.4787990267199625E-2</c:v>
                </c:pt>
                <c:pt idx="76">
                  <c:v>5.4877206278240026E-2</c:v>
                </c:pt>
                <c:pt idx="77">
                  <c:v>5.4966585803093181E-2</c:v>
                </c:pt>
                <c:pt idx="78">
                  <c:v>5.5056150335546686E-2</c:v>
                </c:pt>
                <c:pt idx="79">
                  <c:v>5.5145921801779178E-2</c:v>
                </c:pt>
                <c:pt idx="80">
                  <c:v>5.5235922495174089E-2</c:v>
                </c:pt>
                <c:pt idx="81">
                  <c:v>5.5326175011335792E-2</c:v>
                </c:pt>
                <c:pt idx="82">
                  <c:v>5.5416702183696202E-2</c:v>
                </c:pt>
                <c:pt idx="83">
                  <c:v>5.5507527020058428E-2</c:v>
                </c:pt>
                <c:pt idx="84">
                  <c:v>5.5598672640378474E-2</c:v>
                </c:pt>
                <c:pt idx="85">
                  <c:v>5.5690162216038272E-2</c:v>
                </c:pt>
                <c:pt idx="86">
                  <c:v>5.5782018910813129E-2</c:v>
                </c:pt>
                <c:pt idx="87">
                  <c:v>5.5874265823685168E-2</c:v>
                </c:pt>
                <c:pt idx="88">
                  <c:v>5.5966925933602849E-2</c:v>
                </c:pt>
                <c:pt idx="89">
                  <c:v>5.6060022046234503E-2</c:v>
                </c:pt>
                <c:pt idx="90">
                  <c:v>5.6153576742713512E-2</c:v>
                </c:pt>
                <c:pt idx="91">
                  <c:v>5.6247612330324513E-2</c:v>
                </c:pt>
                <c:pt idx="92">
                  <c:v>5.6342150795032769E-2</c:v>
                </c:pt>
                <c:pt idx="93">
                  <c:v>5.6437213755716871E-2</c:v>
                </c:pt>
                <c:pt idx="94">
                  <c:v>5.6532822419925695E-2</c:v>
                </c:pt>
                <c:pt idx="95">
                  <c:v>5.6628997540945532E-2</c:v>
                </c:pt>
                <c:pt idx="96">
                  <c:v>5.6725759375934756E-2</c:v>
                </c:pt>
                <c:pt idx="97">
                  <c:v>5.6823127644858439E-2</c:v>
                </c:pt>
                <c:pt idx="98">
                  <c:v>5.6921121489938359E-2</c:v>
                </c:pt>
                <c:pt idx="99">
                  <c:v>5.7019759435321303E-2</c:v>
                </c:pt>
                <c:pt idx="100">
                  <c:v>5.711905934666351E-2</c:v>
                </c:pt>
                <c:pt idx="101">
                  <c:v>5.7219038390331038E-2</c:v>
                </c:pt>
                <c:pt idx="102">
                  <c:v>5.7319712991922692E-2</c:v>
                </c:pt>
                <c:pt idx="103">
                  <c:v>5.7421098793838152E-2</c:v>
                </c:pt>
                <c:pt idx="104">
                  <c:v>5.7523210611634304E-2</c:v>
                </c:pt>
                <c:pt idx="105">
                  <c:v>5.7626062388940504E-2</c:v>
                </c:pt>
                <c:pt idx="106">
                  <c:v>5.7729667150737636E-2</c:v>
                </c:pt>
                <c:pt idx="107">
                  <c:v>5.7834036954843918E-2</c:v>
                </c:pt>
                <c:pt idx="108">
                  <c:v>5.7939182841496135E-2</c:v>
                </c:pt>
                <c:pt idx="109">
                  <c:v>5.8045114780962692E-2</c:v>
                </c:pt>
                <c:pt idx="110">
                  <c:v>5.8151841619178732E-2</c:v>
                </c:pt>
                <c:pt idx="111">
                  <c:v>5.8259371021449506E-2</c:v>
                </c:pt>
                <c:pt idx="112">
                  <c:v>5.8367709414327174E-2</c:v>
                </c:pt>
                <c:pt idx="113">
                  <c:v>5.8476861925826733E-2</c:v>
                </c:pt>
                <c:pt idx="114">
                  <c:v>5.8586832324208908E-2</c:v>
                </c:pt>
                <c:pt idx="115">
                  <c:v>5.8697622955619165E-2</c:v>
                </c:pt>
                <c:pt idx="116">
                  <c:v>5.8809234680933763E-2</c:v>
                </c:pt>
                <c:pt idx="117">
                  <c:v>5.8921666812222634E-2</c:v>
                </c:pt>
                <c:pt idx="118">
                  <c:v>5.9034917049296538E-2</c:v>
                </c:pt>
                <c:pt idx="119">
                  <c:v>5.9148981416859835E-2</c:v>
                </c:pt>
                <c:pt idx="120">
                  <c:v>5.9263854202839188E-2</c:v>
                </c:pt>
                <c:pt idx="121">
                  <c:v>5.9379527898504196E-2</c:v>
                </c:pt>
                <c:pt idx="122">
                  <c:v>5.9495993141034362E-2</c:v>
                </c:pt>
                <c:pt idx="123">
                  <c:v>5.9613238659220073E-2</c:v>
                </c:pt>
                <c:pt idx="124">
                  <c:v>5.9731251223010436E-2</c:v>
                </c:pt>
                <c:pt idx="125">
                  <c:v>5.9850015597639417E-2</c:v>
                </c:pt>
                <c:pt idx="126">
                  <c:v>5.9969514503071822E-2</c:v>
                </c:pt>
                <c:pt idx="127">
                  <c:v>6.0089728579512149E-2</c:v>
                </c:pt>
                <c:pt idx="128">
                  <c:v>6.0210636359712223E-2</c:v>
                </c:pt>
                <c:pt idx="129">
                  <c:v>6.0332214248798262E-2</c:v>
                </c:pt>
                <c:pt idx="130">
                  <c:v>6.0454436512311784E-2</c:v>
                </c:pt>
                <c:pt idx="131">
                  <c:v>6.0577275273125883E-2</c:v>
                </c:pt>
                <c:pt idx="132">
                  <c:v>6.0700700517854457E-2</c:v>
                </c:pt>
                <c:pt idx="133">
                  <c:v>6.0824680113321081E-2</c:v>
                </c:pt>
                <c:pt idx="134">
                  <c:v>6.0949179833592979E-2</c:v>
                </c:pt>
                <c:pt idx="135">
                  <c:v>6.1074163398018654E-2</c:v>
                </c:pt>
                <c:pt idx="136">
                  <c:v>6.1199592520630841E-2</c:v>
                </c:pt>
                <c:pt idx="137">
                  <c:v>6.1325426971195023E-2</c:v>
                </c:pt>
                <c:pt idx="138">
                  <c:v>6.1451624648094352E-2</c:v>
                </c:pt>
                <c:pt idx="139">
                  <c:v>6.1578141663148019E-2</c:v>
                </c:pt>
                <c:pt idx="140">
                  <c:v>6.1704932438361844E-2</c:v>
                </c:pt>
                <c:pt idx="141">
                  <c:v>6.1831949814507188E-2</c:v>
                </c:pt>
                <c:pt idx="142">
                  <c:v>6.1959145171320007E-2</c:v>
                </c:pt>
                <c:pt idx="143">
                  <c:v>6.2086468559005466E-2</c:v>
                </c:pt>
                <c:pt idx="144">
                  <c:v>6.2213868840626609E-2</c:v>
                </c:pt>
                <c:pt idx="145">
                  <c:v>6.2341293844849752E-2</c:v>
                </c:pt>
                <c:pt idx="146">
                  <c:v>6.2468690528414257E-2</c:v>
                </c:pt>
                <c:pt idx="147">
                  <c:v>6.2596005147593614E-2</c:v>
                </c:pt>
                <c:pt idx="148">
                  <c:v>6.2723183437816021E-2</c:v>
                </c:pt>
                <c:pt idx="149">
                  <c:v>6.2850170800521105E-2</c:v>
                </c:pt>
                <c:pt idx="150">
                  <c:v>6.2976912496241683E-2</c:v>
                </c:pt>
                <c:pt idx="151">
                  <c:v>6.3103353842821105E-2</c:v>
                </c:pt>
                <c:pt idx="152">
                  <c:v>6.3229440417604227E-2</c:v>
                </c:pt>
                <c:pt idx="153">
                  <c:v>6.3355118262377885E-2</c:v>
                </c:pt>
                <c:pt idx="154">
                  <c:v>6.3480334089783957E-2</c:v>
                </c:pt>
                <c:pt idx="155">
                  <c:v>6.3605035489884512E-2</c:v>
                </c:pt>
                <c:pt idx="156">
                  <c:v>6.3729171135528728E-2</c:v>
                </c:pt>
                <c:pt idx="157">
                  <c:v>6.3852690985148813E-2</c:v>
                </c:pt>
                <c:pt idx="158">
                  <c:v>6.3975546481606263E-2</c:v>
                </c:pt>
                <c:pt idx="159">
                  <c:v>6.4097690745711741E-2</c:v>
                </c:pt>
                <c:pt idx="160">
                  <c:v>6.4219078763059698E-2</c:v>
                </c:pt>
                <c:pt idx="161">
                  <c:v>6.4339667562846148E-2</c:v>
                </c:pt>
                <c:pt idx="162">
                  <c:v>6.4459416387379856E-2</c:v>
                </c:pt>
                <c:pt idx="163">
                  <c:v>6.4578286851049438E-2</c:v>
                </c:pt>
                <c:pt idx="164">
                  <c:v>6.4696243087573713E-2</c:v>
                </c:pt>
                <c:pt idx="165">
                  <c:v>6.4813251884438719E-2</c:v>
                </c:pt>
                <c:pt idx="166">
                  <c:v>6.4929282803510444E-2</c:v>
                </c:pt>
                <c:pt idx="167">
                  <c:v>6.5044308286909477E-2</c:v>
                </c:pt>
                <c:pt idx="168">
                  <c:v>6.5158303747339122E-2</c:v>
                </c:pt>
                <c:pt idx="169">
                  <c:v>6.5271247642171917E-2</c:v>
                </c:pt>
                <c:pt idx="170">
                  <c:v>6.5383121530720484E-2</c:v>
                </c:pt>
                <c:pt idx="171">
                  <c:v>6.5493910114246282E-2</c:v>
                </c:pt>
                <c:pt idx="172">
                  <c:v>6.5603601258390959E-2</c:v>
                </c:pt>
                <c:pt idx="173">
                  <c:v>6.5712185997851391E-2</c:v>
                </c:pt>
                <c:pt idx="174">
                  <c:v>6.581965852325794E-2</c:v>
                </c:pt>
                <c:pt idx="175">
                  <c:v>6.5926016150353955E-2</c:v>
                </c:pt>
                <c:pt idx="176">
                  <c:v>6.603125927171534E-2</c:v>
                </c:pt>
                <c:pt idx="177">
                  <c:v>6.6135391291385556E-2</c:v>
                </c:pt>
                <c:pt idx="178">
                  <c:v>6.6238418542937424E-2</c:v>
                </c:pt>
                <c:pt idx="179">
                  <c:v>6.6340350191603767E-2</c:v>
                </c:pt>
                <c:pt idx="180">
                  <c:v>6.6441198121244507E-2</c:v>
                </c:pt>
                <c:pt idx="181">
                  <c:v>6.6540976807037189E-2</c:v>
                </c:pt>
                <c:pt idx="182">
                  <c:v>6.6639703174888959E-2</c:v>
                </c:pt>
                <c:pt idx="183">
                  <c:v>6.6737396448670619E-2</c:v>
                </c:pt>
                <c:pt idx="184">
                  <c:v>6.6834077986465845E-2</c:v>
                </c:pt>
                <c:pt idx="185">
                  <c:v>6.6929771107110667E-2</c:v>
                </c:pt>
                <c:pt idx="186">
                  <c:v>6.7024500908368159E-2</c:v>
                </c:pt>
                <c:pt idx="187">
                  <c:v>6.7118294078141696E-2</c:v>
                </c:pt>
                <c:pt idx="188">
                  <c:v>6.7211178700174415E-2</c:v>
                </c:pt>
                <c:pt idx="189">
                  <c:v>6.7303184055715004E-2</c:v>
                </c:pt>
                <c:pt idx="190">
                  <c:v>6.7394340422647483E-2</c:v>
                </c:pt>
                <c:pt idx="191">
                  <c:v>6.7484678873586793E-2</c:v>
                </c:pt>
                <c:pt idx="192">
                  <c:v>6.7574231074432625E-2</c:v>
                </c:pt>
                <c:pt idx="193">
                  <c:v>6.7663029084850557E-2</c:v>
                </c:pt>
                <c:pt idx="194">
                  <c:v>6.7751105162112135E-2</c:v>
                </c:pt>
                <c:pt idx="195">
                  <c:v>6.7838491569675891E-2</c:v>
                </c:pt>
                <c:pt idx="196">
                  <c:v>6.7925220391828578E-2</c:v>
                </c:pt>
                <c:pt idx="197">
                  <c:v>6.8011323355630829E-2</c:v>
                </c:pt>
                <c:pt idx="198">
                  <c:v>6.8096831661326157E-2</c:v>
                </c:pt>
                <c:pt idx="199">
                  <c:v>6.8181775822275317E-2</c:v>
                </c:pt>
                <c:pt idx="200">
                  <c:v>6.826618551537332E-2</c:v>
                </c:pt>
                <c:pt idx="201">
                  <c:v>6.8350089442791903E-2</c:v>
                </c:pt>
                <c:pt idx="202">
                  <c:v>6.8433515205770235E-2</c:v>
                </c:pt>
                <c:pt idx="203">
                  <c:v>6.8516489191049509E-2</c:v>
                </c:pt>
                <c:pt idx="204">
                  <c:v>6.8599036470416319E-2</c:v>
                </c:pt>
                <c:pt idx="205">
                  <c:v>6.8681180713685744E-2</c:v>
                </c:pt>
                <c:pt idx="206">
                  <c:v>6.8762944115319233E-2</c:v>
                </c:pt>
                <c:pt idx="207">
                  <c:v>6.8844347334735989E-2</c:v>
                </c:pt>
                <c:pt idx="208">
                  <c:v>6.8925409450242295E-2</c:v>
                </c:pt>
                <c:pt idx="209">
                  <c:v>6.9006147926370415E-2</c:v>
                </c:pt>
                <c:pt idx="210">
                  <c:v>6.9086578594290349E-2</c:v>
                </c:pt>
                <c:pt idx="211">
                  <c:v>6.9166715644834842E-2</c:v>
                </c:pt>
                <c:pt idx="212">
                  <c:v>6.9246571633561654E-2</c:v>
                </c:pt>
                <c:pt idx="213">
                  <c:v>6.932615749716782E-2</c:v>
                </c:pt>
                <c:pt idx="214">
                  <c:v>6.9405482580471481E-2</c:v>
                </c:pt>
                <c:pt idx="215">
                  <c:v>6.9484554673087007E-2</c:v>
                </c:pt>
                <c:pt idx="216">
                  <c:v>6.9563380054840016E-2</c:v>
                </c:pt>
                <c:pt idx="217">
                  <c:v>6.9641963548902078E-2</c:v>
                </c:pt>
                <c:pt idx="218">
                  <c:v>6.9720308581570009E-2</c:v>
                </c:pt>
                <c:pt idx="219">
                  <c:v>6.979841724757356E-2</c:v>
                </c:pt>
                <c:pt idx="220">
                  <c:v>6.9876290379765935E-2</c:v>
                </c:pt>
                <c:pt idx="221">
                  <c:v>6.9953927622038642E-2</c:v>
                </c:pt>
                <c:pt idx="222">
                  <c:v>7.0031327504299648E-2</c:v>
                </c:pt>
                <c:pt idx="223">
                  <c:v>7.0108487518368498E-2</c:v>
                </c:pt>
                <c:pt idx="224">
                  <c:v>7.0185404193667478E-2</c:v>
                </c:pt>
                <c:pt idx="225">
                  <c:v>7.0262073171628608E-2</c:v>
                </c:pt>
                <c:pt idx="226">
                  <c:v>7.033848927778856E-2</c:v>
                </c:pt>
                <c:pt idx="227">
                  <c:v>7.0414646590608809E-2</c:v>
                </c:pt>
                <c:pt idx="228">
                  <c:v>7.049053850613432E-2</c:v>
                </c:pt>
                <c:pt idx="229">
                  <c:v>7.0566157797691528E-2</c:v>
                </c:pt>
                <c:pt idx="230">
                  <c:v>7.0641496669922102E-2</c:v>
                </c:pt>
                <c:pt idx="231">
                  <c:v>7.0716546806554481E-2</c:v>
                </c:pt>
                <c:pt idx="232">
                  <c:v>7.0791299411427006E-2</c:v>
                </c:pt>
                <c:pt idx="233">
                  <c:v>7.0865745242394362E-2</c:v>
                </c:pt>
                <c:pt idx="234">
                  <c:v>7.0939874637871644E-2</c:v>
                </c:pt>
                <c:pt idx="235">
                  <c:v>7.1013677535896602E-2</c:v>
                </c:pt>
                <c:pt idx="236">
                  <c:v>7.1087143485716833E-2</c:v>
                </c:pt>
                <c:pt idx="237">
                  <c:v>7.1160261652037413E-2</c:v>
                </c:pt>
                <c:pt idx="238">
                  <c:v>7.123302081218981E-2</c:v>
                </c:pt>
                <c:pt idx="239">
                  <c:v>7.1305409346606605E-2</c:v>
                </c:pt>
                <c:pt idx="240">
                  <c:v>7.1377415223105409E-2</c:v>
                </c:pt>
                <c:pt idx="241">
                  <c:v>7.144902597559874E-2</c:v>
                </c:pt>
                <c:pt idx="242">
                  <c:v>7.1520228677952769E-2</c:v>
                </c:pt>
                <c:pt idx="243">
                  <c:v>7.1591009913815201E-2</c:v>
                </c:pt>
                <c:pt idx="244">
                  <c:v>7.166135574332097E-2</c:v>
                </c:pt>
                <c:pt idx="245">
                  <c:v>7.1731251667661311E-2</c:v>
                </c:pt>
                <c:pt idx="246">
                  <c:v>7.180068259256725E-2</c:v>
                </c:pt>
                <c:pt idx="247">
                  <c:v>7.1869632791810967E-2</c:v>
                </c:pt>
                <c:pt idx="248">
                  <c:v>7.1938085871867952E-2</c:v>
                </c:pt>
                <c:pt idx="249">
                  <c:v>7.2006024738907534E-2</c:v>
                </c:pt>
                <c:pt idx="250">
                  <c:v>7.2073431569290067E-2</c:v>
                </c:pt>
                <c:pt idx="251">
                  <c:v>7.2140287784744281E-2</c:v>
                </c:pt>
                <c:pt idx="252">
                  <c:v>7.2206574033379267E-2</c:v>
                </c:pt>
                <c:pt idx="253">
                  <c:v>7.2272270177650713E-2</c:v>
                </c:pt>
                <c:pt idx="254">
                  <c:v>7.233735529035161E-2</c:v>
                </c:pt>
                <c:pt idx="255">
                  <c:v>7.2401807659633999E-2</c:v>
                </c:pt>
                <c:pt idx="256">
                  <c:v>7.2465604803990599E-2</c:v>
                </c:pt>
                <c:pt idx="257">
                  <c:v>7.2528723498033409E-2</c:v>
                </c:pt>
                <c:pt idx="258">
                  <c:v>7.2591139809803501E-2</c:v>
                </c:pt>
                <c:pt idx="259">
                  <c:v>7.2652829150230289E-2</c:v>
                </c:pt>
                <c:pt idx="260">
                  <c:v>7.2713766335233659E-2</c:v>
                </c:pt>
                <c:pt idx="261">
                  <c:v>7.2773925660826841E-2</c:v>
                </c:pt>
                <c:pt idx="262">
                  <c:v>7.2833280991435642E-2</c:v>
                </c:pt>
                <c:pt idx="263">
                  <c:v>7.2891805861500292E-2</c:v>
                </c:pt>
                <c:pt idx="264">
                  <c:v>7.2949473590272693E-2</c:v>
                </c:pt>
                <c:pt idx="265">
                  <c:v>7.3006257409563777E-2</c:v>
                </c:pt>
                <c:pt idx="266">
                  <c:v>7.3062130604037365E-2</c:v>
                </c:pt>
                <c:pt idx="267">
                  <c:v>7.3117066663487898E-2</c:v>
                </c:pt>
                <c:pt idx="268">
                  <c:v>7.3171039446382272E-2</c:v>
                </c:pt>
                <c:pt idx="269">
                  <c:v>7.3224023353792911E-2</c:v>
                </c:pt>
                <c:pt idx="270">
                  <c:v>7.3275993512699311E-2</c:v>
                </c:pt>
                <c:pt idx="271">
                  <c:v>7.3326925967496237E-2</c:v>
                </c:pt>
                <c:pt idx="272">
                  <c:v>7.3376797878411087E-2</c:v>
                </c:pt>
                <c:pt idx="273">
                  <c:v>7.3425587725411676E-2</c:v>
                </c:pt>
                <c:pt idx="274">
                  <c:v>7.3473275516073355E-2</c:v>
                </c:pt>
                <c:pt idx="275">
                  <c:v>7.3519842995775561E-2</c:v>
                </c:pt>
                <c:pt idx="276">
                  <c:v>7.3565273858513677E-2</c:v>
                </c:pt>
                <c:pt idx="277">
                  <c:v>7.3609553956542298E-2</c:v>
                </c:pt>
                <c:pt idx="278">
                  <c:v>7.3652671507012615E-2</c:v>
                </c:pt>
                <c:pt idx="279">
                  <c:v>7.3694617293730655E-2</c:v>
                </c:pt>
                <c:pt idx="280">
                  <c:v>7.3735384862144232E-2</c:v>
                </c:pt>
                <c:pt idx="281">
                  <c:v>7.3774970705665743E-2</c:v>
                </c:pt>
                <c:pt idx="282">
                  <c:v>7.3813374441456261E-2</c:v>
                </c:pt>
                <c:pt idx="283">
                  <c:v>7.3850598973832268E-2</c:v>
                </c:pt>
                <c:pt idx="284">
                  <c:v>7.3886650643511895E-2</c:v>
                </c:pt>
                <c:pt idx="285">
                  <c:v>7.3921539360989802E-2</c:v>
                </c:pt>
                <c:pt idx="286">
                  <c:v>7.3955278722421997E-2</c:v>
                </c:pt>
                <c:pt idx="287">
                  <c:v>7.3987886106508527E-2</c:v>
                </c:pt>
                <c:pt idx="288">
                  <c:v>7.4019382750987725E-2</c:v>
                </c:pt>
                <c:pt idx="289">
                  <c:v>7.404979380749499E-2</c:v>
                </c:pt>
                <c:pt idx="290">
                  <c:v>7.4079148373693005E-2</c:v>
                </c:pt>
                <c:pt idx="291">
                  <c:v>7.4107479501748355E-2</c:v>
                </c:pt>
                <c:pt idx="292">
                  <c:v>7.4134824182407064E-2</c:v>
                </c:pt>
                <c:pt idx="293">
                  <c:v>7.4161223304111346E-2</c:v>
                </c:pt>
                <c:pt idx="294">
                  <c:v>7.4186721586796345E-2</c:v>
                </c:pt>
                <c:pt idx="295">
                  <c:v>7.4211367490209304E-2</c:v>
                </c:pt>
                <c:pt idx="296">
                  <c:v>7.4235213096802616E-2</c:v>
                </c:pt>
                <c:pt idx="297">
                  <c:v>7.4258313969462419E-2</c:v>
                </c:pt>
                <c:pt idx="298">
                  <c:v>7.4280728984547448E-2</c:v>
                </c:pt>
                <c:pt idx="299">
                  <c:v>7.4302520140923409E-2</c:v>
                </c:pt>
                <c:pt idx="300">
                  <c:v>7.4323752345885841E-2</c:v>
                </c:pt>
                <c:pt idx="301">
                  <c:v>7.4344493179067786E-2</c:v>
                </c:pt>
                <c:pt idx="302">
                  <c:v>7.4364812635624153E-2</c:v>
                </c:pt>
                <c:pt idx="303">
                  <c:v>7.4384782850171263E-2</c:v>
                </c:pt>
                <c:pt idx="304">
                  <c:v>7.4404477803137373E-2</c:v>
                </c:pt>
                <c:pt idx="305">
                  <c:v>7.4423973011342348E-2</c:v>
                </c:pt>
                <c:pt idx="306">
                  <c:v>7.4443345204775774E-2</c:v>
                </c:pt>
                <c:pt idx="307">
                  <c:v>7.4462671991676568E-2</c:v>
                </c:pt>
                <c:pt idx="308">
                  <c:v>7.4482031514134003E-2</c:v>
                </c:pt>
                <c:pt idx="309">
                  <c:v>7.4501502096530475E-2</c:v>
                </c:pt>
                <c:pt idx="310">
                  <c:v>7.4521161889225224E-2</c:v>
                </c:pt>
                <c:pt idx="311">
                  <c:v>7.4541088509939776E-2</c:v>
                </c:pt>
                <c:pt idx="312">
                  <c:v>7.4561358685343804E-2</c:v>
                </c:pt>
                <c:pt idx="313">
                  <c:v>7.4582047895359979E-2</c:v>
                </c:pt>
                <c:pt idx="314">
                  <c:v>7.4603230022701958E-2</c:v>
                </c:pt>
                <c:pt idx="315">
                  <c:v>7.4624977010135998E-2</c:v>
                </c:pt>
                <c:pt idx="316">
                  <c:v>7.4647358527910074E-2</c:v>
                </c:pt>
                <c:pt idx="317">
                  <c:v>7.467044165372734E-2</c:v>
                </c:pt>
                <c:pt idx="318">
                  <c:v>7.4694290567553015E-2</c:v>
                </c:pt>
                <c:pt idx="319">
                  <c:v>7.4718966263436451E-2</c:v>
                </c:pt>
                <c:pt idx="320">
                  <c:v>7.4744526280402873E-2</c:v>
                </c:pt>
                <c:pt idx="321">
                  <c:v>7.4771024454325763E-2</c:v>
                </c:pt>
                <c:pt idx="322">
                  <c:v>7.4798510692528783E-2</c:v>
                </c:pt>
                <c:pt idx="323">
                  <c:v>7.4827030772690609E-2</c:v>
                </c:pt>
                <c:pt idx="324">
                  <c:v>7.4856626167435741E-2</c:v>
                </c:pt>
                <c:pt idx="325">
                  <c:v>7.4887333895792024E-2</c:v>
                </c:pt>
                <c:pt idx="326">
                  <c:v>7.491918640248442E-2</c:v>
                </c:pt>
                <c:pt idx="327">
                  <c:v>7.495221146581324E-2</c:v>
                </c:pt>
                <c:pt idx="328">
                  <c:v>7.4986432134638695E-2</c:v>
                </c:pt>
                <c:pt idx="329">
                  <c:v>7.5021866694762879E-2</c:v>
                </c:pt>
                <c:pt idx="330">
                  <c:v>7.5058528664766921E-2</c:v>
                </c:pt>
                <c:pt idx="331">
                  <c:v>7.5096426821127632E-2</c:v>
                </c:pt>
                <c:pt idx="332">
                  <c:v>7.5135565252207076E-2</c:v>
                </c:pt>
                <c:pt idx="333">
                  <c:v>7.5175943440481646E-2</c:v>
                </c:pt>
                <c:pt idx="334">
                  <c:v>7.5217556372155062E-2</c:v>
                </c:pt>
                <c:pt idx="335">
                  <c:v>7.5260394673088524E-2</c:v>
                </c:pt>
                <c:pt idx="336">
                  <c:v>7.5304444769776893E-2</c:v>
                </c:pt>
                <c:pt idx="337">
                  <c:v>7.5349689073909418E-2</c:v>
                </c:pt>
                <c:pt idx="338">
                  <c:v>7.5396106188876225E-2</c:v>
                </c:pt>
                <c:pt idx="339">
                  <c:v>7.5443671136418436E-2</c:v>
                </c:pt>
                <c:pt idx="340">
                  <c:v>7.5492355601474576E-2</c:v>
                </c:pt>
                <c:pt idx="341">
                  <c:v>7.5542128193147137E-2</c:v>
                </c:pt>
                <c:pt idx="342">
                  <c:v>7.5592954719603825E-2</c:v>
                </c:pt>
                <c:pt idx="343">
                  <c:v>7.5644798474638272E-2</c:v>
                </c:pt>
                <c:pt idx="344">
                  <c:v>7.5697620533545368E-2</c:v>
                </c:pt>
                <c:pt idx="345">
                  <c:v>7.5751380055918277E-2</c:v>
                </c:pt>
                <c:pt idx="346">
                  <c:v>7.5806034592946631E-2</c:v>
                </c:pt>
                <c:pt idx="347">
                  <c:v>7.5861540396790175E-2</c:v>
                </c:pt>
                <c:pt idx="348">
                  <c:v>7.5917852729616819E-2</c:v>
                </c:pt>
                <c:pt idx="349">
                  <c:v>7.5974926169931248E-2</c:v>
                </c:pt>
                <c:pt idx="350">
                  <c:v>7.6032714913877184E-2</c:v>
                </c:pt>
                <c:pt idx="351">
                  <c:v>7.6091173069272641E-2</c:v>
                </c:pt>
                <c:pt idx="352">
                  <c:v>7.6150254940234433E-2</c:v>
                </c:pt>
                <c:pt idx="353">
                  <c:v>7.6209915300361086E-2</c:v>
                </c:pt>
                <c:pt idx="354">
                  <c:v>7.6270109652574331E-2</c:v>
                </c:pt>
                <c:pt idx="355">
                  <c:v>7.6330794473865621E-2</c:v>
                </c:pt>
                <c:pt idx="356">
                  <c:v>7.6391927443353297E-2</c:v>
                </c:pt>
                <c:pt idx="357">
                  <c:v>7.6453467652229115E-2</c:v>
                </c:pt>
                <c:pt idx="358">
                  <c:v>7.6515375794355273E-2</c:v>
                </c:pt>
                <c:pt idx="359">
                  <c:v>7.6577614336464442E-2</c:v>
                </c:pt>
                <c:pt idx="360">
                  <c:v>7.6640147667114786E-2</c:v>
                </c:pt>
                <c:pt idx="361">
                  <c:v>7.6702942223754483E-2</c:v>
                </c:pt>
                <c:pt idx="362">
                  <c:v>7.6765966597457394E-2</c:v>
                </c:pt>
                <c:pt idx="363">
                  <c:v>7.6829191615099393E-2</c:v>
                </c:pt>
                <c:pt idx="364">
                  <c:v>7.6892590398950827E-2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2.2007247483054916E-3</c:v>
                </c:pt>
                <c:pt idx="1">
                  <c:v>2.1417658533829475E-3</c:v>
                </c:pt>
                <c:pt idx="2">
                  <c:v>2.0848230772585719E-3</c:v>
                </c:pt>
                <c:pt idx="3">
                  <c:v>2.0299431612340688E-3</c:v>
                </c:pt>
                <c:pt idx="4">
                  <c:v>1.9771653479888009E-3</c:v>
                </c:pt>
                <c:pt idx="5">
                  <c:v>1.9265216254794428E-3</c:v>
                </c:pt>
                <c:pt idx="6">
                  <c:v>1.8780370244152213E-3</c:v>
                </c:pt>
                <c:pt idx="7">
                  <c:v>1.8317299624115418E-3</c:v>
                </c:pt>
                <c:pt idx="8">
                  <c:v>1.7873962640021254E-3</c:v>
                </c:pt>
                <c:pt idx="9">
                  <c:v>1.7458627300713601E-3</c:v>
                </c:pt>
                <c:pt idx="10">
                  <c:v>1.708254742373174E-3</c:v>
                </c:pt>
                <c:pt idx="11">
                  <c:v>1.6745622763593801E-3</c:v>
                </c:pt>
                <c:pt idx="12">
                  <c:v>1.6447628644422224E-3</c:v>
                </c:pt>
                <c:pt idx="13">
                  <c:v>1.6188232412535902E-3</c:v>
                </c:pt>
                <c:pt idx="14">
                  <c:v>1.5967009608356978E-3</c:v>
                </c:pt>
                <c:pt idx="15">
                  <c:v>1.5761904032887955E-3</c:v>
                </c:pt>
                <c:pt idx="16">
                  <c:v>1.5545176897769858E-3</c:v>
                </c:pt>
                <c:pt idx="17">
                  <c:v>1.5317766549492087E-3</c:v>
                </c:pt>
                <c:pt idx="18">
                  <c:v>1.508056247078149E-3</c:v>
                </c:pt>
                <c:pt idx="19">
                  <c:v>1.4834485482928404E-3</c:v>
                </c:pt>
                <c:pt idx="20">
                  <c:v>1.4580434334285771E-3</c:v>
                </c:pt>
                <c:pt idx="21">
                  <c:v>1.4319183071223422E-3</c:v>
                </c:pt>
                <c:pt idx="22">
                  <c:v>1.4049485995555862E-3</c:v>
                </c:pt>
                <c:pt idx="23">
                  <c:v>1.3772266183017605E-3</c:v>
                </c:pt>
                <c:pt idx="24">
                  <c:v>1.3479928553488223E-3</c:v>
                </c:pt>
                <c:pt idx="25">
                  <c:v>1.3173624943684686E-3</c:v>
                </c:pt>
                <c:pt idx="26">
                  <c:v>1.285443464012097E-3</c:v>
                </c:pt>
                <c:pt idx="27">
                  <c:v>1.2523361518526409E-3</c:v>
                </c:pt>
                <c:pt idx="28">
                  <c:v>1.2181332330750329E-3</c:v>
                </c:pt>
                <c:pt idx="29">
                  <c:v>1.1834728301184519E-3</c:v>
                </c:pt>
                <c:pt idx="30">
                  <c:v>1.150245712609233E-3</c:v>
                </c:pt>
                <c:pt idx="31">
                  <c:v>1.1184441613561792E-3</c:v>
                </c:pt>
                <c:pt idx="32">
                  <c:v>1.0880565006542633E-3</c:v>
                </c:pt>
                <c:pt idx="33">
                  <c:v>1.0590677505089793E-3</c:v>
                </c:pt>
                <c:pt idx="34">
                  <c:v>1.0314602307030382E-3</c:v>
                </c:pt>
                <c:pt idx="35">
                  <c:v>1.0052141174703379E-3</c:v>
                </c:pt>
                <c:pt idx="36">
                  <c:v>9.8023341008628227E-4</c:v>
                </c:pt>
                <c:pt idx="37">
                  <c:v>9.5576879690179668E-4</c:v>
                </c:pt>
                <c:pt idx="38">
                  <c:v>9.3164317555844637E-4</c:v>
                </c:pt>
                <c:pt idx="39">
                  <c:v>9.078499839814965E-4</c:v>
                </c:pt>
                <c:pt idx="40">
                  <c:v>8.8438251947172385E-4</c:v>
                </c:pt>
                <c:pt idx="41">
                  <c:v>8.6123398713567007E-4</c:v>
                </c:pt>
                <c:pt idx="42">
                  <c:v>8.3839754401035613E-4</c:v>
                </c:pt>
                <c:pt idx="43">
                  <c:v>8.1549877792754877E-4</c:v>
                </c:pt>
                <c:pt idx="44">
                  <c:v>7.9206511944588558E-4</c:v>
                </c:pt>
                <c:pt idx="45">
                  <c:v>7.6811260767529988E-4</c:v>
                </c:pt>
                <c:pt idx="46">
                  <c:v>7.4365644272006101E-4</c:v>
                </c:pt>
                <c:pt idx="47">
                  <c:v>7.1871102594169218E-4</c:v>
                </c:pt>
                <c:pt idx="48">
                  <c:v>6.9328999329992889E-4</c:v>
                </c:pt>
                <c:pt idx="49">
                  <c:v>6.6740624151062622E-4</c:v>
                </c:pt>
                <c:pt idx="50">
                  <c:v>6.4106763886163747E-4</c:v>
                </c:pt>
                <c:pt idx="51">
                  <c:v>6.1457561898227051E-4</c:v>
                </c:pt>
                <c:pt idx="52">
                  <c:v>5.8849438704943174E-4</c:v>
                </c:pt>
                <c:pt idx="53">
                  <c:v>5.6280980027772966E-4</c:v>
                </c:pt>
                <c:pt idx="54">
                  <c:v>5.3751146838188358E-4</c:v>
                </c:pt>
                <c:pt idx="55">
                  <c:v>5.1258952917588316E-4</c:v>
                </c:pt>
                <c:pt idx="56">
                  <c:v>4.8803460010382024E-4</c:v>
                </c:pt>
                <c:pt idx="57">
                  <c:v>4.6438224748404861E-4</c:v>
                </c:pt>
                <c:pt idx="58">
                  <c:v>4.4193341340509205E-4</c:v>
                </c:pt>
                <c:pt idx="59">
                  <c:v>4.2065931048416928E-4</c:v>
                </c:pt>
                <c:pt idx="60">
                  <c:v>4.0053214713728873E-4</c:v>
                </c:pt>
                <c:pt idx="61">
                  <c:v>3.8152507123975587E-4</c:v>
                </c:pt>
                <c:pt idx="62">
                  <c:v>3.6361211988678098E-4</c:v>
                </c:pt>
                <c:pt idx="63">
                  <c:v>3.4676817528804505E-4</c:v>
                </c:pt>
                <c:pt idx="64">
                  <c:v>3.3096040191656171E-4</c:v>
                </c:pt>
                <c:pt idx="65">
                  <c:v>3.1640267853163124E-4</c:v>
                </c:pt>
                <c:pt idx="66">
                  <c:v>3.0281123066756182E-4</c:v>
                </c:pt>
                <c:pt idx="67">
                  <c:v>2.9016924988996154E-4</c:v>
                </c:pt>
                <c:pt idx="68">
                  <c:v>2.78459778072383E-4</c:v>
                </c:pt>
                <c:pt idx="69">
                  <c:v>2.6766584102382544E-4</c:v>
                </c:pt>
                <c:pt idx="70">
                  <c:v>2.5777057617237364E-4</c:v>
                </c:pt>
                <c:pt idx="71">
                  <c:v>2.4878152991996983E-4</c:v>
                </c:pt>
                <c:pt idx="72">
                  <c:v>2.4019632861314389E-4</c:v>
                </c:pt>
                <c:pt idx="73">
                  <c:v>2.32008526993194E-4</c:v>
                </c:pt>
                <c:pt idx="74">
                  <c:v>2.2421160989905971E-4</c:v>
                </c:pt>
                <c:pt idx="75">
                  <c:v>2.1679904085093382E-4</c:v>
                </c:pt>
                <c:pt idx="76">
                  <c:v>2.09764308747402E-4</c:v>
                </c:pt>
                <c:pt idx="77">
                  <c:v>2.0310097272523248E-4</c:v>
                </c:pt>
                <c:pt idx="78">
                  <c:v>1.9679021673137703E-4</c:v>
                </c:pt>
                <c:pt idx="79">
                  <c:v>1.9088638031467445E-4</c:v>
                </c:pt>
                <c:pt idx="80">
                  <c:v>1.8516617485770908E-4</c:v>
                </c:pt>
                <c:pt idx="81">
                  <c:v>1.7962892369009244E-4</c:v>
                </c:pt>
                <c:pt idx="82">
                  <c:v>1.7427355273153168E-4</c:v>
                </c:pt>
                <c:pt idx="83">
                  <c:v>1.6909863643159838E-4</c:v>
                </c:pt>
                <c:pt idx="84">
                  <c:v>1.6410244201342625E-4</c:v>
                </c:pt>
                <c:pt idx="85">
                  <c:v>1.5935408522688288E-4</c:v>
                </c:pt>
                <c:pt idx="86">
                  <c:v>1.5482810056275973E-4</c:v>
                </c:pt>
                <c:pt idx="87">
                  <c:v>1.5052164736362378E-4</c:v>
                </c:pt>
                <c:pt idx="88">
                  <c:v>1.4643184617751302E-4</c:v>
                </c:pt>
                <c:pt idx="89">
                  <c:v>1.4255582127007104E-4</c:v>
                </c:pt>
                <c:pt idx="90">
                  <c:v>1.3889074104223649E-4</c:v>
                </c:pt>
                <c:pt idx="91">
                  <c:v>1.3543385657403584E-4</c:v>
                </c:pt>
                <c:pt idx="92">
                  <c:v>1.3217684968889147E-4</c:v>
                </c:pt>
                <c:pt idx="93">
                  <c:v>1.2911407560619844E-4</c:v>
                </c:pt>
                <c:pt idx="94">
                  <c:v>1.2617607868512784E-4</c:v>
                </c:pt>
                <c:pt idx="95">
                  <c:v>1.2336017644393174E-4</c:v>
                </c:pt>
                <c:pt idx="96">
                  <c:v>1.206638099524617E-4</c:v>
                </c:pt>
                <c:pt idx="97">
                  <c:v>1.1808454668340348E-4</c:v>
                </c:pt>
                <c:pt idx="98">
                  <c:v>1.1562008348083887E-4</c:v>
                </c:pt>
                <c:pt idx="99">
                  <c:v>1.1327824208116082E-4</c:v>
                </c:pt>
                <c:pt idx="100">
                  <c:v>1.1098686361434014E-4</c:v>
                </c:pt>
                <c:pt idx="101">
                  <c:v>1.0874363092129188E-4</c:v>
                </c:pt>
                <c:pt idx="102">
                  <c:v>1.0654621941235904E-4</c:v>
                </c:pt>
                <c:pt idx="103">
                  <c:v>1.0439229699925256E-4</c:v>
                </c:pt>
                <c:pt idx="104">
                  <c:v>1.0227952402652951E-4</c:v>
                </c:pt>
                <c:pt idx="105">
                  <c:v>1.0020555313748987E-4</c:v>
                </c:pt>
                <c:pt idx="106">
                  <c:v>9.816758209574568E-5</c:v>
                </c:pt>
                <c:pt idx="107">
                  <c:v>9.6199358362955906E-5</c:v>
                </c:pt>
                <c:pt idx="108">
                  <c:v>9.42954751250563E-5</c:v>
                </c:pt>
                <c:pt idx="109">
                  <c:v>9.2453918172172601E-5</c:v>
                </c:pt>
                <c:pt idx="110">
                  <c:v>9.0673009758666982E-5</c:v>
                </c:pt>
                <c:pt idx="111">
                  <c:v>8.8951136652869924E-5</c:v>
                </c:pt>
                <c:pt idx="112">
                  <c:v>8.728649918365416E-5</c:v>
                </c:pt>
                <c:pt idx="113">
                  <c:v>8.570696868215792E-5</c:v>
                </c:pt>
                <c:pt idx="114">
                  <c:v>8.4201138915928066E-5</c:v>
                </c:pt>
                <c:pt idx="115">
                  <c:v>8.276803740317686E-5</c:v>
                </c:pt>
                <c:pt idx="116">
                  <c:v>8.1406829012789731E-5</c:v>
                </c:pt>
                <c:pt idx="117">
                  <c:v>8.0116817277597381E-5</c:v>
                </c:pt>
                <c:pt idx="118">
                  <c:v>7.8897445751447621E-5</c:v>
                </c:pt>
                <c:pt idx="119">
                  <c:v>7.7748299428094273E-5</c:v>
                </c:pt>
                <c:pt idx="120">
                  <c:v>7.6670269825010272E-5</c:v>
                </c:pt>
                <c:pt idx="121">
                  <c:v>7.5707729053627688E-5</c:v>
                </c:pt>
                <c:pt idx="122">
                  <c:v>7.4820716594801E-5</c:v>
                </c:pt>
                <c:pt idx="123">
                  <c:v>7.4009077684596415E-5</c:v>
                </c:pt>
                <c:pt idx="124">
                  <c:v>7.3272854383421649E-5</c:v>
                </c:pt>
                <c:pt idx="125">
                  <c:v>7.2612281182607338E-5</c:v>
                </c:pt>
                <c:pt idx="126">
                  <c:v>7.202778054515563E-5</c:v>
                </c:pt>
                <c:pt idx="127">
                  <c:v>7.1508324870573728E-5</c:v>
                </c:pt>
                <c:pt idx="128">
                  <c:v>7.1019804687758923E-5</c:v>
                </c:pt>
                <c:pt idx="129">
                  <c:v>7.0561462505994065E-5</c:v>
                </c:pt>
                <c:pt idx="130">
                  <c:v>7.0132609104611881E-5</c:v>
                </c:pt>
                <c:pt idx="131">
                  <c:v>6.9732622072152825E-5</c:v>
                </c:pt>
                <c:pt idx="132">
                  <c:v>6.9360944429642523E-5</c:v>
                </c:pt>
                <c:pt idx="133">
                  <c:v>6.9017083287883772E-5</c:v>
                </c:pt>
                <c:pt idx="134">
                  <c:v>6.8702302550241771E-5</c:v>
                </c:pt>
                <c:pt idx="135">
                  <c:v>6.8399505775228197E-5</c:v>
                </c:pt>
                <c:pt idx="136">
                  <c:v>6.8055684922006316E-5</c:v>
                </c:pt>
                <c:pt idx="137">
                  <c:v>6.7668005634879814E-5</c:v>
                </c:pt>
                <c:pt idx="138">
                  <c:v>6.7233581140007303E-5</c:v>
                </c:pt>
                <c:pt idx="139">
                  <c:v>6.6749479156718799E-5</c:v>
                </c:pt>
                <c:pt idx="140">
                  <c:v>6.6212729513217219E-5</c:v>
                </c:pt>
                <c:pt idx="141">
                  <c:v>6.565640695747859E-5</c:v>
                </c:pt>
                <c:pt idx="142">
                  <c:v>6.5092319976612771E-5</c:v>
                </c:pt>
                <c:pt idx="143">
                  <c:v>6.4519068945863663E-5</c:v>
                </c:pt>
                <c:pt idx="144">
                  <c:v>6.3935694384045194E-5</c:v>
                </c:pt>
                <c:pt idx="145">
                  <c:v>6.3341281676138539E-5</c:v>
                </c:pt>
                <c:pt idx="146">
                  <c:v>6.2734964517547264E-5</c:v>
                </c:pt>
                <c:pt idx="147">
                  <c:v>6.2115928353821602E-5</c:v>
                </c:pt>
                <c:pt idx="148">
                  <c:v>6.1484853843113356E-5</c:v>
                </c:pt>
                <c:pt idx="149">
                  <c:v>6.085033946326488E-5</c:v>
                </c:pt>
                <c:pt idx="150">
                  <c:v>6.0234042872787771E-5</c:v>
                </c:pt>
                <c:pt idx="151">
                  <c:v>5.9636222382430853E-5</c:v>
                </c:pt>
                <c:pt idx="152">
                  <c:v>5.9057220888745419E-5</c:v>
                </c:pt>
                <c:pt idx="153">
                  <c:v>5.8497463314114402E-5</c:v>
                </c:pt>
                <c:pt idx="154">
                  <c:v>5.7957453732727654E-5</c:v>
                </c:pt>
                <c:pt idx="155">
                  <c:v>5.7483684010744426E-5</c:v>
                </c:pt>
                <c:pt idx="156">
                  <c:v>5.7035202655007093E-5</c:v>
                </c:pt>
                <c:pt idx="157">
                  <c:v>5.6612980808700966E-5</c:v>
                </c:pt>
                <c:pt idx="158">
                  <c:v>5.6218054382913967E-5</c:v>
                </c:pt>
                <c:pt idx="159">
                  <c:v>5.5851518264586599E-5</c:v>
                </c:pt>
                <c:pt idx="160">
                  <c:v>5.5514520140302768E-5</c:v>
                </c:pt>
                <c:pt idx="161">
                  <c:v>5.520825395049362E-5</c:v>
                </c:pt>
                <c:pt idx="162">
                  <c:v>5.493490090755762E-5</c:v>
                </c:pt>
                <c:pt idx="163">
                  <c:v>5.4735004191765509E-5</c:v>
                </c:pt>
                <c:pt idx="164">
                  <c:v>5.460185414568816E-5</c:v>
                </c:pt>
                <c:pt idx="165">
                  <c:v>5.4538037366502991E-5</c:v>
                </c:pt>
                <c:pt idx="166">
                  <c:v>5.454613842991618E-5</c:v>
                </c:pt>
                <c:pt idx="167">
                  <c:v>5.4628732998130867E-5</c:v>
                </c:pt>
                <c:pt idx="168">
                  <c:v>5.4788381280079115E-5</c:v>
                </c:pt>
                <c:pt idx="169">
                  <c:v>5.5068113551399622E-5</c:v>
                </c:pt>
                <c:pt idx="170">
                  <c:v>5.5417227961854486E-5</c:v>
                </c:pt>
                <c:pt idx="171">
                  <c:v>5.5837760140546971E-5</c:v>
                </c:pt>
                <c:pt idx="172">
                  <c:v>5.6331719236769412E-5</c:v>
                </c:pt>
                <c:pt idx="173">
                  <c:v>5.690050313378242E-5</c:v>
                </c:pt>
                <c:pt idx="174">
                  <c:v>5.7545420359639138E-5</c:v>
                </c:pt>
                <c:pt idx="175">
                  <c:v>5.826828994899597E-5</c:v>
                </c:pt>
                <c:pt idx="176">
                  <c:v>5.9070883343438078E-5</c:v>
                </c:pt>
                <c:pt idx="177">
                  <c:v>6.0012748806700579E-5</c:v>
                </c:pt>
                <c:pt idx="178">
                  <c:v>6.105321283510757E-5</c:v>
                </c:pt>
                <c:pt idx="179">
                  <c:v>6.2194238067545123E-5</c:v>
                </c:pt>
                <c:pt idx="180">
                  <c:v>6.3437720523390744E-5</c:v>
                </c:pt>
                <c:pt idx="181">
                  <c:v>6.4785490224528788E-5</c:v>
                </c:pt>
                <c:pt idx="182">
                  <c:v>6.6239312486443121E-5</c:v>
                </c:pt>
                <c:pt idx="183">
                  <c:v>6.7812091958629737E-5</c:v>
                </c:pt>
                <c:pt idx="184">
                  <c:v>6.9460131011406858E-5</c:v>
                </c:pt>
                <c:pt idx="185">
                  <c:v>7.1184371016105467E-5</c:v>
                </c:pt>
                <c:pt idx="186">
                  <c:v>7.2985731961370834E-5</c:v>
                </c:pt>
                <c:pt idx="187">
                  <c:v>7.4865115353589767E-5</c:v>
                </c:pt>
                <c:pt idx="188">
                  <c:v>7.682340722221063E-5</c:v>
                </c:pt>
                <c:pt idx="189">
                  <c:v>7.886148119777095E-5</c:v>
                </c:pt>
                <c:pt idx="190">
                  <c:v>8.0979578975839736E-5</c:v>
                </c:pt>
                <c:pt idx="191">
                  <c:v>8.3235486015364657E-5</c:v>
                </c:pt>
                <c:pt idx="192">
                  <c:v>8.5567403731216606E-5</c:v>
                </c:pt>
                <c:pt idx="193">
                  <c:v>8.7976225459093234E-5</c:v>
                </c:pt>
                <c:pt idx="194">
                  <c:v>9.0462888290166415E-5</c:v>
                </c:pt>
                <c:pt idx="195">
                  <c:v>9.3028378512933769E-5</c:v>
                </c:pt>
                <c:pt idx="196">
                  <c:v>9.5673736905111615E-5</c:v>
                </c:pt>
                <c:pt idx="197">
                  <c:v>9.8367742344393152E-5</c:v>
                </c:pt>
                <c:pt idx="198">
                  <c:v>1.0109913873229379E-4</c:v>
                </c:pt>
                <c:pt idx="199">
                  <c:v>1.0386866481754703E-4</c:v>
                </c:pt>
                <c:pt idx="200">
                  <c:v>1.0667714651018567E-4</c:v>
                </c:pt>
                <c:pt idx="201">
                  <c:v>1.0952549721289649E-4</c:v>
                </c:pt>
                <c:pt idx="202">
                  <c:v>1.1241471803268725E-4</c:v>
                </c:pt>
                <c:pt idx="203">
                  <c:v>1.1534589794616924E-4</c:v>
                </c:pt>
                <c:pt idx="204">
                  <c:v>1.1831895003260714E-4</c:v>
                </c:pt>
                <c:pt idx="205">
                  <c:v>1.2131093566506297E-4</c:v>
                </c:pt>
                <c:pt idx="206">
                  <c:v>1.2426132612384282E-4</c:v>
                </c:pt>
                <c:pt idx="207">
                  <c:v>1.2716984430828171E-4</c:v>
                </c:pt>
                <c:pt idx="208">
                  <c:v>1.3003623822261404E-4</c:v>
                </c:pt>
                <c:pt idx="209">
                  <c:v>1.3286027518688955E-4</c:v>
                </c:pt>
                <c:pt idx="210">
                  <c:v>1.3564173635417212E-4</c:v>
                </c:pt>
                <c:pt idx="211">
                  <c:v>1.3848121616616451E-4</c:v>
                </c:pt>
                <c:pt idx="212">
                  <c:v>1.4141363053411037E-4</c:v>
                </c:pt>
                <c:pt idx="213">
                  <c:v>1.4444017944530919E-4</c:v>
                </c:pt>
                <c:pt idx="214">
                  <c:v>1.4756205503786002E-4</c:v>
                </c:pt>
                <c:pt idx="215">
                  <c:v>1.5078044122953776E-4</c:v>
                </c:pt>
                <c:pt idx="216">
                  <c:v>1.5409651335393778E-4</c:v>
                </c:pt>
                <c:pt idx="217">
                  <c:v>1.5751143782666681E-4</c:v>
                </c:pt>
                <c:pt idx="218">
                  <c:v>1.6102506670301255E-4</c:v>
                </c:pt>
                <c:pt idx="219">
                  <c:v>1.6471759347323953E-4</c:v>
                </c:pt>
                <c:pt idx="220">
                  <c:v>1.6861500740813912E-4</c:v>
                </c:pt>
                <c:pt idx="221">
                  <c:v>1.7272002891344704E-4</c:v>
                </c:pt>
                <c:pt idx="222">
                  <c:v>1.770354291003094E-4</c:v>
                </c:pt>
                <c:pt idx="223">
                  <c:v>1.8156403945292874E-4</c:v>
                </c:pt>
                <c:pt idx="224">
                  <c:v>1.8630876169629623E-4</c:v>
                </c:pt>
                <c:pt idx="225">
                  <c:v>1.9136478277806664E-4</c:v>
                </c:pt>
                <c:pt idx="226">
                  <c:v>1.9662991184854077E-4</c:v>
                </c:pt>
                <c:pt idx="227">
                  <c:v>2.0210715636856123E-4</c:v>
                </c:pt>
                <c:pt idx="228">
                  <c:v>2.0779963708863932E-4</c:v>
                </c:pt>
                <c:pt idx="229">
                  <c:v>2.1371059855059685E-4</c:v>
                </c:pt>
                <c:pt idx="230">
                  <c:v>2.1984341993384576E-4</c:v>
                </c:pt>
                <c:pt idx="231">
                  <c:v>2.2620162632847475E-4</c:v>
                </c:pt>
                <c:pt idx="232">
                  <c:v>2.3278663237050369E-4</c:v>
                </c:pt>
                <c:pt idx="233">
                  <c:v>2.3962084575945212E-4</c:v>
                </c:pt>
                <c:pt idx="234">
                  <c:v>2.4662249836031222E-4</c:v>
                </c:pt>
                <c:pt idx="235">
                  <c:v>2.5379362051365574E-4</c:v>
                </c:pt>
                <c:pt idx="236">
                  <c:v>2.6113636454161546E-4</c:v>
                </c:pt>
                <c:pt idx="237">
                  <c:v>2.6865275588327511E-4</c:v>
                </c:pt>
                <c:pt idx="238">
                  <c:v>2.7634484602131619E-4</c:v>
                </c:pt>
                <c:pt idx="239">
                  <c:v>2.8423423033025581E-4</c:v>
                </c:pt>
                <c:pt idx="240">
                  <c:v>2.9222612031174839E-4</c:v>
                </c:pt>
                <c:pt idx="241">
                  <c:v>3.0032181391355107E-4</c:v>
                </c:pt>
                <c:pt idx="242">
                  <c:v>3.0852260474848359E-4</c:v>
                </c:pt>
                <c:pt idx="243">
                  <c:v>3.1682977814748706E-4</c:v>
                </c:pt>
                <c:pt idx="244">
                  <c:v>3.2524460667538043E-4</c:v>
                </c:pt>
                <c:pt idx="245">
                  <c:v>3.337683451868224E-4</c:v>
                </c:pt>
                <c:pt idx="246">
                  <c:v>3.4240222535741253E-4</c:v>
                </c:pt>
                <c:pt idx="247">
                  <c:v>3.5135858485808787E-4</c:v>
                </c:pt>
                <c:pt idx="248">
                  <c:v>3.6061816699907499E-4</c:v>
                </c:pt>
                <c:pt idx="249">
                  <c:v>3.7018435638202282E-4</c:v>
                </c:pt>
                <c:pt idx="250">
                  <c:v>3.8006052400771221E-4</c:v>
                </c:pt>
                <c:pt idx="251">
                  <c:v>3.9025001880855072E-4</c:v>
                </c:pt>
                <c:pt idx="252">
                  <c:v>4.0075615857064923E-4</c:v>
                </c:pt>
                <c:pt idx="253">
                  <c:v>4.1178891744502886E-4</c:v>
                </c:pt>
                <c:pt idx="254">
                  <c:v>4.2333318066662198E-4</c:v>
                </c:pt>
                <c:pt idx="255">
                  <c:v>4.3539435621094282E-4</c:v>
                </c:pt>
                <c:pt idx="256">
                  <c:v>4.4797781007560323E-4</c:v>
                </c:pt>
                <c:pt idx="257">
                  <c:v>4.6108885298999717E-4</c:v>
                </c:pt>
                <c:pt idx="258">
                  <c:v>4.7473272690395078E-4</c:v>
                </c:pt>
                <c:pt idx="259">
                  <c:v>4.8891459138472723E-4</c:v>
                </c:pt>
                <c:pt idx="260">
                  <c:v>5.036419297774706E-4</c:v>
                </c:pt>
                <c:pt idx="261">
                  <c:v>5.1900618013781723E-4</c:v>
                </c:pt>
                <c:pt idx="262">
                  <c:v>5.3478836109527024E-4</c:v>
                </c:pt>
                <c:pt idx="263">
                  <c:v>5.5099064422316907E-4</c:v>
                </c:pt>
                <c:pt idx="264">
                  <c:v>5.6761492006712538E-4</c:v>
                </c:pt>
                <c:pt idx="265">
                  <c:v>5.8466588704242232E-4</c:v>
                </c:pt>
                <c:pt idx="266">
                  <c:v>6.0214669066120912E-4</c:v>
                </c:pt>
                <c:pt idx="267">
                  <c:v>6.2086033314093258E-4</c:v>
                </c:pt>
                <c:pt idx="268">
                  <c:v>6.4059704327205317E-4</c:v>
                </c:pt>
                <c:pt idx="269">
                  <c:v>6.6136347466093934E-4</c:v>
                </c:pt>
                <c:pt idx="270">
                  <c:v>6.831657225893768E-4</c:v>
                </c:pt>
                <c:pt idx="271">
                  <c:v>7.0600927448548725E-4</c:v>
                </c:pt>
                <c:pt idx="272">
                  <c:v>7.298989637229828E-4</c:v>
                </c:pt>
                <c:pt idx="273">
                  <c:v>7.5483892715124106E-4</c:v>
                </c:pt>
                <c:pt idx="274">
                  <c:v>7.8086206286209206E-4</c:v>
                </c:pt>
                <c:pt idx="275">
                  <c:v>8.0936311247189812E-4</c:v>
                </c:pt>
                <c:pt idx="276">
                  <c:v>8.4026669166895767E-4</c:v>
                </c:pt>
                <c:pt idx="277">
                  <c:v>8.7358412796135283E-4</c:v>
                </c:pt>
                <c:pt idx="278">
                  <c:v>9.0932436766972581E-4</c:v>
                </c:pt>
                <c:pt idx="279">
                  <c:v>9.4749354919655671E-4</c:v>
                </c:pt>
                <c:pt idx="280">
                  <c:v>9.8809456875643335E-4</c:v>
                </c:pt>
                <c:pt idx="281">
                  <c:v>1.0319333855083493E-3</c:v>
                </c:pt>
                <c:pt idx="282">
                  <c:v>1.0781634998348858E-3</c:v>
                </c:pt>
                <c:pt idx="283">
                  <c:v>1.1267746920977696E-3</c:v>
                </c:pt>
                <c:pt idx="284">
                  <c:v>1.1777516948008309E-3</c:v>
                </c:pt>
                <c:pt idx="285">
                  <c:v>1.2310737539402504E-3</c:v>
                </c:pt>
                <c:pt idx="286">
                  <c:v>1.286714196456992E-3</c:v>
                </c:pt>
                <c:pt idx="287">
                  <c:v>1.3446400070285694E-3</c:v>
                </c:pt>
                <c:pt idx="288">
                  <c:v>1.4049110039441697E-3</c:v>
                </c:pt>
                <c:pt idx="289">
                  <c:v>1.4666659380215422E-3</c:v>
                </c:pt>
                <c:pt idx="290">
                  <c:v>1.5284526058995747E-3</c:v>
                </c:pt>
                <c:pt idx="291">
                  <c:v>1.5902367071290698E-3</c:v>
                </c:pt>
                <c:pt idx="292">
                  <c:v>1.6519815751362818E-3</c:v>
                </c:pt>
                <c:pt idx="293">
                  <c:v>1.7136482479851167E-3</c:v>
                </c:pt>
                <c:pt idx="294">
                  <c:v>1.7751955418277817E-3</c:v>
                </c:pt>
                <c:pt idx="295">
                  <c:v>1.83468734128552E-3</c:v>
                </c:pt>
                <c:pt idx="296">
                  <c:v>1.8912554022349627E-3</c:v>
                </c:pt>
                <c:pt idx="297">
                  <c:v>1.9448603544309844E-3</c:v>
                </c:pt>
                <c:pt idx="298">
                  <c:v>1.9954488044822941E-3</c:v>
                </c:pt>
                <c:pt idx="299">
                  <c:v>2.0429683579600236E-3</c:v>
                </c:pt>
                <c:pt idx="300">
                  <c:v>2.0873679422105124E-3</c:v>
                </c:pt>
                <c:pt idx="301">
                  <c:v>2.1285981200921938E-3</c:v>
                </c:pt>
                <c:pt idx="302">
                  <c:v>2.1667404949291813E-3</c:v>
                </c:pt>
                <c:pt idx="303">
                  <c:v>2.2033295068494821E-3</c:v>
                </c:pt>
                <c:pt idx="304">
                  <c:v>2.2393156828868234E-3</c:v>
                </c:pt>
                <c:pt idx="305">
                  <c:v>2.2746947112081456E-3</c:v>
                </c:pt>
                <c:pt idx="306">
                  <c:v>2.3094634337507683E-3</c:v>
                </c:pt>
                <c:pt idx="307">
                  <c:v>2.3436197872991585E-3</c:v>
                </c:pt>
                <c:pt idx="308">
                  <c:v>2.3771627209046957E-3</c:v>
                </c:pt>
                <c:pt idx="309">
                  <c:v>2.4102196203581632E-3</c:v>
                </c:pt>
                <c:pt idx="310">
                  <c:v>2.4447029152646614E-3</c:v>
                </c:pt>
                <c:pt idx="311">
                  <c:v>2.4806139157298717E-3</c:v>
                </c:pt>
                <c:pt idx="312">
                  <c:v>2.5179537408164827E-3</c:v>
                </c:pt>
                <c:pt idx="313">
                  <c:v>2.5567231683321836E-3</c:v>
                </c:pt>
                <c:pt idx="314">
                  <c:v>2.5969224566793764E-3</c:v>
                </c:pt>
                <c:pt idx="315">
                  <c:v>2.6385511360408629E-3</c:v>
                </c:pt>
                <c:pt idx="316">
                  <c:v>2.6817845283586164E-3</c:v>
                </c:pt>
                <c:pt idx="317">
                  <c:v>2.7227579022182885E-3</c:v>
                </c:pt>
                <c:pt idx="318">
                  <c:v>2.7600452960499368E-3</c:v>
                </c:pt>
                <c:pt idx="319">
                  <c:v>2.7936458304533237E-3</c:v>
                </c:pt>
                <c:pt idx="320">
                  <c:v>2.8235534595385612E-3</c:v>
                </c:pt>
                <c:pt idx="321">
                  <c:v>2.8497566701959523E-3</c:v>
                </c:pt>
                <c:pt idx="322">
                  <c:v>2.8722382326573136E-3</c:v>
                </c:pt>
                <c:pt idx="323">
                  <c:v>2.893904438064851E-3</c:v>
                </c:pt>
                <c:pt idx="324">
                  <c:v>2.9146024213134382E-3</c:v>
                </c:pt>
                <c:pt idx="325">
                  <c:v>2.9343010871642414E-3</c:v>
                </c:pt>
                <c:pt idx="326">
                  <c:v>2.9529452744465156E-3</c:v>
                </c:pt>
                <c:pt idx="327">
                  <c:v>2.9704858035595836E-3</c:v>
                </c:pt>
                <c:pt idx="328">
                  <c:v>2.9868826702677187E-3</c:v>
                </c:pt>
                <c:pt idx="329">
                  <c:v>3.0020899980924927E-3</c:v>
                </c:pt>
                <c:pt idx="330">
                  <c:v>3.0163699648796385E-3</c:v>
                </c:pt>
                <c:pt idx="331">
                  <c:v>3.0350716837978754E-3</c:v>
                </c:pt>
                <c:pt idx="332">
                  <c:v>3.0622203082195892E-3</c:v>
                </c:pt>
                <c:pt idx="333">
                  <c:v>3.0977792052091849E-3</c:v>
                </c:pt>
                <c:pt idx="334">
                  <c:v>3.141708075791505E-3</c:v>
                </c:pt>
                <c:pt idx="335">
                  <c:v>3.1939607503952828E-3</c:v>
                </c:pt>
                <c:pt idx="336">
                  <c:v>3.2544828173596326E-3</c:v>
                </c:pt>
                <c:pt idx="337">
                  <c:v>3.319887263513469E-3</c:v>
                </c:pt>
                <c:pt idx="338">
                  <c:v>3.3871243557764448E-3</c:v>
                </c:pt>
                <c:pt idx="339">
                  <c:v>3.456081750390408E-3</c:v>
                </c:pt>
                <c:pt idx="340">
                  <c:v>3.5266322021991255E-3</c:v>
                </c:pt>
                <c:pt idx="341">
                  <c:v>3.598633054072535E-3</c:v>
                </c:pt>
                <c:pt idx="342">
                  <c:v>3.6719258920584843E-3</c:v>
                </c:pt>
                <c:pt idx="343">
                  <c:v>3.746336391432333E-3</c:v>
                </c:pt>
                <c:pt idx="344">
                  <c:v>3.822105769827755E-3</c:v>
                </c:pt>
                <c:pt idx="345">
                  <c:v>3.8995152203264746E-3</c:v>
                </c:pt>
                <c:pt idx="346">
                  <c:v>3.969509270586479E-3</c:v>
                </c:pt>
                <c:pt idx="347">
                  <c:v>4.0319391172947572E-3</c:v>
                </c:pt>
                <c:pt idx="348">
                  <c:v>4.0866507239315482E-3</c:v>
                </c:pt>
                <c:pt idx="349">
                  <c:v>4.1334879472925117E-3</c:v>
                </c:pt>
                <c:pt idx="350">
                  <c:v>4.1722958362871813E-3</c:v>
                </c:pt>
                <c:pt idx="351">
                  <c:v>4.1991522477379823E-3</c:v>
                </c:pt>
                <c:pt idx="352">
                  <c:v>4.2172562100301859E-3</c:v>
                </c:pt>
                <c:pt idx="353">
                  <c:v>4.2264825228138037E-3</c:v>
                </c:pt>
                <c:pt idx="354">
                  <c:v>4.2267225010894508E-3</c:v>
                </c:pt>
                <c:pt idx="355">
                  <c:v>4.2178875108892892E-3</c:v>
                </c:pt>
                <c:pt idx="356">
                  <c:v>4.1998936264676613E-3</c:v>
                </c:pt>
                <c:pt idx="357">
                  <c:v>4.1727155951964663E-3</c:v>
                </c:pt>
                <c:pt idx="358">
                  <c:v>4.1363429864222801E-3</c:v>
                </c:pt>
                <c:pt idx="359">
                  <c:v>4.0909134644781216E-3</c:v>
                </c:pt>
                <c:pt idx="360">
                  <c:v>4.0333744879922796E-3</c:v>
                </c:pt>
                <c:pt idx="361">
                  <c:v>3.967665399195134E-3</c:v>
                </c:pt>
                <c:pt idx="362">
                  <c:v>3.8940279344735523E-3</c:v>
                </c:pt>
                <c:pt idx="363">
                  <c:v>3.8127189637247195E-3</c:v>
                </c:pt>
                <c:pt idx="364">
                  <c:v>3.7240078315400943E-3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223160"/>
        <c:axId val="778337272"/>
      </c:lineChart>
      <c:dateAx>
        <c:axId val="982231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37272"/>
        <c:crosses val="autoZero"/>
        <c:auto val="1"/>
        <c:lblOffset val="100"/>
        <c:baseTimeUnit val="days"/>
        <c:majorUnit val="1"/>
        <c:majorTimeUnit val="months"/>
      </c:dateAx>
      <c:valAx>
        <c:axId val="7783372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8223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2.0504187655907113E-2</c:v>
                </c:pt>
                <c:pt idx="1">
                  <c:v>2.0522959469691848E-2</c:v>
                </c:pt>
                <c:pt idx="2">
                  <c:v>2.0541730923718915E-2</c:v>
                </c:pt>
                <c:pt idx="3">
                  <c:v>2.0560502017995419E-2</c:v>
                </c:pt>
                <c:pt idx="4">
                  <c:v>2.0579272752528244E-2</c:v>
                </c:pt>
                <c:pt idx="5">
                  <c:v>2.0598043127324162E-2</c:v>
                </c:pt>
                <c:pt idx="6">
                  <c:v>2.0616813142390167E-2</c:v>
                </c:pt>
                <c:pt idx="7">
                  <c:v>2.0635582797733032E-2</c:v>
                </c:pt>
                <c:pt idx="8">
                  <c:v>2.0654352093359751E-2</c:v>
                </c:pt>
                <c:pt idx="9">
                  <c:v>2.0673121029277319E-2</c:v>
                </c:pt>
                <c:pt idx="10">
                  <c:v>2.0691889605492397E-2</c:v>
                </c:pt>
                <c:pt idx="11">
                  <c:v>2.071065782201198E-2</c:v>
                </c:pt>
                <c:pt idx="12">
                  <c:v>2.0729425678843061E-2</c:v>
                </c:pt>
                <c:pt idx="13">
                  <c:v>2.0748193175992413E-2</c:v>
                </c:pt>
                <c:pt idx="14">
                  <c:v>2.076696031346692E-2</c:v>
                </c:pt>
                <c:pt idx="15">
                  <c:v>2.0785727091273576E-2</c:v>
                </c:pt>
                <c:pt idx="16">
                  <c:v>2.0804493509419153E-2</c:v>
                </c:pt>
                <c:pt idx="17">
                  <c:v>2.0823259567910646E-2</c:v>
                </c:pt>
                <c:pt idx="18">
                  <c:v>2.0842025266754938E-2</c:v>
                </c:pt>
                <c:pt idx="19">
                  <c:v>2.0860790605958912E-2</c:v>
                </c:pt>
                <c:pt idx="20">
                  <c:v>2.0879555585529341E-2</c:v>
                </c:pt>
                <c:pt idx="21">
                  <c:v>2.0898320205473331E-2</c:v>
                </c:pt>
                <c:pt idx="22">
                  <c:v>2.0917084465797542E-2</c:v>
                </c:pt>
                <c:pt idx="23">
                  <c:v>2.093584836650908E-2</c:v>
                </c:pt>
                <c:pt idx="24">
                  <c:v>2.0954611907614717E-2</c:v>
                </c:pt>
                <c:pt idx="25">
                  <c:v>2.0973375089121338E-2</c:v>
                </c:pt>
                <c:pt idx="26">
                  <c:v>2.0992137911035935E-2</c:v>
                </c:pt>
                <c:pt idx="27">
                  <c:v>2.1010900373365282E-2</c:v>
                </c:pt>
                <c:pt idx="28">
                  <c:v>2.1029662476116262E-2</c:v>
                </c:pt>
                <c:pt idx="29">
                  <c:v>2.104842421929598E-2</c:v>
                </c:pt>
                <c:pt idx="30">
                  <c:v>2.1067185602910987E-2</c:v>
                </c:pt>
                <c:pt idx="31">
                  <c:v>2.1085946626968499E-2</c:v>
                </c:pt>
                <c:pt idx="32">
                  <c:v>2.1104707291475178E-2</c:v>
                </c:pt>
                <c:pt idx="33">
                  <c:v>2.1123467596438017E-2</c:v>
                </c:pt>
                <c:pt idx="34">
                  <c:v>2.1142227541863901E-2</c:v>
                </c:pt>
                <c:pt idx="35">
                  <c:v>2.1160987127759712E-2</c:v>
                </c:pt>
                <c:pt idx="36">
                  <c:v>2.1179746354132334E-2</c:v>
                </c:pt>
                <c:pt idx="37">
                  <c:v>2.1198505220988761E-2</c:v>
                </c:pt>
                <c:pt idx="38">
                  <c:v>2.1217263728335656E-2</c:v>
                </c:pt>
                <c:pt idx="39">
                  <c:v>2.1236021876180122E-2</c:v>
                </c:pt>
                <c:pt idx="40">
                  <c:v>2.1254779664528822E-2</c:v>
                </c:pt>
                <c:pt idx="41">
                  <c:v>2.1273537093388972E-2</c:v>
                </c:pt>
                <c:pt idx="42">
                  <c:v>2.1292294162767123E-2</c:v>
                </c:pt>
                <c:pt idx="43">
                  <c:v>2.1311050872670378E-2</c:v>
                </c:pt>
                <c:pt idx="44">
                  <c:v>2.1329807223105623E-2</c:v>
                </c:pt>
                <c:pt idx="45">
                  <c:v>2.134856321407963E-2</c:v>
                </c:pt>
                <c:pt idx="46">
                  <c:v>2.1367318845599392E-2</c:v>
                </c:pt>
                <c:pt idx="47">
                  <c:v>2.1386074117671683E-2</c:v>
                </c:pt>
                <c:pt idx="48">
                  <c:v>2.1404829030303496E-2</c:v>
                </c:pt>
                <c:pt idx="49">
                  <c:v>2.1423583583501715E-2</c:v>
                </c:pt>
                <c:pt idx="50">
                  <c:v>2.1442337777273113E-2</c:v>
                </c:pt>
                <c:pt idx="51">
                  <c:v>2.1461091611624794E-2</c:v>
                </c:pt>
                <c:pt idx="52">
                  <c:v>2.1479845086563421E-2</c:v>
                </c:pt>
                <c:pt idx="53">
                  <c:v>2.1498598202096098E-2</c:v>
                </c:pt>
                <c:pt idx="54">
                  <c:v>2.1517350958229486E-2</c:v>
                </c:pt>
                <c:pt idx="55">
                  <c:v>2.1536103354970582E-2</c:v>
                </c:pt>
                <c:pt idx="56">
                  <c:v>2.1554855392326266E-2</c:v>
                </c:pt>
                <c:pt idx="57">
                  <c:v>2.1573607070303535E-2</c:v>
                </c:pt>
                <c:pt idx="58">
                  <c:v>2.159235838890905E-2</c:v>
                </c:pt>
                <c:pt idx="59">
                  <c:v>2.1611109348149915E-2</c:v>
                </c:pt>
                <c:pt idx="60">
                  <c:v>2.1629859948032792E-2</c:v>
                </c:pt>
                <c:pt idx="61">
                  <c:v>2.1648610188564898E-2</c:v>
                </c:pt>
                <c:pt idx="62">
                  <c:v>2.1667360069752784E-2</c:v>
                </c:pt>
                <c:pt idx="63">
                  <c:v>2.1686109591603442E-2</c:v>
                </c:pt>
                <c:pt idx="64">
                  <c:v>2.1704858754123868E-2</c:v>
                </c:pt>
                <c:pt idx="65">
                  <c:v>2.1723607557320834E-2</c:v>
                </c:pt>
                <c:pt idx="66">
                  <c:v>2.1742356001201335E-2</c:v>
                </c:pt>
                <c:pt idx="67">
                  <c:v>2.1761104085772143E-2</c:v>
                </c:pt>
                <c:pt idx="68">
                  <c:v>2.1779851811040141E-2</c:v>
                </c:pt>
                <c:pt idx="69">
                  <c:v>2.1798599177012323E-2</c:v>
                </c:pt>
                <c:pt idx="70">
                  <c:v>2.1817346183695463E-2</c:v>
                </c:pt>
                <c:pt idx="71">
                  <c:v>2.1836092831096554E-2</c:v>
                </c:pt>
                <c:pt idx="72">
                  <c:v>2.1854839119222369E-2</c:v>
                </c:pt>
                <c:pt idx="73">
                  <c:v>2.1873585048079902E-2</c:v>
                </c:pt>
                <c:pt idx="74">
                  <c:v>2.1892330617676037E-2</c:v>
                </c:pt>
                <c:pt idx="75">
                  <c:v>2.1911075828017434E-2</c:v>
                </c:pt>
                <c:pt idx="76">
                  <c:v>2.1929820679111311E-2</c:v>
                </c:pt>
                <c:pt idx="77">
                  <c:v>2.1948565170964329E-2</c:v>
                </c:pt>
                <c:pt idx="78">
                  <c:v>2.1967309303583371E-2</c:v>
                </c:pt>
                <c:pt idx="79">
                  <c:v>2.1986053076975542E-2</c:v>
                </c:pt>
                <c:pt idx="80">
                  <c:v>2.2004796491147394E-2</c:v>
                </c:pt>
                <c:pt idx="81">
                  <c:v>2.2023539546106141E-2</c:v>
                </c:pt>
                <c:pt idx="82">
                  <c:v>2.2042282241858446E-2</c:v>
                </c:pt>
                <c:pt idx="83">
                  <c:v>2.2061024578411303E-2</c:v>
                </c:pt>
                <c:pt idx="84">
                  <c:v>2.2079766555771485E-2</c:v>
                </c:pt>
                <c:pt idx="85">
                  <c:v>2.2098508173945985E-2</c:v>
                </c:pt>
                <c:pt idx="86">
                  <c:v>2.2117249432941688E-2</c:v>
                </c:pt>
                <c:pt idx="87">
                  <c:v>2.2135990332765365E-2</c:v>
                </c:pt>
                <c:pt idx="88">
                  <c:v>2.2154730873424011E-2</c:v>
                </c:pt>
                <c:pt idx="89">
                  <c:v>2.217347105492451E-2</c:v>
                </c:pt>
                <c:pt idx="90">
                  <c:v>2.2192210877273633E-2</c:v>
                </c:pt>
                <c:pt idx="91">
                  <c:v>2.2210950340478375E-2</c:v>
                </c:pt>
                <c:pt idx="92">
                  <c:v>2.2229689444545508E-2</c:v>
                </c:pt>
                <c:pt idx="93">
                  <c:v>2.2248428189482139E-2</c:v>
                </c:pt>
                <c:pt idx="94">
                  <c:v>2.2267166575294817E-2</c:v>
                </c:pt>
                <c:pt idx="95">
                  <c:v>2.2285904601990758E-2</c:v>
                </c:pt>
                <c:pt idx="96">
                  <c:v>2.2304642269576624E-2</c:v>
                </c:pt>
                <c:pt idx="97">
                  <c:v>2.2323379578059299E-2</c:v>
                </c:pt>
                <c:pt idx="98">
                  <c:v>2.2342116527445888E-2</c:v>
                </c:pt>
                <c:pt idx="99">
                  <c:v>2.2360853117743051E-2</c:v>
                </c:pt>
                <c:pt idx="100">
                  <c:v>2.2379589348957674E-2</c:v>
                </c:pt>
                <c:pt idx="101">
                  <c:v>2.2398325221096749E-2</c:v>
                </c:pt>
                <c:pt idx="102">
                  <c:v>2.2417060734167049E-2</c:v>
                </c:pt>
                <c:pt idx="103">
                  <c:v>2.2435795888175569E-2</c:v>
                </c:pt>
                <c:pt idx="104">
                  <c:v>2.2454530683129192E-2</c:v>
                </c:pt>
                <c:pt idx="105">
                  <c:v>2.2473265119034691E-2</c:v>
                </c:pt>
                <c:pt idx="106">
                  <c:v>2.2491999195898948E-2</c:v>
                </c:pt>
                <c:pt idx="107">
                  <c:v>2.2510732913728959E-2</c:v>
                </c:pt>
                <c:pt idx="108">
                  <c:v>2.2529466272531606E-2</c:v>
                </c:pt>
                <c:pt idx="109">
                  <c:v>2.2548199272313552E-2</c:v>
                </c:pt>
                <c:pt idx="110">
                  <c:v>2.25669319130819E-2</c:v>
                </c:pt>
                <c:pt idx="111">
                  <c:v>2.2585664194843535E-2</c:v>
                </c:pt>
                <c:pt idx="112">
                  <c:v>2.2604396117605119E-2</c:v>
                </c:pt>
                <c:pt idx="113">
                  <c:v>2.2623127681373756E-2</c:v>
                </c:pt>
                <c:pt idx="114">
                  <c:v>2.264185888615633E-2</c:v>
                </c:pt>
                <c:pt idx="115">
                  <c:v>2.2660589731959502E-2</c:v>
                </c:pt>
                <c:pt idx="116">
                  <c:v>2.2679320218790378E-2</c:v>
                </c:pt>
                <c:pt idx="117">
                  <c:v>2.2698050346655729E-2</c:v>
                </c:pt>
                <c:pt idx="118">
                  <c:v>2.2716780115562329E-2</c:v>
                </c:pt>
                <c:pt idx="119">
                  <c:v>2.2735509525517283E-2</c:v>
                </c:pt>
                <c:pt idx="120">
                  <c:v>2.2754238576527475E-2</c:v>
                </c:pt>
                <c:pt idx="121">
                  <c:v>2.2772967268599564E-2</c:v>
                </c:pt>
                <c:pt idx="122">
                  <c:v>2.2791695601740547E-2</c:v>
                </c:pt>
                <c:pt idx="123">
                  <c:v>2.2810423575957306E-2</c:v>
                </c:pt>
                <c:pt idx="124">
                  <c:v>2.2829151191256614E-2</c:v>
                </c:pt>
                <c:pt idx="125">
                  <c:v>2.2847878447645575E-2</c:v>
                </c:pt>
                <c:pt idx="126">
                  <c:v>2.2866605345130853E-2</c:v>
                </c:pt>
                <c:pt idx="127">
                  <c:v>2.2885331883719551E-2</c:v>
                </c:pt>
                <c:pt idx="128">
                  <c:v>2.2904058063418331E-2</c:v>
                </c:pt>
                <c:pt idx="129">
                  <c:v>2.2922783884234077E-2</c:v>
                </c:pt>
                <c:pt idx="130">
                  <c:v>2.2941509346173783E-2</c:v>
                </c:pt>
                <c:pt idx="131">
                  <c:v>2.2960234449244332E-2</c:v>
                </c:pt>
                <c:pt idx="132">
                  <c:v>2.2978959193452497E-2</c:v>
                </c:pt>
                <c:pt idx="133">
                  <c:v>2.2997683578805272E-2</c:v>
                </c:pt>
                <c:pt idx="134">
                  <c:v>2.301640760530943E-2</c:v>
                </c:pt>
                <c:pt idx="135">
                  <c:v>2.3035131272971854E-2</c:v>
                </c:pt>
                <c:pt idx="136">
                  <c:v>2.3053854581799538E-2</c:v>
                </c:pt>
                <c:pt idx="137">
                  <c:v>2.3072577531799254E-2</c:v>
                </c:pt>
                <c:pt idx="138">
                  <c:v>2.3091300122977887E-2</c:v>
                </c:pt>
                <c:pt idx="139">
                  <c:v>2.3110022355342319E-2</c:v>
                </c:pt>
                <c:pt idx="140">
                  <c:v>2.3128744228899434E-2</c:v>
                </c:pt>
                <c:pt idx="141">
                  <c:v>2.3147465743656226E-2</c:v>
                </c:pt>
                <c:pt idx="142">
                  <c:v>2.3166186899619357E-2</c:v>
                </c:pt>
                <c:pt idx="143">
                  <c:v>2.318490769679582E-2</c:v>
                </c:pt>
                <c:pt idx="144">
                  <c:v>2.32036281351925E-2</c:v>
                </c:pt>
                <c:pt idx="145">
                  <c:v>2.3222348214816169E-2</c:v>
                </c:pt>
                <c:pt idx="146">
                  <c:v>2.324106793567382E-2</c:v>
                </c:pt>
                <c:pt idx="147">
                  <c:v>2.3259787297772339E-2</c:v>
                </c:pt>
                <c:pt idx="148">
                  <c:v>2.3278506301118496E-2</c:v>
                </c:pt>
                <c:pt idx="149">
                  <c:v>2.3297224945719286E-2</c:v>
                </c:pt>
                <c:pt idx="150">
                  <c:v>2.3315943231581482E-2</c:v>
                </c:pt>
                <c:pt idx="151">
                  <c:v>2.3334661158711967E-2</c:v>
                </c:pt>
                <c:pt idx="152">
                  <c:v>2.3353378727117735E-2</c:v>
                </c:pt>
                <c:pt idx="153">
                  <c:v>2.3372095936805559E-2</c:v>
                </c:pt>
                <c:pt idx="154">
                  <c:v>2.3390812787782322E-2</c:v>
                </c:pt>
                <c:pt idx="155">
                  <c:v>2.3409529280054797E-2</c:v>
                </c:pt>
                <c:pt idx="156">
                  <c:v>2.3428245413630089E-2</c:v>
                </c:pt>
                <c:pt idx="157">
                  <c:v>2.344696118851497E-2</c:v>
                </c:pt>
                <c:pt idx="158">
                  <c:v>2.3465676604716212E-2</c:v>
                </c:pt>
                <c:pt idx="159">
                  <c:v>2.3484391662240811E-2</c:v>
                </c:pt>
                <c:pt idx="160">
                  <c:v>2.3503106361095538E-2</c:v>
                </c:pt>
                <c:pt idx="161">
                  <c:v>2.3521820701287388E-2</c:v>
                </c:pt>
                <c:pt idx="162">
                  <c:v>2.3540534682823244E-2</c:v>
                </c:pt>
                <c:pt idx="163">
                  <c:v>2.3559248305709768E-2</c:v>
                </c:pt>
                <c:pt idx="164">
                  <c:v>2.3577961569954065E-2</c:v>
                </c:pt>
                <c:pt idx="165">
                  <c:v>2.3596674475562907E-2</c:v>
                </c:pt>
                <c:pt idx="166">
                  <c:v>2.3615387022543177E-2</c:v>
                </c:pt>
                <c:pt idx="167">
                  <c:v>2.363409921090176E-2</c:v>
                </c:pt>
                <c:pt idx="168">
                  <c:v>2.3652811040645538E-2</c:v>
                </c:pt>
                <c:pt idx="169">
                  <c:v>2.3671522511781395E-2</c:v>
                </c:pt>
                <c:pt idx="170">
                  <c:v>2.3690233624316104E-2</c:v>
                </c:pt>
                <c:pt idx="171">
                  <c:v>2.3708944378256658E-2</c:v>
                </c:pt>
                <c:pt idx="172">
                  <c:v>2.372765477360983E-2</c:v>
                </c:pt>
                <c:pt idx="173">
                  <c:v>2.3746364810382614E-2</c:v>
                </c:pt>
                <c:pt idx="174">
                  <c:v>2.3765074488581783E-2</c:v>
                </c:pt>
                <c:pt idx="175">
                  <c:v>2.3783783808214221E-2</c:v>
                </c:pt>
                <c:pt idx="176">
                  <c:v>2.3802492769286809E-2</c:v>
                </c:pt>
                <c:pt idx="177">
                  <c:v>2.3821201371806433E-2</c:v>
                </c:pt>
                <c:pt idx="178">
                  <c:v>2.3839909615779975E-2</c:v>
                </c:pt>
                <c:pt idx="179">
                  <c:v>2.3858617501214319E-2</c:v>
                </c:pt>
                <c:pt idx="180">
                  <c:v>2.3877325028116236E-2</c:v>
                </c:pt>
                <c:pt idx="181">
                  <c:v>2.3896032196492722E-2</c:v>
                </c:pt>
                <c:pt idx="182">
                  <c:v>2.3914739006350549E-2</c:v>
                </c:pt>
                <c:pt idx="183">
                  <c:v>2.3933445457696712E-2</c:v>
                </c:pt>
                <c:pt idx="184">
                  <c:v>2.3952151550537981E-2</c:v>
                </c:pt>
                <c:pt idx="185">
                  <c:v>2.3970857284881242E-2</c:v>
                </c:pt>
                <c:pt idx="186">
                  <c:v>2.3989562660733266E-2</c:v>
                </c:pt>
                <c:pt idx="187">
                  <c:v>2.4008267678101158E-2</c:v>
                </c:pt>
                <c:pt idx="188">
                  <c:v>2.4026972336991581E-2</c:v>
                </c:pt>
                <c:pt idx="189">
                  <c:v>2.4045676637411528E-2</c:v>
                </c:pt>
                <c:pt idx="190">
                  <c:v>2.4064380579367772E-2</c:v>
                </c:pt>
                <c:pt idx="191">
                  <c:v>2.4083084162867308E-2</c:v>
                </c:pt>
                <c:pt idx="192">
                  <c:v>2.4101787387916906E-2</c:v>
                </c:pt>
                <c:pt idx="193">
                  <c:v>2.4120490254523452E-2</c:v>
                </c:pt>
                <c:pt idx="194">
                  <c:v>2.4139192762693829E-2</c:v>
                </c:pt>
                <c:pt idx="195">
                  <c:v>2.4157894912434918E-2</c:v>
                </c:pt>
                <c:pt idx="196">
                  <c:v>2.4176596703753495E-2</c:v>
                </c:pt>
                <c:pt idx="197">
                  <c:v>2.4195298136656662E-2</c:v>
                </c:pt>
                <c:pt idx="198">
                  <c:v>2.4213999211150972E-2</c:v>
                </c:pt>
                <c:pt idx="199">
                  <c:v>2.4232699927243528E-2</c:v>
                </c:pt>
                <c:pt idx="200">
                  <c:v>2.4251400284941216E-2</c:v>
                </c:pt>
                <c:pt idx="201">
                  <c:v>2.4270100284250695E-2</c:v>
                </c:pt>
                <c:pt idx="202">
                  <c:v>2.4288799925178961E-2</c:v>
                </c:pt>
                <c:pt idx="203">
                  <c:v>2.4307499207732897E-2</c:v>
                </c:pt>
                <c:pt idx="204">
                  <c:v>2.4326198131919385E-2</c:v>
                </c:pt>
                <c:pt idx="205">
                  <c:v>2.43448966977452E-2</c:v>
                </c:pt>
                <c:pt idx="206">
                  <c:v>2.4363594905217334E-2</c:v>
                </c:pt>
                <c:pt idx="207">
                  <c:v>2.4382292754342449E-2</c:v>
                </c:pt>
                <c:pt idx="208">
                  <c:v>2.4400990245127652E-2</c:v>
                </c:pt>
                <c:pt idx="209">
                  <c:v>2.4419687377579713E-2</c:v>
                </c:pt>
                <c:pt idx="210">
                  <c:v>2.4438384151705517E-2</c:v>
                </c:pt>
                <c:pt idx="211">
                  <c:v>2.4457080567511835E-2</c:v>
                </c:pt>
                <c:pt idx="212">
                  <c:v>2.4475776625005663E-2</c:v>
                </c:pt>
                <c:pt idx="213">
                  <c:v>2.4494472324193883E-2</c:v>
                </c:pt>
                <c:pt idx="214">
                  <c:v>2.4513167665083158E-2</c:v>
                </c:pt>
                <c:pt idx="215">
                  <c:v>2.4531862647680591E-2</c:v>
                </c:pt>
                <c:pt idx="216">
                  <c:v>2.4550557271992846E-2</c:v>
                </c:pt>
                <c:pt idx="217">
                  <c:v>2.4569251538026915E-2</c:v>
                </c:pt>
                <c:pt idx="218">
                  <c:v>2.4587945445789683E-2</c:v>
                </c:pt>
                <c:pt idx="219">
                  <c:v>2.4606638995288033E-2</c:v>
                </c:pt>
                <c:pt idx="220">
                  <c:v>2.4625332186528626E-2</c:v>
                </c:pt>
                <c:pt idx="221">
                  <c:v>2.4644025019518567E-2</c:v>
                </c:pt>
                <c:pt idx="222">
                  <c:v>2.466271749426463E-2</c:v>
                </c:pt>
                <c:pt idx="223">
                  <c:v>2.4681409610773697E-2</c:v>
                </c:pt>
                <c:pt idx="224">
                  <c:v>2.4700101369052541E-2</c:v>
                </c:pt>
                <c:pt idx="225">
                  <c:v>2.4718792769108155E-2</c:v>
                </c:pt>
                <c:pt idx="226">
                  <c:v>2.4737483810947314E-2</c:v>
                </c:pt>
                <c:pt idx="227">
                  <c:v>2.475617449457701E-2</c:v>
                </c:pt>
                <c:pt idx="228">
                  <c:v>2.4774864820003906E-2</c:v>
                </c:pt>
                <c:pt idx="229">
                  <c:v>2.4793554787234995E-2</c:v>
                </c:pt>
                <c:pt idx="230">
                  <c:v>2.4812244396277161E-2</c:v>
                </c:pt>
                <c:pt idx="231">
                  <c:v>2.4830933647137288E-2</c:v>
                </c:pt>
                <c:pt idx="232">
                  <c:v>2.4849622539822036E-2</c:v>
                </c:pt>
                <c:pt idx="233">
                  <c:v>2.4868311074338512E-2</c:v>
                </c:pt>
                <c:pt idx="234">
                  <c:v>2.4886999250693487E-2</c:v>
                </c:pt>
                <c:pt idx="235">
                  <c:v>2.4905687068893845E-2</c:v>
                </c:pt>
                <c:pt idx="236">
                  <c:v>2.4924374528946469E-2</c:v>
                </c:pt>
                <c:pt idx="237">
                  <c:v>2.4943061630858132E-2</c:v>
                </c:pt>
                <c:pt idx="238">
                  <c:v>2.4961748374635717E-2</c:v>
                </c:pt>
                <c:pt idx="239">
                  <c:v>2.4980434760286108E-2</c:v>
                </c:pt>
                <c:pt idx="240">
                  <c:v>2.4999120787816187E-2</c:v>
                </c:pt>
                <c:pt idx="241">
                  <c:v>2.5017806457232838E-2</c:v>
                </c:pt>
                <c:pt idx="242">
                  <c:v>2.5036491768542946E-2</c:v>
                </c:pt>
                <c:pt idx="243">
                  <c:v>2.5055176721753281E-2</c:v>
                </c:pt>
                <c:pt idx="244">
                  <c:v>2.5073861316870727E-2</c:v>
                </c:pt>
                <c:pt idx="245">
                  <c:v>2.5092545553902279E-2</c:v>
                </c:pt>
                <c:pt idx="246">
                  <c:v>2.5111229432854598E-2</c:v>
                </c:pt>
                <c:pt idx="247">
                  <c:v>2.5129912953734568E-2</c:v>
                </c:pt>
                <c:pt idx="248">
                  <c:v>2.5148596116549182E-2</c:v>
                </c:pt>
                <c:pt idx="249">
                  <c:v>2.5167278921305325E-2</c:v>
                </c:pt>
                <c:pt idx="250">
                  <c:v>2.5185961368009657E-2</c:v>
                </c:pt>
                <c:pt idx="251">
                  <c:v>2.5204643456669285E-2</c:v>
                </c:pt>
                <c:pt idx="252">
                  <c:v>2.5223325187290868E-2</c:v>
                </c:pt>
                <c:pt idx="253">
                  <c:v>2.5242006559881403E-2</c:v>
                </c:pt>
                <c:pt idx="254">
                  <c:v>2.5260687574447549E-2</c:v>
                </c:pt>
                <c:pt idx="255">
                  <c:v>2.5279368230996413E-2</c:v>
                </c:pt>
                <c:pt idx="256">
                  <c:v>2.5298048529534767E-2</c:v>
                </c:pt>
                <c:pt idx="257">
                  <c:v>2.5316728470069494E-2</c:v>
                </c:pt>
                <c:pt idx="258">
                  <c:v>2.5335408052607367E-2</c:v>
                </c:pt>
                <c:pt idx="259">
                  <c:v>2.5354087277155268E-2</c:v>
                </c:pt>
                <c:pt idx="260">
                  <c:v>2.5372766143720193E-2</c:v>
                </c:pt>
                <c:pt idx="261">
                  <c:v>2.5391444652308803E-2</c:v>
                </c:pt>
                <c:pt idx="262">
                  <c:v>2.5410122802928092E-2</c:v>
                </c:pt>
                <c:pt idx="263">
                  <c:v>2.5428800595584944E-2</c:v>
                </c:pt>
                <c:pt idx="264">
                  <c:v>2.544747803028613E-2</c:v>
                </c:pt>
                <c:pt idx="265">
                  <c:v>2.5466155107038535E-2</c:v>
                </c:pt>
                <c:pt idx="266">
                  <c:v>2.548483182584893E-2</c:v>
                </c:pt>
                <c:pt idx="267">
                  <c:v>2.5503508186724422E-2</c:v>
                </c:pt>
                <c:pt idx="268">
                  <c:v>2.552218418967156E-2</c:v>
                </c:pt>
                <c:pt idx="269">
                  <c:v>2.5540859834697449E-2</c:v>
                </c:pt>
                <c:pt idx="270">
                  <c:v>2.5559535121808863E-2</c:v>
                </c:pt>
                <c:pt idx="271">
                  <c:v>2.5578210051012684E-2</c:v>
                </c:pt>
                <c:pt idx="272">
                  <c:v>2.5596884622315685E-2</c:v>
                </c:pt>
                <c:pt idx="273">
                  <c:v>2.5615558835724861E-2</c:v>
                </c:pt>
                <c:pt idx="274">
                  <c:v>2.5634232691246983E-2</c:v>
                </c:pt>
                <c:pt idx="275">
                  <c:v>2.5652906188888935E-2</c:v>
                </c:pt>
                <c:pt idx="276">
                  <c:v>2.567157932865749E-2</c:v>
                </c:pt>
                <c:pt idx="277">
                  <c:v>2.5690252110559642E-2</c:v>
                </c:pt>
                <c:pt idx="278">
                  <c:v>2.5708924534602162E-2</c:v>
                </c:pt>
                <c:pt idx="279">
                  <c:v>2.5727596600791935E-2</c:v>
                </c:pt>
                <c:pt idx="280">
                  <c:v>2.5746268309135845E-2</c:v>
                </c:pt>
                <c:pt idx="281">
                  <c:v>2.5764939659640662E-2</c:v>
                </c:pt>
                <c:pt idx="282">
                  <c:v>2.5783610652313382E-2</c:v>
                </c:pt>
                <c:pt idx="283">
                  <c:v>2.5802281287160778E-2</c:v>
                </c:pt>
                <c:pt idx="284">
                  <c:v>2.582095156418962E-2</c:v>
                </c:pt>
                <c:pt idx="285">
                  <c:v>2.5839621483407016E-2</c:v>
                </c:pt>
                <c:pt idx="286">
                  <c:v>2.5858291044819515E-2</c:v>
                </c:pt>
                <c:pt idx="287">
                  <c:v>2.5876960248434222E-2</c:v>
                </c:pt>
                <c:pt idx="288">
                  <c:v>2.589562909425791E-2</c:v>
                </c:pt>
                <c:pt idx="289">
                  <c:v>2.5914297582297352E-2</c:v>
                </c:pt>
                <c:pt idx="290">
                  <c:v>2.5932965712559541E-2</c:v>
                </c:pt>
                <c:pt idx="291">
                  <c:v>2.5951633485051251E-2</c:v>
                </c:pt>
                <c:pt idx="292">
                  <c:v>2.5970300899779364E-2</c:v>
                </c:pt>
                <c:pt idx="293">
                  <c:v>2.5988967956750764E-2</c:v>
                </c:pt>
                <c:pt idx="294">
                  <c:v>2.6007634655972223E-2</c:v>
                </c:pt>
                <c:pt idx="295">
                  <c:v>2.6026300997450735E-2</c:v>
                </c:pt>
                <c:pt idx="296">
                  <c:v>2.6044966981192963E-2</c:v>
                </c:pt>
                <c:pt idx="297">
                  <c:v>2.60636326072059E-2</c:v>
                </c:pt>
                <c:pt idx="298">
                  <c:v>2.608229787549643E-2</c:v>
                </c:pt>
                <c:pt idx="299">
                  <c:v>2.6100962786071324E-2</c:v>
                </c:pt>
                <c:pt idx="300">
                  <c:v>2.6119627338937468E-2</c:v>
                </c:pt>
                <c:pt idx="301">
                  <c:v>2.6138291534101632E-2</c:v>
                </c:pt>
                <c:pt idx="302">
                  <c:v>2.6156955371570811E-2</c:v>
                </c:pt>
                <c:pt idx="303">
                  <c:v>2.6175618851351889E-2</c:v>
                </c:pt>
                <c:pt idx="304">
                  <c:v>2.6194281973451528E-2</c:v>
                </c:pt>
                <c:pt idx="305">
                  <c:v>2.621294473787672E-2</c:v>
                </c:pt>
                <c:pt idx="306">
                  <c:v>2.623160714463435E-2</c:v>
                </c:pt>
                <c:pt idx="307">
                  <c:v>2.6250269193731079E-2</c:v>
                </c:pt>
                <c:pt idx="308">
                  <c:v>2.6268930885174013E-2</c:v>
                </c:pt>
                <c:pt idx="309">
                  <c:v>2.6287592218969813E-2</c:v>
                </c:pt>
                <c:pt idx="310">
                  <c:v>2.6306253195125473E-2</c:v>
                </c:pt>
                <c:pt idx="311">
                  <c:v>2.6324913813647766E-2</c:v>
                </c:pt>
                <c:pt idx="312">
                  <c:v>2.6343574074543463E-2</c:v>
                </c:pt>
                <c:pt idx="313">
                  <c:v>2.6362233977819671E-2</c:v>
                </c:pt>
                <c:pt idx="314">
                  <c:v>2.638089352348294E-2</c:v>
                </c:pt>
                <c:pt idx="315">
                  <c:v>2.6399552711540375E-2</c:v>
                </c:pt>
                <c:pt idx="316">
                  <c:v>2.6418211541998748E-2</c:v>
                </c:pt>
                <c:pt idx="317">
                  <c:v>2.6436870014864833E-2</c:v>
                </c:pt>
                <c:pt idx="318">
                  <c:v>2.6455528130145511E-2</c:v>
                </c:pt>
                <c:pt idx="319">
                  <c:v>2.6474185887847779E-2</c:v>
                </c:pt>
                <c:pt idx="320">
                  <c:v>2.6492843287978296E-2</c:v>
                </c:pt>
                <c:pt idx="321">
                  <c:v>2.6511500330543947E-2</c:v>
                </c:pt>
                <c:pt idx="322">
                  <c:v>2.6530157015551725E-2</c:v>
                </c:pt>
                <c:pt idx="323">
                  <c:v>2.6548813343008404E-2</c:v>
                </c:pt>
                <c:pt idx="324">
                  <c:v>2.6567469312920755E-2</c:v>
                </c:pt>
                <c:pt idx="325">
                  <c:v>2.6586124925295662E-2</c:v>
                </c:pt>
                <c:pt idx="326">
                  <c:v>2.660478018014012E-2</c:v>
                </c:pt>
                <c:pt idx="327">
                  <c:v>2.6623435077460789E-2</c:v>
                </c:pt>
                <c:pt idx="328">
                  <c:v>2.6642089617264664E-2</c:v>
                </c:pt>
                <c:pt idx="329">
                  <c:v>2.6660743799558517E-2</c:v>
                </c:pt>
                <c:pt idx="330">
                  <c:v>2.6679397624349233E-2</c:v>
                </c:pt>
                <c:pt idx="331">
                  <c:v>2.6698051091643693E-2</c:v>
                </c:pt>
                <c:pt idx="332">
                  <c:v>2.6716704201448671E-2</c:v>
                </c:pt>
                <c:pt idx="333">
                  <c:v>2.673535695377105E-2</c:v>
                </c:pt>
                <c:pt idx="334">
                  <c:v>2.6754009348617713E-2</c:v>
                </c:pt>
                <c:pt idx="335">
                  <c:v>2.6772661385995433E-2</c:v>
                </c:pt>
                <c:pt idx="336">
                  <c:v>2.6791313065911093E-2</c:v>
                </c:pt>
                <c:pt idx="337">
                  <c:v>2.6809964388371577E-2</c:v>
                </c:pt>
                <c:pt idx="338">
                  <c:v>2.6828615353383767E-2</c:v>
                </c:pt>
                <c:pt idx="339">
                  <c:v>2.6847265960954436E-2</c:v>
                </c:pt>
                <c:pt idx="340">
                  <c:v>2.6865916211090468E-2</c:v>
                </c:pt>
                <c:pt idx="341">
                  <c:v>2.6884566103798746E-2</c:v>
                </c:pt>
                <c:pt idx="342">
                  <c:v>2.6903215639086042E-2</c:v>
                </c:pt>
                <c:pt idx="343">
                  <c:v>2.6921864816959351E-2</c:v>
                </c:pt>
                <c:pt idx="344">
                  <c:v>2.6940513637425334E-2</c:v>
                </c:pt>
                <c:pt idx="345">
                  <c:v>2.6959162100490874E-2</c:v>
                </c:pt>
                <c:pt idx="346">
                  <c:v>2.6977810206162967E-2</c:v>
                </c:pt>
                <c:pt idx="347">
                  <c:v>2.6996457954448272E-2</c:v>
                </c:pt>
                <c:pt idx="348">
                  <c:v>2.7015105345353785E-2</c:v>
                </c:pt>
                <c:pt idx="349">
                  <c:v>2.7033752378886389E-2</c:v>
                </c:pt>
                <c:pt idx="350">
                  <c:v>2.7052399055052745E-2</c:v>
                </c:pt>
                <c:pt idx="351">
                  <c:v>2.7071045373859848E-2</c:v>
                </c:pt>
                <c:pt idx="352">
                  <c:v>2.708969133531447E-2</c:v>
                </c:pt>
                <c:pt idx="353">
                  <c:v>2.7108336939423494E-2</c:v>
                </c:pt>
                <c:pt idx="354">
                  <c:v>2.7126982186193804E-2</c:v>
                </c:pt>
                <c:pt idx="355">
                  <c:v>2.7145627075632284E-2</c:v>
                </c:pt>
                <c:pt idx="356">
                  <c:v>2.7164271607745594E-2</c:v>
                </c:pt>
                <c:pt idx="357">
                  <c:v>2.7182915782540729E-2</c:v>
                </c:pt>
                <c:pt idx="358">
                  <c:v>2.7201559600024461E-2</c:v>
                </c:pt>
                <c:pt idx="359">
                  <c:v>2.7220203060203785E-2</c:v>
                </c:pt>
                <c:pt idx="360">
                  <c:v>2.7238846163085362E-2</c:v>
                </c:pt>
                <c:pt idx="361">
                  <c:v>2.7257488908676186E-2</c:v>
                </c:pt>
                <c:pt idx="362">
                  <c:v>2.7276131296983031E-2</c:v>
                </c:pt>
                <c:pt idx="363">
                  <c:v>2.7294773328012778E-2</c:v>
                </c:pt>
                <c:pt idx="364">
                  <c:v>2.7313415001772201E-2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7.6956138403865532E-2</c:v>
                </c:pt>
                <c:pt idx="1">
                  <c:v>7.7019813432444809E-2</c:v>
                </c:pt>
                <c:pt idx="2">
                  <c:v>7.7083595628748558E-2</c:v>
                </c:pt>
                <c:pt idx="3">
                  <c:v>7.7147467451309223E-2</c:v>
                </c:pt>
                <c:pt idx="4">
                  <c:v>7.7211413626378192E-2</c:v>
                </c:pt>
                <c:pt idx="5">
                  <c:v>7.7275421082498727E-2</c:v>
                </c:pt>
                <c:pt idx="6">
                  <c:v>7.7339478867646763E-2</c:v>
                </c:pt>
                <c:pt idx="7">
                  <c:v>7.7403578050319083E-2</c:v>
                </c:pt>
                <c:pt idx="8">
                  <c:v>7.7467711606066969E-2</c:v>
                </c:pt>
                <c:pt idx="9">
                  <c:v>7.7531874291077912E-2</c:v>
                </c:pt>
                <c:pt idx="10">
                  <c:v>7.7596062504495703E-2</c:v>
                </c:pt>
                <c:pt idx="11">
                  <c:v>7.7660274141236912E-2</c:v>
                </c:pt>
                <c:pt idx="12">
                  <c:v>7.7724508437114606E-2</c:v>
                </c:pt>
                <c:pt idx="13">
                  <c:v>7.778876580811199E-2</c:v>
                </c:pt>
                <c:pt idx="14">
                  <c:v>7.7853047685662993E-2</c:v>
                </c:pt>
                <c:pt idx="15">
                  <c:v>7.7917356349793992E-2</c:v>
                </c:pt>
                <c:pt idx="16">
                  <c:v>7.798169476195764E-2</c:v>
                </c:pt>
                <c:pt idx="17">
                  <c:v>7.8046066399351355E-2</c:v>
                </c:pt>
                <c:pt idx="18">
                  <c:v>7.8110475092456721E-2</c:v>
                </c:pt>
                <c:pt idx="19">
                  <c:v>7.8174924867463386E-2</c:v>
                </c:pt>
                <c:pt idx="20">
                  <c:v>7.8239419795154322E-2</c:v>
                </c:pt>
                <c:pt idx="21">
                  <c:v>7.8303963847727392E-2</c:v>
                </c:pt>
                <c:pt idx="22">
                  <c:v>7.8368560764914719E-2</c:v>
                </c:pt>
                <c:pt idx="23">
                  <c:v>7.8433213930635862E-2</c:v>
                </c:pt>
                <c:pt idx="24">
                  <c:v>7.8497926261284726E-2</c:v>
                </c:pt>
                <c:pt idx="25">
                  <c:v>7.8562700106607417E-2</c:v>
                </c:pt>
                <c:pt idx="26">
                  <c:v>7.8627537163976621E-2</c:v>
                </c:pt>
                <c:pt idx="27">
                  <c:v>7.8692438406712667E-2</c:v>
                </c:pt>
                <c:pt idx="28">
                  <c:v>7.875740402694198E-2</c:v>
                </c:pt>
                <c:pt idx="29">
                  <c:v>7.8822433393322136E-2</c:v>
                </c:pt>
                <c:pt idx="30">
                  <c:v>7.8887525023801336E-2</c:v>
                </c:pt>
                <c:pt idx="31">
                  <c:v>7.8952676573420033E-2</c:v>
                </c:pt>
                <c:pt idx="32">
                  <c:v>7.901788483700567E-2</c:v>
                </c:pt>
                <c:pt idx="33">
                  <c:v>7.9083145766458862E-2</c:v>
                </c:pt>
                <c:pt idx="34">
                  <c:v>7.9148454502183246E-2</c:v>
                </c:pt>
                <c:pt idx="35">
                  <c:v>7.9213805418072755E-2</c:v>
                </c:pt>
                <c:pt idx="36">
                  <c:v>7.9279192179340027E-2</c:v>
                </c:pt>
                <c:pt idx="37">
                  <c:v>7.9344607812349685E-2</c:v>
                </c:pt>
                <c:pt idx="38">
                  <c:v>7.9410044785511905E-2</c:v>
                </c:pt>
                <c:pt idx="39">
                  <c:v>7.9475495100194471E-2</c:v>
                </c:pt>
                <c:pt idx="40">
                  <c:v>7.9540950390528206E-2</c:v>
                </c:pt>
                <c:pt idx="41">
                  <c:v>7.9606402030909115E-2</c:v>
                </c:pt>
                <c:pt idx="42">
                  <c:v>7.967184124994546E-2</c:v>
                </c:pt>
                <c:pt idx="43">
                  <c:v>7.9737259249554576E-2</c:v>
                </c:pt>
                <c:pt idx="44">
                  <c:v>7.9802647327886514E-2</c:v>
                </c:pt>
                <c:pt idx="45">
                  <c:v>7.9867997004739136E-2</c:v>
                </c:pt>
                <c:pt idx="46">
                  <c:v>7.9933300148128869E-2</c:v>
                </c:pt>
                <c:pt idx="47">
                  <c:v>7.9998549100696884E-2</c:v>
                </c:pt>
                <c:pt idx="48">
                  <c:v>8.0063736804659377E-2</c:v>
                </c:pt>
                <c:pt idx="49">
                  <c:v>8.0128856924051042E-2</c:v>
                </c:pt>
                <c:pt idx="50">
                  <c:v>8.0193903963065305E-2</c:v>
                </c:pt>
                <c:pt idx="51">
                  <c:v>8.0258873379359705E-2</c:v>
                </c:pt>
                <c:pt idx="52">
                  <c:v>8.0323761691270298E-2</c:v>
                </c:pt>
                <c:pt idx="53">
                  <c:v>8.0388566577964268E-2</c:v>
                </c:pt>
                <c:pt idx="54">
                  <c:v>8.0453286971652535E-2</c:v>
                </c:pt>
                <c:pt idx="55">
                  <c:v>8.0517923141085052E-2</c:v>
                </c:pt>
                <c:pt idx="56">
                  <c:v>8.0582476765657107E-2</c:v>
                </c:pt>
                <c:pt idx="57">
                  <c:v>8.0646950999565453E-2</c:v>
                </c:pt>
                <c:pt idx="58">
                  <c:v>8.0711350525567008E-2</c:v>
                </c:pt>
                <c:pt idx="59">
                  <c:v>8.0775681598007437E-2</c:v>
                </c:pt>
                <c:pt idx="60">
                  <c:v>8.0839952074903701E-2</c:v>
                </c:pt>
                <c:pt idx="61">
                  <c:v>8.0904171438978281E-2</c:v>
                </c:pt>
                <c:pt idx="62">
                  <c:v>8.0968350807656311E-2</c:v>
                </c:pt>
                <c:pt idx="63">
                  <c:v>8.1032502932144909E-2</c:v>
                </c:pt>
                <c:pt idx="64">
                  <c:v>8.1096642185819037E-2</c:v>
                </c:pt>
                <c:pt idx="65">
                  <c:v>8.1160784542236492E-2</c:v>
                </c:pt>
                <c:pt idx="66">
                  <c:v>8.1224947543195994E-2</c:v>
                </c:pt>
                <c:pt idx="67">
                  <c:v>8.1289150257336351E-2</c:v>
                </c:pt>
                <c:pt idx="68">
                  <c:v>8.1353413229850374E-2</c:v>
                </c:pt>
                <c:pt idx="69">
                  <c:v>8.141775842395238E-2</c:v>
                </c:pt>
                <c:pt idx="70">
                  <c:v>8.1482209154795052E-2</c:v>
                </c:pt>
                <c:pt idx="71">
                  <c:v>8.1546790016576456E-2</c:v>
                </c:pt>
                <c:pt idx="72">
                  <c:v>8.1611526803613554E-2</c:v>
                </c:pt>
                <c:pt idx="73">
                  <c:v>8.167644642618295E-2</c:v>
                </c:pt>
                <c:pt idx="74">
                  <c:v>8.1741576821942441E-2</c:v>
                </c:pt>
                <c:pt idx="75">
                  <c:v>8.1806946863750091E-2</c:v>
                </c:pt>
                <c:pt idx="76">
                  <c:v>8.1872586264689698E-2</c:v>
                </c:pt>
                <c:pt idx="77">
                  <c:v>8.1938525481092594E-2</c:v>
                </c:pt>
                <c:pt idx="78">
                  <c:v>8.2004795614319004E-2</c:v>
                </c:pt>
                <c:pt idx="79">
                  <c:v>8.2071428312024464E-2</c:v>
                </c:pt>
                <c:pt idx="80">
                  <c:v>8.2138455669591284E-2</c:v>
                </c:pt>
                <c:pt idx="81">
                  <c:v>8.2205910132352816E-2</c:v>
                </c:pt>
                <c:pt idx="82">
                  <c:v>8.227382439917795E-2</c:v>
                </c:pt>
                <c:pt idx="83">
                  <c:v>8.2342231327917945E-2</c:v>
                </c:pt>
                <c:pt idx="84">
                  <c:v>8.2411163843147478E-2</c:v>
                </c:pt>
                <c:pt idx="85">
                  <c:v>8.2480654846558601E-2</c:v>
                </c:pt>
                <c:pt idx="86">
                  <c:v>8.2550737130288765E-2</c:v>
                </c:pt>
                <c:pt idx="87">
                  <c:v>8.2621443293388275E-2</c:v>
                </c:pt>
                <c:pt idx="88">
                  <c:v>8.269280566155307E-2</c:v>
                </c:pt>
                <c:pt idx="89">
                  <c:v>8.2764856210172613E-2</c:v>
                </c:pt>
                <c:pt idx="90">
                  <c:v>8.283762649066867E-2</c:v>
                </c:pt>
                <c:pt idx="91">
                  <c:v>8.2911147560028001E-2</c:v>
                </c:pt>
                <c:pt idx="92">
                  <c:v>8.2985449913365664E-2</c:v>
                </c:pt>
                <c:pt idx="93">
                  <c:v>8.3060563419293354E-2</c:v>
                </c:pt>
                <c:pt idx="94">
                  <c:v>8.3136517257811779E-2</c:v>
                </c:pt>
                <c:pt idx="95">
                  <c:v>8.3213339860396307E-2</c:v>
                </c:pt>
                <c:pt idx="96">
                  <c:v>8.3291058851905769E-2</c:v>
                </c:pt>
                <c:pt idx="97">
                  <c:v>8.3369700993909585E-2</c:v>
                </c:pt>
                <c:pt idx="98">
                  <c:v>8.3449292129006439E-2</c:v>
                </c:pt>
                <c:pt idx="99">
                  <c:v>8.3529857125691928E-2</c:v>
                </c:pt>
                <c:pt idx="100">
                  <c:v>8.3611419823328412E-2</c:v>
                </c:pt>
                <c:pt idx="101">
                  <c:v>8.3694002976774678E-2</c:v>
                </c:pt>
                <c:pt idx="102">
                  <c:v>8.3777628200247714E-2</c:v>
                </c:pt>
                <c:pt idx="103">
                  <c:v>8.3862315910012711E-2</c:v>
                </c:pt>
                <c:pt idx="104">
                  <c:v>8.3948085265531172E-2</c:v>
                </c:pt>
                <c:pt idx="105">
                  <c:v>8.4034954108738902E-2</c:v>
                </c:pt>
                <c:pt idx="106">
                  <c:v>8.4122938901177197E-2</c:v>
                </c:pt>
                <c:pt idx="107">
                  <c:v>8.4212054658758209E-2</c:v>
                </c:pt>
                <c:pt idx="108">
                  <c:v>8.4302314884012228E-2</c:v>
                </c:pt>
                <c:pt idx="109">
                  <c:v>8.4393731495736132E-2</c:v>
                </c:pt>
                <c:pt idx="110">
                  <c:v>8.4486314756039405E-2</c:v>
                </c:pt>
                <c:pt idx="111">
                  <c:v>8.4580073194866504E-2</c:v>
                </c:pt>
                <c:pt idx="112">
                  <c:v>8.4675013532158491E-2</c:v>
                </c:pt>
                <c:pt idx="113">
                  <c:v>8.4771140597904096E-2</c:v>
                </c:pt>
                <c:pt idx="114">
                  <c:v>8.4868457250418472E-2</c:v>
                </c:pt>
                <c:pt idx="115">
                  <c:v>8.4966964293274785E-2</c:v>
                </c:pt>
                <c:pt idx="116">
                  <c:v>8.5066660391400498E-2</c:v>
                </c:pt>
                <c:pt idx="117">
                  <c:v>8.5167541986932438E-2</c:v>
                </c:pt>
                <c:pt idx="118">
                  <c:v>8.5269603215504489E-2</c:v>
                </c:pt>
                <c:pt idx="119">
                  <c:v>8.5372835823715354E-2</c:v>
                </c:pt>
                <c:pt idx="120">
                  <c:v>8.5477229088591067E-2</c:v>
                </c:pt>
                <c:pt idx="121">
                  <c:v>1.0121159854999638E-2</c:v>
                </c:pt>
                <c:pt idx="122">
                  <c:v>1.0209815554495046E-2</c:v>
                </c:pt>
                <c:pt idx="123">
                  <c:v>1.02986173909069E-2</c:v>
                </c:pt>
                <c:pt idx="124">
                  <c:v>1.0387565658234801E-2</c:v>
                </c:pt>
                <c:pt idx="125">
                  <c:v>1.0476660219674045E-2</c:v>
                </c:pt>
                <c:pt idx="126">
                  <c:v>1.0565900489790805E-2</c:v>
                </c:pt>
                <c:pt idx="127">
                  <c:v>1.0655285417615432E-2</c:v>
                </c:pt>
                <c:pt idx="128">
                  <c:v>1.0744813470835368E-2</c:v>
                </c:pt>
                <c:pt idx="129">
                  <c:v>1.083448262127199E-2</c:v>
                </c:pt>
                <c:pt idx="130">
                  <c:v>1.0924290331827173E-2</c:v>
                </c:pt>
                <c:pt idx="131">
                  <c:v>1.1014233545083997E-2</c:v>
                </c:pt>
                <c:pt idx="132">
                  <c:v>1.1104308673743672E-2</c:v>
                </c:pt>
                <c:pt idx="133">
                  <c:v>1.1194511593075185E-2</c:v>
                </c:pt>
                <c:pt idx="134">
                  <c:v>1.1284837635547294E-2</c:v>
                </c:pt>
                <c:pt idx="135">
                  <c:v>1.1375281587803137E-2</c:v>
                </c:pt>
                <c:pt idx="136">
                  <c:v>1.1465837690126006E-2</c:v>
                </c:pt>
                <c:pt idx="137">
                  <c:v>1.1556499638531597E-2</c:v>
                </c:pt>
                <c:pt idx="138">
                  <c:v>1.1647260589606181E-2</c:v>
                </c:pt>
                <c:pt idx="139">
                  <c:v>1.1738113168193006E-2</c:v>
                </c:pt>
                <c:pt idx="140">
                  <c:v>1.1829049478009482E-2</c:v>
                </c:pt>
                <c:pt idx="141">
                  <c:v>1.1920061115257374E-2</c:v>
                </c:pt>
                <c:pt idx="142">
                  <c:v>1.2011139185265307E-2</c:v>
                </c:pt>
                <c:pt idx="143">
                  <c:v>1.210227432217967E-2</c:v>
                </c:pt>
                <c:pt idx="144">
                  <c:v>1.2193456711694903E-2</c:v>
                </c:pt>
                <c:pt idx="145">
                  <c:v>1.2284676116788911E-2</c:v>
                </c:pt>
                <c:pt idx="146">
                  <c:v>1.2375921906402902E-2</c:v>
                </c:pt>
                <c:pt idx="147">
                  <c:v>1.2467183086978676E-2</c:v>
                </c:pt>
                <c:pt idx="148">
                  <c:v>1.2558448336739669E-2</c:v>
                </c:pt>
                <c:pt idx="149">
                  <c:v>1.2649706042575704E-2</c:v>
                </c:pt>
                <c:pt idx="150">
                  <c:v>1.2740944339365633E-2</c:v>
                </c:pt>
                <c:pt idx="151">
                  <c:v>1.2832151151546664E-2</c:v>
                </c:pt>
                <c:pt idx="152">
                  <c:v>1.2923314236715342E-2</c:v>
                </c:pt>
                <c:pt idx="153">
                  <c:v>1.3014421231022203E-2</c:v>
                </c:pt>
                <c:pt idx="154">
                  <c:v>1.3105459696101027E-2</c:v>
                </c:pt>
                <c:pt idx="155">
                  <c:v>1.3196417167253956E-2</c:v>
                </c:pt>
                <c:pt idx="156">
                  <c:v>1.3287281202596915E-2</c:v>
                </c:pt>
                <c:pt idx="157">
                  <c:v>1.3378039432854266E-2</c:v>
                </c:pt>
                <c:pt idx="158">
                  <c:v>1.3468679611479304E-2</c:v>
                </c:pt>
                <c:pt idx="159">
                  <c:v>1.3559189664767343E-2</c:v>
                </c:pt>
                <c:pt idx="160">
                  <c:v>1.3649557741621144E-2</c:v>
                </c:pt>
                <c:pt idx="161">
                  <c:v>1.3739772262624139E-2</c:v>
                </c:pt>
                <c:pt idx="162">
                  <c:v>1.382982196807594E-2</c:v>
                </c:pt>
                <c:pt idx="163">
                  <c:v>1.3919695964646987E-2</c:v>
                </c:pt>
                <c:pt idx="164">
                  <c:v>1.4009383770313881E-2</c:v>
                </c:pt>
                <c:pt idx="165">
                  <c:v>1.4098875357245725E-2</c:v>
                </c:pt>
                <c:pt idx="166">
                  <c:v>1.4188161192323157E-2</c:v>
                </c:pt>
                <c:pt idx="167">
                  <c:v>1.4277232274986288E-2</c:v>
                </c:pt>
                <c:pt idx="168">
                  <c:v>1.4366080172125387E-2</c:v>
                </c:pt>
                <c:pt idx="169">
                  <c:v>1.4454697049748418E-2</c:v>
                </c:pt>
                <c:pt idx="170">
                  <c:v>1.4543075701182545E-2</c:v>
                </c:pt>
                <c:pt idx="171">
                  <c:v>1.4631209571592443E-2</c:v>
                </c:pt>
                <c:pt idx="172">
                  <c:v>1.4719092778625762E-2</c:v>
                </c:pt>
                <c:pt idx="173">
                  <c:v>1.480672012902612E-2</c:v>
                </c:pt>
                <c:pt idx="174">
                  <c:v>1.4894087131085507E-2</c:v>
                </c:pt>
                <c:pt idx="175">
                  <c:v>1.4981190002840818E-2</c:v>
                </c:pt>
                <c:pt idx="176">
                  <c:v>1.5068025675953769E-2</c:v>
                </c:pt>
                <c:pt idx="177">
                  <c:v>1.5154591795247987E-2</c:v>
                </c:pt>
                <c:pt idx="178">
                  <c:v>1.5240886713912943E-2</c:v>
                </c:pt>
                <c:pt idx="179">
                  <c:v>1.5326909484419726E-2</c:v>
                </c:pt>
                <c:pt idx="180">
                  <c:v>1.5412659845229033E-2</c:v>
                </c:pt>
                <c:pt idx="181">
                  <c:v>1.5498138203406979E-2</c:v>
                </c:pt>
                <c:pt idx="182">
                  <c:v>1.5583345613297456E-2</c:v>
                </c:pt>
                <c:pt idx="183">
                  <c:v>1.566828375143331E-2</c:v>
                </c:pt>
                <c:pt idx="184">
                  <c:v>1.5752954887898758E-2</c:v>
                </c:pt>
                <c:pt idx="185">
                  <c:v>1.5837361854385317E-2</c:v>
                </c:pt>
                <c:pt idx="186">
                  <c:v>1.5921508009209859E-2</c:v>
                </c:pt>
                <c:pt idx="187">
                  <c:v>1.6005397199588045E-2</c:v>
                </c:pt>
                <c:pt idx="188">
                  <c:v>1.6089033721477901E-2</c:v>
                </c:pt>
                <c:pt idx="189">
                  <c:v>1.6172422277327032E-2</c:v>
                </c:pt>
                <c:pt idx="190">
                  <c:v>1.6255567932072099E-2</c:v>
                </c:pt>
                <c:pt idx="191">
                  <c:v>1.6338476067751569E-2</c:v>
                </c:pt>
                <c:pt idx="192">
                  <c:v>1.6421152337101098E-2</c:v>
                </c:pt>
                <c:pt idx="193">
                  <c:v>1.6503602616505748E-2</c:v>
                </c:pt>
                <c:pt idx="194">
                  <c:v>1.6585832958684835E-2</c:v>
                </c:pt>
                <c:pt idx="195">
                  <c:v>1.666784954548246E-2</c:v>
                </c:pt>
                <c:pt idx="196">
                  <c:v>1.6749658641130965E-2</c:v>
                </c:pt>
                <c:pt idx="197">
                  <c:v>1.68312665463448E-2</c:v>
                </c:pt>
                <c:pt idx="198">
                  <c:v>1.6912679553589084E-2</c:v>
                </c:pt>
                <c:pt idx="199">
                  <c:v>1.6993903903850621E-2</c:v>
                </c:pt>
                <c:pt idx="200">
                  <c:v>1.7074945745219425E-2</c:v>
                </c:pt>
                <c:pt idx="201">
                  <c:v>1.7155811093566068E-2</c:v>
                </c:pt>
                <c:pt idx="202">
                  <c:v>1.7236505795574602E-2</c:v>
                </c:pt>
                <c:pt idx="203">
                  <c:v>1.7317035494362819E-2</c:v>
                </c:pt>
                <c:pt idx="204">
                  <c:v>1.7397405597891699E-2</c:v>
                </c:pt>
                <c:pt idx="205">
                  <c:v>1.7477621250333579E-2</c:v>
                </c:pt>
                <c:pt idx="206">
                  <c:v>1.7557687306535199E-2</c:v>
                </c:pt>
                <c:pt idx="207">
                  <c:v>1.7637608309677335E-2</c:v>
                </c:pt>
                <c:pt idx="208">
                  <c:v>1.7717388472196904E-2</c:v>
                </c:pt>
                <c:pt idx="209">
                  <c:v>1.7797031660002148E-2</c:v>
                </c:pt>
                <c:pt idx="210">
                  <c:v>1.7876541379975429E-2</c:v>
                </c:pt>
                <c:pt idx="211">
                  <c:v>1.7955920770722909E-2</c:v>
                </c:pt>
                <c:pt idx="212">
                  <c:v>1.8035172596496271E-2</c:v>
                </c:pt>
                <c:pt idx="213">
                  <c:v>1.8114299244177724E-2</c:v>
                </c:pt>
                <c:pt idx="214">
                  <c:v>1.8193302723188629E-2</c:v>
                </c:pt>
                <c:pt idx="215">
                  <c:v>1.8272184668151791E-2</c:v>
                </c:pt>
                <c:pt idx="216">
                  <c:v>1.8350946344110282E-2</c:v>
                </c:pt>
                <c:pt idx="217">
                  <c:v>1.8429588654081043E-2</c:v>
                </c:pt>
                <c:pt idx="218">
                  <c:v>1.8508112148699171E-2</c:v>
                </c:pt>
                <c:pt idx="219">
                  <c:v>1.858651703769058E-2</c:v>
                </c:pt>
                <c:pt idx="220">
                  <c:v>1.8664803202894913E-2</c:v>
                </c:pt>
                <c:pt idx="221">
                  <c:v>1.8742970212549222E-2</c:v>
                </c:pt>
                <c:pt idx="222">
                  <c:v>1.8821017336534525E-2</c:v>
                </c:pt>
                <c:pt idx="223">
                  <c:v>1.8898943562283353E-2</c:v>
                </c:pt>
                <c:pt idx="224">
                  <c:v>1.8976747611045935E-2</c:v>
                </c:pt>
                <c:pt idx="225">
                  <c:v>1.9054427954216285E-2</c:v>
                </c:pt>
                <c:pt idx="226">
                  <c:v>1.9131982829426727E-2</c:v>
                </c:pt>
                <c:pt idx="227">
                  <c:v>1.9209410256131088E-2</c:v>
                </c:pt>
                <c:pt idx="228">
                  <c:v>1.928670805041088E-2</c:v>
                </c:pt>
                <c:pt idx="229">
                  <c:v>1.9363873838758344E-2</c:v>
                </c:pt>
                <c:pt idx="230">
                  <c:v>1.9440905070610855E-2</c:v>
                </c:pt>
                <c:pt idx="231">
                  <c:v>1.9517799029437077E-2</c:v>
                </c:pt>
                <c:pt idx="232">
                  <c:v>1.9594552842202181E-2</c:v>
                </c:pt>
                <c:pt idx="233">
                  <c:v>1.9671163487070029E-2</c:v>
                </c:pt>
                <c:pt idx="234">
                  <c:v>1.9747627799232285E-2</c:v>
                </c:pt>
                <c:pt idx="235">
                  <c:v>1.9823942474788674E-2</c:v>
                </c:pt>
                <c:pt idx="236">
                  <c:v>1.990010407263788E-2</c:v>
                </c:pt>
                <c:pt idx="237">
                  <c:v>1.9976109014375042E-2</c:v>
                </c:pt>
                <c:pt idx="238">
                  <c:v>2.0051953582228582E-2</c:v>
                </c:pt>
                <c:pt idx="239">
                  <c:v>2.0127633915106156E-2</c:v>
                </c:pt>
                <c:pt idx="240">
                  <c:v>2.0203146002856116E-2</c:v>
                </c:pt>
                <c:pt idx="241">
                  <c:v>2.0278485678886224E-2</c:v>
                </c:pt>
                <c:pt idx="242">
                  <c:v>2.0353648611316225E-2</c:v>
                </c:pt>
                <c:pt idx="243">
                  <c:v>2.0428630292873281E-2</c:v>
                </c:pt>
                <c:pt idx="244">
                  <c:v>2.0503426029769699E-2</c:v>
                </c:pt>
                <c:pt idx="245">
                  <c:v>2.0578030929830588E-2</c:v>
                </c:pt>
                <c:pt idx="246">
                  <c:v>2.065243989016375E-2</c:v>
                </c:pt>
                <c:pt idx="247">
                  <c:v>2.0726647584685946E-2</c:v>
                </c:pt>
                <c:pt idx="248">
                  <c:v>2.0800648451837711E-2</c:v>
                </c:pt>
                <c:pt idx="249">
                  <c:v>2.0874436682832797E-2</c:v>
                </c:pt>
                <c:pt idx="250">
                  <c:v>2.0948006210798547E-2</c:v>
                </c:pt>
                <c:pt idx="251">
                  <c:v>2.1021350701168898E-2</c:v>
                </c:pt>
                <c:pt idx="252">
                  <c:v>2.1094463543692744E-2</c:v>
                </c:pt>
                <c:pt idx="253">
                  <c:v>2.1167337846416959E-2</c:v>
                </c:pt>
                <c:pt idx="254">
                  <c:v>2.1239966431995147E-2</c:v>
                </c:pt>
                <c:pt idx="255">
                  <c:v>2.1312341836659979E-2</c:v>
                </c:pt>
                <c:pt idx="256">
                  <c:v>2.1384456312179952E-2</c:v>
                </c:pt>
                <c:pt idx="257">
                  <c:v>2.1456301831098631E-2</c:v>
                </c:pt>
                <c:pt idx="258">
                  <c:v>2.1527870095528704E-2</c:v>
                </c:pt>
                <c:pt idx="259">
                  <c:v>2.1599152549742071E-2</c:v>
                </c:pt>
                <c:pt idx="260">
                  <c:v>2.1670140396762606E-2</c:v>
                </c:pt>
                <c:pt idx="261">
                  <c:v>2.1740824619130697E-2</c:v>
                </c:pt>
                <c:pt idx="262">
                  <c:v>2.1811196003966443E-2</c:v>
                </c:pt>
                <c:pt idx="263">
                  <c:v>2.188124517241468E-2</c:v>
                </c:pt>
                <c:pt idx="264">
                  <c:v>2.1950962613508134E-2</c:v>
                </c:pt>
                <c:pt idx="265">
                  <c:v>2.2020338722436254E-2</c:v>
                </c:pt>
                <c:pt idx="266">
                  <c:v>2.208936384315718E-2</c:v>
                </c:pt>
                <c:pt idx="267">
                  <c:v>2.2158028315239015E-2</c:v>
                </c:pt>
                <c:pt idx="268">
                  <c:v>2.2226322524765182E-2</c:v>
                </c:pt>
                <c:pt idx="269">
                  <c:v>2.2294236959086958E-2</c:v>
                </c:pt>
                <c:pt idx="270">
                  <c:v>2.2361762265155669E-2</c:v>
                </c:pt>
                <c:pt idx="271">
                  <c:v>2.2428889311117212E-2</c:v>
                </c:pt>
                <c:pt idx="272">
                  <c:v>2.2495609250804176E-2</c:v>
                </c:pt>
                <c:pt idx="273">
                  <c:v>2.2561913590714786E-2</c:v>
                </c:pt>
                <c:pt idx="274">
                  <c:v>2.2627794259025981E-2</c:v>
                </c:pt>
                <c:pt idx="275">
                  <c:v>2.2693243676148257E-2</c:v>
                </c:pt>
                <c:pt idx="276">
                  <c:v>2.2758254826294472E-2</c:v>
                </c:pt>
                <c:pt idx="277">
                  <c:v>2.2822821329504504E-2</c:v>
                </c:pt>
                <c:pt idx="278">
                  <c:v>2.2886937513540057E-2</c:v>
                </c:pt>
                <c:pt idx="279">
                  <c:v>2.2950598485044164E-2</c:v>
                </c:pt>
                <c:pt idx="280">
                  <c:v>2.301380019934253E-2</c:v>
                </c:pt>
                <c:pt idx="281">
                  <c:v>2.3076539528255394E-2</c:v>
                </c:pt>
                <c:pt idx="282">
                  <c:v>2.313881432528259E-2</c:v>
                </c:pt>
                <c:pt idx="283">
                  <c:v>2.320062348752789E-2</c:v>
                </c:pt>
                <c:pt idx="284">
                  <c:v>2.3261967013735729E-2</c:v>
                </c:pt>
                <c:pt idx="285">
                  <c:v>2.3322846057827775E-2</c:v>
                </c:pt>
                <c:pt idx="286">
                  <c:v>2.338326297734768E-2</c:v>
                </c:pt>
                <c:pt idx="287">
                  <c:v>2.3443221376248161E-2</c:v>
                </c:pt>
                <c:pt idx="288">
                  <c:v>2.3502726141487462E-2</c:v>
                </c:pt>
                <c:pt idx="289">
                  <c:v>2.3561783472940374E-2</c:v>
                </c:pt>
                <c:pt idx="290">
                  <c:v>2.3620400906172425E-2</c:v>
                </c:pt>
                <c:pt idx="291">
                  <c:v>2.3678587327674923E-2</c:v>
                </c:pt>
                <c:pt idx="292">
                  <c:v>2.3736352982211918E-2</c:v>
                </c:pt>
                <c:pt idx="293">
                  <c:v>2.3793709471988212E-2</c:v>
                </c:pt>
                <c:pt idx="294">
                  <c:v>2.3850669747409001E-2</c:v>
                </c:pt>
                <c:pt idx="295">
                  <c:v>2.3907248089267061E-2</c:v>
                </c:pt>
                <c:pt idx="296">
                  <c:v>2.3963460082260878E-2</c:v>
                </c:pt>
                <c:pt idx="297">
                  <c:v>2.4019322579817235E-2</c:v>
                </c:pt>
                <c:pt idx="298">
                  <c:v>2.4074853660263004E-2</c:v>
                </c:pt>
                <c:pt idx="299">
                  <c:v>2.4130072574463136E-2</c:v>
                </c:pt>
                <c:pt idx="300">
                  <c:v>2.418499968511445E-2</c:v>
                </c:pt>
                <c:pt idx="301">
                  <c:v>2.4239656397956288E-2</c:v>
                </c:pt>
                <c:pt idx="302">
                  <c:v>2.4294065085230469E-2</c:v>
                </c:pt>
                <c:pt idx="303">
                  <c:v>2.4348249001791049E-2</c:v>
                </c:pt>
                <c:pt idx="304">
                  <c:v>2.4402232194331398E-2</c:v>
                </c:pt>
                <c:pt idx="305">
                  <c:v>2.4456039404258962E-2</c:v>
                </c:pt>
                <c:pt idx="306">
                  <c:v>2.4509695964807145E-2</c:v>
                </c:pt>
                <c:pt idx="307">
                  <c:v>2.4563227693029311E-2</c:v>
                </c:pt>
                <c:pt idx="308">
                  <c:v>2.4616660777369292E-2</c:v>
                </c:pt>
                <c:pt idx="309">
                  <c:v>2.467002166154765E-2</c:v>
                </c:pt>
                <c:pt idx="310">
                  <c:v>2.4723336925541357E-2</c:v>
                </c:pt>
                <c:pt idx="311">
                  <c:v>2.4776633164466953E-2</c:v>
                </c:pt>
                <c:pt idx="312">
                  <c:v>2.48299368662026E-2</c:v>
                </c:pt>
                <c:pt idx="313">
                  <c:v>2.4883274288603003E-2</c:v>
                </c:pt>
                <c:pt idx="314">
                  <c:v>2.4936671337172825E-2</c:v>
                </c:pt>
                <c:pt idx="315">
                  <c:v>2.4990153444067489E-2</c:v>
                </c:pt>
                <c:pt idx="316">
                  <c:v>2.504374544928744E-2</c:v>
                </c:pt>
                <c:pt idx="317">
                  <c:v>2.5097471484920416E-2</c:v>
                </c:pt>
                <c:pt idx="318">
                  <c:v>2.5151354863267885E-2</c:v>
                </c:pt>
                <c:pt idx="319">
                  <c:v>2.520541796966623E-2</c:v>
                </c:pt>
                <c:pt idx="320">
                  <c:v>2.5259682160779888E-2</c:v>
                </c:pt>
                <c:pt idx="321">
                  <c:v>2.5314167669104225E-2</c:v>
                </c:pt>
                <c:pt idx="322">
                  <c:v>2.5368893514369377E-2</c:v>
                </c:pt>
                <c:pt idx="323">
                  <c:v>2.5423877422483736E-2</c:v>
                </c:pt>
                <c:pt idx="324">
                  <c:v>2.547913575259762E-2</c:v>
                </c:pt>
                <c:pt idx="325">
                  <c:v>2.5534683432804284E-2</c:v>
                </c:pt>
                <c:pt idx="326">
                  <c:v>2.5590533904927163E-2</c:v>
                </c:pt>
                <c:pt idx="327">
                  <c:v>2.5646699078770496E-2</c:v>
                </c:pt>
                <c:pt idx="328">
                  <c:v>2.5703189296134677E-2</c:v>
                </c:pt>
                <c:pt idx="329">
                  <c:v>2.5760013304819702E-2</c:v>
                </c:pt>
                <c:pt idx="330">
                  <c:v>2.5817178242759947E-2</c:v>
                </c:pt>
                <c:pt idx="331">
                  <c:v>2.5874689632351761E-2</c:v>
                </c:pt>
                <c:pt idx="332">
                  <c:v>2.5932551384953824E-2</c:v>
                </c:pt>
                <c:pt idx="333">
                  <c:v>2.5990765815458183E-2</c:v>
                </c:pt>
                <c:pt idx="334">
                  <c:v>2.6049333666748959E-2</c:v>
                </c:pt>
                <c:pt idx="335">
                  <c:v>2.6108254143787039E-2</c:v>
                </c:pt>
                <c:pt idx="336">
                  <c:v>2.6167524956982022E-2</c:v>
                </c:pt>
                <c:pt idx="337">
                  <c:v>2.6227142374439221E-2</c:v>
                </c:pt>
                <c:pt idx="338">
                  <c:v>2.6287101282599881E-2</c:v>
                </c:pt>
                <c:pt idx="339">
                  <c:v>2.6347395254727422E-2</c:v>
                </c:pt>
                <c:pt idx="340">
                  <c:v>2.6408016626631885E-2</c:v>
                </c:pt>
                <c:pt idx="341">
                  <c:v>2.6468956578970651E-2</c:v>
                </c:pt>
                <c:pt idx="342">
                  <c:v>2.6530205225414195E-2</c:v>
                </c:pt>
                <c:pt idx="343">
                  <c:v>2.659175170592365E-2</c:v>
                </c:pt>
                <c:pt idx="344">
                  <c:v>2.6653584284351932E-2</c:v>
                </c:pt>
                <c:pt idx="345">
                  <c:v>2.6715690449551334E-2</c:v>
                </c:pt>
                <c:pt idx="346">
                  <c:v>2.6778057019150387E-2</c:v>
                </c:pt>
                <c:pt idx="347">
                  <c:v>2.6840670245149155E-2</c:v>
                </c:pt>
                <c:pt idx="348">
                  <c:v>2.690351592047667E-2</c:v>
                </c:pt>
                <c:pt idx="349">
                  <c:v>2.6966579485656346E-2</c:v>
                </c:pt>
                <c:pt idx="350">
                  <c:v>2.702984613473489E-2</c:v>
                </c:pt>
                <c:pt idx="351">
                  <c:v>2.7093300919647411E-2</c:v>
                </c:pt>
                <c:pt idx="352">
                  <c:v>2.7156928852216048E-2</c:v>
                </c:pt>
                <c:pt idx="353">
                  <c:v>2.7220715003010685E-2</c:v>
                </c:pt>
                <c:pt idx="354">
                  <c:v>2.728464459633867E-2</c:v>
                </c:pt>
                <c:pt idx="355">
                  <c:v>2.7348703100674953E-2</c:v>
                </c:pt>
                <c:pt idx="356">
                  <c:v>2.7412876313894205E-2</c:v>
                </c:pt>
                <c:pt idx="357">
                  <c:v>2.7477150442721979E-2</c:v>
                </c:pt>
                <c:pt idx="358">
                  <c:v>2.7541512175882701E-2</c:v>
                </c:pt>
                <c:pt idx="359">
                  <c:v>2.7605948750486078E-2</c:v>
                </c:pt>
                <c:pt idx="360">
                  <c:v>2.7670448011262266E-2</c:v>
                </c:pt>
                <c:pt idx="361">
                  <c:v>2.7734998462326202E-2</c:v>
                </c:pt>
                <c:pt idx="362">
                  <c:v>2.7799589311224851E-2</c:v>
                </c:pt>
                <c:pt idx="363">
                  <c:v>2.7864210505095372E-2</c:v>
                </c:pt>
                <c:pt idx="364">
                  <c:v>2.7928852758837143E-2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3.6281771223982385E-3</c:v>
                </c:pt>
                <c:pt idx="1">
                  <c:v>3.5339968442442871E-3</c:v>
                </c:pt>
                <c:pt idx="2">
                  <c:v>3.4415072622136973E-3</c:v>
                </c:pt>
                <c:pt idx="3">
                  <c:v>3.3508172915523524E-3</c:v>
                </c:pt>
                <c:pt idx="4">
                  <c:v>3.2620258611420986E-3</c:v>
                </c:pt>
                <c:pt idx="5">
                  <c:v>3.1752218989081014E-3</c:v>
                </c:pt>
                <c:pt idx="6">
                  <c:v>3.0904844131280991E-3</c:v>
                </c:pt>
                <c:pt idx="7">
                  <c:v>3.0078826627892821E-3</c:v>
                </c:pt>
                <c:pt idx="8">
                  <c:v>2.9271220819823804E-3</c:v>
                </c:pt>
                <c:pt idx="9">
                  <c:v>2.8506074235134225E-3</c:v>
                </c:pt>
                <c:pt idx="10">
                  <c:v>2.7813447410361992E-3</c:v>
                </c:pt>
                <c:pt idx="11">
                  <c:v>2.7193040884240811E-3</c:v>
                </c:pt>
                <c:pt idx="12">
                  <c:v>2.6644328524201553E-3</c:v>
                </c:pt>
                <c:pt idx="13">
                  <c:v>2.6166588255786311E-3</c:v>
                </c:pt>
                <c:pt idx="14">
                  <c:v>2.5758932170198835E-3</c:v>
                </c:pt>
                <c:pt idx="15">
                  <c:v>2.538600297636548E-3</c:v>
                </c:pt>
                <c:pt idx="16">
                  <c:v>2.5005231875550702E-3</c:v>
                </c:pt>
                <c:pt idx="17">
                  <c:v>2.4617813310294518E-3</c:v>
                </c:pt>
                <c:pt idx="18">
                  <c:v>2.4224859777184048E-3</c:v>
                </c:pt>
                <c:pt idx="19">
                  <c:v>2.3827534218932487E-3</c:v>
                </c:pt>
                <c:pt idx="20">
                  <c:v>2.3426967601447145E-3</c:v>
                </c:pt>
                <c:pt idx="21">
                  <c:v>2.3024865497690479E-3</c:v>
                </c:pt>
                <c:pt idx="22">
                  <c:v>2.2618155431746783E-3</c:v>
                </c:pt>
                <c:pt idx="23">
                  <c:v>2.2205858486526405E-3</c:v>
                </c:pt>
                <c:pt idx="24">
                  <c:v>2.1766673032903496E-3</c:v>
                </c:pt>
                <c:pt idx="25">
                  <c:v>2.1302515532528855E-3</c:v>
                </c:pt>
                <c:pt idx="26">
                  <c:v>2.0815190169712699E-3</c:v>
                </c:pt>
                <c:pt idx="27">
                  <c:v>2.0306383055719197E-3</c:v>
                </c:pt>
                <c:pt idx="28">
                  <c:v>1.977765839153359E-3</c:v>
                </c:pt>
                <c:pt idx="29">
                  <c:v>1.9240889670482076E-3</c:v>
                </c:pt>
                <c:pt idx="30">
                  <c:v>1.872620996148865E-3</c:v>
                </c:pt>
                <c:pt idx="31">
                  <c:v>1.8233526699457166E-3</c:v>
                </c:pt>
                <c:pt idx="32">
                  <c:v>1.7762684361707984E-3</c:v>
                </c:pt>
                <c:pt idx="33">
                  <c:v>1.7313474605761174E-3</c:v>
                </c:pt>
                <c:pt idx="34">
                  <c:v>1.6885645675154442E-3</c:v>
                </c:pt>
                <c:pt idx="35">
                  <c:v>1.6478911083036747E-3</c:v>
                </c:pt>
                <c:pt idx="36">
                  <c:v>1.6091733860525081E-3</c:v>
                </c:pt>
                <c:pt idx="37">
                  <c:v>1.5709668245191715E-3</c:v>
                </c:pt>
                <c:pt idx="38">
                  <c:v>1.5331811160453955E-3</c:v>
                </c:pt>
                <c:pt idx="39">
                  <c:v>1.4958100246664874E-3</c:v>
                </c:pt>
                <c:pt idx="40">
                  <c:v>1.4588469891797487E-3</c:v>
                </c:pt>
                <c:pt idx="41">
                  <c:v>1.42228520662766E-3</c:v>
                </c:pt>
                <c:pt idx="42">
                  <c:v>1.3861177093796976E-3</c:v>
                </c:pt>
                <c:pt idx="43">
                  <c:v>1.3497319972197365E-3</c:v>
                </c:pt>
                <c:pt idx="44">
                  <c:v>1.312240502061313E-3</c:v>
                </c:pt>
                <c:pt idx="45">
                  <c:v>1.2736770483463881E-3</c:v>
                </c:pt>
                <c:pt idx="46">
                  <c:v>1.2340739008219455E-3</c:v>
                </c:pt>
                <c:pt idx="47">
                  <c:v>1.1934618409396047E-3</c:v>
                </c:pt>
                <c:pt idx="48">
                  <c:v>1.1518702318466573E-3</c:v>
                </c:pt>
                <c:pt idx="49">
                  <c:v>1.1093270714196714E-3</c:v>
                </c:pt>
                <c:pt idx="50">
                  <c:v>1.0658518704109669E-3</c:v>
                </c:pt>
                <c:pt idx="51">
                  <c:v>1.0219550974813602E-3</c:v>
                </c:pt>
                <c:pt idx="52">
                  <c:v>9.7875286111589479E-4</c:v>
                </c:pt>
                <c:pt idx="53">
                  <c:v>9.3622119430248707E-4</c:v>
                </c:pt>
                <c:pt idx="54">
                  <c:v>8.9434236202707987E-4</c:v>
                </c:pt>
                <c:pt idx="55">
                  <c:v>8.5309949908991616E-4</c:v>
                </c:pt>
                <c:pt idx="56">
                  <c:v>8.124765283262802E-4</c:v>
                </c:pt>
                <c:pt idx="57">
                  <c:v>7.7327161251392388E-4</c:v>
                </c:pt>
                <c:pt idx="58">
                  <c:v>7.3598050029479096E-4</c:v>
                </c:pt>
                <c:pt idx="59">
                  <c:v>7.0055657601365948E-4</c:v>
                </c:pt>
                <c:pt idx="60">
                  <c:v>6.669547592140099E-4</c:v>
                </c:pt>
                <c:pt idx="61">
                  <c:v>6.351314086752675E-4</c:v>
                </c:pt>
                <c:pt idx="62">
                  <c:v>6.0504423585946792E-4</c:v>
                </c:pt>
                <c:pt idx="63">
                  <c:v>5.7665222783232243E-4</c:v>
                </c:pt>
                <c:pt idx="64">
                  <c:v>5.4990141530615177E-4</c:v>
                </c:pt>
                <c:pt idx="65">
                  <c:v>5.2521549533087288E-4</c:v>
                </c:pt>
                <c:pt idx="66">
                  <c:v>5.0212346800295989E-4</c:v>
                </c:pt>
                <c:pt idx="67">
                  <c:v>4.8059746124638465E-4</c:v>
                </c:pt>
                <c:pt idx="68">
                  <c:v>4.6060930267334402E-4</c:v>
                </c:pt>
                <c:pt idx="69">
                  <c:v>4.4213073962576043E-4</c:v>
                </c:pt>
                <c:pt idx="70">
                  <c:v>4.2513364933041708E-4</c:v>
                </c:pt>
                <c:pt idx="71">
                  <c:v>4.0963926061414111E-4</c:v>
                </c:pt>
                <c:pt idx="72">
                  <c:v>3.9489529209709606E-4</c:v>
                </c:pt>
                <c:pt idx="73">
                  <c:v>3.8088936633589752E-4</c:v>
                </c:pt>
                <c:pt idx="74">
                  <c:v>3.6760907650604452E-4</c:v>
                </c:pt>
                <c:pt idx="75">
                  <c:v>3.5504207750031473E-4</c:v>
                </c:pt>
                <c:pt idx="76">
                  <c:v>3.431761735871394E-4</c:v>
                </c:pt>
                <c:pt idx="77">
                  <c:v>3.3199940275622754E-4</c:v>
                </c:pt>
                <c:pt idx="78">
                  <c:v>3.2147971646478854E-4</c:v>
                </c:pt>
                <c:pt idx="79">
                  <c:v>3.117066189368817E-4</c:v>
                </c:pt>
                <c:pt idx="80">
                  <c:v>3.0224564158249398E-4</c:v>
                </c:pt>
                <c:pt idx="81">
                  <c:v>2.9309547467814352E-4</c:v>
                </c:pt>
                <c:pt idx="82">
                  <c:v>2.842541685792209E-4</c:v>
                </c:pt>
                <c:pt idx="83">
                  <c:v>2.7571921158204405E-4</c:v>
                </c:pt>
                <c:pt idx="84">
                  <c:v>2.6748760489718232E-4</c:v>
                </c:pt>
                <c:pt idx="85">
                  <c:v>2.5967291865147191E-4</c:v>
                </c:pt>
                <c:pt idx="86">
                  <c:v>2.5222406723349915E-4</c:v>
                </c:pt>
                <c:pt idx="87">
                  <c:v>2.4513615498754273E-4</c:v>
                </c:pt>
                <c:pt idx="88">
                  <c:v>2.3840421512849694E-4</c:v>
                </c:pt>
                <c:pt idx="89">
                  <c:v>2.3202327865131034E-4</c:v>
                </c:pt>
                <c:pt idx="90">
                  <c:v>2.2598843966206689E-4</c:v>
                </c:pt>
                <c:pt idx="91">
                  <c:v>2.2029491748582955E-4</c:v>
                </c:pt>
                <c:pt idx="92">
                  <c:v>2.1492886547348167E-4</c:v>
                </c:pt>
                <c:pt idx="93">
                  <c:v>2.0988872242678786E-4</c:v>
                </c:pt>
                <c:pt idx="94">
                  <c:v>2.0505927922876042E-4</c:v>
                </c:pt>
                <c:pt idx="95">
                  <c:v>2.0043604260061169E-4</c:v>
                </c:pt>
                <c:pt idx="96">
                  <c:v>1.9601473467515765E-4</c:v>
                </c:pt>
                <c:pt idx="97">
                  <c:v>1.9179129775203553E-4</c:v>
                </c:pt>
                <c:pt idx="98">
                  <c:v>1.8776189924245534E-4</c:v>
                </c:pt>
                <c:pt idx="99">
                  <c:v>1.8393619331785648E-4</c:v>
                </c:pt>
                <c:pt idx="100">
                  <c:v>1.801962784681308E-4</c:v>
                </c:pt>
                <c:pt idx="101">
                  <c:v>1.765386569057893E-4</c:v>
                </c:pt>
                <c:pt idx="102">
                  <c:v>1.7295984981936362E-4</c:v>
                </c:pt>
                <c:pt idx="103">
                  <c:v>1.6945639952636841E-4</c:v>
                </c:pt>
                <c:pt idx="104">
                  <c:v>1.6602487176759273E-4</c:v>
                </c:pt>
                <c:pt idx="105">
                  <c:v>1.6266185804094402E-4</c:v>
                </c:pt>
                <c:pt idx="106">
                  <c:v>1.5936325236198999E-4</c:v>
                </c:pt>
                <c:pt idx="107">
                  <c:v>1.5617940081120768E-4</c:v>
                </c:pt>
                <c:pt idx="108">
                  <c:v>1.5309284814584136E-4</c:v>
                </c:pt>
                <c:pt idx="109">
                  <c:v>1.5010037217937661E-4</c:v>
                </c:pt>
                <c:pt idx="110">
                  <c:v>1.4719929014583193E-4</c:v>
                </c:pt>
                <c:pt idx="111">
                  <c:v>1.4438701773215326E-4</c:v>
                </c:pt>
                <c:pt idx="112">
                  <c:v>1.4166066234151163E-4</c:v>
                </c:pt>
                <c:pt idx="113">
                  <c:v>1.3906955162678046E-4</c:v>
                </c:pt>
                <c:pt idx="114">
                  <c:v>1.365973909646143E-4</c:v>
                </c:pt>
                <c:pt idx="115">
                  <c:v>1.3424246058055505E-4</c:v>
                </c:pt>
                <c:pt idx="116">
                  <c:v>1.3200325269794162E-4</c:v>
                </c:pt>
                <c:pt idx="117">
                  <c:v>1.2987847284721293E-4</c:v>
                </c:pt>
                <c:pt idx="118">
                  <c:v>1.2786704121820776E-4</c:v>
                </c:pt>
                <c:pt idx="119">
                  <c:v>1.2596809408756105E-4</c:v>
                </c:pt>
                <c:pt idx="120">
                  <c:v>1.2418287001308184E-4</c:v>
                </c:pt>
                <c:pt idx="121">
                  <c:v>1.2258248474613029E-4</c:v>
                </c:pt>
                <c:pt idx="122">
                  <c:v>1.2110777986388455E-4</c:v>
                </c:pt>
                <c:pt idx="123">
                  <c:v>1.1975843818986954E-4</c:v>
                </c:pt>
                <c:pt idx="124">
                  <c:v>1.1853446020631877E-4</c:v>
                </c:pt>
                <c:pt idx="125">
                  <c:v>1.1743615595467324E-4</c:v>
                </c:pt>
                <c:pt idx="126">
                  <c:v>1.1646413682725654E-4</c:v>
                </c:pt>
                <c:pt idx="127">
                  <c:v>1.1560368870074979E-4</c:v>
                </c:pt>
                <c:pt idx="128">
                  <c:v>1.1479519656923065E-4</c:v>
                </c:pt>
                <c:pt idx="129">
                  <c:v>1.1403745707622764E-4</c:v>
                </c:pt>
                <c:pt idx="130">
                  <c:v>1.1332937981774041E-4</c:v>
                </c:pt>
                <c:pt idx="131">
                  <c:v>1.1266998467793491E-4</c:v>
                </c:pt>
                <c:pt idx="132">
                  <c:v>1.1205839929042771E-4</c:v>
                </c:pt>
                <c:pt idx="133">
                  <c:v>1.1149385654416739E-4</c:v>
                </c:pt>
                <c:pt idx="134">
                  <c:v>1.1097842855960867E-4</c:v>
                </c:pt>
                <c:pt idx="135">
                  <c:v>1.1049132836108513E-4</c:v>
                </c:pt>
                <c:pt idx="136">
                  <c:v>1.0994864536953793E-4</c:v>
                </c:pt>
                <c:pt idx="137">
                  <c:v>1.093466364271489E-4</c:v>
                </c:pt>
                <c:pt idx="138">
                  <c:v>1.0868152165390703E-4</c:v>
                </c:pt>
                <c:pt idx="139">
                  <c:v>1.0794949504719133E-4</c:v>
                </c:pt>
                <c:pt idx="140">
                  <c:v>1.0714673587813183E-4</c:v>
                </c:pt>
                <c:pt idx="141">
                  <c:v>1.0632257902034989E-4</c:v>
                </c:pt>
                <c:pt idx="142">
                  <c:v>1.05492687630852E-4</c:v>
                </c:pt>
                <c:pt idx="143">
                  <c:v>1.0465542633538511E-4</c:v>
                </c:pt>
                <c:pt idx="144">
                  <c:v>1.038098948474411E-4</c:v>
                </c:pt>
                <c:pt idx="145">
                  <c:v>1.0295528693222045E-4</c:v>
                </c:pt>
                <c:pt idx="146">
                  <c:v>1.0209089433753382E-4</c:v>
                </c:pt>
                <c:pt idx="147">
                  <c:v>1.0121611046470345E-4</c:v>
                </c:pt>
                <c:pt idx="148">
                  <c:v>1.0033278366122462E-4</c:v>
                </c:pt>
                <c:pt idx="149">
                  <c:v>9.9454527196029331E-5</c:v>
                </c:pt>
                <c:pt idx="150">
                  <c:v>9.8606866359277623E-5</c:v>
                </c:pt>
                <c:pt idx="151">
                  <c:v>9.7790150087842678E-5</c:v>
                </c:pt>
                <c:pt idx="152">
                  <c:v>9.7004845219062852E-5</c:v>
                </c:pt>
                <c:pt idx="153">
                  <c:v>9.6251532002347026E-5</c:v>
                </c:pt>
                <c:pt idx="154">
                  <c:v>9.5530899191025582E-5</c:v>
                </c:pt>
                <c:pt idx="155">
                  <c:v>9.4913196980545906E-5</c:v>
                </c:pt>
                <c:pt idx="156">
                  <c:v>9.4337849284098168E-5</c:v>
                </c:pt>
                <c:pt idx="157">
                  <c:v>9.3805982167946108E-5</c:v>
                </c:pt>
                <c:pt idx="158">
                  <c:v>9.3318797064209709E-5</c:v>
                </c:pt>
                <c:pt idx="159">
                  <c:v>9.287756269631764E-5</c:v>
                </c:pt>
                <c:pt idx="160">
                  <c:v>9.2483606636586141E-5</c:v>
                </c:pt>
                <c:pt idx="161">
                  <c:v>9.2138306512904716E-5</c:v>
                </c:pt>
                <c:pt idx="162">
                  <c:v>9.1844665686355103E-5</c:v>
                </c:pt>
                <c:pt idx="163">
                  <c:v>9.1662573096335502E-5</c:v>
                </c:pt>
                <c:pt idx="164">
                  <c:v>9.1581623588596128E-5</c:v>
                </c:pt>
                <c:pt idx="165">
                  <c:v>9.160514790676236E-5</c:v>
                </c:pt>
                <c:pt idx="166">
                  <c:v>9.173646443589048E-5</c:v>
                </c:pt>
                <c:pt idx="167">
                  <c:v>9.1978871343613791E-5</c:v>
                </c:pt>
                <c:pt idx="168">
                  <c:v>9.2335639284383815E-5</c:v>
                </c:pt>
                <c:pt idx="169">
                  <c:v>9.2869691660707422E-5</c:v>
                </c:pt>
                <c:pt idx="170">
                  <c:v>9.3505146944299021E-5</c:v>
                </c:pt>
                <c:pt idx="171">
                  <c:v>9.4244630063449264E-5</c:v>
                </c:pt>
                <c:pt idx="172">
                  <c:v>9.5090732371272811E-5</c:v>
                </c:pt>
                <c:pt idx="173">
                  <c:v>9.60450267917221E-5</c:v>
                </c:pt>
                <c:pt idx="174">
                  <c:v>9.7108951830866653E-5</c:v>
                </c:pt>
                <c:pt idx="175">
                  <c:v>9.8284827324718793E-5</c:v>
                </c:pt>
                <c:pt idx="176">
                  <c:v>9.9574914346712485E-5</c:v>
                </c:pt>
                <c:pt idx="177">
                  <c:v>1.0106649313280951E-4</c:v>
                </c:pt>
                <c:pt idx="178">
                  <c:v>1.0269945996528526E-4</c:v>
                </c:pt>
                <c:pt idx="179">
                  <c:v>1.044762753225266E-4</c:v>
                </c:pt>
                <c:pt idx="180">
                  <c:v>1.0639931949478747E-4</c:v>
                </c:pt>
                <c:pt idx="181">
                  <c:v>1.0847089463189859E-4</c:v>
                </c:pt>
                <c:pt idx="182">
                  <c:v>1.1069322758212187E-4</c:v>
                </c:pt>
                <c:pt idx="183">
                  <c:v>1.1308493365220742E-4</c:v>
                </c:pt>
                <c:pt idx="184">
                  <c:v>1.1558198729738525E-4</c:v>
                </c:pt>
                <c:pt idx="185">
                  <c:v>1.1818558856761846E-4</c:v>
                </c:pt>
                <c:pt idx="186">
                  <c:v>1.208969241514765E-4</c:v>
                </c:pt>
                <c:pt idx="187">
                  <c:v>1.2371717137716278E-4</c:v>
                </c:pt>
                <c:pt idx="188">
                  <c:v>1.2664750224007079E-4</c:v>
                </c:pt>
                <c:pt idx="189">
                  <c:v>1.2968908742187348E-4</c:v>
                </c:pt>
                <c:pt idx="190">
                  <c:v>1.3284207883959475E-4</c:v>
                </c:pt>
                <c:pt idx="191">
                  <c:v>1.3619120743664758E-4</c:v>
                </c:pt>
                <c:pt idx="192">
                  <c:v>1.3964676309463866E-4</c:v>
                </c:pt>
                <c:pt idx="193">
                  <c:v>1.4321026176312052E-4</c:v>
                </c:pt>
                <c:pt idx="194">
                  <c:v>1.4688328913980533E-4</c:v>
                </c:pt>
                <c:pt idx="195">
                  <c:v>1.5066750744315927E-4</c:v>
                </c:pt>
                <c:pt idx="196">
                  <c:v>1.5456466201462998E-4</c:v>
                </c:pt>
                <c:pt idx="197">
                  <c:v>1.5854653720751097E-4</c:v>
                </c:pt>
                <c:pt idx="198">
                  <c:v>1.6259733264713651E-4</c:v>
                </c:pt>
                <c:pt idx="199">
                  <c:v>1.6671881146288443E-4</c:v>
                </c:pt>
                <c:pt idx="200">
                  <c:v>1.7091284626698691E-4</c:v>
                </c:pt>
                <c:pt idx="201">
                  <c:v>1.7518142065052434E-4</c:v>
                </c:pt>
                <c:pt idx="202">
                  <c:v>1.7952663066537328E-4</c:v>
                </c:pt>
                <c:pt idx="203">
                  <c:v>1.8395068638710148E-4</c:v>
                </c:pt>
                <c:pt idx="204">
                  <c:v>1.8845390046805474E-4</c:v>
                </c:pt>
                <c:pt idx="205">
                  <c:v>1.9300957216216141E-4</c:v>
                </c:pt>
                <c:pt idx="206">
                  <c:v>1.9752944860921469E-4</c:v>
                </c:pt>
                <c:pt idx="207">
                  <c:v>2.0201373191686039E-4</c:v>
                </c:pt>
                <c:pt idx="208">
                  <c:v>2.0646264199020788E-4</c:v>
                </c:pt>
                <c:pt idx="209">
                  <c:v>2.1087640909699207E-4</c:v>
                </c:pt>
                <c:pt idx="210">
                  <c:v>2.152552668738718E-4</c:v>
                </c:pt>
                <c:pt idx="211">
                  <c:v>2.1975432019820962E-4</c:v>
                </c:pt>
                <c:pt idx="212">
                  <c:v>2.2440587228779303E-4</c:v>
                </c:pt>
                <c:pt idx="213">
                  <c:v>2.2921182676787592E-4</c:v>
                </c:pt>
                <c:pt idx="214">
                  <c:v>2.3417407662597054E-4</c:v>
                </c:pt>
                <c:pt idx="215">
                  <c:v>2.3929450369601185E-4</c:v>
                </c:pt>
                <c:pt idx="216">
                  <c:v>2.4457497813468274E-4</c:v>
                </c:pt>
                <c:pt idx="217">
                  <c:v>2.5001735792730385E-4</c:v>
                </c:pt>
                <c:pt idx="218">
                  <c:v>2.5562141656479572E-4</c:v>
                </c:pt>
                <c:pt idx="219">
                  <c:v>2.6152251072736164E-4</c:v>
                </c:pt>
                <c:pt idx="220">
                  <c:v>2.6775194950401365E-4</c:v>
                </c:pt>
                <c:pt idx="221">
                  <c:v>2.743139766065647E-4</c:v>
                </c:pt>
                <c:pt idx="222">
                  <c:v>2.8121292275580718E-4</c:v>
                </c:pt>
                <c:pt idx="223">
                  <c:v>2.8845322088666994E-4</c:v>
                </c:pt>
                <c:pt idx="224">
                  <c:v>2.9603942166845119E-4</c:v>
                </c:pt>
                <c:pt idx="225">
                  <c:v>3.0410177698661104E-4</c:v>
                </c:pt>
                <c:pt idx="226">
                  <c:v>3.1248350576878981E-4</c:v>
                </c:pt>
                <c:pt idx="227">
                  <c:v>3.211891756649169E-4</c:v>
                </c:pt>
                <c:pt idx="228">
                  <c:v>3.3022353731242365E-4</c:v>
                </c:pt>
                <c:pt idx="229">
                  <c:v>3.3959154014879254E-4</c:v>
                </c:pt>
                <c:pt idx="230">
                  <c:v>3.4929834877400816E-4</c:v>
                </c:pt>
                <c:pt idx="231">
                  <c:v>3.593493599907776E-4</c:v>
                </c:pt>
                <c:pt idx="232">
                  <c:v>3.6974661803951855E-4</c:v>
                </c:pt>
                <c:pt idx="233">
                  <c:v>3.8054607381012842E-4</c:v>
                </c:pt>
                <c:pt idx="234">
                  <c:v>3.9160974854518331E-4</c:v>
                </c:pt>
                <c:pt idx="235">
                  <c:v>4.0294093537423994E-4</c:v>
                </c:pt>
                <c:pt idx="236">
                  <c:v>4.1454311562181097E-4</c:v>
                </c:pt>
                <c:pt idx="237">
                  <c:v>4.264195639817988E-4</c:v>
                </c:pt>
                <c:pt idx="238">
                  <c:v>4.3857359165299249E-4</c:v>
                </c:pt>
                <c:pt idx="239">
                  <c:v>4.5109446326478892E-4</c:v>
                </c:pt>
                <c:pt idx="240">
                  <c:v>4.6385468072561236E-4</c:v>
                </c:pt>
                <c:pt idx="241">
                  <c:v>4.7685735308903324E-4</c:v>
                </c:pt>
                <c:pt idx="242">
                  <c:v>4.9010558679370088E-4</c:v>
                </c:pt>
                <c:pt idx="243">
                  <c:v>5.0360248023287833E-4</c:v>
                </c:pt>
                <c:pt idx="244">
                  <c:v>5.1735111734656279E-4</c:v>
                </c:pt>
                <c:pt idx="245">
                  <c:v>5.3135456034887868E-4</c:v>
                </c:pt>
                <c:pt idx="246">
                  <c:v>5.4561584147599614E-4</c:v>
                </c:pt>
                <c:pt idx="247">
                  <c:v>5.6044966024940785E-4</c:v>
                </c:pt>
                <c:pt idx="248">
                  <c:v>5.7580395551947198E-4</c:v>
                </c:pt>
                <c:pt idx="249">
                  <c:v>5.9168451943346031E-4</c:v>
                </c:pt>
                <c:pt idx="250">
                  <c:v>6.0809712921451467E-4</c:v>
                </c:pt>
                <c:pt idx="251">
                  <c:v>6.2504753303469136E-4</c:v>
                </c:pt>
                <c:pt idx="252">
                  <c:v>6.4254143483191272E-4</c:v>
                </c:pt>
                <c:pt idx="253">
                  <c:v>6.6091248275709335E-4</c:v>
                </c:pt>
                <c:pt idx="254">
                  <c:v>6.800784940651811E-4</c:v>
                </c:pt>
                <c:pt idx="255">
                  <c:v>7.0004771523360973E-4</c:v>
                </c:pt>
                <c:pt idx="256">
                  <c:v>7.2082832326379319E-4</c:v>
                </c:pt>
                <c:pt idx="257">
                  <c:v>7.4242840396851798E-4</c:v>
                </c:pt>
                <c:pt idx="258">
                  <c:v>7.6485592999541883E-4</c:v>
                </c:pt>
                <c:pt idx="259">
                  <c:v>7.8811873879940238E-4</c:v>
                </c:pt>
                <c:pt idx="260">
                  <c:v>8.1222841309133991E-4</c:v>
                </c:pt>
                <c:pt idx="261">
                  <c:v>8.3740174298281426E-4</c:v>
                </c:pt>
                <c:pt idx="262">
                  <c:v>8.6331686856394314E-4</c:v>
                </c:pt>
                <c:pt idx="263">
                  <c:v>8.8997812411719442E-4</c:v>
                </c:pt>
                <c:pt idx="264">
                  <c:v>9.1738938673383442E-4</c:v>
                </c:pt>
                <c:pt idx="265">
                  <c:v>9.4555906890445853E-4</c:v>
                </c:pt>
                <c:pt idx="266">
                  <c:v>9.744930752433479E-4</c:v>
                </c:pt>
                <c:pt idx="267">
                  <c:v>1.0058260386533856E-3</c:v>
                </c:pt>
                <c:pt idx="268">
                  <c:v>1.0392304094203289E-3</c:v>
                </c:pt>
                <c:pt idx="269">
                  <c:v>1.0747219347118583E-3</c:v>
                </c:pt>
                <c:pt idx="270">
                  <c:v>1.1123153898621092E-3</c:v>
                </c:pt>
                <c:pt idx="271">
                  <c:v>1.1520244720774338E-3</c:v>
                </c:pt>
                <c:pt idx="272">
                  <c:v>1.1938616993156497E-3</c:v>
                </c:pt>
                <c:pt idx="273">
                  <c:v>1.2378383152458672E-3</c:v>
                </c:pt>
                <c:pt idx="274">
                  <c:v>1.2840127032079866E-3</c:v>
                </c:pt>
                <c:pt idx="275">
                  <c:v>1.3342550637942066E-3</c:v>
                </c:pt>
                <c:pt idx="276">
                  <c:v>1.3883697053110624E-3</c:v>
                </c:pt>
                <c:pt idx="277">
                  <c:v>1.4463738862503712E-3</c:v>
                </c:pt>
                <c:pt idx="278">
                  <c:v>1.5082807405081495E-3</c:v>
                </c:pt>
                <c:pt idx="279">
                  <c:v>1.5740985870827801E-3</c:v>
                </c:pt>
                <c:pt idx="280">
                  <c:v>1.6438302281872753E-3</c:v>
                </c:pt>
                <c:pt idx="281">
                  <c:v>1.7179586648117867E-3</c:v>
                </c:pt>
                <c:pt idx="282">
                  <c:v>1.794748415669938E-3</c:v>
                </c:pt>
                <c:pt idx="283">
                  <c:v>1.8741684029175084E-3</c:v>
                </c:pt>
                <c:pt idx="284">
                  <c:v>1.9561801485258922E-3</c:v>
                </c:pt>
                <c:pt idx="285">
                  <c:v>2.0407372918064934E-3</c:v>
                </c:pt>
                <c:pt idx="286">
                  <c:v>2.1277851219222012E-3</c:v>
                </c:pt>
                <c:pt idx="287">
                  <c:v>2.217260129676899E-3</c:v>
                </c:pt>
                <c:pt idx="288">
                  <c:v>2.3092532731172032E-3</c:v>
                </c:pt>
                <c:pt idx="289">
                  <c:v>2.4026276013880458E-3</c:v>
                </c:pt>
                <c:pt idx="290">
                  <c:v>2.4954390954492786E-3</c:v>
                </c:pt>
                <c:pt idx="291">
                  <c:v>2.5876299137986081E-3</c:v>
                </c:pt>
                <c:pt idx="292">
                  <c:v>2.6791390862699479E-3</c:v>
                </c:pt>
                <c:pt idx="293">
                  <c:v>2.769902687902232E-3</c:v>
                </c:pt>
                <c:pt idx="294">
                  <c:v>2.8598540153953887E-3</c:v>
                </c:pt>
                <c:pt idx="295">
                  <c:v>2.9468910700903711E-3</c:v>
                </c:pt>
                <c:pt idx="296">
                  <c:v>3.0304669039612872E-3</c:v>
                </c:pt>
                <c:pt idx="297">
                  <c:v>3.1105278187102199E-3</c:v>
                </c:pt>
                <c:pt idx="298">
                  <c:v>3.1869966624051291E-3</c:v>
                </c:pt>
                <c:pt idx="299">
                  <c:v>3.2597969004938255E-3</c:v>
                </c:pt>
                <c:pt idx="300">
                  <c:v>3.3288530091622652E-3</c:v>
                </c:pt>
                <c:pt idx="301">
                  <c:v>3.3940908572221255E-3</c:v>
                </c:pt>
                <c:pt idx="302">
                  <c:v>3.4556439732710493E-3</c:v>
                </c:pt>
                <c:pt idx="303">
                  <c:v>3.5163284662409816E-3</c:v>
                </c:pt>
                <c:pt idx="304">
                  <c:v>3.5774167377927058E-3</c:v>
                </c:pt>
                <c:pt idx="305">
                  <c:v>3.6389032434953569E-3</c:v>
                </c:pt>
                <c:pt idx="306">
                  <c:v>3.7007837251671178E-3</c:v>
                </c:pt>
                <c:pt idx="307">
                  <c:v>3.7630551519916692E-3</c:v>
                </c:pt>
                <c:pt idx="308">
                  <c:v>3.8257156276371362E-3</c:v>
                </c:pt>
                <c:pt idx="309">
                  <c:v>3.8877284624737689E-3</c:v>
                </c:pt>
                <c:pt idx="310">
                  <c:v>3.9511448583867577E-3</c:v>
                </c:pt>
                <c:pt idx="311">
                  <c:v>4.0159652420899434E-3</c:v>
                </c:pt>
                <c:pt idx="312">
                  <c:v>4.0821901202013145E-3</c:v>
                </c:pt>
                <c:pt idx="313">
                  <c:v>4.1498198086467007E-3</c:v>
                </c:pt>
                <c:pt idx="314">
                  <c:v>4.218854115460015E-3</c:v>
                </c:pt>
                <c:pt idx="315">
                  <c:v>4.2892919738957659E-3</c:v>
                </c:pt>
                <c:pt idx="316">
                  <c:v>4.3614184933353523E-3</c:v>
                </c:pt>
                <c:pt idx="317">
                  <c:v>4.4301359467696809E-3</c:v>
                </c:pt>
                <c:pt idx="318">
                  <c:v>4.4928038338547501E-3</c:v>
                </c:pt>
                <c:pt idx="319">
                  <c:v>4.5494212122189999E-3</c:v>
                </c:pt>
                <c:pt idx="320">
                  <c:v>4.5999786726791123E-3</c:v>
                </c:pt>
                <c:pt idx="321">
                  <c:v>4.6444578421391521E-3</c:v>
                </c:pt>
                <c:pt idx="322">
                  <c:v>4.6828309695136766E-3</c:v>
                </c:pt>
                <c:pt idx="323">
                  <c:v>4.7195075581906113E-3</c:v>
                </c:pt>
                <c:pt idx="324">
                  <c:v>4.755483497869889E-3</c:v>
                </c:pt>
                <c:pt idx="325">
                  <c:v>4.7907093062127962E-3</c:v>
                </c:pt>
                <c:pt idx="326">
                  <c:v>4.8250962604122387E-3</c:v>
                </c:pt>
                <c:pt idx="327">
                  <c:v>4.8585652587697812E-3</c:v>
                </c:pt>
                <c:pt idx="328">
                  <c:v>4.8910519536287797E-3</c:v>
                </c:pt>
                <c:pt idx="329">
                  <c:v>4.9224820440673511E-3</c:v>
                </c:pt>
                <c:pt idx="330">
                  <c:v>4.9532866072301476E-3</c:v>
                </c:pt>
                <c:pt idx="331">
                  <c:v>4.9882602490832111E-3</c:v>
                </c:pt>
                <c:pt idx="332">
                  <c:v>5.032749546592735E-3</c:v>
                </c:pt>
                <c:pt idx="333">
                  <c:v>5.0866839523744743E-3</c:v>
                </c:pt>
                <c:pt idx="334">
                  <c:v>5.1499843185524845E-3</c:v>
                </c:pt>
                <c:pt idx="335">
                  <c:v>5.2225603218685459E-3</c:v>
                </c:pt>
                <c:pt idx="336">
                  <c:v>5.3043077490166441E-3</c:v>
                </c:pt>
                <c:pt idx="337">
                  <c:v>5.3903897721232072E-3</c:v>
                </c:pt>
                <c:pt idx="338">
                  <c:v>5.4761574031614579E-3</c:v>
                </c:pt>
                <c:pt idx="339">
                  <c:v>5.5614218819522755E-3</c:v>
                </c:pt>
                <c:pt idx="340">
                  <c:v>5.6459748135504169E-3</c:v>
                </c:pt>
                <c:pt idx="341">
                  <c:v>5.7295886515338129E-3</c:v>
                </c:pt>
                <c:pt idx="342">
                  <c:v>5.812017486139083E-3</c:v>
                </c:pt>
                <c:pt idx="343">
                  <c:v>5.892998155708656E-3</c:v>
                </c:pt>
                <c:pt idx="344">
                  <c:v>5.9729258451409282E-3</c:v>
                </c:pt>
                <c:pt idx="345">
                  <c:v>6.0522494805465088E-3</c:v>
                </c:pt>
                <c:pt idx="346">
                  <c:v>6.1230388286249429E-3</c:v>
                </c:pt>
                <c:pt idx="347">
                  <c:v>6.1850756933524847E-3</c:v>
                </c:pt>
                <c:pt idx="348">
                  <c:v>6.2381364097027778E-3</c:v>
                </c:pt>
                <c:pt idx="349">
                  <c:v>6.2819957645058704E-3</c:v>
                </c:pt>
                <c:pt idx="350">
                  <c:v>6.3164311288039952E-3</c:v>
                </c:pt>
                <c:pt idx="351">
                  <c:v>6.337912982257895E-3</c:v>
                </c:pt>
                <c:pt idx="352">
                  <c:v>6.3509732341732548E-3</c:v>
                </c:pt>
                <c:pt idx="353">
                  <c:v>6.3554202808493469E-3</c:v>
                </c:pt>
                <c:pt idx="354">
                  <c:v>6.3510801022363785E-3</c:v>
                </c:pt>
                <c:pt idx="355">
                  <c:v>6.3378001220551674E-3</c:v>
                </c:pt>
                <c:pt idx="356">
                  <c:v>6.3154290610035997E-3</c:v>
                </c:pt>
                <c:pt idx="357">
                  <c:v>6.2838835677975508E-3</c:v>
                </c:pt>
                <c:pt idx="358">
                  <c:v>6.2430946516479034E-3</c:v>
                </c:pt>
                <c:pt idx="359">
                  <c:v>6.1932037842208562E-3</c:v>
                </c:pt>
                <c:pt idx="360">
                  <c:v>6.1298185694968208E-3</c:v>
                </c:pt>
                <c:pt idx="361">
                  <c:v>6.0564791465405974E-3</c:v>
                </c:pt>
                <c:pt idx="362">
                  <c:v>5.9734842665061048E-3</c:v>
                </c:pt>
                <c:pt idx="363">
                  <c:v>5.8811521371243524E-3</c:v>
                </c:pt>
                <c:pt idx="364">
                  <c:v>5.7798171275246042E-3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38056"/>
        <c:axId val="778338448"/>
      </c:lineChart>
      <c:dateAx>
        <c:axId val="778338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38448"/>
        <c:crosses val="autoZero"/>
        <c:auto val="1"/>
        <c:lblOffset val="100"/>
        <c:baseTimeUnit val="days"/>
        <c:majorUnit val="1"/>
        <c:majorTimeUnit val="months"/>
      </c:dateAx>
      <c:valAx>
        <c:axId val="7783384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38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23.519479506681339</c:v>
                </c:pt>
                <c:pt idx="1">
                  <c:v>23.66672832335783</c:v>
                </c:pt>
                <c:pt idx="2">
                  <c:v>23.823507498340675</c:v>
                </c:pt>
                <c:pt idx="3">
                  <c:v>23.989329734396552</c:v>
                </c:pt>
                <c:pt idx="4">
                  <c:v>24.163707765184615</c:v>
                </c:pt>
                <c:pt idx="5">
                  <c:v>24.346154352595246</c:v>
                </c:pt>
                <c:pt idx="6">
                  <c:v>24.536182302062837</c:v>
                </c:pt>
                <c:pt idx="7">
                  <c:v>24.733304471737476</c:v>
                </c:pt>
                <c:pt idx="8">
                  <c:v>24.940066843397773</c:v>
                </c:pt>
                <c:pt idx="9">
                  <c:v>25.158702849835485</c:v>
                </c:pt>
                <c:pt idx="10">
                  <c:v>25.388302211923936</c:v>
                </c:pt>
                <c:pt idx="11">
                  <c:v>25.628061029652354</c:v>
                </c:pt>
                <c:pt idx="12">
                  <c:v>25.87717559732252</c:v>
                </c:pt>
                <c:pt idx="13">
                  <c:v>26.134842427723065</c:v>
                </c:pt>
                <c:pt idx="14">
                  <c:v>26.400258255407273</c:v>
                </c:pt>
                <c:pt idx="15">
                  <c:v>26.672742576104906</c:v>
                </c:pt>
                <c:pt idx="16">
                  <c:v>26.951591055845821</c:v>
                </c:pt>
                <c:pt idx="17">
                  <c:v>27.236001052034716</c:v>
                </c:pt>
                <c:pt idx="18">
                  <c:v>27.525170180978382</c:v>
                </c:pt>
                <c:pt idx="19">
                  <c:v>27.818295710901154</c:v>
                </c:pt>
                <c:pt idx="20">
                  <c:v>28.114574914541212</c:v>
                </c:pt>
                <c:pt idx="21">
                  <c:v>28.41320583116217</c:v>
                </c:pt>
                <c:pt idx="22">
                  <c:v>28.717408654268482</c:v>
                </c:pt>
                <c:pt idx="23">
                  <c:v>29.030338459348748</c:v>
                </c:pt>
                <c:pt idx="24">
                  <c:v>29.351161562019261</c:v>
                </c:pt>
                <c:pt idx="25">
                  <c:v>29.678943739231251</c:v>
                </c:pt>
                <c:pt idx="26">
                  <c:v>30.012751127820362</c:v>
                </c:pt>
                <c:pt idx="27">
                  <c:v>30.351650234463548</c:v>
                </c:pt>
                <c:pt idx="28">
                  <c:v>30.694707931114674</c:v>
                </c:pt>
                <c:pt idx="29">
                  <c:v>31.0409313476219</c:v>
                </c:pt>
                <c:pt idx="30">
                  <c:v>31.389265800857636</c:v>
                </c:pt>
                <c:pt idx="31">
                  <c:v>31.738779275224491</c:v>
                </c:pt>
                <c:pt idx="32">
                  <c:v>32.088540109091291</c:v>
                </c:pt>
                <c:pt idx="33">
                  <c:v>32.437616985272435</c:v>
                </c:pt>
                <c:pt idx="34">
                  <c:v>32.785078933151595</c:v>
                </c:pt>
                <c:pt idx="35">
                  <c:v>33.129995324650864</c:v>
                </c:pt>
                <c:pt idx="36">
                  <c:v>33.473987867174628</c:v>
                </c:pt>
                <c:pt idx="37">
                  <c:v>33.819275949122705</c:v>
                </c:pt>
                <c:pt idx="38">
                  <c:v>34.165732408851845</c:v>
                </c:pt>
                <c:pt idx="39">
                  <c:v>34.513253753474537</c:v>
                </c:pt>
                <c:pt idx="40">
                  <c:v>34.861736535054071</c:v>
                </c:pt>
                <c:pt idx="41">
                  <c:v>35.211077347147175</c:v>
                </c:pt>
                <c:pt idx="42">
                  <c:v>35.561172820522337</c:v>
                </c:pt>
                <c:pt idx="43">
                  <c:v>35.911948744177693</c:v>
                </c:pt>
                <c:pt idx="44">
                  <c:v>36.263362091298212</c:v>
                </c:pt>
                <c:pt idx="45">
                  <c:v>36.615309658463225</c:v>
                </c:pt>
                <c:pt idx="46">
                  <c:v>36.967688272147349</c:v>
                </c:pt>
                <c:pt idx="47">
                  <c:v>37.320394783193336</c:v>
                </c:pt>
                <c:pt idx="48">
                  <c:v>37.673326064133214</c:v>
                </c:pt>
                <c:pt idx="49">
                  <c:v>38.026379004614824</c:v>
                </c:pt>
                <c:pt idx="50">
                  <c:v>38.379708850889308</c:v>
                </c:pt>
                <c:pt idx="51">
                  <c:v>38.733528263601933</c:v>
                </c:pt>
                <c:pt idx="52">
                  <c:v>39.087791091516259</c:v>
                </c:pt>
                <c:pt idx="53">
                  <c:v>39.442497741650421</c:v>
                </c:pt>
                <c:pt idx="54">
                  <c:v>39.797648252865827</c:v>
                </c:pt>
                <c:pt idx="55">
                  <c:v>40.153242622848786</c:v>
                </c:pt>
                <c:pt idx="56">
                  <c:v>40.50928080758397</c:v>
                </c:pt>
                <c:pt idx="57">
                  <c:v>40.865718505295128</c:v>
                </c:pt>
                <c:pt idx="58">
                  <c:v>41.222526294521323</c:v>
                </c:pt>
                <c:pt idx="59">
                  <c:v>41.579703940564698</c:v>
                </c:pt>
                <c:pt idx="60">
                  <c:v>41.937251170607063</c:v>
                </c:pt>
                <c:pt idx="61">
                  <c:v>42.295167674457986</c:v>
                </c:pt>
                <c:pt idx="62">
                  <c:v>42.653453106123798</c:v>
                </c:pt>
                <c:pt idx="63">
                  <c:v>43.012107083630276</c:v>
                </c:pt>
                <c:pt idx="64">
                  <c:v>43.372247352339876</c:v>
                </c:pt>
                <c:pt idx="65">
                  <c:v>43.734605767457282</c:v>
                </c:pt>
                <c:pt idx="66">
                  <c:v>44.098676660764227</c:v>
                </c:pt>
                <c:pt idx="67">
                  <c:v>44.463943128061175</c:v>
                </c:pt>
                <c:pt idx="68">
                  <c:v>44.829888394677305</c:v>
                </c:pt>
                <c:pt idx="69">
                  <c:v>45.195995814245755</c:v>
                </c:pt>
                <c:pt idx="70">
                  <c:v>45.561748866210806</c:v>
                </c:pt>
                <c:pt idx="71">
                  <c:v>45.926625750459536</c:v>
                </c:pt>
                <c:pt idx="72">
                  <c:v>46.290154686411221</c:v>
                </c:pt>
                <c:pt idx="73">
                  <c:v>46.651819597727794</c:v>
                </c:pt>
                <c:pt idx="74">
                  <c:v>47.01110453884462</c:v>
                </c:pt>
                <c:pt idx="75">
                  <c:v>47.3674936982517</c:v>
                </c:pt>
                <c:pt idx="76">
                  <c:v>47.720471393958512</c:v>
                </c:pt>
                <c:pt idx="77">
                  <c:v>48.069522074887352</c:v>
                </c:pt>
                <c:pt idx="78">
                  <c:v>48.417205951034866</c:v>
                </c:pt>
                <c:pt idx="79">
                  <c:v>48.76586717745257</c:v>
                </c:pt>
                <c:pt idx="80">
                  <c:v>49.114721900542449</c:v>
                </c:pt>
                <c:pt idx="81">
                  <c:v>49.462944653437475</c:v>
                </c:pt>
                <c:pt idx="82">
                  <c:v>49.809710227282558</c:v>
                </c:pt>
                <c:pt idx="83">
                  <c:v>50.154193673842343</c:v>
                </c:pt>
                <c:pt idx="84">
                  <c:v>50.495570308615356</c:v>
                </c:pt>
                <c:pt idx="85">
                  <c:v>50.833007002725118</c:v>
                </c:pt>
                <c:pt idx="86">
                  <c:v>51.165685097715198</c:v>
                </c:pt>
                <c:pt idx="87">
                  <c:v>51.492780694595986</c:v>
                </c:pt>
                <c:pt idx="88">
                  <c:v>51.813470171603967</c:v>
                </c:pt>
                <c:pt idx="89">
                  <c:v>52.126930180066992</c:v>
                </c:pt>
                <c:pt idx="90">
                  <c:v>52.432337654411569</c:v>
                </c:pt>
                <c:pt idx="91">
                  <c:v>52.72886981166441</c:v>
                </c:pt>
                <c:pt idx="92">
                  <c:v>53.017986663660359</c:v>
                </c:pt>
                <c:pt idx="93">
                  <c:v>53.301625554225652</c:v>
                </c:pt>
                <c:pt idx="94">
                  <c:v>53.579693117303577</c:v>
                </c:pt>
                <c:pt idx="95">
                  <c:v>53.852086889502104</c:v>
                </c:pt>
                <c:pt idx="96">
                  <c:v>54.118704454577589</c:v>
                </c:pt>
                <c:pt idx="97">
                  <c:v>54.379443445017799</c:v>
                </c:pt>
                <c:pt idx="98">
                  <c:v>54.634201541400692</c:v>
                </c:pt>
                <c:pt idx="99">
                  <c:v>54.882874715815262</c:v>
                </c:pt>
                <c:pt idx="100">
                  <c:v>55.125369939797295</c:v>
                </c:pt>
                <c:pt idx="101">
                  <c:v>55.361585179213932</c:v>
                </c:pt>
                <c:pt idx="102">
                  <c:v>55.591418466763599</c:v>
                </c:pt>
                <c:pt idx="103">
                  <c:v>55.81476791324004</c:v>
                </c:pt>
                <c:pt idx="104">
                  <c:v>56.031531702484585</c:v>
                </c:pt>
                <c:pt idx="105">
                  <c:v>56.241608100061349</c:v>
                </c:pt>
                <c:pt idx="106">
                  <c:v>56.445152550730143</c:v>
                </c:pt>
                <c:pt idx="107">
                  <c:v>56.642384892657155</c:v>
                </c:pt>
                <c:pt idx="108">
                  <c:v>56.833309140311499</c:v>
                </c:pt>
                <c:pt idx="109">
                  <c:v>57.017926504170504</c:v>
                </c:pt>
                <c:pt idx="110">
                  <c:v>57.196238207702123</c:v>
                </c:pt>
                <c:pt idx="111">
                  <c:v>57.368245528826591</c:v>
                </c:pt>
                <c:pt idx="112">
                  <c:v>57.533949841357135</c:v>
                </c:pt>
                <c:pt idx="113">
                  <c:v>57.693347680239604</c:v>
                </c:pt>
                <c:pt idx="114">
                  <c:v>57.846442398630629</c:v>
                </c:pt>
                <c:pt idx="115">
                  <c:v>57.993235474918293</c:v>
                </c:pt>
                <c:pt idx="116">
                  <c:v>58.133728451899508</c:v>
                </c:pt>
                <c:pt idx="117">
                  <c:v>58.267922936926922</c:v>
                </c:pt>
                <c:pt idx="118">
                  <c:v>58.395820608851373</c:v>
                </c:pt>
                <c:pt idx="119">
                  <c:v>58.51742320977101</c:v>
                </c:pt>
                <c:pt idx="120">
                  <c:v>58.631842485435193</c:v>
                </c:pt>
                <c:pt idx="121">
                  <c:v>58.738458308968156</c:v>
                </c:pt>
                <c:pt idx="122">
                  <c:v>58.83768835786433</c:v>
                </c:pt>
                <c:pt idx="123">
                  <c:v>58.929945638143352</c:v>
                </c:pt>
                <c:pt idx="124">
                  <c:v>59.015643077248107</c:v>
                </c:pt>
                <c:pt idx="125">
                  <c:v>59.095193513140579</c:v>
                </c:pt>
                <c:pt idx="126">
                  <c:v>59.169009700400693</c:v>
                </c:pt>
                <c:pt idx="127">
                  <c:v>59.237505357053479</c:v>
                </c:pt>
                <c:pt idx="128">
                  <c:v>59.301098817624407</c:v>
                </c:pt>
                <c:pt idx="129">
                  <c:v>59.3602028035355</c:v>
                </c:pt>
                <c:pt idx="130">
                  <c:v>59.415229954365849</c:v>
                </c:pt>
                <c:pt idx="131">
                  <c:v>59.46659282969609</c:v>
                </c:pt>
                <c:pt idx="132">
                  <c:v>59.514703902511357</c:v>
                </c:pt>
                <c:pt idx="133">
                  <c:v>59.559975558089413</c:v>
                </c:pt>
                <c:pt idx="134">
                  <c:v>59.601350180054183</c:v>
                </c:pt>
                <c:pt idx="135">
                  <c:v>59.637635127943533</c:v>
                </c:pt>
                <c:pt idx="136">
                  <c:v>59.669045728378144</c:v>
                </c:pt>
                <c:pt idx="137">
                  <c:v>59.69579029733228</c:v>
                </c:pt>
                <c:pt idx="138">
                  <c:v>59.718077141688468</c:v>
                </c:pt>
                <c:pt idx="139">
                  <c:v>59.736114558098983</c:v>
                </c:pt>
                <c:pt idx="140">
                  <c:v>59.750110829169024</c:v>
                </c:pt>
                <c:pt idx="141">
                  <c:v>59.760269739382601</c:v>
                </c:pt>
                <c:pt idx="142">
                  <c:v>59.766798181903205</c:v>
                </c:pt>
                <c:pt idx="143">
                  <c:v>59.769904195987195</c:v>
                </c:pt>
                <c:pt idx="144">
                  <c:v>59.769795713539978</c:v>
                </c:pt>
                <c:pt idx="145">
                  <c:v>59.766680616684354</c:v>
                </c:pt>
                <c:pt idx="146">
                  <c:v>59.76076672588195</c:v>
                </c:pt>
                <c:pt idx="147">
                  <c:v>59.752261792963459</c:v>
                </c:pt>
                <c:pt idx="148">
                  <c:v>59.739974061648276</c:v>
                </c:pt>
                <c:pt idx="149">
                  <c:v>59.722847817422142</c:v>
                </c:pt>
                <c:pt idx="150">
                  <c:v>59.70129484677507</c:v>
                </c:pt>
                <c:pt idx="151">
                  <c:v>59.675728015663246</c:v>
                </c:pt>
                <c:pt idx="152">
                  <c:v>59.646559993046324</c:v>
                </c:pt>
                <c:pt idx="153">
                  <c:v>59.614203242220874</c:v>
                </c:pt>
                <c:pt idx="154">
                  <c:v>59.579070010823095</c:v>
                </c:pt>
                <c:pt idx="155">
                  <c:v>59.541566724670197</c:v>
                </c:pt>
                <c:pt idx="156">
                  <c:v>59.502110280401396</c:v>
                </c:pt>
                <c:pt idx="157">
                  <c:v>59.461112236802279</c:v>
                </c:pt>
                <c:pt idx="158">
                  <c:v>59.418983911089484</c:v>
                </c:pt>
                <c:pt idx="159">
                  <c:v>59.376136376004325</c:v>
                </c:pt>
                <c:pt idx="160">
                  <c:v>59.332980453104724</c:v>
                </c:pt>
                <c:pt idx="161">
                  <c:v>59.289926708971137</c:v>
                </c:pt>
                <c:pt idx="162">
                  <c:v>59.246362996967477</c:v>
                </c:pt>
                <c:pt idx="163">
                  <c:v>59.201400190326702</c:v>
                </c:pt>
                <c:pt idx="164">
                  <c:v>59.15504091916754</c:v>
                </c:pt>
                <c:pt idx="165">
                  <c:v>59.107286590802488</c:v>
                </c:pt>
                <c:pt idx="166">
                  <c:v>59.058138504689232</c:v>
                </c:pt>
                <c:pt idx="167">
                  <c:v>59.00759784633324</c:v>
                </c:pt>
                <c:pt idx="168">
                  <c:v>58.955665687624368</c:v>
                </c:pt>
                <c:pt idx="169">
                  <c:v>58.902338257746514</c:v>
                </c:pt>
                <c:pt idx="170">
                  <c:v>58.847622636816524</c:v>
                </c:pt>
                <c:pt idx="171">
                  <c:v>58.791519573438904</c:v>
                </c:pt>
                <c:pt idx="172">
                  <c:v>58.734029693450879</c:v>
                </c:pt>
                <c:pt idx="173">
                  <c:v>58.675153587670948</c:v>
                </c:pt>
                <c:pt idx="174">
                  <c:v>58.614891733099761</c:v>
                </c:pt>
                <c:pt idx="175">
                  <c:v>58.553244406532585</c:v>
                </c:pt>
                <c:pt idx="176">
                  <c:v>58.490211771351817</c:v>
                </c:pt>
                <c:pt idx="177">
                  <c:v>58.425787268243553</c:v>
                </c:pt>
                <c:pt idx="178">
                  <c:v>58.359975722022568</c:v>
                </c:pt>
                <c:pt idx="179">
                  <c:v>58.292776949567632</c:v>
                </c:pt>
                <c:pt idx="180">
                  <c:v>58.224190669257275</c:v>
                </c:pt>
                <c:pt idx="181">
                  <c:v>58.154216507725309</c:v>
                </c:pt>
                <c:pt idx="182">
                  <c:v>58.08285400311906</c:v>
                </c:pt>
                <c:pt idx="183">
                  <c:v>58.010101327933242</c:v>
                </c:pt>
                <c:pt idx="184">
                  <c:v>57.935962959282193</c:v>
                </c:pt>
                <c:pt idx="185">
                  <c:v>57.86043825111436</c:v>
                </c:pt>
                <c:pt idx="186">
                  <c:v>57.783526493039922</c:v>
                </c:pt>
                <c:pt idx="187">
                  <c:v>57.705226914748749</c:v>
                </c:pt>
                <c:pt idx="188">
                  <c:v>57.625538696609006</c:v>
                </c:pt>
                <c:pt idx="189">
                  <c:v>57.544460974532505</c:v>
                </c:pt>
                <c:pt idx="190">
                  <c:v>57.462434746636816</c:v>
                </c:pt>
                <c:pt idx="191">
                  <c:v>57.379758376038666</c:v>
                </c:pt>
                <c:pt idx="192">
                  <c:v>57.296233732992164</c:v>
                </c:pt>
                <c:pt idx="193">
                  <c:v>57.211655825061769</c:v>
                </c:pt>
                <c:pt idx="194">
                  <c:v>57.125819723896839</c:v>
                </c:pt>
                <c:pt idx="195">
                  <c:v>57.038520571026723</c:v>
                </c:pt>
                <c:pt idx="196">
                  <c:v>56.949553583913037</c:v>
                </c:pt>
                <c:pt idx="197">
                  <c:v>56.858715479888502</c:v>
                </c:pt>
                <c:pt idx="198">
                  <c:v>56.76580297631628</c:v>
                </c:pt>
                <c:pt idx="199">
                  <c:v>56.670611555163795</c:v>
                </c:pt>
                <c:pt idx="200">
                  <c:v>56.572936794519187</c:v>
                </c:pt>
                <c:pt idx="201">
                  <c:v>56.472574371940858</c:v>
                </c:pt>
                <c:pt idx="202">
                  <c:v>56.369320073027708</c:v>
                </c:pt>
                <c:pt idx="203">
                  <c:v>56.262969792040209</c:v>
                </c:pt>
                <c:pt idx="204">
                  <c:v>56.153828855127934</c:v>
                </c:pt>
                <c:pt idx="205">
                  <c:v>56.042340021766591</c:v>
                </c:pt>
                <c:pt idx="206">
                  <c:v>55.928509625280576</c:v>
                </c:pt>
                <c:pt idx="207">
                  <c:v>55.812337414745826</c:v>
                </c:pt>
                <c:pt idx="208">
                  <c:v>55.693823194775412</c:v>
                </c:pt>
                <c:pt idx="209">
                  <c:v>55.572966830505358</c:v>
                </c:pt>
                <c:pt idx="210">
                  <c:v>55.449768246151223</c:v>
                </c:pt>
                <c:pt idx="211">
                  <c:v>55.324215772021837</c:v>
                </c:pt>
                <c:pt idx="212">
                  <c:v>55.196308034719536</c:v>
                </c:pt>
                <c:pt idx="213">
                  <c:v>55.06604512302772</c:v>
                </c:pt>
                <c:pt idx="214">
                  <c:v>54.933427185937383</c:v>
                </c:pt>
                <c:pt idx="215">
                  <c:v>54.798454432576023</c:v>
                </c:pt>
                <c:pt idx="216">
                  <c:v>54.661127131807945</c:v>
                </c:pt>
                <c:pt idx="217">
                  <c:v>54.521445607057416</c:v>
                </c:pt>
                <c:pt idx="218">
                  <c:v>54.379851140146926</c:v>
                </c:pt>
                <c:pt idx="219">
                  <c:v>54.236638862995918</c:v>
                </c:pt>
                <c:pt idx="220">
                  <c:v>54.091603930477881</c:v>
                </c:pt>
                <c:pt idx="221">
                  <c:v>53.9445432810829</c:v>
                </c:pt>
                <c:pt idx="222">
                  <c:v>53.795253959001649</c:v>
                </c:pt>
                <c:pt idx="223">
                  <c:v>53.643533114305384</c:v>
                </c:pt>
                <c:pt idx="224">
                  <c:v>53.489177997423738</c:v>
                </c:pt>
                <c:pt idx="225">
                  <c:v>53.331977471699645</c:v>
                </c:pt>
                <c:pt idx="226">
                  <c:v>53.171740702000065</c:v>
                </c:pt>
                <c:pt idx="227">
                  <c:v>53.008265227329026</c:v>
                </c:pt>
                <c:pt idx="228">
                  <c:v>52.841348673484326</c:v>
                </c:pt>
                <c:pt idx="229">
                  <c:v>52.670788750036927</c:v>
                </c:pt>
                <c:pt idx="230">
                  <c:v>52.496383251854141</c:v>
                </c:pt>
                <c:pt idx="231">
                  <c:v>52.317930049660042</c:v>
                </c:pt>
                <c:pt idx="232">
                  <c:v>52.13573529321706</c:v>
                </c:pt>
                <c:pt idx="233">
                  <c:v>51.950235886504174</c:v>
                </c:pt>
                <c:pt idx="234">
                  <c:v>51.76144335553478</c:v>
                </c:pt>
                <c:pt idx="235">
                  <c:v>51.569358779882791</c:v>
                </c:pt>
                <c:pt idx="236">
                  <c:v>51.373983240153059</c:v>
                </c:pt>
                <c:pt idx="237">
                  <c:v>51.17531784688714</c:v>
                </c:pt>
                <c:pt idx="238">
                  <c:v>50.973363719938384</c:v>
                </c:pt>
                <c:pt idx="239">
                  <c:v>50.768114147607264</c:v>
                </c:pt>
                <c:pt idx="240">
                  <c:v>50.559578726403345</c:v>
                </c:pt>
                <c:pt idx="241">
                  <c:v>50.3477586029788</c:v>
                </c:pt>
                <c:pt idx="242">
                  <c:v>50.132654940935502</c:v>
                </c:pt>
                <c:pt idx="243">
                  <c:v>49.914268916710974</c:v>
                </c:pt>
                <c:pt idx="244">
                  <c:v>49.692601723457926</c:v>
                </c:pt>
                <c:pt idx="245">
                  <c:v>49.467654569780258</c:v>
                </c:pt>
                <c:pt idx="246">
                  <c:v>49.239428685791601</c:v>
                </c:pt>
                <c:pt idx="247">
                  <c:v>49.007905074439449</c:v>
                </c:pt>
                <c:pt idx="248">
                  <c:v>48.773089712899967</c:v>
                </c:pt>
                <c:pt idx="249">
                  <c:v>48.534983947005365</c:v>
                </c:pt>
                <c:pt idx="250">
                  <c:v>48.293589153929624</c:v>
                </c:pt>
                <c:pt idx="251">
                  <c:v>48.048906739020175</c:v>
                </c:pt>
                <c:pt idx="252">
                  <c:v>47.800938138441133</c:v>
                </c:pt>
                <c:pt idx="253">
                  <c:v>47.549663393661</c:v>
                </c:pt>
                <c:pt idx="254">
                  <c:v>47.295091847612156</c:v>
                </c:pt>
                <c:pt idx="255">
                  <c:v>47.037225102750334</c:v>
                </c:pt>
                <c:pt idx="256">
                  <c:v>46.776064799234668</c:v>
                </c:pt>
                <c:pt idx="257">
                  <c:v>46.511612614861633</c:v>
                </c:pt>
                <c:pt idx="258">
                  <c:v>46.243870263237142</c:v>
                </c:pt>
                <c:pt idx="259">
                  <c:v>45.972839497046039</c:v>
                </c:pt>
                <c:pt idx="260">
                  <c:v>45.69830231849825</c:v>
                </c:pt>
                <c:pt idx="261">
                  <c:v>45.420093481232549</c:v>
                </c:pt>
                <c:pt idx="262">
                  <c:v>45.138336190505434</c:v>
                </c:pt>
                <c:pt idx="263">
                  <c:v>44.853133758639871</c:v>
                </c:pt>
                <c:pt idx="264">
                  <c:v>44.564589490651038</c:v>
                </c:pt>
                <c:pt idx="265">
                  <c:v>44.272806369776781</c:v>
                </c:pt>
                <c:pt idx="266">
                  <c:v>43.97788749347005</c:v>
                </c:pt>
                <c:pt idx="267">
                  <c:v>43.679828149965374</c:v>
                </c:pt>
                <c:pt idx="268">
                  <c:v>43.378753316502596</c:v>
                </c:pt>
                <c:pt idx="269">
                  <c:v>43.07476709580903</c:v>
                </c:pt>
                <c:pt idx="270">
                  <c:v>42.767973632067452</c:v>
                </c:pt>
                <c:pt idx="271">
                  <c:v>42.458477114298908</c:v>
                </c:pt>
                <c:pt idx="272">
                  <c:v>42.146381768698589</c:v>
                </c:pt>
                <c:pt idx="273">
                  <c:v>41.831791860028908</c:v>
                </c:pt>
                <c:pt idx="274">
                  <c:v>41.513240738386003</c:v>
                </c:pt>
                <c:pt idx="275">
                  <c:v>41.189506429819772</c:v>
                </c:pt>
                <c:pt idx="276">
                  <c:v>40.861215900362438</c:v>
                </c:pt>
                <c:pt idx="277">
                  <c:v>40.528981629184784</c:v>
                </c:pt>
                <c:pt idx="278">
                  <c:v>40.193416060153226</c:v>
                </c:pt>
                <c:pt idx="279">
                  <c:v>39.855131604532232</c:v>
                </c:pt>
                <c:pt idx="280">
                  <c:v>39.514740634700232</c:v>
                </c:pt>
                <c:pt idx="281">
                  <c:v>39.172849175051006</c:v>
                </c:pt>
                <c:pt idx="282">
                  <c:v>38.83017135023762</c:v>
                </c:pt>
                <c:pt idx="283">
                  <c:v>38.487317842795456</c:v>
                </c:pt>
                <c:pt idx="284">
                  <c:v>38.144899170804067</c:v>
                </c:pt>
                <c:pt idx="285">
                  <c:v>37.803525681357172</c:v>
                </c:pt>
                <c:pt idx="286">
                  <c:v>37.463807540192214</c:v>
                </c:pt>
                <c:pt idx="287">
                  <c:v>37.126354722262391</c:v>
                </c:pt>
                <c:pt idx="288">
                  <c:v>36.789160634053665</c:v>
                </c:pt>
                <c:pt idx="289">
                  <c:v>36.450208951732407</c:v>
                </c:pt>
                <c:pt idx="290">
                  <c:v>36.110093323094141</c:v>
                </c:pt>
                <c:pt idx="291">
                  <c:v>35.769319181035144</c:v>
                </c:pt>
                <c:pt idx="292">
                  <c:v>35.428391577760159</c:v>
                </c:pt>
                <c:pt idx="293">
                  <c:v>35.087815182714124</c:v>
                </c:pt>
                <c:pt idx="294">
                  <c:v>34.748094283527038</c:v>
                </c:pt>
                <c:pt idx="295">
                  <c:v>34.409807703403708</c:v>
                </c:pt>
                <c:pt idx="296">
                  <c:v>34.073461056321854</c:v>
                </c:pt>
                <c:pt idx="297">
                  <c:v>33.739554152515261</c:v>
                </c:pt>
                <c:pt idx="298">
                  <c:v>33.408587549588582</c:v>
                </c:pt>
                <c:pt idx="299">
                  <c:v>33.081061427267393</c:v>
                </c:pt>
                <c:pt idx="300">
                  <c:v>32.757475608849973</c:v>
                </c:pt>
                <c:pt idx="301">
                  <c:v>32.43832958129223</c:v>
                </c:pt>
                <c:pt idx="302">
                  <c:v>32.122199338877607</c:v>
                </c:pt>
                <c:pt idx="303">
                  <c:v>31.807402493708093</c:v>
                </c:pt>
                <c:pt idx="304">
                  <c:v>31.494188358331137</c:v>
                </c:pt>
                <c:pt idx="305">
                  <c:v>31.1828582769242</c:v>
                </c:pt>
                <c:pt idx="306">
                  <c:v>30.873713408155908</c:v>
                </c:pt>
                <c:pt idx="307">
                  <c:v>30.567054734612977</c:v>
                </c:pt>
                <c:pt idx="308">
                  <c:v>30.263183072564107</c:v>
                </c:pt>
                <c:pt idx="309">
                  <c:v>29.962465437317906</c:v>
                </c:pt>
                <c:pt idx="310">
                  <c:v>29.665135110948199</c:v>
                </c:pt>
                <c:pt idx="311">
                  <c:v>29.371492467475175</c:v>
                </c:pt>
                <c:pt idx="312">
                  <c:v>29.081837753749195</c:v>
                </c:pt>
                <c:pt idx="313">
                  <c:v>28.796471101922695</c:v>
                </c:pt>
                <c:pt idx="314">
                  <c:v>28.515692538438085</c:v>
                </c:pt>
                <c:pt idx="315">
                  <c:v>28.239801998237816</c:v>
                </c:pt>
                <c:pt idx="316">
                  <c:v>27.96724464212749</c:v>
                </c:pt>
                <c:pt idx="317">
                  <c:v>27.696788447312951</c:v>
                </c:pt>
                <c:pt idx="318">
                  <c:v>27.429037212436953</c:v>
                </c:pt>
                <c:pt idx="319">
                  <c:v>27.164485151313571</c:v>
                </c:pt>
                <c:pt idx="320">
                  <c:v>26.903626782511648</c:v>
                </c:pt>
                <c:pt idx="321">
                  <c:v>26.64695698068607</c:v>
                </c:pt>
                <c:pt idx="322">
                  <c:v>26.394971007881214</c:v>
                </c:pt>
                <c:pt idx="323">
                  <c:v>26.148007590663365</c:v>
                </c:pt>
                <c:pt idx="324">
                  <c:v>25.906509489588856</c:v>
                </c:pt>
                <c:pt idx="325">
                  <c:v>25.670978718992778</c:v>
                </c:pt>
                <c:pt idx="326">
                  <c:v>25.441918518601025</c:v>
                </c:pt>
                <c:pt idx="327">
                  <c:v>25.219831579075578</c:v>
                </c:pt>
                <c:pt idx="328">
                  <c:v>25.005219879746605</c:v>
                </c:pt>
                <c:pt idx="329">
                  <c:v>24.798585574355563</c:v>
                </c:pt>
                <c:pt idx="330">
                  <c:v>24.59785286940393</c:v>
                </c:pt>
                <c:pt idx="331">
                  <c:v>24.40092496257553</c:v>
                </c:pt>
                <c:pt idx="332">
                  <c:v>24.208243131284704</c:v>
                </c:pt>
                <c:pt idx="333">
                  <c:v>24.020417179327882</c:v>
                </c:pt>
                <c:pt idx="334">
                  <c:v>23.838056593408712</c:v>
                </c:pt>
                <c:pt idx="335">
                  <c:v>23.661770538041424</c:v>
                </c:pt>
                <c:pt idx="336">
                  <c:v>23.492167849827609</c:v>
                </c:pt>
                <c:pt idx="337">
                  <c:v>23.330000605865795</c:v>
                </c:pt>
                <c:pt idx="338">
                  <c:v>23.176015348802306</c:v>
                </c:pt>
                <c:pt idx="339">
                  <c:v>23.030815593765407</c:v>
                </c:pt>
                <c:pt idx="340">
                  <c:v>22.895005035325081</c:v>
                </c:pt>
                <c:pt idx="341">
                  <c:v>22.769187517117786</c:v>
                </c:pt>
                <c:pt idx="342">
                  <c:v>22.653967011446284</c:v>
                </c:pt>
                <c:pt idx="343">
                  <c:v>22.549947613869765</c:v>
                </c:pt>
                <c:pt idx="344">
                  <c:v>22.455178044729884</c:v>
                </c:pt>
                <c:pt idx="345">
                  <c:v>22.367623646454842</c:v>
                </c:pt>
                <c:pt idx="346">
                  <c:v>22.28791019139074</c:v>
                </c:pt>
                <c:pt idx="347">
                  <c:v>22.216515530366095</c:v>
                </c:pt>
                <c:pt idx="348">
                  <c:v>22.153917781631609</c:v>
                </c:pt>
                <c:pt idx="349">
                  <c:v>22.100595294521604</c:v>
                </c:pt>
                <c:pt idx="350">
                  <c:v>22.057026591831004</c:v>
                </c:pt>
                <c:pt idx="351">
                  <c:v>22.023753722413481</c:v>
                </c:pt>
                <c:pt idx="352">
                  <c:v>22.001119251614849</c:v>
                </c:pt>
                <c:pt idx="353">
                  <c:v>21.989602484084223</c:v>
                </c:pt>
                <c:pt idx="354">
                  <c:v>21.989682678508551</c:v>
                </c:pt>
                <c:pt idx="355">
                  <c:v>22.001839027342719</c:v>
                </c:pt>
                <c:pt idx="356">
                  <c:v>22.02655112243648</c:v>
                </c:pt>
                <c:pt idx="357">
                  <c:v>22.064297702863545</c:v>
                </c:pt>
                <c:pt idx="358">
                  <c:v>22.115463049840429</c:v>
                </c:pt>
                <c:pt idx="359">
                  <c:v>22.179796273244648</c:v>
                </c:pt>
                <c:pt idx="360">
                  <c:v>22.256958760136353</c:v>
                </c:pt>
                <c:pt idx="361">
                  <c:v>22.346414760349493</c:v>
                </c:pt>
                <c:pt idx="362">
                  <c:v>22.447691267790375</c:v>
                </c:pt>
                <c:pt idx="363">
                  <c:v>22.560315312814971</c:v>
                </c:pt>
                <c:pt idx="364">
                  <c:v>22.683813961825464</c:v>
                </c:pt>
                <c:pt idx="365">
                  <c:v>23.1016467342534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23.928863951533579</c:v>
                </c:pt>
                <c:pt idx="1">
                  <c:v>16.50320181817856</c:v>
                </c:pt>
                <c:pt idx="2">
                  <c:v>17.819551735602118</c:v>
                </c:pt>
                <c:pt idx="3">
                  <c:v>18.935630611773632</c:v>
                </c:pt>
                <c:pt idx="4">
                  <c:v>14.974413286219781</c:v>
                </c:pt>
                <c:pt idx="5">
                  <c:v>21.488514906969197</c:v>
                </c:pt>
                <c:pt idx="6">
                  <c:v>10.537416178505362</c:v>
                </c:pt>
                <c:pt idx="7">
                  <c:v>7.4993927847696655</c:v>
                </c:pt>
                <c:pt idx="8">
                  <c:v>2.2389382072847801</c:v>
                </c:pt>
                <c:pt idx="9">
                  <c:v>1.8361007929364559</c:v>
                </c:pt>
                <c:pt idx="10">
                  <c:v>25.738698068359746</c:v>
                </c:pt>
                <c:pt idx="11">
                  <c:v>22.374056257046391</c:v>
                </c:pt>
                <c:pt idx="12">
                  <c:v>5.7354245163808608</c:v>
                </c:pt>
                <c:pt idx="13">
                  <c:v>27.217576854074185</c:v>
                </c:pt>
                <c:pt idx="14">
                  <c:v>27.536912054615989</c:v>
                </c:pt>
                <c:pt idx="15">
                  <c:v>26.940647664430394</c:v>
                </c:pt>
                <c:pt idx="16">
                  <c:v>12.440264235007305</c:v>
                </c:pt>
                <c:pt idx="17">
                  <c:v>3.9519900576282909</c:v>
                </c:pt>
                <c:pt idx="18">
                  <c:v>10.782969082576079</c:v>
                </c:pt>
                <c:pt idx="19">
                  <c:v>6.7527561804893015</c:v>
                </c:pt>
                <c:pt idx="20">
                  <c:v>21.529728374479539</c:v>
                </c:pt>
                <c:pt idx="21">
                  <c:v>28.738879679648861</c:v>
                </c:pt>
                <c:pt idx="22">
                  <c:v>28.866128283668886</c:v>
                </c:pt>
                <c:pt idx="23">
                  <c:v>29.425752669952786</c:v>
                </c:pt>
                <c:pt idx="24">
                  <c:v>28.453399920709661</c:v>
                </c:pt>
                <c:pt idx="25">
                  <c:v>29.145784970176575</c:v>
                </c:pt>
                <c:pt idx="26">
                  <c:v>27.850718128911925</c:v>
                </c:pt>
                <c:pt idx="27">
                  <c:v>4.4013874147089806</c:v>
                </c:pt>
                <c:pt idx="28">
                  <c:v>9.2898631025091181</c:v>
                </c:pt>
                <c:pt idx="29">
                  <c:v>4.797620705355631</c:v>
                </c:pt>
                <c:pt idx="30">
                  <c:v>7.9556080924618122</c:v>
                </c:pt>
                <c:pt idx="31">
                  <c:v>13.20205309772369</c:v>
                </c:pt>
                <c:pt idx="32">
                  <c:v>5.5733192254363448</c:v>
                </c:pt>
                <c:pt idx="33">
                  <c:v>10.938108755295426</c:v>
                </c:pt>
                <c:pt idx="34">
                  <c:v>10.773435278518482</c:v>
                </c:pt>
                <c:pt idx="35">
                  <c:v>9.4667926826088209</c:v>
                </c:pt>
                <c:pt idx="36">
                  <c:v>22.055126263171573</c:v>
                </c:pt>
                <c:pt idx="37">
                  <c:v>9.2950474306426631</c:v>
                </c:pt>
                <c:pt idx="38">
                  <c:v>34.472019357584507</c:v>
                </c:pt>
                <c:pt idx="39">
                  <c:v>34.766745309734738</c:v>
                </c:pt>
                <c:pt idx="40">
                  <c:v>32.421886751910414</c:v>
                </c:pt>
                <c:pt idx="41">
                  <c:v>17.960211392058902</c:v>
                </c:pt>
                <c:pt idx="42">
                  <c:v>27.521592380963433</c:v>
                </c:pt>
                <c:pt idx="43">
                  <c:v>33.671407268677591</c:v>
                </c:pt>
                <c:pt idx="44">
                  <c:v>15.807812031665932</c:v>
                </c:pt>
                <c:pt idx="45">
                  <c:v>19.065833996723221</c:v>
                </c:pt>
                <c:pt idx="46">
                  <c:v>9.3779744297851515</c:v>
                </c:pt>
                <c:pt idx="47">
                  <c:v>11.683853519010068</c:v>
                </c:pt>
                <c:pt idx="48">
                  <c:v>30.163111459286004</c:v>
                </c:pt>
                <c:pt idx="49">
                  <c:v>20.466396467874869</c:v>
                </c:pt>
                <c:pt idx="50">
                  <c:v>20.342558843565712</c:v>
                </c:pt>
                <c:pt idx="51">
                  <c:v>22.522497745960557</c:v>
                </c:pt>
                <c:pt idx="52">
                  <c:v>34.417580508299935</c:v>
                </c:pt>
                <c:pt idx="53">
                  <c:v>36.166291264456063</c:v>
                </c:pt>
                <c:pt idx="54">
                  <c:v>22.512806404943206</c:v>
                </c:pt>
                <c:pt idx="55">
                  <c:v>32.238623377800245</c:v>
                </c:pt>
                <c:pt idx="56">
                  <c:v>40.858860728606452</c:v>
                </c:pt>
                <c:pt idx="57">
                  <c:v>29.206468859705822</c:v>
                </c:pt>
                <c:pt idx="58">
                  <c:v>35.259439694023484</c:v>
                </c:pt>
                <c:pt idx="59">
                  <c:v>40.909146343591132</c:v>
                </c:pt>
                <c:pt idx="60">
                  <c:v>11.919980047484199</c:v>
                </c:pt>
                <c:pt idx="61">
                  <c:v>36.575305066489342</c:v>
                </c:pt>
                <c:pt idx="62">
                  <c:v>3.9303046729634832</c:v>
                </c:pt>
                <c:pt idx="63">
                  <c:v>13.5331611161093</c:v>
                </c:pt>
                <c:pt idx="64">
                  <c:v>16.315879996173255</c:v>
                </c:pt>
                <c:pt idx="65">
                  <c:v>40.191476143437868</c:v>
                </c:pt>
                <c:pt idx="66">
                  <c:v>32.755561862314075</c:v>
                </c:pt>
                <c:pt idx="67">
                  <c:v>31.935381426384048</c:v>
                </c:pt>
                <c:pt idx="68">
                  <c:v>25.422286818190063</c:v>
                </c:pt>
                <c:pt idx="69">
                  <c:v>15.766491857526354</c:v>
                </c:pt>
                <c:pt idx="70">
                  <c:v>16.409918518416411</c:v>
                </c:pt>
                <c:pt idx="71">
                  <c:v>9.2017210040824491</c:v>
                </c:pt>
                <c:pt idx="72">
                  <c:v>14.82611791666587</c:v>
                </c:pt>
                <c:pt idx="73">
                  <c:v>14.112077265757289</c:v>
                </c:pt>
                <c:pt idx="74">
                  <c:v>14.084064516354333</c:v>
                </c:pt>
                <c:pt idx="75">
                  <c:v>11.828412117247689</c:v>
                </c:pt>
                <c:pt idx="76">
                  <c:v>15.291406093507442</c:v>
                </c:pt>
                <c:pt idx="77">
                  <c:v>29.215262713105144</c:v>
                </c:pt>
                <c:pt idx="78">
                  <c:v>32.440132492676163</c:v>
                </c:pt>
                <c:pt idx="79">
                  <c:v>45.921143448065855</c:v>
                </c:pt>
                <c:pt idx="80">
                  <c:v>43.597765153562591</c:v>
                </c:pt>
                <c:pt idx="81">
                  <c:v>49.694029253562363</c:v>
                </c:pt>
                <c:pt idx="82">
                  <c:v>48.877848528803526</c:v>
                </c:pt>
                <c:pt idx="83">
                  <c:v>43.497101962416679</c:v>
                </c:pt>
                <c:pt idx="84">
                  <c:v>48.150203108116564</c:v>
                </c:pt>
                <c:pt idx="85">
                  <c:v>46.551588893775467</c:v>
                </c:pt>
                <c:pt idx="86">
                  <c:v>14.990240058947977</c:v>
                </c:pt>
                <c:pt idx="87">
                  <c:v>28.770687172500136</c:v>
                </c:pt>
                <c:pt idx="88">
                  <c:v>8.0670029577810549</c:v>
                </c:pt>
                <c:pt idx="89">
                  <c:v>28.733913535030887</c:v>
                </c:pt>
                <c:pt idx="90">
                  <c:v>33.647737035297425</c:v>
                </c:pt>
                <c:pt idx="91">
                  <c:v>21.005331078628313</c:v>
                </c:pt>
                <c:pt idx="92">
                  <c:v>23.368817051391808</c:v>
                </c:pt>
                <c:pt idx="93">
                  <c:v>47.041797234076064</c:v>
                </c:pt>
                <c:pt idx="94">
                  <c:v>53.9805816294013</c:v>
                </c:pt>
                <c:pt idx="95">
                  <c:v>11.684493054968636</c:v>
                </c:pt>
                <c:pt idx="96">
                  <c:v>39.224165392062339</c:v>
                </c:pt>
                <c:pt idx="97">
                  <c:v>31.867028810326634</c:v>
                </c:pt>
                <c:pt idx="98">
                  <c:v>37.386416651394221</c:v>
                </c:pt>
                <c:pt idx="99">
                  <c:v>54.668844243522912</c:v>
                </c:pt>
                <c:pt idx="100">
                  <c:v>45.310163294793924</c:v>
                </c:pt>
                <c:pt idx="101">
                  <c:v>38.698645379052614</c:v>
                </c:pt>
                <c:pt idx="102">
                  <c:v>8.2699519531295973</c:v>
                </c:pt>
                <c:pt idx="103">
                  <c:v>41.858147648320717</c:v>
                </c:pt>
                <c:pt idx="104">
                  <c:v>45.676180991241679</c:v>
                </c:pt>
                <c:pt idx="105">
                  <c:v>47.392261776811168</c:v>
                </c:pt>
                <c:pt idx="106">
                  <c:v>55.625417125791174</c:v>
                </c:pt>
                <c:pt idx="107">
                  <c:v>41.149541149504671</c:v>
                </c:pt>
                <c:pt idx="108">
                  <c:v>9.6189677102979871</c:v>
                </c:pt>
                <c:pt idx="109">
                  <c:v>10.035719501440157</c:v>
                </c:pt>
                <c:pt idx="110">
                  <c:v>9.6602959432078563</c:v>
                </c:pt>
                <c:pt idx="111">
                  <c:v>28.0774885439074</c:v>
                </c:pt>
                <c:pt idx="112">
                  <c:v>9.3510578770390183</c:v>
                </c:pt>
                <c:pt idx="113">
                  <c:v>32.312593129791374</c:v>
                </c:pt>
                <c:pt idx="114">
                  <c:v>48.903648923551586</c:v>
                </c:pt>
                <c:pt idx="115">
                  <c:v>56.069536075501773</c:v>
                </c:pt>
                <c:pt idx="116">
                  <c:v>40.70167366292673</c:v>
                </c:pt>
                <c:pt idx="117">
                  <c:v>24.524789112707751</c:v>
                </c:pt>
                <c:pt idx="118">
                  <c:v>44.853685300726184</c:v>
                </c:pt>
                <c:pt idx="119">
                  <c:v>47.480559446183356</c:v>
                </c:pt>
                <c:pt idx="120">
                  <c:v>48.042247210319807</c:v>
                </c:pt>
                <c:pt idx="121">
                  <c:v>28.542843601180344</c:v>
                </c:pt>
                <c:pt idx="122">
                  <c:v>39.839442344114218</c:v>
                </c:pt>
                <c:pt idx="123">
                  <c:v>21.57358944110263</c:v>
                </c:pt>
                <c:pt idx="124">
                  <c:v>44.254830118116118</c:v>
                </c:pt>
                <c:pt idx="125">
                  <c:v>38.835567813841131</c:v>
                </c:pt>
                <c:pt idx="126">
                  <c:v>53.130549138709185</c:v>
                </c:pt>
                <c:pt idx="127">
                  <c:v>48.992654687323309</c:v>
                </c:pt>
                <c:pt idx="128">
                  <c:v>56.258884360048576</c:v>
                </c:pt>
                <c:pt idx="129">
                  <c:v>52.552258867160774</c:v>
                </c:pt>
                <c:pt idx="130">
                  <c:v>56.66864167142122</c:v>
                </c:pt>
                <c:pt idx="131">
                  <c:v>42.250018351031549</c:v>
                </c:pt>
                <c:pt idx="132">
                  <c:v>44.254141039947058</c:v>
                </c:pt>
                <c:pt idx="133">
                  <c:v>50.428577793390559</c:v>
                </c:pt>
                <c:pt idx="134">
                  <c:v>53.068151710820814</c:v>
                </c:pt>
                <c:pt idx="135">
                  <c:v>51.480333363345324</c:v>
                </c:pt>
                <c:pt idx="136">
                  <c:v>54.905243605053542</c:v>
                </c:pt>
                <c:pt idx="137">
                  <c:v>53.104628668151349</c:v>
                </c:pt>
                <c:pt idx="138">
                  <c:v>55.825467311162406</c:v>
                </c:pt>
                <c:pt idx="139">
                  <c:v>49.814763077144839</c:v>
                </c:pt>
                <c:pt idx="140">
                  <c:v>49.911673720615525</c:v>
                </c:pt>
                <c:pt idx="141">
                  <c:v>37.913131541527115</c:v>
                </c:pt>
                <c:pt idx="142">
                  <c:v>20.017628229193377</c:v>
                </c:pt>
                <c:pt idx="143">
                  <c:v>16.548431685367284</c:v>
                </c:pt>
                <c:pt idx="144">
                  <c:v>41.62753553455078</c:v>
                </c:pt>
                <c:pt idx="145">
                  <c:v>25.304489928012362</c:v>
                </c:pt>
                <c:pt idx="146">
                  <c:v>46.588561209570521</c:v>
                </c:pt>
                <c:pt idx="147">
                  <c:v>56.036282520546308</c:v>
                </c:pt>
                <c:pt idx="148">
                  <c:v>60.589095700273404</c:v>
                </c:pt>
                <c:pt idx="149">
                  <c:v>51.409631170411799</c:v>
                </c:pt>
                <c:pt idx="150">
                  <c:v>55.73034465330133</c:v>
                </c:pt>
                <c:pt idx="151">
                  <c:v>56.788706019980346</c:v>
                </c:pt>
                <c:pt idx="152">
                  <c:v>45.291691486926098</c:v>
                </c:pt>
                <c:pt idx="153">
                  <c:v>55.398354669308254</c:v>
                </c:pt>
                <c:pt idx="154">
                  <c:v>26.410002202681852</c:v>
                </c:pt>
                <c:pt idx="155">
                  <c:v>36.391916195855927</c:v>
                </c:pt>
                <c:pt idx="156">
                  <c:v>47.46981477009367</c:v>
                </c:pt>
                <c:pt idx="157">
                  <c:v>28.795623377486361</c:v>
                </c:pt>
                <c:pt idx="158">
                  <c:v>21.467956969742335</c:v>
                </c:pt>
                <c:pt idx="159">
                  <c:v>46.772283312523712</c:v>
                </c:pt>
                <c:pt idx="160">
                  <c:v>58.349657047000484</c:v>
                </c:pt>
                <c:pt idx="161">
                  <c:v>56.387475772114087</c:v>
                </c:pt>
                <c:pt idx="162">
                  <c:v>43.770826426917331</c:v>
                </c:pt>
                <c:pt idx="163">
                  <c:v>55.045714093398445</c:v>
                </c:pt>
                <c:pt idx="164">
                  <c:v>48.93388045018218</c:v>
                </c:pt>
                <c:pt idx="165">
                  <c:v>55.164599327268064</c:v>
                </c:pt>
                <c:pt idx="166">
                  <c:v>52.983809620276318</c:v>
                </c:pt>
                <c:pt idx="167">
                  <c:v>53.126475549914929</c:v>
                </c:pt>
                <c:pt idx="168">
                  <c:v>55.551065091551671</c:v>
                </c:pt>
                <c:pt idx="169">
                  <c:v>56.901989635651255</c:v>
                </c:pt>
                <c:pt idx="170">
                  <c:v>32.10007241494263</c:v>
                </c:pt>
                <c:pt idx="171">
                  <c:v>23.101189512233841</c:v>
                </c:pt>
                <c:pt idx="172">
                  <c:v>44.744109232029402</c:v>
                </c:pt>
                <c:pt idx="173">
                  <c:v>42.205276055097116</c:v>
                </c:pt>
                <c:pt idx="174">
                  <c:v>39.809573856773781</c:v>
                </c:pt>
                <c:pt idx="175">
                  <c:v>34.547452517031296</c:v>
                </c:pt>
                <c:pt idx="176">
                  <c:v>12.26569915625732</c:v>
                </c:pt>
                <c:pt idx="177">
                  <c:v>14.903999039154884</c:v>
                </c:pt>
                <c:pt idx="178">
                  <c:v>59.126303980091244</c:v>
                </c:pt>
                <c:pt idx="179">
                  <c:v>57.431189284278162</c:v>
                </c:pt>
                <c:pt idx="180">
                  <c:v>14.163540957933501</c:v>
                </c:pt>
                <c:pt idx="181">
                  <c:v>51.087198172294706</c:v>
                </c:pt>
                <c:pt idx="182">
                  <c:v>56.434266730822401</c:v>
                </c:pt>
                <c:pt idx="183">
                  <c:v>46.489242459456257</c:v>
                </c:pt>
                <c:pt idx="184">
                  <c:v>44.977739861227782</c:v>
                </c:pt>
                <c:pt idx="185">
                  <c:v>56.382706839176514</c:v>
                </c:pt>
                <c:pt idx="186">
                  <c:v>47.926316857868152</c:v>
                </c:pt>
                <c:pt idx="187">
                  <c:v>55.824328928234237</c:v>
                </c:pt>
                <c:pt idx="188">
                  <c:v>58.229691203253481</c:v>
                </c:pt>
                <c:pt idx="189">
                  <c:v>57.549498935680383</c:v>
                </c:pt>
                <c:pt idx="190">
                  <c:v>57.002828963750751</c:v>
                </c:pt>
                <c:pt idx="191">
                  <c:v>55.50594395562856</c:v>
                </c:pt>
                <c:pt idx="192">
                  <c:v>55.265988337412921</c:v>
                </c:pt>
                <c:pt idx="193">
                  <c:v>54.985394934143045</c:v>
                </c:pt>
                <c:pt idx="194">
                  <c:v>54.410628768773641</c:v>
                </c:pt>
                <c:pt idx="195">
                  <c:v>52.615587163988621</c:v>
                </c:pt>
                <c:pt idx="196">
                  <c:v>54.146523039854003</c:v>
                </c:pt>
                <c:pt idx="197">
                  <c:v>53.670447696074952</c:v>
                </c:pt>
                <c:pt idx="198">
                  <c:v>54.638247051403077</c:v>
                </c:pt>
                <c:pt idx="199">
                  <c:v>45.151278713478497</c:v>
                </c:pt>
                <c:pt idx="200">
                  <c:v>44.710834548891519</c:v>
                </c:pt>
                <c:pt idx="201">
                  <c:v>52.874179488812771</c:v>
                </c:pt>
                <c:pt idx="202">
                  <c:v>42.692715198769584</c:v>
                </c:pt>
                <c:pt idx="203">
                  <c:v>49.059060398451834</c:v>
                </c:pt>
                <c:pt idx="204">
                  <c:v>53.109561704259079</c:v>
                </c:pt>
                <c:pt idx="205">
                  <c:v>27.064893226186356</c:v>
                </c:pt>
                <c:pt idx="206">
                  <c:v>57.394619974916559</c:v>
                </c:pt>
                <c:pt idx="207">
                  <c:v>57.434476079905004</c:v>
                </c:pt>
                <c:pt idx="208">
                  <c:v>44.78077371698101</c:v>
                </c:pt>
                <c:pt idx="209">
                  <c:v>31.984279247908873</c:v>
                </c:pt>
                <c:pt idx="210">
                  <c:v>49.468552482594902</c:v>
                </c:pt>
                <c:pt idx="211">
                  <c:v>54.927118353357052</c:v>
                </c:pt>
                <c:pt idx="212">
                  <c:v>54.5555334802674</c:v>
                </c:pt>
                <c:pt idx="213">
                  <c:v>54.545011202638293</c:v>
                </c:pt>
                <c:pt idx="214">
                  <c:v>51.509311787707325</c:v>
                </c:pt>
                <c:pt idx="215">
                  <c:v>50.746531902525803</c:v>
                </c:pt>
                <c:pt idx="216">
                  <c:v>46.08520143828575</c:v>
                </c:pt>
                <c:pt idx="217">
                  <c:v>50.605281527387845</c:v>
                </c:pt>
                <c:pt idx="218">
                  <c:v>53.253170362476908</c:v>
                </c:pt>
                <c:pt idx="219">
                  <c:v>53.702484847474878</c:v>
                </c:pt>
                <c:pt idx="220">
                  <c:v>51.687814144634032</c:v>
                </c:pt>
                <c:pt idx="221">
                  <c:v>48.844287493524845</c:v>
                </c:pt>
                <c:pt idx="222">
                  <c:v>47.232208268568499</c:v>
                </c:pt>
                <c:pt idx="223">
                  <c:v>48.172314228840186</c:v>
                </c:pt>
                <c:pt idx="224">
                  <c:v>36.254116721624882</c:v>
                </c:pt>
                <c:pt idx="225">
                  <c:v>34.413174279798611</c:v>
                </c:pt>
                <c:pt idx="226">
                  <c:v>38.984145583806402</c:v>
                </c:pt>
                <c:pt idx="227">
                  <c:v>36.057711032630209</c:v>
                </c:pt>
                <c:pt idx="228">
                  <c:v>28.929609609779281</c:v>
                </c:pt>
                <c:pt idx="229">
                  <c:v>36.704973234779573</c:v>
                </c:pt>
                <c:pt idx="230">
                  <c:v>41.810863365446934</c:v>
                </c:pt>
                <c:pt idx="231">
                  <c:v>50.211366716698649</c:v>
                </c:pt>
                <c:pt idx="232">
                  <c:v>33.918079851747294</c:v>
                </c:pt>
                <c:pt idx="233">
                  <c:v>27.03232230082082</c:v>
                </c:pt>
                <c:pt idx="234">
                  <c:v>49.024967662615737</c:v>
                </c:pt>
                <c:pt idx="235">
                  <c:v>46.738405881054121</c:v>
                </c:pt>
                <c:pt idx="236">
                  <c:v>32.769115976244208</c:v>
                </c:pt>
                <c:pt idx="237">
                  <c:v>43.517998123990552</c:v>
                </c:pt>
                <c:pt idx="238">
                  <c:v>49.490613485134098</c:v>
                </c:pt>
                <c:pt idx="239">
                  <c:v>48.414535420569308</c:v>
                </c:pt>
                <c:pt idx="240">
                  <c:v>33.128948375218798</c:v>
                </c:pt>
                <c:pt idx="241">
                  <c:v>48.095734309952682</c:v>
                </c:pt>
                <c:pt idx="242">
                  <c:v>24.843027748284424</c:v>
                </c:pt>
                <c:pt idx="243">
                  <c:v>40.666447027706958</c:v>
                </c:pt>
                <c:pt idx="244">
                  <c:v>39.138722679716828</c:v>
                </c:pt>
                <c:pt idx="245">
                  <c:v>38.212460113842859</c:v>
                </c:pt>
                <c:pt idx="246">
                  <c:v>46.184161550602468</c:v>
                </c:pt>
                <c:pt idx="247">
                  <c:v>40.369131890591241</c:v>
                </c:pt>
                <c:pt idx="248">
                  <c:v>45.684054602452306</c:v>
                </c:pt>
                <c:pt idx="249">
                  <c:v>36.367915117430591</c:v>
                </c:pt>
                <c:pt idx="250">
                  <c:v>35.345598818195285</c:v>
                </c:pt>
                <c:pt idx="251">
                  <c:v>23.672972541672234</c:v>
                </c:pt>
                <c:pt idx="252">
                  <c:v>46.827531587662101</c:v>
                </c:pt>
                <c:pt idx="253">
                  <c:v>46.251933058413847</c:v>
                </c:pt>
                <c:pt idx="254">
                  <c:v>33.572299965351441</c:v>
                </c:pt>
                <c:pt idx="255">
                  <c:v>14.251083467630256</c:v>
                </c:pt>
                <c:pt idx="256">
                  <c:v>35.736826398827581</c:v>
                </c:pt>
                <c:pt idx="257">
                  <c:v>40.929423496269223</c:v>
                </c:pt>
                <c:pt idx="258">
                  <c:v>32.702625216880946</c:v>
                </c:pt>
                <c:pt idx="259">
                  <c:v>45.699086827860185</c:v>
                </c:pt>
                <c:pt idx="260">
                  <c:v>45.692582926295827</c:v>
                </c:pt>
                <c:pt idx="261">
                  <c:v>45.073239287210697</c:v>
                </c:pt>
                <c:pt idx="262">
                  <c:v>46.789927047838404</c:v>
                </c:pt>
                <c:pt idx="263">
                  <c:v>45.586305331861681</c:v>
                </c:pt>
                <c:pt idx="264">
                  <c:v>44.11327270223822</c:v>
                </c:pt>
                <c:pt idx="265">
                  <c:v>27.999156596408323</c:v>
                </c:pt>
                <c:pt idx="266">
                  <c:v>16.961000320932445</c:v>
                </c:pt>
                <c:pt idx="267">
                  <c:v>35.71902446659773</c:v>
                </c:pt>
                <c:pt idx="268">
                  <c:v>32.704953119329154</c:v>
                </c:pt>
                <c:pt idx="269">
                  <c:v>17.342550575291334</c:v>
                </c:pt>
                <c:pt idx="270">
                  <c:v>19.656819179106108</c:v>
                </c:pt>
                <c:pt idx="271">
                  <c:v>23.618503184337577</c:v>
                </c:pt>
                <c:pt idx="272">
                  <c:v>28.027962244913972</c:v>
                </c:pt>
                <c:pt idx="273">
                  <c:v>36.622881982620598</c:v>
                </c:pt>
                <c:pt idx="274">
                  <c:v>39.05172585462892</c:v>
                </c:pt>
                <c:pt idx="275">
                  <c:v>37.699206030342573</c:v>
                </c:pt>
                <c:pt idx="276">
                  <c:v>41.528336162077473</c:v>
                </c:pt>
                <c:pt idx="277">
                  <c:v>42.33970827451536</c:v>
                </c:pt>
                <c:pt idx="278">
                  <c:v>11.696047108354405</c:v>
                </c:pt>
                <c:pt idx="279">
                  <c:v>29.379284375107968</c:v>
                </c:pt>
                <c:pt idx="280">
                  <c:v>16.955440053217114</c:v>
                </c:pt>
                <c:pt idx="281">
                  <c:v>38.713813037407171</c:v>
                </c:pt>
                <c:pt idx="282">
                  <c:v>31.080216745835376</c:v>
                </c:pt>
                <c:pt idx="283">
                  <c:v>22.606383044278928</c:v>
                </c:pt>
                <c:pt idx="284">
                  <c:v>28.058629376514862</c:v>
                </c:pt>
                <c:pt idx="285">
                  <c:v>23.493193788537063</c:v>
                </c:pt>
                <c:pt idx="286">
                  <c:v>18.261964461918542</c:v>
                </c:pt>
                <c:pt idx="287">
                  <c:v>37.525095604494936</c:v>
                </c:pt>
                <c:pt idx="288">
                  <c:v>33.120536425055555</c:v>
                </c:pt>
                <c:pt idx="289">
                  <c:v>19.66245858883952</c:v>
                </c:pt>
                <c:pt idx="290">
                  <c:v>34.683918713589883</c:v>
                </c:pt>
                <c:pt idx="291">
                  <c:v>16.121416298443471</c:v>
                </c:pt>
                <c:pt idx="292">
                  <c:v>6.7887637873630826</c:v>
                </c:pt>
                <c:pt idx="293">
                  <c:v>16.521845213472414</c:v>
                </c:pt>
                <c:pt idx="294">
                  <c:v>33.380207049429593</c:v>
                </c:pt>
                <c:pt idx="295">
                  <c:v>17.155911019502284</c:v>
                </c:pt>
                <c:pt idx="296">
                  <c:v>25.383249960377796</c:v>
                </c:pt>
                <c:pt idx="297">
                  <c:v>22.443027434923913</c:v>
                </c:pt>
                <c:pt idx="298">
                  <c:v>12.51111591767825</c:v>
                </c:pt>
                <c:pt idx="299">
                  <c:v>14.473854484768504</c:v>
                </c:pt>
                <c:pt idx="300">
                  <c:v>17.411660550681127</c:v>
                </c:pt>
                <c:pt idx="301">
                  <c:v>27.041947368284024</c:v>
                </c:pt>
                <c:pt idx="302">
                  <c:v>23.249720396638441</c:v>
                </c:pt>
                <c:pt idx="303">
                  <c:v>22.11405609767559</c:v>
                </c:pt>
                <c:pt idx="304">
                  <c:v>19.603953301453526</c:v>
                </c:pt>
                <c:pt idx="305">
                  <c:v>29.083459312181308</c:v>
                </c:pt>
                <c:pt idx="306">
                  <c:v>10.209250857161019</c:v>
                </c:pt>
                <c:pt idx="307">
                  <c:v>17.632005866163833</c:v>
                </c:pt>
                <c:pt idx="308">
                  <c:v>30.034993985961322</c:v>
                </c:pt>
                <c:pt idx="309">
                  <c:v>29.992544820178296</c:v>
                </c:pt>
                <c:pt idx="310">
                  <c:v>28.133641635823523</c:v>
                </c:pt>
                <c:pt idx="311">
                  <c:v>20.288337246255232</c:v>
                </c:pt>
                <c:pt idx="312">
                  <c:v>9.9935046609200686</c:v>
                </c:pt>
                <c:pt idx="313">
                  <c:v>20.178082077263657</c:v>
                </c:pt>
                <c:pt idx="314">
                  <c:v>27.602169365648795</c:v>
                </c:pt>
                <c:pt idx="315">
                  <c:v>27.181636481381645</c:v>
                </c:pt>
                <c:pt idx="316">
                  <c:v>26.141691009612096</c:v>
                </c:pt>
                <c:pt idx="317">
                  <c:v>9.6797242068724909</c:v>
                </c:pt>
                <c:pt idx="318">
                  <c:v>12.421087605545143</c:v>
                </c:pt>
                <c:pt idx="319">
                  <c:v>26.743314750951814</c:v>
                </c:pt>
                <c:pt idx="320">
                  <c:v>13.691222855275806</c:v>
                </c:pt>
                <c:pt idx="321">
                  <c:v>15.672813482104521</c:v>
                </c:pt>
                <c:pt idx="322">
                  <c:v>7.1628085606147014</c:v>
                </c:pt>
                <c:pt idx="323">
                  <c:v>15.762512530785829</c:v>
                </c:pt>
                <c:pt idx="324">
                  <c:v>3.1661246914788292</c:v>
                </c:pt>
                <c:pt idx="325">
                  <c:v>7.8330308023383326</c:v>
                </c:pt>
                <c:pt idx="326">
                  <c:v>13.136999340030975</c:v>
                </c:pt>
                <c:pt idx="327">
                  <c:v>13.786723282349321</c:v>
                </c:pt>
                <c:pt idx="328">
                  <c:v>4.7775743024546609</c:v>
                </c:pt>
                <c:pt idx="329">
                  <c:v>10.978479370235089</c:v>
                </c:pt>
                <c:pt idx="330">
                  <c:v>14.452328826711536</c:v>
                </c:pt>
                <c:pt idx="331">
                  <c:v>10.485261726845764</c:v>
                </c:pt>
                <c:pt idx="332">
                  <c:v>15.27092645489066</c:v>
                </c:pt>
                <c:pt idx="333">
                  <c:v>3.9905841330125345</c:v>
                </c:pt>
                <c:pt idx="334">
                  <c:v>3.7773155976483954</c:v>
                </c:pt>
                <c:pt idx="335">
                  <c:v>5.6747332900910497</c:v>
                </c:pt>
                <c:pt idx="336">
                  <c:v>9.5102883412890815</c:v>
                </c:pt>
                <c:pt idx="337">
                  <c:v>17.440298009474748</c:v>
                </c:pt>
                <c:pt idx="338">
                  <c:v>23.120083385584639</c:v>
                </c:pt>
                <c:pt idx="339">
                  <c:v>11.365255573114862</c:v>
                </c:pt>
                <c:pt idx="340">
                  <c:v>20.479389207607944</c:v>
                </c:pt>
                <c:pt idx="341">
                  <c:v>4.1129930922159046</c:v>
                </c:pt>
                <c:pt idx="342">
                  <c:v>5.0196306400787538</c:v>
                </c:pt>
                <c:pt idx="343">
                  <c:v>12.151257794715825</c:v>
                </c:pt>
                <c:pt idx="344">
                  <c:v>17.386554268223193</c:v>
                </c:pt>
                <c:pt idx="345">
                  <c:v>5.313718843424974</c:v>
                </c:pt>
                <c:pt idx="346">
                  <c:v>5.3797714797990706</c:v>
                </c:pt>
                <c:pt idx="347">
                  <c:v>17.17822520576674</c:v>
                </c:pt>
                <c:pt idx="348">
                  <c:v>5.8706980740786934</c:v>
                </c:pt>
                <c:pt idx="349">
                  <c:v>5.1852318203173606</c:v>
                </c:pt>
                <c:pt idx="350">
                  <c:v>3.5154196526276085</c:v>
                </c:pt>
                <c:pt idx="351">
                  <c:v>20.969913052140864</c:v>
                </c:pt>
                <c:pt idx="352">
                  <c:v>17.844721871942319</c:v>
                </c:pt>
                <c:pt idx="353">
                  <c:v>4.548580451481322</c:v>
                </c:pt>
                <c:pt idx="354">
                  <c:v>20.82603877709106</c:v>
                </c:pt>
                <c:pt idx="355">
                  <c:v>17.608443980874405</c:v>
                </c:pt>
                <c:pt idx="356">
                  <c:v>17.845537132420091</c:v>
                </c:pt>
                <c:pt idx="357">
                  <c:v>21.20973400290962</c:v>
                </c:pt>
                <c:pt idx="358">
                  <c:v>11.982962246410256</c:v>
                </c:pt>
                <c:pt idx="359">
                  <c:v>20.717040800696711</c:v>
                </c:pt>
                <c:pt idx="360">
                  <c:v>7.0199952788443092</c:v>
                </c:pt>
                <c:pt idx="361">
                  <c:v>21.793911397286184</c:v>
                </c:pt>
                <c:pt idx="362">
                  <c:v>10.351607161855874</c:v>
                </c:pt>
                <c:pt idx="363">
                  <c:v>14.025687060898901</c:v>
                </c:pt>
                <c:pt idx="364">
                  <c:v>11.604692946064082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23.928863951533579</c:v>
                </c:pt>
                <c:pt idx="1">
                  <c:v>16.50320181817856</c:v>
                </c:pt>
                <c:pt idx="2">
                  <c:v>17.819551735602118</c:v>
                </c:pt>
                <c:pt idx="3">
                  <c:v>18.935630611773632</c:v>
                </c:pt>
                <c:pt idx="4">
                  <c:v>14.974413286219781</c:v>
                </c:pt>
                <c:pt idx="5">
                  <c:v>21.488514906969197</c:v>
                </c:pt>
                <c:pt idx="6">
                  <c:v>10.537416178505362</c:v>
                </c:pt>
                <c:pt idx="7">
                  <c:v>7.4993927847696655</c:v>
                </c:pt>
                <c:pt idx="8">
                  <c:v>2.2389382072847801</c:v>
                </c:pt>
                <c:pt idx="9">
                  <c:v>1.8361007929364559</c:v>
                </c:pt>
                <c:pt idx="10">
                  <c:v>25.738698068359746</c:v>
                </c:pt>
                <c:pt idx="11">
                  <c:v>22.374056257046391</c:v>
                </c:pt>
                <c:pt idx="12">
                  <c:v>5.7354245163808608</c:v>
                </c:pt>
                <c:pt idx="13">
                  <c:v>27.217576854074185</c:v>
                </c:pt>
                <c:pt idx="14">
                  <c:v>27.536912054615989</c:v>
                </c:pt>
                <c:pt idx="15">
                  <c:v>26.940647664430394</c:v>
                </c:pt>
                <c:pt idx="16">
                  <c:v>12.440264235007305</c:v>
                </c:pt>
                <c:pt idx="17">
                  <c:v>3.9519900576282909</c:v>
                </c:pt>
                <c:pt idx="18">
                  <c:v>10.782969082576079</c:v>
                </c:pt>
                <c:pt idx="19">
                  <c:v>6.7527561804893015</c:v>
                </c:pt>
                <c:pt idx="20">
                  <c:v>21.529728374479539</c:v>
                </c:pt>
                <c:pt idx="21">
                  <c:v>28.738879679648861</c:v>
                </c:pt>
                <c:pt idx="22">
                  <c:v>28.866128283668886</c:v>
                </c:pt>
                <c:pt idx="23">
                  <c:v>29.425752669952786</c:v>
                </c:pt>
                <c:pt idx="24">
                  <c:v>28.453399920709661</c:v>
                </c:pt>
                <c:pt idx="25">
                  <c:v>29.145784970176575</c:v>
                </c:pt>
                <c:pt idx="26">
                  <c:v>27.850718128911925</c:v>
                </c:pt>
                <c:pt idx="27">
                  <c:v>4.4013874147089806</c:v>
                </c:pt>
                <c:pt idx="28">
                  <c:v>9.2898631025091181</c:v>
                </c:pt>
                <c:pt idx="29">
                  <c:v>4.797620705355631</c:v>
                </c:pt>
                <c:pt idx="30">
                  <c:v>7.9556080924618122</c:v>
                </c:pt>
                <c:pt idx="31">
                  <c:v>13.20205309772369</c:v>
                </c:pt>
                <c:pt idx="32">
                  <c:v>5.5733192254363448</c:v>
                </c:pt>
                <c:pt idx="33">
                  <c:v>10.938108755295426</c:v>
                </c:pt>
                <c:pt idx="34">
                  <c:v>10.773435278518482</c:v>
                </c:pt>
                <c:pt idx="35">
                  <c:v>9.4667926826088209</c:v>
                </c:pt>
                <c:pt idx="36">
                  <c:v>22.055126263171573</c:v>
                </c:pt>
                <c:pt idx="37">
                  <c:v>9.2950474306426631</c:v>
                </c:pt>
                <c:pt idx="38">
                  <c:v>34.472019357584507</c:v>
                </c:pt>
                <c:pt idx="39">
                  <c:v>34.766745309734738</c:v>
                </c:pt>
                <c:pt idx="40">
                  <c:v>32.421886751910414</c:v>
                </c:pt>
                <c:pt idx="41">
                  <c:v>17.960211392058902</c:v>
                </c:pt>
                <c:pt idx="42">
                  <c:v>27.521592380963433</c:v>
                </c:pt>
                <c:pt idx="43">
                  <c:v>33.671407268677591</c:v>
                </c:pt>
                <c:pt idx="44">
                  <c:v>15.807812031665932</c:v>
                </c:pt>
                <c:pt idx="45">
                  <c:v>19.065833996723221</c:v>
                </c:pt>
                <c:pt idx="46">
                  <c:v>9.3779744297851515</c:v>
                </c:pt>
                <c:pt idx="47">
                  <c:v>11.683853519010068</c:v>
                </c:pt>
                <c:pt idx="48">
                  <c:v>30.163111459286004</c:v>
                </c:pt>
                <c:pt idx="49">
                  <c:v>20.466396467874869</c:v>
                </c:pt>
                <c:pt idx="50">
                  <c:v>20.342558843565712</c:v>
                </c:pt>
                <c:pt idx="51">
                  <c:v>22.522497745960557</c:v>
                </c:pt>
                <c:pt idx="52">
                  <c:v>34.417580508299935</c:v>
                </c:pt>
                <c:pt idx="53">
                  <c:v>36.166291264456063</c:v>
                </c:pt>
                <c:pt idx="54">
                  <c:v>22.512806404943206</c:v>
                </c:pt>
                <c:pt idx="55">
                  <c:v>32.238623377800245</c:v>
                </c:pt>
                <c:pt idx="56">
                  <c:v>40.858860728606452</c:v>
                </c:pt>
                <c:pt idx="57">
                  <c:v>29.206468859705822</c:v>
                </c:pt>
                <c:pt idx="58">
                  <c:v>35.259439694023484</c:v>
                </c:pt>
                <c:pt idx="59">
                  <c:v>40.909146343591132</c:v>
                </c:pt>
                <c:pt idx="60">
                  <c:v>11.919980047484199</c:v>
                </c:pt>
                <c:pt idx="61">
                  <c:v>36.575305066489342</c:v>
                </c:pt>
                <c:pt idx="62">
                  <c:v>3.9303046729634832</c:v>
                </c:pt>
                <c:pt idx="63">
                  <c:v>13.5331611161093</c:v>
                </c:pt>
                <c:pt idx="64">
                  <c:v>16.315879996173255</c:v>
                </c:pt>
                <c:pt idx="65">
                  <c:v>40.191476143437868</c:v>
                </c:pt>
                <c:pt idx="66">
                  <c:v>32.755561862314075</c:v>
                </c:pt>
                <c:pt idx="67">
                  <c:v>31.935381426384048</c:v>
                </c:pt>
                <c:pt idx="68">
                  <c:v>25.422286818190063</c:v>
                </c:pt>
                <c:pt idx="69">
                  <c:v>15.766491857526354</c:v>
                </c:pt>
                <c:pt idx="70">
                  <c:v>16.409918518416411</c:v>
                </c:pt>
                <c:pt idx="71">
                  <c:v>9.2017210040824491</c:v>
                </c:pt>
                <c:pt idx="72">
                  <c:v>14.82611791666587</c:v>
                </c:pt>
                <c:pt idx="73">
                  <c:v>14.112077265757289</c:v>
                </c:pt>
                <c:pt idx="74">
                  <c:v>14.084064516354333</c:v>
                </c:pt>
                <c:pt idx="75">
                  <c:v>11.828412117247689</c:v>
                </c:pt>
                <c:pt idx="76">
                  <c:v>15.291406093507442</c:v>
                </c:pt>
                <c:pt idx="77">
                  <c:v>29.215262713105144</c:v>
                </c:pt>
                <c:pt idx="78">
                  <c:v>32.440132492676163</c:v>
                </c:pt>
                <c:pt idx="79">
                  <c:v>45.921143448065855</c:v>
                </c:pt>
                <c:pt idx="80">
                  <c:v>43.597765153562591</c:v>
                </c:pt>
                <c:pt idx="81">
                  <c:v>49.694029253562363</c:v>
                </c:pt>
                <c:pt idx="82">
                  <c:v>48.877848528803526</c:v>
                </c:pt>
                <c:pt idx="83">
                  <c:v>43.497101962416679</c:v>
                </c:pt>
                <c:pt idx="84">
                  <c:v>48.150203108116564</c:v>
                </c:pt>
                <c:pt idx="85">
                  <c:v>46.551588893775467</c:v>
                </c:pt>
                <c:pt idx="86">
                  <c:v>14.990240058947977</c:v>
                </c:pt>
                <c:pt idx="87">
                  <c:v>28.770687172500136</c:v>
                </c:pt>
                <c:pt idx="88">
                  <c:v>8.0670029577810549</c:v>
                </c:pt>
                <c:pt idx="89">
                  <c:v>28.733913535030887</c:v>
                </c:pt>
                <c:pt idx="90">
                  <c:v>33.647737035297425</c:v>
                </c:pt>
                <c:pt idx="91">
                  <c:v>21.005331078628313</c:v>
                </c:pt>
                <c:pt idx="92">
                  <c:v>23.368817051391808</c:v>
                </c:pt>
                <c:pt idx="93">
                  <c:v>47.041797234076064</c:v>
                </c:pt>
                <c:pt idx="94">
                  <c:v>53.9805816294013</c:v>
                </c:pt>
                <c:pt idx="95">
                  <c:v>11.684493054968636</c:v>
                </c:pt>
                <c:pt idx="96">
                  <c:v>39.224165392062339</c:v>
                </c:pt>
                <c:pt idx="97">
                  <c:v>31.867028810326634</c:v>
                </c:pt>
                <c:pt idx="98">
                  <c:v>37.386416651394221</c:v>
                </c:pt>
                <c:pt idx="99">
                  <c:v>54.668844243522912</c:v>
                </c:pt>
                <c:pt idx="100">
                  <c:v>45.310163294793924</c:v>
                </c:pt>
                <c:pt idx="101">
                  <c:v>38.698645379052614</c:v>
                </c:pt>
                <c:pt idx="102">
                  <c:v>8.2699519531295973</c:v>
                </c:pt>
                <c:pt idx="103">
                  <c:v>41.858147648320717</c:v>
                </c:pt>
                <c:pt idx="104">
                  <c:v>45.676180991241679</c:v>
                </c:pt>
                <c:pt idx="105">
                  <c:v>47.392261776811168</c:v>
                </c:pt>
                <c:pt idx="106">
                  <c:v>55.625417125791174</c:v>
                </c:pt>
                <c:pt idx="107">
                  <c:v>41.149541149504671</c:v>
                </c:pt>
                <c:pt idx="108">
                  <c:v>9.6189677102979871</c:v>
                </c:pt>
                <c:pt idx="109">
                  <c:v>10.035719501440157</c:v>
                </c:pt>
                <c:pt idx="110">
                  <c:v>9.6602959432078563</c:v>
                </c:pt>
                <c:pt idx="111">
                  <c:v>28.0774885439074</c:v>
                </c:pt>
                <c:pt idx="112">
                  <c:v>9.3510578770390183</c:v>
                </c:pt>
                <c:pt idx="113">
                  <c:v>32.312593129791374</c:v>
                </c:pt>
                <c:pt idx="114">
                  <c:v>48.903648923551586</c:v>
                </c:pt>
                <c:pt idx="115">
                  <c:v>56.069536075501773</c:v>
                </c:pt>
                <c:pt idx="116">
                  <c:v>40.70167366292673</c:v>
                </c:pt>
                <c:pt idx="117">
                  <c:v>24.524789112707751</c:v>
                </c:pt>
                <c:pt idx="118">
                  <c:v>44.853685300726184</c:v>
                </c:pt>
                <c:pt idx="119">
                  <c:v>47.480559446183356</c:v>
                </c:pt>
                <c:pt idx="120">
                  <c:v>48.042247210319807</c:v>
                </c:pt>
                <c:pt idx="121">
                  <c:v>28.542843601180344</c:v>
                </c:pt>
                <c:pt idx="122">
                  <c:v>39.839442344114218</c:v>
                </c:pt>
                <c:pt idx="123">
                  <c:v>21.57358944110263</c:v>
                </c:pt>
                <c:pt idx="124">
                  <c:v>44.254830118116118</c:v>
                </c:pt>
                <c:pt idx="125">
                  <c:v>38.835567813841131</c:v>
                </c:pt>
                <c:pt idx="126">
                  <c:v>53.130549138709185</c:v>
                </c:pt>
                <c:pt idx="127">
                  <c:v>48.992654687323309</c:v>
                </c:pt>
                <c:pt idx="128">
                  <c:v>56.258884360048576</c:v>
                </c:pt>
                <c:pt idx="129">
                  <c:v>52.552258867160774</c:v>
                </c:pt>
                <c:pt idx="130">
                  <c:v>56.66864167142122</c:v>
                </c:pt>
                <c:pt idx="131">
                  <c:v>42.250018351031549</c:v>
                </c:pt>
                <c:pt idx="132">
                  <c:v>44.254141039947058</c:v>
                </c:pt>
                <c:pt idx="133">
                  <c:v>50.428577793390559</c:v>
                </c:pt>
                <c:pt idx="134">
                  <c:v>53.068151710820814</c:v>
                </c:pt>
                <c:pt idx="135">
                  <c:v>51.480333363345324</c:v>
                </c:pt>
                <c:pt idx="136">
                  <c:v>54.905243605053542</c:v>
                </c:pt>
                <c:pt idx="137">
                  <c:v>53.104628668151349</c:v>
                </c:pt>
                <c:pt idx="138">
                  <c:v>55.825467311162406</c:v>
                </c:pt>
                <c:pt idx="139">
                  <c:v>49.814763077144839</c:v>
                </c:pt>
                <c:pt idx="140">
                  <c:v>49.911673720615525</c:v>
                </c:pt>
                <c:pt idx="141">
                  <c:v>37.913131541527115</c:v>
                </c:pt>
                <c:pt idx="142">
                  <c:v>20.017628229193377</c:v>
                </c:pt>
                <c:pt idx="143">
                  <c:v>16.548431685367284</c:v>
                </c:pt>
                <c:pt idx="144">
                  <c:v>41.62753553455078</c:v>
                </c:pt>
                <c:pt idx="145">
                  <c:v>25.304489928012362</c:v>
                </c:pt>
                <c:pt idx="146">
                  <c:v>46.588561209570521</c:v>
                </c:pt>
                <c:pt idx="147">
                  <c:v>56.036282520546308</c:v>
                </c:pt>
                <c:pt idx="148">
                  <c:v>60.589095700273404</c:v>
                </c:pt>
                <c:pt idx="149">
                  <c:v>51.409631170411799</c:v>
                </c:pt>
                <c:pt idx="150">
                  <c:v>55.73034465330133</c:v>
                </c:pt>
                <c:pt idx="151">
                  <c:v>56.788706019980346</c:v>
                </c:pt>
                <c:pt idx="152">
                  <c:v>45.291691486926098</c:v>
                </c:pt>
                <c:pt idx="153">
                  <c:v>55.398354669308254</c:v>
                </c:pt>
                <c:pt idx="154">
                  <c:v>26.410002202681852</c:v>
                </c:pt>
                <c:pt idx="155">
                  <c:v>36.391916195855927</c:v>
                </c:pt>
                <c:pt idx="156">
                  <c:v>47.46981477009367</c:v>
                </c:pt>
                <c:pt idx="157">
                  <c:v>28.795623377486361</c:v>
                </c:pt>
                <c:pt idx="158">
                  <c:v>21.467956969742335</c:v>
                </c:pt>
                <c:pt idx="159">
                  <c:v>46.772283312523712</c:v>
                </c:pt>
                <c:pt idx="160">
                  <c:v>58.349657047000484</c:v>
                </c:pt>
                <c:pt idx="161">
                  <c:v>56.387475772114087</c:v>
                </c:pt>
                <c:pt idx="162">
                  <c:v>43.770826426917331</c:v>
                </c:pt>
                <c:pt idx="163">
                  <c:v>55.045714093398445</c:v>
                </c:pt>
                <c:pt idx="164">
                  <c:v>48.93388045018218</c:v>
                </c:pt>
                <c:pt idx="165">
                  <c:v>55.164599327268064</c:v>
                </c:pt>
                <c:pt idx="166">
                  <c:v>52.983809620276318</c:v>
                </c:pt>
                <c:pt idx="167">
                  <c:v>53.126475549914929</c:v>
                </c:pt>
                <c:pt idx="168">
                  <c:v>55.551065091551671</c:v>
                </c:pt>
                <c:pt idx="169">
                  <c:v>56.901989635651255</c:v>
                </c:pt>
                <c:pt idx="170">
                  <c:v>32.10007241494263</c:v>
                </c:pt>
                <c:pt idx="171">
                  <c:v>23.101189512233841</c:v>
                </c:pt>
                <c:pt idx="172">
                  <c:v>44.744109232029402</c:v>
                </c:pt>
                <c:pt idx="173">
                  <c:v>42.205276055097116</c:v>
                </c:pt>
                <c:pt idx="174">
                  <c:v>39.809573856773781</c:v>
                </c:pt>
                <c:pt idx="175">
                  <c:v>34.547452517031296</c:v>
                </c:pt>
                <c:pt idx="176">
                  <c:v>12.26569915625732</c:v>
                </c:pt>
                <c:pt idx="177">
                  <c:v>14.903999039154884</c:v>
                </c:pt>
                <c:pt idx="178">
                  <c:v>59.126303980091244</c:v>
                </c:pt>
                <c:pt idx="179">
                  <c:v>57.431189284278162</c:v>
                </c:pt>
                <c:pt idx="180">
                  <c:v>14.163540957933501</c:v>
                </c:pt>
                <c:pt idx="181">
                  <c:v>51.087198172294706</c:v>
                </c:pt>
                <c:pt idx="182">
                  <c:v>56.434266730822401</c:v>
                </c:pt>
                <c:pt idx="183">
                  <c:v>46.489242459456257</c:v>
                </c:pt>
                <c:pt idx="184">
                  <c:v>44.977739861227782</c:v>
                </c:pt>
                <c:pt idx="185">
                  <c:v>56.382706839176514</c:v>
                </c:pt>
                <c:pt idx="186">
                  <c:v>47.926316857868152</c:v>
                </c:pt>
                <c:pt idx="187">
                  <c:v>55.824328928234237</c:v>
                </c:pt>
                <c:pt idx="188">
                  <c:v>58.229691203253481</c:v>
                </c:pt>
                <c:pt idx="189">
                  <c:v>57.549498935680383</c:v>
                </c:pt>
                <c:pt idx="190">
                  <c:v>57.002828963750751</c:v>
                </c:pt>
                <c:pt idx="191">
                  <c:v>55.50594395562856</c:v>
                </c:pt>
                <c:pt idx="192">
                  <c:v>55.265988337412921</c:v>
                </c:pt>
                <c:pt idx="193">
                  <c:v>54.985394934143045</c:v>
                </c:pt>
                <c:pt idx="194">
                  <c:v>54.410628768773641</c:v>
                </c:pt>
                <c:pt idx="195">
                  <c:v>52.615587163988621</c:v>
                </c:pt>
                <c:pt idx="196">
                  <c:v>54.146523039854003</c:v>
                </c:pt>
                <c:pt idx="197">
                  <c:v>53.670447696074952</c:v>
                </c:pt>
                <c:pt idx="198">
                  <c:v>54.638247051403077</c:v>
                </c:pt>
                <c:pt idx="199">
                  <c:v>45.151278713478497</c:v>
                </c:pt>
                <c:pt idx="200">
                  <c:v>44.710834548891519</c:v>
                </c:pt>
                <c:pt idx="201">
                  <c:v>52.874179488812771</c:v>
                </c:pt>
                <c:pt idx="202">
                  <c:v>42.692715198769584</c:v>
                </c:pt>
                <c:pt idx="203">
                  <c:v>49.059060398451834</c:v>
                </c:pt>
                <c:pt idx="204">
                  <c:v>53.109561704259079</c:v>
                </c:pt>
                <c:pt idx="205">
                  <c:v>27.064893226186356</c:v>
                </c:pt>
                <c:pt idx="206">
                  <c:v>57.394619974916559</c:v>
                </c:pt>
                <c:pt idx="207">
                  <c:v>57.434476079905004</c:v>
                </c:pt>
                <c:pt idx="208">
                  <c:v>44.78077371698101</c:v>
                </c:pt>
                <c:pt idx="209">
                  <c:v>31.984279247908873</c:v>
                </c:pt>
                <c:pt idx="210">
                  <c:v>49.468552482594902</c:v>
                </c:pt>
                <c:pt idx="211">
                  <c:v>54.927118353357052</c:v>
                </c:pt>
                <c:pt idx="212">
                  <c:v>54.5555334802674</c:v>
                </c:pt>
                <c:pt idx="213">
                  <c:v>54.545011202638293</c:v>
                </c:pt>
                <c:pt idx="214">
                  <c:v>51.509311787707325</c:v>
                </c:pt>
                <c:pt idx="215">
                  <c:v>50.746531902525803</c:v>
                </c:pt>
                <c:pt idx="216">
                  <c:v>46.08520143828575</c:v>
                </c:pt>
                <c:pt idx="217">
                  <c:v>50.605281527387845</c:v>
                </c:pt>
                <c:pt idx="218">
                  <c:v>53.253170362476908</c:v>
                </c:pt>
                <c:pt idx="219">
                  <c:v>53.702484847474878</c:v>
                </c:pt>
                <c:pt idx="220">
                  <c:v>51.687814144634032</c:v>
                </c:pt>
                <c:pt idx="221">
                  <c:v>48.844287493524845</c:v>
                </c:pt>
                <c:pt idx="222">
                  <c:v>47.232208268568499</c:v>
                </c:pt>
                <c:pt idx="223">
                  <c:v>48.172314228840186</c:v>
                </c:pt>
                <c:pt idx="224">
                  <c:v>36.254116721624882</c:v>
                </c:pt>
                <c:pt idx="225">
                  <c:v>34.413174279798611</c:v>
                </c:pt>
                <c:pt idx="226">
                  <c:v>38.984145583806402</c:v>
                </c:pt>
                <c:pt idx="227">
                  <c:v>36.057711032630209</c:v>
                </c:pt>
                <c:pt idx="228">
                  <c:v>28.929609609779281</c:v>
                </c:pt>
                <c:pt idx="229">
                  <c:v>36.704973234779573</c:v>
                </c:pt>
                <c:pt idx="230">
                  <c:v>41.810863365446934</c:v>
                </c:pt>
                <c:pt idx="231">
                  <c:v>50.211366716698649</c:v>
                </c:pt>
                <c:pt idx="232">
                  <c:v>33.918079851747294</c:v>
                </c:pt>
                <c:pt idx="233">
                  <c:v>27.03232230082082</c:v>
                </c:pt>
                <c:pt idx="234">
                  <c:v>49.024967662615737</c:v>
                </c:pt>
                <c:pt idx="235">
                  <c:v>46.738405881054121</c:v>
                </c:pt>
                <c:pt idx="236">
                  <c:v>32.769115976244208</c:v>
                </c:pt>
                <c:pt idx="237">
                  <c:v>43.517998123990552</c:v>
                </c:pt>
                <c:pt idx="238">
                  <c:v>49.490613485134098</c:v>
                </c:pt>
                <c:pt idx="239">
                  <c:v>48.414535420569308</c:v>
                </c:pt>
                <c:pt idx="240">
                  <c:v>33.128948375218798</c:v>
                </c:pt>
                <c:pt idx="241">
                  <c:v>48.095734309952682</c:v>
                </c:pt>
                <c:pt idx="242">
                  <c:v>24.843027748284424</c:v>
                </c:pt>
                <c:pt idx="243">
                  <c:v>40.666447027706958</c:v>
                </c:pt>
                <c:pt idx="244">
                  <c:v>39.138722679716828</c:v>
                </c:pt>
                <c:pt idx="245">
                  <c:v>38.212460113842859</c:v>
                </c:pt>
                <c:pt idx="246">
                  <c:v>46.184161550602468</c:v>
                </c:pt>
                <c:pt idx="247">
                  <c:v>40.369131890591241</c:v>
                </c:pt>
                <c:pt idx="248">
                  <c:v>45.684054602452306</c:v>
                </c:pt>
                <c:pt idx="249">
                  <c:v>36.367915117430591</c:v>
                </c:pt>
                <c:pt idx="250">
                  <c:v>35.345598818195285</c:v>
                </c:pt>
                <c:pt idx="251">
                  <c:v>23.672972541672234</c:v>
                </c:pt>
                <c:pt idx="252">
                  <c:v>46.827531587662101</c:v>
                </c:pt>
                <c:pt idx="253">
                  <c:v>46.251933058413847</c:v>
                </c:pt>
                <c:pt idx="254">
                  <c:v>33.572299965351441</c:v>
                </c:pt>
                <c:pt idx="255">
                  <c:v>14.251083467630256</c:v>
                </c:pt>
                <c:pt idx="256">
                  <c:v>35.736826398827581</c:v>
                </c:pt>
                <c:pt idx="257">
                  <c:v>40.929423496269223</c:v>
                </c:pt>
                <c:pt idx="258">
                  <c:v>32.702625216880946</c:v>
                </c:pt>
                <c:pt idx="259">
                  <c:v>45.699086827860185</c:v>
                </c:pt>
                <c:pt idx="260">
                  <c:v>45.692582926295827</c:v>
                </c:pt>
                <c:pt idx="261">
                  <c:v>45.073239287210697</c:v>
                </c:pt>
                <c:pt idx="262">
                  <c:v>46.789927047838404</c:v>
                </c:pt>
                <c:pt idx="263">
                  <c:v>45.586305331861681</c:v>
                </c:pt>
                <c:pt idx="264">
                  <c:v>44.11327270223822</c:v>
                </c:pt>
                <c:pt idx="265">
                  <c:v>27.999156596408323</c:v>
                </c:pt>
                <c:pt idx="266">
                  <c:v>16.961000320932445</c:v>
                </c:pt>
                <c:pt idx="267">
                  <c:v>35.71902446659773</c:v>
                </c:pt>
                <c:pt idx="268">
                  <c:v>32.704953119329154</c:v>
                </c:pt>
                <c:pt idx="269">
                  <c:v>17.342550575291334</c:v>
                </c:pt>
                <c:pt idx="270">
                  <c:v>19.656819179106108</c:v>
                </c:pt>
                <c:pt idx="271">
                  <c:v>23.618503184337577</c:v>
                </c:pt>
                <c:pt idx="272">
                  <c:v>28.027962244913972</c:v>
                </c:pt>
                <c:pt idx="273">
                  <c:v>36.622881982620598</c:v>
                </c:pt>
                <c:pt idx="274">
                  <c:v>39.05172585462892</c:v>
                </c:pt>
                <c:pt idx="275">
                  <c:v>37.699206030342573</c:v>
                </c:pt>
                <c:pt idx="276">
                  <c:v>41.528336162077473</c:v>
                </c:pt>
                <c:pt idx="277">
                  <c:v>42.33970827451536</c:v>
                </c:pt>
                <c:pt idx="278">
                  <c:v>11.696047108354405</c:v>
                </c:pt>
                <c:pt idx="279">
                  <c:v>29.379284375107968</c:v>
                </c:pt>
                <c:pt idx="280">
                  <c:v>16.955440053217114</c:v>
                </c:pt>
                <c:pt idx="281">
                  <c:v>38.713813037407171</c:v>
                </c:pt>
                <c:pt idx="282">
                  <c:v>31.080216745835376</c:v>
                </c:pt>
                <c:pt idx="283">
                  <c:v>22.606383044278928</c:v>
                </c:pt>
                <c:pt idx="284">
                  <c:v>28.058629376514862</c:v>
                </c:pt>
                <c:pt idx="285">
                  <c:v>23.493193788537063</c:v>
                </c:pt>
                <c:pt idx="286">
                  <c:v>18.261964461918542</c:v>
                </c:pt>
                <c:pt idx="287">
                  <c:v>37.525095604494936</c:v>
                </c:pt>
                <c:pt idx="288">
                  <c:v>33.120536425055555</c:v>
                </c:pt>
                <c:pt idx="289">
                  <c:v>19.66245858883952</c:v>
                </c:pt>
                <c:pt idx="290">
                  <c:v>34.683918713589883</c:v>
                </c:pt>
                <c:pt idx="291">
                  <c:v>16.121416298443471</c:v>
                </c:pt>
                <c:pt idx="292">
                  <c:v>6.7887637873630826</c:v>
                </c:pt>
                <c:pt idx="293">
                  <c:v>16.521845213472414</c:v>
                </c:pt>
                <c:pt idx="294">
                  <c:v>33.380207049429593</c:v>
                </c:pt>
                <c:pt idx="295">
                  <c:v>17.155911019502284</c:v>
                </c:pt>
                <c:pt idx="296">
                  <c:v>25.383249960377796</c:v>
                </c:pt>
                <c:pt idx="297">
                  <c:v>22.443027434923913</c:v>
                </c:pt>
                <c:pt idx="298">
                  <c:v>12.51111591767825</c:v>
                </c:pt>
                <c:pt idx="299">
                  <c:v>14.473854484768504</c:v>
                </c:pt>
                <c:pt idx="300">
                  <c:v>17.411660550681127</c:v>
                </c:pt>
                <c:pt idx="301">
                  <c:v>27.041947368284024</c:v>
                </c:pt>
                <c:pt idx="302">
                  <c:v>23.249720396638441</c:v>
                </c:pt>
                <c:pt idx="303">
                  <c:v>22.11405609767559</c:v>
                </c:pt>
                <c:pt idx="304">
                  <c:v>19.603953301453526</c:v>
                </c:pt>
                <c:pt idx="305">
                  <c:v>29.083459312181308</c:v>
                </c:pt>
                <c:pt idx="306">
                  <c:v>10.209250857161019</c:v>
                </c:pt>
                <c:pt idx="307">
                  <c:v>17.632005866163833</c:v>
                </c:pt>
                <c:pt idx="308">
                  <c:v>30.034993985961322</c:v>
                </c:pt>
                <c:pt idx="309">
                  <c:v>29.992544820178296</c:v>
                </c:pt>
                <c:pt idx="310">
                  <c:v>28.133641635823523</c:v>
                </c:pt>
                <c:pt idx="311">
                  <c:v>20.288337246255232</c:v>
                </c:pt>
                <c:pt idx="312">
                  <c:v>9.9935046609200686</c:v>
                </c:pt>
                <c:pt idx="313">
                  <c:v>20.178082077263657</c:v>
                </c:pt>
                <c:pt idx="314">
                  <c:v>27.602169365648795</c:v>
                </c:pt>
                <c:pt idx="315">
                  <c:v>27.181636481381645</c:v>
                </c:pt>
                <c:pt idx="316">
                  <c:v>26.141691009612096</c:v>
                </c:pt>
                <c:pt idx="317">
                  <c:v>9.6797242068724909</c:v>
                </c:pt>
                <c:pt idx="318">
                  <c:v>12.421087605545143</c:v>
                </c:pt>
                <c:pt idx="319">
                  <c:v>26.743314750951814</c:v>
                </c:pt>
                <c:pt idx="320">
                  <c:v>13.691222855275806</c:v>
                </c:pt>
                <c:pt idx="321">
                  <c:v>15.672813482104521</c:v>
                </c:pt>
                <c:pt idx="322">
                  <c:v>7.1628085606147014</c:v>
                </c:pt>
                <c:pt idx="323">
                  <c:v>15.762512530785829</c:v>
                </c:pt>
                <c:pt idx="324">
                  <c:v>3.1661246914788292</c:v>
                </c:pt>
                <c:pt idx="325">
                  <c:v>7.8330308023383326</c:v>
                </c:pt>
                <c:pt idx="326">
                  <c:v>13.136999340030975</c:v>
                </c:pt>
                <c:pt idx="327">
                  <c:v>13.786723282349321</c:v>
                </c:pt>
                <c:pt idx="328">
                  <c:v>4.7775743024546609</c:v>
                </c:pt>
                <c:pt idx="329">
                  <c:v>10.978479370235089</c:v>
                </c:pt>
                <c:pt idx="330">
                  <c:v>14.452328826711536</c:v>
                </c:pt>
                <c:pt idx="331">
                  <c:v>10.485261726845764</c:v>
                </c:pt>
                <c:pt idx="332">
                  <c:v>15.27092645489066</c:v>
                </c:pt>
                <c:pt idx="333">
                  <c:v>3.9905841330125345</c:v>
                </c:pt>
                <c:pt idx="334">
                  <c:v>3.7773155976483954</c:v>
                </c:pt>
                <c:pt idx="335">
                  <c:v>5.6747332900910497</c:v>
                </c:pt>
                <c:pt idx="336">
                  <c:v>9.5102883412890815</c:v>
                </c:pt>
                <c:pt idx="337">
                  <c:v>17.440298009474748</c:v>
                </c:pt>
                <c:pt idx="338">
                  <c:v>23.120083385584639</c:v>
                </c:pt>
                <c:pt idx="339">
                  <c:v>11.365255573114862</c:v>
                </c:pt>
                <c:pt idx="340">
                  <c:v>20.479389207607944</c:v>
                </c:pt>
                <c:pt idx="341">
                  <c:v>4.1129930922159046</c:v>
                </c:pt>
                <c:pt idx="342">
                  <c:v>5.0196306400787538</c:v>
                </c:pt>
                <c:pt idx="343">
                  <c:v>12.151257794715825</c:v>
                </c:pt>
                <c:pt idx="344">
                  <c:v>17.386554268223193</c:v>
                </c:pt>
                <c:pt idx="345">
                  <c:v>5.313718843424974</c:v>
                </c:pt>
                <c:pt idx="346">
                  <c:v>5.3797714797990706</c:v>
                </c:pt>
                <c:pt idx="347">
                  <c:v>17.17822520576674</c:v>
                </c:pt>
                <c:pt idx="348">
                  <c:v>5.8706980740786934</c:v>
                </c:pt>
                <c:pt idx="349">
                  <c:v>5.1852318203173606</c:v>
                </c:pt>
                <c:pt idx="350">
                  <c:v>3.5154196526276085</c:v>
                </c:pt>
                <c:pt idx="351">
                  <c:v>20.969913052140864</c:v>
                </c:pt>
                <c:pt idx="352">
                  <c:v>17.844721871942319</c:v>
                </c:pt>
                <c:pt idx="353">
                  <c:v>4.548580451481322</c:v>
                </c:pt>
                <c:pt idx="354">
                  <c:v>20.82603877709106</c:v>
                </c:pt>
                <c:pt idx="355">
                  <c:v>17.608443980874405</c:v>
                </c:pt>
                <c:pt idx="356">
                  <c:v>17.845537132420091</c:v>
                </c:pt>
                <c:pt idx="357">
                  <c:v>21.20973400290962</c:v>
                </c:pt>
                <c:pt idx="358">
                  <c:v>11.982962246410256</c:v>
                </c:pt>
                <c:pt idx="359">
                  <c:v>20.717040800696711</c:v>
                </c:pt>
                <c:pt idx="360">
                  <c:v>7.0199952788443092</c:v>
                </c:pt>
                <c:pt idx="361">
                  <c:v>21.793911397286184</c:v>
                </c:pt>
                <c:pt idx="362">
                  <c:v>10.351607161855874</c:v>
                </c:pt>
                <c:pt idx="363">
                  <c:v>14.025687060898901</c:v>
                </c:pt>
                <c:pt idx="364">
                  <c:v>11.604692946064082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39232"/>
        <c:axId val="778339624"/>
      </c:lineChart>
      <c:dateAx>
        <c:axId val="77833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39624"/>
        <c:crosses val="autoZero"/>
        <c:auto val="1"/>
        <c:lblOffset val="100"/>
        <c:baseTimeUnit val="days"/>
        <c:majorUnit val="1"/>
        <c:majorTimeUnit val="months"/>
      </c:dateAx>
      <c:valAx>
        <c:axId val="7783396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392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2.7332056318268183E-2</c:v>
                </c:pt>
                <c:pt idx="1">
                  <c:v>2.7350697277507607E-2</c:v>
                </c:pt>
                <c:pt idx="2">
                  <c:v>2.7369337879497357E-2</c:v>
                </c:pt>
                <c:pt idx="3">
                  <c:v>2.7387978124244206E-2</c:v>
                </c:pt>
                <c:pt idx="4">
                  <c:v>2.7406618011755035E-2</c:v>
                </c:pt>
                <c:pt idx="5">
                  <c:v>2.7425257542036618E-2</c:v>
                </c:pt>
                <c:pt idx="6">
                  <c:v>2.7443896715095839E-2</c:v>
                </c:pt>
                <c:pt idx="7">
                  <c:v>2.746253553093958E-2</c:v>
                </c:pt>
                <c:pt idx="8">
                  <c:v>2.7481173989574725E-2</c:v>
                </c:pt>
                <c:pt idx="9">
                  <c:v>2.7499812091007936E-2</c:v>
                </c:pt>
                <c:pt idx="10">
                  <c:v>2.7518449835246317E-2</c:v>
                </c:pt>
                <c:pt idx="11">
                  <c:v>2.753708722229653E-2</c:v>
                </c:pt>
                <c:pt idx="12">
                  <c:v>2.7555724252165459E-2</c:v>
                </c:pt>
                <c:pt idx="13">
                  <c:v>2.7574360924859986E-2</c:v>
                </c:pt>
                <c:pt idx="14">
                  <c:v>2.7592997240386885E-2</c:v>
                </c:pt>
                <c:pt idx="15">
                  <c:v>2.7611633198753149E-2</c:v>
                </c:pt>
                <c:pt idx="16">
                  <c:v>2.7630268799965441E-2</c:v>
                </c:pt>
                <c:pt idx="17">
                  <c:v>2.7648904044030642E-2</c:v>
                </c:pt>
                <c:pt idx="18">
                  <c:v>2.7667538930955748E-2</c:v>
                </c:pt>
                <c:pt idx="19">
                  <c:v>2.7686173460747421E-2</c:v>
                </c:pt>
                <c:pt idx="20">
                  <c:v>2.7704807633412654E-2</c:v>
                </c:pt>
                <c:pt idx="21">
                  <c:v>2.7723441448958219E-2</c:v>
                </c:pt>
                <c:pt idx="22">
                  <c:v>2.774207490739089E-2</c:v>
                </c:pt>
                <c:pt idx="23">
                  <c:v>2.776070800871755E-2</c:v>
                </c:pt>
                <c:pt idx="24">
                  <c:v>2.7779340752945192E-2</c:v>
                </c:pt>
                <c:pt idx="25">
                  <c:v>2.7797973140080479E-2</c:v>
                </c:pt>
                <c:pt idx="26">
                  <c:v>2.7816605170130293E-2</c:v>
                </c:pt>
                <c:pt idx="27">
                  <c:v>2.7835236843101518E-2</c:v>
                </c:pt>
                <c:pt idx="28">
                  <c:v>2.7853868159001038E-2</c:v>
                </c:pt>
                <c:pt idx="29">
                  <c:v>2.7872499117835625E-2</c:v>
                </c:pt>
                <c:pt idx="30">
                  <c:v>2.7891129719612051E-2</c:v>
                </c:pt>
                <c:pt idx="31">
                  <c:v>2.7909759964337311E-2</c:v>
                </c:pt>
                <c:pt idx="32">
                  <c:v>2.7928389852018176E-2</c:v>
                </c:pt>
                <c:pt idx="33">
                  <c:v>2.7947019382661531E-2</c:v>
                </c:pt>
                <c:pt idx="34">
                  <c:v>2.7965648556274147E-2</c:v>
                </c:pt>
                <c:pt idx="35">
                  <c:v>2.7984277372862909E-2</c:v>
                </c:pt>
                <c:pt idx="36">
                  <c:v>2.8002905832434588E-2</c:v>
                </c:pt>
                <c:pt idx="37">
                  <c:v>2.8021533934996179E-2</c:v>
                </c:pt>
                <c:pt idx="38">
                  <c:v>2.8040161680554343E-2</c:v>
                </c:pt>
                <c:pt idx="39">
                  <c:v>2.8058789069116075E-2</c:v>
                </c:pt>
                <c:pt idx="40">
                  <c:v>2.8077416100688146E-2</c:v>
                </c:pt>
                <c:pt idx="41">
                  <c:v>2.8096042775277441E-2</c:v>
                </c:pt>
                <c:pt idx="42">
                  <c:v>2.8114669092890732E-2</c:v>
                </c:pt>
                <c:pt idx="43">
                  <c:v>2.813329505353479E-2</c:v>
                </c:pt>
                <c:pt idx="44">
                  <c:v>2.8151920657216722E-2</c:v>
                </c:pt>
                <c:pt idx="45">
                  <c:v>2.8170545903943189E-2</c:v>
                </c:pt>
                <c:pt idx="46">
                  <c:v>2.8189170793720963E-2</c:v>
                </c:pt>
                <c:pt idx="47">
                  <c:v>2.8207795326557039E-2</c:v>
                </c:pt>
                <c:pt idx="48">
                  <c:v>2.8226419502458189E-2</c:v>
                </c:pt>
                <c:pt idx="49">
                  <c:v>2.8245043321431185E-2</c:v>
                </c:pt>
                <c:pt idx="50">
                  <c:v>2.8263666783483021E-2</c:v>
                </c:pt>
                <c:pt idx="51">
                  <c:v>2.8282289888620471E-2</c:v>
                </c:pt>
                <c:pt idx="52">
                  <c:v>2.8300912636850306E-2</c:v>
                </c:pt>
                <c:pt idx="53">
                  <c:v>2.831953502817941E-2</c:v>
                </c:pt>
                <c:pt idx="54">
                  <c:v>2.8338157062614666E-2</c:v>
                </c:pt>
                <c:pt idx="55">
                  <c:v>2.8356778740162847E-2</c:v>
                </c:pt>
                <c:pt idx="56">
                  <c:v>2.8375400060830835E-2</c:v>
                </c:pt>
                <c:pt idx="57">
                  <c:v>2.8394021024625515E-2</c:v>
                </c:pt>
                <c:pt idx="58">
                  <c:v>2.8412641631553659E-2</c:v>
                </c:pt>
                <c:pt idx="59">
                  <c:v>2.8431261881622039E-2</c:v>
                </c:pt>
                <c:pt idx="60">
                  <c:v>2.8449881774837649E-2</c:v>
                </c:pt>
                <c:pt idx="61">
                  <c:v>2.8468501311207262E-2</c:v>
                </c:pt>
                <c:pt idx="62">
                  <c:v>2.848712049073765E-2</c:v>
                </c:pt>
                <c:pt idx="63">
                  <c:v>2.8505739313435807E-2</c:v>
                </c:pt>
                <c:pt idx="64">
                  <c:v>2.8524357779308396E-2</c:v>
                </c:pt>
                <c:pt idx="65">
                  <c:v>2.8542975888362299E-2</c:v>
                </c:pt>
                <c:pt idx="66">
                  <c:v>2.8561593640604399E-2</c:v>
                </c:pt>
                <c:pt idx="67">
                  <c:v>2.8580211036041581E-2</c:v>
                </c:pt>
                <c:pt idx="68">
                  <c:v>2.8598828074680616E-2</c:v>
                </c:pt>
                <c:pt idx="69">
                  <c:v>2.8617444756528387E-2</c:v>
                </c:pt>
                <c:pt idx="70">
                  <c:v>2.8636061081591668E-2</c:v>
                </c:pt>
                <c:pt idx="71">
                  <c:v>2.8654677049877231E-2</c:v>
                </c:pt>
                <c:pt idx="72">
                  <c:v>2.867329266139218E-2</c:v>
                </c:pt>
                <c:pt idx="73">
                  <c:v>2.8691907916143067E-2</c:v>
                </c:pt>
                <c:pt idx="74">
                  <c:v>2.8710522814136885E-2</c:v>
                </c:pt>
                <c:pt idx="75">
                  <c:v>2.8729137355380407E-2</c:v>
                </c:pt>
                <c:pt idx="76">
                  <c:v>2.8747751539880406E-2</c:v>
                </c:pt>
                <c:pt idx="77">
                  <c:v>2.8766365367643987E-2</c:v>
                </c:pt>
                <c:pt idx="78">
                  <c:v>2.8784978838677699E-2</c:v>
                </c:pt>
                <c:pt idx="79">
                  <c:v>2.8803591952988539E-2</c:v>
                </c:pt>
                <c:pt idx="80">
                  <c:v>2.8822204710583166E-2</c:v>
                </c:pt>
                <c:pt idx="81">
                  <c:v>2.8840817111468686E-2</c:v>
                </c:pt>
                <c:pt idx="82">
                  <c:v>2.8859429155651761E-2</c:v>
                </c:pt>
                <c:pt idx="83">
                  <c:v>2.8878040843139163E-2</c:v>
                </c:pt>
                <c:pt idx="84">
                  <c:v>2.8896652173937887E-2</c:v>
                </c:pt>
                <c:pt idx="85">
                  <c:v>2.8915263148054704E-2</c:v>
                </c:pt>
                <c:pt idx="86">
                  <c:v>2.8933873765496387E-2</c:v>
                </c:pt>
                <c:pt idx="87">
                  <c:v>2.8952484026269931E-2</c:v>
                </c:pt>
                <c:pt idx="88">
                  <c:v>2.8971093930381997E-2</c:v>
                </c:pt>
                <c:pt idx="89">
                  <c:v>2.8989703477839579E-2</c:v>
                </c:pt>
                <c:pt idx="90">
                  <c:v>2.9008312668649339E-2</c:v>
                </c:pt>
                <c:pt idx="91">
                  <c:v>2.902692150281827E-2</c:v>
                </c:pt>
                <c:pt idx="92">
                  <c:v>2.9045529980353146E-2</c:v>
                </c:pt>
                <c:pt idx="93">
                  <c:v>2.9064138101260739E-2</c:v>
                </c:pt>
                <c:pt idx="94">
                  <c:v>2.9082745865547932E-2</c:v>
                </c:pt>
                <c:pt idx="95">
                  <c:v>2.9101353273221608E-2</c:v>
                </c:pt>
                <c:pt idx="96">
                  <c:v>2.9119960324288541E-2</c:v>
                </c:pt>
                <c:pt idx="97">
                  <c:v>2.9138567018755612E-2</c:v>
                </c:pt>
                <c:pt idx="98">
                  <c:v>2.9157173356629595E-2</c:v>
                </c:pt>
                <c:pt idx="99">
                  <c:v>2.9175779337917374E-2</c:v>
                </c:pt>
                <c:pt idx="100">
                  <c:v>2.919438496262583E-2</c:v>
                </c:pt>
                <c:pt idx="101">
                  <c:v>2.9212990230761626E-2</c:v>
                </c:pt>
                <c:pt idx="102">
                  <c:v>2.9231595142331757E-2</c:v>
                </c:pt>
                <c:pt idx="103">
                  <c:v>2.9250199697342993E-2</c:v>
                </c:pt>
                <c:pt idx="104">
                  <c:v>2.9268803895802109E-2</c:v>
                </c:pt>
                <c:pt idx="105">
                  <c:v>2.9287407737716098E-2</c:v>
                </c:pt>
                <c:pt idx="106">
                  <c:v>2.9306011223091732E-2</c:v>
                </c:pt>
                <c:pt idx="107">
                  <c:v>2.9324614351935674E-2</c:v>
                </c:pt>
                <c:pt idx="108">
                  <c:v>2.9343217124255028E-2</c:v>
                </c:pt>
                <c:pt idx="109">
                  <c:v>2.9361819540056455E-2</c:v>
                </c:pt>
                <c:pt idx="110">
                  <c:v>2.938042159934684E-2</c:v>
                </c:pt>
                <c:pt idx="111">
                  <c:v>2.9399023302132954E-2</c:v>
                </c:pt>
                <c:pt idx="112">
                  <c:v>2.9417624648421681E-2</c:v>
                </c:pt>
                <c:pt idx="113">
                  <c:v>2.9436225638219904E-2</c:v>
                </c:pt>
                <c:pt idx="114">
                  <c:v>2.9454826271534285E-2</c:v>
                </c:pt>
                <c:pt idx="115">
                  <c:v>2.9473426548371928E-2</c:v>
                </c:pt>
                <c:pt idx="116">
                  <c:v>2.9492026468739385E-2</c:v>
                </c:pt>
                <c:pt idx="117">
                  <c:v>2.951062603264365E-2</c:v>
                </c:pt>
                <c:pt idx="118">
                  <c:v>2.9529225240091606E-2</c:v>
                </c:pt>
                <c:pt idx="119">
                  <c:v>2.9547824091089914E-2</c:v>
                </c:pt>
                <c:pt idx="120">
                  <c:v>2.9566422585645458E-2</c:v>
                </c:pt>
                <c:pt idx="121">
                  <c:v>2.9585020723765121E-2</c:v>
                </c:pt>
                <c:pt idx="122">
                  <c:v>2.9603618505455676E-2</c:v>
                </c:pt>
                <c:pt idx="123">
                  <c:v>2.9622215930724116E-2</c:v>
                </c:pt>
                <c:pt idx="124">
                  <c:v>2.9640812999576993E-2</c:v>
                </c:pt>
                <c:pt idx="125">
                  <c:v>2.9659409712021412E-2</c:v>
                </c:pt>
                <c:pt idx="126">
                  <c:v>2.9678006068063922E-2</c:v>
                </c:pt>
                <c:pt idx="127">
                  <c:v>2.969660206771163E-2</c:v>
                </c:pt>
                <c:pt idx="128">
                  <c:v>2.9715197710971197E-2</c:v>
                </c:pt>
                <c:pt idx="129">
                  <c:v>2.9733792997849617E-2</c:v>
                </c:pt>
                <c:pt idx="130">
                  <c:v>2.9752387928353441E-2</c:v>
                </c:pt>
                <c:pt idx="131">
                  <c:v>2.9770982502489773E-2</c:v>
                </c:pt>
                <c:pt idx="132">
                  <c:v>2.9789576720265276E-2</c:v>
                </c:pt>
                <c:pt idx="133">
                  <c:v>2.9808170581686944E-2</c:v>
                </c:pt>
                <c:pt idx="134">
                  <c:v>2.9826764086761326E-2</c:v>
                </c:pt>
                <c:pt idx="135">
                  <c:v>2.9845357235495529E-2</c:v>
                </c:pt>
                <c:pt idx="136">
                  <c:v>2.9863950027896324E-2</c:v>
                </c:pt>
                <c:pt idx="137">
                  <c:v>2.9882542463970485E-2</c:v>
                </c:pt>
                <c:pt idx="138">
                  <c:v>2.9901134543724783E-2</c:v>
                </c:pt>
                <c:pt idx="139">
                  <c:v>2.9919726267166102E-2</c:v>
                </c:pt>
                <c:pt idx="140">
                  <c:v>2.9938317634301326E-2</c:v>
                </c:pt>
                <c:pt idx="141">
                  <c:v>2.9956908645137226E-2</c:v>
                </c:pt>
                <c:pt idx="142">
                  <c:v>2.9975499299680686E-2</c:v>
                </c:pt>
                <c:pt idx="143">
                  <c:v>2.9994089597938367E-2</c:v>
                </c:pt>
                <c:pt idx="144">
                  <c:v>3.0012679539917375E-2</c:v>
                </c:pt>
                <c:pt idx="145">
                  <c:v>3.003126912562426E-2</c:v>
                </c:pt>
                <c:pt idx="146">
                  <c:v>3.0049858355066128E-2</c:v>
                </c:pt>
                <c:pt idx="147">
                  <c:v>3.0068447228249529E-2</c:v>
                </c:pt>
                <c:pt idx="148">
                  <c:v>3.0087035745181456E-2</c:v>
                </c:pt>
                <c:pt idx="149">
                  <c:v>3.0105623905868684E-2</c:v>
                </c:pt>
                <c:pt idx="150">
                  <c:v>3.0124211710318094E-2</c:v>
                </c:pt>
                <c:pt idx="151">
                  <c:v>3.014279915853646E-2</c:v>
                </c:pt>
                <c:pt idx="152">
                  <c:v>3.0161386250530553E-2</c:v>
                </c:pt>
                <c:pt idx="153">
                  <c:v>3.0179972986307368E-2</c:v>
                </c:pt>
                <c:pt idx="154">
                  <c:v>3.0198559365873567E-2</c:v>
                </c:pt>
                <c:pt idx="155">
                  <c:v>3.0217145389236033E-2</c:v>
                </c:pt>
                <c:pt idx="156">
                  <c:v>3.0235731056401649E-2</c:v>
                </c:pt>
                <c:pt idx="157">
                  <c:v>3.0254316367377188E-2</c:v>
                </c:pt>
                <c:pt idx="158">
                  <c:v>3.0272901322169421E-2</c:v>
                </c:pt>
                <c:pt idx="159">
                  <c:v>3.0291485920785233E-2</c:v>
                </c:pt>
                <c:pt idx="160">
                  <c:v>3.0310070163231506E-2</c:v>
                </c:pt>
                <c:pt idx="161">
                  <c:v>3.0328654049515014E-2</c:v>
                </c:pt>
                <c:pt idx="162">
                  <c:v>3.0347237579642639E-2</c:v>
                </c:pt>
                <c:pt idx="163">
                  <c:v>3.0365820753621042E-2</c:v>
                </c:pt>
                <c:pt idx="164">
                  <c:v>3.0384403571457219E-2</c:v>
                </c:pt>
                <c:pt idx="165">
                  <c:v>3.0402986033157831E-2</c:v>
                </c:pt>
                <c:pt idx="166">
                  <c:v>3.0421568138729871E-2</c:v>
                </c:pt>
                <c:pt idx="167">
                  <c:v>3.0440149888180112E-2</c:v>
                </c:pt>
                <c:pt idx="168">
                  <c:v>3.0458731281515439E-2</c:v>
                </c:pt>
                <c:pt idx="169">
                  <c:v>3.0477312318742511E-2</c:v>
                </c:pt>
                <c:pt idx="170">
                  <c:v>3.0495892999868213E-2</c:v>
                </c:pt>
                <c:pt idx="171">
                  <c:v>3.0514473324899427E-2</c:v>
                </c:pt>
                <c:pt idx="172">
                  <c:v>3.0533053293842927E-2</c:v>
                </c:pt>
                <c:pt idx="173">
                  <c:v>3.0551632906705706E-2</c:v>
                </c:pt>
                <c:pt idx="174">
                  <c:v>3.0570212163494315E-2</c:v>
                </c:pt>
                <c:pt idx="175">
                  <c:v>3.0588791064215637E-2</c:v>
                </c:pt>
                <c:pt idx="176">
                  <c:v>3.0607369608876667E-2</c:v>
                </c:pt>
                <c:pt idx="177">
                  <c:v>3.0625947797484177E-2</c:v>
                </c:pt>
                <c:pt idx="178">
                  <c:v>3.0644525630044828E-2</c:v>
                </c:pt>
                <c:pt idx="179">
                  <c:v>3.0663103106565615E-2</c:v>
                </c:pt>
                <c:pt idx="180">
                  <c:v>3.068168022705331E-2</c:v>
                </c:pt>
                <c:pt idx="181">
                  <c:v>3.0700256991514685E-2</c:v>
                </c:pt>
                <c:pt idx="182">
                  <c:v>3.0718833399956624E-2</c:v>
                </c:pt>
                <c:pt idx="183">
                  <c:v>3.0737409452386011E-2</c:v>
                </c:pt>
                <c:pt idx="184">
                  <c:v>3.0755985148809506E-2</c:v>
                </c:pt>
                <c:pt idx="185">
                  <c:v>3.0774560489233993E-2</c:v>
                </c:pt>
                <c:pt idx="186">
                  <c:v>3.0793135473666355E-2</c:v>
                </c:pt>
                <c:pt idx="187">
                  <c:v>3.0811710102113476E-2</c:v>
                </c:pt>
                <c:pt idx="188">
                  <c:v>3.0830284374581907E-2</c:v>
                </c:pt>
                <c:pt idx="189">
                  <c:v>3.0848858291078751E-2</c:v>
                </c:pt>
                <c:pt idx="190">
                  <c:v>3.0867431851610672E-2</c:v>
                </c:pt>
                <c:pt idx="191">
                  <c:v>3.0886005056184551E-2</c:v>
                </c:pt>
                <c:pt idx="192">
                  <c:v>3.0904577904807273E-2</c:v>
                </c:pt>
                <c:pt idx="193">
                  <c:v>3.0923150397485499E-2</c:v>
                </c:pt>
                <c:pt idx="194">
                  <c:v>3.0941722534226224E-2</c:v>
                </c:pt>
                <c:pt idx="195">
                  <c:v>3.0960294315036108E-2</c:v>
                </c:pt>
                <c:pt idx="196">
                  <c:v>3.0978865739922035E-2</c:v>
                </c:pt>
                <c:pt idx="197">
                  <c:v>3.0997436808890888E-2</c:v>
                </c:pt>
                <c:pt idx="198">
                  <c:v>3.101600752194944E-2</c:v>
                </c:pt>
                <c:pt idx="199">
                  <c:v>3.1034577879104575E-2</c:v>
                </c:pt>
                <c:pt idx="200">
                  <c:v>3.1053147880362952E-2</c:v>
                </c:pt>
                <c:pt idx="201">
                  <c:v>3.1071717525731568E-2</c:v>
                </c:pt>
                <c:pt idx="202">
                  <c:v>3.1090286815217083E-2</c:v>
                </c:pt>
                <c:pt idx="203">
                  <c:v>3.1108855748826381E-2</c:v>
                </c:pt>
                <c:pt idx="204">
                  <c:v>3.1127424326566455E-2</c:v>
                </c:pt>
                <c:pt idx="205">
                  <c:v>3.1145992548443857E-2</c:v>
                </c:pt>
                <c:pt idx="206">
                  <c:v>3.1164560414465581E-2</c:v>
                </c:pt>
                <c:pt idx="207">
                  <c:v>3.1183127924638288E-2</c:v>
                </c:pt>
                <c:pt idx="208">
                  <c:v>3.1201695078968972E-2</c:v>
                </c:pt>
                <c:pt idx="209">
                  <c:v>3.1220261877464406E-2</c:v>
                </c:pt>
                <c:pt idx="210">
                  <c:v>3.1238828320131362E-2</c:v>
                </c:pt>
                <c:pt idx="211">
                  <c:v>3.1257394406976613E-2</c:v>
                </c:pt>
                <c:pt idx="212">
                  <c:v>3.1275960138007153E-2</c:v>
                </c:pt>
                <c:pt idx="213">
                  <c:v>3.1294525513229643E-2</c:v>
                </c:pt>
                <c:pt idx="214">
                  <c:v>3.1313090532650856E-2</c:v>
                </c:pt>
                <c:pt idx="215">
                  <c:v>3.1331655196277897E-2</c:v>
                </c:pt>
                <c:pt idx="216">
                  <c:v>3.1350219504117205E-2</c:v>
                </c:pt>
                <c:pt idx="217">
                  <c:v>3.1368783456175886E-2</c:v>
                </c:pt>
                <c:pt idx="218">
                  <c:v>3.1387347052460712E-2</c:v>
                </c:pt>
                <c:pt idx="219">
                  <c:v>3.1405910292978345E-2</c:v>
                </c:pt>
                <c:pt idx="220">
                  <c:v>3.1424473177735779E-2</c:v>
                </c:pt>
                <c:pt idx="221">
                  <c:v>3.1443035706739786E-2</c:v>
                </c:pt>
                <c:pt idx="222">
                  <c:v>3.1461597879997028E-2</c:v>
                </c:pt>
                <c:pt idx="223">
                  <c:v>3.1480159697514609E-2</c:v>
                </c:pt>
                <c:pt idx="224">
                  <c:v>3.1498721159299081E-2</c:v>
                </c:pt>
                <c:pt idx="225">
                  <c:v>3.1517282265357438E-2</c:v>
                </c:pt>
                <c:pt idx="226">
                  <c:v>3.1535843015696452E-2</c:v>
                </c:pt>
                <c:pt idx="227">
                  <c:v>3.1554403410322784E-2</c:v>
                </c:pt>
                <c:pt idx="228">
                  <c:v>3.1572963449243541E-2</c:v>
                </c:pt>
                <c:pt idx="229">
                  <c:v>3.1591523132465271E-2</c:v>
                </c:pt>
                <c:pt idx="230">
                  <c:v>3.161008245999497E-2</c:v>
                </c:pt>
                <c:pt idx="231">
                  <c:v>3.162864143183941E-2</c:v>
                </c:pt>
                <c:pt idx="232">
                  <c:v>3.1647200048005364E-2</c:v>
                </c:pt>
                <c:pt idx="233">
                  <c:v>3.1665758308499714E-2</c:v>
                </c:pt>
                <c:pt idx="234">
                  <c:v>3.1684316213329122E-2</c:v>
                </c:pt>
                <c:pt idx="235">
                  <c:v>3.1702873762500583E-2</c:v>
                </c:pt>
                <c:pt idx="236">
                  <c:v>3.1721430956020868E-2</c:v>
                </c:pt>
                <c:pt idx="237">
                  <c:v>3.1739987793896751E-2</c:v>
                </c:pt>
                <c:pt idx="238">
                  <c:v>3.1758544276135114E-2</c:v>
                </c:pt>
                <c:pt idx="239">
                  <c:v>3.177710040274262E-2</c:v>
                </c:pt>
                <c:pt idx="240">
                  <c:v>3.1795656173726261E-2</c:v>
                </c:pt>
                <c:pt idx="241">
                  <c:v>3.1814211589092811E-2</c:v>
                </c:pt>
                <c:pt idx="242">
                  <c:v>3.1832766648849042E-2</c:v>
                </c:pt>
                <c:pt idx="243">
                  <c:v>3.1851321353001727E-2</c:v>
                </c:pt>
                <c:pt idx="244">
                  <c:v>3.1869875701557859E-2</c:v>
                </c:pt>
                <c:pt idx="245">
                  <c:v>3.188842969452399E-2</c:v>
                </c:pt>
                <c:pt idx="246">
                  <c:v>3.1906983331907224E-2</c:v>
                </c:pt>
                <c:pt idx="247">
                  <c:v>3.1925536613714112E-2</c:v>
                </c:pt>
                <c:pt idx="248">
                  <c:v>3.1944089539951648E-2</c:v>
                </c:pt>
                <c:pt idx="249">
                  <c:v>3.1962642110626605E-2</c:v>
                </c:pt>
                <c:pt idx="250">
                  <c:v>3.1981194325745754E-2</c:v>
                </c:pt>
                <c:pt idx="251">
                  <c:v>3.1999746185315869E-2</c:v>
                </c:pt>
                <c:pt idx="252">
                  <c:v>3.2018297689343944E-2</c:v>
                </c:pt>
                <c:pt idx="253">
                  <c:v>3.2036848837836529E-2</c:v>
                </c:pt>
                <c:pt idx="254">
                  <c:v>3.2055399630800729E-2</c:v>
                </c:pt>
                <c:pt idx="255">
                  <c:v>3.2073950068243096E-2</c:v>
                </c:pt>
                <c:pt idx="256">
                  <c:v>3.2092500150170622E-2</c:v>
                </c:pt>
                <c:pt idx="257">
                  <c:v>3.2111049876590081E-2</c:v>
                </c:pt>
                <c:pt idx="258">
                  <c:v>3.2129599247508245E-2</c:v>
                </c:pt>
                <c:pt idx="259">
                  <c:v>3.2148148262931997E-2</c:v>
                </c:pt>
                <c:pt idx="260">
                  <c:v>3.2166696922867999E-2</c:v>
                </c:pt>
                <c:pt idx="261">
                  <c:v>3.2185245227323245E-2</c:v>
                </c:pt>
                <c:pt idx="262">
                  <c:v>3.2203793176304396E-2</c:v>
                </c:pt>
                <c:pt idx="263">
                  <c:v>3.2222340769818447E-2</c:v>
                </c:pt>
                <c:pt idx="264">
                  <c:v>3.2240888007871948E-2</c:v>
                </c:pt>
                <c:pt idx="265">
                  <c:v>3.2259434890472005E-2</c:v>
                </c:pt>
                <c:pt idx="266">
                  <c:v>3.2277981417625168E-2</c:v>
                </c:pt>
                <c:pt idx="267">
                  <c:v>3.2296527589338431E-2</c:v>
                </c:pt>
                <c:pt idx="268">
                  <c:v>3.2315073405618566E-2</c:v>
                </c:pt>
                <c:pt idx="269">
                  <c:v>3.2333618866472347E-2</c:v>
                </c:pt>
                <c:pt idx="270">
                  <c:v>3.2352163971906545E-2</c:v>
                </c:pt>
                <c:pt idx="271">
                  <c:v>3.2370708721928154E-2</c:v>
                </c:pt>
                <c:pt idx="272">
                  <c:v>3.2389253116543726E-2</c:v>
                </c:pt>
                <c:pt idx="273">
                  <c:v>3.2407797155760254E-2</c:v>
                </c:pt>
                <c:pt idx="274">
                  <c:v>3.2426340839584511E-2</c:v>
                </c:pt>
                <c:pt idx="275">
                  <c:v>3.2444884168023269E-2</c:v>
                </c:pt>
                <c:pt idx="276">
                  <c:v>3.2463427141083412E-2</c:v>
                </c:pt>
                <c:pt idx="277">
                  <c:v>3.2481969758771712E-2</c:v>
                </c:pt>
                <c:pt idx="278">
                  <c:v>3.2500512021094941E-2</c:v>
                </c:pt>
                <c:pt idx="279">
                  <c:v>3.2519053928059982E-2</c:v>
                </c:pt>
                <c:pt idx="280">
                  <c:v>3.2537595479673609E-2</c:v>
                </c:pt>
                <c:pt idx="281">
                  <c:v>3.2556136675942593E-2</c:v>
                </c:pt>
                <c:pt idx="282">
                  <c:v>3.2574677516873707E-2</c:v>
                </c:pt>
                <c:pt idx="283">
                  <c:v>3.2593218002473945E-2</c:v>
                </c:pt>
                <c:pt idx="284">
                  <c:v>3.2611758132749968E-2</c:v>
                </c:pt>
                <c:pt idx="285">
                  <c:v>3.2630297907708661E-2</c:v>
                </c:pt>
                <c:pt idx="286">
                  <c:v>3.2648837327356794E-2</c:v>
                </c:pt>
                <c:pt idx="287">
                  <c:v>3.2667376391701142E-2</c:v>
                </c:pt>
                <c:pt idx="288">
                  <c:v>3.2685915100748475E-2</c:v>
                </c:pt>
                <c:pt idx="289">
                  <c:v>3.2704453454505789E-2</c:v>
                </c:pt>
                <c:pt idx="290">
                  <c:v>3.2722991452979744E-2</c:v>
                </c:pt>
                <c:pt idx="291">
                  <c:v>3.2741529096177224E-2</c:v>
                </c:pt>
                <c:pt idx="292">
                  <c:v>3.2760066384105002E-2</c:v>
                </c:pt>
                <c:pt idx="293">
                  <c:v>3.277860331676985E-2</c:v>
                </c:pt>
                <c:pt idx="294">
                  <c:v>3.2797139894178651E-2</c:v>
                </c:pt>
                <c:pt idx="295">
                  <c:v>3.2815676116338066E-2</c:v>
                </c:pt>
                <c:pt idx="296">
                  <c:v>3.283421198325509E-2</c:v>
                </c:pt>
                <c:pt idx="297">
                  <c:v>3.2852747494936496E-2</c:v>
                </c:pt>
                <c:pt idx="298">
                  <c:v>3.2871282651389055E-2</c:v>
                </c:pt>
                <c:pt idx="299">
                  <c:v>3.2889817452619541E-2</c:v>
                </c:pt>
                <c:pt idx="300">
                  <c:v>3.2908351898634725E-2</c:v>
                </c:pt>
                <c:pt idx="301">
                  <c:v>3.292688598944149E-2</c:v>
                </c:pt>
                <c:pt idx="302">
                  <c:v>3.2945419725046721E-2</c:v>
                </c:pt>
                <c:pt idx="303">
                  <c:v>3.2963953105457078E-2</c:v>
                </c:pt>
                <c:pt idx="304">
                  <c:v>3.2982486130679445E-2</c:v>
                </c:pt>
                <c:pt idx="305">
                  <c:v>3.3001018800720594E-2</c:v>
                </c:pt>
                <c:pt idx="306">
                  <c:v>3.3019551115587298E-2</c:v>
                </c:pt>
                <c:pt idx="307">
                  <c:v>3.3038083075286551E-2</c:v>
                </c:pt>
                <c:pt idx="308">
                  <c:v>3.3056614679824903E-2</c:v>
                </c:pt>
                <c:pt idx="309">
                  <c:v>3.3075145929209349E-2</c:v>
                </c:pt>
                <c:pt idx="310">
                  <c:v>3.3093676823446661E-2</c:v>
                </c:pt>
                <c:pt idx="311">
                  <c:v>3.31122073625435E-2</c:v>
                </c:pt>
                <c:pt idx="312">
                  <c:v>3.3130737546506861E-2</c:v>
                </c:pt>
                <c:pt idx="313">
                  <c:v>3.3149267375343405E-2</c:v>
                </c:pt>
                <c:pt idx="314">
                  <c:v>3.3167796849060127E-2</c:v>
                </c:pt>
                <c:pt idx="315">
                  <c:v>3.3186325967663577E-2</c:v>
                </c:pt>
                <c:pt idx="316">
                  <c:v>3.3204854731160749E-2</c:v>
                </c:pt>
                <c:pt idx="317">
                  <c:v>3.3223383139558416E-2</c:v>
                </c:pt>
                <c:pt idx="318">
                  <c:v>3.3241911192863349E-2</c:v>
                </c:pt>
                <c:pt idx="319">
                  <c:v>3.3260438891082433E-2</c:v>
                </c:pt>
                <c:pt idx="320">
                  <c:v>3.3278966234222329E-2</c:v>
                </c:pt>
                <c:pt idx="321">
                  <c:v>3.329749322228992E-2</c:v>
                </c:pt>
                <c:pt idx="322">
                  <c:v>3.3316019855292089E-2</c:v>
                </c:pt>
                <c:pt idx="323">
                  <c:v>3.3334546133235499E-2</c:v>
                </c:pt>
                <c:pt idx="324">
                  <c:v>3.3353072056127031E-2</c:v>
                </c:pt>
                <c:pt idx="325">
                  <c:v>3.3371597623973459E-2</c:v>
                </c:pt>
                <c:pt idx="326">
                  <c:v>3.3390122836781555E-2</c:v>
                </c:pt>
                <c:pt idx="327">
                  <c:v>3.3408647694558313E-2</c:v>
                </c:pt>
                <c:pt idx="328">
                  <c:v>3.3427172197310284E-2</c:v>
                </c:pt>
                <c:pt idx="329">
                  <c:v>3.3445696345044462E-2</c:v>
                </c:pt>
                <c:pt idx="330">
                  <c:v>3.3464220137767509E-2</c:v>
                </c:pt>
                <c:pt idx="331">
                  <c:v>3.3482743575486307E-2</c:v>
                </c:pt>
                <c:pt idx="332">
                  <c:v>3.3501266658207629E-2</c:v>
                </c:pt>
                <c:pt idx="333">
                  <c:v>3.3519789385938359E-2</c:v>
                </c:pt>
                <c:pt idx="334">
                  <c:v>3.3538311758685269E-2</c:v>
                </c:pt>
                <c:pt idx="335">
                  <c:v>3.355683377645502E-2</c:v>
                </c:pt>
                <c:pt idx="336">
                  <c:v>3.3575355439254606E-2</c:v>
                </c:pt>
                <c:pt idx="337">
                  <c:v>3.359387674709069E-2</c:v>
                </c:pt>
                <c:pt idx="338">
                  <c:v>3.3612397699970153E-2</c:v>
                </c:pt>
                <c:pt idx="339">
                  <c:v>3.363091829789977E-2</c:v>
                </c:pt>
                <c:pt idx="340">
                  <c:v>3.3649438540886423E-2</c:v>
                </c:pt>
                <c:pt idx="341">
                  <c:v>3.3667958428936773E-2</c:v>
                </c:pt>
                <c:pt idx="342">
                  <c:v>3.3686477962057704E-2</c:v>
                </c:pt>
                <c:pt idx="343">
                  <c:v>3.3704997140256099E-2</c:v>
                </c:pt>
                <c:pt idx="344">
                  <c:v>3.3723515963538508E-2</c:v>
                </c:pt>
                <c:pt idx="345">
                  <c:v>3.3742034431912038E-2</c:v>
                </c:pt>
                <c:pt idx="346">
                  <c:v>3.3760552545383238E-2</c:v>
                </c:pt>
                <c:pt idx="347">
                  <c:v>3.3779070303959102E-2</c:v>
                </c:pt>
                <c:pt idx="348">
                  <c:v>3.3797587707646293E-2</c:v>
                </c:pt>
                <c:pt idx="349">
                  <c:v>3.3816104756451693E-2</c:v>
                </c:pt>
                <c:pt idx="350">
                  <c:v>3.3834621450382074E-2</c:v>
                </c:pt>
                <c:pt idx="351">
                  <c:v>3.385313778944421E-2</c:v>
                </c:pt>
                <c:pt idx="352">
                  <c:v>3.3871653773644983E-2</c:v>
                </c:pt>
                <c:pt idx="353">
                  <c:v>3.3890169402991055E-2</c:v>
                </c:pt>
                <c:pt idx="354">
                  <c:v>3.390868467748942E-2</c:v>
                </c:pt>
                <c:pt idx="355">
                  <c:v>3.392719959714674E-2</c:v>
                </c:pt>
                <c:pt idx="356">
                  <c:v>3.3945714161969787E-2</c:v>
                </c:pt>
                <c:pt idx="357">
                  <c:v>3.3964228371965555E-2</c:v>
                </c:pt>
                <c:pt idx="358">
                  <c:v>3.3982742227140594E-2</c:v>
                </c:pt>
                <c:pt idx="359">
                  <c:v>3.4001255727501789E-2</c:v>
                </c:pt>
                <c:pt idx="360">
                  <c:v>3.4019768873056133E-2</c:v>
                </c:pt>
                <c:pt idx="361">
                  <c:v>3.4038281663810177E-2</c:v>
                </c:pt>
                <c:pt idx="362">
                  <c:v>3.4056794099770804E-2</c:v>
                </c:pt>
                <c:pt idx="363">
                  <c:v>3.4075306180944787E-2</c:v>
                </c:pt>
                <c:pt idx="364">
                  <c:v>3.4093817907339008E-2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2.7993507575275675E-2</c:v>
                </c:pt>
                <c:pt idx="1">
                  <c:v>2.8058167257370637E-2</c:v>
                </c:pt>
                <c:pt idx="2">
                  <c:v>2.8122824912593117E-2</c:v>
                </c:pt>
                <c:pt idx="3">
                  <c:v>2.818747444966771E-2</c:v>
                </c:pt>
                <c:pt idx="4">
                  <c:v>2.8252110567943117E-2</c:v>
                </c:pt>
                <c:pt idx="5">
                  <c:v>2.8316728739719084E-2</c:v>
                </c:pt>
                <c:pt idx="6">
                  <c:v>2.8381325185918221E-2</c:v>
                </c:pt>
                <c:pt idx="7">
                  <c:v>2.8445896845546749E-2</c:v>
                </c:pt>
                <c:pt idx="8">
                  <c:v>2.8510441339439196E-2</c:v>
                </c:pt>
                <c:pt idx="9">
                  <c:v>2.8574956928827337E-2</c:v>
                </c:pt>
                <c:pt idx="10">
                  <c:v>2.863944246931277E-2</c:v>
                </c:pt>
                <c:pt idx="11">
                  <c:v>2.8703897360856077E-2</c:v>
                </c:pt>
                <c:pt idx="12">
                  <c:v>2.8768321494421985E-2</c:v>
                </c:pt>
                <c:pt idx="13">
                  <c:v>2.8832715195939856E-2</c:v>
                </c:pt>
                <c:pt idx="14">
                  <c:v>2.8897079168252522E-2</c:v>
                </c:pt>
                <c:pt idx="15">
                  <c:v>2.8961414431732519E-2</c:v>
                </c:pt>
                <c:pt idx="16">
                  <c:v>2.9025722264244779E-2</c:v>
                </c:pt>
                <c:pt idx="17">
                  <c:v>2.9090004141127286E-2</c:v>
                </c:pt>
                <c:pt idx="18">
                  <c:v>2.9154261675848295E-2</c:v>
                </c:pt>
                <c:pt idx="19">
                  <c:v>2.9218496561978016E-2</c:v>
                </c:pt>
                <c:pt idx="20">
                  <c:v>2.9282710517087213E-2</c:v>
                </c:pt>
                <c:pt idx="21">
                  <c:v>2.934690522915304E-2</c:v>
                </c:pt>
                <c:pt idx="22">
                  <c:v>2.9411082306015593E-2</c:v>
                </c:pt>
                <c:pt idx="23">
                  <c:v>2.9475243228386738E-2</c:v>
                </c:pt>
                <c:pt idx="24">
                  <c:v>2.9539389306866268E-2</c:v>
                </c:pt>
                <c:pt idx="25">
                  <c:v>2.9603521643370614E-2</c:v>
                </c:pt>
                <c:pt idx="26">
                  <c:v>2.9667641097325403E-2</c:v>
                </c:pt>
                <c:pt idx="27">
                  <c:v>2.9731748256917604E-2</c:v>
                </c:pt>
                <c:pt idx="28">
                  <c:v>2.9795843415644282E-2</c:v>
                </c:pt>
                <c:pt idx="29">
                  <c:v>2.985992655433551E-2</c:v>
                </c:pt>
                <c:pt idx="30">
                  <c:v>2.9923997328768673E-2</c:v>
                </c:pt>
                <c:pt idx="31">
                  <c:v>2.9988055062930324E-2</c:v>
                </c:pt>
                <c:pt idx="32">
                  <c:v>3.0052098747922001E-2</c:v>
                </c:pt>
                <c:pt idx="33">
                  <c:v>3.0116127046446856E-2</c:v>
                </c:pt>
                <c:pt idx="34">
                  <c:v>3.0180138302756898E-2</c:v>
                </c:pt>
                <c:pt idx="35">
                  <c:v>3.0244130557884927E-2</c:v>
                </c:pt>
                <c:pt idx="36">
                  <c:v>3.0308101569933275E-2</c:v>
                </c:pt>
                <c:pt idx="37">
                  <c:v>3.037204883914215E-2</c:v>
                </c:pt>
                <c:pt idx="38">
                  <c:v>3.0435969637414743E-2</c:v>
                </c:pt>
                <c:pt idx="39">
                  <c:v>3.0499861041935354E-2</c:v>
                </c:pt>
                <c:pt idx="40">
                  <c:v>3.0563719972480252E-2</c:v>
                </c:pt>
                <c:pt idx="41">
                  <c:v>3.0627543231988512E-2</c:v>
                </c:pt>
                <c:pt idx="42">
                  <c:v>3.0691327549934148E-2</c:v>
                </c:pt>
                <c:pt idx="43">
                  <c:v>3.0755069628018987E-2</c:v>
                </c:pt>
                <c:pt idx="44">
                  <c:v>3.0818766187689882E-2</c:v>
                </c:pt>
                <c:pt idx="45">
                  <c:v>3.0882414018973615E-2</c:v>
                </c:pt>
                <c:pt idx="46">
                  <c:v>3.0946010030117637E-2</c:v>
                </c:pt>
                <c:pt idx="47">
                  <c:v>3.1009551297525723E-2</c:v>
                </c:pt>
                <c:pt idx="48">
                  <c:v>3.1073035115483483E-2</c:v>
                </c:pt>
                <c:pt idx="49">
                  <c:v>3.1136459045179837E-2</c:v>
                </c:pt>
                <c:pt idx="50">
                  <c:v>3.1199820962546875E-2</c:v>
                </c:pt>
                <c:pt idx="51">
                  <c:v>3.1263119104461286E-2</c:v>
                </c:pt>
                <c:pt idx="52">
                  <c:v>3.1326352112876335E-2</c:v>
                </c:pt>
                <c:pt idx="53">
                  <c:v>3.1389519076481964E-2</c:v>
                </c:pt>
                <c:pt idx="54">
                  <c:v>3.1452619569524623E-2</c:v>
                </c:pt>
                <c:pt idx="55">
                  <c:v>3.1515653687453682E-2</c:v>
                </c:pt>
                <c:pt idx="56">
                  <c:v>3.1578622079100685E-2</c:v>
                </c:pt>
                <c:pt idx="57">
                  <c:v>3.1641525975139063E-2</c:v>
                </c:pt>
                <c:pt idx="58">
                  <c:v>3.1704367212614035E-2</c:v>
                </c:pt>
                <c:pt idx="59">
                  <c:v>3.1767148255377256E-2</c:v>
                </c:pt>
                <c:pt idx="60">
                  <c:v>3.1829872210304928E-2</c:v>
                </c:pt>
                <c:pt idx="61">
                  <c:v>3.1892542839222958E-2</c:v>
                </c:pt>
                <c:pt idx="62">
                  <c:v>3.1955164566507481E-2</c:v>
                </c:pt>
                <c:pt idx="63">
                  <c:v>3.2017742482371908E-2</c:v>
                </c:pt>
                <c:pt idx="64">
                  <c:v>3.2080282341894389E-2</c:v>
                </c:pt>
                <c:pt idx="65">
                  <c:v>3.2142790559879154E-2</c:v>
                </c:pt>
                <c:pt idx="66">
                  <c:v>3.2205274201683447E-2</c:v>
                </c:pt>
                <c:pt idx="67">
                  <c:v>3.2267740970176845E-2</c:v>
                </c:pt>
                <c:pt idx="68">
                  <c:v>3.2330199189031378E-2</c:v>
                </c:pt>
                <c:pt idx="69">
                  <c:v>3.2392657782570146E-2</c:v>
                </c:pt>
                <c:pt idx="70">
                  <c:v>3.2455126252426393E-2</c:v>
                </c:pt>
                <c:pt idx="71">
                  <c:v>3.2517614651286504E-2</c:v>
                </c:pt>
                <c:pt idx="72">
                  <c:v>3.2580133554006963E-2</c:v>
                </c:pt>
                <c:pt idx="73">
                  <c:v>3.2642694026408035E-2</c:v>
                </c:pt>
                <c:pt idx="74">
                  <c:v>3.270530759205572E-2</c:v>
                </c:pt>
                <c:pt idx="75">
                  <c:v>3.2767986197346867E-2</c:v>
                </c:pt>
                <c:pt idx="76">
                  <c:v>3.2830742175213014E-2</c:v>
                </c:pt>
                <c:pt idx="77">
                  <c:v>3.2893588207753642E-2</c:v>
                </c:pt>
                <c:pt idx="78">
                  <c:v>3.2956537288101384E-2</c:v>
                </c:pt>
                <c:pt idx="79">
                  <c:v>3.3019602681809646E-2</c:v>
                </c:pt>
                <c:pt idx="80">
                  <c:v>3.308279788803746E-2</c:v>
                </c:pt>
                <c:pt idx="81">
                  <c:v>3.3146136600786878E-2</c:v>
                </c:pt>
                <c:pt idx="82">
                  <c:v>3.3209632670427362E-2</c:v>
                </c:pt>
                <c:pt idx="83">
                  <c:v>3.3273300065715772E-2</c:v>
                </c:pt>
                <c:pt idx="84">
                  <c:v>3.3337152836495181E-2</c:v>
                </c:pt>
                <c:pt idx="85">
                  <c:v>3.3401205077226159E-2</c:v>
                </c:pt>
                <c:pt idx="86">
                  <c:v>3.3465470891475377E-2</c:v>
                </c:pt>
                <c:pt idx="87">
                  <c:v>3.3529964357455096E-2</c:v>
                </c:pt>
                <c:pt idx="88">
                  <c:v>3.359469949467634E-2</c:v>
                </c:pt>
                <c:pt idx="89">
                  <c:v>3.3659690231747828E-2</c:v>
                </c:pt>
                <c:pt idx="90">
                  <c:v>3.3724950375322166E-2</c:v>
                </c:pt>
                <c:pt idx="91">
                  <c:v>3.3790493580161465E-2</c:v>
                </c:pt>
                <c:pt idx="92">
                  <c:v>3.3856333320266899E-2</c:v>
                </c:pt>
                <c:pt idx="93">
                  <c:v>3.3922482860990519E-2</c:v>
                </c:pt>
                <c:pt idx="94">
                  <c:v>3.3988955232024116E-2</c:v>
                </c:pt>
                <c:pt idx="95">
                  <c:v>3.4055763201138907E-2</c:v>
                </c:pt>
                <c:pt idx="96">
                  <c:v>3.4122919248531655E-2</c:v>
                </c:pt>
                <c:pt idx="97">
                  <c:v>3.4190435541618207E-2</c:v>
                </c:pt>
                <c:pt idx="98">
                  <c:v>3.4258323910104381E-2</c:v>
                </c:pt>
                <c:pt idx="99">
                  <c:v>3.4326595821156346E-2</c:v>
                </c:pt>
                <c:pt idx="100">
                  <c:v>3.439526235448935E-2</c:v>
                </c:pt>
                <c:pt idx="101">
                  <c:v>3.4464334177194134E-2</c:v>
                </c:pt>
                <c:pt idx="102">
                  <c:v>3.4533821518124432E-2</c:v>
                </c:pt>
                <c:pt idx="103">
                  <c:v>3.4603734141678028E-2</c:v>
                </c:pt>
                <c:pt idx="104">
                  <c:v>3.4674081320815849E-2</c:v>
                </c:pt>
                <c:pt idx="105">
                  <c:v>3.4744871809180143E-2</c:v>
                </c:pt>
                <c:pt idx="106">
                  <c:v>3.4816113812192621E-2</c:v>
                </c:pt>
                <c:pt idx="107">
                  <c:v>3.4887814957037001E-2</c:v>
                </c:pt>
                <c:pt idx="108">
                  <c:v>3.495998226145685E-2</c:v>
                </c:pt>
                <c:pt idx="109">
                  <c:v>3.5032622101329361E-2</c:v>
                </c:pt>
                <c:pt idx="110">
                  <c:v>3.5105740177006947E-2</c:v>
                </c:pt>
                <c:pt idx="111">
                  <c:v>3.517934147845371E-2</c:v>
                </c:pt>
                <c:pt idx="112">
                  <c:v>3.525343024923816E-2</c:v>
                </c:pt>
                <c:pt idx="113">
                  <c:v>3.5328009949481438E-2</c:v>
                </c:pt>
                <c:pt idx="114">
                  <c:v>3.5403083217897202E-2</c:v>
                </c:pt>
                <c:pt idx="115">
                  <c:v>3.547865183309741E-2</c:v>
                </c:pt>
                <c:pt idx="116">
                  <c:v>3.5554716674375056E-2</c:v>
                </c:pt>
                <c:pt idx="117">
                  <c:v>3.563127768221197E-2</c:v>
                </c:pt>
                <c:pt idx="118">
                  <c:v>3.5708333818794263E-2</c:v>
                </c:pt>
                <c:pt idx="119">
                  <c:v>3.5785883028851585E-2</c:v>
                </c:pt>
                <c:pt idx="120">
                  <c:v>3.5863922201166555E-2</c:v>
                </c:pt>
                <c:pt idx="121">
                  <c:v>3.5942447131128957E-2</c:v>
                </c:pt>
                <c:pt idx="122">
                  <c:v>3.6021452484733069E-2</c:v>
                </c:pt>
                <c:pt idx="123">
                  <c:v>3.6100931764437683E-2</c:v>
                </c:pt>
                <c:pt idx="124">
                  <c:v>3.6180877277324275E-2</c:v>
                </c:pt>
                <c:pt idx="125">
                  <c:v>3.6261280106000264E-2</c:v>
                </c:pt>
                <c:pt idx="126">
                  <c:v>3.6342130082702352E-2</c:v>
                </c:pt>
                <c:pt idx="127">
                  <c:v>3.6423415767055024E-2</c:v>
                </c:pt>
                <c:pt idx="128">
                  <c:v>3.6505124427937394E-2</c:v>
                </c:pt>
                <c:pt idx="129">
                  <c:v>3.6587242029901657E-2</c:v>
                </c:pt>
                <c:pt idx="130">
                  <c:v>3.6669753224571985E-2</c:v>
                </c:pt>
                <c:pt idx="131">
                  <c:v>3.6752641347433293E-2</c:v>
                </c:pt>
                <c:pt idx="132">
                  <c:v>3.6835888420393037E-2</c:v>
                </c:pt>
                <c:pt idx="133">
                  <c:v>3.691947516046875E-2</c:v>
                </c:pt>
                <c:pt idx="134">
                  <c:v>3.7003380994918247E-2</c:v>
                </c:pt>
                <c:pt idx="135">
                  <c:v>3.7087584083087724E-2</c:v>
                </c:pt>
                <c:pt idx="136">
                  <c:v>3.7172061345207986E-2</c:v>
                </c:pt>
                <c:pt idx="137">
                  <c:v>3.7256788498319038E-2</c:v>
                </c:pt>
                <c:pt idx="138">
                  <c:v>3.7341740099449329E-2</c:v>
                </c:pt>
                <c:pt idx="139">
                  <c:v>3.742688959611902E-2</c:v>
                </c:pt>
                <c:pt idx="140">
                  <c:v>3.7512209384176695E-2</c:v>
                </c:pt>
                <c:pt idx="141">
                  <c:v>3.7597670872916697E-2</c:v>
                </c:pt>
                <c:pt idx="142">
                  <c:v>3.7683244557360059E-2</c:v>
                </c:pt>
                <c:pt idx="143">
                  <c:v>3.7768900097517426E-2</c:v>
                </c:pt>
                <c:pt idx="144">
                  <c:v>3.7854606404386627E-2</c:v>
                </c:pt>
                <c:pt idx="145">
                  <c:v>3.7940331732372289E-2</c:v>
                </c:pt>
                <c:pt idx="146">
                  <c:v>3.8026043777751095E-2</c:v>
                </c:pt>
                <c:pt idx="147">
                  <c:v>3.8111709782743003E-2</c:v>
                </c:pt>
                <c:pt idx="148">
                  <c:v>3.8197296644688968E-2</c:v>
                </c:pt>
                <c:pt idx="149">
                  <c:v>3.8282771029777986E-2</c:v>
                </c:pt>
                <c:pt idx="150">
                  <c:v>3.836809949071264E-2</c:v>
                </c:pt>
                <c:pt idx="151">
                  <c:v>3.8453248587652616E-2</c:v>
                </c:pt>
                <c:pt idx="152">
                  <c:v>3.8538185011730973E-2</c:v>
                </c:pt>
                <c:pt idx="153">
                  <c:v>3.862287571039872E-2</c:v>
                </c:pt>
                <c:pt idx="154">
                  <c:v>3.8707288013819216E-2</c:v>
                </c:pt>
                <c:pt idx="155">
                  <c:v>3.8791389761507034E-2</c:v>
                </c:pt>
                <c:pt idx="156">
                  <c:v>3.8875149428385269E-2</c:v>
                </c:pt>
                <c:pt idx="157">
                  <c:v>3.8958536249421367E-2</c:v>
                </c:pt>
                <c:pt idx="158">
                  <c:v>3.9041520341995491E-2</c:v>
                </c:pt>
                <c:pt idx="159">
                  <c:v>3.9124072825156488E-2</c:v>
                </c:pt>
                <c:pt idx="160">
                  <c:v>3.9206165934928934E-2</c:v>
                </c:pt>
                <c:pt idx="161">
                  <c:v>3.9287773134851135E-2</c:v>
                </c:pt>
                <c:pt idx="162">
                  <c:v>3.9368869220947594E-2</c:v>
                </c:pt>
                <c:pt idx="163">
                  <c:v>3.9449430420370656E-2</c:v>
                </c:pt>
                <c:pt idx="164">
                  <c:v>3.9529434482984439E-2</c:v>
                </c:pt>
                <c:pt idx="165">
                  <c:v>3.9608860765209357E-2</c:v>
                </c:pt>
                <c:pt idx="166">
                  <c:v>3.968769030549759E-2</c:v>
                </c:pt>
                <c:pt idx="167">
                  <c:v>3.9765905890867981E-2</c:v>
                </c:pt>
                <c:pt idx="168">
                  <c:v>3.9843492113992358E-2</c:v>
                </c:pt>
                <c:pt idx="169">
                  <c:v>3.9920435420394806E-2</c:v>
                </c:pt>
                <c:pt idx="170">
                  <c:v>3.9996724145398142E-2</c:v>
                </c:pt>
                <c:pt idx="171">
                  <c:v>4.0072348540529996E-2</c:v>
                </c:pt>
                <c:pt idx="172">
                  <c:v>4.0147300789180836E-2</c:v>
                </c:pt>
                <c:pt idx="173">
                  <c:v>4.0221575011389794E-2</c:v>
                </c:pt>
                <c:pt idx="174">
                  <c:v>4.0295167257718589E-2</c:v>
                </c:pt>
                <c:pt idx="175">
                  <c:v>4.0368075492259153E-2</c:v>
                </c:pt>
                <c:pt idx="176">
                  <c:v>4.0440299564907058E-2</c:v>
                </c:pt>
                <c:pt idx="177">
                  <c:v>4.0511841173116639E-2</c:v>
                </c:pt>
                <c:pt idx="178">
                  <c:v>4.0582703813437801E-2</c:v>
                </c:pt>
                <c:pt idx="179">
                  <c:v>4.0652892723215255E-2</c:v>
                </c:pt>
                <c:pt idx="180">
                  <c:v>4.072241481290851E-2</c:v>
                </c:pt>
                <c:pt idx="181">
                  <c:v>4.0791278589565043E-2</c:v>
                </c:pt>
                <c:pt idx="182">
                  <c:v>4.0859494072048329E-2</c:v>
                </c:pt>
                <c:pt idx="183">
                  <c:v>4.0927072698685937E-2</c:v>
                </c:pt>
                <c:pt idx="184">
                  <c:v>4.0994027228061412E-2</c:v>
                </c:pt>
                <c:pt idx="185">
                  <c:v>4.1060371633724342E-2</c:v>
                </c:pt>
                <c:pt idx="186">
                  <c:v>4.1126120993638139E-2</c:v>
                </c:pt>
                <c:pt idx="187">
                  <c:v>4.1191291375221116E-2</c:v>
                </c:pt>
                <c:pt idx="188">
                  <c:v>4.125589971686601E-2</c:v>
                </c:pt>
                <c:pt idx="189">
                  <c:v>4.131996370684355E-2</c:v>
                </c:pt>
                <c:pt idx="190">
                  <c:v>4.1383501660508304E-2</c:v>
                </c:pt>
                <c:pt idx="191">
                  <c:v>4.1446532396728963E-2</c:v>
                </c:pt>
                <c:pt idx="192">
                  <c:v>4.1509075114460399E-2</c:v>
                </c:pt>
                <c:pt idx="193">
                  <c:v>4.1571149270362151E-2</c:v>
                </c:pt>
                <c:pt idx="194">
                  <c:v>4.1632774458346296E-2</c:v>
                </c:pt>
                <c:pt idx="195">
                  <c:v>4.1693970291908133E-2</c:v>
                </c:pt>
                <c:pt idx="196">
                  <c:v>4.1754756290055761E-2</c:v>
                </c:pt>
                <c:pt idx="197">
                  <c:v>4.1815151767609887E-2</c:v>
                </c:pt>
                <c:pt idx="198">
                  <c:v>4.1875175730593246E-2</c:v>
                </c:pt>
                <c:pt idx="199">
                  <c:v>4.1934846777370867E-2</c:v>
                </c:pt>
                <c:pt idx="200">
                  <c:v>4.1994183006138316E-2</c:v>
                </c:pt>
                <c:pt idx="201">
                  <c:v>4.205320192928582E-2</c:v>
                </c:pt>
                <c:pt idx="202">
                  <c:v>4.2111920395092386E-2</c:v>
                </c:pt>
                <c:pt idx="203">
                  <c:v>4.2170354517126821E-2</c:v>
                </c:pt>
                <c:pt idx="204">
                  <c:v>4.2228519611652138E-2</c:v>
                </c:pt>
                <c:pt idx="205">
                  <c:v>4.2286430143247504E-2</c:v>
                </c:pt>
                <c:pt idx="206">
                  <c:v>4.2344099678778835E-2</c:v>
                </c:pt>
                <c:pt idx="207">
                  <c:v>4.2401540849764559E-2</c:v>
                </c:pt>
                <c:pt idx="208">
                  <c:v>4.2458765323100861E-2</c:v>
                </c:pt>
                <c:pt idx="209">
                  <c:v>4.2515783780028335E-2</c:v>
                </c:pt>
                <c:pt idx="210">
                  <c:v>4.2572605903142491E-2</c:v>
                </c:pt>
                <c:pt idx="211">
                  <c:v>4.2629240371174999E-2</c:v>
                </c:pt>
                <c:pt idx="212">
                  <c:v>4.2685694861199386E-2</c:v>
                </c:pt>
                <c:pt idx="213">
                  <c:v>4.2741976057847721E-2</c:v>
                </c:pt>
                <c:pt idx="214">
                  <c:v>4.2798089669062761E-2</c:v>
                </c:pt>
                <c:pt idx="215">
                  <c:v>4.2854040447853535E-2</c:v>
                </c:pt>
                <c:pt idx="216">
                  <c:v>4.2909832219473143E-2</c:v>
                </c:pt>
                <c:pt idx="217">
                  <c:v>4.2965467913395304E-2</c:v>
                </c:pt>
                <c:pt idx="218">
                  <c:v>4.30209495994315E-2</c:v>
                </c:pt>
                <c:pt idx="219">
                  <c:v>4.3076278527303752E-2</c:v>
                </c:pt>
                <c:pt idx="220">
                  <c:v>4.3131455168969962E-2</c:v>
                </c:pt>
                <c:pt idx="221">
                  <c:v>4.3186479262988645E-2</c:v>
                </c:pt>
                <c:pt idx="222">
                  <c:v>4.3241349860208361E-2</c:v>
                </c:pt>
                <c:pt idx="223">
                  <c:v>4.3296065370074466E-2</c:v>
                </c:pt>
                <c:pt idx="224">
                  <c:v>4.3350623606861108E-2</c:v>
                </c:pt>
                <c:pt idx="225">
                  <c:v>4.3405021835160401E-2</c:v>
                </c:pt>
                <c:pt idx="226">
                  <c:v>4.3459256813992202E-2</c:v>
                </c:pt>
                <c:pt idx="227">
                  <c:v>4.3513324838937419E-2</c:v>
                </c:pt>
                <c:pt idx="228">
                  <c:v>4.3567221781744055E-2</c:v>
                </c:pt>
                <c:pt idx="229">
                  <c:v>4.3620943126908576E-2</c:v>
                </c:pt>
                <c:pt idx="230">
                  <c:v>4.3674484004793686E-2</c:v>
                </c:pt>
                <c:pt idx="231">
                  <c:v>4.3727839220908435E-2</c:v>
                </c:pt>
                <c:pt idx="232">
                  <c:v>4.3781003281045422E-2</c:v>
                </c:pt>
                <c:pt idx="233">
                  <c:v>4.3833970412042109E-2</c:v>
                </c:pt>
                <c:pt idx="234">
                  <c:v>4.3886734578009366E-2</c:v>
                </c:pt>
                <c:pt idx="235">
                  <c:v>4.3939289491947822E-2</c:v>
                </c:pt>
                <c:pt idx="236">
                  <c:v>4.3991628622751286E-2</c:v>
                </c:pt>
                <c:pt idx="237">
                  <c:v>4.4043745197675566E-2</c:v>
                </c:pt>
                <c:pt idx="238">
                  <c:v>4.4095632200429329E-2</c:v>
                </c:pt>
                <c:pt idx="239">
                  <c:v>4.4147282365120305E-2</c:v>
                </c:pt>
                <c:pt idx="240">
                  <c:v>4.4198688166363881E-2</c:v>
                </c:pt>
                <c:pt idx="241">
                  <c:v>4.4249841805932152E-2</c:v>
                </c:pt>
                <c:pt idx="242">
                  <c:v>4.4300735196387532E-2</c:v>
                </c:pt>
                <c:pt idx="243">
                  <c:v>4.4351359942205876E-2</c:v>
                </c:pt>
                <c:pt idx="244">
                  <c:v>4.4401707318949837E-2</c:v>
                </c:pt>
                <c:pt idx="245">
                  <c:v>4.4451768251101087E-2</c:v>
                </c:pt>
                <c:pt idx="246">
                  <c:v>4.4501533289201797E-2</c:v>
                </c:pt>
                <c:pt idx="247">
                  <c:v>4.4550992586988712E-2</c:v>
                </c:pt>
                <c:pt idx="248">
                  <c:v>4.4600135879228765E-2</c:v>
                </c:pt>
                <c:pt idx="249">
                  <c:v>4.4648952460981106E-2</c:v>
                </c:pt>
                <c:pt idx="250">
                  <c:v>4.4697431169017858E-2</c:v>
                </c:pt>
                <c:pt idx="251">
                  <c:v>4.4745560366134196E-2</c:v>
                </c:pt>
                <c:pt idx="252">
                  <c:v>4.4793327929066845E-2</c:v>
                </c:pt>
                <c:pt idx="253">
                  <c:v>4.4840721240719479E-2</c:v>
                </c:pt>
                <c:pt idx="254">
                  <c:v>4.488772718736405E-2</c:v>
                </c:pt>
                <c:pt idx="255">
                  <c:v>4.4934332161447425E-2</c:v>
                </c:pt>
                <c:pt idx="256">
                  <c:v>4.4980522070586004E-2</c:v>
                </c:pt>
                <c:pt idx="257">
                  <c:v>4.5026282353274015E-2</c:v>
                </c:pt>
                <c:pt idx="258">
                  <c:v>4.507159800176825E-2</c:v>
                </c:pt>
                <c:pt idx="259">
                  <c:v>4.5116453592540268E-2</c:v>
                </c:pt>
                <c:pt idx="260">
                  <c:v>4.5160833324609691E-2</c:v>
                </c:pt>
                <c:pt idx="261">
                  <c:v>4.5204721065988815E-2</c:v>
                </c:pt>
                <c:pt idx="262">
                  <c:v>4.5248100408380183E-2</c:v>
                </c:pt>
                <c:pt idx="263">
                  <c:v>4.5290954730175872E-2</c:v>
                </c:pt>
                <c:pt idx="264">
                  <c:v>4.5333267267712328E-2</c:v>
                </c:pt>
                <c:pt idx="265">
                  <c:v>4.5375021194635684E-2</c:v>
                </c:pt>
                <c:pt idx="266">
                  <c:v>4.5416199709134158E-2</c:v>
                </c:pt>
                <c:pt idx="267">
                  <c:v>4.5456786128694783E-2</c:v>
                </c:pt>
                <c:pt idx="268">
                  <c:v>4.5496763991943315E-2</c:v>
                </c:pt>
                <c:pt idx="269">
                  <c:v>4.5536117167030744E-2</c:v>
                </c:pt>
                <c:pt idx="270">
                  <c:v>4.5574829965935912E-2</c:v>
                </c:pt>
                <c:pt idx="271">
                  <c:v>4.5612887263965854E-2</c:v>
                </c:pt>
                <c:pt idx="272">
                  <c:v>4.5650274623651073E-2</c:v>
                </c:pt>
                <c:pt idx="273">
                  <c:v>4.5686978422155973E-2</c:v>
                </c:pt>
                <c:pt idx="274">
                  <c:v>4.5722985981253988E-2</c:v>
                </c:pt>
                <c:pt idx="275">
                  <c:v>4.5758285698854179E-2</c:v>
                </c:pt>
                <c:pt idx="276">
                  <c:v>4.5792867181012879E-2</c:v>
                </c:pt>
                <c:pt idx="277">
                  <c:v>4.5826721373318877E-2</c:v>
                </c:pt>
                <c:pt idx="278">
                  <c:v>4.5859840690506373E-2</c:v>
                </c:pt>
                <c:pt idx="279">
                  <c:v>4.5892219143126758E-2</c:v>
                </c:pt>
                <c:pt idx="280">
                  <c:v>4.5923852460096171E-2</c:v>
                </c:pt>
                <c:pt idx="281">
                  <c:v>4.5954738205935521E-2</c:v>
                </c:pt>
                <c:pt idx="282">
                  <c:v>4.5984875891528519E-2</c:v>
                </c:pt>
                <c:pt idx="283">
                  <c:v>4.6014267077245499E-2</c:v>
                </c:pt>
                <c:pt idx="284">
                  <c:v>4.6042915467313462E-2</c:v>
                </c:pt>
                <c:pt idx="285">
                  <c:v>4.6070826994357425E-2</c:v>
                </c:pt>
                <c:pt idx="286">
                  <c:v>4.6098009893093657E-2</c:v>
                </c:pt>
                <c:pt idx="287">
                  <c:v>4.6124474762222187E-2</c:v>
                </c:pt>
                <c:pt idx="288">
                  <c:v>4.6150234613642101E-2</c:v>
                </c:pt>
                <c:pt idx="289">
                  <c:v>4.6175304908200231E-2</c:v>
                </c:pt>
                <c:pt idx="290">
                  <c:v>4.6199703577278824E-2</c:v>
                </c:pt>
                <c:pt idx="291">
                  <c:v>4.6223451029631775E-2</c:v>
                </c:pt>
                <c:pt idx="292">
                  <c:v>4.6246570142989871E-2</c:v>
                </c:pt>
                <c:pt idx="293">
                  <c:v>4.6269086240072969E-2</c:v>
                </c:pt>
                <c:pt idx="294">
                  <c:v>4.6291027048769959E-2</c:v>
                </c:pt>
                <c:pt idx="295">
                  <c:v>4.631242264637396E-2</c:v>
                </c:pt>
                <c:pt idx="296">
                  <c:v>4.633330538789103E-2</c:v>
                </c:pt>
                <c:pt idx="297">
                  <c:v>4.6353709818571835E-2</c:v>
                </c:pt>
                <c:pt idx="298">
                  <c:v>4.6373672570949223E-2</c:v>
                </c:pt>
                <c:pt idx="299">
                  <c:v>4.6393232246796597E-2</c:v>
                </c:pt>
                <c:pt idx="300">
                  <c:v>4.6412429284552005E-2</c:v>
                </c:pt>
                <c:pt idx="301">
                  <c:v>4.6431305812881019E-2</c:v>
                </c:pt>
                <c:pt idx="302">
                  <c:v>4.64499054911739E-2</c:v>
                </c:pt>
                <c:pt idx="303">
                  <c:v>4.6468273337890845E-2</c:v>
                </c:pt>
                <c:pt idx="304">
                  <c:v>4.6486455547779762E-2</c:v>
                </c:pt>
                <c:pt idx="305">
                  <c:v>4.650449929909526E-2</c:v>
                </c:pt>
                <c:pt idx="306">
                  <c:v>4.6522452552041467E-2</c:v>
                </c:pt>
                <c:pt idx="307">
                  <c:v>4.6540363839747564E-2</c:v>
                </c:pt>
                <c:pt idx="308">
                  <c:v>4.655828205315856E-2</c:v>
                </c:pt>
                <c:pt idx="309">
                  <c:v>4.6576256221288623E-2</c:v>
                </c:pt>
                <c:pt idx="310">
                  <c:v>4.6594335288334454E-2</c:v>
                </c:pt>
                <c:pt idx="311">
                  <c:v>4.6612567889186753E-2</c:v>
                </c:pt>
                <c:pt idx="312">
                  <c:v>4.663100212490285E-2</c:v>
                </c:pt>
                <c:pt idx="313">
                  <c:v>4.6649685339717355E-2</c:v>
                </c:pt>
                <c:pt idx="314">
                  <c:v>4.666866390116698E-2</c:v>
                </c:pt>
                <c:pt idx="315">
                  <c:v>4.6687982984891761E-2</c:v>
                </c:pt>
                <c:pt idx="316">
                  <c:v>4.670768636564749E-2</c:v>
                </c:pt>
                <c:pt idx="317">
                  <c:v>4.6727816216024003E-2</c:v>
                </c:pt>
                <c:pt idx="318">
                  <c:v>4.6748412914309576E-2</c:v>
                </c:pt>
                <c:pt idx="319">
                  <c:v>4.6769514862876692E-2</c:v>
                </c:pt>
                <c:pt idx="320">
                  <c:v>4.6791158318385401E-2</c:v>
                </c:pt>
                <c:pt idx="321">
                  <c:v>4.6813377235011881E-2</c:v>
                </c:pt>
                <c:pt idx="322">
                  <c:v>4.6836203121809646E-2</c:v>
                </c:pt>
                <c:pt idx="323">
                  <c:v>4.6859664915201348E-2</c:v>
                </c:pt>
                <c:pt idx="324">
                  <c:v>4.6883788867481013E-2</c:v>
                </c:pt>
                <c:pt idx="325">
                  <c:v>4.6908598452080771E-2</c:v>
                </c:pt>
                <c:pt idx="326">
                  <c:v>4.6934114286223572E-2</c:v>
                </c:pt>
                <c:pt idx="327">
                  <c:v>4.6960354071445956E-2</c:v>
                </c:pt>
                <c:pt idx="328">
                  <c:v>4.6987332552332957E-2</c:v>
                </c:pt>
                <c:pt idx="329">
                  <c:v>4.7015061493662781E-2</c:v>
                </c:pt>
                <c:pt idx="330">
                  <c:v>4.7043549676012777E-2</c:v>
                </c:pt>
                <c:pt idx="331">
                  <c:v>4.7072802909731593E-2</c:v>
                </c:pt>
                <c:pt idx="332">
                  <c:v>4.7102824067037606E-2</c:v>
                </c:pt>
                <c:pt idx="333">
                  <c:v>4.7133613131860867E-2</c:v>
                </c:pt>
                <c:pt idx="334">
                  <c:v>4.7165167266906123E-2</c:v>
                </c:pt>
                <c:pt idx="335">
                  <c:v>4.7197480897281208E-2</c:v>
                </c:pt>
                <c:pt idx="336">
                  <c:v>4.7230545809906585E-2</c:v>
                </c:pt>
                <c:pt idx="337">
                  <c:v>4.7264351267800868E-2</c:v>
                </c:pt>
                <c:pt idx="338">
                  <c:v>4.7298884138225597E-2</c:v>
                </c:pt>
                <c:pt idx="339">
                  <c:v>4.7334129033568588E-2</c:v>
                </c:pt>
                <c:pt idx="340">
                  <c:v>4.7370068463753141E-2</c:v>
                </c:pt>
                <c:pt idx="341">
                  <c:v>4.7406682998878208E-2</c:v>
                </c:pt>
                <c:pt idx="342">
                  <c:v>4.744395144072483E-2</c:v>
                </c:pt>
                <c:pt idx="343">
                  <c:v>4.7481851001706474E-2</c:v>
                </c:pt>
                <c:pt idx="344">
                  <c:v>4.7520357489795856E-2</c:v>
                </c:pt>
                <c:pt idx="345">
                  <c:v>4.7559445497929106E-2</c:v>
                </c:pt>
                <c:pt idx="346">
                  <c:v>4.759908859636991E-2</c:v>
                </c:pt>
                <c:pt idx="347">
                  <c:v>4.763925952651081E-2</c:v>
                </c:pt>
                <c:pt idx="348">
                  <c:v>4.7679930394597683E-2</c:v>
                </c:pt>
                <c:pt idx="349">
                  <c:v>4.7721072863884439E-2</c:v>
                </c:pt>
                <c:pt idx="350">
                  <c:v>4.7762658343760277E-2</c:v>
                </c:pt>
                <c:pt idx="351">
                  <c:v>4.7804658174437999E-2</c:v>
                </c:pt>
                <c:pt idx="352">
                  <c:v>4.7847043805851627E-2</c:v>
                </c:pt>
                <c:pt idx="353">
                  <c:v>4.7889786969481561E-2</c:v>
                </c:pt>
                <c:pt idx="354">
                  <c:v>4.793285984190683E-2</c:v>
                </c:pt>
                <c:pt idx="355">
                  <c:v>4.7976235198974364E-2</c:v>
                </c:pt>
                <c:pt idx="356">
                  <c:v>4.8019886559575439E-2</c:v>
                </c:pt>
                <c:pt idx="357">
                  <c:v>4.8063788318126487E-2</c:v>
                </c:pt>
                <c:pt idx="358">
                  <c:v>4.8107915864965926E-2</c:v>
                </c:pt>
                <c:pt idx="359">
                  <c:v>4.8152245693998584E-2</c:v>
                </c:pt>
                <c:pt idx="360">
                  <c:v>4.8196755497043865E-2</c:v>
                </c:pt>
                <c:pt idx="361">
                  <c:v>4.8241424244471157E-2</c:v>
                </c:pt>
                <c:pt idx="362">
                  <c:v>4.8286232251835835E-2</c:v>
                </c:pt>
                <c:pt idx="363">
                  <c:v>4.8331161232360101E-2</c:v>
                </c:pt>
                <c:pt idx="364">
                  <c:v>4.8376194335232062E-2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5.6698313689409405E-3</c:v>
                </c:pt>
                <c:pt idx="1">
                  <c:v>5.5589428396285003E-3</c:v>
                </c:pt>
                <c:pt idx="2">
                  <c:v>5.4472550505920364E-3</c:v>
                </c:pt>
                <c:pt idx="3">
                  <c:v>5.3349749034915291E-3</c:v>
                </c:pt>
                <c:pt idx="4">
                  <c:v>5.2223012698353445E-3</c:v>
                </c:pt>
                <c:pt idx="5">
                  <c:v>5.1094241535032531E-3</c:v>
                </c:pt>
                <c:pt idx="6">
                  <c:v>4.9965239914023718E-3</c:v>
                </c:pt>
                <c:pt idx="7">
                  <c:v>4.8837710930142528E-3</c:v>
                </c:pt>
                <c:pt idx="8">
                  <c:v>4.7707477196017971E-3</c:v>
                </c:pt>
                <c:pt idx="9">
                  <c:v>4.6611360914719721E-3</c:v>
                </c:pt>
                <c:pt idx="10">
                  <c:v>4.5592885456675163E-3</c:v>
                </c:pt>
                <c:pt idx="11">
                  <c:v>4.46525184342428E-3</c:v>
                </c:pt>
                <c:pt idx="12">
                  <c:v>4.3790426726891245E-3</c:v>
                </c:pt>
                <c:pt idx="13">
                  <c:v>4.3006508653441666E-3</c:v>
                </c:pt>
                <c:pt idx="14">
                  <c:v>4.2300426296511505E-3</c:v>
                </c:pt>
                <c:pt idx="15">
                  <c:v>4.1625892709671632E-3</c:v>
                </c:pt>
                <c:pt idx="16">
                  <c:v>4.0947225880311544E-3</c:v>
                </c:pt>
                <c:pt idx="17">
                  <c:v>4.0266149115399802E-3</c:v>
                </c:pt>
                <c:pt idx="18">
                  <c:v>3.9584244766637027E-3</c:v>
                </c:pt>
                <c:pt idx="19">
                  <c:v>3.8903173436363671E-3</c:v>
                </c:pt>
                <c:pt idx="20">
                  <c:v>3.8224541549042421E-3</c:v>
                </c:pt>
                <c:pt idx="21">
                  <c:v>3.7549640657074399E-3</c:v>
                </c:pt>
                <c:pt idx="22">
                  <c:v>3.6874480886903709E-3</c:v>
                </c:pt>
                <c:pt idx="23">
                  <c:v>3.6187546562580189E-3</c:v>
                </c:pt>
                <c:pt idx="24">
                  <c:v>3.545677266576923E-3</c:v>
                </c:pt>
                <c:pt idx="25">
                  <c:v>3.4685298373229147E-3</c:v>
                </c:pt>
                <c:pt idx="26">
                  <c:v>3.38760776695154E-3</c:v>
                </c:pt>
                <c:pt idx="27">
                  <c:v>3.3031870034229138E-3</c:v>
                </c:pt>
                <c:pt idx="28">
                  <c:v>3.2155234330462153E-3</c:v>
                </c:pt>
                <c:pt idx="29">
                  <c:v>3.1267831450260521E-3</c:v>
                </c:pt>
                <c:pt idx="30">
                  <c:v>3.0410018509529979E-3</c:v>
                </c:pt>
                <c:pt idx="31">
                  <c:v>2.9581855062451403E-3</c:v>
                </c:pt>
                <c:pt idx="32">
                  <c:v>2.8783287175897067E-3</c:v>
                </c:pt>
                <c:pt idx="33">
                  <c:v>2.8014162748801114E-3</c:v>
                </c:pt>
                <c:pt idx="34">
                  <c:v>2.7274245845576002E-3</c:v>
                </c:pt>
                <c:pt idx="35">
                  <c:v>2.6563230029779394E-3</c:v>
                </c:pt>
                <c:pt idx="36">
                  <c:v>2.5878782689716046E-3</c:v>
                </c:pt>
                <c:pt idx="37">
                  <c:v>2.5204683186201152E-3</c:v>
                </c:pt>
                <c:pt idx="38">
                  <c:v>2.4547631814016545E-3</c:v>
                </c:pt>
                <c:pt idx="39">
                  <c:v>2.3907222453754045E-3</c:v>
                </c:pt>
                <c:pt idx="40">
                  <c:v>2.3283054283795498E-3</c:v>
                </c:pt>
                <c:pt idx="41">
                  <c:v>2.2674732898315566E-3</c:v>
                </c:pt>
                <c:pt idx="42">
                  <c:v>2.2081871299968817E-3</c:v>
                </c:pt>
                <c:pt idx="43">
                  <c:v>2.1495997962788786E-3</c:v>
                </c:pt>
                <c:pt idx="44">
                  <c:v>2.0900388997343849E-3</c:v>
                </c:pt>
                <c:pt idx="45">
                  <c:v>2.0295363692571702E-3</c:v>
                </c:pt>
                <c:pt idx="46">
                  <c:v>1.9681224949573339E-3</c:v>
                </c:pt>
                <c:pt idx="47">
                  <c:v>1.9058260295485507E-3</c:v>
                </c:pt>
                <c:pt idx="48">
                  <c:v>1.8426742731775696E-3</c:v>
                </c:pt>
                <c:pt idx="49">
                  <c:v>1.7786931412671321E-3</c:v>
                </c:pt>
                <c:pt idx="50">
                  <c:v>1.7138956977402397E-3</c:v>
                </c:pt>
                <c:pt idx="51">
                  <c:v>1.6485866675603838E-3</c:v>
                </c:pt>
                <c:pt idx="52">
                  <c:v>1.5839609574822861E-3</c:v>
                </c:pt>
                <c:pt idx="53">
                  <c:v>1.5199918071994768E-3</c:v>
                </c:pt>
                <c:pt idx="54">
                  <c:v>1.4566621285743353E-3</c:v>
                </c:pt>
                <c:pt idx="55">
                  <c:v>1.3939559095006715E-3</c:v>
                </c:pt>
                <c:pt idx="56">
                  <c:v>1.3318581063076042E-3</c:v>
                </c:pt>
                <c:pt idx="57">
                  <c:v>1.2714351734009076E-3</c:v>
                </c:pt>
                <c:pt idx="58">
                  <c:v>1.2133556458868381E-3</c:v>
                </c:pt>
                <c:pt idx="59">
                  <c:v>1.1575632877633291E-3</c:v>
                </c:pt>
                <c:pt idx="60">
                  <c:v>1.1040037908815747E-3</c:v>
                </c:pt>
                <c:pt idx="61">
                  <c:v>1.0526246348212418E-3</c:v>
                </c:pt>
                <c:pt idx="62">
                  <c:v>1.0033749573360928E-3</c:v>
                </c:pt>
                <c:pt idx="63">
                  <c:v>9.562054357217766E-4</c:v>
                </c:pt>
                <c:pt idx="64">
                  <c:v>9.1104471271389741E-4</c:v>
                </c:pt>
                <c:pt idx="65">
                  <c:v>8.6878195525655919E-4</c:v>
                </c:pt>
                <c:pt idx="66">
                  <c:v>8.2910870290087407E-4</c:v>
                </c:pt>
                <c:pt idx="67">
                  <c:v>7.9197946804534949E-4</c:v>
                </c:pt>
                <c:pt idx="68">
                  <c:v>7.5734809204027636E-4</c:v>
                </c:pt>
                <c:pt idx="69">
                  <c:v>7.2516810075608001E-4</c:v>
                </c:pt>
                <c:pt idx="70">
                  <c:v>6.9539304382046753E-4</c:v>
                </c:pt>
                <c:pt idx="71">
                  <c:v>6.680943855419181E-4</c:v>
                </c:pt>
                <c:pt idx="72">
                  <c:v>6.4226331614975905E-4</c:v>
                </c:pt>
                <c:pt idx="73">
                  <c:v>6.1787323873995924E-4</c:v>
                </c:pt>
                <c:pt idx="74">
                  <c:v>5.9489765896786177E-4</c:v>
                </c:pt>
                <c:pt idx="75">
                  <c:v>5.7331035777939004E-4</c:v>
                </c:pt>
                <c:pt idx="76">
                  <c:v>5.5308555671251282E-4</c:v>
                </c:pt>
                <c:pt idx="77">
                  <c:v>5.3419807603810371E-4</c:v>
                </c:pt>
                <c:pt idx="78">
                  <c:v>5.1659070266698757E-4</c:v>
                </c:pt>
                <c:pt idx="79">
                  <c:v>5.0039826256471909E-4</c:v>
                </c:pt>
                <c:pt idx="80">
                  <c:v>4.8474832122759163E-4</c:v>
                </c:pt>
                <c:pt idx="81">
                  <c:v>4.6963779738387162E-4</c:v>
                </c:pt>
                <c:pt idx="82">
                  <c:v>4.5506258569918398E-4</c:v>
                </c:pt>
                <c:pt idx="83">
                  <c:v>4.4101768960535235E-4</c:v>
                </c:pt>
                <c:pt idx="84">
                  <c:v>4.2749734883697264E-4</c:v>
                </c:pt>
                <c:pt idx="85">
                  <c:v>4.1466644467346749E-4</c:v>
                </c:pt>
                <c:pt idx="86">
                  <c:v>4.0240747794121132E-4</c:v>
                </c:pt>
                <c:pt idx="87">
                  <c:v>3.9071241526585061E-4</c:v>
                </c:pt>
                <c:pt idx="88">
                  <c:v>3.7957304689927761E-4</c:v>
                </c:pt>
                <c:pt idx="89">
                  <c:v>3.6898109439047796E-4</c:v>
                </c:pt>
                <c:pt idx="90">
                  <c:v>3.5892831237841697E-4</c:v>
                </c:pt>
                <c:pt idx="91">
                  <c:v>3.4940658503385699E-4</c:v>
                </c:pt>
                <c:pt idx="92">
                  <c:v>3.4039336731050946E-4</c:v>
                </c:pt>
                <c:pt idx="93">
                  <c:v>3.3191479905994342E-4</c:v>
                </c:pt>
                <c:pt idx="94">
                  <c:v>3.2378942708901736E-4</c:v>
                </c:pt>
                <c:pt idx="95">
                  <c:v>3.1600946409684951E-4</c:v>
                </c:pt>
                <c:pt idx="96">
                  <c:v>3.0856748379622058E-4</c:v>
                </c:pt>
                <c:pt idx="97">
                  <c:v>3.0145642779610602E-4</c:v>
                </c:pt>
                <c:pt idx="98">
                  <c:v>2.9466961268140459E-4</c:v>
                </c:pt>
                <c:pt idx="99">
                  <c:v>2.8823290095101207E-4</c:v>
                </c:pt>
                <c:pt idx="100">
                  <c:v>2.8197344452175933E-4</c:v>
                </c:pt>
                <c:pt idx="101">
                  <c:v>2.758853471699406E-4</c:v>
                </c:pt>
                <c:pt idx="102">
                  <c:v>2.6996282179049053E-4</c:v>
                </c:pt>
                <c:pt idx="103">
                  <c:v>2.6420019396195205E-4</c:v>
                </c:pt>
                <c:pt idx="104">
                  <c:v>2.5859190563324002E-4</c:v>
                </c:pt>
                <c:pt idx="105">
                  <c:v>2.53132518767134E-4</c:v>
                </c:pt>
                <c:pt idx="106">
                  <c:v>2.4781559058055026E-4</c:v>
                </c:pt>
                <c:pt idx="107">
                  <c:v>2.4270786075324946E-4</c:v>
                </c:pt>
                <c:pt idx="108">
                  <c:v>2.377533092517134E-4</c:v>
                </c:pt>
                <c:pt idx="109">
                  <c:v>2.3294685271058299E-4</c:v>
                </c:pt>
                <c:pt idx="110">
                  <c:v>2.2828425021386421E-4</c:v>
                </c:pt>
                <c:pt idx="111">
                  <c:v>2.2376141743662265E-4</c:v>
                </c:pt>
                <c:pt idx="112">
                  <c:v>2.193737966126908E-4</c:v>
                </c:pt>
                <c:pt idx="113">
                  <c:v>2.1520194582179473E-4</c:v>
                </c:pt>
                <c:pt idx="114">
                  <c:v>2.1120893344839746E-4</c:v>
                </c:pt>
                <c:pt idx="115">
                  <c:v>2.0739181780874102E-4</c:v>
                </c:pt>
                <c:pt idx="116">
                  <c:v>2.0374796730097971E-4</c:v>
                </c:pt>
                <c:pt idx="117">
                  <c:v>2.0027506150061919E-4</c:v>
                </c:pt>
                <c:pt idx="118">
                  <c:v>1.9697109227199546E-4</c:v>
                </c:pt>
                <c:pt idx="119">
                  <c:v>1.9383436494634028E-4</c:v>
                </c:pt>
                <c:pt idx="120">
                  <c:v>1.9086639629840074E-4</c:v>
                </c:pt>
                <c:pt idx="121">
                  <c:v>1.8817252489971342E-4</c:v>
                </c:pt>
                <c:pt idx="122">
                  <c:v>1.8567312963652593E-4</c:v>
                </c:pt>
                <c:pt idx="123">
                  <c:v>1.8336728186715473E-4</c:v>
                </c:pt>
                <c:pt idx="124">
                  <c:v>1.8125452501885345E-4</c:v>
                </c:pt>
                <c:pt idx="125">
                  <c:v>1.7933485962823916E-4</c:v>
                </c:pt>
                <c:pt idx="126">
                  <c:v>1.7760872823571546E-4</c:v>
                </c:pt>
                <c:pt idx="127">
                  <c:v>1.7605915239806159E-4</c:v>
                </c:pt>
                <c:pt idx="128">
                  <c:v>1.7459044944538243E-4</c:v>
                </c:pt>
                <c:pt idx="129">
                  <c:v>1.7320069398987735E-4</c:v>
                </c:pt>
                <c:pt idx="130">
                  <c:v>1.7188814100778458E-4</c:v>
                </c:pt>
                <c:pt idx="131">
                  <c:v>1.7065122081436765E-4</c:v>
                </c:pt>
                <c:pt idx="132">
                  <c:v>1.6948853419544393E-4</c:v>
                </c:pt>
                <c:pt idx="133">
                  <c:v>1.6839884757394795E-4</c:v>
                </c:pt>
                <c:pt idx="134">
                  <c:v>1.6738521547744994E-4</c:v>
                </c:pt>
                <c:pt idx="135">
                  <c:v>1.6643158026869847E-4</c:v>
                </c:pt>
                <c:pt idx="136">
                  <c:v>1.6541539940774123E-4</c:v>
                </c:pt>
                <c:pt idx="137">
                  <c:v>1.6433188147854723E-4</c:v>
                </c:pt>
                <c:pt idx="138">
                  <c:v>1.6317622366050587E-4</c:v>
                </c:pt>
                <c:pt idx="139">
                  <c:v>1.6194362470722302E-4</c:v>
                </c:pt>
                <c:pt idx="140">
                  <c:v>1.6062929880586153E-4</c:v>
                </c:pt>
                <c:pt idx="141">
                  <c:v>1.5930333412636198E-4</c:v>
                </c:pt>
                <c:pt idx="142">
                  <c:v>1.5798331959267505E-4</c:v>
                </c:pt>
                <c:pt idx="143">
                  <c:v>1.5666718815822043E-4</c:v>
                </c:pt>
                <c:pt idx="144">
                  <c:v>1.5535397132273931E-4</c:v>
                </c:pt>
                <c:pt idx="145">
                  <c:v>1.5404283538284467E-4</c:v>
                </c:pt>
                <c:pt idx="146">
                  <c:v>1.5273308455526915E-4</c:v>
                </c:pt>
                <c:pt idx="147">
                  <c:v>1.5142416369993457E-4</c:v>
                </c:pt>
                <c:pt idx="148">
                  <c:v>1.5011917658733849E-4</c:v>
                </c:pt>
                <c:pt idx="149">
                  <c:v>1.4883754181127081E-4</c:v>
                </c:pt>
                <c:pt idx="150">
                  <c:v>1.4760072768070905E-4</c:v>
                </c:pt>
                <c:pt idx="151">
                  <c:v>1.4640908302866661E-4</c:v>
                </c:pt>
                <c:pt idx="152">
                  <c:v>1.4526311486168635E-4</c:v>
                </c:pt>
                <c:pt idx="153">
                  <c:v>1.4416348148797671E-4</c:v>
                </c:pt>
                <c:pt idx="154">
                  <c:v>1.4311098513956365E-4</c:v>
                </c:pt>
                <c:pt idx="155">
                  <c:v>1.4220066667897769E-4</c:v>
                </c:pt>
                <c:pt idx="156">
                  <c:v>1.4134811199739857E-4</c:v>
                </c:pt>
                <c:pt idx="157">
                  <c:v>1.405546494696751E-4</c:v>
                </c:pt>
                <c:pt idx="158">
                  <c:v>1.3982170602349297E-4</c:v>
                </c:pt>
                <c:pt idx="159">
                  <c:v>1.3915079620350026E-4</c:v>
                </c:pt>
                <c:pt idx="160">
                  <c:v>1.3854351082680724E-4</c:v>
                </c:pt>
                <c:pt idx="161">
                  <c:v>1.3800150525177096E-4</c:v>
                </c:pt>
                <c:pt idx="162">
                  <c:v>1.3752886037819012E-4</c:v>
                </c:pt>
                <c:pt idx="163">
                  <c:v>1.3720655363463273E-4</c:v>
                </c:pt>
                <c:pt idx="164">
                  <c:v>1.3701994382156417E-4</c:v>
                </c:pt>
                <c:pt idx="165">
                  <c:v>1.3697323055610432E-4</c:v>
                </c:pt>
                <c:pt idx="166">
                  <c:v>1.3707059154393039E-4</c:v>
                </c:pt>
                <c:pt idx="167">
                  <c:v>1.3731617309329809E-4</c:v>
                </c:pt>
                <c:pt idx="168">
                  <c:v>1.3771408141839662E-4</c:v>
                </c:pt>
                <c:pt idx="169">
                  <c:v>1.3834856411760633E-4</c:v>
                </c:pt>
                <c:pt idx="170">
                  <c:v>1.3911773229231843E-4</c:v>
                </c:pt>
                <c:pt idx="171">
                  <c:v>1.4002489543125666E-4</c:v>
                </c:pt>
                <c:pt idx="172">
                  <c:v>1.410733192885323E-4</c:v>
                </c:pt>
                <c:pt idx="173">
                  <c:v>1.4226476823772104E-4</c:v>
                </c:pt>
                <c:pt idx="174">
                  <c:v>1.4360082564923357E-4</c:v>
                </c:pt>
                <c:pt idx="175">
                  <c:v>1.4508439665428764E-4</c:v>
                </c:pt>
                <c:pt idx="176">
                  <c:v>1.4671831236541576E-4</c:v>
                </c:pt>
                <c:pt idx="177">
                  <c:v>1.4861841411568089E-4</c:v>
                </c:pt>
                <c:pt idx="178">
                  <c:v>1.5070410922846648E-4</c:v>
                </c:pt>
                <c:pt idx="179">
                  <c:v>1.5297844743558263E-4</c:v>
                </c:pt>
                <c:pt idx="180">
                  <c:v>1.5544437976101235E-4</c:v>
                </c:pt>
                <c:pt idx="181">
                  <c:v>1.5810476177181753E-4</c:v>
                </c:pt>
                <c:pt idx="182">
                  <c:v>1.6096235778340263E-4</c:v>
                </c:pt>
                <c:pt idx="183">
                  <c:v>1.6404198658967473E-4</c:v>
                </c:pt>
                <c:pt idx="184">
                  <c:v>1.6725840134271025E-4</c:v>
                </c:pt>
                <c:pt idx="185">
                  <c:v>1.7061316145536057E-4</c:v>
                </c:pt>
                <c:pt idx="186">
                  <c:v>1.7410781443487968E-4</c:v>
                </c:pt>
                <c:pt idx="187">
                  <c:v>1.7774390084850285E-4</c:v>
                </c:pt>
                <c:pt idx="188">
                  <c:v>1.8152295928419888E-4</c:v>
                </c:pt>
                <c:pt idx="189">
                  <c:v>1.854465312677576E-4</c:v>
                </c:pt>
                <c:pt idx="190">
                  <c:v>1.8951470891296536E-4</c:v>
                </c:pt>
                <c:pt idx="191">
                  <c:v>1.9384116935760009E-4</c:v>
                </c:pt>
                <c:pt idx="192">
                  <c:v>1.9830768890501159E-4</c:v>
                </c:pt>
                <c:pt idx="193">
                  <c:v>2.0291634954765735E-4</c:v>
                </c:pt>
                <c:pt idx="194">
                  <c:v>2.0766932593471106E-4</c:v>
                </c:pt>
                <c:pt idx="195">
                  <c:v>2.1256889393379873E-4</c:v>
                </c:pt>
                <c:pt idx="196">
                  <c:v>2.1761743897760061E-4</c:v>
                </c:pt>
                <c:pt idx="197">
                  <c:v>2.2279255034496307E-4</c:v>
                </c:pt>
                <c:pt idx="198">
                  <c:v>2.2807327521539116E-4</c:v>
                </c:pt>
                <c:pt idx="199">
                  <c:v>2.33462102050491E-4</c:v>
                </c:pt>
                <c:pt idx="200">
                  <c:v>2.389616621012998E-4</c:v>
                </c:pt>
                <c:pt idx="201">
                  <c:v>2.4457473244790046E-4</c:v>
                </c:pt>
                <c:pt idx="202">
                  <c:v>2.5030423902239614E-4</c:v>
                </c:pt>
                <c:pt idx="203">
                  <c:v>2.5615325974187255E-4</c:v>
                </c:pt>
                <c:pt idx="204">
                  <c:v>2.6212222771955268E-4</c:v>
                </c:pt>
                <c:pt idx="205">
                  <c:v>2.6818087144184438E-4</c:v>
                </c:pt>
                <c:pt idx="206">
                  <c:v>2.7421172149925065E-4</c:v>
                </c:pt>
                <c:pt idx="207">
                  <c:v>2.8021531903344701E-4</c:v>
                </c:pt>
                <c:pt idx="208">
                  <c:v>2.8619222322481905E-4</c:v>
                </c:pt>
                <c:pt idx="209">
                  <c:v>2.9214300201576611E-4</c:v>
                </c:pt>
                <c:pt idx="210">
                  <c:v>2.9806822339429348E-4</c:v>
                </c:pt>
                <c:pt idx="211">
                  <c:v>3.0417904698463408E-4</c:v>
                </c:pt>
                <c:pt idx="212">
                  <c:v>3.1050314847305238E-4</c:v>
                </c:pt>
                <c:pt idx="213">
                  <c:v>3.1704305665761814E-4</c:v>
                </c:pt>
                <c:pt idx="214">
                  <c:v>3.2380129206467661E-4</c:v>
                </c:pt>
                <c:pt idx="215">
                  <c:v>3.3078036606599829E-4</c:v>
                </c:pt>
                <c:pt idx="216">
                  <c:v>3.3798277997426222E-4</c:v>
                </c:pt>
                <c:pt idx="217">
                  <c:v>3.4541102417029955E-4</c:v>
                </c:pt>
                <c:pt idx="218">
                  <c:v>3.5306471560935334E-4</c:v>
                </c:pt>
                <c:pt idx="219">
                  <c:v>3.6113599630720872E-4</c:v>
                </c:pt>
                <c:pt idx="220">
                  <c:v>3.696610069226515E-4</c:v>
                </c:pt>
                <c:pt idx="221">
                  <c:v>3.7864534864801198E-4</c:v>
                </c:pt>
                <c:pt idx="222">
                  <c:v>3.8809475794533585E-4</c:v>
                </c:pt>
                <c:pt idx="223">
                  <c:v>3.9801512674830715E-4</c:v>
                </c:pt>
                <c:pt idx="224">
                  <c:v>4.0841252309531775E-4</c:v>
                </c:pt>
                <c:pt idx="225">
                  <c:v>4.194522461983523E-4</c:v>
                </c:pt>
                <c:pt idx="226">
                  <c:v>4.3092182031703144E-4</c:v>
                </c:pt>
                <c:pt idx="227">
                  <c:v>4.4282736307129153E-4</c:v>
                </c:pt>
                <c:pt idx="228">
                  <c:v>4.5517524722768639E-4</c:v>
                </c:pt>
                <c:pt idx="229">
                  <c:v>4.6797212162324651E-4</c:v>
                </c:pt>
                <c:pt idx="230">
                  <c:v>4.8122493285353084E-4</c:v>
                </c:pt>
                <c:pt idx="231">
                  <c:v>4.9494094789902634E-4</c:v>
                </c:pt>
                <c:pt idx="232">
                  <c:v>5.0912281724663244E-4</c:v>
                </c:pt>
                <c:pt idx="233">
                  <c:v>5.2386153041726472E-4</c:v>
                </c:pt>
                <c:pt idx="234">
                  <c:v>5.389617388951519E-4</c:v>
                </c:pt>
                <c:pt idx="235">
                  <c:v>5.5442795362766221E-4</c:v>
                </c:pt>
                <c:pt idx="236">
                  <c:v>5.7026494521192263E-4</c:v>
                </c:pt>
                <c:pt idx="237">
                  <c:v>5.8647720052932163E-4</c:v>
                </c:pt>
                <c:pt idx="238">
                  <c:v>6.030692573251406E-4</c:v>
                </c:pt>
                <c:pt idx="239">
                  <c:v>6.2020009043591224E-4</c:v>
                </c:pt>
                <c:pt idx="240">
                  <c:v>6.3770919145234169E-4</c:v>
                </c:pt>
                <c:pt idx="241">
                  <c:v>6.5560126552583657E-4</c:v>
                </c:pt>
                <c:pt idx="242">
                  <c:v>6.7388103358902434E-4</c:v>
                </c:pt>
                <c:pt idx="243">
                  <c:v>6.9255322441215872E-4</c:v>
                </c:pt>
                <c:pt idx="244">
                  <c:v>7.1162256528998276E-4</c:v>
                </c:pt>
                <c:pt idx="245">
                  <c:v>7.3109377150637098E-4</c:v>
                </c:pt>
                <c:pt idx="246">
                  <c:v>7.5097153441066374E-4</c:v>
                </c:pt>
                <c:pt idx="247">
                  <c:v>7.7167325572821135E-4</c:v>
                </c:pt>
                <c:pt idx="248">
                  <c:v>7.9311300120420191E-4</c:v>
                </c:pt>
                <c:pt idx="249">
                  <c:v>8.1529890998183197E-4</c:v>
                </c:pt>
                <c:pt idx="250">
                  <c:v>8.3823911133053611E-4</c:v>
                </c:pt>
                <c:pt idx="251">
                  <c:v>8.6194170437996957E-4</c:v>
                </c:pt>
                <c:pt idx="252">
                  <c:v>8.8641473638137209E-4</c:v>
                </c:pt>
                <c:pt idx="253">
                  <c:v>9.1211638274055705E-4</c:v>
                </c:pt>
                <c:pt idx="254">
                  <c:v>9.3889603657622495E-4</c:v>
                </c:pt>
                <c:pt idx="255">
                  <c:v>9.6676479439538807E-4</c:v>
                </c:pt>
                <c:pt idx="256">
                  <c:v>9.957336568134894E-4</c:v>
                </c:pt>
                <c:pt idx="257">
                  <c:v>1.0258134982695955E-3</c:v>
                </c:pt>
                <c:pt idx="258">
                  <c:v>1.0570150364501922E-3</c:v>
                </c:pt>
                <c:pt idx="259">
                  <c:v>1.0893488017169255E-3</c:v>
                </c:pt>
                <c:pt idx="260">
                  <c:v>1.1228305014206259E-3</c:v>
                </c:pt>
                <c:pt idx="261">
                  <c:v>1.1578036612881993E-3</c:v>
                </c:pt>
                <c:pt idx="262">
                  <c:v>1.1938431391011629E-3</c:v>
                </c:pt>
                <c:pt idx="263">
                  <c:v>1.230955348183727E-3</c:v>
                </c:pt>
                <c:pt idx="264">
                  <c:v>1.2691460758644968E-3</c:v>
                </c:pt>
                <c:pt idx="265">
                  <c:v>1.3084273897532991E-3</c:v>
                </c:pt>
                <c:pt idx="266">
                  <c:v>1.3488078955988824E-3</c:v>
                </c:pt>
                <c:pt idx="267">
                  <c:v>1.3927598652568353E-3</c:v>
                </c:pt>
                <c:pt idx="268">
                  <c:v>1.4398367942476545E-3</c:v>
                </c:pt>
                <c:pt idx="269">
                  <c:v>1.4900629863040201E-3</c:v>
                </c:pt>
                <c:pt idx="270">
                  <c:v>1.5434613997151118E-3</c:v>
                </c:pt>
                <c:pt idx="271">
                  <c:v>1.6000534816871302E-3</c:v>
                </c:pt>
                <c:pt idx="272">
                  <c:v>1.659859009899372E-3</c:v>
                </c:pt>
                <c:pt idx="273">
                  <c:v>1.7228959426560156E-3</c:v>
                </c:pt>
                <c:pt idx="274">
                  <c:v>1.7892478656951823E-3</c:v>
                </c:pt>
                <c:pt idx="275">
                  <c:v>1.8612601404544517E-3</c:v>
                </c:pt>
                <c:pt idx="276">
                  <c:v>1.9386156095722103E-3</c:v>
                </c:pt>
                <c:pt idx="277">
                  <c:v>2.0213372434229058E-3</c:v>
                </c:pt>
                <c:pt idx="278">
                  <c:v>2.1094421604590354E-3</c:v>
                </c:pt>
                <c:pt idx="279">
                  <c:v>2.2029406719764155E-3</c:v>
                </c:pt>
                <c:pt idx="280">
                  <c:v>2.3018353113699735E-3</c:v>
                </c:pt>
                <c:pt idx="281">
                  <c:v>2.4062804957785946E-3</c:v>
                </c:pt>
                <c:pt idx="282">
                  <c:v>2.5136483104093526E-3</c:v>
                </c:pt>
                <c:pt idx="283">
                  <c:v>2.6238874731896651E-3</c:v>
                </c:pt>
                <c:pt idx="284">
                  <c:v>2.7369369064595864E-3</c:v>
                </c:pt>
                <c:pt idx="285">
                  <c:v>2.8527252139042688E-3</c:v>
                </c:pt>
                <c:pt idx="286">
                  <c:v>2.9711701811060936E-3</c:v>
                </c:pt>
                <c:pt idx="287">
                  <c:v>3.0921783050808713E-3</c:v>
                </c:pt>
                <c:pt idx="288">
                  <c:v>3.2158723135280232E-3</c:v>
                </c:pt>
                <c:pt idx="289">
                  <c:v>3.3408404983644802E-3</c:v>
                </c:pt>
                <c:pt idx="290">
                  <c:v>3.4646474294216349E-3</c:v>
                </c:pt>
                <c:pt idx="291">
                  <c:v>3.5872120787547785E-3</c:v>
                </c:pt>
                <c:pt idx="292">
                  <c:v>3.7084495023352992E-3</c:v>
                </c:pt>
                <c:pt idx="293">
                  <c:v>3.8282711187515215E-3</c:v>
                </c:pt>
                <c:pt idx="294">
                  <c:v>3.9465849902602839E-3</c:v>
                </c:pt>
                <c:pt idx="295">
                  <c:v>4.0611277946482824E-3</c:v>
                </c:pt>
                <c:pt idx="296">
                  <c:v>4.1716773073338809E-3</c:v>
                </c:pt>
                <c:pt idx="297">
                  <c:v>4.2781651199687958E-3</c:v>
                </c:pt>
                <c:pt idx="298">
                  <c:v>4.3804899491179938E-3</c:v>
                </c:pt>
                <c:pt idx="299">
                  <c:v>4.4785507715313427E-3</c:v>
                </c:pt>
                <c:pt idx="300">
                  <c:v>4.572247286369859E-3</c:v>
                </c:pt>
                <c:pt idx="301">
                  <c:v>4.6614803636770867E-3</c:v>
                </c:pt>
                <c:pt idx="302">
                  <c:v>4.7464352847627796E-3</c:v>
                </c:pt>
                <c:pt idx="303">
                  <c:v>4.8312120020590522E-3</c:v>
                </c:pt>
                <c:pt idx="304">
                  <c:v>4.9174041546424822E-3</c:v>
                </c:pt>
                <c:pt idx="305">
                  <c:v>5.0050046018854247E-3</c:v>
                </c:pt>
                <c:pt idx="306">
                  <c:v>5.0940076505897429E-3</c:v>
                </c:pt>
                <c:pt idx="307">
                  <c:v>5.18440899435619E-3</c:v>
                </c:pt>
                <c:pt idx="308">
                  <c:v>5.2762056087018172E-3</c:v>
                </c:pt>
                <c:pt idx="309">
                  <c:v>5.3671926774641401E-3</c:v>
                </c:pt>
                <c:pt idx="310">
                  <c:v>5.4595573300832935E-3</c:v>
                </c:pt>
                <c:pt idx="311">
                  <c:v>5.5532993536386395E-3</c:v>
                </c:pt>
                <c:pt idx="312">
                  <c:v>5.6484188697730102E-3</c:v>
                </c:pt>
                <c:pt idx="313">
                  <c:v>5.7449159444372547E-3</c:v>
                </c:pt>
                <c:pt idx="314">
                  <c:v>5.8427901323219846E-3</c:v>
                </c:pt>
                <c:pt idx="315">
                  <c:v>5.9420399525377168E-3</c:v>
                </c:pt>
                <c:pt idx="316">
                  <c:v>6.0430606034140551E-3</c:v>
                </c:pt>
                <c:pt idx="317">
                  <c:v>6.1395221324853392E-3</c:v>
                </c:pt>
                <c:pt idx="318">
                  <c:v>6.2275679887303466E-3</c:v>
                </c:pt>
                <c:pt idx="319">
                  <c:v>6.3071973598272397E-3</c:v>
                </c:pt>
                <c:pt idx="320">
                  <c:v>6.37839764723842E-3</c:v>
                </c:pt>
                <c:pt idx="321">
                  <c:v>6.4411437738387811E-3</c:v>
                </c:pt>
                <c:pt idx="322">
                  <c:v>6.4953976062516513E-3</c:v>
                </c:pt>
                <c:pt idx="323">
                  <c:v>6.5470711568013347E-3</c:v>
                </c:pt>
                <c:pt idx="324">
                  <c:v>6.5983119665973455E-3</c:v>
                </c:pt>
                <c:pt idx="325">
                  <c:v>6.6490521558343696E-3</c:v>
                </c:pt>
                <c:pt idx="326">
                  <c:v>6.6991694133712275E-3</c:v>
                </c:pt>
                <c:pt idx="327">
                  <c:v>6.7485546926610452E-3</c:v>
                </c:pt>
                <c:pt idx="328">
                  <c:v>6.7971192855275061E-3</c:v>
                </c:pt>
                <c:pt idx="329">
                  <c:v>6.8447604453082643E-3</c:v>
                </c:pt>
                <c:pt idx="330">
                  <c:v>6.8920783182671577E-3</c:v>
                </c:pt>
                <c:pt idx="331">
                  <c:v>6.943307364244233E-3</c:v>
                </c:pt>
                <c:pt idx="332">
                  <c:v>7.0051154272428463E-3</c:v>
                </c:pt>
                <c:pt idx="333">
                  <c:v>7.0773982483264422E-3</c:v>
                </c:pt>
                <c:pt idx="334">
                  <c:v>7.1600380070657461E-3</c:v>
                </c:pt>
                <c:pt idx="335">
                  <c:v>7.2529003794660814E-3</c:v>
                </c:pt>
                <c:pt idx="336">
                  <c:v>7.3558314832628067E-3</c:v>
                </c:pt>
                <c:pt idx="337">
                  <c:v>7.462546273046545E-3</c:v>
                </c:pt>
                <c:pt idx="338">
                  <c:v>7.5667972118626673E-3</c:v>
                </c:pt>
                <c:pt idx="339">
                  <c:v>7.6683191407423213E-3</c:v>
                </c:pt>
                <c:pt idx="340">
                  <c:v>7.7668225294427323E-3</c:v>
                </c:pt>
                <c:pt idx="341">
                  <c:v>7.8619949555705504E-3</c:v>
                </c:pt>
                <c:pt idx="342">
                  <c:v>7.9535030276442487E-3</c:v>
                </c:pt>
                <c:pt idx="343">
                  <c:v>8.0409947638400165E-3</c:v>
                </c:pt>
                <c:pt idx="344">
                  <c:v>8.1250194813453948E-3</c:v>
                </c:pt>
                <c:pt idx="345">
                  <c:v>8.206193988398728E-3</c:v>
                </c:pt>
                <c:pt idx="346">
                  <c:v>8.2777208851040601E-3</c:v>
                </c:pt>
                <c:pt idx="347">
                  <c:v>8.3393123553997788E-3</c:v>
                </c:pt>
                <c:pt idx="348">
                  <c:v>8.390674895492771E-3</c:v>
                </c:pt>
                <c:pt idx="349">
                  <c:v>8.4315140270187841E-3</c:v>
                </c:pt>
                <c:pt idx="350">
                  <c:v>8.461539260998921E-3</c:v>
                </c:pt>
                <c:pt idx="351">
                  <c:v>8.4776161564025856E-3</c:v>
                </c:pt>
                <c:pt idx="352">
                  <c:v>8.4856080030569735E-3</c:v>
                </c:pt>
                <c:pt idx="353">
                  <c:v>8.4852566017202622E-3</c:v>
                </c:pt>
                <c:pt idx="354">
                  <c:v>8.4763224110464535E-3</c:v>
                </c:pt>
                <c:pt idx="355">
                  <c:v>8.4585887302355157E-3</c:v>
                </c:pt>
                <c:pt idx="356">
                  <c:v>8.4318433493335392E-3</c:v>
                </c:pt>
                <c:pt idx="357">
                  <c:v>8.395937879638193E-3</c:v>
                </c:pt>
                <c:pt idx="358">
                  <c:v>8.3507446927203275E-3</c:v>
                </c:pt>
                <c:pt idx="359">
                  <c:v>8.2964090037842015E-3</c:v>
                </c:pt>
                <c:pt idx="360">
                  <c:v>8.2271997024738232E-3</c:v>
                </c:pt>
                <c:pt idx="361">
                  <c:v>8.1462551600778848E-3</c:v>
                </c:pt>
                <c:pt idx="362">
                  <c:v>8.0539310771386707E-3</c:v>
                </c:pt>
                <c:pt idx="363">
                  <c:v>7.9506069292810573E-3</c:v>
                </c:pt>
                <c:pt idx="364">
                  <c:v>7.8366820364742275E-3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40408"/>
        <c:axId val="778340800"/>
      </c:lineChart>
      <c:dateAx>
        <c:axId val="7783404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0800"/>
        <c:crosses val="autoZero"/>
        <c:auto val="1"/>
        <c:lblOffset val="100"/>
        <c:baseTimeUnit val="days"/>
        <c:majorUnit val="1"/>
        <c:majorTimeUnit val="months"/>
      </c:dateAx>
      <c:valAx>
        <c:axId val="7783408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0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MdS 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10454.766750172004</c:v>
                </c:pt>
                <c:pt idx="1">
                  <c:v>11960.850030837801</c:v>
                </c:pt>
                <c:pt idx="2">
                  <c:v>11726.850945378214</c:v>
                </c:pt>
                <c:pt idx="3">
                  <c:v>12264.149573774655</c:v>
                </c:pt>
                <c:pt idx="4">
                  <c:v>12262.427596441708</c:v>
                </c:pt>
                <c:pt idx="5">
                  <c:v>12277.453038748599</c:v>
                </c:pt>
                <c:pt idx="6">
                  <c:v>12258.228907318322</c:v>
                </c:pt>
                <c:pt idx="7">
                  <c:v>12264.558164881782</c:v>
                </c:pt>
                <c:pt idx="8">
                  <c:v>12266.816731988918</c:v>
                </c:pt>
                <c:pt idx="9">
                  <c:v>12282.792004236153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10419.099526114869</c:v>
                </c:pt>
                <c:pt idx="1">
                  <c:v>11841.222640325117</c:v>
                </c:pt>
                <c:pt idx="2">
                  <c:v>11528.005590043382</c:v>
                </c:pt>
                <c:pt idx="3">
                  <c:v>11975.918447771319</c:v>
                </c:pt>
                <c:pt idx="4">
                  <c:v>11886.422400986972</c:v>
                </c:pt>
                <c:pt idx="5">
                  <c:v>11817.726075299748</c:v>
                </c:pt>
                <c:pt idx="6">
                  <c:v>11716.742976102361</c:v>
                </c:pt>
                <c:pt idx="7">
                  <c:v>11641.282061177968</c:v>
                </c:pt>
                <c:pt idx="8">
                  <c:v>11562.660196165069</c:v>
                </c:pt>
                <c:pt idx="9">
                  <c:v>11496.661250250505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11548.403999999986</c:v>
                </c:pt>
                <c:pt idx="4">
                  <c:v>11404.720569920099</c:v>
                </c:pt>
                <c:pt idx="5">
                  <c:v>11485.508865146825</c:v>
                </c:pt>
                <c:pt idx="6">
                  <c:v>11233.429402278878</c:v>
                </c:pt>
                <c:pt idx="7">
                  <c:v>11321.843707673532</c:v>
                </c:pt>
                <c:pt idx="8">
                  <c:v>11100.015027760486</c:v>
                </c:pt>
                <c:pt idx="9">
                  <c:v>11182.158293563554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10923.215081851524</c:v>
                </c:pt>
                <c:pt idx="4">
                  <c:v>10784.026019595474</c:v>
                </c:pt>
                <c:pt idx="5">
                  <c:v>10998.678011331132</c:v>
                </c:pt>
                <c:pt idx="6">
                  <c:v>10875.280104891488</c:v>
                </c:pt>
                <c:pt idx="7">
                  <c:v>10877.591261894519</c:v>
                </c:pt>
                <c:pt idx="8">
                  <c:v>10722.343095416216</c:v>
                </c:pt>
                <c:pt idx="9">
                  <c:v>10731.208468724446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620.93310326220058</c:v>
                </c:pt>
                <c:pt idx="4">
                  <c:v>620.62595436341815</c:v>
                </c:pt>
                <c:pt idx="5">
                  <c:v>486.8038679459429</c:v>
                </c:pt>
                <c:pt idx="6">
                  <c:v>358.11069391900639</c:v>
                </c:pt>
                <c:pt idx="7">
                  <c:v>428.84920350574788</c:v>
                </c:pt>
                <c:pt idx="8">
                  <c:v>352.39330271929128</c:v>
                </c:pt>
                <c:pt idx="9">
                  <c:v>422.24795009399332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-0.3839533258578065</c:v>
                </c:pt>
                <c:pt idx="4">
                  <c:v>-0.54890714132683627</c:v>
                </c:pt>
                <c:pt idx="5">
                  <c:v>-0.58723881059800043</c:v>
                </c:pt>
                <c:pt idx="6">
                  <c:v>-0.55450378290463576</c:v>
                </c:pt>
                <c:pt idx="7">
                  <c:v>14.267553361673155</c:v>
                </c:pt>
                <c:pt idx="8">
                  <c:v>23.402720044289033</c:v>
                </c:pt>
                <c:pt idx="9">
                  <c:v>26.805583013309356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62472"/>
        <c:axId val="392860512"/>
      </c:lineChart>
      <c:catAx>
        <c:axId val="392862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0512"/>
        <c:crosses val="autoZero"/>
        <c:auto val="1"/>
        <c:lblAlgn val="ctr"/>
        <c:lblOffset val="100"/>
        <c:noMultiLvlLbl val="0"/>
      </c:catAx>
      <c:valAx>
        <c:axId val="392860512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2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22.817714174226904</c:v>
                </c:pt>
                <c:pt idx="1">
                  <c:v>22.96139824420688</c:v>
                </c:pt>
                <c:pt idx="2">
                  <c:v>23.114395907334533</c:v>
                </c:pt>
                <c:pt idx="3">
                  <c:v>23.276234330339204</c:v>
                </c:pt>
                <c:pt idx="4">
                  <c:v>23.446440638242539</c:v>
                </c:pt>
                <c:pt idx="5">
                  <c:v>23.624541910812724</c:v>
                </c:pt>
                <c:pt idx="6">
                  <c:v>23.810065197082928</c:v>
                </c:pt>
                <c:pt idx="7">
                  <c:v>24.002537524457914</c:v>
                </c:pt>
                <c:pt idx="8">
                  <c:v>24.204434972534361</c:v>
                </c:pt>
                <c:pt idx="9">
                  <c:v>24.417896373393166</c:v>
                </c:pt>
                <c:pt idx="10">
                  <c:v>24.642006967910188</c:v>
                </c:pt>
                <c:pt idx="11">
                  <c:v>24.875985814447102</c:v>
                </c:pt>
                <c:pt idx="12">
                  <c:v>25.119052070567619</c:v>
                </c:pt>
                <c:pt idx="13">
                  <c:v>25.370425020656082</c:v>
                </c:pt>
                <c:pt idx="14">
                  <c:v>25.629324083122487</c:v>
                </c:pt>
                <c:pt idx="15">
                  <c:v>25.89511769718105</c:v>
                </c:pt>
                <c:pt idx="16">
                  <c:v>26.167105221440366</c:v>
                </c:pt>
                <c:pt idx="17">
                  <c:v>26.444506462709935</c:v>
                </c:pt>
                <c:pt idx="18">
                  <c:v>26.726541411977177</c:v>
                </c:pt>
                <c:pt idx="19">
                  <c:v>27.012429429002633</c:v>
                </c:pt>
                <c:pt idx="20">
                  <c:v>27.301389721778321</c:v>
                </c:pt>
                <c:pt idx="21">
                  <c:v>27.592640931017268</c:v>
                </c:pt>
                <c:pt idx="22">
                  <c:v>27.889316287938779</c:v>
                </c:pt>
                <c:pt idx="23">
                  <c:v>28.19451024068967</c:v>
                </c:pt>
                <c:pt idx="24">
                  <c:v>28.507445659326041</c:v>
                </c:pt>
                <c:pt idx="25">
                  <c:v>28.827214159117236</c:v>
                </c:pt>
                <c:pt idx="26">
                  <c:v>29.152907654082156</c:v>
                </c:pt>
                <c:pt idx="27">
                  <c:v>29.483618368945013</c:v>
                </c:pt>
                <c:pt idx="28">
                  <c:v>29.818438836540402</c:v>
                </c:pt>
                <c:pt idx="29">
                  <c:v>30.156376598395475</c:v>
                </c:pt>
                <c:pt idx="30">
                  <c:v>30.496376275791604</c:v>
                </c:pt>
                <c:pt idx="31">
                  <c:v>30.837531383030033</c:v>
                </c:pt>
                <c:pt idx="32">
                  <c:v>31.178935731315612</c:v>
                </c:pt>
                <c:pt idx="33">
                  <c:v>31.519683419234379</c:v>
                </c:pt>
                <c:pt idx="34">
                  <c:v>31.858868834311654</c:v>
                </c:pt>
                <c:pt idx="35">
                  <c:v>32.195586648349781</c:v>
                </c:pt>
                <c:pt idx="36">
                  <c:v>32.531414387777197</c:v>
                </c:pt>
                <c:pt idx="37">
                  <c:v>32.86851413874173</c:v>
                </c:pt>
                <c:pt idx="38">
                  <c:v>33.206736713126205</c:v>
                </c:pt>
                <c:pt idx="39">
                  <c:v>33.545981590205336</c:v>
                </c:pt>
                <c:pt idx="40">
                  <c:v>33.886148291291221</c:v>
                </c:pt>
                <c:pt idx="41">
                  <c:v>34.227136374829229</c:v>
                </c:pt>
                <c:pt idx="42">
                  <c:v>34.568845430658726</c:v>
                </c:pt>
                <c:pt idx="43">
                  <c:v>34.911210553780428</c:v>
                </c:pt>
                <c:pt idx="44">
                  <c:v>35.254216791497448</c:v>
                </c:pt>
                <c:pt idx="45">
                  <c:v>35.597763866146373</c:v>
                </c:pt>
                <c:pt idx="46">
                  <c:v>35.941751517467843</c:v>
                </c:pt>
                <c:pt idx="47">
                  <c:v>36.286079495238596</c:v>
                </c:pt>
                <c:pt idx="48">
                  <c:v>36.63064755475785</c:v>
                </c:pt>
                <c:pt idx="49">
                  <c:v>36.975355450598592</c:v>
                </c:pt>
                <c:pt idx="50">
                  <c:v>37.320354307450515</c:v>
                </c:pt>
                <c:pt idx="51">
                  <c:v>37.665858731429253</c:v>
                </c:pt>
                <c:pt idx="52">
                  <c:v>38.011821026312887</c:v>
                </c:pt>
                <c:pt idx="53">
                  <c:v>38.358241791570407</c:v>
                </c:pt>
                <c:pt idx="54">
                  <c:v>38.705121128149877</c:v>
                </c:pt>
                <c:pt idx="55">
                  <c:v>39.052459076418138</c:v>
                </c:pt>
                <c:pt idx="56">
                  <c:v>39.400255615155302</c:v>
                </c:pt>
                <c:pt idx="57">
                  <c:v>39.74845701098959</c:v>
                </c:pt>
                <c:pt idx="58">
                  <c:v>40.097027432927376</c:v>
                </c:pt>
                <c:pt idx="59">
                  <c:v>40.445966597372106</c:v>
                </c:pt>
                <c:pt idx="60">
                  <c:v>40.795274163415172</c:v>
                </c:pt>
                <c:pt idx="61">
                  <c:v>41.144949734091547</c:v>
                </c:pt>
                <c:pt idx="62">
                  <c:v>41.494992858600142</c:v>
                </c:pt>
                <c:pt idx="63">
                  <c:v>41.845403032982901</c:v>
                </c:pt>
                <c:pt idx="64">
                  <c:v>42.197267969245601</c:v>
                </c:pt>
                <c:pt idx="65">
                  <c:v>42.551279356658398</c:v>
                </c:pt>
                <c:pt idx="66">
                  <c:v>42.906937136210182</c:v>
                </c:pt>
                <c:pt idx="67">
                  <c:v>43.263737989511711</c:v>
                </c:pt>
                <c:pt idx="68">
                  <c:v>43.621178668810266</c:v>
                </c:pt>
                <c:pt idx="69">
                  <c:v>43.978755995834092</c:v>
                </c:pt>
                <c:pt idx="70">
                  <c:v>44.335966859383767</c:v>
                </c:pt>
                <c:pt idx="71">
                  <c:v>44.692299850793184</c:v>
                </c:pt>
                <c:pt idx="72">
                  <c:v>45.047305936391204</c:v>
                </c:pt>
                <c:pt idx="73">
                  <c:v>45.400482274123853</c:v>
                </c:pt>
                <c:pt idx="74">
                  <c:v>45.751326095592482</c:v>
                </c:pt>
                <c:pt idx="75">
                  <c:v>46.099334709650769</c:v>
                </c:pt>
                <c:pt idx="76">
                  <c:v>46.444005498416217</c:v>
                </c:pt>
                <c:pt idx="77">
                  <c:v>46.784835919076237</c:v>
                </c:pt>
                <c:pt idx="78">
                  <c:v>47.124317598676406</c:v>
                </c:pt>
                <c:pt idx="79">
                  <c:v>47.464728722695739</c:v>
                </c:pt>
                <c:pt idx="80">
                  <c:v>47.805326444335577</c:v>
                </c:pt>
                <c:pt idx="81">
                  <c:v>48.145306651656917</c:v>
                </c:pt>
                <c:pt idx="82">
                  <c:v>48.48386542463841</c:v>
                </c:pt>
                <c:pt idx="83">
                  <c:v>48.820199039789799</c:v>
                </c:pt>
                <c:pt idx="84">
                  <c:v>49.153503975349395</c:v>
                </c:pt>
                <c:pt idx="85">
                  <c:v>49.482965650673272</c:v>
                </c:pt>
                <c:pt idx="86">
                  <c:v>49.807789465488462</c:v>
                </c:pt>
                <c:pt idx="87">
                  <c:v>50.127172508198889</c:v>
                </c:pt>
                <c:pt idx="88">
                  <c:v>50.440312091514201</c:v>
                </c:pt>
                <c:pt idx="89">
                  <c:v>50.746405750978887</c:v>
                </c:pt>
                <c:pt idx="90">
                  <c:v>51.044651257332752</c:v>
                </c:pt>
                <c:pt idx="91">
                  <c:v>51.334246618701734</c:v>
                </c:pt>
                <c:pt idx="92">
                  <c:v>51.616612549975763</c:v>
                </c:pt>
                <c:pt idx="93">
                  <c:v>51.893632661102849</c:v>
                </c:pt>
                <c:pt idx="94">
                  <c:v>52.165218644384595</c:v>
                </c:pt>
                <c:pt idx="95">
                  <c:v>52.431270015584104</c:v>
                </c:pt>
                <c:pt idx="96">
                  <c:v>52.691686342595538</c:v>
                </c:pt>
                <c:pt idx="97">
                  <c:v>52.946367248044282</c:v>
                </c:pt>
                <c:pt idx="98">
                  <c:v>53.195212409705846</c:v>
                </c:pt>
                <c:pt idx="99">
                  <c:v>53.438118809001963</c:v>
                </c:pt>
                <c:pt idx="100">
                  <c:v>53.674998173008873</c:v>
                </c:pt>
                <c:pt idx="101">
                  <c:v>53.905750533202188</c:v>
                </c:pt>
                <c:pt idx="102">
                  <c:v>54.130276002862409</c:v>
                </c:pt>
                <c:pt idx="103">
                  <c:v>54.348474789281973</c:v>
                </c:pt>
                <c:pt idx="104">
                  <c:v>54.560247190097442</c:v>
                </c:pt>
                <c:pt idx="105">
                  <c:v>54.765493602998319</c:v>
                </c:pt>
                <c:pt idx="106">
                  <c:v>54.964364902821217</c:v>
                </c:pt>
                <c:pt idx="107">
                  <c:v>55.157073620471515</c:v>
                </c:pt>
                <c:pt idx="108">
                  <c:v>55.343625371180018</c:v>
                </c:pt>
                <c:pt idx="109">
                  <c:v>55.524020949116419</c:v>
                </c:pt>
                <c:pt idx="110">
                  <c:v>55.698261179349267</c:v>
                </c:pt>
                <c:pt idx="111">
                  <c:v>55.866346973378356</c:v>
                </c:pt>
                <c:pt idx="112">
                  <c:v>56.028279383779704</c:v>
                </c:pt>
                <c:pt idx="113">
                  <c:v>56.184052810168431</c:v>
                </c:pt>
                <c:pt idx="114">
                  <c:v>56.333671409320949</c:v>
                </c:pt>
                <c:pt idx="115">
                  <c:v>56.477136415025036</c:v>
                </c:pt>
                <c:pt idx="116">
                  <c:v>56.614449160116898</c:v>
                </c:pt>
                <c:pt idx="117">
                  <c:v>56.745611077609077</c:v>
                </c:pt>
                <c:pt idx="118">
                  <c:v>56.870623708393651</c:v>
                </c:pt>
                <c:pt idx="119">
                  <c:v>56.989488694093566</c:v>
                </c:pt>
                <c:pt idx="120">
                  <c:v>59.773783595722243</c:v>
                </c:pt>
                <c:pt idx="121">
                  <c:v>59.882062271859105</c:v>
                </c:pt>
                <c:pt idx="122">
                  <c:v>59.982826500843885</c:v>
                </c:pt>
                <c:pt idx="123">
                  <c:v>60.076497129995794</c:v>
                </c:pt>
                <c:pt idx="124">
                  <c:v>60.163494840345138</c:v>
                </c:pt>
                <c:pt idx="125">
                  <c:v>60.244240136291538</c:v>
                </c:pt>
                <c:pt idx="126">
                  <c:v>60.319153352778528</c:v>
                </c:pt>
                <c:pt idx="127">
                  <c:v>60.388655752357899</c:v>
                </c:pt>
                <c:pt idx="128">
                  <c:v>60.45317562791692</c:v>
                </c:pt>
                <c:pt idx="129">
                  <c:v>60.513133116951629</c:v>
                </c:pt>
                <c:pt idx="130">
                  <c:v>60.568948198242175</c:v>
                </c:pt>
                <c:pt idx="131">
                  <c:v>60.621040695575346</c:v>
                </c:pt>
                <c:pt idx="132">
                  <c:v>60.669830273063923</c:v>
                </c:pt>
                <c:pt idx="133">
                  <c:v>60.715736436262624</c:v>
                </c:pt>
                <c:pt idx="134">
                  <c:v>60.757680009658642</c:v>
                </c:pt>
                <c:pt idx="135">
                  <c:v>60.794443875452089</c:v>
                </c:pt>
                <c:pt idx="136">
                  <c:v>60.826249132929455</c:v>
                </c:pt>
                <c:pt idx="137">
                  <c:v>60.853307125478203</c:v>
                </c:pt>
                <c:pt idx="138">
                  <c:v>60.875829135687397</c:v>
                </c:pt>
                <c:pt idx="139">
                  <c:v>60.894026387795265</c:v>
                </c:pt>
                <c:pt idx="140">
                  <c:v>60.908110047656422</c:v>
                </c:pt>
                <c:pt idx="141">
                  <c:v>60.918285313891666</c:v>
                </c:pt>
                <c:pt idx="142">
                  <c:v>60.924761880658224</c:v>
                </c:pt>
                <c:pt idx="143">
                  <c:v>60.927750554330608</c:v>
                </c:pt>
                <c:pt idx="144">
                  <c:v>60.927461984610787</c:v>
                </c:pt>
                <c:pt idx="145">
                  <c:v>60.924106750258993</c:v>
                </c:pt>
                <c:pt idx="146">
                  <c:v>60.917895352100771</c:v>
                </c:pt>
                <c:pt idx="147">
                  <c:v>60.909038211135993</c:v>
                </c:pt>
                <c:pt idx="148">
                  <c:v>60.896319063924018</c:v>
                </c:pt>
                <c:pt idx="149">
                  <c:v>60.878659905334047</c:v>
                </c:pt>
                <c:pt idx="150">
                  <c:v>60.856479464639946</c:v>
                </c:pt>
                <c:pt idx="151">
                  <c:v>60.830197289045614</c:v>
                </c:pt>
                <c:pt idx="152">
                  <c:v>60.800232740919114</c:v>
                </c:pt>
                <c:pt idx="153">
                  <c:v>60.767004994256126</c:v>
                </c:pt>
                <c:pt idx="154">
                  <c:v>60.730933029550457</c:v>
                </c:pt>
                <c:pt idx="155">
                  <c:v>60.692428255761492</c:v>
                </c:pt>
                <c:pt idx="156">
                  <c:v>60.651915937338984</c:v>
                </c:pt>
                <c:pt idx="157">
                  <c:v>60.609814446635873</c:v>
                </c:pt>
                <c:pt idx="158">
                  <c:v>60.566541953226022</c:v>
                </c:pt>
                <c:pt idx="159">
                  <c:v>60.522516424404877</c:v>
                </c:pt>
                <c:pt idx="160">
                  <c:v>60.478155621410345</c:v>
                </c:pt>
                <c:pt idx="161">
                  <c:v>60.433877098190969</c:v>
                </c:pt>
                <c:pt idx="162">
                  <c:v>60.389055966360289</c:v>
                </c:pt>
                <c:pt idx="163">
                  <c:v>60.342783722475247</c:v>
                </c:pt>
                <c:pt idx="164">
                  <c:v>60.295062854322069</c:v>
                </c:pt>
                <c:pt idx="165">
                  <c:v>60.245894142305282</c:v>
                </c:pt>
                <c:pt idx="166">
                  <c:v>60.195278337934987</c:v>
                </c:pt>
                <c:pt idx="167">
                  <c:v>60.143216159468224</c:v>
                </c:pt>
                <c:pt idx="168">
                  <c:v>60.089708293650105</c:v>
                </c:pt>
                <c:pt idx="169">
                  <c:v>60.034749149372345</c:v>
                </c:pt>
                <c:pt idx="170">
                  <c:v>59.978347559238884</c:v>
                </c:pt>
                <c:pt idx="171">
                  <c:v>59.920504145655151</c:v>
                </c:pt>
                <c:pt idx="172">
                  <c:v>59.861219490571742</c:v>
                </c:pt>
                <c:pt idx="173">
                  <c:v>59.800494260342028</c:v>
                </c:pt>
                <c:pt idx="174">
                  <c:v>59.738329090662866</c:v>
                </c:pt>
                <c:pt idx="175">
                  <c:v>59.674724458928857</c:v>
                </c:pt>
                <c:pt idx="176">
                  <c:v>59.609680805318568</c:v>
                </c:pt>
                <c:pt idx="177">
                  <c:v>59.543189840067484</c:v>
                </c:pt>
                <c:pt idx="178">
                  <c:v>59.475258376740129</c:v>
                </c:pt>
                <c:pt idx="179">
                  <c:v>59.405886714908064</c:v>
                </c:pt>
                <c:pt idx="180">
                  <c:v>59.335075119450615</c:v>
                </c:pt>
                <c:pt idx="181">
                  <c:v>59.262823823277678</c:v>
                </c:pt>
                <c:pt idx="182">
                  <c:v>59.189133026208772</c:v>
                </c:pt>
                <c:pt idx="183">
                  <c:v>59.114000898470053</c:v>
                </c:pt>
                <c:pt idx="184">
                  <c:v>59.037434295962349</c:v>
                </c:pt>
                <c:pt idx="185">
                  <c:v>58.959433373765734</c:v>
                </c:pt>
                <c:pt idx="186">
                  <c:v>58.879998258037567</c:v>
                </c:pt>
                <c:pt idx="187">
                  <c:v>58.799129045291842</c:v>
                </c:pt>
                <c:pt idx="188">
                  <c:v>58.716825807929695</c:v>
                </c:pt>
                <c:pt idx="189">
                  <c:v>58.633088593920135</c:v>
                </c:pt>
                <c:pt idx="190">
                  <c:v>58.54836771355609</c:v>
                </c:pt>
                <c:pt idx="191">
                  <c:v>58.46296636051823</c:v>
                </c:pt>
                <c:pt idx="192">
                  <c:v>58.376685618903359</c:v>
                </c:pt>
                <c:pt idx="193">
                  <c:v>58.289317554283656</c:v>
                </c:pt>
                <c:pt idx="194">
                  <c:v>58.200654307942898</c:v>
                </c:pt>
                <c:pt idx="195">
                  <c:v>58.110488098803849</c:v>
                </c:pt>
                <c:pt idx="196">
                  <c:v>58.018611225796313</c:v>
                </c:pt>
                <c:pt idx="197">
                  <c:v>57.924817085892698</c:v>
                </c:pt>
                <c:pt idx="198">
                  <c:v>57.828900249822475</c:v>
                </c:pt>
                <c:pt idx="199">
                  <c:v>57.730653279311987</c:v>
                </c:pt>
                <c:pt idx="200">
                  <c:v>57.629868823311746</c:v>
                </c:pt>
                <c:pt idx="201">
                  <c:v>57.526339618877486</c:v>
                </c:pt>
                <c:pt idx="202">
                  <c:v>57.419858497672784</c:v>
                </c:pt>
                <c:pt idx="203">
                  <c:v>57.310218384686742</c:v>
                </c:pt>
                <c:pt idx="204">
                  <c:v>57.197731149082308</c:v>
                </c:pt>
                <c:pt idx="205">
                  <c:v>57.082848136595871</c:v>
                </c:pt>
                <c:pt idx="206">
                  <c:v>56.965578262221349</c:v>
                </c:pt>
                <c:pt idx="207">
                  <c:v>56.845921928418477</c:v>
                </c:pt>
                <c:pt idx="208">
                  <c:v>56.723879554567155</c:v>
                </c:pt>
                <c:pt idx="209">
                  <c:v>56.599451582029175</c:v>
                </c:pt>
                <c:pt idx="210">
                  <c:v>56.472638472965961</c:v>
                </c:pt>
                <c:pt idx="211">
                  <c:v>56.343424338898458</c:v>
                </c:pt>
                <c:pt idx="212">
                  <c:v>56.211808671051102</c:v>
                </c:pt>
                <c:pt idx="213">
                  <c:v>56.077791976106752</c:v>
                </c:pt>
                <c:pt idx="214">
                  <c:v>55.941374787898198</c:v>
                </c:pt>
                <c:pt idx="215">
                  <c:v>55.802557668757267</c:v>
                </c:pt>
                <c:pt idx="216">
                  <c:v>55.661341210709168</c:v>
                </c:pt>
                <c:pt idx="217">
                  <c:v>55.51772603195365</c:v>
                </c:pt>
                <c:pt idx="218">
                  <c:v>55.372161787956429</c:v>
                </c:pt>
                <c:pt idx="219">
                  <c:v>55.224944450803392</c:v>
                </c:pt>
                <c:pt idx="220">
                  <c:v>55.075866076212712</c:v>
                </c:pt>
                <c:pt idx="221">
                  <c:v>54.924720036349555</c:v>
                </c:pt>
                <c:pt idx="222">
                  <c:v>54.771299810901851</c:v>
                </c:pt>
                <c:pt idx="223">
                  <c:v>54.615398989414437</c:v>
                </c:pt>
                <c:pt idx="224">
                  <c:v>54.456811267790123</c:v>
                </c:pt>
                <c:pt idx="225">
                  <c:v>54.295319060814066</c:v>
                </c:pt>
                <c:pt idx="226">
                  <c:v>54.130732751983814</c:v>
                </c:pt>
                <c:pt idx="227">
                  <c:v>53.962846356471687</c:v>
                </c:pt>
                <c:pt idx="228">
                  <c:v>53.79145398935794</c:v>
                </c:pt>
                <c:pt idx="229">
                  <c:v>53.616349864271264</c:v>
                </c:pt>
                <c:pt idx="230">
                  <c:v>53.437328296534403</c:v>
                </c:pt>
                <c:pt idx="231">
                  <c:v>53.254183695020487</c:v>
                </c:pt>
                <c:pt idx="232">
                  <c:v>53.067227947788375</c:v>
                </c:pt>
                <c:pt idx="233">
                  <c:v>52.876903432545461</c:v>
                </c:pt>
                <c:pt idx="234">
                  <c:v>52.683226847228504</c:v>
                </c:pt>
                <c:pt idx="235">
                  <c:v>52.486199440086367</c:v>
                </c:pt>
                <c:pt idx="236">
                  <c:v>52.285822457119501</c:v>
                </c:pt>
                <c:pt idx="237">
                  <c:v>52.082097182943336</c:v>
                </c:pt>
                <c:pt idx="238">
                  <c:v>51.875024913295462</c:v>
                </c:pt>
                <c:pt idx="239">
                  <c:v>51.664593316607636</c:v>
                </c:pt>
                <c:pt idx="240">
                  <c:v>51.45081507317358</c:v>
                </c:pt>
                <c:pt idx="241">
                  <c:v>51.233691516978482</c:v>
                </c:pt>
                <c:pt idx="242">
                  <c:v>51.013224002685753</c:v>
                </c:pt>
                <c:pt idx="243">
                  <c:v>50.789413901522146</c:v>
                </c:pt>
                <c:pt idx="244">
                  <c:v>50.562262605293235</c:v>
                </c:pt>
                <c:pt idx="245">
                  <c:v>50.331771525178411</c:v>
                </c:pt>
                <c:pt idx="246">
                  <c:v>50.097942098013377</c:v>
                </c:pt>
                <c:pt idx="247">
                  <c:v>49.860745832071352</c:v>
                </c:pt>
                <c:pt idx="248">
                  <c:v>49.620191600652454</c:v>
                </c:pt>
                <c:pt idx="249">
                  <c:v>49.376280991352168</c:v>
                </c:pt>
                <c:pt idx="250">
                  <c:v>49.129015631899343</c:v>
                </c:pt>
                <c:pt idx="251">
                  <c:v>48.878397187610993</c:v>
                </c:pt>
                <c:pt idx="252">
                  <c:v>48.624427364908044</c:v>
                </c:pt>
                <c:pt idx="253">
                  <c:v>48.367076833417727</c:v>
                </c:pt>
                <c:pt idx="254">
                  <c:v>48.106360992161932</c:v>
                </c:pt>
                <c:pt idx="255">
                  <c:v>47.842281772603791</c:v>
                </c:pt>
                <c:pt idx="256">
                  <c:v>47.574841161214884</c:v>
                </c:pt>
                <c:pt idx="257">
                  <c:v>47.3040412011527</c:v>
                </c:pt>
                <c:pt idx="258">
                  <c:v>47.029883992307639</c:v>
                </c:pt>
                <c:pt idx="259">
                  <c:v>46.752371696687163</c:v>
                </c:pt>
                <c:pt idx="260">
                  <c:v>46.471282930945868</c:v>
                </c:pt>
                <c:pt idx="261">
                  <c:v>46.186441301370159</c:v>
                </c:pt>
                <c:pt idx="262">
                  <c:v>45.897981844381341</c:v>
                </c:pt>
                <c:pt idx="263">
                  <c:v>45.606010174767825</c:v>
                </c:pt>
                <c:pt idx="264">
                  <c:v>45.31063192197842</c:v>
                </c:pt>
                <c:pt idx="265">
                  <c:v>45.011952283088029</c:v>
                </c:pt>
                <c:pt idx="266">
                  <c:v>44.710076650953496</c:v>
                </c:pt>
                <c:pt idx="267">
                  <c:v>44.404948000919269</c:v>
                </c:pt>
                <c:pt idx="268">
                  <c:v>44.096703605940924</c:v>
                </c:pt>
                <c:pt idx="269">
                  <c:v>43.785450510699945</c:v>
                </c:pt>
                <c:pt idx="270">
                  <c:v>43.471295875969709</c:v>
                </c:pt>
                <c:pt idx="271">
                  <c:v>43.154346985595922</c:v>
                </c:pt>
                <c:pt idx="272">
                  <c:v>42.834711241833247</c:v>
                </c:pt>
                <c:pt idx="273">
                  <c:v>42.512496169420722</c:v>
                </c:pt>
                <c:pt idx="274">
                  <c:v>42.186211782024841</c:v>
                </c:pt>
                <c:pt idx="275">
                  <c:v>41.854600534125254</c:v>
                </c:pt>
                <c:pt idx="276">
                  <c:v>41.518310573161592</c:v>
                </c:pt>
                <c:pt idx="277">
                  <c:v>41.177966919394848</c:v>
                </c:pt>
                <c:pt idx="278">
                  <c:v>40.834194592790375</c:v>
                </c:pt>
                <c:pt idx="279">
                  <c:v>40.487618612893165</c:v>
                </c:pt>
                <c:pt idx="280">
                  <c:v>40.138863988606005</c:v>
                </c:pt>
                <c:pt idx="281">
                  <c:v>39.788585492325474</c:v>
                </c:pt>
                <c:pt idx="282">
                  <c:v>39.437560832873693</c:v>
                </c:pt>
                <c:pt idx="283">
                  <c:v>39.086411920559208</c:v>
                </c:pt>
                <c:pt idx="284">
                  <c:v>38.73576041171227</c:v>
                </c:pt>
                <c:pt idx="285">
                  <c:v>38.386227694290561</c:v>
                </c:pt>
                <c:pt idx="286">
                  <c:v>38.038434869452651</c:v>
                </c:pt>
                <c:pt idx="287">
                  <c:v>37.693002734039716</c:v>
                </c:pt>
                <c:pt idx="288">
                  <c:v>37.347892143565154</c:v>
                </c:pt>
                <c:pt idx="289">
                  <c:v>37.001067966726787</c:v>
                </c:pt>
                <c:pt idx="290">
                  <c:v>36.6531495954465</c:v>
                </c:pt>
                <c:pt idx="291">
                  <c:v>36.304650974567096</c:v>
                </c:pt>
                <c:pt idx="292">
                  <c:v>35.956085509309275</c:v>
                </c:pt>
                <c:pt idx="293">
                  <c:v>35.607966057943656</c:v>
                </c:pt>
                <c:pt idx="294">
                  <c:v>35.260804928225731</c:v>
                </c:pt>
                <c:pt idx="295">
                  <c:v>34.915189221647175</c:v>
                </c:pt>
                <c:pt idx="296">
                  <c:v>34.571598866007911</c:v>
                </c:pt>
                <c:pt idx="297">
                  <c:v>34.230541452191375</c:v>
                </c:pt>
                <c:pt idx="298">
                  <c:v>33.892525636267834</c:v>
                </c:pt>
                <c:pt idx="299">
                  <c:v>33.558059542247435</c:v>
                </c:pt>
                <c:pt idx="300">
                  <c:v>33.227650780801667</c:v>
                </c:pt>
                <c:pt idx="301">
                  <c:v>32.90180646734057</c:v>
                </c:pt>
                <c:pt idx="302">
                  <c:v>32.579079239705109</c:v>
                </c:pt>
                <c:pt idx="303">
                  <c:v>32.257758607542719</c:v>
                </c:pt>
                <c:pt idx="304">
                  <c:v>31.938085480868974</c:v>
                </c:pt>
                <c:pt idx="305">
                  <c:v>31.620365911091415</c:v>
                </c:pt>
                <c:pt idx="306">
                  <c:v>31.304905633617114</c:v>
                </c:pt>
                <c:pt idx="307">
                  <c:v>30.992010077206533</c:v>
                </c:pt>
                <c:pt idx="308">
                  <c:v>30.681984374395917</c:v>
                </c:pt>
                <c:pt idx="309">
                  <c:v>30.375203572529209</c:v>
                </c:pt>
                <c:pt idx="310">
                  <c:v>30.071904549729432</c:v>
                </c:pt>
                <c:pt idx="311">
                  <c:v>29.772391509749145</c:v>
                </c:pt>
                <c:pt idx="312">
                  <c:v>29.476968411935761</c:v>
                </c:pt>
                <c:pt idx="313">
                  <c:v>29.185938988404406</c:v>
                </c:pt>
                <c:pt idx="314">
                  <c:v>28.899606758315535</c:v>
                </c:pt>
                <c:pt idx="315">
                  <c:v>28.618275048056624</c:v>
                </c:pt>
                <c:pt idx="316">
                  <c:v>28.340363523729152</c:v>
                </c:pt>
                <c:pt idx="317">
                  <c:v>28.064611731067881</c:v>
                </c:pt>
                <c:pt idx="318">
                  <c:v>27.791632462687929</c:v>
                </c:pt>
                <c:pt idx="319">
                  <c:v>27.521926488494206</c:v>
                </c:pt>
                <c:pt idx="320">
                  <c:v>27.255994783136785</c:v>
                </c:pt>
                <c:pt idx="321">
                  <c:v>26.994338585641454</c:v>
                </c:pt>
                <c:pt idx="322">
                  <c:v>26.737459439087118</c:v>
                </c:pt>
                <c:pt idx="323">
                  <c:v>26.48576405362985</c:v>
                </c:pt>
                <c:pt idx="324">
                  <c:v>26.239696454610169</c:v>
                </c:pt>
                <c:pt idx="325">
                  <c:v>25.999763326085322</c:v>
                </c:pt>
                <c:pt idx="326">
                  <c:v>25.766473022529091</c:v>
                </c:pt>
                <c:pt idx="327">
                  <c:v>25.540333133679013</c:v>
                </c:pt>
                <c:pt idx="328">
                  <c:v>25.321850270112474</c:v>
                </c:pt>
                <c:pt idx="329">
                  <c:v>25.111531292046919</c:v>
                </c:pt>
                <c:pt idx="330">
                  <c:v>24.90726632702815</c:v>
                </c:pt>
                <c:pt idx="331">
                  <c:v>24.706998292309255</c:v>
                </c:pt>
                <c:pt idx="332">
                  <c:v>24.511178549932485</c:v>
                </c:pt>
                <c:pt idx="333">
                  <c:v>24.32042244438604</c:v>
                </c:pt>
                <c:pt idx="334">
                  <c:v>24.135345225517103</c:v>
                </c:pt>
                <c:pt idx="335">
                  <c:v>23.956562045537556</c:v>
                </c:pt>
                <c:pt idx="336">
                  <c:v>23.784687952817333</c:v>
                </c:pt>
                <c:pt idx="337">
                  <c:v>23.620474791665622</c:v>
                </c:pt>
                <c:pt idx="338">
                  <c:v>23.464620379287293</c:v>
                </c:pt>
                <c:pt idx="339">
                  <c:v>23.317736027926816</c:v>
                </c:pt>
                <c:pt idx="340">
                  <c:v>23.180433320370781</c:v>
                </c:pt>
                <c:pt idx="341">
                  <c:v>23.053324072468609</c:v>
                </c:pt>
                <c:pt idx="342">
                  <c:v>22.937020305029737</c:v>
                </c:pt>
                <c:pt idx="343">
                  <c:v>22.832134230314917</c:v>
                </c:pt>
                <c:pt idx="344">
                  <c:v>22.736685142757267</c:v>
                </c:pt>
                <c:pt idx="345">
                  <c:v>22.64860801840241</c:v>
                </c:pt>
                <c:pt idx="346">
                  <c:v>22.568399619364936</c:v>
                </c:pt>
                <c:pt idx="347">
                  <c:v>22.496545893660976</c:v>
                </c:pt>
                <c:pt idx="348">
                  <c:v>22.433532887684066</c:v>
                </c:pt>
                <c:pt idx="349">
                  <c:v>22.37984671475024</c:v>
                </c:pt>
                <c:pt idx="350">
                  <c:v>22.335973502505794</c:v>
                </c:pt>
                <c:pt idx="351">
                  <c:v>22.302394824310696</c:v>
                </c:pt>
                <c:pt idx="352">
                  <c:v>22.279467336354205</c:v>
                </c:pt>
                <c:pt idx="353">
                  <c:v>22.267677826592408</c:v>
                </c:pt>
                <c:pt idx="354">
                  <c:v>22.26751283723042</c:v>
                </c:pt>
                <c:pt idx="355">
                  <c:v>22.279458656320923</c:v>
                </c:pt>
                <c:pt idx="356">
                  <c:v>22.304001683442156</c:v>
                </c:pt>
                <c:pt idx="357">
                  <c:v>22.341627598274293</c:v>
                </c:pt>
                <c:pt idx="358">
                  <c:v>22.392726113389941</c:v>
                </c:pt>
                <c:pt idx="359">
                  <c:v>22.457042499203471</c:v>
                </c:pt>
                <c:pt idx="360">
                  <c:v>22.534224732827315</c:v>
                </c:pt>
                <c:pt idx="361">
                  <c:v>22.62379695227126</c:v>
                </c:pt>
                <c:pt idx="362">
                  <c:v>22.725278874746792</c:v>
                </c:pt>
                <c:pt idx="363">
                  <c:v>22.838190275276318</c:v>
                </c:pt>
                <c:pt idx="364">
                  <c:v>22.962050990133068</c:v>
                </c:pt>
                <c:pt idx="365">
                  <c:v>23.096380891749952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23.214883560877631</c:v>
                </c:pt>
                <c:pt idx="1">
                  <c:v>16.011363466648927</c:v>
                </c:pt>
                <c:pt idx="2">
                  <c:v>17.289149120322683</c:v>
                </c:pt>
                <c:pt idx="3">
                  <c:v>18.372759063811099</c:v>
                </c:pt>
                <c:pt idx="4">
                  <c:v>14.529917991879008</c:v>
                </c:pt>
                <c:pt idx="5">
                  <c:v>20.851602009444367</c:v>
                </c:pt>
                <c:pt idx="6">
                  <c:v>10.225574750392827</c:v>
                </c:pt>
                <c:pt idx="7">
                  <c:v>7.2778167160304967</c:v>
                </c:pt>
                <c:pt idx="8">
                  <c:v>2.172898516512721</c:v>
                </c:pt>
                <c:pt idx="9">
                  <c:v>1.7820361868664694</c:v>
                </c:pt>
                <c:pt idx="10">
                  <c:v>24.982102853950284</c:v>
                </c:pt>
                <c:pt idx="11">
                  <c:v>21.717472321372782</c:v>
                </c:pt>
                <c:pt idx="12">
                  <c:v>5.5673938035450643</c:v>
                </c:pt>
                <c:pt idx="13">
                  <c:v>26.421490572590898</c:v>
                </c:pt>
                <c:pt idx="14">
                  <c:v>26.732785583703297</c:v>
                </c:pt>
                <c:pt idx="15">
                  <c:v>26.155212202801074</c:v>
                </c:pt>
                <c:pt idx="16">
                  <c:v>12.078162752820143</c:v>
                </c:pt>
                <c:pt idx="17">
                  <c:v>3.8371428470667226</c:v>
                </c:pt>
                <c:pt idx="18">
                  <c:v>10.470106736295403</c:v>
                </c:pt>
                <c:pt idx="19">
                  <c:v>6.5571360543575024</c:v>
                </c:pt>
                <c:pt idx="20">
                  <c:v>20.907003102212354</c:v>
                </c:pt>
                <c:pt idx="21">
                  <c:v>27.908909416006743</c:v>
                </c:pt>
                <c:pt idx="22">
                  <c:v>28.033747452759648</c:v>
                </c:pt>
                <c:pt idx="23">
                  <c:v>28.5785398663105</c:v>
                </c:pt>
                <c:pt idx="24">
                  <c:v>27.635490689142568</c:v>
                </c:pt>
                <c:pt idx="25">
                  <c:v>28.309356038848815</c:v>
                </c:pt>
                <c:pt idx="26">
                  <c:v>27.052815326863588</c:v>
                </c:pt>
                <c:pt idx="27">
                  <c:v>4.2755114080027123</c:v>
                </c:pt>
                <c:pt idx="28">
                  <c:v>9.0246571279866235</c:v>
                </c:pt>
                <c:pt idx="29">
                  <c:v>4.6609057939251635</c:v>
                </c:pt>
                <c:pt idx="30">
                  <c:v>7.7293052800177051</c:v>
                </c:pt>
                <c:pt idx="31">
                  <c:v>12.82717029508702</c:v>
                </c:pt>
                <c:pt idx="32">
                  <c:v>5.4153339899297297</c:v>
                </c:pt>
                <c:pt idx="33">
                  <c:v>10.628577473141776</c:v>
                </c:pt>
                <c:pt idx="34">
                  <c:v>10.469075341654877</c:v>
                </c:pt>
                <c:pt idx="35">
                  <c:v>9.1997883219776142</c:v>
                </c:pt>
                <c:pt idx="36">
                  <c:v>21.434089499254569</c:v>
                </c:pt>
                <c:pt idx="37">
                  <c:v>9.0337356232571455</c:v>
                </c:pt>
                <c:pt idx="38">
                  <c:v>33.504426513640979</c:v>
                </c:pt>
                <c:pt idx="39">
                  <c:v>33.792368764834478</c:v>
                </c:pt>
                <c:pt idx="40">
                  <c:v>31.514576482843083</c:v>
                </c:pt>
                <c:pt idx="41">
                  <c:v>17.458329904994148</c:v>
                </c:pt>
                <c:pt idx="42">
                  <c:v>26.753607869594031</c:v>
                </c:pt>
                <c:pt idx="43">
                  <c:v>32.733104994461719</c:v>
                </c:pt>
                <c:pt idx="44">
                  <c:v>15.367908550799287</c:v>
                </c:pt>
                <c:pt idx="45">
                  <c:v>18.535991170284277</c:v>
                </c:pt>
                <c:pt idx="46">
                  <c:v>9.1177144811204656</c:v>
                </c:pt>
                <c:pt idx="47">
                  <c:v>11.360041609003744</c:v>
                </c:pt>
                <c:pt idx="48">
                  <c:v>29.328291936291095</c:v>
                </c:pt>
                <c:pt idx="49">
                  <c:v>19.900719027197159</c:v>
                </c:pt>
                <c:pt idx="50">
                  <c:v>19.781064689979839</c:v>
                </c:pt>
                <c:pt idx="51">
                  <c:v>21.901676826468268</c:v>
                </c:pt>
                <c:pt idx="52">
                  <c:v>33.470167382371329</c:v>
                </c:pt>
                <c:pt idx="53">
                  <c:v>35.172096709317515</c:v>
                </c:pt>
                <c:pt idx="54">
                  <c:v>21.894783664136948</c:v>
                </c:pt>
                <c:pt idx="55">
                  <c:v>31.354815648815908</c:v>
                </c:pt>
                <c:pt idx="56">
                  <c:v>39.740265064141447</c:v>
                </c:pt>
                <c:pt idx="57">
                  <c:v>28.407969182345322</c:v>
                </c:pt>
                <c:pt idx="58">
                  <c:v>34.296751018600453</c:v>
                </c:pt>
                <c:pt idx="59">
                  <c:v>39.793692829199657</c:v>
                </c:pt>
                <c:pt idx="60">
                  <c:v>11.595391697975167</c:v>
                </c:pt>
                <c:pt idx="61">
                  <c:v>35.580638905436217</c:v>
                </c:pt>
                <c:pt idx="62">
                  <c:v>3.8235582927124789</c:v>
                </c:pt>
                <c:pt idx="63">
                  <c:v>13.166073917578695</c:v>
                </c:pt>
                <c:pt idx="64">
                  <c:v>15.873873326405667</c:v>
                </c:pt>
                <c:pt idx="65">
                  <c:v>39.104016124650819</c:v>
                </c:pt>
                <c:pt idx="66">
                  <c:v>31.870363015632442</c:v>
                </c:pt>
                <c:pt idx="67">
                  <c:v>31.073356914093463</c:v>
                </c:pt>
                <c:pt idx="68">
                  <c:v>24.736847562566663</c:v>
                </c:pt>
                <c:pt idx="69">
                  <c:v>15.341861282629383</c:v>
                </c:pt>
                <c:pt idx="70">
                  <c:v>15.968430134982338</c:v>
                </c:pt>
                <c:pt idx="71">
                  <c:v>8.9544151684968867</c:v>
                </c:pt>
                <c:pt idx="72">
                  <c:v>14.428050071673622</c:v>
                </c:pt>
                <c:pt idx="73">
                  <c:v>13.733550358371991</c:v>
                </c:pt>
                <c:pt idx="74">
                  <c:v>13.706647285997304</c:v>
                </c:pt>
                <c:pt idx="75">
                  <c:v>11.511732766574815</c:v>
                </c:pt>
                <c:pt idx="76">
                  <c:v>14.88237915385066</c:v>
                </c:pt>
                <c:pt idx="77">
                  <c:v>28.434467691106811</c:v>
                </c:pt>
                <c:pt idx="78">
                  <c:v>31.573881154439867</c:v>
                </c:pt>
                <c:pt idx="79">
                  <c:v>44.69590602105032</c:v>
                </c:pt>
                <c:pt idx="80">
                  <c:v>42.435451423914479</c:v>
                </c:pt>
                <c:pt idx="81">
                  <c:v>48.370235414257692</c:v>
                </c:pt>
                <c:pt idx="82">
                  <c:v>47.576808206733027</c:v>
                </c:pt>
                <c:pt idx="83">
                  <c:v>42.340171776437778</c:v>
                </c:pt>
                <c:pt idx="84">
                  <c:v>46.870471715117603</c:v>
                </c:pt>
                <c:pt idx="85">
                  <c:v>45.315254989567414</c:v>
                </c:pt>
                <c:pt idx="86">
                  <c:v>14.592411290248764</c:v>
                </c:pt>
                <c:pt idx="87">
                  <c:v>28.007677573852469</c:v>
                </c:pt>
                <c:pt idx="88">
                  <c:v>7.8532116356229817</c:v>
                </c:pt>
                <c:pt idx="89">
                  <c:v>27.972927429741606</c:v>
                </c:pt>
                <c:pt idx="90">
                  <c:v>32.757208230647819</c:v>
                </c:pt>
                <c:pt idx="91">
                  <c:v>20.449762146414361</c:v>
                </c:pt>
                <c:pt idx="92">
                  <c:v>22.75113129333004</c:v>
                </c:pt>
                <c:pt idx="93">
                  <c:v>45.799161282609248</c:v>
                </c:pt>
                <c:pt idx="94">
                  <c:v>52.5555239199265</c:v>
                </c:pt>
                <c:pt idx="95">
                  <c:v>11.376212989058814</c:v>
                </c:pt>
                <c:pt idx="96">
                  <c:v>38.189890920676355</c:v>
                </c:pt>
                <c:pt idx="97">
                  <c:v>31.027228371719303</c:v>
                </c:pt>
                <c:pt idx="98">
                  <c:v>36.401710263883388</c:v>
                </c:pt>
                <c:pt idx="99">
                  <c:v>53.229722549397692</c:v>
                </c:pt>
                <c:pt idx="100">
                  <c:v>44.118033760550226</c:v>
                </c:pt>
                <c:pt idx="101">
                  <c:v>37.680993364317672</c:v>
                </c:pt>
                <c:pt idx="102">
                  <c:v>8.0525878651748251</c:v>
                </c:pt>
                <c:pt idx="103">
                  <c:v>40.758504733496466</c:v>
                </c:pt>
                <c:pt idx="104">
                  <c:v>44.476808858524741</c:v>
                </c:pt>
                <c:pt idx="105">
                  <c:v>46.1484067907856</c:v>
                </c:pt>
                <c:pt idx="106">
                  <c:v>54.166134497125697</c:v>
                </c:pt>
                <c:pt idx="107">
                  <c:v>40.070492704944044</c:v>
                </c:pt>
                <c:pt idx="108">
                  <c:v>9.3668405635493368</c:v>
                </c:pt>
                <c:pt idx="109">
                  <c:v>9.7727773351537444</c:v>
                </c:pt>
                <c:pt idx="110">
                  <c:v>9.4072915173316982</c:v>
                </c:pt>
                <c:pt idx="111">
                  <c:v>27.342420927737766</c:v>
                </c:pt>
                <c:pt idx="112">
                  <c:v>9.1063395562670717</c:v>
                </c:pt>
                <c:pt idx="113">
                  <c:v>31.467275029690992</c:v>
                </c:pt>
                <c:pt idx="114">
                  <c:v>47.624745359299112</c:v>
                </c:pt>
                <c:pt idx="115">
                  <c:v>54.603727688772182</c:v>
                </c:pt>
                <c:pt idx="116">
                  <c:v>39.63796741900083</c:v>
                </c:pt>
                <c:pt idx="117">
                  <c:v>23.884052744707173</c:v>
                </c:pt>
                <c:pt idx="118">
                  <c:v>43.68218533580567</c:v>
                </c:pt>
                <c:pt idx="119">
                  <c:v>46.240805854480698</c:v>
                </c:pt>
                <c:pt idx="120">
                  <c:v>48.977940424014498</c:v>
                </c:pt>
                <c:pt idx="121">
                  <c:v>29.098556331718637</c:v>
                </c:pt>
                <c:pt idx="122">
                  <c:v>40.614824013526494</c:v>
                </c:pt>
                <c:pt idx="123">
                  <c:v>21.99332903004089</c:v>
                </c:pt>
                <c:pt idx="124">
                  <c:v>45.115584693138672</c:v>
                </c:pt>
                <c:pt idx="125">
                  <c:v>39.590686384435564</c:v>
                </c:pt>
                <c:pt idx="126">
                  <c:v>54.163315516727863</c:v>
                </c:pt>
                <c:pt idx="127">
                  <c:v>49.944718982914203</c:v>
                </c:pt>
                <c:pt idx="128">
                  <c:v>57.351858307183548</c:v>
                </c:pt>
                <c:pt idx="129">
                  <c:v>53.5729611125182</c:v>
                </c:pt>
                <c:pt idx="130">
                  <c:v>57.769026973341688</c:v>
                </c:pt>
                <c:pt idx="131">
                  <c:v>43.070234226832504</c:v>
                </c:pt>
                <c:pt idx="132">
                  <c:v>45.113073740093419</c:v>
                </c:pt>
                <c:pt idx="133">
                  <c:v>51.407143966552781</c:v>
                </c:pt>
                <c:pt idx="134">
                  <c:v>54.097730514653563</c:v>
                </c:pt>
                <c:pt idx="135">
                  <c:v>52.478912529531456</c:v>
                </c:pt>
                <c:pt idx="136">
                  <c:v>55.970059273745719</c:v>
                </c:pt>
                <c:pt idx="137">
                  <c:v>54.134341165961644</c:v>
                </c:pt>
                <c:pt idx="138">
                  <c:v>56.907753432700993</c:v>
                </c:pt>
                <c:pt idx="139">
                  <c:v>50.780361591330816</c:v>
                </c:pt>
                <c:pt idx="140">
                  <c:v>50.87899710060254</c:v>
                </c:pt>
                <c:pt idx="141">
                  <c:v>38.647800193375019</c:v>
                </c:pt>
                <c:pt idx="142">
                  <c:v>20.405463742048379</c:v>
                </c:pt>
                <c:pt idx="143">
                  <c:v>16.869003411571985</c:v>
                </c:pt>
                <c:pt idx="144">
                  <c:v>42.4338088915339</c:v>
                </c:pt>
                <c:pt idx="145">
                  <c:v>25.794530158409255</c:v>
                </c:pt>
                <c:pt idx="146">
                  <c:v>47.490640630291779</c:v>
                </c:pt>
                <c:pt idx="147">
                  <c:v>57.121119282147447</c:v>
                </c:pt>
                <c:pt idx="148">
                  <c:v>61.76187655774612</c:v>
                </c:pt>
                <c:pt idx="149">
                  <c:v>52.404558159216926</c:v>
                </c:pt>
                <c:pt idx="150">
                  <c:v>56.808693741994155</c:v>
                </c:pt>
                <c:pt idx="151">
                  <c:v>57.887323805724051</c:v>
                </c:pt>
                <c:pt idx="152">
                  <c:v>46.167715019207257</c:v>
                </c:pt>
                <c:pt idx="153">
                  <c:v>56.469631594090146</c:v>
                </c:pt>
                <c:pt idx="154">
                  <c:v>26.920596021219996</c:v>
                </c:pt>
                <c:pt idx="155">
                  <c:v>37.095324901679511</c:v>
                </c:pt>
                <c:pt idx="156">
                  <c:v>48.387111002096567</c:v>
                </c:pt>
                <c:pt idx="157">
                  <c:v>29.351912941588758</c:v>
                </c:pt>
                <c:pt idx="158">
                  <c:v>21.882567335778418</c:v>
                </c:pt>
                <c:pt idx="159">
                  <c:v>47.675319711996892</c:v>
                </c:pt>
                <c:pt idx="160">
                  <c:v>59.475853267367121</c:v>
                </c:pt>
                <c:pt idx="161">
                  <c:v>57.475425756826645</c:v>
                </c:pt>
                <c:pt idx="162">
                  <c:v>44.615040537159196</c:v>
                </c:pt>
                <c:pt idx="163">
                  <c:v>56.106977363854469</c:v>
                </c:pt>
                <c:pt idx="164">
                  <c:v>49.876922602104031</c:v>
                </c:pt>
                <c:pt idx="165">
                  <c:v>56.227257300463314</c:v>
                </c:pt>
                <c:pt idx="166">
                  <c:v>54.003990783479452</c:v>
                </c:pt>
                <c:pt idx="167">
                  <c:v>54.148909960885454</c:v>
                </c:pt>
                <c:pt idx="168">
                  <c:v>56.619618450913578</c:v>
                </c:pt>
                <c:pt idx="169">
                  <c:v>57.995943368635992</c:v>
                </c:pt>
                <c:pt idx="170">
                  <c:v>32.716857771169245</c:v>
                </c:pt>
                <c:pt idx="171">
                  <c:v>23.544805985296371</c:v>
                </c:pt>
                <c:pt idx="172">
                  <c:v>45.602812502873235</c:v>
                </c:pt>
                <c:pt idx="173">
                  <c:v>43.01473816711605</c:v>
                </c:pt>
                <c:pt idx="174">
                  <c:v>40.572580682121412</c:v>
                </c:pt>
                <c:pt idx="175">
                  <c:v>35.209145635007104</c:v>
                </c:pt>
                <c:pt idx="176">
                  <c:v>12.500457587959691</c:v>
                </c:pt>
                <c:pt idx="177">
                  <c:v>15.189040416181651</c:v>
                </c:pt>
                <c:pt idx="178">
                  <c:v>60.256231476645532</c:v>
                </c:pt>
                <c:pt idx="179">
                  <c:v>58.527846897326036</c:v>
                </c:pt>
                <c:pt idx="180">
                  <c:v>14.433773265656285</c:v>
                </c:pt>
                <c:pt idx="181">
                  <c:v>52.061085278440416</c:v>
                </c:pt>
                <c:pt idx="182">
                  <c:v>57.50914582447723</c:v>
                </c:pt>
                <c:pt idx="183">
                  <c:v>47.373906571581571</c:v>
                </c:pt>
                <c:pt idx="184">
                  <c:v>45.832851068762508</c:v>
                </c:pt>
                <c:pt idx="185">
                  <c:v>57.45363408568668</c:v>
                </c:pt>
                <c:pt idx="186">
                  <c:v>48.835743063299084</c:v>
                </c:pt>
                <c:pt idx="187">
                  <c:v>56.882575392474827</c:v>
                </c:pt>
                <c:pt idx="188">
                  <c:v>59.332419489072237</c:v>
                </c:pt>
                <c:pt idx="189">
                  <c:v>58.63822186334891</c:v>
                </c:pt>
                <c:pt idx="190">
                  <c:v>58.080076237597268</c:v>
                </c:pt>
                <c:pt idx="191">
                  <c:v>56.553778303148562</c:v>
                </c:pt>
                <c:pt idx="192">
                  <c:v>56.308155290378288</c:v>
                </c:pt>
                <c:pt idx="193">
                  <c:v>56.021121919005452</c:v>
                </c:pt>
                <c:pt idx="194">
                  <c:v>55.434376451048124</c:v>
                </c:pt>
                <c:pt idx="195">
                  <c:v>53.604431200090303</c:v>
                </c:pt>
                <c:pt idx="196">
                  <c:v>55.162962161749356</c:v>
                </c:pt>
                <c:pt idx="197">
                  <c:v>54.676769242399516</c:v>
                </c:pt>
                <c:pt idx="198">
                  <c:v>55.661499932961696</c:v>
                </c:pt>
                <c:pt idx="199">
                  <c:v>45.995847671206114</c:v>
                </c:pt>
                <c:pt idx="200">
                  <c:v>45.546151146302925</c:v>
                </c:pt>
                <c:pt idx="201">
                  <c:v>53.860799514998156</c:v>
                </c:pt>
                <c:pt idx="202">
                  <c:v>43.48836676438421</c:v>
                </c:pt>
                <c:pt idx="203">
                  <c:v>49.972219304722515</c:v>
                </c:pt>
                <c:pt idx="204">
                  <c:v>54.09687093008268</c:v>
                </c:pt>
                <c:pt idx="205">
                  <c:v>27.567392604654444</c:v>
                </c:pt>
                <c:pt idx="206">
                  <c:v>58.458874336492023</c:v>
                </c:pt>
                <c:pt idx="207">
                  <c:v>58.498100858526222</c:v>
                </c:pt>
                <c:pt idx="208">
                  <c:v>45.608993403071771</c:v>
                </c:pt>
                <c:pt idx="209">
                  <c:v>32.575058844697217</c:v>
                </c:pt>
                <c:pt idx="210">
                  <c:v>50.381088478659784</c:v>
                </c:pt>
                <c:pt idx="211">
                  <c:v>55.939011405945038</c:v>
                </c:pt>
                <c:pt idx="212">
                  <c:v>55.559245158406654</c:v>
                </c:pt>
                <c:pt idx="213">
                  <c:v>55.547184925340453</c:v>
                </c:pt>
                <c:pt idx="214">
                  <c:v>52.45443190772712</c:v>
                </c:pt>
                <c:pt idx="215">
                  <c:v>51.676389458471938</c:v>
                </c:pt>
                <c:pt idx="216">
                  <c:v>46.928489341888984</c:v>
                </c:pt>
                <c:pt idx="217">
                  <c:v>51.530001164234257</c:v>
                </c:pt>
                <c:pt idx="218">
                  <c:v>54.224921606225465</c:v>
                </c:pt>
                <c:pt idx="219">
                  <c:v>54.681057026108107</c:v>
                </c:pt>
                <c:pt idx="220">
                  <c:v>52.628336428346081</c:v>
                </c:pt>
                <c:pt idx="221">
                  <c:v>49.731792184763997</c:v>
                </c:pt>
                <c:pt idx="222">
                  <c:v>48.089176078252173</c:v>
                </c:pt>
                <c:pt idx="223">
                  <c:v>49.045057420909224</c:v>
                </c:pt>
                <c:pt idx="224">
                  <c:v>36.909963209474824</c:v>
                </c:pt>
                <c:pt idx="225">
                  <c:v>35.034783370044039</c:v>
                </c:pt>
                <c:pt idx="226">
                  <c:v>39.687253761133256</c:v>
                </c:pt>
                <c:pt idx="227">
                  <c:v>36.707043931268103</c:v>
                </c:pt>
                <c:pt idx="228">
                  <c:v>29.44977377224685</c:v>
                </c:pt>
                <c:pt idx="229">
                  <c:v>37.363911447277779</c:v>
                </c:pt>
                <c:pt idx="230">
                  <c:v>42.560281177885116</c:v>
                </c:pt>
                <c:pt idx="231">
                  <c:v>51.109922433303197</c:v>
                </c:pt>
                <c:pt idx="232">
                  <c:v>34.524083431851714</c:v>
                </c:pt>
                <c:pt idx="233">
                  <c:v>27.514514062664318</c:v>
                </c:pt>
                <c:pt idx="234">
                  <c:v>49.898019164711954</c:v>
                </c:pt>
                <c:pt idx="235">
                  <c:v>47.56935805728255</c:v>
                </c:pt>
                <c:pt idx="236">
                  <c:v>33.350736539181348</c:v>
                </c:pt>
                <c:pt idx="237">
                  <c:v>44.289096831446201</c:v>
                </c:pt>
                <c:pt idx="238">
                  <c:v>50.366046502663707</c:v>
                </c:pt>
                <c:pt idx="239">
                  <c:v>49.269454363494368</c:v>
                </c:pt>
                <c:pt idx="240">
                  <c:v>33.712927191222079</c:v>
                </c:pt>
                <c:pt idx="241">
                  <c:v>48.942039989301229</c:v>
                </c:pt>
                <c:pt idx="242">
                  <c:v>25.279390068634619</c:v>
                </c:pt>
                <c:pt idx="243">
                  <c:v>41.379450301896398</c:v>
                </c:pt>
                <c:pt idx="244">
                  <c:v>39.823682108264563</c:v>
                </c:pt>
                <c:pt idx="245">
                  <c:v>38.879967699941737</c:v>
                </c:pt>
                <c:pt idx="246">
                  <c:v>46.989404892811486</c:v>
                </c:pt>
                <c:pt idx="247">
                  <c:v>41.07163980179903</c:v>
                </c:pt>
                <c:pt idx="248">
                  <c:v>46.477505440234467</c:v>
                </c:pt>
                <c:pt idx="249">
                  <c:v>36.998310288278027</c:v>
                </c:pt>
                <c:pt idx="250">
                  <c:v>35.957039169797582</c:v>
                </c:pt>
                <c:pt idx="251">
                  <c:v>24.081649990250334</c:v>
                </c:pt>
                <c:pt idx="252">
                  <c:v>47.634251482003826</c:v>
                </c:pt>
                <c:pt idx="253">
                  <c:v>47.047037565961553</c:v>
                </c:pt>
                <c:pt idx="254">
                  <c:v>34.148177292352216</c:v>
                </c:pt>
                <c:pt idx="255">
                  <c:v>14.494995173161184</c:v>
                </c:pt>
                <c:pt idx="256">
                  <c:v>36.34709005187522</c:v>
                </c:pt>
                <c:pt idx="257">
                  <c:v>41.626747097311032</c:v>
                </c:pt>
                <c:pt idx="258">
                  <c:v>33.258476451883439</c:v>
                </c:pt>
                <c:pt idx="259">
                  <c:v>46.473977177602485</c:v>
                </c:pt>
                <c:pt idx="260">
                  <c:v>46.465466795996711</c:v>
                </c:pt>
                <c:pt idx="261">
                  <c:v>45.833734830632849</c:v>
                </c:pt>
                <c:pt idx="262">
                  <c:v>47.577367785065611</c:v>
                </c:pt>
                <c:pt idx="263">
                  <c:v>46.351488303634653</c:v>
                </c:pt>
                <c:pt idx="264">
                  <c:v>44.851759774524389</c:v>
                </c:pt>
                <c:pt idx="265">
                  <c:v>28.46660973234788</c:v>
                </c:pt>
                <c:pt idx="266">
                  <c:v>17.243384519966654</c:v>
                </c:pt>
                <c:pt idx="267">
                  <c:v>36.311988651541725</c:v>
                </c:pt>
                <c:pt idx="268">
                  <c:v>33.246244160746812</c:v>
                </c:pt>
                <c:pt idx="269">
                  <c:v>17.628682431520584</c:v>
                </c:pt>
                <c:pt idx="270">
                  <c:v>19.980076911444957</c:v>
                </c:pt>
                <c:pt idx="271">
                  <c:v>24.005596784677238</c:v>
                </c:pt>
                <c:pt idx="272">
                  <c:v>28.485711443669818</c:v>
                </c:pt>
                <c:pt idx="273">
                  <c:v>37.218824744798525</c:v>
                </c:pt>
                <c:pt idx="274">
                  <c:v>39.68479328653352</c:v>
                </c:pt>
                <c:pt idx="275">
                  <c:v>38.307941648733625</c:v>
                </c:pt>
                <c:pt idx="276">
                  <c:v>42.196158884946364</c:v>
                </c:pt>
                <c:pt idx="277">
                  <c:v>43.01768849403706</c:v>
                </c:pt>
                <c:pt idx="278">
                  <c:v>11.882509883564405</c:v>
                </c:pt>
                <c:pt idx="279">
                  <c:v>29.845523349465889</c:v>
                </c:pt>
                <c:pt idx="280">
                  <c:v>17.223246090735913</c:v>
                </c:pt>
                <c:pt idx="281">
                  <c:v>39.322334019906634</c:v>
                </c:pt>
                <c:pt idx="282">
                  <c:v>31.566379853363216</c:v>
                </c:pt>
                <c:pt idx="283">
                  <c:v>22.958274289514701</c:v>
                </c:pt>
                <c:pt idx="284">
                  <c:v>28.493255156946347</c:v>
                </c:pt>
                <c:pt idx="285">
                  <c:v>23.85531692557467</c:v>
                </c:pt>
                <c:pt idx="286">
                  <c:v>18.542070103998388</c:v>
                </c:pt>
                <c:pt idx="287">
                  <c:v>38.097829474413246</c:v>
                </c:pt>
                <c:pt idx="288">
                  <c:v>33.623551090072731</c:v>
                </c:pt>
                <c:pt idx="289">
                  <c:v>19.959610316692679</c:v>
                </c:pt>
                <c:pt idx="290">
                  <c:v>35.205526881108192</c:v>
                </c:pt>
                <c:pt idx="291">
                  <c:v>16.362693093722729</c:v>
                </c:pt>
                <c:pt idx="292">
                  <c:v>6.8898801320170326</c:v>
                </c:pt>
                <c:pt idx="293">
                  <c:v>16.766769333240017</c:v>
                </c:pt>
                <c:pt idx="294">
                  <c:v>33.872734419041407</c:v>
                </c:pt>
                <c:pt idx="295">
                  <c:v>17.407882214244772</c:v>
                </c:pt>
                <c:pt idx="296">
                  <c:v>25.754341013237841</c:v>
                </c:pt>
                <c:pt idx="297">
                  <c:v>22.769624561460297</c:v>
                </c:pt>
                <c:pt idx="298">
                  <c:v>12.692344935230599</c:v>
                </c:pt>
                <c:pt idx="299">
                  <c:v>14.682553994634874</c:v>
                </c:pt>
                <c:pt idx="300">
                  <c:v>17.661573901487966</c:v>
                </c:pt>
                <c:pt idx="301">
                  <c:v>27.428321072501014</c:v>
                </c:pt>
                <c:pt idx="302">
                  <c:v>23.580405410980752</c:v>
                </c:pt>
                <c:pt idx="303">
                  <c:v>22.427165612583014</c:v>
                </c:pt>
                <c:pt idx="304">
                  <c:v>19.880262643414373</c:v>
                </c:pt>
                <c:pt idx="305">
                  <c:v>29.491511562044725</c:v>
                </c:pt>
                <c:pt idx="306">
                  <c:v>10.351836542892883</c:v>
                </c:pt>
                <c:pt idx="307">
                  <c:v>17.877133018862086</c:v>
                </c:pt>
                <c:pt idx="308">
                  <c:v>30.450637461126192</c:v>
                </c:pt>
                <c:pt idx="309">
                  <c:v>30.405697304082501</c:v>
                </c:pt>
                <c:pt idx="310">
                  <c:v>28.519411178968223</c:v>
                </c:pt>
                <c:pt idx="311">
                  <c:v>20.565257970674047</c:v>
                </c:pt>
                <c:pt idx="312">
                  <c:v>10.129284940959311</c:v>
                </c:pt>
                <c:pt idx="313">
                  <c:v>20.450987564608656</c:v>
                </c:pt>
                <c:pt idx="314">
                  <c:v>27.973784584344749</c:v>
                </c:pt>
                <c:pt idx="315">
                  <c:v>27.545927876159013</c:v>
                </c:pt>
                <c:pt idx="316">
                  <c:v>26.4904546664362</c:v>
                </c:pt>
                <c:pt idx="317">
                  <c:v>9.8082744158754895</c:v>
                </c:pt>
                <c:pt idx="318">
                  <c:v>12.585286856646812</c:v>
                </c:pt>
                <c:pt idx="319">
                  <c:v>27.095214156811181</c:v>
                </c:pt>
                <c:pt idx="320">
                  <c:v>13.870542501010808</c:v>
                </c:pt>
                <c:pt idx="321">
                  <c:v>15.877131262387127</c:v>
                </c:pt>
                <c:pt idx="322">
                  <c:v>7.2557497146785055</c:v>
                </c:pt>
                <c:pt idx="323">
                  <c:v>15.96611850196369</c:v>
                </c:pt>
                <c:pt idx="324">
                  <c:v>3.2068446301203823</c:v>
                </c:pt>
                <c:pt idx="325">
                  <c:v>7.9333534266870958</c:v>
                </c:pt>
                <c:pt idx="326">
                  <c:v>13.304583883656875</c:v>
                </c:pt>
                <c:pt idx="327">
                  <c:v>13.961929299527739</c:v>
                </c:pt>
                <c:pt idx="328">
                  <c:v>4.8380706797576023</c:v>
                </c:pt>
                <c:pt idx="329">
                  <c:v>11.117022276054314</c:v>
                </c:pt>
                <c:pt idx="330">
                  <c:v>14.634122947390956</c:v>
                </c:pt>
                <c:pt idx="331">
                  <c:v>10.616783748030919</c:v>
                </c:pt>
                <c:pt idx="332">
                  <c:v>15.462022705604261</c:v>
                </c:pt>
                <c:pt idx="333">
                  <c:v>4.0404249097827067</c:v>
                </c:pt>
                <c:pt idx="334">
                  <c:v>3.8244231704770075</c:v>
                </c:pt>
                <c:pt idx="335">
                  <c:v>5.7454322759735703</c:v>
                </c:pt>
                <c:pt idx="336">
                  <c:v>9.6287086821805357</c:v>
                </c:pt>
                <c:pt idx="337">
                  <c:v>17.657441439944048</c:v>
                </c:pt>
                <c:pt idx="338">
                  <c:v>23.407991909543089</c:v>
                </c:pt>
                <c:pt idx="339">
                  <c:v>11.506845177274441</c:v>
                </c:pt>
                <c:pt idx="340">
                  <c:v>20.734702405018997</c:v>
                </c:pt>
                <c:pt idx="341">
                  <c:v>4.1643191085054783</c:v>
                </c:pt>
                <c:pt idx="342">
                  <c:v>5.0823491469313868</c:v>
                </c:pt>
                <c:pt idx="343">
                  <c:v>12.303316787550674</c:v>
                </c:pt>
                <c:pt idx="344">
                  <c:v>17.604519070238727</c:v>
                </c:pt>
                <c:pt idx="345">
                  <c:v>5.3804703220587964</c:v>
                </c:pt>
                <c:pt idx="346">
                  <c:v>5.4474749572468397</c:v>
                </c:pt>
                <c:pt idx="347">
                  <c:v>17.394749918589373</c:v>
                </c:pt>
                <c:pt idx="348">
                  <c:v>5.9447949395074584</c:v>
                </c:pt>
                <c:pt idx="349">
                  <c:v>5.2507496641012912</c:v>
                </c:pt>
                <c:pt idx="350">
                  <c:v>3.5598778413931376</c:v>
                </c:pt>
                <c:pt idx="351">
                  <c:v>21.235221126013432</c:v>
                </c:pt>
                <c:pt idx="352">
                  <c:v>18.070485120573274</c:v>
                </c:pt>
                <c:pt idx="353">
                  <c:v>4.6061007303443517</c:v>
                </c:pt>
                <c:pt idx="354">
                  <c:v>21.089166796880178</c:v>
                </c:pt>
                <c:pt idx="355">
                  <c:v>17.830627666464448</c:v>
                </c:pt>
                <c:pt idx="356">
                  <c:v>18.0703228585792</c:v>
                </c:pt>
                <c:pt idx="357">
                  <c:v>21.476322742416762</c:v>
                </c:pt>
                <c:pt idx="358">
                  <c:v>12.133193458632686</c:v>
                </c:pt>
                <c:pt idx="359">
                  <c:v>20.976002664199342</c:v>
                </c:pt>
                <c:pt idx="360">
                  <c:v>7.1074468413084881</c:v>
                </c:pt>
                <c:pt idx="361">
                  <c:v>22.064435460262693</c:v>
                </c:pt>
                <c:pt idx="362">
                  <c:v>10.479614885498062</c:v>
                </c:pt>
                <c:pt idx="363">
                  <c:v>14.198441174106177</c:v>
                </c:pt>
                <c:pt idx="364">
                  <c:v>11.747034762355158</c:v>
                </c:pt>
                <c:pt idx="365">
                  <c:v>15.791744020545305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23.214883560877631</c:v>
                </c:pt>
                <c:pt idx="1">
                  <c:v>16.011363466648927</c:v>
                </c:pt>
                <c:pt idx="2">
                  <c:v>17.289149120322683</c:v>
                </c:pt>
                <c:pt idx="3">
                  <c:v>18.372759063811099</c:v>
                </c:pt>
                <c:pt idx="4">
                  <c:v>14.529917991879008</c:v>
                </c:pt>
                <c:pt idx="5">
                  <c:v>20.851602009444367</c:v>
                </c:pt>
                <c:pt idx="6">
                  <c:v>10.225574750392827</c:v>
                </c:pt>
                <c:pt idx="7">
                  <c:v>7.2778167160304967</c:v>
                </c:pt>
                <c:pt idx="8">
                  <c:v>2.172898516512721</c:v>
                </c:pt>
                <c:pt idx="9">
                  <c:v>1.7820361868664694</c:v>
                </c:pt>
                <c:pt idx="10">
                  <c:v>24.982102853950284</c:v>
                </c:pt>
                <c:pt idx="11">
                  <c:v>21.717472321372782</c:v>
                </c:pt>
                <c:pt idx="12">
                  <c:v>5.5673938035450643</c:v>
                </c:pt>
                <c:pt idx="13">
                  <c:v>26.421490572590898</c:v>
                </c:pt>
                <c:pt idx="14">
                  <c:v>26.732785583703297</c:v>
                </c:pt>
                <c:pt idx="15">
                  <c:v>26.155212202801074</c:v>
                </c:pt>
                <c:pt idx="16">
                  <c:v>12.078162752820143</c:v>
                </c:pt>
                <c:pt idx="17">
                  <c:v>3.8371428470667226</c:v>
                </c:pt>
                <c:pt idx="18">
                  <c:v>10.470106736295403</c:v>
                </c:pt>
                <c:pt idx="19">
                  <c:v>6.5571360543575024</c:v>
                </c:pt>
                <c:pt idx="20">
                  <c:v>20.907003102212354</c:v>
                </c:pt>
                <c:pt idx="21">
                  <c:v>27.908909416006743</c:v>
                </c:pt>
                <c:pt idx="22">
                  <c:v>28.033747452759648</c:v>
                </c:pt>
                <c:pt idx="23">
                  <c:v>28.5785398663105</c:v>
                </c:pt>
                <c:pt idx="24">
                  <c:v>27.635490689142568</c:v>
                </c:pt>
                <c:pt idx="25">
                  <c:v>28.309356038848815</c:v>
                </c:pt>
                <c:pt idx="26">
                  <c:v>27.052815326863588</c:v>
                </c:pt>
                <c:pt idx="27">
                  <c:v>4.2755114080027123</c:v>
                </c:pt>
                <c:pt idx="28">
                  <c:v>9.0246571279866235</c:v>
                </c:pt>
                <c:pt idx="29">
                  <c:v>4.6609057939251635</c:v>
                </c:pt>
                <c:pt idx="30">
                  <c:v>7.7293052800177051</c:v>
                </c:pt>
                <c:pt idx="31">
                  <c:v>12.82717029508702</c:v>
                </c:pt>
                <c:pt idx="32">
                  <c:v>5.4153339899297297</c:v>
                </c:pt>
                <c:pt idx="33">
                  <c:v>10.628577473141776</c:v>
                </c:pt>
                <c:pt idx="34">
                  <c:v>10.469075341654877</c:v>
                </c:pt>
                <c:pt idx="35">
                  <c:v>9.1997883219776142</c:v>
                </c:pt>
                <c:pt idx="36">
                  <c:v>21.434089499254569</c:v>
                </c:pt>
                <c:pt idx="37">
                  <c:v>9.0337356232571455</c:v>
                </c:pt>
                <c:pt idx="38">
                  <c:v>33.504426513640979</c:v>
                </c:pt>
                <c:pt idx="39">
                  <c:v>33.792368764834478</c:v>
                </c:pt>
                <c:pt idx="40">
                  <c:v>31.514576482843083</c:v>
                </c:pt>
                <c:pt idx="41">
                  <c:v>17.458329904994148</c:v>
                </c:pt>
                <c:pt idx="42">
                  <c:v>26.753607869594031</c:v>
                </c:pt>
                <c:pt idx="43">
                  <c:v>32.733104994461719</c:v>
                </c:pt>
                <c:pt idx="44">
                  <c:v>15.367908550799287</c:v>
                </c:pt>
                <c:pt idx="45">
                  <c:v>18.535991170284277</c:v>
                </c:pt>
                <c:pt idx="46">
                  <c:v>9.1177144811204656</c:v>
                </c:pt>
                <c:pt idx="47">
                  <c:v>11.360041609003744</c:v>
                </c:pt>
                <c:pt idx="48">
                  <c:v>29.328291936291095</c:v>
                </c:pt>
                <c:pt idx="49">
                  <c:v>19.900719027197159</c:v>
                </c:pt>
                <c:pt idx="50">
                  <c:v>19.781064689979839</c:v>
                </c:pt>
                <c:pt idx="51">
                  <c:v>21.901676826468268</c:v>
                </c:pt>
                <c:pt idx="52">
                  <c:v>33.470167382371329</c:v>
                </c:pt>
                <c:pt idx="53">
                  <c:v>35.172096709317515</c:v>
                </c:pt>
                <c:pt idx="54">
                  <c:v>21.894783664136948</c:v>
                </c:pt>
                <c:pt idx="55">
                  <c:v>31.354815648815908</c:v>
                </c:pt>
                <c:pt idx="56">
                  <c:v>39.740265064141447</c:v>
                </c:pt>
                <c:pt idx="57">
                  <c:v>28.407969182345322</c:v>
                </c:pt>
                <c:pt idx="58">
                  <c:v>34.296751018600453</c:v>
                </c:pt>
                <c:pt idx="59">
                  <c:v>39.793692829199657</c:v>
                </c:pt>
                <c:pt idx="60">
                  <c:v>11.595391697975167</c:v>
                </c:pt>
                <c:pt idx="61">
                  <c:v>35.580638905436217</c:v>
                </c:pt>
                <c:pt idx="62">
                  <c:v>3.8235582927124789</c:v>
                </c:pt>
                <c:pt idx="63">
                  <c:v>13.166073917578695</c:v>
                </c:pt>
                <c:pt idx="64">
                  <c:v>15.873873326405667</c:v>
                </c:pt>
                <c:pt idx="65">
                  <c:v>39.104016124650819</c:v>
                </c:pt>
                <c:pt idx="66">
                  <c:v>31.870363015632442</c:v>
                </c:pt>
                <c:pt idx="67">
                  <c:v>31.073356914093463</c:v>
                </c:pt>
                <c:pt idx="68">
                  <c:v>24.736847562566663</c:v>
                </c:pt>
                <c:pt idx="69">
                  <c:v>15.341861282629383</c:v>
                </c:pt>
                <c:pt idx="70">
                  <c:v>15.968430134982338</c:v>
                </c:pt>
                <c:pt idx="71">
                  <c:v>8.9544151684968867</c:v>
                </c:pt>
                <c:pt idx="72">
                  <c:v>14.428050071673622</c:v>
                </c:pt>
                <c:pt idx="73">
                  <c:v>13.733550358371991</c:v>
                </c:pt>
                <c:pt idx="74">
                  <c:v>13.706647285997304</c:v>
                </c:pt>
                <c:pt idx="75">
                  <c:v>11.511732766574815</c:v>
                </c:pt>
                <c:pt idx="76">
                  <c:v>14.88237915385066</c:v>
                </c:pt>
                <c:pt idx="77">
                  <c:v>28.434467691106811</c:v>
                </c:pt>
                <c:pt idx="78">
                  <c:v>31.573881154439867</c:v>
                </c:pt>
                <c:pt idx="79">
                  <c:v>44.69590602105032</c:v>
                </c:pt>
                <c:pt idx="80">
                  <c:v>42.435451423914479</c:v>
                </c:pt>
                <c:pt idx="81">
                  <c:v>48.370235414257692</c:v>
                </c:pt>
                <c:pt idx="82">
                  <c:v>47.576808206733027</c:v>
                </c:pt>
                <c:pt idx="83">
                  <c:v>42.340171776437778</c:v>
                </c:pt>
                <c:pt idx="84">
                  <c:v>46.870471715117603</c:v>
                </c:pt>
                <c:pt idx="85">
                  <c:v>45.315254989567414</c:v>
                </c:pt>
                <c:pt idx="86">
                  <c:v>14.592411290248764</c:v>
                </c:pt>
                <c:pt idx="87">
                  <c:v>28.007677573852469</c:v>
                </c:pt>
                <c:pt idx="88">
                  <c:v>7.8532116356229817</c:v>
                </c:pt>
                <c:pt idx="89">
                  <c:v>27.972927429741606</c:v>
                </c:pt>
                <c:pt idx="90">
                  <c:v>32.757208230647819</c:v>
                </c:pt>
                <c:pt idx="91">
                  <c:v>20.449762146414361</c:v>
                </c:pt>
                <c:pt idx="92">
                  <c:v>22.75113129333004</c:v>
                </c:pt>
                <c:pt idx="93">
                  <c:v>45.799161282609248</c:v>
                </c:pt>
                <c:pt idx="94">
                  <c:v>52.5555239199265</c:v>
                </c:pt>
                <c:pt idx="95">
                  <c:v>11.376212989058814</c:v>
                </c:pt>
                <c:pt idx="96">
                  <c:v>38.189890920676355</c:v>
                </c:pt>
                <c:pt idx="97">
                  <c:v>31.027228371719303</c:v>
                </c:pt>
                <c:pt idx="98">
                  <c:v>36.401710263883388</c:v>
                </c:pt>
                <c:pt idx="99">
                  <c:v>53.229722549397692</c:v>
                </c:pt>
                <c:pt idx="100">
                  <c:v>44.118033760550226</c:v>
                </c:pt>
                <c:pt idx="101">
                  <c:v>37.680993364317672</c:v>
                </c:pt>
                <c:pt idx="102">
                  <c:v>8.0525878651748251</c:v>
                </c:pt>
                <c:pt idx="103">
                  <c:v>40.758504733496466</c:v>
                </c:pt>
                <c:pt idx="104">
                  <c:v>44.476808858524741</c:v>
                </c:pt>
                <c:pt idx="105">
                  <c:v>46.1484067907856</c:v>
                </c:pt>
                <c:pt idx="106">
                  <c:v>54.166134497125697</c:v>
                </c:pt>
                <c:pt idx="107">
                  <c:v>40.070492704944044</c:v>
                </c:pt>
                <c:pt idx="108">
                  <c:v>9.3668405635493368</c:v>
                </c:pt>
                <c:pt idx="109">
                  <c:v>9.7727773351537444</c:v>
                </c:pt>
                <c:pt idx="110">
                  <c:v>9.4072915173316982</c:v>
                </c:pt>
                <c:pt idx="111">
                  <c:v>27.342420927737766</c:v>
                </c:pt>
                <c:pt idx="112">
                  <c:v>9.1063395562670717</c:v>
                </c:pt>
                <c:pt idx="113">
                  <c:v>31.467275029690992</c:v>
                </c:pt>
                <c:pt idx="114">
                  <c:v>47.624745359299112</c:v>
                </c:pt>
                <c:pt idx="115">
                  <c:v>54.603727688772182</c:v>
                </c:pt>
                <c:pt idx="116">
                  <c:v>39.63796741900083</c:v>
                </c:pt>
                <c:pt idx="117">
                  <c:v>23.884052744707173</c:v>
                </c:pt>
                <c:pt idx="118">
                  <c:v>43.68218533580567</c:v>
                </c:pt>
                <c:pt idx="119">
                  <c:v>46.240805854480698</c:v>
                </c:pt>
                <c:pt idx="120">
                  <c:v>48.977940424014498</c:v>
                </c:pt>
                <c:pt idx="121">
                  <c:v>29.098556331718637</c:v>
                </c:pt>
                <c:pt idx="122">
                  <c:v>40.614824013526494</c:v>
                </c:pt>
                <c:pt idx="123">
                  <c:v>21.99332903004089</c:v>
                </c:pt>
                <c:pt idx="124">
                  <c:v>45.115584693138672</c:v>
                </c:pt>
                <c:pt idx="125">
                  <c:v>39.590686384435564</c:v>
                </c:pt>
                <c:pt idx="126">
                  <c:v>54.163315516727863</c:v>
                </c:pt>
                <c:pt idx="127">
                  <c:v>49.944718982914203</c:v>
                </c:pt>
                <c:pt idx="128">
                  <c:v>57.351858307183548</c:v>
                </c:pt>
                <c:pt idx="129">
                  <c:v>53.5729611125182</c:v>
                </c:pt>
                <c:pt idx="130">
                  <c:v>57.769026973341688</c:v>
                </c:pt>
                <c:pt idx="131">
                  <c:v>43.070234226832504</c:v>
                </c:pt>
                <c:pt idx="132">
                  <c:v>45.113073740093419</c:v>
                </c:pt>
                <c:pt idx="133">
                  <c:v>51.407143966552781</c:v>
                </c:pt>
                <c:pt idx="134">
                  <c:v>54.097730514653563</c:v>
                </c:pt>
                <c:pt idx="135">
                  <c:v>52.478912529531456</c:v>
                </c:pt>
                <c:pt idx="136">
                  <c:v>55.970059273745719</c:v>
                </c:pt>
                <c:pt idx="137">
                  <c:v>54.134341165961644</c:v>
                </c:pt>
                <c:pt idx="138">
                  <c:v>56.907753432700993</c:v>
                </c:pt>
                <c:pt idx="139">
                  <c:v>50.780361591330816</c:v>
                </c:pt>
                <c:pt idx="140">
                  <c:v>50.87899710060254</c:v>
                </c:pt>
                <c:pt idx="141">
                  <c:v>38.647800193375019</c:v>
                </c:pt>
                <c:pt idx="142">
                  <c:v>20.405463742048379</c:v>
                </c:pt>
                <c:pt idx="143">
                  <c:v>16.869003411571985</c:v>
                </c:pt>
                <c:pt idx="144">
                  <c:v>42.4338088915339</c:v>
                </c:pt>
                <c:pt idx="145">
                  <c:v>25.794530158409255</c:v>
                </c:pt>
                <c:pt idx="146">
                  <c:v>47.490640630291779</c:v>
                </c:pt>
                <c:pt idx="147">
                  <c:v>57.121119282147447</c:v>
                </c:pt>
                <c:pt idx="148">
                  <c:v>61.76187655774612</c:v>
                </c:pt>
                <c:pt idx="149">
                  <c:v>52.404558159216926</c:v>
                </c:pt>
                <c:pt idx="150">
                  <c:v>56.808693741994155</c:v>
                </c:pt>
                <c:pt idx="151">
                  <c:v>57.887323805724051</c:v>
                </c:pt>
                <c:pt idx="152">
                  <c:v>46.167715019207257</c:v>
                </c:pt>
                <c:pt idx="153">
                  <c:v>56.469631594090146</c:v>
                </c:pt>
                <c:pt idx="154">
                  <c:v>26.920596021219996</c:v>
                </c:pt>
                <c:pt idx="155">
                  <c:v>37.095324901679511</c:v>
                </c:pt>
                <c:pt idx="156">
                  <c:v>48.387111002096567</c:v>
                </c:pt>
                <c:pt idx="157">
                  <c:v>29.351912941588758</c:v>
                </c:pt>
                <c:pt idx="158">
                  <c:v>21.882567335778418</c:v>
                </c:pt>
                <c:pt idx="159">
                  <c:v>47.675319711996892</c:v>
                </c:pt>
                <c:pt idx="160">
                  <c:v>59.475853267367121</c:v>
                </c:pt>
                <c:pt idx="161">
                  <c:v>57.475425756826645</c:v>
                </c:pt>
                <c:pt idx="162">
                  <c:v>44.615040537159196</c:v>
                </c:pt>
                <c:pt idx="163">
                  <c:v>56.106977363854469</c:v>
                </c:pt>
                <c:pt idx="164">
                  <c:v>49.876922602104031</c:v>
                </c:pt>
                <c:pt idx="165">
                  <c:v>56.227257300463314</c:v>
                </c:pt>
                <c:pt idx="166">
                  <c:v>54.003990783479452</c:v>
                </c:pt>
                <c:pt idx="167">
                  <c:v>54.148909960885454</c:v>
                </c:pt>
                <c:pt idx="168">
                  <c:v>56.619618450913578</c:v>
                </c:pt>
                <c:pt idx="169">
                  <c:v>57.995943368635992</c:v>
                </c:pt>
                <c:pt idx="170">
                  <c:v>32.716857771169245</c:v>
                </c:pt>
                <c:pt idx="171">
                  <c:v>23.544805985296371</c:v>
                </c:pt>
                <c:pt idx="172">
                  <c:v>45.602812502873235</c:v>
                </c:pt>
                <c:pt idx="173">
                  <c:v>43.01473816711605</c:v>
                </c:pt>
                <c:pt idx="174">
                  <c:v>40.572580682121412</c:v>
                </c:pt>
                <c:pt idx="175">
                  <c:v>35.209145635007104</c:v>
                </c:pt>
                <c:pt idx="176">
                  <c:v>12.500457587959691</c:v>
                </c:pt>
                <c:pt idx="177">
                  <c:v>15.189040416181651</c:v>
                </c:pt>
                <c:pt idx="178">
                  <c:v>60.256231476645532</c:v>
                </c:pt>
                <c:pt idx="179">
                  <c:v>58.527846897326036</c:v>
                </c:pt>
                <c:pt idx="180">
                  <c:v>14.433773265656285</c:v>
                </c:pt>
                <c:pt idx="181">
                  <c:v>52.061085278440416</c:v>
                </c:pt>
                <c:pt idx="182">
                  <c:v>57.50914582447723</c:v>
                </c:pt>
                <c:pt idx="183">
                  <c:v>47.373906571581571</c:v>
                </c:pt>
                <c:pt idx="184">
                  <c:v>45.832851068762508</c:v>
                </c:pt>
                <c:pt idx="185">
                  <c:v>57.45363408568668</c:v>
                </c:pt>
                <c:pt idx="186">
                  <c:v>48.835743063299084</c:v>
                </c:pt>
                <c:pt idx="187">
                  <c:v>56.882575392474827</c:v>
                </c:pt>
                <c:pt idx="188">
                  <c:v>59.332419489072237</c:v>
                </c:pt>
                <c:pt idx="189">
                  <c:v>58.63822186334891</c:v>
                </c:pt>
                <c:pt idx="190">
                  <c:v>58.080076237597268</c:v>
                </c:pt>
                <c:pt idx="191">
                  <c:v>56.553778303148562</c:v>
                </c:pt>
                <c:pt idx="192">
                  <c:v>56.308155290378288</c:v>
                </c:pt>
                <c:pt idx="193">
                  <c:v>56.021121919005452</c:v>
                </c:pt>
                <c:pt idx="194">
                  <c:v>55.434376451048124</c:v>
                </c:pt>
                <c:pt idx="195">
                  <c:v>53.604431200090303</c:v>
                </c:pt>
                <c:pt idx="196">
                  <c:v>55.162962161749356</c:v>
                </c:pt>
                <c:pt idx="197">
                  <c:v>54.676769242399516</c:v>
                </c:pt>
                <c:pt idx="198">
                  <c:v>55.661499932961696</c:v>
                </c:pt>
                <c:pt idx="199">
                  <c:v>45.995847671206114</c:v>
                </c:pt>
                <c:pt idx="200">
                  <c:v>45.546151146302925</c:v>
                </c:pt>
                <c:pt idx="201">
                  <c:v>53.860799514998156</c:v>
                </c:pt>
                <c:pt idx="202">
                  <c:v>43.48836676438421</c:v>
                </c:pt>
                <c:pt idx="203">
                  <c:v>49.972219304722515</c:v>
                </c:pt>
                <c:pt idx="204">
                  <c:v>54.09687093008268</c:v>
                </c:pt>
                <c:pt idx="205">
                  <c:v>27.567392604654444</c:v>
                </c:pt>
                <c:pt idx="206">
                  <c:v>58.458874336492023</c:v>
                </c:pt>
                <c:pt idx="207">
                  <c:v>58.498100858526222</c:v>
                </c:pt>
                <c:pt idx="208">
                  <c:v>45.608993403071771</c:v>
                </c:pt>
                <c:pt idx="209">
                  <c:v>32.575058844697217</c:v>
                </c:pt>
                <c:pt idx="210">
                  <c:v>50.381088478659784</c:v>
                </c:pt>
                <c:pt idx="211">
                  <c:v>55.939011405945038</c:v>
                </c:pt>
                <c:pt idx="212">
                  <c:v>55.559245158406654</c:v>
                </c:pt>
                <c:pt idx="213">
                  <c:v>55.547184925340453</c:v>
                </c:pt>
                <c:pt idx="214">
                  <c:v>52.45443190772712</c:v>
                </c:pt>
                <c:pt idx="215">
                  <c:v>51.676389458471938</c:v>
                </c:pt>
                <c:pt idx="216">
                  <c:v>46.928489341888984</c:v>
                </c:pt>
                <c:pt idx="217">
                  <c:v>51.530001164234257</c:v>
                </c:pt>
                <c:pt idx="218">
                  <c:v>54.224921606225465</c:v>
                </c:pt>
                <c:pt idx="219">
                  <c:v>54.681057026108107</c:v>
                </c:pt>
                <c:pt idx="220">
                  <c:v>52.628336428346081</c:v>
                </c:pt>
                <c:pt idx="221">
                  <c:v>49.731792184763997</c:v>
                </c:pt>
                <c:pt idx="222">
                  <c:v>48.089176078252173</c:v>
                </c:pt>
                <c:pt idx="223">
                  <c:v>49.045057420909224</c:v>
                </c:pt>
                <c:pt idx="224">
                  <c:v>36.909963209474824</c:v>
                </c:pt>
                <c:pt idx="225">
                  <c:v>35.034783370044039</c:v>
                </c:pt>
                <c:pt idx="226">
                  <c:v>39.687253761133256</c:v>
                </c:pt>
                <c:pt idx="227">
                  <c:v>36.707043931268103</c:v>
                </c:pt>
                <c:pt idx="228">
                  <c:v>29.44977377224685</c:v>
                </c:pt>
                <c:pt idx="229">
                  <c:v>37.363911447277779</c:v>
                </c:pt>
                <c:pt idx="230">
                  <c:v>42.560281177885116</c:v>
                </c:pt>
                <c:pt idx="231">
                  <c:v>51.109922433303197</c:v>
                </c:pt>
                <c:pt idx="232">
                  <c:v>34.524083431851714</c:v>
                </c:pt>
                <c:pt idx="233">
                  <c:v>27.514514062664318</c:v>
                </c:pt>
                <c:pt idx="234">
                  <c:v>49.898019164711954</c:v>
                </c:pt>
                <c:pt idx="235">
                  <c:v>47.56935805728255</c:v>
                </c:pt>
                <c:pt idx="236">
                  <c:v>33.350736539181348</c:v>
                </c:pt>
                <c:pt idx="237">
                  <c:v>44.289096831446201</c:v>
                </c:pt>
                <c:pt idx="238">
                  <c:v>50.366046502663707</c:v>
                </c:pt>
                <c:pt idx="239">
                  <c:v>49.269454363494368</c:v>
                </c:pt>
                <c:pt idx="240">
                  <c:v>33.712927191222079</c:v>
                </c:pt>
                <c:pt idx="241">
                  <c:v>48.942039989301229</c:v>
                </c:pt>
                <c:pt idx="242">
                  <c:v>25.279390068634619</c:v>
                </c:pt>
                <c:pt idx="243">
                  <c:v>41.379450301896398</c:v>
                </c:pt>
                <c:pt idx="244">
                  <c:v>39.823682108264563</c:v>
                </c:pt>
                <c:pt idx="245">
                  <c:v>38.879967699941737</c:v>
                </c:pt>
                <c:pt idx="246">
                  <c:v>46.989404892811486</c:v>
                </c:pt>
                <c:pt idx="247">
                  <c:v>41.07163980179903</c:v>
                </c:pt>
                <c:pt idx="248">
                  <c:v>46.477505440234467</c:v>
                </c:pt>
                <c:pt idx="249">
                  <c:v>36.998310288278027</c:v>
                </c:pt>
                <c:pt idx="250">
                  <c:v>35.957039169797582</c:v>
                </c:pt>
                <c:pt idx="251">
                  <c:v>24.081649990250334</c:v>
                </c:pt>
                <c:pt idx="252">
                  <c:v>47.634251482003826</c:v>
                </c:pt>
                <c:pt idx="253">
                  <c:v>47.047037565961553</c:v>
                </c:pt>
                <c:pt idx="254">
                  <c:v>34.148177292352216</c:v>
                </c:pt>
                <c:pt idx="255">
                  <c:v>14.494995173161184</c:v>
                </c:pt>
                <c:pt idx="256">
                  <c:v>36.34709005187522</c:v>
                </c:pt>
                <c:pt idx="257">
                  <c:v>41.626747097311032</c:v>
                </c:pt>
                <c:pt idx="258">
                  <c:v>33.258476451883439</c:v>
                </c:pt>
                <c:pt idx="259">
                  <c:v>46.473977177602485</c:v>
                </c:pt>
                <c:pt idx="260">
                  <c:v>46.465466795996711</c:v>
                </c:pt>
                <c:pt idx="261">
                  <c:v>45.833734830632849</c:v>
                </c:pt>
                <c:pt idx="262">
                  <c:v>47.577367785065611</c:v>
                </c:pt>
                <c:pt idx="263">
                  <c:v>46.351488303634653</c:v>
                </c:pt>
                <c:pt idx="264">
                  <c:v>44.851759774524389</c:v>
                </c:pt>
                <c:pt idx="265">
                  <c:v>28.46660973234788</c:v>
                </c:pt>
                <c:pt idx="266">
                  <c:v>17.243384519966654</c:v>
                </c:pt>
                <c:pt idx="267">
                  <c:v>36.311988651541725</c:v>
                </c:pt>
                <c:pt idx="268">
                  <c:v>33.246244160746812</c:v>
                </c:pt>
                <c:pt idx="269">
                  <c:v>17.628682431520584</c:v>
                </c:pt>
                <c:pt idx="270">
                  <c:v>19.980076911444957</c:v>
                </c:pt>
                <c:pt idx="271">
                  <c:v>24.005596784677238</c:v>
                </c:pt>
                <c:pt idx="272">
                  <c:v>28.485711443669818</c:v>
                </c:pt>
                <c:pt idx="273">
                  <c:v>37.218824744798525</c:v>
                </c:pt>
                <c:pt idx="274">
                  <c:v>39.68479328653352</c:v>
                </c:pt>
                <c:pt idx="275">
                  <c:v>38.307941648733625</c:v>
                </c:pt>
                <c:pt idx="276">
                  <c:v>42.196158884946364</c:v>
                </c:pt>
                <c:pt idx="277">
                  <c:v>43.01768849403706</c:v>
                </c:pt>
                <c:pt idx="278">
                  <c:v>11.882509883564405</c:v>
                </c:pt>
                <c:pt idx="279">
                  <c:v>29.845523349465889</c:v>
                </c:pt>
                <c:pt idx="280">
                  <c:v>17.223246090735913</c:v>
                </c:pt>
                <c:pt idx="281">
                  <c:v>39.322334019906634</c:v>
                </c:pt>
                <c:pt idx="282">
                  <c:v>31.566379853363216</c:v>
                </c:pt>
                <c:pt idx="283">
                  <c:v>22.958274289514701</c:v>
                </c:pt>
                <c:pt idx="284">
                  <c:v>28.493255156946347</c:v>
                </c:pt>
                <c:pt idx="285">
                  <c:v>23.85531692557467</c:v>
                </c:pt>
                <c:pt idx="286">
                  <c:v>18.542070103998388</c:v>
                </c:pt>
                <c:pt idx="287">
                  <c:v>38.097829474413246</c:v>
                </c:pt>
                <c:pt idx="288">
                  <c:v>33.623551090072731</c:v>
                </c:pt>
                <c:pt idx="289">
                  <c:v>19.959610316692679</c:v>
                </c:pt>
                <c:pt idx="290">
                  <c:v>35.205526881108192</c:v>
                </c:pt>
                <c:pt idx="291">
                  <c:v>16.362693093722729</c:v>
                </c:pt>
                <c:pt idx="292">
                  <c:v>6.8898801320170326</c:v>
                </c:pt>
                <c:pt idx="293">
                  <c:v>16.766769333240017</c:v>
                </c:pt>
                <c:pt idx="294">
                  <c:v>33.872734419041407</c:v>
                </c:pt>
                <c:pt idx="295">
                  <c:v>17.407882214244772</c:v>
                </c:pt>
                <c:pt idx="296">
                  <c:v>25.754341013237841</c:v>
                </c:pt>
                <c:pt idx="297">
                  <c:v>22.769624561460297</c:v>
                </c:pt>
                <c:pt idx="298">
                  <c:v>12.692344935230599</c:v>
                </c:pt>
                <c:pt idx="299">
                  <c:v>14.682553994634874</c:v>
                </c:pt>
                <c:pt idx="300">
                  <c:v>17.661573901487966</c:v>
                </c:pt>
                <c:pt idx="301">
                  <c:v>27.428321072501014</c:v>
                </c:pt>
                <c:pt idx="302">
                  <c:v>23.580405410980752</c:v>
                </c:pt>
                <c:pt idx="303">
                  <c:v>22.427165612583014</c:v>
                </c:pt>
                <c:pt idx="304">
                  <c:v>19.880262643414373</c:v>
                </c:pt>
                <c:pt idx="305">
                  <c:v>29.491511562044725</c:v>
                </c:pt>
                <c:pt idx="306">
                  <c:v>10.351836542892883</c:v>
                </c:pt>
                <c:pt idx="307">
                  <c:v>17.877133018862086</c:v>
                </c:pt>
                <c:pt idx="308">
                  <c:v>30.450637461126192</c:v>
                </c:pt>
                <c:pt idx="309">
                  <c:v>30.405697304082501</c:v>
                </c:pt>
                <c:pt idx="310">
                  <c:v>28.519411178968223</c:v>
                </c:pt>
                <c:pt idx="311">
                  <c:v>20.565257970674047</c:v>
                </c:pt>
                <c:pt idx="312">
                  <c:v>10.129284940959311</c:v>
                </c:pt>
                <c:pt idx="313">
                  <c:v>20.450987564608656</c:v>
                </c:pt>
                <c:pt idx="314">
                  <c:v>27.973784584344749</c:v>
                </c:pt>
                <c:pt idx="315">
                  <c:v>27.545927876159013</c:v>
                </c:pt>
                <c:pt idx="316">
                  <c:v>26.4904546664362</c:v>
                </c:pt>
                <c:pt idx="317">
                  <c:v>9.8082744158754895</c:v>
                </c:pt>
                <c:pt idx="318">
                  <c:v>12.585286856646812</c:v>
                </c:pt>
                <c:pt idx="319">
                  <c:v>27.095214156811181</c:v>
                </c:pt>
                <c:pt idx="320">
                  <c:v>13.870542501010808</c:v>
                </c:pt>
                <c:pt idx="321">
                  <c:v>15.877131262387127</c:v>
                </c:pt>
                <c:pt idx="322">
                  <c:v>7.2557497146785055</c:v>
                </c:pt>
                <c:pt idx="323">
                  <c:v>15.96611850196369</c:v>
                </c:pt>
                <c:pt idx="324">
                  <c:v>3.2068446301203823</c:v>
                </c:pt>
                <c:pt idx="325">
                  <c:v>7.9333534266870958</c:v>
                </c:pt>
                <c:pt idx="326">
                  <c:v>13.304583883656875</c:v>
                </c:pt>
                <c:pt idx="327">
                  <c:v>13.961929299527739</c:v>
                </c:pt>
                <c:pt idx="328">
                  <c:v>4.8380706797576023</c:v>
                </c:pt>
                <c:pt idx="329">
                  <c:v>11.117022276054314</c:v>
                </c:pt>
                <c:pt idx="330">
                  <c:v>14.634122947390956</c:v>
                </c:pt>
                <c:pt idx="331">
                  <c:v>10.616783748030919</c:v>
                </c:pt>
                <c:pt idx="332">
                  <c:v>15.462022705604261</c:v>
                </c:pt>
                <c:pt idx="333">
                  <c:v>4.0404249097827067</c:v>
                </c:pt>
                <c:pt idx="334">
                  <c:v>3.8244231704770075</c:v>
                </c:pt>
                <c:pt idx="335">
                  <c:v>5.7454322759735703</c:v>
                </c:pt>
                <c:pt idx="336">
                  <c:v>9.6287086821805357</c:v>
                </c:pt>
                <c:pt idx="337">
                  <c:v>17.657441439944048</c:v>
                </c:pt>
                <c:pt idx="338">
                  <c:v>23.407991909543089</c:v>
                </c:pt>
                <c:pt idx="339">
                  <c:v>11.506845177274441</c:v>
                </c:pt>
                <c:pt idx="340">
                  <c:v>20.734702405018997</c:v>
                </c:pt>
                <c:pt idx="341">
                  <c:v>4.1643191085054783</c:v>
                </c:pt>
                <c:pt idx="342">
                  <c:v>5.0823491469313868</c:v>
                </c:pt>
                <c:pt idx="343">
                  <c:v>12.303316787550674</c:v>
                </c:pt>
                <c:pt idx="344">
                  <c:v>17.604519070238727</c:v>
                </c:pt>
                <c:pt idx="345">
                  <c:v>5.3804703220587964</c:v>
                </c:pt>
                <c:pt idx="346">
                  <c:v>5.4474749572468397</c:v>
                </c:pt>
                <c:pt idx="347">
                  <c:v>17.394749918589373</c:v>
                </c:pt>
                <c:pt idx="348">
                  <c:v>5.9447949395074584</c:v>
                </c:pt>
                <c:pt idx="349">
                  <c:v>5.2507496641012912</c:v>
                </c:pt>
                <c:pt idx="350">
                  <c:v>3.5598778413931376</c:v>
                </c:pt>
                <c:pt idx="351">
                  <c:v>21.235221126013432</c:v>
                </c:pt>
                <c:pt idx="352">
                  <c:v>18.070485120573274</c:v>
                </c:pt>
                <c:pt idx="353">
                  <c:v>4.6061007303443517</c:v>
                </c:pt>
                <c:pt idx="354">
                  <c:v>21.089166796880178</c:v>
                </c:pt>
                <c:pt idx="355">
                  <c:v>17.830627666464448</c:v>
                </c:pt>
                <c:pt idx="356">
                  <c:v>18.0703228585792</c:v>
                </c:pt>
                <c:pt idx="357">
                  <c:v>21.476322742416762</c:v>
                </c:pt>
                <c:pt idx="358">
                  <c:v>12.133193458632686</c:v>
                </c:pt>
                <c:pt idx="359">
                  <c:v>20.976002664199342</c:v>
                </c:pt>
                <c:pt idx="360">
                  <c:v>7.1074468413084881</c:v>
                </c:pt>
                <c:pt idx="361">
                  <c:v>22.064435460262693</c:v>
                </c:pt>
                <c:pt idx="362">
                  <c:v>10.479614885498062</c:v>
                </c:pt>
                <c:pt idx="363">
                  <c:v>14.198441174106177</c:v>
                </c:pt>
                <c:pt idx="364">
                  <c:v>11.747034762355158</c:v>
                </c:pt>
                <c:pt idx="365">
                  <c:v>15.791744020545305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41584"/>
        <c:axId val="778341976"/>
      </c:lineChart>
      <c:dateAx>
        <c:axId val="77834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1976"/>
        <c:crosses val="autoZero"/>
        <c:auto val="1"/>
        <c:lblOffset val="100"/>
        <c:baseTimeUnit val="days"/>
        <c:majorUnit val="1"/>
        <c:majorTimeUnit val="months"/>
      </c:dateAx>
      <c:valAx>
        <c:axId val="7783419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15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3.411232927896013E-2</c:v>
                </c:pt>
                <c:pt idx="1">
                  <c:v>3.4130840295815146E-2</c:v>
                </c:pt>
                <c:pt idx="2">
                  <c:v>3.4149350957910718E-2</c:v>
                </c:pt>
                <c:pt idx="3">
                  <c:v>3.4167861265253729E-2</c:v>
                </c:pt>
                <c:pt idx="4">
                  <c:v>3.4186371217850842E-2</c:v>
                </c:pt>
                <c:pt idx="5">
                  <c:v>3.4204880815708938E-2</c:v>
                </c:pt>
                <c:pt idx="6">
                  <c:v>3.4223390058834791E-2</c:v>
                </c:pt>
                <c:pt idx="7">
                  <c:v>3.4241898947235283E-2</c:v>
                </c:pt>
                <c:pt idx="8">
                  <c:v>3.4260407480917188E-2</c:v>
                </c:pt>
                <c:pt idx="9">
                  <c:v>3.4278915659887166E-2</c:v>
                </c:pt>
                <c:pt idx="10">
                  <c:v>3.4297423484152101E-2</c:v>
                </c:pt>
                <c:pt idx="11">
                  <c:v>3.4315930953718876E-2</c:v>
                </c:pt>
                <c:pt idx="12">
                  <c:v>3.4334438068594264E-2</c:v>
                </c:pt>
                <c:pt idx="13">
                  <c:v>3.4352944828784926E-2</c:v>
                </c:pt>
                <c:pt idx="14">
                  <c:v>3.4371451234297856E-2</c:v>
                </c:pt>
                <c:pt idx="15">
                  <c:v>3.4389957285139605E-2</c:v>
                </c:pt>
                <c:pt idx="16">
                  <c:v>3.4408462981317167E-2</c:v>
                </c:pt>
                <c:pt idx="17">
                  <c:v>3.4426968322837315E-2</c:v>
                </c:pt>
                <c:pt idx="18">
                  <c:v>3.444547330970682E-2</c:v>
                </c:pt>
                <c:pt idx="19">
                  <c:v>3.4463977941932455E-2</c:v>
                </c:pt>
                <c:pt idx="20">
                  <c:v>3.4482482219520993E-2</c:v>
                </c:pt>
                <c:pt idx="21">
                  <c:v>3.4500986142479317E-2</c:v>
                </c:pt>
                <c:pt idx="22">
                  <c:v>3.45194897108142E-2</c:v>
                </c:pt>
                <c:pt idx="23">
                  <c:v>3.4537992924532412E-2</c:v>
                </c:pt>
                <c:pt idx="24">
                  <c:v>3.4556495783640728E-2</c:v>
                </c:pt>
                <c:pt idx="25">
                  <c:v>3.4574998288145919E-2</c:v>
                </c:pt>
                <c:pt idx="26">
                  <c:v>3.459350043805498E-2</c:v>
                </c:pt>
                <c:pt idx="27">
                  <c:v>3.4612002233374461E-2</c:v>
                </c:pt>
                <c:pt idx="28">
                  <c:v>3.4630503674111246E-2</c:v>
                </c:pt>
                <c:pt idx="29">
                  <c:v>3.4649004760272106E-2</c:v>
                </c:pt>
                <c:pt idx="30">
                  <c:v>3.4667505491863926E-2</c:v>
                </c:pt>
                <c:pt idx="31">
                  <c:v>3.4686005868893477E-2</c:v>
                </c:pt>
                <c:pt idx="32">
                  <c:v>3.4704505891367532E-2</c:v>
                </c:pt>
                <c:pt idx="33">
                  <c:v>3.4723005559292752E-2</c:v>
                </c:pt>
                <c:pt idx="34">
                  <c:v>3.4741504872676132E-2</c:v>
                </c:pt>
                <c:pt idx="35">
                  <c:v>3.4760003831524444E-2</c:v>
                </c:pt>
                <c:pt idx="36">
                  <c:v>3.477850243584435E-2</c:v>
                </c:pt>
                <c:pt idx="37">
                  <c:v>3.4797000685642732E-2</c:v>
                </c:pt>
                <c:pt idx="38">
                  <c:v>3.4815498580926474E-2</c:v>
                </c:pt>
                <c:pt idx="39">
                  <c:v>3.4833996121702127E-2</c:v>
                </c:pt>
                <c:pt idx="40">
                  <c:v>3.4852493307976795E-2</c:v>
                </c:pt>
                <c:pt idx="41">
                  <c:v>3.4870990139756919E-2</c:v>
                </c:pt>
                <c:pt idx="42">
                  <c:v>3.4889486617049603E-2</c:v>
                </c:pt>
                <c:pt idx="43">
                  <c:v>3.4907982739861509E-2</c:v>
                </c:pt>
                <c:pt idx="44">
                  <c:v>3.492647850819941E-2</c:v>
                </c:pt>
                <c:pt idx="45">
                  <c:v>3.4944973922070188E-2</c:v>
                </c:pt>
                <c:pt idx="46">
                  <c:v>3.4963468981480506E-2</c:v>
                </c:pt>
                <c:pt idx="47">
                  <c:v>3.4981963686437245E-2</c:v>
                </c:pt>
                <c:pt idx="48">
                  <c:v>3.5000458036947291E-2</c:v>
                </c:pt>
                <c:pt idx="49">
                  <c:v>3.5018952033017192E-2</c:v>
                </c:pt>
                <c:pt idx="50">
                  <c:v>3.5037445674653944E-2</c:v>
                </c:pt>
                <c:pt idx="51">
                  <c:v>3.5055938961864208E-2</c:v>
                </c:pt>
                <c:pt idx="52">
                  <c:v>3.5074431894654867E-2</c:v>
                </c:pt>
                <c:pt idx="53">
                  <c:v>3.5092924473032805E-2</c:v>
                </c:pt>
                <c:pt idx="54">
                  <c:v>3.5111416697004572E-2</c:v>
                </c:pt>
                <c:pt idx="55">
                  <c:v>3.5129908566577051E-2</c:v>
                </c:pt>
                <c:pt idx="56">
                  <c:v>3.5148400081757125E-2</c:v>
                </c:pt>
                <c:pt idx="57">
                  <c:v>3.5166891242551568E-2</c:v>
                </c:pt>
                <c:pt idx="58">
                  <c:v>3.5185382048967151E-2</c:v>
                </c:pt>
                <c:pt idx="59">
                  <c:v>3.5203872501010536E-2</c:v>
                </c:pt>
                <c:pt idx="60">
                  <c:v>3.5222362598688717E-2</c:v>
                </c:pt>
                <c:pt idx="61">
                  <c:v>3.5240852342008355E-2</c:v>
                </c:pt>
                <c:pt idx="62">
                  <c:v>3.5259341730976335E-2</c:v>
                </c:pt>
                <c:pt idx="63">
                  <c:v>3.5277830765599316E-2</c:v>
                </c:pt>
                <c:pt idx="64">
                  <c:v>3.5296319445884183E-2</c:v>
                </c:pt>
                <c:pt idx="65">
                  <c:v>3.5314807771837708E-2</c:v>
                </c:pt>
                <c:pt idx="66">
                  <c:v>3.5333295743466664E-2</c:v>
                </c:pt>
                <c:pt idx="67">
                  <c:v>3.5351783360777933E-2</c:v>
                </c:pt>
                <c:pt idx="68">
                  <c:v>3.5370270623778177E-2</c:v>
                </c:pt>
                <c:pt idx="69">
                  <c:v>3.538875753247428E-2</c:v>
                </c:pt>
                <c:pt idx="70">
                  <c:v>3.5407244086873013E-2</c:v>
                </c:pt>
                <c:pt idx="71">
                  <c:v>3.542573028698115E-2</c:v>
                </c:pt>
                <c:pt idx="72">
                  <c:v>3.5444216132805351E-2</c:v>
                </c:pt>
                <c:pt idx="73">
                  <c:v>3.5462701624352722E-2</c:v>
                </c:pt>
                <c:pt idx="74">
                  <c:v>3.5481186761629702E-2</c:v>
                </c:pt>
                <c:pt idx="75">
                  <c:v>3.5499671544643396E-2</c:v>
                </c:pt>
                <c:pt idx="76">
                  <c:v>3.5518155973400356E-2</c:v>
                </c:pt>
                <c:pt idx="77">
                  <c:v>3.5536640047907353E-2</c:v>
                </c:pt>
                <c:pt idx="78">
                  <c:v>3.5555123768171493E-2</c:v>
                </c:pt>
                <c:pt idx="79">
                  <c:v>3.5573607134199214E-2</c:v>
                </c:pt>
                <c:pt idx="80">
                  <c:v>3.5592090145997402E-2</c:v>
                </c:pt>
                <c:pt idx="81">
                  <c:v>3.5610572803572937E-2</c:v>
                </c:pt>
                <c:pt idx="82">
                  <c:v>3.5629055106932594E-2</c:v>
                </c:pt>
                <c:pt idx="83">
                  <c:v>3.5647537056083145E-2</c:v>
                </c:pt>
                <c:pt idx="84">
                  <c:v>3.566601865103125E-2</c:v>
                </c:pt>
                <c:pt idx="85">
                  <c:v>3.5684499891783905E-2</c:v>
                </c:pt>
                <c:pt idx="86">
                  <c:v>3.570298077834777E-2</c:v>
                </c:pt>
                <c:pt idx="87">
                  <c:v>3.5721461310729619E-2</c:v>
                </c:pt>
                <c:pt idx="88">
                  <c:v>3.5739941488936333E-2</c:v>
                </c:pt>
                <c:pt idx="89">
                  <c:v>3.5758421312974686E-2</c:v>
                </c:pt>
                <c:pt idx="90">
                  <c:v>3.577690078285134E-2</c:v>
                </c:pt>
                <c:pt idx="91">
                  <c:v>3.5795379898573176E-2</c:v>
                </c:pt>
                <c:pt idx="92">
                  <c:v>3.5813858660146969E-2</c:v>
                </c:pt>
                <c:pt idx="93">
                  <c:v>3.58323370675796E-2</c:v>
                </c:pt>
                <c:pt idx="94">
                  <c:v>3.5850815120877733E-2</c:v>
                </c:pt>
                <c:pt idx="95">
                  <c:v>3.5869292820048138E-2</c:v>
                </c:pt>
                <c:pt idx="96">
                  <c:v>3.5887770165097699E-2</c:v>
                </c:pt>
                <c:pt idx="97">
                  <c:v>3.5906247156033078E-2</c:v>
                </c:pt>
                <c:pt idx="98">
                  <c:v>3.5924723792861268E-2</c:v>
                </c:pt>
                <c:pt idx="99">
                  <c:v>3.5943200075588821E-2</c:v>
                </c:pt>
                <c:pt idx="100">
                  <c:v>3.596167600422262E-2</c:v>
                </c:pt>
                <c:pt idx="101">
                  <c:v>3.5980151578769548E-2</c:v>
                </c:pt>
                <c:pt idx="102">
                  <c:v>3.5998626799236266E-2</c:v>
                </c:pt>
                <c:pt idx="103">
                  <c:v>3.6017101665629658E-2</c:v>
                </c:pt>
                <c:pt idx="104">
                  <c:v>3.6035576177956385E-2</c:v>
                </c:pt>
                <c:pt idx="105">
                  <c:v>3.6054050336223331E-2</c:v>
                </c:pt>
                <c:pt idx="106">
                  <c:v>3.6072524140437157E-2</c:v>
                </c:pt>
                <c:pt idx="107">
                  <c:v>3.6090997590604856E-2</c:v>
                </c:pt>
                <c:pt idx="108">
                  <c:v>3.6109470686732981E-2</c:v>
                </c:pt>
                <c:pt idx="109">
                  <c:v>3.6127943428828524E-2</c:v>
                </c:pt>
                <c:pt idx="110">
                  <c:v>3.6146415816898148E-2</c:v>
                </c:pt>
                <c:pt idx="111">
                  <c:v>3.6164887850948735E-2</c:v>
                </c:pt>
                <c:pt idx="112">
                  <c:v>3.6183359530986947E-2</c:v>
                </c:pt>
                <c:pt idx="113">
                  <c:v>3.6201830857019557E-2</c:v>
                </c:pt>
                <c:pt idx="114">
                  <c:v>3.6220301829053558E-2</c:v>
                </c:pt>
                <c:pt idx="115">
                  <c:v>3.6238772447095502E-2</c:v>
                </c:pt>
                <c:pt idx="116">
                  <c:v>3.6257242711152271E-2</c:v>
                </c:pt>
                <c:pt idx="117">
                  <c:v>3.6275712621230638E-2</c:v>
                </c:pt>
                <c:pt idx="118">
                  <c:v>3.6294182177337375E-2</c:v>
                </c:pt>
                <c:pt idx="119">
                  <c:v>3.6312651379479366E-2</c:v>
                </c:pt>
                <c:pt idx="120">
                  <c:v>3.6331120227663272E-2</c:v>
                </c:pt>
                <c:pt idx="121">
                  <c:v>3.6349588721895865E-2</c:v>
                </c:pt>
                <c:pt idx="122">
                  <c:v>3.6368056862184028E-2</c:v>
                </c:pt>
                <c:pt idx="123">
                  <c:v>3.6386524648534535E-2</c:v>
                </c:pt>
                <c:pt idx="124">
                  <c:v>3.6404992080954046E-2</c:v>
                </c:pt>
                <c:pt idx="125">
                  <c:v>3.6423459159449445E-2</c:v>
                </c:pt>
                <c:pt idx="126">
                  <c:v>3.6441925884027615E-2</c:v>
                </c:pt>
                <c:pt idx="127">
                  <c:v>3.6460392254695106E-2</c:v>
                </c:pt>
                <c:pt idx="128">
                  <c:v>3.6478858271458803E-2</c:v>
                </c:pt>
                <c:pt idx="129">
                  <c:v>3.6497323934325476E-2</c:v>
                </c:pt>
                <c:pt idx="130">
                  <c:v>3.651578924330201E-2</c:v>
                </c:pt>
                <c:pt idx="131">
                  <c:v>3.6534254198395177E-2</c:v>
                </c:pt>
                <c:pt idx="132">
                  <c:v>3.6552718799611528E-2</c:v>
                </c:pt>
                <c:pt idx="133">
                  <c:v>3.6571183046958056E-2</c:v>
                </c:pt>
                <c:pt idx="134">
                  <c:v>3.6589646940441534E-2</c:v>
                </c:pt>
                <c:pt idx="135">
                  <c:v>3.6608110480068734E-2</c:v>
                </c:pt>
                <c:pt idx="136">
                  <c:v>3.6626573665846429E-2</c:v>
                </c:pt>
                <c:pt idx="137">
                  <c:v>3.664503649778128E-2</c:v>
                </c:pt>
                <c:pt idx="138">
                  <c:v>3.6663498975880171E-2</c:v>
                </c:pt>
                <c:pt idx="139">
                  <c:v>3.6681961100149985E-2</c:v>
                </c:pt>
                <c:pt idx="140">
                  <c:v>3.6700422870597382E-2</c:v>
                </c:pt>
                <c:pt idx="141">
                  <c:v>3.6718884287229026E-2</c:v>
                </c:pt>
                <c:pt idx="142">
                  <c:v>3.6737345350051909E-2</c:v>
                </c:pt>
                <c:pt idx="143">
                  <c:v>3.6755806059072804E-2</c:v>
                </c:pt>
                <c:pt idx="144">
                  <c:v>3.6774266414298373E-2</c:v>
                </c:pt>
                <c:pt idx="145">
                  <c:v>3.6792726415735388E-2</c:v>
                </c:pt>
                <c:pt idx="146">
                  <c:v>3.6811186063390733E-2</c:v>
                </c:pt>
                <c:pt idx="147">
                  <c:v>3.6829645357271179E-2</c:v>
                </c:pt>
                <c:pt idx="148">
                  <c:v>3.6848104297383499E-2</c:v>
                </c:pt>
                <c:pt idx="149">
                  <c:v>3.6866562883734355E-2</c:v>
                </c:pt>
                <c:pt idx="150">
                  <c:v>3.688502111633063E-2</c:v>
                </c:pt>
                <c:pt idx="151">
                  <c:v>3.6903478995179095E-2</c:v>
                </c:pt>
                <c:pt idx="152">
                  <c:v>3.6921936520286525E-2</c:v>
                </c:pt>
                <c:pt idx="153">
                  <c:v>3.694039369165969E-2</c:v>
                </c:pt>
                <c:pt idx="154">
                  <c:v>3.6958850509305363E-2</c:v>
                </c:pt>
                <c:pt idx="155">
                  <c:v>3.6977306973230428E-2</c:v>
                </c:pt>
                <c:pt idx="156">
                  <c:v>3.6995763083441435E-2</c:v>
                </c:pt>
                <c:pt idx="157">
                  <c:v>3.7014218839945379E-2</c:v>
                </c:pt>
                <c:pt idx="158">
                  <c:v>3.703267424274892E-2</c:v>
                </c:pt>
                <c:pt idx="159">
                  <c:v>3.7051129291858942E-2</c:v>
                </c:pt>
                <c:pt idx="160">
                  <c:v>3.7069583987282106E-2</c:v>
                </c:pt>
                <c:pt idx="161">
                  <c:v>3.7088038329025297E-2</c:v>
                </c:pt>
                <c:pt idx="162">
                  <c:v>3.7106492317095174E-2</c:v>
                </c:pt>
                <c:pt idx="163">
                  <c:v>3.7124945951498622E-2</c:v>
                </c:pt>
                <c:pt idx="164">
                  <c:v>3.7143399232242413E-2</c:v>
                </c:pt>
                <c:pt idx="165">
                  <c:v>3.7161852159333209E-2</c:v>
                </c:pt>
                <c:pt idx="166">
                  <c:v>3.7180304732777891E-2</c:v>
                </c:pt>
                <c:pt idx="167">
                  <c:v>3.7198756952583234E-2</c:v>
                </c:pt>
                <c:pt idx="168">
                  <c:v>3.7217208818755898E-2</c:v>
                </c:pt>
                <c:pt idx="169">
                  <c:v>3.7235660331302878E-2</c:v>
                </c:pt>
                <c:pt idx="170">
                  <c:v>3.7254111490230724E-2</c:v>
                </c:pt>
                <c:pt idx="171">
                  <c:v>3.727256229554643E-2</c:v>
                </c:pt>
                <c:pt idx="172">
                  <c:v>3.7291012747256658E-2</c:v>
                </c:pt>
                <c:pt idx="173">
                  <c:v>3.7309462845368069E-2</c:v>
                </c:pt>
                <c:pt idx="174">
                  <c:v>3.7327912589887657E-2</c:v>
                </c:pt>
                <c:pt idx="175">
                  <c:v>3.7346361980822085E-2</c:v>
                </c:pt>
                <c:pt idx="176">
                  <c:v>3.7364811018178123E-2</c:v>
                </c:pt>
                <c:pt idx="177">
                  <c:v>3.7383259701962546E-2</c:v>
                </c:pt>
                <c:pt idx="178">
                  <c:v>3.7401708032182235E-2</c:v>
                </c:pt>
                <c:pt idx="179">
                  <c:v>3.7420156008843852E-2</c:v>
                </c:pt>
                <c:pt idx="180">
                  <c:v>3.743860363195417E-2</c:v>
                </c:pt>
                <c:pt idx="181">
                  <c:v>3.7457050901520073E-2</c:v>
                </c:pt>
                <c:pt idx="182">
                  <c:v>3.7475497817548109E-2</c:v>
                </c:pt>
                <c:pt idx="183">
                  <c:v>3.7493944380045385E-2</c:v>
                </c:pt>
                <c:pt idx="184">
                  <c:v>3.7512390589018452E-2</c:v>
                </c:pt>
                <c:pt idx="185">
                  <c:v>3.7530836444474081E-2</c:v>
                </c:pt>
                <c:pt idx="186">
                  <c:v>3.7549281946419044E-2</c:v>
                </c:pt>
                <c:pt idx="187">
                  <c:v>3.7567727094860337E-2</c:v>
                </c:pt>
                <c:pt idx="188">
                  <c:v>3.7586171889804398E-2</c:v>
                </c:pt>
                <c:pt idx="189">
                  <c:v>3.7604616331258334E-2</c:v>
                </c:pt>
                <c:pt idx="190">
                  <c:v>3.7623060419228582E-2</c:v>
                </c:pt>
                <c:pt idx="191">
                  <c:v>3.7641504153722249E-2</c:v>
                </c:pt>
                <c:pt idx="192">
                  <c:v>3.7659947534745886E-2</c:v>
                </c:pt>
                <c:pt idx="193">
                  <c:v>3.7678390562306263E-2</c:v>
                </c:pt>
                <c:pt idx="194">
                  <c:v>3.7696833236410376E-2</c:v>
                </c:pt>
                <c:pt idx="195">
                  <c:v>3.7715275557064776E-2</c:v>
                </c:pt>
                <c:pt idx="196">
                  <c:v>3.7733717524276233E-2</c:v>
                </c:pt>
                <c:pt idx="197">
                  <c:v>3.7752159138051744E-2</c:v>
                </c:pt>
                <c:pt idx="198">
                  <c:v>3.7770600398397858E-2</c:v>
                </c:pt>
                <c:pt idx="199">
                  <c:v>3.7789041305321347E-2</c:v>
                </c:pt>
                <c:pt idx="200">
                  <c:v>3.7807481858829206E-2</c:v>
                </c:pt>
                <c:pt idx="201">
                  <c:v>3.7825922058927985E-2</c:v>
                </c:pt>
                <c:pt idx="202">
                  <c:v>3.7844361905624457E-2</c:v>
                </c:pt>
                <c:pt idx="203">
                  <c:v>3.7862801398925616E-2</c:v>
                </c:pt>
                <c:pt idx="204">
                  <c:v>3.7881240538838012E-2</c:v>
                </c:pt>
                <c:pt idx="205">
                  <c:v>3.7899679325368529E-2</c:v>
                </c:pt>
                <c:pt idx="206">
                  <c:v>3.7918117758523939E-2</c:v>
                </c:pt>
                <c:pt idx="207">
                  <c:v>3.7936555838310904E-2</c:v>
                </c:pt>
                <c:pt idx="208">
                  <c:v>3.7954993564736306E-2</c:v>
                </c:pt>
                <c:pt idx="209">
                  <c:v>3.7973430937806918E-2</c:v>
                </c:pt>
                <c:pt idx="210">
                  <c:v>3.7991867957529513E-2</c:v>
                </c:pt>
                <c:pt idx="211">
                  <c:v>3.8010304623910751E-2</c:v>
                </c:pt>
                <c:pt idx="212">
                  <c:v>3.8028740936957517E-2</c:v>
                </c:pt>
                <c:pt idx="213">
                  <c:v>3.8047176896676582E-2</c:v>
                </c:pt>
                <c:pt idx="214">
                  <c:v>3.8065612503074608E-2</c:v>
                </c:pt>
                <c:pt idx="215">
                  <c:v>3.8084047756158479E-2</c:v>
                </c:pt>
                <c:pt idx="216">
                  <c:v>3.8102482655934966E-2</c:v>
                </c:pt>
                <c:pt idx="217">
                  <c:v>3.8120917202410731E-2</c:v>
                </c:pt>
                <c:pt idx="218">
                  <c:v>3.8139351395592658E-2</c:v>
                </c:pt>
                <c:pt idx="219">
                  <c:v>3.8157785235487518E-2</c:v>
                </c:pt>
                <c:pt idx="220">
                  <c:v>3.8176218722101973E-2</c:v>
                </c:pt>
                <c:pt idx="221">
                  <c:v>3.8194651855442907E-2</c:v>
                </c:pt>
                <c:pt idx="222">
                  <c:v>3.8213084635517092E-2</c:v>
                </c:pt>
                <c:pt idx="223">
                  <c:v>3.8231517062331188E-2</c:v>
                </c:pt>
                <c:pt idx="224">
                  <c:v>3.824994913589197E-2</c:v>
                </c:pt>
                <c:pt idx="225">
                  <c:v>3.8268380856206319E-2</c:v>
                </c:pt>
                <c:pt idx="226">
                  <c:v>3.8286812223281008E-2</c:v>
                </c:pt>
                <c:pt idx="227">
                  <c:v>3.8305243237122699E-2</c:v>
                </c:pt>
                <c:pt idx="228">
                  <c:v>3.8323673897738275E-2</c:v>
                </c:pt>
                <c:pt idx="229">
                  <c:v>3.8342104205134397E-2</c:v>
                </c:pt>
                <c:pt idx="230">
                  <c:v>3.8360534159317838E-2</c:v>
                </c:pt>
                <c:pt idx="231">
                  <c:v>3.8378963760295481E-2</c:v>
                </c:pt>
                <c:pt idx="232">
                  <c:v>3.8397393008073988E-2</c:v>
                </c:pt>
                <c:pt idx="233">
                  <c:v>3.8415821902660241E-2</c:v>
                </c:pt>
                <c:pt idx="234">
                  <c:v>3.8434250444060791E-2</c:v>
                </c:pt>
                <c:pt idx="235">
                  <c:v>3.8452678632282633E-2</c:v>
                </c:pt>
                <c:pt idx="236">
                  <c:v>3.8471106467332539E-2</c:v>
                </c:pt>
                <c:pt idx="237">
                  <c:v>3.8489533949217059E-2</c:v>
                </c:pt>
                <c:pt idx="238">
                  <c:v>3.8507961077943076E-2</c:v>
                </c:pt>
                <c:pt idx="239">
                  <c:v>3.8526387853517474E-2</c:v>
                </c:pt>
                <c:pt idx="240">
                  <c:v>3.8544814275946915E-2</c:v>
                </c:pt>
                <c:pt idx="241">
                  <c:v>3.8563240345238059E-2</c:v>
                </c:pt>
                <c:pt idx="242">
                  <c:v>3.8581666061397901E-2</c:v>
                </c:pt>
                <c:pt idx="243">
                  <c:v>3.8600091424433103E-2</c:v>
                </c:pt>
                <c:pt idx="244">
                  <c:v>3.8618516434350325E-2</c:v>
                </c:pt>
                <c:pt idx="245">
                  <c:v>3.8636941091156562E-2</c:v>
                </c:pt>
                <c:pt idx="246">
                  <c:v>3.8655365394858365E-2</c:v>
                </c:pt>
                <c:pt idx="247">
                  <c:v>3.8673789345462617E-2</c:v>
                </c:pt>
                <c:pt idx="248">
                  <c:v>3.869221294297609E-2</c:v>
                </c:pt>
                <c:pt idx="249">
                  <c:v>3.8710636187405445E-2</c:v>
                </c:pt>
                <c:pt idx="250">
                  <c:v>3.8729059078757566E-2</c:v>
                </c:pt>
                <c:pt idx="251">
                  <c:v>3.8747481617039226E-2</c:v>
                </c:pt>
                <c:pt idx="252">
                  <c:v>3.8765903802257085E-2</c:v>
                </c:pt>
                <c:pt idx="253">
                  <c:v>3.8784325634417915E-2</c:v>
                </c:pt>
                <c:pt idx="254">
                  <c:v>3.8802747113528602E-2</c:v>
                </c:pt>
                <c:pt idx="255">
                  <c:v>3.8821168239595916E-2</c:v>
                </c:pt>
                <c:pt idx="256">
                  <c:v>3.8839589012626408E-2</c:v>
                </c:pt>
                <c:pt idx="257">
                  <c:v>3.8858009432627072E-2</c:v>
                </c:pt>
                <c:pt idx="258">
                  <c:v>3.887642949960457E-2</c:v>
                </c:pt>
                <c:pt idx="259">
                  <c:v>3.8894849213565674E-2</c:v>
                </c:pt>
                <c:pt idx="260">
                  <c:v>3.8913268574517157E-2</c:v>
                </c:pt>
                <c:pt idx="261">
                  <c:v>3.893168758246579E-2</c:v>
                </c:pt>
                <c:pt idx="262">
                  <c:v>3.8950106237418458E-2</c:v>
                </c:pt>
                <c:pt idx="263">
                  <c:v>3.8968524539381599E-2</c:v>
                </c:pt>
                <c:pt idx="264">
                  <c:v>3.8986942488362319E-2</c:v>
                </c:pt>
                <c:pt idx="265">
                  <c:v>3.900536008436728E-2</c:v>
                </c:pt>
                <c:pt idx="266">
                  <c:v>3.9023777327403142E-2</c:v>
                </c:pt>
                <c:pt idx="267">
                  <c:v>3.9042194217476678E-2</c:v>
                </c:pt>
                <c:pt idx="268">
                  <c:v>3.9060610754594882E-2</c:v>
                </c:pt>
                <c:pt idx="269">
                  <c:v>3.9079026938764194E-2</c:v>
                </c:pt>
                <c:pt idx="270">
                  <c:v>3.9097442769991608E-2</c:v>
                </c:pt>
                <c:pt idx="271">
                  <c:v>3.9115858248283897E-2</c:v>
                </c:pt>
                <c:pt idx="272">
                  <c:v>3.913427337364761E-2</c:v>
                </c:pt>
                <c:pt idx="273">
                  <c:v>3.9152688146089742E-2</c:v>
                </c:pt>
                <c:pt idx="274">
                  <c:v>3.9171102565616955E-2</c:v>
                </c:pt>
                <c:pt idx="275">
                  <c:v>3.918951663223591E-2</c:v>
                </c:pt>
                <c:pt idx="276">
                  <c:v>3.9207930345953601E-2</c:v>
                </c:pt>
                <c:pt idx="277">
                  <c:v>3.9226343706776579E-2</c:v>
                </c:pt>
                <c:pt idx="278">
                  <c:v>3.9244756714711726E-2</c:v>
                </c:pt>
                <c:pt idx="279">
                  <c:v>3.9263169369765816E-2</c:v>
                </c:pt>
                <c:pt idx="280">
                  <c:v>3.928158167194562E-2</c:v>
                </c:pt>
                <c:pt idx="281">
                  <c:v>3.9299993621257689E-2</c:v>
                </c:pt>
                <c:pt idx="282">
                  <c:v>3.9318405217709129E-2</c:v>
                </c:pt>
                <c:pt idx="283">
                  <c:v>3.9336816461306379E-2</c:v>
                </c:pt>
                <c:pt idx="284">
                  <c:v>3.9355227352056432E-2</c:v>
                </c:pt>
                <c:pt idx="285">
                  <c:v>3.9373637889965951E-2</c:v>
                </c:pt>
                <c:pt idx="286">
                  <c:v>3.9392048075041708E-2</c:v>
                </c:pt>
                <c:pt idx="287">
                  <c:v>3.9410457907290475E-2</c:v>
                </c:pt>
                <c:pt idx="288">
                  <c:v>3.9428867386718913E-2</c:v>
                </c:pt>
                <c:pt idx="289">
                  <c:v>3.9447276513334018E-2</c:v>
                </c:pt>
                <c:pt idx="290">
                  <c:v>3.9465685287142338E-2</c:v>
                </c:pt>
                <c:pt idx="291">
                  <c:v>3.9484093708150647E-2</c:v>
                </c:pt>
                <c:pt idx="292">
                  <c:v>3.9502501776365939E-2</c:v>
                </c:pt>
                <c:pt idx="293">
                  <c:v>3.9520909491794654E-2</c:v>
                </c:pt>
                <c:pt idx="294">
                  <c:v>3.9539316854443785E-2</c:v>
                </c:pt>
                <c:pt idx="295">
                  <c:v>3.9557723864319994E-2</c:v>
                </c:pt>
                <c:pt idx="296">
                  <c:v>3.9576130521429942E-2</c:v>
                </c:pt>
                <c:pt idx="297">
                  <c:v>3.9594536825780624E-2</c:v>
                </c:pt>
                <c:pt idx="298">
                  <c:v>3.9612942777378701E-2</c:v>
                </c:pt>
                <c:pt idx="299">
                  <c:v>3.9631348376230835E-2</c:v>
                </c:pt>
                <c:pt idx="300">
                  <c:v>3.9649753622343908E-2</c:v>
                </c:pt>
                <c:pt idx="301">
                  <c:v>3.9668158515724694E-2</c:v>
                </c:pt>
                <c:pt idx="302">
                  <c:v>3.9686563056379853E-2</c:v>
                </c:pt>
                <c:pt idx="303">
                  <c:v>3.9704967244316158E-2</c:v>
                </c:pt>
                <c:pt idx="304">
                  <c:v>3.9723371079540382E-2</c:v>
                </c:pt>
                <c:pt idx="305">
                  <c:v>3.9741774562059295E-2</c:v>
                </c:pt>
                <c:pt idx="306">
                  <c:v>3.9760177691879783E-2</c:v>
                </c:pt>
                <c:pt idx="307">
                  <c:v>3.9778580469008396E-2</c:v>
                </c:pt>
                <c:pt idx="308">
                  <c:v>3.9796982893452015E-2</c:v>
                </c:pt>
                <c:pt idx="309">
                  <c:v>3.9815384965217304E-2</c:v>
                </c:pt>
                <c:pt idx="310">
                  <c:v>3.9833786684311145E-2</c:v>
                </c:pt>
                <c:pt idx="311">
                  <c:v>3.98521880507402E-2</c:v>
                </c:pt>
                <c:pt idx="312">
                  <c:v>3.9870589064511353E-2</c:v>
                </c:pt>
                <c:pt idx="313">
                  <c:v>3.9888989725631152E-2</c:v>
                </c:pt>
                <c:pt idx="314">
                  <c:v>3.9907390034106593E-2</c:v>
                </c:pt>
                <c:pt idx="315">
                  <c:v>3.9925789989944227E-2</c:v>
                </c:pt>
                <c:pt idx="316">
                  <c:v>3.9944189593150936E-2</c:v>
                </c:pt>
                <c:pt idx="317">
                  <c:v>3.9962588843733493E-2</c:v>
                </c:pt>
                <c:pt idx="318">
                  <c:v>3.9980987741698559E-2</c:v>
                </c:pt>
                <c:pt idx="319">
                  <c:v>3.9999386287052907E-2</c:v>
                </c:pt>
                <c:pt idx="320">
                  <c:v>4.001778447980342E-2</c:v>
                </c:pt>
                <c:pt idx="321">
                  <c:v>4.0036182319956759E-2</c:v>
                </c:pt>
                <c:pt idx="322">
                  <c:v>4.0054579807519586E-2</c:v>
                </c:pt>
                <c:pt idx="323">
                  <c:v>4.0072976942498895E-2</c:v>
                </c:pt>
                <c:pt idx="324">
                  <c:v>4.0091373724901236E-2</c:v>
                </c:pt>
                <c:pt idx="325">
                  <c:v>4.0109770154733382E-2</c:v>
                </c:pt>
                <c:pt idx="326">
                  <c:v>4.0128166232002327E-2</c:v>
                </c:pt>
                <c:pt idx="327">
                  <c:v>4.014656195671451E-2</c:v>
                </c:pt>
                <c:pt idx="328">
                  <c:v>4.0164957328876816E-2</c:v>
                </c:pt>
                <c:pt idx="329">
                  <c:v>4.0183352348496015E-2</c:v>
                </c:pt>
                <c:pt idx="330">
                  <c:v>4.0201747015578881E-2</c:v>
                </c:pt>
                <c:pt idx="331">
                  <c:v>4.0220141330132186E-2</c:v>
                </c:pt>
                <c:pt idx="332">
                  <c:v>4.0238535292162592E-2</c:v>
                </c:pt>
                <c:pt idx="333">
                  <c:v>4.025692890167698E-2</c:v>
                </c:pt>
                <c:pt idx="334">
                  <c:v>4.0275322158682014E-2</c:v>
                </c:pt>
                <c:pt idx="335">
                  <c:v>4.0293715063184465E-2</c:v>
                </c:pt>
                <c:pt idx="336">
                  <c:v>4.0312107615191106E-2</c:v>
                </c:pt>
                <c:pt idx="337">
                  <c:v>4.0330499814708598E-2</c:v>
                </c:pt>
                <c:pt idx="338">
                  <c:v>4.0348891661743935E-2</c:v>
                </c:pt>
                <c:pt idx="339">
                  <c:v>4.0367283156303557E-2</c:v>
                </c:pt>
                <c:pt idx="340">
                  <c:v>4.0385674298394458E-2</c:v>
                </c:pt>
                <c:pt idx="341">
                  <c:v>4.0404065088023411E-2</c:v>
                </c:pt>
                <c:pt idx="342">
                  <c:v>4.0422455525196965E-2</c:v>
                </c:pt>
                <c:pt idx="343">
                  <c:v>4.0440845609922005E-2</c:v>
                </c:pt>
                <c:pt idx="344">
                  <c:v>4.0459235342205191E-2</c:v>
                </c:pt>
                <c:pt idx="345">
                  <c:v>4.0477624722053518E-2</c:v>
                </c:pt>
                <c:pt idx="346">
                  <c:v>4.0496013749473425E-2</c:v>
                </c:pt>
                <c:pt idx="347">
                  <c:v>4.0514402424471907E-2</c:v>
                </c:pt>
                <c:pt idx="348">
                  <c:v>4.0532790747055625E-2</c:v>
                </c:pt>
                <c:pt idx="349">
                  <c:v>4.055117871723124E-2</c:v>
                </c:pt>
                <c:pt idx="350">
                  <c:v>4.0569566335005747E-2</c:v>
                </c:pt>
                <c:pt idx="351">
                  <c:v>4.0587953600385696E-2</c:v>
                </c:pt>
                <c:pt idx="352">
                  <c:v>4.0606340513377859E-2</c:v>
                </c:pt>
                <c:pt idx="353">
                  <c:v>4.0624727073989009E-2</c:v>
                </c:pt>
                <c:pt idx="354">
                  <c:v>4.0643113282226029E-2</c:v>
                </c:pt>
                <c:pt idx="355">
                  <c:v>4.0661499138095469E-2</c:v>
                </c:pt>
                <c:pt idx="356">
                  <c:v>4.0679884641604214E-2</c:v>
                </c:pt>
                <c:pt idx="357">
                  <c:v>4.0698269792758923E-2</c:v>
                </c:pt>
                <c:pt idx="358">
                  <c:v>4.0716654591566481E-2</c:v>
                </c:pt>
                <c:pt idx="359">
                  <c:v>4.0735039038033549E-2</c:v>
                </c:pt>
                <c:pt idx="360">
                  <c:v>4.0753423132166899E-2</c:v>
                </c:pt>
                <c:pt idx="361">
                  <c:v>4.0771806873973193E-2</c:v>
                </c:pt>
                <c:pt idx="362">
                  <c:v>4.0790190263459314E-2</c:v>
                </c:pt>
                <c:pt idx="363">
                  <c:v>4.0808573300632034E-2</c:v>
                </c:pt>
                <c:pt idx="364">
                  <c:v>4.0826955985498015E-2</c:v>
                </c:pt>
                <c:pt idx="365">
                  <c:v>4.0845338318064028E-2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4.8421316169826027E-2</c:v>
                </c:pt>
                <c:pt idx="1">
                  <c:v>4.8466512816071387E-2</c:v>
                </c:pt>
                <c:pt idx="2">
                  <c:v>4.8511771821319848E-2</c:v>
                </c:pt>
                <c:pt idx="3">
                  <c:v>4.8557082184176578E-2</c:v>
                </c:pt>
                <c:pt idx="4">
                  <c:v>4.8602434325871482E-2</c:v>
                </c:pt>
                <c:pt idx="5">
                  <c:v>4.8647820049849508E-2</c:v>
                </c:pt>
                <c:pt idx="6">
                  <c:v>4.869323249035401E-2</c:v>
                </c:pt>
                <c:pt idx="7">
                  <c:v>4.8738666050863647E-2</c:v>
                </c:pt>
                <c:pt idx="8">
                  <c:v>4.8784116333319243E-2</c:v>
                </c:pt>
                <c:pt idx="9">
                  <c:v>4.8829580059143889E-2</c:v>
                </c:pt>
                <c:pt idx="10">
                  <c:v>4.8875054983115236E-2</c:v>
                </c:pt>
                <c:pt idx="11">
                  <c:v>4.8920539801193062E-2</c:v>
                </c:pt>
                <c:pt idx="12">
                  <c:v>4.8966034053438953E-2</c:v>
                </c:pt>
                <c:pt idx="13">
                  <c:v>4.9011538023186176E-2</c:v>
                </c:pt>
                <c:pt idx="14">
                  <c:v>4.9057052633628133E-2</c:v>
                </c:pt>
                <c:pt idx="15">
                  <c:v>4.9102579342992225E-2</c:v>
                </c:pt>
                <c:pt idx="16">
                  <c:v>4.9148120039453201E-2</c:v>
                </c:pt>
                <c:pt idx="17">
                  <c:v>4.9193676936915967E-2</c:v>
                </c:pt>
                <c:pt idx="18">
                  <c:v>4.9239252472763867E-2</c:v>
                </c:pt>
                <c:pt idx="19">
                  <c:v>4.9284849208623124E-2</c:v>
                </c:pt>
                <c:pt idx="20">
                  <c:v>4.9330469735140402E-2</c:v>
                </c:pt>
                <c:pt idx="21">
                  <c:v>4.9376116581707076E-2</c:v>
                </c:pt>
                <c:pt idx="22">
                  <c:v>4.9421792131992721E-2</c:v>
                </c:pt>
                <c:pt idx="23">
                  <c:v>4.9467498546071909E-2</c:v>
                </c:pt>
                <c:pt idx="24">
                  <c:v>4.9513237689843344E-2</c:v>
                </c:pt>
                <c:pt idx="25">
                  <c:v>4.9559011072350591E-2</c:v>
                </c:pt>
                <c:pt idx="26">
                  <c:v>4.9604819791518387E-2</c:v>
                </c:pt>
                <c:pt idx="27">
                  <c:v>4.9650664488721144E-2</c:v>
                </c:pt>
                <c:pt idx="28">
                  <c:v>4.9696545312499424E-2</c:v>
                </c:pt>
                <c:pt idx="29">
                  <c:v>4.9742461891638876E-2</c:v>
                </c:pt>
                <c:pt idx="30">
                  <c:v>4.9788413317723948E-2</c:v>
                </c:pt>
                <c:pt idx="31">
                  <c:v>4.9834398137178118E-2</c:v>
                </c:pt>
                <c:pt idx="32">
                  <c:v>4.98804143527029E-2</c:v>
                </c:pt>
                <c:pt idx="33">
                  <c:v>4.9926459433931585E-2</c:v>
                </c:pt>
                <c:pt idx="34">
                  <c:v>4.997253033702146E-2</c:v>
                </c:pt>
                <c:pt idx="35">
                  <c:v>5.0018623532820002E-2</c:v>
                </c:pt>
                <c:pt idx="36">
                  <c:v>5.0064735043158483E-2</c:v>
                </c:pt>
                <c:pt idx="37">
                  <c:v>5.0110860484750323E-2</c:v>
                </c:pt>
                <c:pt idx="38">
                  <c:v>5.015699512010207E-2</c:v>
                </c:pt>
                <c:pt idx="39">
                  <c:v>5.0203133914783669E-2</c:v>
                </c:pt>
                <c:pt idx="40">
                  <c:v>5.0249271600351003E-2</c:v>
                </c:pt>
                <c:pt idx="41">
                  <c:v>5.0295402742168427E-2</c:v>
                </c:pt>
                <c:pt idx="42">
                  <c:v>5.0341521811342646E-2</c:v>
                </c:pt>
                <c:pt idx="43">
                  <c:v>5.0387623259952399E-2</c:v>
                </c:pt>
                <c:pt idx="44">
                  <c:v>5.0433701598739507E-2</c:v>
                </c:pt>
                <c:pt idx="45">
                  <c:v>5.0479751476418325E-2</c:v>
                </c:pt>
                <c:pt idx="46">
                  <c:v>5.0525767759759928E-2</c:v>
                </c:pt>
                <c:pt idx="47">
                  <c:v>5.0571745613616916E-2</c:v>
                </c:pt>
                <c:pt idx="48">
                  <c:v>5.0617680580071371E-2</c:v>
                </c:pt>
                <c:pt idx="49">
                  <c:v>5.0663568655914502E-2</c:v>
                </c:pt>
                <c:pt idx="50">
                  <c:v>5.0709406367699827E-2</c:v>
                </c:pt>
                <c:pt idx="51">
                  <c:v>5.0755190843652175E-2</c:v>
                </c:pt>
                <c:pt idx="52">
                  <c:v>5.0800919881762378E-2</c:v>
                </c:pt>
                <c:pt idx="53">
                  <c:v>5.0846592013450612E-2</c:v>
                </c:pt>
                <c:pt idx="54">
                  <c:v>5.0892206562239618E-2</c:v>
                </c:pt>
                <c:pt idx="55">
                  <c:v>5.093776369694291E-2</c:v>
                </c:pt>
                <c:pt idx="56">
                  <c:v>5.0983264478938653E-2</c:v>
                </c:pt>
                <c:pt idx="57">
                  <c:v>5.1028710903170731E-2</c:v>
                </c:pt>
                <c:pt idx="58">
                  <c:v>5.1074105932589167E-2</c:v>
                </c:pt>
                <c:pt idx="59">
                  <c:v>5.1119453525815546E-2</c:v>
                </c:pt>
                <c:pt idx="60">
                  <c:v>5.1164758657891933E-2</c:v>
                </c:pt>
                <c:pt idx="61">
                  <c:v>5.121002733404429E-2</c:v>
                </c:pt>
                <c:pt idx="62">
                  <c:v>5.1255266596462942E-2</c:v>
                </c:pt>
                <c:pt idx="63">
                  <c:v>5.1300484524171228E-2</c:v>
                </c:pt>
                <c:pt idx="64">
                  <c:v>5.1345690226119997E-2</c:v>
                </c:pt>
                <c:pt idx="65">
                  <c:v>5.1390893827708027E-2</c:v>
                </c:pt>
                <c:pt idx="66">
                  <c:v>5.1436106450986382E-2</c:v>
                </c:pt>
                <c:pt idx="67">
                  <c:v>5.1481340188858547E-2</c:v>
                </c:pt>
                <c:pt idx="68">
                  <c:v>5.152660807363571E-2</c:v>
                </c:pt>
                <c:pt idx="69">
                  <c:v>5.1571924040348757E-2</c:v>
                </c:pt>
                <c:pt idx="70">
                  <c:v>5.1617302885254533E-2</c:v>
                </c:pt>
                <c:pt idx="71">
                  <c:v>5.1662760220003129E-2</c:v>
                </c:pt>
                <c:pt idx="72">
                  <c:v>5.1708312421955366E-2</c:v>
                </c:pt>
                <c:pt idx="73">
                  <c:v>5.1753976581155985E-2</c:v>
                </c:pt>
                <c:pt idx="74">
                  <c:v>5.1799770444476208E-2</c:v>
                </c:pt>
                <c:pt idx="75">
                  <c:v>5.1845712357441821E-2</c:v>
                </c:pt>
                <c:pt idx="76">
                  <c:v>5.1891821204258365E-2</c:v>
                </c:pt>
                <c:pt idx="77">
                  <c:v>5.1938116346533336E-2</c:v>
                </c:pt>
                <c:pt idx="78">
                  <c:v>5.1984617561178698E-2</c:v>
                </c:pt>
                <c:pt idx="79">
                  <c:v>5.2031344977953517E-2</c:v>
                </c:pt>
                <c:pt idx="80">
                  <c:v>5.20783190170779E-2</c:v>
                </c:pt>
                <c:pt idx="81">
                  <c:v>5.212556032731671E-2</c:v>
                </c:pt>
                <c:pt idx="82">
                  <c:v>5.217308972489329E-2</c:v>
                </c:pt>
                <c:pt idx="83">
                  <c:v>5.2220928133552585E-2</c:v>
                </c:pt>
                <c:pt idx="84">
                  <c:v>5.2269096526048622E-2</c:v>
                </c:pt>
                <c:pt idx="85">
                  <c:v>5.2317615867284603E-2</c:v>
                </c:pt>
                <c:pt idx="86">
                  <c:v>5.2366507059285805E-2</c:v>
                </c:pt>
                <c:pt idx="87">
                  <c:v>5.2415790888136332E-2</c:v>
                </c:pt>
                <c:pt idx="88">
                  <c:v>5.2465487972961342E-2</c:v>
                </c:pt>
                <c:pt idx="89">
                  <c:v>5.2515618716987851E-2</c:v>
                </c:pt>
                <c:pt idx="90">
                  <c:v>5.2566203260669811E-2</c:v>
                </c:pt>
                <c:pt idx="91">
                  <c:v>5.261726143681774E-2</c:v>
                </c:pt>
                <c:pt idx="92">
                  <c:v>5.266881272763041E-2</c:v>
                </c:pt>
                <c:pt idx="93">
                  <c:v>5.2720876223486757E-2</c:v>
                </c:pt>
                <c:pt idx="94">
                  <c:v>5.2773470583320839E-2</c:v>
                </c:pt>
                <c:pt idx="95">
                  <c:v>5.2826613996371168E-2</c:v>
                </c:pt>
                <c:pt idx="96">
                  <c:v>5.2880324145069858E-2</c:v>
                </c:pt>
                <c:pt idx="97">
                  <c:v>5.2934618168816013E-2</c:v>
                </c:pt>
                <c:pt idx="98">
                  <c:v>5.298951262836249E-2</c:v>
                </c:pt>
                <c:pt idx="99">
                  <c:v>5.3045023470535899E-2</c:v>
                </c:pt>
                <c:pt idx="100">
                  <c:v>5.3101165993005947E-2</c:v>
                </c:pt>
                <c:pt idx="101">
                  <c:v>5.3157954808823835E-2</c:v>
                </c:pt>
                <c:pt idx="102">
                  <c:v>5.3215403810457633E-2</c:v>
                </c:pt>
                <c:pt idx="103">
                  <c:v>5.3273526133068093E-2</c:v>
                </c:pt>
                <c:pt idx="104">
                  <c:v>5.333233411678949E-2</c:v>
                </c:pt>
                <c:pt idx="105">
                  <c:v>5.339183926780644E-2</c:v>
                </c:pt>
                <c:pt idx="106">
                  <c:v>5.3452052218050279E-2</c:v>
                </c:pt>
                <c:pt idx="107">
                  <c:v>5.351298268337553E-2</c:v>
                </c:pt>
                <c:pt idx="108">
                  <c:v>5.3574639420118517E-2</c:v>
                </c:pt>
                <c:pt idx="109">
                  <c:v>5.3637030179986431E-2</c:v>
                </c:pt>
                <c:pt idx="110">
                  <c:v>5.3700161663273627E-2</c:v>
                </c:pt>
                <c:pt idx="111">
                  <c:v>5.3764039470454411E-2</c:v>
                </c:pt>
                <c:pt idx="112">
                  <c:v>5.3828668052255321E-2</c:v>
                </c:pt>
                <c:pt idx="113">
                  <c:v>5.3894050658365097E-2</c:v>
                </c:pt>
                <c:pt idx="114">
                  <c:v>5.3960189284996969E-2</c:v>
                </c:pt>
                <c:pt idx="115">
                  <c:v>5.4027084621573039E-2</c:v>
                </c:pt>
                <c:pt idx="116">
                  <c:v>5.4094735996856061E-2</c:v>
                </c:pt>
                <c:pt idx="117">
                  <c:v>5.4163141324906232E-2</c:v>
                </c:pt>
                <c:pt idx="118">
                  <c:v>5.4232297051291747E-2</c:v>
                </c:pt>
                <c:pt idx="119">
                  <c:v>5.4302198100028731E-2</c:v>
                </c:pt>
                <c:pt idx="120">
                  <c:v>1.0115831382539886E-2</c:v>
                </c:pt>
                <c:pt idx="121">
                  <c:v>1.0204309496594359E-2</c:v>
                </c:pt>
                <c:pt idx="122">
                  <c:v>1.0292934120071226E-2</c:v>
                </c:pt>
                <c:pt idx="123">
                  <c:v>1.0381705936010415E-2</c:v>
                </c:pt>
                <c:pt idx="124">
                  <c:v>1.0470625212692064E-2</c:v>
                </c:pt>
                <c:pt idx="125">
                  <c:v>1.0559691785036253E-2</c:v>
                </c:pt>
                <c:pt idx="126">
                  <c:v>1.0648905036752143E-2</c:v>
                </c:pt>
                <c:pt idx="127">
                  <c:v>1.0738263883414187E-2</c:v>
                </c:pt>
                <c:pt idx="128">
                  <c:v>1.0827766756647402E-2</c:v>
                </c:pt>
                <c:pt idx="129">
                  <c:v>1.0917411589607443E-2</c:v>
                </c:pt>
                <c:pt idx="130">
                  <c:v>1.1007195803941295E-2</c:v>
                </c:pt>
                <c:pt idx="131">
                  <c:v>1.1097116298414525E-2</c:v>
                </c:pt>
                <c:pt idx="132">
                  <c:v>1.1187169439387142E-2</c:v>
                </c:pt>
                <c:pt idx="133">
                  <c:v>1.1277351053315553E-2</c:v>
                </c:pt>
                <c:pt idx="134">
                  <c:v>1.1367656421450618E-2</c:v>
                </c:pt>
                <c:pt idx="135">
                  <c:v>1.1458080276892291E-2</c:v>
                </c:pt>
                <c:pt idx="136">
                  <c:v>1.1548616804149881E-2</c:v>
                </c:pt>
                <c:pt idx="137">
                  <c:v>1.1639259641343212E-2</c:v>
                </c:pt>
                <c:pt idx="138">
                  <c:v>1.1730001885164343E-2</c:v>
                </c:pt>
                <c:pt idx="139">
                  <c:v>1.1820836098701729E-2</c:v>
                </c:pt>
                <c:pt idx="140">
                  <c:v>1.1911754322209566E-2</c:v>
                </c:pt>
                <c:pt idx="141">
                  <c:v>1.2002748086883777E-2</c:v>
                </c:pt>
                <c:pt idx="142">
                  <c:v>1.2093808431683744E-2</c:v>
                </c:pt>
                <c:pt idx="143">
                  <c:v>1.2184925923214992E-2</c:v>
                </c:pt>
                <c:pt idx="144">
                  <c:v>1.2276090678663245E-2</c:v>
                </c:pt>
                <c:pt idx="145">
                  <c:v>1.2367292391744557E-2</c:v>
                </c:pt>
                <c:pt idx="146">
                  <c:v>1.2458520361609868E-2</c:v>
                </c:pt>
                <c:pt idx="147">
                  <c:v>1.25497635246159E-2</c:v>
                </c:pt>
                <c:pt idx="148">
                  <c:v>1.2641010488847327E-2</c:v>
                </c:pt>
                <c:pt idx="149">
                  <c:v>1.2732249571249054E-2</c:v>
                </c:pt>
                <c:pt idx="150">
                  <c:v>1.2823468837201061E-2</c:v>
                </c:pt>
                <c:pt idx="151">
                  <c:v>1.2914656142343352E-2</c:v>
                </c:pt>
                <c:pt idx="152">
                  <c:v>1.3005799176434303E-2</c:v>
                </c:pt>
                <c:pt idx="153">
                  <c:v>1.309688550900278E-2</c:v>
                </c:pt>
                <c:pt idx="154">
                  <c:v>1.3187902636533201E-2</c:v>
                </c:pt>
                <c:pt idx="155">
                  <c:v>1.3278838030903389E-2</c:v>
                </c:pt>
                <c:pt idx="156">
                  <c:v>1.3369679188777649E-2</c:v>
                </c:pt>
                <c:pt idx="157">
                  <c:v>1.346041368164236E-2</c:v>
                </c:pt>
                <c:pt idx="158">
                  <c:v>1.3551029206159155E-2</c:v>
                </c:pt>
                <c:pt idx="159">
                  <c:v>1.3641513634500727E-2</c:v>
                </c:pt>
                <c:pt idx="160">
                  <c:v>1.3731855064327243E-2</c:v>
                </c:pt>
                <c:pt idx="161">
                  <c:v>1.3822041868057451E-2</c:v>
                </c:pt>
                <c:pt idx="162">
                  <c:v>1.3912062741087671E-2</c:v>
                </c:pt>
                <c:pt idx="163">
                  <c:v>1.4001906748613756E-2</c:v>
                </c:pt>
                <c:pt idx="164">
                  <c:v>1.409156337071666E-2</c:v>
                </c:pt>
                <c:pt idx="165">
                  <c:v>1.4181022545380678E-2</c:v>
                </c:pt>
                <c:pt idx="166">
                  <c:v>1.4270274709125039E-2</c:v>
                </c:pt>
                <c:pt idx="167">
                  <c:v>1.4359310834944242E-2</c:v>
                </c:pt>
                <c:pt idx="168">
                  <c:v>1.4448122467270204E-2</c:v>
                </c:pt>
                <c:pt idx="169">
                  <c:v>1.4536701753689792E-2</c:v>
                </c:pt>
                <c:pt idx="170">
                  <c:v>1.4625041473174522E-2</c:v>
                </c:pt>
                <c:pt idx="171">
                  <c:v>1.4713135060604931E-2</c:v>
                </c:pt>
                <c:pt idx="172">
                  <c:v>1.4800976627399959E-2</c:v>
                </c:pt>
                <c:pt idx="173">
                  <c:v>1.4888560978091925E-2</c:v>
                </c:pt>
                <c:pt idx="174">
                  <c:v>1.4975883622719014E-2</c:v>
                </c:pt>
                <c:pt idx="175">
                  <c:v>1.5062940784940783E-2</c:v>
                </c:pt>
                <c:pt idx="176">
                  <c:v>1.5149729405816218E-2</c:v>
                </c:pt>
                <c:pt idx="177">
                  <c:v>1.5236247143219223E-2</c:v>
                </c:pt>
                <c:pt idx="178">
                  <c:v>1.5322492366901931E-2</c:v>
                </c:pt>
                <c:pt idx="179">
                  <c:v>1.5408464149251885E-2</c:v>
                </c:pt>
                <c:pt idx="180">
                  <c:v>1.54941622518251E-2</c:v>
                </c:pt>
                <c:pt idx="181">
                  <c:v>1.5579587107771173E-2</c:v>
                </c:pt>
                <c:pt idx="182">
                  <c:v>1.5664739800301572E-2</c:v>
                </c:pt>
                <c:pt idx="183">
                  <c:v>1.5749622037384003E-2</c:v>
                </c:pt>
                <c:pt idx="184">
                  <c:v>1.5834236122877741E-2</c:v>
                </c:pt>
                <c:pt idx="185">
                  <c:v>1.5918584924353288E-2</c:v>
                </c:pt>
                <c:pt idx="186">
                  <c:v>1.6002671837867091E-2</c:v>
                </c:pt>
                <c:pt idx="187">
                  <c:v>1.6086500749986261E-2</c:v>
                </c:pt>
                <c:pt idx="188">
                  <c:v>1.617007599737998E-2</c:v>
                </c:pt>
                <c:pt idx="189">
                  <c:v>1.6253402324312761E-2</c:v>
                </c:pt>
                <c:pt idx="190">
                  <c:v>1.6336484838390199E-2</c:v>
                </c:pt>
                <c:pt idx="191">
                  <c:v>1.6419328964920044E-2</c:v>
                </c:pt>
                <c:pt idx="192">
                  <c:v>1.6501940400259433E-2</c:v>
                </c:pt>
                <c:pt idx="193">
                  <c:v>1.6584325064524598E-2</c:v>
                </c:pt>
                <c:pt idx="194">
                  <c:v>1.6666489054040168E-2</c:v>
                </c:pt>
                <c:pt idx="195">
                  <c:v>1.6748438593902806E-2</c:v>
                </c:pt>
                <c:pt idx="196">
                  <c:v>1.6830179991027844E-2</c:v>
                </c:pt>
                <c:pt idx="197">
                  <c:v>1.6911719588037742E-2</c:v>
                </c:pt>
                <c:pt idx="198">
                  <c:v>1.6993063718337774E-2</c:v>
                </c:pt>
                <c:pt idx="199">
                  <c:v>1.7074218662707929E-2</c:v>
                </c:pt>
                <c:pt idx="200">
                  <c:v>1.7155190607719931E-2</c:v>
                </c:pt>
                <c:pt idx="201">
                  <c:v>1.7235985606265436E-2</c:v>
                </c:pt>
                <c:pt idx="202">
                  <c:v>1.7316609540455753E-2</c:v>
                </c:pt>
                <c:pt idx="203">
                  <c:v>1.7397068087125628E-2</c:v>
                </c:pt>
                <c:pt idx="204">
                  <c:v>1.7477366686142738E-2</c:v>
                </c:pt>
                <c:pt idx="205">
                  <c:v>1.7557510511692933E-2</c:v>
                </c:pt>
                <c:pt idx="206">
                  <c:v>1.7637504446677412E-2</c:v>
                </c:pt>
                <c:pt idx="207">
                  <c:v>1.7717353060322967E-2</c:v>
                </c:pt>
                <c:pt idx="208">
                  <c:v>1.7797060589071351E-2</c:v>
                </c:pt>
                <c:pt idx="209">
                  <c:v>1.7876630920777549E-2</c:v>
                </c:pt>
                <c:pt idx="210">
                  <c:v>1.7956067582210886E-2</c:v>
                </c:pt>
                <c:pt idx="211">
                  <c:v>1.8035373729817877E-2</c:v>
                </c:pt>
                <c:pt idx="212">
                  <c:v>1.8114552143670422E-2</c:v>
                </c:pt>
                <c:pt idx="213">
                  <c:v>1.8193605224490345E-2</c:v>
                </c:pt>
                <c:pt idx="214">
                  <c:v>1.827253499360899E-2</c:v>
                </c:pt>
                <c:pt idx="215">
                  <c:v>1.8351343095690951E-2</c:v>
                </c:pt>
                <c:pt idx="216">
                  <c:v>1.8430030804023709E-2</c:v>
                </c:pt>
                <c:pt idx="217">
                  <c:v>1.8508599028149778E-2</c:v>
                </c:pt>
                <c:pt idx="218">
                  <c:v>1.8587048323596318E-2</c:v>
                </c:pt>
                <c:pt idx="219">
                  <c:v>1.8665378903438234E-2</c:v>
                </c:pt>
                <c:pt idx="220">
                  <c:v>1.8743590651415447E-2</c:v>
                </c:pt>
                <c:pt idx="221">
                  <c:v>1.8821683136313497E-2</c:v>
                </c:pt>
                <c:pt idx="222">
                  <c:v>1.8899655627308064E-2</c:v>
                </c:pt>
                <c:pt idx="223">
                  <c:v>1.8977507109970454E-2</c:v>
                </c:pt>
                <c:pt idx="224">
                  <c:v>1.9055236302630264E-2</c:v>
                </c:pt>
                <c:pt idx="225">
                  <c:v>1.9132841672795324E-2</c:v>
                </c:pt>
                <c:pt idx="226">
                  <c:v>1.9210321453336596E-2</c:v>
                </c:pt>
                <c:pt idx="227">
                  <c:v>1.9287673658156642E-2</c:v>
                </c:pt>
                <c:pt idx="228">
                  <c:v>1.9364896097075875E-2</c:v>
                </c:pt>
                <c:pt idx="229">
                  <c:v>1.9441986389688852E-2</c:v>
                </c:pt>
                <c:pt idx="230">
                  <c:v>1.9518941977965099E-2</c:v>
                </c:pt>
                <c:pt idx="231">
                  <c:v>1.9595760137393746E-2</c:v>
                </c:pt>
                <c:pt idx="232">
                  <c:v>1.9672437986499286E-2</c:v>
                </c:pt>
                <c:pt idx="233">
                  <c:v>1.9748972494585751E-2</c:v>
                </c:pt>
                <c:pt idx="234">
                  <c:v>1.9825360487599364E-2</c:v>
                </c:pt>
                <c:pt idx="235">
                  <c:v>1.9901598652033666E-2</c:v>
                </c:pt>
                <c:pt idx="236">
                  <c:v>1.9977683536836949E-2</c:v>
                </c:pt>
                <c:pt idx="237">
                  <c:v>2.0053611553317932E-2</c:v>
                </c:pt>
                <c:pt idx="238">
                  <c:v>2.0129378973083135E-2</c:v>
                </c:pt>
                <c:pt idx="239">
                  <c:v>2.0204981924076111E-2</c:v>
                </c:pt>
                <c:pt idx="240">
                  <c:v>2.0280416384825466E-2</c:v>
                </c:pt>
                <c:pt idx="241">
                  <c:v>2.035567817704436E-2</c:v>
                </c:pt>
                <c:pt idx="242">
                  <c:v>2.043076295675892E-2</c:v>
                </c:pt>
                <c:pt idx="243">
                  <c:v>2.0505666204175356E-2</c:v>
                </c:pt>
                <c:pt idx="244">
                  <c:v>2.0580383212526508E-2</c:v>
                </c:pt>
                <c:pt idx="245">
                  <c:v>2.0654909076166281E-2</c:v>
                </c:pt>
                <c:pt idx="246">
                  <c:v>2.0729238678205673E-2</c:v>
                </c:pt>
                <c:pt idx="247">
                  <c:v>2.0803366678005586E-2</c:v>
                </c:pt>
                <c:pt idx="248">
                  <c:v>2.0877287498859785E-2</c:v>
                </c:pt>
                <c:pt idx="249">
                  <c:v>2.0950995316215432E-2</c:v>
                </c:pt>
                <c:pt idx="250">
                  <c:v>2.1024484046788628E-2</c:v>
                </c:pt>
                <c:pt idx="251">
                  <c:v>2.1097747338937756E-2</c:v>
                </c:pt>
                <c:pt idx="252">
                  <c:v>2.1170778564658696E-2</c:v>
                </c:pt>
                <c:pt idx="253">
                  <c:v>2.1243570813562273E-2</c:v>
                </c:pt>
                <c:pt idx="254">
                  <c:v>2.1316116889185721E-2</c:v>
                </c:pt>
                <c:pt idx="255">
                  <c:v>2.1388409307977568E-2</c:v>
                </c:pt>
                <c:pt idx="256">
                  <c:v>2.1460440301276841E-2</c:v>
                </c:pt>
                <c:pt idx="257">
                  <c:v>2.153220182058618E-2</c:v>
                </c:pt>
                <c:pt idx="258">
                  <c:v>2.1603685546411261E-2</c:v>
                </c:pt>
                <c:pt idx="259">
                  <c:v>2.167488290090824E-2</c:v>
                </c:pt>
                <c:pt idx="260">
                  <c:v>2.1745785064546764E-2</c:v>
                </c:pt>
                <c:pt idx="261">
                  <c:v>2.1816382996957019E-2</c:v>
                </c:pt>
                <c:pt idx="262">
                  <c:v>2.1886667462088453E-2</c:v>
                </c:pt>
                <c:pt idx="263">
                  <c:v>2.1956629057762793E-2</c:v>
                </c:pt>
                <c:pt idx="264">
                  <c:v>2.2026258249657652E-2</c:v>
                </c:pt>
                <c:pt idx="265">
                  <c:v>2.2095545409707696E-2</c:v>
                </c:pt>
                <c:pt idx="266">
                  <c:v>2.2164480858860261E-2</c:v>
                </c:pt>
                <c:pt idx="267">
                  <c:v>2.2233054914070984E-2</c:v>
                </c:pt>
                <c:pt idx="268">
                  <c:v>2.2301257939373091E-2</c:v>
                </c:pt>
                <c:pt idx="269">
                  <c:v>2.2369080400802769E-2</c:v>
                </c:pt>
                <c:pt idx="270">
                  <c:v>2.2436512924911431E-2</c:v>
                </c:pt>
                <c:pt idx="271">
                  <c:v>2.2503546360546901E-2</c:v>
                </c:pt>
                <c:pt idx="272">
                  <c:v>2.257017184353664E-2</c:v>
                </c:pt>
                <c:pt idx="273">
                  <c:v>2.2636380863861404E-2</c:v>
                </c:pt>
                <c:pt idx="274">
                  <c:v>2.2702165334864643E-2</c:v>
                </c:pt>
                <c:pt idx="275">
                  <c:v>2.2767517664003541E-2</c:v>
                </c:pt>
                <c:pt idx="276">
                  <c:v>2.2832430824612688E-2</c:v>
                </c:pt>
                <c:pt idx="277">
                  <c:v>2.2896898428119646E-2</c:v>
                </c:pt>
                <c:pt idx="278">
                  <c:v>2.2960914796125859E-2</c:v>
                </c:pt>
                <c:pt idx="279">
                  <c:v>2.3024475031744641E-2</c:v>
                </c:pt>
                <c:pt idx="280">
                  <c:v>2.3087575089572699E-2</c:v>
                </c:pt>
                <c:pt idx="281">
                  <c:v>2.3150211843660857E-2</c:v>
                </c:pt>
                <c:pt idx="282">
                  <c:v>2.3212383152846048E-2</c:v>
                </c:pt>
                <c:pt idx="283">
                  <c:v>2.3274087922808336E-2</c:v>
                </c:pt>
                <c:pt idx="284">
                  <c:v>2.3335326164224474E-2</c:v>
                </c:pt>
                <c:pt idx="285">
                  <c:v>2.3396099046404554E-2</c:v>
                </c:pt>
                <c:pt idx="286">
                  <c:v>2.345640894581786E-2</c:v>
                </c:pt>
                <c:pt idx="287">
                  <c:v>2.3516259488941569E-2</c:v>
                </c:pt>
                <c:pt idx="288">
                  <c:v>2.3575655588897845E-2</c:v>
                </c:pt>
                <c:pt idx="289">
                  <c:v>2.3634603475383657E-2</c:v>
                </c:pt>
                <c:pt idx="290">
                  <c:v>2.3693110717441089E-2</c:v>
                </c:pt>
                <c:pt idx="291">
                  <c:v>2.3751186238665411E-2</c:v>
                </c:pt>
                <c:pt idx="292">
                  <c:v>2.3808840324501337E-2</c:v>
                </c:pt>
                <c:pt idx="293">
                  <c:v>2.3866084621336409E-2</c:v>
                </c:pt>
                <c:pt idx="294">
                  <c:v>2.3922932127162261E-2</c:v>
                </c:pt>
                <c:pt idx="295">
                  <c:v>2.3979397173639509E-2</c:v>
                </c:pt>
                <c:pt idx="296">
                  <c:v>2.4035495399470329E-2</c:v>
                </c:pt>
                <c:pt idx="297">
                  <c:v>2.4091243715052696E-2</c:v>
                </c:pt>
                <c:pt idx="298">
                  <c:v>2.4146660258461659E-2</c:v>
                </c:pt>
                <c:pt idx="299">
                  <c:v>2.420176434287594E-2</c:v>
                </c:pt>
                <c:pt idx="300">
                  <c:v>2.4256576395640172E-2</c:v>
                </c:pt>
                <c:pt idx="301">
                  <c:v>2.4311117889225645E-2</c:v>
                </c:pt>
                <c:pt idx="302">
                  <c:v>2.436541126442299E-2</c:v>
                </c:pt>
                <c:pt idx="303">
                  <c:v>2.4419479846169333E-2</c:v>
                </c:pt>
                <c:pt idx="304">
                  <c:v>2.4473347752479214E-2</c:v>
                </c:pt>
                <c:pt idx="305">
                  <c:v>2.4527039797011117E-2</c:v>
                </c:pt>
                <c:pt idx="306">
                  <c:v>2.4580581385861749E-2</c:v>
                </c:pt>
                <c:pt idx="307">
                  <c:v>2.4633998409234751E-2</c:v>
                </c:pt>
                <c:pt idx="308">
                  <c:v>2.4687317128680473E-2</c:v>
                </c:pt>
                <c:pt idx="309">
                  <c:v>2.4740564060648576E-2</c:v>
                </c:pt>
                <c:pt idx="310">
                  <c:v>2.4793765857133242E-2</c:v>
                </c:pt>
                <c:pt idx="311">
                  <c:v>2.4846949184223442E-2</c:v>
                </c:pt>
                <c:pt idx="312">
                  <c:v>2.4900140599396017E-2</c:v>
                </c:pt>
                <c:pt idx="313">
                  <c:v>2.4953366428408005E-2</c:v>
                </c:pt>
                <c:pt idx="314">
                  <c:v>2.5006652642655832E-2</c:v>
                </c:pt>
                <c:pt idx="315">
                  <c:v>2.5060024737872846E-2</c:v>
                </c:pt>
                <c:pt idx="316">
                  <c:v>2.5113507615033139E-2</c:v>
                </c:pt>
                <c:pt idx="317">
                  <c:v>2.5167125464318419E-2</c:v>
                </c:pt>
                <c:pt idx="318">
                  <c:v>2.5220901652986016E-2</c:v>
                </c:pt>
                <c:pt idx="319">
                  <c:v>2.5274858617950331E-2</c:v>
                </c:pt>
                <c:pt idx="320">
                  <c:v>2.5329017763856709E-2</c:v>
                </c:pt>
                <c:pt idx="321">
                  <c:v>2.5383399367387045E-2</c:v>
                </c:pt>
                <c:pt idx="322">
                  <c:v>2.5438022488489569E-2</c:v>
                </c:pt>
                <c:pt idx="323">
                  <c:v>2.5492904889172736E-2</c:v>
                </c:pt>
                <c:pt idx="324">
                  <c:v>2.5548062960444737E-2</c:v>
                </c:pt>
                <c:pt idx="325">
                  <c:v>2.5603511657916512E-2</c:v>
                </c:pt>
                <c:pt idx="326">
                  <c:v>2.5659264446517688E-2</c:v>
                </c:pt>
                <c:pt idx="327">
                  <c:v>2.5715333254703043E-2</c:v>
                </c:pt>
                <c:pt idx="328">
                  <c:v>2.5771728438450773E-2</c:v>
                </c:pt>
                <c:pt idx="329">
                  <c:v>2.5828458755276184E-2</c:v>
                </c:pt>
                <c:pt idx="330">
                  <c:v>2.5885531348403257E-2</c:v>
                </c:pt>
                <c:pt idx="331">
                  <c:v>2.5942951741155601E-2</c:v>
                </c:pt>
                <c:pt idx="332">
                  <c:v>2.600072384154568E-2</c:v>
                </c:pt>
                <c:pt idx="333">
                  <c:v>2.6058849956959371E-2</c:v>
                </c:pt>
                <c:pt idx="334">
                  <c:v>2.6117330818751908E-2</c:v>
                </c:pt>
                <c:pt idx="335">
                  <c:v>2.6176165616492116E-2</c:v>
                </c:pt>
                <c:pt idx="336">
                  <c:v>2.6235352041514792E-2</c:v>
                </c:pt>
                <c:pt idx="337">
                  <c:v>2.6294886339367461E-2</c:v>
                </c:pt>
                <c:pt idx="338">
                  <c:v>2.6354763370668072E-2</c:v>
                </c:pt>
                <c:pt idx="339">
                  <c:v>2.6414976679824221E-2</c:v>
                </c:pt>
                <c:pt idx="340">
                  <c:v>2.6475518571004646E-2</c:v>
                </c:pt>
                <c:pt idx="341">
                  <c:v>2.6536380190698688E-2</c:v>
                </c:pt>
                <c:pt idx="342">
                  <c:v>2.6597551616150239E-2</c:v>
                </c:pt>
                <c:pt idx="343">
                  <c:v>2.6659021948911434E-2</c:v>
                </c:pt>
                <c:pt idx="344">
                  <c:v>2.6720779412724761E-2</c:v>
                </c:pt>
                <c:pt idx="345">
                  <c:v>2.6782811454915116E-2</c:v>
                </c:pt>
                <c:pt idx="346">
                  <c:v>2.6845104850451915E-2</c:v>
                </c:pt>
                <c:pt idx="347">
                  <c:v>2.6907645807828388E-2</c:v>
                </c:pt>
                <c:pt idx="348">
                  <c:v>2.6970420075899761E-2</c:v>
                </c:pt>
                <c:pt idx="349">
                  <c:v>2.7033413050823921E-2</c:v>
                </c:pt>
                <c:pt idx="350">
                  <c:v>2.7096609882258232E-2</c:v>
                </c:pt>
                <c:pt idx="351">
                  <c:v>2.7159995577983358E-2</c:v>
                </c:pt>
                <c:pt idx="352">
                  <c:v>2.722355510614952E-2</c:v>
                </c:pt>
                <c:pt idx="353">
                  <c:v>2.7287273494372058E-2</c:v>
                </c:pt>
                <c:pt idx="354">
                  <c:v>2.7351135924942056E-2</c:v>
                </c:pt>
                <c:pt idx="355">
                  <c:v>2.7415127825461735E-2</c:v>
                </c:pt>
                <c:pt idx="356">
                  <c:v>2.7479234954264978E-2</c:v>
                </c:pt>
                <c:pt idx="357">
                  <c:v>2.7543443480039401E-2</c:v>
                </c:pt>
                <c:pt idx="358">
                  <c:v>2.7607740055126371E-2</c:v>
                </c:pt>
                <c:pt idx="359">
                  <c:v>2.7672111882040371E-2</c:v>
                </c:pt>
                <c:pt idx="360">
                  <c:v>2.7736546772817179E-2</c:v>
                </c:pt>
                <c:pt idx="361">
                  <c:v>2.7801033200871191E-2</c:v>
                </c:pt>
                <c:pt idx="362">
                  <c:v>2.7865560345115385E-2</c:v>
                </c:pt>
                <c:pt idx="363">
                  <c:v>2.7930118126172118E-2</c:v>
                </c:pt>
                <c:pt idx="364">
                  <c:v>2.7994697234577665E-2</c:v>
                </c:pt>
                <c:pt idx="365">
                  <c:v>2.8059289150959264E-2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7.7125765288989989E-3</c:v>
                </c:pt>
                <c:pt idx="1">
                  <c:v>7.5849755321650506E-3</c:v>
                </c:pt>
                <c:pt idx="2">
                  <c:v>7.4540779710793436E-3</c:v>
                </c:pt>
                <c:pt idx="3">
                  <c:v>7.3201890002401312E-3</c:v>
                </c:pt>
                <c:pt idx="4">
                  <c:v>7.183607721681055E-3</c:v>
                </c:pt>
                <c:pt idx="5">
                  <c:v>7.0446255230403026E-3</c:v>
                </c:pt>
                <c:pt idx="6">
                  <c:v>6.9035245961862925E-3</c:v>
                </c:pt>
                <c:pt idx="7">
                  <c:v>6.760576644698809E-3</c:v>
                </c:pt>
                <c:pt idx="8">
                  <c:v>6.6152410117490843E-3</c:v>
                </c:pt>
                <c:pt idx="9">
                  <c:v>6.4724773726299416E-3</c:v>
                </c:pt>
                <c:pt idx="10">
                  <c:v>6.3379842207460565E-3</c:v>
                </c:pt>
                <c:pt idx="11">
                  <c:v>6.2118857456638261E-3</c:v>
                </c:pt>
                <c:pt idx="12">
                  <c:v>6.0942686813391708E-3</c:v>
                </c:pt>
                <c:pt idx="13">
                  <c:v>5.9851856656124355E-3</c:v>
                </c:pt>
                <c:pt idx="14">
                  <c:v>5.8846586929520057E-3</c:v>
                </c:pt>
                <c:pt idx="15">
                  <c:v>5.786966990124493E-3</c:v>
                </c:pt>
                <c:pt idx="16">
                  <c:v>5.6892328103966949E-3</c:v>
                </c:pt>
                <c:pt idx="17">
                  <c:v>5.5916814439487678E-3</c:v>
                </c:pt>
                <c:pt idx="18">
                  <c:v>5.494518176319599E-3</c:v>
                </c:pt>
                <c:pt idx="19">
                  <c:v>5.3979588914032832E-3</c:v>
                </c:pt>
                <c:pt idx="20">
                  <c:v>5.3022118265228062E-3</c:v>
                </c:pt>
                <c:pt idx="21">
                  <c:v>5.2074934602210866E-3</c:v>
                </c:pt>
                <c:pt idx="22">
                  <c:v>5.1131835172853963E-3</c:v>
                </c:pt>
                <c:pt idx="23">
                  <c:v>5.0170757155271282E-3</c:v>
                </c:pt>
                <c:pt idx="24">
                  <c:v>4.914888460152019E-3</c:v>
                </c:pt>
                <c:pt idx="25">
                  <c:v>4.8070588165884031E-3</c:v>
                </c:pt>
                <c:pt idx="26">
                  <c:v>4.6939980815250389E-3</c:v>
                </c:pt>
                <c:pt idx="27">
                  <c:v>4.5760905012049088E-3</c:v>
                </c:pt>
                <c:pt idx="28">
                  <c:v>4.453692434813996E-3</c:v>
                </c:pt>
                <c:pt idx="29">
                  <c:v>4.3299485329409276E-3</c:v>
                </c:pt>
                <c:pt idx="30">
                  <c:v>4.209915676136558E-3</c:v>
                </c:pt>
                <c:pt idx="31">
                  <c:v>4.0936150837785285E-3</c:v>
                </c:pt>
                <c:pt idx="32">
                  <c:v>3.9810515813852847E-3</c:v>
                </c:pt>
                <c:pt idx="33">
                  <c:v>3.8722156508435605E-3</c:v>
                </c:pt>
                <c:pt idx="34">
                  <c:v>3.7670853566589375E-3</c:v>
                </c:pt>
                <c:pt idx="35">
                  <c:v>3.6656281445041519E-3</c:v>
                </c:pt>
                <c:pt idx="36">
                  <c:v>3.5675312096139894E-3</c:v>
                </c:pt>
                <c:pt idx="37">
                  <c:v>3.4709953334277118E-3</c:v>
                </c:pt>
                <c:pt idx="38">
                  <c:v>3.3774485460772714E-3</c:v>
                </c:pt>
                <c:pt idx="39">
                  <c:v>3.2868154770095549E-3</c:v>
                </c:pt>
                <c:pt idx="40">
                  <c:v>3.1990221183311736E-3</c:v>
                </c:pt>
                <c:pt idx="41">
                  <c:v>3.1139959632724445E-3</c:v>
                </c:pt>
                <c:pt idx="42">
                  <c:v>3.0316661259152371E-3</c:v>
                </c:pt>
                <c:pt idx="43">
                  <c:v>2.9509501585484564E-3</c:v>
                </c:pt>
                <c:pt idx="44">
                  <c:v>2.869394270590857E-3</c:v>
                </c:pt>
                <c:pt idx="45">
                  <c:v>2.7870285948310845E-3</c:v>
                </c:pt>
                <c:pt idx="46">
                  <c:v>2.7038815501500353E-3</c:v>
                </c:pt>
                <c:pt idx="47">
                  <c:v>2.6199799681951149E-3</c:v>
                </c:pt>
                <c:pt idx="48">
                  <c:v>2.5353491983743171E-3</c:v>
                </c:pt>
                <c:pt idx="49">
                  <c:v>2.4500131908625588E-3</c:v>
                </c:pt>
                <c:pt idx="50">
                  <c:v>2.363978671584231E-3</c:v>
                </c:pt>
                <c:pt idx="51">
                  <c:v>2.2773418475952678E-3</c:v>
                </c:pt>
                <c:pt idx="52">
                  <c:v>2.1913753254596546E-3</c:v>
                </c:pt>
                <c:pt idx="53">
                  <c:v>2.1060491084970412E-3</c:v>
                </c:pt>
                <c:pt idx="54">
                  <c:v>2.0213462942161226E-3</c:v>
                </c:pt>
                <c:pt idx="55">
                  <c:v>1.9372512325866466E-3</c:v>
                </c:pt>
                <c:pt idx="56">
                  <c:v>1.8537493910127305E-3</c:v>
                </c:pt>
                <c:pt idx="57">
                  <c:v>1.7721745990415681E-3</c:v>
                </c:pt>
                <c:pt idx="58">
                  <c:v>1.6933678753603585E-3</c:v>
                </c:pt>
                <c:pt idx="59">
                  <c:v>1.61726272939159E-3</c:v>
                </c:pt>
                <c:pt idx="60">
                  <c:v>1.5437949517320307E-3</c:v>
                </c:pt>
                <c:pt idx="61">
                  <c:v>1.4729024276284391E-3</c:v>
                </c:pt>
                <c:pt idx="62">
                  <c:v>1.4045249620203253E-3</c:v>
                </c:pt>
                <c:pt idx="63">
                  <c:v>1.3386041167721104E-3</c:v>
                </c:pt>
                <c:pt idx="64">
                  <c:v>1.2750502179220081E-3</c:v>
                </c:pt>
                <c:pt idx="65">
                  <c:v>1.2152203340143259E-3</c:v>
                </c:pt>
                <c:pt idx="66">
                  <c:v>1.1589735284727046E-3</c:v>
                </c:pt>
                <c:pt idx="67">
                  <c:v>1.1062468166091457E-3</c:v>
                </c:pt>
                <c:pt idx="68">
                  <c:v>1.0569761802495564E-3</c:v>
                </c:pt>
                <c:pt idx="69">
                  <c:v>1.0110970592158406E-3</c:v>
                </c:pt>
                <c:pt idx="70">
                  <c:v>9.6854482010413966E-4</c:v>
                </c:pt>
                <c:pt idx="71">
                  <c:v>9.2944213794824663E-4</c:v>
                </c:pt>
                <c:pt idx="72">
                  <c:v>8.9252459625014866E-4</c:v>
                </c:pt>
                <c:pt idx="73">
                  <c:v>8.5775173396458206E-4</c:v>
                </c:pt>
                <c:pt idx="74">
                  <c:v>8.2508334915019953E-4</c:v>
                </c:pt>
                <c:pt idx="75">
                  <c:v>7.9447975538126227E-4</c:v>
                </c:pt>
                <c:pt idx="76">
                  <c:v>7.6590202696887229E-4</c:v>
                </c:pt>
                <c:pt idx="77">
                  <c:v>7.3931223342201782E-4</c:v>
                </c:pt>
                <c:pt idx="78">
                  <c:v>7.1462831258285297E-4</c:v>
                </c:pt>
                <c:pt idx="79">
                  <c:v>6.9203200638889102E-4</c:v>
                </c:pt>
                <c:pt idx="80">
                  <c:v>6.7020764053628745E-4</c:v>
                </c:pt>
                <c:pt idx="81">
                  <c:v>6.4915046279307917E-4</c:v>
                </c:pt>
                <c:pt idx="82">
                  <c:v>6.2885431739146281E-4</c:v>
                </c:pt>
                <c:pt idx="83">
                  <c:v>6.0931183312602343E-4</c:v>
                </c:pt>
                <c:pt idx="84">
                  <c:v>5.905146038411818E-4</c:v>
                </c:pt>
                <c:pt idx="85">
                  <c:v>5.7268088766087427E-4</c:v>
                </c:pt>
                <c:pt idx="86">
                  <c:v>5.5562567814692427E-4</c:v>
                </c:pt>
                <c:pt idx="87">
                  <c:v>5.3933801434854383E-4</c:v>
                </c:pt>
                <c:pt idx="88">
                  <c:v>5.2380666782106454E-4</c:v>
                </c:pt>
                <c:pt idx="89">
                  <c:v>5.0902029057422831E-4</c:v>
                </c:pt>
                <c:pt idx="90">
                  <c:v>4.9496755502748905E-4</c:v>
                </c:pt>
                <c:pt idx="91">
                  <c:v>4.8163728668792252E-4</c:v>
                </c:pt>
                <c:pt idx="92">
                  <c:v>4.6899840480078142E-4</c:v>
                </c:pt>
                <c:pt idx="93">
                  <c:v>4.5710620535441862E-4</c:v>
                </c:pt>
                <c:pt idx="94">
                  <c:v>4.4571130207262386E-4</c:v>
                </c:pt>
                <c:pt idx="95">
                  <c:v>4.3480285441498817E-4</c:v>
                </c:pt>
                <c:pt idx="96">
                  <c:v>4.243705497299633E-4</c:v>
                </c:pt>
                <c:pt idx="97">
                  <c:v>4.1440461418859289E-4</c:v>
                </c:pt>
                <c:pt idx="98">
                  <c:v>4.0489582407799183E-4</c:v>
                </c:pt>
                <c:pt idx="99">
                  <c:v>3.9588717279447045E-4</c:v>
                </c:pt>
                <c:pt idx="100">
                  <c:v>3.8714783959803141E-4</c:v>
                </c:pt>
                <c:pt idx="101">
                  <c:v>3.7866958670450712E-4</c:v>
                </c:pt>
                <c:pt idx="102">
                  <c:v>3.7044438031122803E-4</c:v>
                </c:pt>
                <c:pt idx="103">
                  <c:v>3.6246439614447346E-4</c:v>
                </c:pt>
                <c:pt idx="104">
                  <c:v>3.5472202516900259E-4</c:v>
                </c:pt>
                <c:pt idx="105">
                  <c:v>3.4720987923304197E-4</c:v>
                </c:pt>
                <c:pt idx="106">
                  <c:v>3.3991924891996574E-4</c:v>
                </c:pt>
                <c:pt idx="107">
                  <c:v>3.329343514317329E-4</c:v>
                </c:pt>
                <c:pt idx="108">
                  <c:v>3.2615847019732026E-4</c:v>
                </c:pt>
                <c:pt idx="109">
                  <c:v>3.1958460996146473E-4</c:v>
                </c:pt>
                <c:pt idx="110">
                  <c:v>3.1320692856619633E-4</c:v>
                </c:pt>
                <c:pt idx="111">
                  <c:v>3.0701979618106006E-4</c:v>
                </c:pt>
                <c:pt idx="112">
                  <c:v>3.0101693080231406E-4</c:v>
                </c:pt>
                <c:pt idx="113">
                  <c:v>2.9531238424729045E-4</c:v>
                </c:pt>
                <c:pt idx="114">
                  <c:v>2.8984774457376601E-4</c:v>
                </c:pt>
                <c:pt idx="115">
                  <c:v>2.8461896488169022E-4</c:v>
                </c:pt>
                <c:pt idx="116">
                  <c:v>2.7962242000061533E-4</c:v>
                </c:pt>
                <c:pt idx="117">
                  <c:v>2.7485490874258319E-4</c:v>
                </c:pt>
                <c:pt idx="118">
                  <c:v>2.7031365623027688E-4</c:v>
                </c:pt>
                <c:pt idx="119">
                  <c:v>2.6599631637051741E-4</c:v>
                </c:pt>
                <c:pt idx="120">
                  <c:v>2.6190494933975717E-4</c:v>
                </c:pt>
                <c:pt idx="121">
                  <c:v>2.581821359617021E-4</c:v>
                </c:pt>
                <c:pt idx="122">
                  <c:v>2.5472648415257696E-4</c:v>
                </c:pt>
                <c:pt idx="123">
                  <c:v>2.5153683465818985E-4</c:v>
                </c:pt>
                <c:pt idx="124">
                  <c:v>2.4861269110436937E-4</c:v>
                </c:pt>
                <c:pt idx="125">
                  <c:v>2.4595420038279743E-4</c:v>
                </c:pt>
                <c:pt idx="126">
                  <c:v>2.4356213283060517E-4</c:v>
                </c:pt>
                <c:pt idx="127">
                  <c:v>2.4141953967504113E-4</c:v>
                </c:pt>
                <c:pt idx="128">
                  <c:v>2.3939115463899075E-4</c:v>
                </c:pt>
                <c:pt idx="129">
                  <c:v>2.3747465865672229E-4</c:v>
                </c:pt>
                <c:pt idx="130">
                  <c:v>2.3566800637530474E-4</c:v>
                </c:pt>
                <c:pt idx="131">
                  <c:v>2.3396941983517695E-4</c:v>
                </c:pt>
                <c:pt idx="132">
                  <c:v>2.3237738223956623E-4</c:v>
                </c:pt>
                <c:pt idx="133">
                  <c:v>2.3089063162577906E-4</c:v>
                </c:pt>
                <c:pt idx="134">
                  <c:v>2.2951381360634488E-4</c:v>
                </c:pt>
                <c:pt idx="135">
                  <c:v>2.2823677431369122E-4</c:v>
                </c:pt>
                <c:pt idx="136">
                  <c:v>2.2689391539355499E-4</c:v>
                </c:pt>
                <c:pt idx="137">
                  <c:v>2.2547946793009441E-4</c:v>
                </c:pt>
                <c:pt idx="138">
                  <c:v>2.2398767909542885E-4</c:v>
                </c:pt>
                <c:pt idx="139">
                  <c:v>2.224128277137792E-4</c:v>
                </c:pt>
                <c:pt idx="140">
                  <c:v>2.2074924078507898E-4</c:v>
                </c:pt>
                <c:pt idx="141">
                  <c:v>2.1908817463454303E-4</c:v>
                </c:pt>
                <c:pt idx="142">
                  <c:v>2.1744606422915454E-4</c:v>
                </c:pt>
                <c:pt idx="143">
                  <c:v>2.158201478516959E-4</c:v>
                </c:pt>
                <c:pt idx="144">
                  <c:v>2.1420915405890903E-4</c:v>
                </c:pt>
                <c:pt idx="145">
                  <c:v>2.1261197591209059E-4</c:v>
                </c:pt>
                <c:pt idx="146">
                  <c:v>2.1102767406155454E-4</c:v>
                </c:pt>
                <c:pt idx="147">
                  <c:v>2.0945547939784669E-4</c:v>
                </c:pt>
                <c:pt idx="148">
                  <c:v>2.0789966450645032E-4</c:v>
                </c:pt>
                <c:pt idx="149">
                  <c:v>2.0638800400524549E-4</c:v>
                </c:pt>
                <c:pt idx="150">
                  <c:v>2.0493700640326974E-4</c:v>
                </c:pt>
                <c:pt idx="151">
                  <c:v>2.0354691175445859E-4</c:v>
                </c:pt>
                <c:pt idx="152">
                  <c:v>2.0221815846084757E-4</c:v>
                </c:pt>
                <c:pt idx="153">
                  <c:v>2.0095137466780359E-4</c:v>
                </c:pt>
                <c:pt idx="154">
                  <c:v>1.9974736906947817E-4</c:v>
                </c:pt>
                <c:pt idx="155">
                  <c:v>1.9872870078660484E-4</c:v>
                </c:pt>
                <c:pt idx="156">
                  <c:v>1.9778672072270925E-4</c:v>
                </c:pt>
                <c:pt idx="157">
                  <c:v>1.9692307633051114E-4</c:v>
                </c:pt>
                <c:pt idx="158">
                  <c:v>1.9613954396936466E-4</c:v>
                </c:pt>
                <c:pt idx="159">
                  <c:v>1.9543801468809106E-4</c:v>
                </c:pt>
                <c:pt idx="160">
                  <c:v>1.9482047946090255E-4</c:v>
                </c:pt>
                <c:pt idx="161">
                  <c:v>1.9428901390340867E-4</c:v>
                </c:pt>
                <c:pt idx="162">
                  <c:v>1.9384910741172934E-4</c:v>
                </c:pt>
                <c:pt idx="163">
                  <c:v>1.9360605232878587E-4</c:v>
                </c:pt>
                <c:pt idx="164">
                  <c:v>1.9353732291548515E-4</c:v>
                </c:pt>
                <c:pt idx="165">
                  <c:v>1.9364816384223696E-4</c:v>
                </c:pt>
                <c:pt idx="166">
                  <c:v>1.9394379737943282E-4</c:v>
                </c:pt>
                <c:pt idx="167">
                  <c:v>1.9442941201726501E-4</c:v>
                </c:pt>
                <c:pt idx="168">
                  <c:v>1.9511015206994978E-4</c:v>
                </c:pt>
                <c:pt idx="169">
                  <c:v>1.9609506229923342E-4</c:v>
                </c:pt>
                <c:pt idx="170">
                  <c:v>1.9725249496774445E-4</c:v>
                </c:pt>
                <c:pt idx="171">
                  <c:v>1.9858661405742169E-4</c:v>
                </c:pt>
                <c:pt idx="172">
                  <c:v>2.0010153717014333E-4</c:v>
                </c:pt>
                <c:pt idx="173">
                  <c:v>2.0179926875428549E-4</c:v>
                </c:pt>
                <c:pt idx="174">
                  <c:v>2.0368157424045411E-4</c:v>
                </c:pt>
                <c:pt idx="175">
                  <c:v>2.0575211391420258E-4</c:v>
                </c:pt>
                <c:pt idx="176">
                  <c:v>2.0801446394526211E-4</c:v>
                </c:pt>
                <c:pt idx="177">
                  <c:v>2.1061800834977411E-4</c:v>
                </c:pt>
                <c:pt idx="178">
                  <c:v>2.134582109716438E-4</c:v>
                </c:pt>
                <c:pt idx="179">
                  <c:v>2.1653894691872394E-4</c:v>
                </c:pt>
                <c:pt idx="180">
                  <c:v>2.1986397651492742E-4</c:v>
                </c:pt>
                <c:pt idx="181">
                  <c:v>2.2343694944899252E-4</c:v>
                </c:pt>
                <c:pt idx="182">
                  <c:v>2.2726141007123565E-4</c:v>
                </c:pt>
                <c:pt idx="183">
                  <c:v>2.3137461843625326E-4</c:v>
                </c:pt>
                <c:pt idx="184">
                  <c:v>2.3566633930477982E-4</c:v>
                </c:pt>
                <c:pt idx="185">
                  <c:v>2.4013880936975301E-4</c:v>
                </c:pt>
                <c:pt idx="186">
                  <c:v>2.4479425296771877E-4</c:v>
                </c:pt>
                <c:pt idx="187">
                  <c:v>2.4963488785883722E-4</c:v>
                </c:pt>
                <c:pt idx="188">
                  <c:v>2.5466293101807737E-4</c:v>
                </c:pt>
                <c:pt idx="189">
                  <c:v>2.598806043932776E-4</c:v>
                </c:pt>
                <c:pt idx="190">
                  <c:v>2.6528810077642233E-4</c:v>
                </c:pt>
                <c:pt idx="191">
                  <c:v>2.7102934818239231E-4</c:v>
                </c:pt>
                <c:pt idx="192">
                  <c:v>2.7695207698879724E-4</c:v>
                </c:pt>
                <c:pt idx="193">
                  <c:v>2.8305913921374101E-4</c:v>
                </c:pt>
                <c:pt idx="194">
                  <c:v>2.8935351359591125E-4</c:v>
                </c:pt>
                <c:pt idx="195">
                  <c:v>2.9583831620036411E-4</c:v>
                </c:pt>
                <c:pt idx="196">
                  <c:v>3.0251681075055893E-4</c:v>
                </c:pt>
                <c:pt idx="197">
                  <c:v>3.0937491101801245E-4</c:v>
                </c:pt>
                <c:pt idx="198">
                  <c:v>3.1637971288394782E-4</c:v>
                </c:pt>
                <c:pt idx="199">
                  <c:v>3.2353457495416218E-4</c:v>
                </c:pt>
                <c:pt idx="200">
                  <c:v>3.3084304958621577E-4</c:v>
                </c:pt>
                <c:pt idx="201">
                  <c:v>3.3830888720998945E-4</c:v>
                </c:pt>
                <c:pt idx="202">
                  <c:v>3.459360406126037E-4</c:v>
                </c:pt>
                <c:pt idx="203">
                  <c:v>3.5372866936270598E-4</c:v>
                </c:pt>
                <c:pt idx="204">
                  <c:v>3.6168728077191328E-4</c:v>
                </c:pt>
                <c:pt idx="205">
                  <c:v>3.697894376378888E-4</c:v>
                </c:pt>
                <c:pt idx="206">
                  <c:v>3.7788753190068786E-4</c:v>
                </c:pt>
                <c:pt idx="207">
                  <c:v>3.8598276400545893E-4</c:v>
                </c:pt>
                <c:pt idx="208">
                  <c:v>3.9407634876565366E-4</c:v>
                </c:pt>
                <c:pt idx="209">
                  <c:v>4.0216950416320182E-4</c:v>
                </c:pt>
                <c:pt idx="210">
                  <c:v>4.1026344083575924E-4</c:v>
                </c:pt>
                <c:pt idx="211">
                  <c:v>4.1864983899361693E-4</c:v>
                </c:pt>
                <c:pt idx="212">
                  <c:v>4.2734996883518438E-4</c:v>
                </c:pt>
                <c:pt idx="213">
                  <c:v>4.3636768483935759E-4</c:v>
                </c:pt>
                <c:pt idx="214">
                  <c:v>4.4570682061539739E-4</c:v>
                </c:pt>
                <c:pt idx="215">
                  <c:v>4.5537118853947384E-4</c:v>
                </c:pt>
                <c:pt idx="216">
                  <c:v>4.6536457930575767E-4</c:v>
                </c:pt>
                <c:pt idx="217">
                  <c:v>4.7569076146362893E-4</c:v>
                </c:pt>
                <c:pt idx="218">
                  <c:v>4.8634953899008928E-4</c:v>
                </c:pt>
                <c:pt idx="219">
                  <c:v>4.9762006066592275E-4</c:v>
                </c:pt>
                <c:pt idx="220">
                  <c:v>5.0953180944153964E-4</c:v>
                </c:pt>
                <c:pt idx="221">
                  <c:v>5.2209273047902573E-4</c:v>
                </c:pt>
                <c:pt idx="222">
                  <c:v>5.3531095355246648E-4</c:v>
                </c:pt>
                <c:pt idx="223">
                  <c:v>5.4919482181263056E-4</c:v>
                </c:pt>
                <c:pt idx="224">
                  <c:v>5.6375292114300361E-4</c:v>
                </c:pt>
                <c:pt idx="225">
                  <c:v>5.7920371618357743E-4</c:v>
                </c:pt>
                <c:pt idx="226">
                  <c:v>5.9525402504974898E-4</c:v>
                </c:pt>
                <c:pt idx="227">
                  <c:v>6.1191242421914738E-4</c:v>
                </c:pt>
                <c:pt idx="228">
                  <c:v>6.2918784209284057E-4</c:v>
                </c:pt>
                <c:pt idx="229">
                  <c:v>6.4708958840415656E-4</c:v>
                </c:pt>
                <c:pt idx="230">
                  <c:v>6.6562738469211856E-4</c:v>
                </c:pt>
                <c:pt idx="231">
                  <c:v>6.8481139608052841E-4</c:v>
                </c:pt>
                <c:pt idx="232">
                  <c:v>7.0464539892043851E-4</c:v>
                </c:pt>
                <c:pt idx="233">
                  <c:v>7.2526992428373468E-4</c:v>
                </c:pt>
                <c:pt idx="234">
                  <c:v>7.4640103848045932E-4</c:v>
                </c:pt>
                <c:pt idx="235">
                  <c:v>7.6804503502987101E-4</c:v>
                </c:pt>
                <c:pt idx="236">
                  <c:v>7.9020856903030923E-4</c:v>
                </c:pt>
                <c:pt idx="237">
                  <c:v>8.1289790437968597E-4</c:v>
                </c:pt>
                <c:pt idx="238">
                  <c:v>8.3611937696991597E-4</c:v>
                </c:pt>
                <c:pt idx="239">
                  <c:v>8.6014318883465284E-4</c:v>
                </c:pt>
                <c:pt idx="240">
                  <c:v>8.8475858636179031E-4</c:v>
                </c:pt>
                <c:pt idx="241">
                  <c:v>9.0997277809060366E-4</c:v>
                </c:pt>
                <c:pt idx="242">
                  <c:v>9.3579301218321427E-4</c:v>
                </c:pt>
                <c:pt idx="243">
                  <c:v>9.6222656522883655E-4</c:v>
                </c:pt>
                <c:pt idx="244">
                  <c:v>9.8928072906828159E-4</c:v>
                </c:pt>
                <c:pt idx="245">
                  <c:v>1.0169627958330281E-3</c:v>
                </c:pt>
                <c:pt idx="246">
                  <c:v>1.0452800409573651E-3</c:v>
                </c:pt>
                <c:pt idx="247">
                  <c:v>1.0748397143152356E-3</c:v>
                </c:pt>
                <c:pt idx="248">
                  <c:v>1.105508912548447E-3</c:v>
                </c:pt>
                <c:pt idx="249">
                  <c:v>1.1373000211971525E-3</c:v>
                </c:pt>
                <c:pt idx="250">
                  <c:v>1.1702254198009999E-3</c:v>
                </c:pt>
                <c:pt idx="251">
                  <c:v>1.2042974530825342E-3</c:v>
                </c:pt>
                <c:pt idx="252">
                  <c:v>1.2395283998817327E-3</c:v>
                </c:pt>
                <c:pt idx="253">
                  <c:v>1.2765722043098498E-3</c:v>
                </c:pt>
                <c:pt idx="254">
                  <c:v>1.315168792785144E-3</c:v>
                </c:pt>
                <c:pt idx="255">
                  <c:v>1.3553343131857461E-3</c:v>
                </c:pt>
                <c:pt idx="256">
                  <c:v>1.3970847720075556E-3</c:v>
                </c:pt>
                <c:pt idx="257">
                  <c:v>1.4404359911264783E-3</c:v>
                </c:pt>
                <c:pt idx="258">
                  <c:v>1.4854035640545432E-3</c:v>
                </c:pt>
                <c:pt idx="259">
                  <c:v>1.5320028121181997E-3</c:v>
                </c:pt>
                <c:pt idx="260">
                  <c:v>1.5802563332565531E-3</c:v>
                </c:pt>
                <c:pt idx="261">
                  <c:v>1.6307027341244296E-3</c:v>
                </c:pt>
                <c:pt idx="262">
                  <c:v>1.6827240120010258E-3</c:v>
                </c:pt>
                <c:pt idx="263">
                  <c:v>1.7363300008447085E-3</c:v>
                </c:pt>
                <c:pt idx="264">
                  <c:v>1.7915296377262674E-3</c:v>
                </c:pt>
                <c:pt idx="265">
                  <c:v>1.8483407154908863E-3</c:v>
                </c:pt>
                <c:pt idx="266">
                  <c:v>1.906776142968507E-3</c:v>
                </c:pt>
                <c:pt idx="267">
                  <c:v>1.9704985589977949E-3</c:v>
                </c:pt>
                <c:pt idx="268">
                  <c:v>2.0388735378971518E-3</c:v>
                </c:pt>
                <c:pt idx="269">
                  <c:v>2.1119379325905611E-3</c:v>
                </c:pt>
                <c:pt idx="270">
                  <c:v>2.1897266428420347E-3</c:v>
                </c:pt>
                <c:pt idx="271">
                  <c:v>2.2722723657970264E-3</c:v>
                </c:pt>
                <c:pt idx="272">
                  <c:v>2.359605356789508E-3</c:v>
                </c:pt>
                <c:pt idx="273">
                  <c:v>2.4517532025440433E-3</c:v>
                </c:pt>
                <c:pt idx="274">
                  <c:v>2.5488368881170769E-3</c:v>
                </c:pt>
                <c:pt idx="275">
                  <c:v>2.6536345313357109E-3</c:v>
                </c:pt>
                <c:pt idx="276">
                  <c:v>2.7656381556930556E-3</c:v>
                </c:pt>
                <c:pt idx="277">
                  <c:v>2.8848755202679219E-3</c:v>
                </c:pt>
                <c:pt idx="278">
                  <c:v>3.0113659681442885E-3</c:v>
                </c:pt>
                <c:pt idx="279">
                  <c:v>3.1451191344500995E-3</c:v>
                </c:pt>
                <c:pt idx="280">
                  <c:v>3.2861336348222153E-3</c:v>
                </c:pt>
                <c:pt idx="281">
                  <c:v>3.4336498533558417E-3</c:v>
                </c:pt>
                <c:pt idx="282">
                  <c:v>3.5837615264581479E-3</c:v>
                </c:pt>
                <c:pt idx="283">
                  <c:v>3.7363804054079503E-3</c:v>
                </c:pt>
                <c:pt idx="284">
                  <c:v>3.8914056228685598E-3</c:v>
                </c:pt>
                <c:pt idx="285">
                  <c:v>4.0487232436666491E-3</c:v>
                </c:pt>
                <c:pt idx="286">
                  <c:v>4.2082058541406328E-3</c:v>
                </c:pt>
                <c:pt idx="287">
                  <c:v>4.3697121963424609E-3</c:v>
                </c:pt>
                <c:pt idx="288">
                  <c:v>4.5334082013530957E-3</c:v>
                </c:pt>
                <c:pt idx="289">
                  <c:v>4.6975725753021476E-3</c:v>
                </c:pt>
                <c:pt idx="290">
                  <c:v>4.8593235788876614E-3</c:v>
                </c:pt>
                <c:pt idx="291">
                  <c:v>5.0185458057629183E-3</c:v>
                </c:pt>
                <c:pt idx="292">
                  <c:v>5.1751193524711102E-3</c:v>
                </c:pt>
                <c:pt idx="293">
                  <c:v>5.3289202824484102E-3</c:v>
                </c:pt>
                <c:pt idx="294">
                  <c:v>5.4798210908869986E-3</c:v>
                </c:pt>
                <c:pt idx="295">
                  <c:v>5.625545337319255E-3</c:v>
                </c:pt>
                <c:pt idx="296">
                  <c:v>5.7667960970605352E-3</c:v>
                </c:pt>
                <c:pt idx="297">
                  <c:v>5.9034886996207321E-3</c:v>
                </c:pt>
                <c:pt idx="298">
                  <c:v>6.0354923420973894E-3</c:v>
                </c:pt>
                <c:pt idx="299">
                  <c:v>6.1626759777136299E-3</c:v>
                </c:pt>
                <c:pt idx="300">
                  <c:v>6.2849088406363648E-3</c:v>
                </c:pt>
                <c:pt idx="301">
                  <c:v>6.4020609545371431E-3</c:v>
                </c:pt>
                <c:pt idx="302">
                  <c:v>6.5143917703614626E-3</c:v>
                </c:pt>
                <c:pt idx="303">
                  <c:v>6.6261160513078968E-3</c:v>
                </c:pt>
                <c:pt idx="304">
                  <c:v>6.7391984322526313E-3</c:v>
                </c:pt>
                <c:pt idx="305">
                  <c:v>6.8536290799488192E-3</c:v>
                </c:pt>
                <c:pt idx="306">
                  <c:v>6.9694003731667281E-3</c:v>
                </c:pt>
                <c:pt idx="307">
                  <c:v>7.0865067985376867E-3</c:v>
                </c:pt>
                <c:pt idx="308">
                  <c:v>7.2049447852018181E-3</c:v>
                </c:pt>
                <c:pt idx="309">
                  <c:v>7.3224181222054565E-3</c:v>
                </c:pt>
                <c:pt idx="310">
                  <c:v>7.4410919301130894E-3</c:v>
                </c:pt>
                <c:pt idx="311">
                  <c:v>7.5609671314103913E-3</c:v>
                </c:pt>
                <c:pt idx="312">
                  <c:v>7.6820452331939106E-3</c:v>
                </c:pt>
                <c:pt idx="313">
                  <c:v>7.804327780184442E-3</c:v>
                </c:pt>
                <c:pt idx="314">
                  <c:v>7.9278157234991629E-3</c:v>
                </c:pt>
                <c:pt idx="315">
                  <c:v>8.0525087017909013E-3</c:v>
                </c:pt>
                <c:pt idx="316">
                  <c:v>8.178943323406563E-3</c:v>
                </c:pt>
                <c:pt idx="317">
                  <c:v>8.3012183893131294E-3</c:v>
                </c:pt>
                <c:pt idx="318">
                  <c:v>8.4154570976751972E-3</c:v>
                </c:pt>
                <c:pt idx="319">
                  <c:v>8.5216577926500777E-3</c:v>
                </c:pt>
                <c:pt idx="320">
                  <c:v>8.6198045408182565E-3</c:v>
                </c:pt>
                <c:pt idx="321">
                  <c:v>8.7098660500544399E-3</c:v>
                </c:pt>
                <c:pt idx="322">
                  <c:v>8.791794689142712E-3</c:v>
                </c:pt>
                <c:pt idx="323">
                  <c:v>8.8690876872541298E-3</c:v>
                </c:pt>
                <c:pt idx="324">
                  <c:v>8.9439622215729524E-3</c:v>
                </c:pt>
                <c:pt idx="325">
                  <c:v>9.0163244435128107E-3</c:v>
                </c:pt>
                <c:pt idx="326">
                  <c:v>9.0860061062024745E-3</c:v>
                </c:pt>
                <c:pt idx="327">
                  <c:v>9.1528565859974303E-3</c:v>
                </c:pt>
                <c:pt idx="328">
                  <c:v>9.2167527957110404E-3</c:v>
                </c:pt>
                <c:pt idx="329">
                  <c:v>9.2775528243786154E-3</c:v>
                </c:pt>
                <c:pt idx="330">
                  <c:v>9.3360673831426443E-3</c:v>
                </c:pt>
                <c:pt idx="331">
                  <c:v>9.3937860473583372E-3</c:v>
                </c:pt>
                <c:pt idx="332">
                  <c:v>9.4570333604681641E-3</c:v>
                </c:pt>
                <c:pt idx="333">
                  <c:v>9.5256410193733602E-3</c:v>
                </c:pt>
                <c:pt idx="334">
                  <c:v>9.5994189854125746E-3</c:v>
                </c:pt>
                <c:pt idx="335">
                  <c:v>9.6781538150958763E-3</c:v>
                </c:pt>
                <c:pt idx="336">
                  <c:v>9.7616071062757992E-3</c:v>
                </c:pt>
                <c:pt idx="337">
                  <c:v>9.843774636683799E-3</c:v>
                </c:pt>
                <c:pt idx="338">
                  <c:v>9.9207490281843242E-3</c:v>
                </c:pt>
                <c:pt idx="339">
                  <c:v>9.9921840552384331E-3</c:v>
                </c:pt>
                <c:pt idx="340">
                  <c:v>1.0057710308378827E-2</c:v>
                </c:pt>
                <c:pt idx="341">
                  <c:v>1.0116938239745254E-2</c:v>
                </c:pt>
                <c:pt idx="342">
                  <c:v>1.0169461754208957E-2</c:v>
                </c:pt>
                <c:pt idx="343">
                  <c:v>1.0214862336946608E-2</c:v>
                </c:pt>
                <c:pt idx="344">
                  <c:v>1.0253871025729612E-2</c:v>
                </c:pt>
                <c:pt idx="345">
                  <c:v>1.0287285575710299E-2</c:v>
                </c:pt>
                <c:pt idx="346">
                  <c:v>1.0314299699240295E-2</c:v>
                </c:pt>
                <c:pt idx="347">
                  <c:v>1.0334573745889546E-2</c:v>
                </c:pt>
                <c:pt idx="348">
                  <c:v>1.0347764762820361E-2</c:v>
                </c:pt>
                <c:pt idx="349">
                  <c:v>1.0353530609719842E-2</c:v>
                </c:pt>
                <c:pt idx="350">
                  <c:v>1.035153429547366E-2</c:v>
                </c:pt>
                <c:pt idx="351">
                  <c:v>1.0341650561472408E-2</c:v>
                </c:pt>
                <c:pt idx="352">
                  <c:v>1.0329316479379085E-2</c:v>
                </c:pt>
                <c:pt idx="353">
                  <c:v>1.031421294413855E-2</c:v>
                </c:pt>
                <c:pt idx="354">
                  <c:v>1.0296032249158316E-2</c:v>
                </c:pt>
                <c:pt idx="355">
                  <c:v>1.0274480903223438E-2</c:v>
                </c:pt>
                <c:pt idx="356">
                  <c:v>1.0249265278041901E-2</c:v>
                </c:pt>
                <c:pt idx="357">
                  <c:v>1.0220130823736228E-2</c:v>
                </c:pt>
                <c:pt idx="358">
                  <c:v>1.0186839432634331E-2</c:v>
                </c:pt>
                <c:pt idx="359">
                  <c:v>1.0149465614848906E-2</c:v>
                </c:pt>
                <c:pt idx="360">
                  <c:v>1.0102576669838549E-2</c:v>
                </c:pt>
                <c:pt idx="361">
                  <c:v>1.0046260345038726E-2</c:v>
                </c:pt>
                <c:pt idx="362">
                  <c:v>9.9808282225585104E-3</c:v>
                </c:pt>
                <c:pt idx="363">
                  <c:v>9.9066131421720587E-3</c:v>
                </c:pt>
                <c:pt idx="364">
                  <c:v>9.8239658169652268E-3</c:v>
                </c:pt>
                <c:pt idx="365">
                  <c:v>9.7332514647787503E-3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42760"/>
        <c:axId val="778343152"/>
      </c:lineChart>
      <c:dateAx>
        <c:axId val="7783427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3152"/>
        <c:crosses val="autoZero"/>
        <c:auto val="1"/>
        <c:lblOffset val="100"/>
        <c:baseTimeUnit val="days"/>
        <c:majorUnit val="1"/>
        <c:majorTimeUnit val="months"/>
      </c:dateAx>
      <c:valAx>
        <c:axId val="7783431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27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23.094376418368125</c:v>
                </c:pt>
                <c:pt idx="1">
                  <c:v>23.238671010586788</c:v>
                </c:pt>
                <c:pt idx="2">
                  <c:v>23.392463137544446</c:v>
                </c:pt>
                <c:pt idx="3">
                  <c:v>23.555272802804051</c:v>
                </c:pt>
                <c:pt idx="4">
                  <c:v>23.726620030085165</c:v>
                </c:pt>
                <c:pt idx="5">
                  <c:v>23.906024853499755</c:v>
                </c:pt>
                <c:pt idx="6">
                  <c:v>24.093007326914925</c:v>
                </c:pt>
                <c:pt idx="7">
                  <c:v>24.287087528604573</c:v>
                </c:pt>
                <c:pt idx="8">
                  <c:v>24.490776031438532</c:v>
                </c:pt>
                <c:pt idx="9">
                  <c:v>24.706295169346397</c:v>
                </c:pt>
                <c:pt idx="10">
                  <c:v>24.932725078861182</c:v>
                </c:pt>
                <c:pt idx="11">
                  <c:v>25.169273436080278</c:v>
                </c:pt>
                <c:pt idx="12">
                  <c:v>25.415148078377928</c:v>
                </c:pt>
                <c:pt idx="13">
                  <c:v>25.669557030032326</c:v>
                </c:pt>
                <c:pt idx="14">
                  <c:v>25.931708507776062</c:v>
                </c:pt>
                <c:pt idx="15">
                  <c:v>26.200955372609634</c:v>
                </c:pt>
                <c:pt idx="16">
                  <c:v>26.476521009664737</c:v>
                </c:pt>
                <c:pt idx="17">
                  <c:v>26.757614189759334</c:v>
                </c:pt>
                <c:pt idx="18">
                  <c:v>27.043443925205572</c:v>
                </c:pt>
                <c:pt idx="19">
                  <c:v>27.33321834828628</c:v>
                </c:pt>
                <c:pt idx="20">
                  <c:v>27.626145370986283</c:v>
                </c:pt>
                <c:pt idx="21">
                  <c:v>27.92143408668796</c:v>
                </c:pt>
                <c:pt idx="22">
                  <c:v>28.222259276389252</c:v>
                </c:pt>
                <c:pt idx="23">
                  <c:v>28.531759565154086</c:v>
                </c:pt>
                <c:pt idx="24">
                  <c:v>28.849092753112224</c:v>
                </c:pt>
                <c:pt idx="25">
                  <c:v>29.173337557714639</c:v>
                </c:pt>
                <c:pt idx="26">
                  <c:v>29.503573074518705</c:v>
                </c:pt>
                <c:pt idx="27">
                  <c:v>29.838878788265387</c:v>
                </c:pt>
                <c:pt idx="28">
                  <c:v>30.178334569042345</c:v>
                </c:pt>
                <c:pt idx="29">
                  <c:v>30.520933810646639</c:v>
                </c:pt>
                <c:pt idx="30">
                  <c:v>30.865613111937702</c:v>
                </c:pt>
                <c:pt idx="31">
                  <c:v>31.211453559889641</c:v>
                </c:pt>
                <c:pt idx="32">
                  <c:v>31.557536610249976</c:v>
                </c:pt>
                <c:pt idx="33">
                  <c:v>31.902944076362651</c:v>
                </c:pt>
                <c:pt idx="34">
                  <c:v>32.246758129236589</c:v>
                </c:pt>
                <c:pt idx="35">
                  <c:v>32.58806129135548</c:v>
                </c:pt>
                <c:pt idx="36">
                  <c:v>32.928452594120486</c:v>
                </c:pt>
                <c:pt idx="37">
                  <c:v>33.270122892230681</c:v>
                </c:pt>
                <c:pt idx="38">
                  <c:v>33.612918989711709</c:v>
                </c:pt>
                <c:pt idx="39">
                  <c:v>33.956738974101825</c:v>
                </c:pt>
                <c:pt idx="40">
                  <c:v>34.301480978149762</c:v>
                </c:pt>
                <c:pt idx="41">
                  <c:v>34.647043174317822</c:v>
                </c:pt>
                <c:pt idx="42">
                  <c:v>34.993323768596447</c:v>
                </c:pt>
                <c:pt idx="43">
                  <c:v>35.340265341171857</c:v>
                </c:pt>
                <c:pt idx="44">
                  <c:v>35.687853101053115</c:v>
                </c:pt>
                <c:pt idx="45">
                  <c:v>36.035985391127426</c:v>
                </c:pt>
                <c:pt idx="46">
                  <c:v>36.384560574339282</c:v>
                </c:pt>
                <c:pt idx="47">
                  <c:v>36.733477026675487</c:v>
                </c:pt>
                <c:pt idx="48">
                  <c:v>37.082633133240058</c:v>
                </c:pt>
                <c:pt idx="49">
                  <c:v>37.431927282766075</c:v>
                </c:pt>
                <c:pt idx="50">
                  <c:v>37.781512579431997</c:v>
                </c:pt>
                <c:pt idx="51">
                  <c:v>38.131627726402783</c:v>
                </c:pt>
                <c:pt idx="52">
                  <c:v>38.482225068409427</c:v>
                </c:pt>
                <c:pt idx="53">
                  <c:v>38.83330538873318</c:v>
                </c:pt>
                <c:pt idx="54">
                  <c:v>39.184868792398142</c:v>
                </c:pt>
                <c:pt idx="55">
                  <c:v>39.536915323682372</c:v>
                </c:pt>
                <c:pt idx="56">
                  <c:v>39.889444967044412</c:v>
                </c:pt>
                <c:pt idx="57">
                  <c:v>40.242393821276785</c:v>
                </c:pt>
                <c:pt idx="58">
                  <c:v>40.595717185513884</c:v>
                </c:pt>
                <c:pt idx="59">
                  <c:v>40.949414795237928</c:v>
                </c:pt>
                <c:pt idx="60">
                  <c:v>41.303486340409904</c:v>
                </c:pt>
                <c:pt idx="61">
                  <c:v>41.657931469338372</c:v>
                </c:pt>
                <c:pt idx="62">
                  <c:v>42.012749793567735</c:v>
                </c:pt>
                <c:pt idx="63">
                  <c:v>42.367940891224968</c:v>
                </c:pt>
                <c:pt idx="64">
                  <c:v>42.72460677694793</c:v>
                </c:pt>
                <c:pt idx="65">
                  <c:v>43.083418816763526</c:v>
                </c:pt>
                <c:pt idx="66">
                  <c:v>43.443849152494728</c:v>
                </c:pt>
                <c:pt idx="67">
                  <c:v>43.805388016735101</c:v>
                </c:pt>
                <c:pt idx="68">
                  <c:v>44.167525772935932</c:v>
                </c:pt>
                <c:pt idx="69">
                  <c:v>44.529752913866254</c:v>
                </c:pt>
                <c:pt idx="70">
                  <c:v>44.891560058400145</c:v>
                </c:pt>
                <c:pt idx="71">
                  <c:v>45.252424682455313</c:v>
                </c:pt>
                <c:pt idx="72">
                  <c:v>45.611901793463339</c:v>
                </c:pt>
                <c:pt idx="73">
                  <c:v>45.96948245254918</c:v>
                </c:pt>
                <c:pt idx="74">
                  <c:v>46.324657848123792</c:v>
                </c:pt>
                <c:pt idx="75">
                  <c:v>46.676919297122765</c:v>
                </c:pt>
                <c:pt idx="76">
                  <c:v>47.025758238231376</c:v>
                </c:pt>
                <c:pt idx="77">
                  <c:v>47.370666230668263</c:v>
                </c:pt>
                <c:pt idx="78">
                  <c:v>47.714167408679181</c:v>
                </c:pt>
                <c:pt idx="79">
                  <c:v>48.058564471326655</c:v>
                </c:pt>
                <c:pt idx="80">
                  <c:v>48.403135049301902</c:v>
                </c:pt>
                <c:pt idx="81">
                  <c:v>48.747065255667735</c:v>
                </c:pt>
                <c:pt idx="82">
                  <c:v>49.089541463306425</c:v>
                </c:pt>
                <c:pt idx="83">
                  <c:v>49.429750306883911</c:v>
                </c:pt>
                <c:pt idx="84">
                  <c:v>49.766878685212284</c:v>
                </c:pt>
                <c:pt idx="85">
                  <c:v>50.100097239941782</c:v>
                </c:pt>
                <c:pt idx="86">
                  <c:v>50.428606855931108</c:v>
                </c:pt>
                <c:pt idx="87">
                  <c:v>50.75159520657391</c:v>
                </c:pt>
                <c:pt idx="88">
                  <c:v>51.068250238613764</c:v>
                </c:pt>
                <c:pt idx="89">
                  <c:v>51.377760166972564</c:v>
                </c:pt>
                <c:pt idx="90">
                  <c:v>51.679313483472825</c:v>
                </c:pt>
                <c:pt idx="91">
                  <c:v>51.972098955161684</c:v>
                </c:pt>
                <c:pt idx="92">
                  <c:v>52.257556099080333</c:v>
                </c:pt>
                <c:pt idx="93">
                  <c:v>52.537589929107519</c:v>
                </c:pt>
                <c:pt idx="94">
                  <c:v>52.812116937235317</c:v>
                </c:pt>
                <c:pt idx="95">
                  <c:v>53.081036112370739</c:v>
                </c:pt>
                <c:pt idx="96">
                  <c:v>53.344246485045538</c:v>
                </c:pt>
                <c:pt idx="97">
                  <c:v>53.601647127924132</c:v>
                </c:pt>
                <c:pt idx="98">
                  <c:v>53.853137154120866</c:v>
                </c:pt>
                <c:pt idx="99">
                  <c:v>54.098611468405373</c:v>
                </c:pt>
                <c:pt idx="100">
                  <c:v>54.337986679407074</c:v>
                </c:pt>
                <c:pt idx="101">
                  <c:v>54.571162251639088</c:v>
                </c:pt>
                <c:pt idx="102">
                  <c:v>54.798037714098413</c:v>
                </c:pt>
                <c:pt idx="103">
                  <c:v>55.018512670742155</c:v>
                </c:pt>
                <c:pt idx="104">
                  <c:v>55.232486794890121</c:v>
                </c:pt>
                <c:pt idx="105">
                  <c:v>55.439859837169656</c:v>
                </c:pt>
                <c:pt idx="106">
                  <c:v>55.640785114165965</c:v>
                </c:pt>
                <c:pt idx="107">
                  <c:v>55.835476710675138</c:v>
                </c:pt>
                <c:pt idx="108">
                  <c:v>56.023944126219142</c:v>
                </c:pt>
                <c:pt idx="109">
                  <c:v>56.206188651467571</c:v>
                </c:pt>
                <c:pt idx="110">
                  <c:v>56.382211556313891</c:v>
                </c:pt>
                <c:pt idx="111">
                  <c:v>56.552014164127932</c:v>
                </c:pt>
                <c:pt idx="112">
                  <c:v>56.715597923607056</c:v>
                </c:pt>
                <c:pt idx="113">
                  <c:v>56.872954572504497</c:v>
                </c:pt>
                <c:pt idx="114">
                  <c:v>57.02409015409448</c:v>
                </c:pt>
                <c:pt idx="115">
                  <c:v>57.16900614948738</c:v>
                </c:pt>
                <c:pt idx="116">
                  <c:v>57.307704095561334</c:v>
                </c:pt>
                <c:pt idx="117">
                  <c:v>57.440185584711948</c:v>
                </c:pt>
                <c:pt idx="118">
                  <c:v>57.566452271324025</c:v>
                </c:pt>
                <c:pt idx="119">
                  <c:v>57.686505863286989</c:v>
                </c:pt>
                <c:pt idx="120">
                  <c:v>57.799470552964493</c:v>
                </c:pt>
                <c:pt idx="121">
                  <c:v>57.90472979566146</c:v>
                </c:pt>
                <c:pt idx="122">
                  <c:v>58.002698299053144</c:v>
                </c:pt>
                <c:pt idx="123">
                  <c:v>58.093783162108025</c:v>
                </c:pt>
                <c:pt idx="124">
                  <c:v>58.178391393386001</c:v>
                </c:pt>
                <c:pt idx="125">
                  <c:v>58.256929900213478</c:v>
                </c:pt>
                <c:pt idx="126">
                  <c:v>58.329805494679057</c:v>
                </c:pt>
                <c:pt idx="127">
                  <c:v>58.397425576528669</c:v>
                </c:pt>
                <c:pt idx="128">
                  <c:v>58.460208099142662</c:v>
                </c:pt>
                <c:pt idx="129">
                  <c:v>58.518559962895687</c:v>
                </c:pt>
                <c:pt idx="130">
                  <c:v>58.572887980698496</c:v>
                </c:pt>
                <c:pt idx="131">
                  <c:v>58.623598879732235</c:v>
                </c:pt>
                <c:pt idx="132">
                  <c:v>58.671099294888947</c:v>
                </c:pt>
                <c:pt idx="133">
                  <c:v>58.715795767651777</c:v>
                </c:pt>
                <c:pt idx="134">
                  <c:v>58.75664546001935</c:v>
                </c:pt>
                <c:pt idx="135">
                  <c:v>58.792471828104844</c:v>
                </c:pt>
                <c:pt idx="136">
                  <c:v>58.823493020667591</c:v>
                </c:pt>
                <c:pt idx="137">
                  <c:v>58.849914519518755</c:v>
                </c:pt>
                <c:pt idx="138">
                  <c:v>58.871941794615978</c:v>
                </c:pt>
                <c:pt idx="139">
                  <c:v>58.889780302569328</c:v>
                </c:pt>
                <c:pt idx="140">
                  <c:v>58.903635482509586</c:v>
                </c:pt>
                <c:pt idx="141">
                  <c:v>58.91370569574481</c:v>
                </c:pt>
                <c:pt idx="142">
                  <c:v>58.920195443052719</c:v>
                </c:pt>
                <c:pt idx="143">
                  <c:v>58.92330990031676</c:v>
                </c:pt>
                <c:pt idx="144">
                  <c:v>58.923254086052545</c:v>
                </c:pt>
                <c:pt idx="145">
                  <c:v>58.920232966171277</c:v>
                </c:pt>
                <c:pt idx="146">
                  <c:v>58.914451442203998</c:v>
                </c:pt>
                <c:pt idx="147">
                  <c:v>58.906114344381685</c:v>
                </c:pt>
                <c:pt idx="148">
                  <c:v>58.894046630672705</c:v>
                </c:pt>
                <c:pt idx="149">
                  <c:v>58.87720627920514</c:v>
                </c:pt>
                <c:pt idx="150">
                  <c:v>58.855999909137886</c:v>
                </c:pt>
                <c:pt idx="151">
                  <c:v>58.830834552644738</c:v>
                </c:pt>
                <c:pt idx="152">
                  <c:v>58.802117043988268</c:v>
                </c:pt>
                <c:pt idx="153">
                  <c:v>58.770254011090977</c:v>
                </c:pt>
                <c:pt idx="154">
                  <c:v>58.735651865811754</c:v>
                </c:pt>
                <c:pt idx="155">
                  <c:v>58.698707843756516</c:v>
                </c:pt>
                <c:pt idx="156">
                  <c:v>58.659835839158738</c:v>
                </c:pt>
                <c:pt idx="157">
                  <c:v>58.619441557507614</c:v>
                </c:pt>
                <c:pt idx="158">
                  <c:v>58.577930463585417</c:v>
                </c:pt>
                <c:pt idx="159">
                  <c:v>58.535707778864619</c:v>
                </c:pt>
                <c:pt idx="160">
                  <c:v>58.493178475162722</c:v>
                </c:pt>
                <c:pt idx="161">
                  <c:v>58.450747271174606</c:v>
                </c:pt>
                <c:pt idx="162">
                  <c:v>58.40781052248979</c:v>
                </c:pt>
                <c:pt idx="163">
                  <c:v>58.363488700913905</c:v>
                </c:pt>
                <c:pt idx="164">
                  <c:v>58.317785549336307</c:v>
                </c:pt>
                <c:pt idx="165">
                  <c:v>58.270702345890186</c:v>
                </c:pt>
                <c:pt idx="166">
                  <c:v>58.222240263551875</c:v>
                </c:pt>
                <c:pt idx="167">
                  <c:v>58.172400364371256</c:v>
                </c:pt>
                <c:pt idx="168">
                  <c:v>58.121183600019656</c:v>
                </c:pt>
                <c:pt idx="169">
                  <c:v>58.068583256498904</c:v>
                </c:pt>
                <c:pt idx="170">
                  <c:v>58.014609964168272</c:v>
                </c:pt>
                <c:pt idx="171">
                  <c:v>57.959264376731582</c:v>
                </c:pt>
                <c:pt idx="172">
                  <c:v>57.902547028142273</c:v>
                </c:pt>
                <c:pt idx="173">
                  <c:v>57.844458494286478</c:v>
                </c:pt>
                <c:pt idx="174">
                  <c:v>57.784999246114481</c:v>
                </c:pt>
                <c:pt idx="175">
                  <c:v>57.724169486968059</c:v>
                </c:pt>
                <c:pt idx="176">
                  <c:v>57.661969310524448</c:v>
                </c:pt>
                <c:pt idx="177">
                  <c:v>57.598388265045479</c:v>
                </c:pt>
                <c:pt idx="178">
                  <c:v>57.533434014707289</c:v>
                </c:pt>
                <c:pt idx="179">
                  <c:v>57.467106310911269</c:v>
                </c:pt>
                <c:pt idx="180">
                  <c:v>57.399404810991335</c:v>
                </c:pt>
                <c:pt idx="181">
                  <c:v>57.330329084776075</c:v>
                </c:pt>
                <c:pt idx="182">
                  <c:v>57.259878617682986</c:v>
                </c:pt>
                <c:pt idx="183">
                  <c:v>57.188050081181679</c:v>
                </c:pt>
                <c:pt idx="184">
                  <c:v>57.114850885400912</c:v>
                </c:pt>
                <c:pt idx="185">
                  <c:v>57.040280346571365</c:v>
                </c:pt>
                <c:pt idx="186">
                  <c:v>56.964337718445812</c:v>
                </c:pt>
                <c:pt idx="187">
                  <c:v>56.887022196575295</c:v>
                </c:pt>
                <c:pt idx="188">
                  <c:v>56.808332928679938</c:v>
                </c:pt>
                <c:pt idx="189">
                  <c:v>56.728269019370515</c:v>
                </c:pt>
                <c:pt idx="190">
                  <c:v>56.647265236288092</c:v>
                </c:pt>
                <c:pt idx="191">
                  <c:v>56.565612300081</c:v>
                </c:pt>
                <c:pt idx="192">
                  <c:v>56.48311887699078</c:v>
                </c:pt>
                <c:pt idx="193">
                  <c:v>56.399582818976349</c:v>
                </c:pt>
                <c:pt idx="194">
                  <c:v>56.314802040791136</c:v>
                </c:pt>
                <c:pt idx="195">
                  <c:v>56.228574525703451</c:v>
                </c:pt>
                <c:pt idx="196">
                  <c:v>56.14069833148541</c:v>
                </c:pt>
                <c:pt idx="197">
                  <c:v>56.050972135680198</c:v>
                </c:pt>
                <c:pt idx="198">
                  <c:v>55.959197011455601</c:v>
                </c:pt>
                <c:pt idx="199">
                  <c:v>55.865171282759611</c:v>
                </c:pt>
                <c:pt idx="200">
                  <c:v>55.768693367617217</c:v>
                </c:pt>
                <c:pt idx="201">
                  <c:v>55.669561781561285</c:v>
                </c:pt>
                <c:pt idx="202">
                  <c:v>55.567575146220953</c:v>
                </c:pt>
                <c:pt idx="203">
                  <c:v>55.462532190080751</c:v>
                </c:pt>
                <c:pt idx="204">
                  <c:v>55.354733944337767</c:v>
                </c:pt>
                <c:pt idx="205">
                  <c:v>55.244615956150888</c:v>
                </c:pt>
                <c:pt idx="206">
                  <c:v>55.132187873603307</c:v>
                </c:pt>
                <c:pt idx="207">
                  <c:v>55.017449424289715</c:v>
                </c:pt>
                <c:pt idx="208">
                  <c:v>54.900400392178142</c:v>
                </c:pt>
                <c:pt idx="209">
                  <c:v>54.78104062276298</c:v>
                </c:pt>
                <c:pt idx="210">
                  <c:v>54.659370021863161</c:v>
                </c:pt>
                <c:pt idx="211">
                  <c:v>54.535368183477665</c:v>
                </c:pt>
                <c:pt idx="212">
                  <c:v>54.409034598656994</c:v>
                </c:pt>
                <c:pt idx="213">
                  <c:v>54.28036933713792</c:v>
                </c:pt>
                <c:pt idx="214">
                  <c:v>54.149372532520339</c:v>
                </c:pt>
                <c:pt idx="215">
                  <c:v>54.016044382219832</c:v>
                </c:pt>
                <c:pt idx="216">
                  <c:v>53.88038514710329</c:v>
                </c:pt>
                <c:pt idx="217">
                  <c:v>53.742395146420634</c:v>
                </c:pt>
                <c:pt idx="218">
                  <c:v>53.60250947650291</c:v>
                </c:pt>
                <c:pt idx="219">
                  <c:v>53.461009729099047</c:v>
                </c:pt>
                <c:pt idx="220">
                  <c:v>53.317694979435458</c:v>
                </c:pt>
                <c:pt idx="221">
                  <c:v>53.172365037862441</c:v>
                </c:pt>
                <c:pt idx="222">
                  <c:v>53.024819825045704</c:v>
                </c:pt>
                <c:pt idx="223">
                  <c:v>52.874859372231803</c:v>
                </c:pt>
                <c:pt idx="224">
                  <c:v>52.722283815912384</c:v>
                </c:pt>
                <c:pt idx="225">
                  <c:v>52.566879644944024</c:v>
                </c:pt>
                <c:pt idx="226">
                  <c:v>52.408467651813261</c:v>
                </c:pt>
                <c:pt idx="227">
                  <c:v>52.246848275433301</c:v>
                </c:pt>
                <c:pt idx="228">
                  <c:v>52.081822046535024</c:v>
                </c:pt>
                <c:pt idx="229">
                  <c:v>51.913189584859374</c:v>
                </c:pt>
                <c:pt idx="230">
                  <c:v>51.7407516008439</c:v>
                </c:pt>
                <c:pt idx="231">
                  <c:v>51.56430888651586</c:v>
                </c:pt>
                <c:pt idx="232">
                  <c:v>51.384163390350892</c:v>
                </c:pt>
                <c:pt idx="233">
                  <c:v>51.200740923255637</c:v>
                </c:pt>
                <c:pt idx="234">
                  <c:v>51.014062354592305</c:v>
                </c:pt>
                <c:pt idx="235">
                  <c:v>50.824128842880896</c:v>
                </c:pt>
                <c:pt idx="236">
                  <c:v>50.630941545576761</c:v>
                </c:pt>
                <c:pt idx="237">
                  <c:v>50.434501669182296</c:v>
                </c:pt>
                <c:pt idx="238">
                  <c:v>50.234810435793534</c:v>
                </c:pt>
                <c:pt idx="239">
                  <c:v>50.031850309401705</c:v>
                </c:pt>
                <c:pt idx="240">
                  <c:v>49.825636259245904</c:v>
                </c:pt>
                <c:pt idx="241">
                  <c:v>49.616169568715378</c:v>
                </c:pt>
                <c:pt idx="242">
                  <c:v>49.403451547657944</c:v>
                </c:pt>
                <c:pt idx="243">
                  <c:v>49.187483528884108</c:v>
                </c:pt>
                <c:pt idx="244">
                  <c:v>48.968266872600573</c:v>
                </c:pt>
                <c:pt idx="245">
                  <c:v>48.745802965820161</c:v>
                </c:pt>
                <c:pt idx="246">
                  <c:v>48.520093229037734</c:v>
                </c:pt>
                <c:pt idx="247">
                  <c:v>48.291100917719085</c:v>
                </c:pt>
                <c:pt idx="248">
                  <c:v>48.058837223319649</c:v>
                </c:pt>
                <c:pt idx="249">
                  <c:v>47.823303768903109</c:v>
                </c:pt>
                <c:pt idx="250">
                  <c:v>47.584502229420863</c:v>
                </c:pt>
                <c:pt idx="251">
                  <c:v>47.342434329744073</c:v>
                </c:pt>
                <c:pt idx="252">
                  <c:v>47.097101848466188</c:v>
                </c:pt>
                <c:pt idx="253">
                  <c:v>46.848467439585427</c:v>
                </c:pt>
                <c:pt idx="254">
                  <c:v>46.596551678647501</c:v>
                </c:pt>
                <c:pt idx="255">
                  <c:v>46.341356624731652</c:v>
                </c:pt>
                <c:pt idx="256">
                  <c:v>46.082884406008795</c:v>
                </c:pt>
                <c:pt idx="257">
                  <c:v>45.821137221120743</c:v>
                </c:pt>
                <c:pt idx="258">
                  <c:v>45.556117338793641</c:v>
                </c:pt>
                <c:pt idx="259">
                  <c:v>45.287827102428643</c:v>
                </c:pt>
                <c:pt idx="260">
                  <c:v>45.016052224132288</c:v>
                </c:pt>
                <c:pt idx="261">
                  <c:v>44.740613498559021</c:v>
                </c:pt>
                <c:pt idx="262">
                  <c:v>44.461651050466479</c:v>
                </c:pt>
                <c:pt idx="263">
                  <c:v>44.179267515942954</c:v>
                </c:pt>
                <c:pt idx="264">
                  <c:v>43.893565562681033</c:v>
                </c:pt>
                <c:pt idx="265">
                  <c:v>43.604647328925168</c:v>
                </c:pt>
                <c:pt idx="266">
                  <c:v>43.312615208075954</c:v>
                </c:pt>
                <c:pt idx="267">
                  <c:v>43.017362797972147</c:v>
                </c:pt>
                <c:pt idx="268">
                  <c:v>42.719032728407853</c:v>
                </c:pt>
                <c:pt idx="269">
                  <c:v>42.41772953895051</c:v>
                </c:pt>
                <c:pt idx="270">
                  <c:v>42.11355792303403</c:v>
                </c:pt>
                <c:pt idx="271">
                  <c:v>41.806622734164158</c:v>
                </c:pt>
                <c:pt idx="272">
                  <c:v>41.497028980584183</c:v>
                </c:pt>
                <c:pt idx="273">
                  <c:v>41.184881828148221</c:v>
                </c:pt>
                <c:pt idx="274">
                  <c:v>40.868737675671454</c:v>
                </c:pt>
                <c:pt idx="275">
                  <c:v>40.547362001437897</c:v>
                </c:pt>
                <c:pt idx="276">
                  <c:v>40.221392298150761</c:v>
                </c:pt>
                <c:pt idx="277">
                  <c:v>39.891435526600922</c:v>
                </c:pt>
                <c:pt idx="278">
                  <c:v>39.558098741766109</c:v>
                </c:pt>
                <c:pt idx="279">
                  <c:v>39.221989091532237</c:v>
                </c:pt>
                <c:pt idx="280">
                  <c:v>38.883713805287201</c:v>
                </c:pt>
                <c:pt idx="281">
                  <c:v>38.543944351543573</c:v>
                </c:pt>
                <c:pt idx="282">
                  <c:v>38.203484033369321</c:v>
                </c:pt>
                <c:pt idx="283">
                  <c:v>37.862935948193702</c:v>
                </c:pt>
                <c:pt idx="284">
                  <c:v>37.522902943986821</c:v>
                </c:pt>
                <c:pt idx="285">
                  <c:v>37.183987602532873</c:v>
                </c:pt>
                <c:pt idx="286">
                  <c:v>36.8467922191385</c:v>
                </c:pt>
                <c:pt idx="287">
                  <c:v>36.511918783593316</c:v>
                </c:pt>
                <c:pt idx="288">
                  <c:v>36.177389274519555</c:v>
                </c:pt>
                <c:pt idx="289">
                  <c:v>35.841242465463651</c:v>
                </c:pt>
                <c:pt idx="290">
                  <c:v>35.504092963474491</c:v>
                </c:pt>
                <c:pt idx="291">
                  <c:v>35.166437898280201</c:v>
                </c:pt>
                <c:pt idx="292">
                  <c:v>34.828773815123817</c:v>
                </c:pt>
                <c:pt idx="293">
                  <c:v>34.49159667049959</c:v>
                </c:pt>
                <c:pt idx="294">
                  <c:v>34.155401832389146</c:v>
                </c:pt>
                <c:pt idx="295">
                  <c:v>33.820756387890313</c:v>
                </c:pt>
                <c:pt idx="296">
                  <c:v>33.488091709014199</c:v>
                </c:pt>
                <c:pt idx="297">
                  <c:v>33.157898807585305</c:v>
                </c:pt>
                <c:pt idx="298">
                  <c:v>32.830670160044008</c:v>
                </c:pt>
                <c:pt idx="299">
                  <c:v>32.506897724852791</c:v>
                </c:pt>
                <c:pt idx="300">
                  <c:v>32.187072965120564</c:v>
                </c:pt>
                <c:pt idx="301">
                  <c:v>31.871686870930787</c:v>
                </c:pt>
                <c:pt idx="302">
                  <c:v>31.559333764606574</c:v>
                </c:pt>
                <c:pt idx="303">
                  <c:v>31.248351796169196</c:v>
                </c:pt>
                <c:pt idx="304">
                  <c:v>30.938961522789697</c:v>
                </c:pt>
                <c:pt idx="305">
                  <c:v>30.631458759076832</c:v>
                </c:pt>
                <c:pt idx="306">
                  <c:v>30.326139022274422</c:v>
                </c:pt>
                <c:pt idx="307">
                  <c:v>30.023297546875355</c:v>
                </c:pt>
                <c:pt idx="308">
                  <c:v>29.723229300399986</c:v>
                </c:pt>
                <c:pt idx="309">
                  <c:v>29.426299740315176</c:v>
                </c:pt>
                <c:pt idx="310">
                  <c:v>29.13273825581982</c:v>
                </c:pt>
                <c:pt idx="311">
                  <c:v>28.842838913917106</c:v>
                </c:pt>
                <c:pt idx="312">
                  <c:v>28.556895589927564</c:v>
                </c:pt>
                <c:pt idx="313">
                  <c:v>28.275201990373205</c:v>
                </c:pt>
                <c:pt idx="314">
                  <c:v>27.998051672947458</c:v>
                </c:pt>
                <c:pt idx="315">
                  <c:v>27.725738072072545</c:v>
                </c:pt>
                <c:pt idx="316">
                  <c:v>27.456725822044906</c:v>
                </c:pt>
                <c:pt idx="317">
                  <c:v>27.189781963321117</c:v>
                </c:pt>
                <c:pt idx="318">
                  <c:v>26.9255010168864</c:v>
                </c:pt>
                <c:pt idx="319">
                  <c:v>26.664368355939818</c:v>
                </c:pt>
                <c:pt idx="320">
                  <c:v>26.406869665755192</c:v>
                </c:pt>
                <c:pt idx="321">
                  <c:v>26.153491004932818</c:v>
                </c:pt>
                <c:pt idx="322">
                  <c:v>25.904718846887068</c:v>
                </c:pt>
                <c:pt idx="323">
                  <c:v>25.661010289078</c:v>
                </c:pt>
                <c:pt idx="324">
                  <c:v>25.422792280837367</c:v>
                </c:pt>
                <c:pt idx="325">
                  <c:v>25.190555153935076</c:v>
                </c:pt>
                <c:pt idx="326">
                  <c:v>24.96479146201888</c:v>
                </c:pt>
                <c:pt idx="327">
                  <c:v>24.745992992145791</c:v>
                </c:pt>
                <c:pt idx="328">
                  <c:v>24.534650499779172</c:v>
                </c:pt>
                <c:pt idx="329">
                  <c:v>24.331255213988172</c:v>
                </c:pt>
                <c:pt idx="330">
                  <c:v>24.133756853491896</c:v>
                </c:pt>
                <c:pt idx="331">
                  <c:v>23.940228101485314</c:v>
                </c:pt>
                <c:pt idx="332">
                  <c:v>23.751112066333263</c:v>
                </c:pt>
                <c:pt idx="333">
                  <c:v>23.567004328988762</c:v>
                </c:pt>
                <c:pt idx="334">
                  <c:v>23.3885007670888</c:v>
                </c:pt>
                <c:pt idx="335">
                  <c:v>23.216197544188844</c:v>
                </c:pt>
                <c:pt idx="336">
                  <c:v>23.05069109349019</c:v>
                </c:pt>
                <c:pt idx="337">
                  <c:v>22.892702467400397</c:v>
                </c:pt>
                <c:pt idx="338">
                  <c:v>22.742853250510695</c:v>
                </c:pt>
                <c:pt idx="339">
                  <c:v>22.601738296858411</c:v>
                </c:pt>
                <c:pt idx="340">
                  <c:v>22.469952917456453</c:v>
                </c:pt>
                <c:pt idx="341">
                  <c:v>22.348092829496977</c:v>
                </c:pt>
                <c:pt idx="342">
                  <c:v>22.236754114418336</c:v>
                </c:pt>
                <c:pt idx="343">
                  <c:v>22.136533190068768</c:v>
                </c:pt>
                <c:pt idx="344">
                  <c:v>22.045507095830207</c:v>
                </c:pt>
                <c:pt idx="345">
                  <c:v>21.961670829295471</c:v>
                </c:pt>
                <c:pt idx="346">
                  <c:v>21.885374391174704</c:v>
                </c:pt>
                <c:pt idx="347">
                  <c:v>21.817092890812045</c:v>
                </c:pt>
                <c:pt idx="348">
                  <c:v>21.757301419263879</c:v>
                </c:pt>
                <c:pt idx="349">
                  <c:v>21.70647501966468</c:v>
                </c:pt>
                <c:pt idx="350">
                  <c:v>21.665088637962242</c:v>
                </c:pt>
                <c:pt idx="351">
                  <c:v>21.633545670159602</c:v>
                </c:pt>
                <c:pt idx="352">
                  <c:v>21.612203613846212</c:v>
                </c:pt>
                <c:pt idx="353">
                  <c:v>21.601538031592973</c:v>
                </c:pt>
                <c:pt idx="354">
                  <c:v>21.602024088971284</c:v>
                </c:pt>
                <c:pt idx="355">
                  <c:v>21.614136556447743</c:v>
                </c:pt>
                <c:pt idx="356">
                  <c:v>21.638350147232877</c:v>
                </c:pt>
                <c:pt idx="357">
                  <c:v>21.675138862557858</c:v>
                </c:pt>
                <c:pt idx="358">
                  <c:v>21.724883406042125</c:v>
                </c:pt>
                <c:pt idx="359">
                  <c:v>21.787337977098641</c:v>
                </c:pt>
                <c:pt idx="360">
                  <c:v>21.862153977375737</c:v>
                </c:pt>
                <c:pt idx="361">
                  <c:v>21.948936504435554</c:v>
                </c:pt>
                <c:pt idx="362">
                  <c:v>22.047219984245864</c:v>
                </c:pt>
                <c:pt idx="363">
                  <c:v>22.156538808334879</c:v>
                </c:pt>
                <c:pt idx="364">
                  <c:v>22.276427342618376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23.496361439616425</c:v>
                </c:pt>
                <c:pt idx="1">
                  <c:v>16.204710361062556</c:v>
                </c:pt>
                <c:pt idx="2">
                  <c:v>17.497138367709798</c:v>
                </c:pt>
                <c:pt idx="3">
                  <c:v>18.593014047988166</c:v>
                </c:pt>
                <c:pt idx="4">
                  <c:v>14.703547057770054</c:v>
                </c:pt>
                <c:pt idx="5">
                  <c:v>21.100045780989873</c:v>
                </c:pt>
                <c:pt idx="6">
                  <c:v>10.347088315126236</c:v>
                </c:pt>
                <c:pt idx="7">
                  <c:v>7.3640952094862371</c:v>
                </c:pt>
                <c:pt idx="8">
                  <c:v>2.1986041387598663</c:v>
                </c:pt>
                <c:pt idx="9">
                  <c:v>1.8030837448861432</c:v>
                </c:pt>
                <c:pt idx="10">
                  <c:v>25.276833301788471</c:v>
                </c:pt>
                <c:pt idx="11">
                  <c:v>21.973521100807307</c:v>
                </c:pt>
                <c:pt idx="12">
                  <c:v>5.6330206064397927</c:v>
                </c:pt>
                <c:pt idx="13">
                  <c:v>26.733015253760399</c:v>
                </c:pt>
                <c:pt idx="14">
                  <c:v>27.048189063010764</c:v>
                </c:pt>
                <c:pt idx="15">
                  <c:v>26.464121758416528</c:v>
                </c:pt>
                <c:pt idx="16">
                  <c:v>12.220982304957838</c:v>
                </c:pt>
                <c:pt idx="17">
                  <c:v>3.8825753105881389</c:v>
                </c:pt>
                <c:pt idx="18">
                  <c:v>10.594253107775202</c:v>
                </c:pt>
                <c:pt idx="19">
                  <c:v>6.6350060065586449</c:v>
                </c:pt>
                <c:pt idx="20">
                  <c:v>21.155696206652959</c:v>
                </c:pt>
                <c:pt idx="21">
                  <c:v>28.241471218306039</c:v>
                </c:pt>
                <c:pt idx="22">
                  <c:v>28.368414662167865</c:v>
                </c:pt>
                <c:pt idx="23">
                  <c:v>28.920382770543082</c:v>
                </c:pt>
                <c:pt idx="24">
                  <c:v>27.966687850478273</c:v>
                </c:pt>
                <c:pt idx="25">
                  <c:v>28.649261604131169</c:v>
                </c:pt>
                <c:pt idx="26">
                  <c:v>27.378219810462621</c:v>
                </c:pt>
                <c:pt idx="27">
                  <c:v>4.3270288288500787</c:v>
                </c:pt>
                <c:pt idx="28">
                  <c:v>9.1335808582147635</c:v>
                </c:pt>
                <c:pt idx="29">
                  <c:v>4.7172509857042408</c:v>
                </c:pt>
                <c:pt idx="30">
                  <c:v>7.8228883405555099</c:v>
                </c:pt>
                <c:pt idx="31">
                  <c:v>12.982706851503053</c:v>
                </c:pt>
                <c:pt idx="32">
                  <c:v>5.4810915329702805</c:v>
                </c:pt>
                <c:pt idx="33">
                  <c:v>10.757814671768246</c:v>
                </c:pt>
                <c:pt idx="34">
                  <c:v>10.596538820471709</c:v>
                </c:pt>
                <c:pt idx="35">
                  <c:v>9.3119367253234877</c:v>
                </c:pt>
                <c:pt idx="36">
                  <c:v>21.695687484142155</c:v>
                </c:pt>
                <c:pt idx="37">
                  <c:v>9.1441156449304923</c:v>
                </c:pt>
                <c:pt idx="38">
                  <c:v>33.914250109213469</c:v>
                </c:pt>
                <c:pt idx="39">
                  <c:v>34.206143063022303</c:v>
                </c:pt>
                <c:pt idx="40">
                  <c:v>31.900841502204759</c:v>
                </c:pt>
                <c:pt idx="41">
                  <c:v>17.672512924997342</c:v>
                </c:pt>
                <c:pt idx="42">
                  <c:v>27.082121213353293</c:v>
                </c:pt>
                <c:pt idx="43">
                  <c:v>33.135391113484289</c:v>
                </c:pt>
                <c:pt idx="44">
                  <c:v>15.55693794234614</c:v>
                </c:pt>
                <c:pt idx="45">
                  <c:v>18.764176017743253</c:v>
                </c:pt>
                <c:pt idx="46">
                  <c:v>9.2300464176496533</c:v>
                </c:pt>
                <c:pt idx="47">
                  <c:v>11.500107844970502</c:v>
                </c:pt>
                <c:pt idx="48">
                  <c:v>29.690173745148112</c:v>
                </c:pt>
                <c:pt idx="49">
                  <c:v>20.146453182744015</c:v>
                </c:pt>
                <c:pt idx="50">
                  <c:v>20.025494352550428</c:v>
                </c:pt>
                <c:pt idx="51">
                  <c:v>22.172508883595565</c:v>
                </c:pt>
                <c:pt idx="52">
                  <c:v>33.884367533829909</c:v>
                </c:pt>
                <c:pt idx="53">
                  <c:v>35.607700167715791</c:v>
                </c:pt>
                <c:pt idx="54">
                  <c:v>22.166168199721088</c:v>
                </c:pt>
                <c:pt idx="55">
                  <c:v>31.743780561196029</c:v>
                </c:pt>
                <c:pt idx="56">
                  <c:v>40.233675936916363</c:v>
                </c:pt>
                <c:pt idx="57">
                  <c:v>28.760982676197049</c:v>
                </c:pt>
                <c:pt idx="58">
                  <c:v>34.723302296213163</c:v>
                </c:pt>
                <c:pt idx="59">
                  <c:v>40.289021897255317</c:v>
                </c:pt>
                <c:pt idx="60">
                  <c:v>11.739842725178198</c:v>
                </c:pt>
                <c:pt idx="61">
                  <c:v>36.024246638702643</c:v>
                </c:pt>
                <c:pt idx="62">
                  <c:v>3.8712670326332388</c:v>
                </c:pt>
                <c:pt idx="63">
                  <c:v>13.330483185209015</c:v>
                </c:pt>
                <c:pt idx="64">
                  <c:v>16.072248952042507</c:v>
                </c:pt>
                <c:pt idx="65">
                  <c:v>39.593044664876317</c:v>
                </c:pt>
                <c:pt idx="66">
                  <c:v>32.269169875514379</c:v>
                </c:pt>
                <c:pt idx="67">
                  <c:v>31.46238674370553</c:v>
                </c:pt>
                <c:pt idx="68">
                  <c:v>25.046671951623569</c:v>
                </c:pt>
                <c:pt idx="69">
                  <c:v>15.534074956986304</c:v>
                </c:pt>
                <c:pt idx="70">
                  <c:v>16.168537447632193</c:v>
                </c:pt>
                <c:pt idx="71">
                  <c:v>9.0666400999869161</c:v>
                </c:pt>
                <c:pt idx="72">
                  <c:v>14.608882579340092</c:v>
                </c:pt>
                <c:pt idx="73">
                  <c:v>13.905671715082351</c:v>
                </c:pt>
                <c:pt idx="74">
                  <c:v>13.878411839737012</c:v>
                </c:pt>
                <c:pt idx="75">
                  <c:v>11.655964770419287</c:v>
                </c:pt>
                <c:pt idx="76">
                  <c:v>15.068794273623563</c:v>
                </c:pt>
                <c:pt idx="77">
                  <c:v>28.790518380185802</c:v>
                </c:pt>
                <c:pt idx="78">
                  <c:v>31.969087891619647</c:v>
                </c:pt>
                <c:pt idx="79">
                  <c:v>45.255100764747574</c:v>
                </c:pt>
                <c:pt idx="80">
                  <c:v>42.966109405015921</c:v>
                </c:pt>
                <c:pt idx="81">
                  <c:v>48.974805358097825</c:v>
                </c:pt>
                <c:pt idx="82">
                  <c:v>48.17115299493711</c:v>
                </c:pt>
                <c:pt idx="83">
                  <c:v>42.868815777546324</c:v>
                </c:pt>
                <c:pt idx="84">
                  <c:v>47.455357016556434</c:v>
                </c:pt>
                <c:pt idx="85">
                  <c:v>45.88040857246385</c:v>
                </c:pt>
                <c:pt idx="86">
                  <c:v>14.774294943281692</c:v>
                </c:pt>
                <c:pt idx="87">
                  <c:v>28.356562793800233</c:v>
                </c:pt>
                <c:pt idx="88">
                  <c:v>7.9509773107105364</c:v>
                </c:pt>
                <c:pt idx="89">
                  <c:v>28.320948752625096</c:v>
                </c:pt>
                <c:pt idx="90">
                  <c:v>33.164494051702583</c:v>
                </c:pt>
                <c:pt idx="91">
                  <c:v>20.703860130203385</c:v>
                </c:pt>
                <c:pt idx="92">
                  <c:v>23.033640937355447</c:v>
                </c:pt>
                <c:pt idx="93">
                  <c:v>46.367491177127519</c:v>
                </c:pt>
                <c:pt idx="94">
                  <c:v>53.207262369168781</c:v>
                </c:pt>
                <c:pt idx="95">
                  <c:v>11.517195221759206</c:v>
                </c:pt>
                <c:pt idx="96">
                  <c:v>38.662853590675404</c:v>
                </c:pt>
                <c:pt idx="97">
                  <c:v>31.411230514589189</c:v>
                </c:pt>
                <c:pt idx="98">
                  <c:v>36.851930966776294</c:v>
                </c:pt>
                <c:pt idx="99">
                  <c:v>53.887639440739207</c:v>
                </c:pt>
                <c:pt idx="100">
                  <c:v>44.662975545435863</c:v>
                </c:pt>
                <c:pt idx="101">
                  <c:v>38.146126940957451</c:v>
                </c:pt>
                <c:pt idx="102">
                  <c:v>8.1519261699054919</c:v>
                </c:pt>
                <c:pt idx="103">
                  <c:v>41.260997991476586</c:v>
                </c:pt>
                <c:pt idx="104">
                  <c:v>45.024809902312548</c:v>
                </c:pt>
                <c:pt idx="105">
                  <c:v>46.716664743979784</c:v>
                </c:pt>
                <c:pt idx="106">
                  <c:v>54.832731267761602</c:v>
                </c:pt>
                <c:pt idx="107">
                  <c:v>40.563338758816755</c:v>
                </c:pt>
                <c:pt idx="108">
                  <c:v>9.4819836765656067</c:v>
                </c:pt>
                <c:pt idx="109">
                  <c:v>9.8928456037400689</c:v>
                </c:pt>
                <c:pt idx="110">
                  <c:v>9.5228089579709518</c:v>
                </c:pt>
                <c:pt idx="111">
                  <c:v>27.678004010604237</c:v>
                </c:pt>
                <c:pt idx="112">
                  <c:v>9.2180502151668975</c:v>
                </c:pt>
                <c:pt idx="113">
                  <c:v>31.853111581872653</c:v>
                </c:pt>
                <c:pt idx="114">
                  <c:v>48.208428547142709</c:v>
                </c:pt>
                <c:pt idx="115">
                  <c:v>55.272647343250881</c:v>
                </c:pt>
                <c:pt idx="116">
                  <c:v>40.123342035408228</c:v>
                </c:pt>
                <c:pt idx="117">
                  <c:v>24.176397013237217</c:v>
                </c:pt>
                <c:pt idx="118">
                  <c:v>44.21664953306373</c:v>
                </c:pt>
                <c:pt idx="119">
                  <c:v>46.806359894997179</c:v>
                </c:pt>
                <c:pt idx="120">
                  <c:v>47.360211366731527</c:v>
                </c:pt>
                <c:pt idx="121">
                  <c:v>28.137708988419757</c:v>
                </c:pt>
                <c:pt idx="122">
                  <c:v>39.274064280591595</c:v>
                </c:pt>
                <c:pt idx="123">
                  <c:v>21.267479775317263</c:v>
                </c:pt>
                <c:pt idx="124">
                  <c:v>43.626989276207055</c:v>
                </c:pt>
                <c:pt idx="125">
                  <c:v>38.284686406227713</c:v>
                </c:pt>
                <c:pt idx="126">
                  <c:v>52.37698945408254</c:v>
                </c:pt>
                <c:pt idx="127">
                  <c:v>48.29786279240848</c:v>
                </c:pt>
                <c:pt idx="128">
                  <c:v>55.46113230091737</c:v>
                </c:pt>
                <c:pt idx="129">
                  <c:v>51.80714294191057</c:v>
                </c:pt>
                <c:pt idx="130">
                  <c:v>55.865238646519764</c:v>
                </c:pt>
                <c:pt idx="131">
                  <c:v>41.65108526674031</c:v>
                </c:pt>
                <c:pt idx="132">
                  <c:v>43.626850726131082</c:v>
                </c:pt>
                <c:pt idx="133">
                  <c:v>49.713822862167113</c:v>
                </c:pt>
                <c:pt idx="134">
                  <c:v>52.316039248632727</c:v>
                </c:pt>
                <c:pt idx="135">
                  <c:v>50.750772435437675</c:v>
                </c:pt>
                <c:pt idx="136">
                  <c:v>54.127197352913115</c:v>
                </c:pt>
                <c:pt idx="137">
                  <c:v>52.352148152248397</c:v>
                </c:pt>
                <c:pt idx="138">
                  <c:v>55.034485695214833</c:v>
                </c:pt>
                <c:pt idx="139">
                  <c:v>49.108993364213866</c:v>
                </c:pt>
                <c:pt idx="140">
                  <c:v>49.204578775874673</c:v>
                </c:pt>
                <c:pt idx="141">
                  <c:v>37.37605408045242</c:v>
                </c:pt>
                <c:pt idx="142">
                  <c:v>19.734076501484175</c:v>
                </c:pt>
                <c:pt idx="143">
                  <c:v>16.31403599650713</c:v>
                </c:pt>
                <c:pt idx="144">
                  <c:v>41.037949419038483</c:v>
                </c:pt>
                <c:pt idx="145">
                  <c:v>24.946114227270854</c:v>
                </c:pt>
                <c:pt idx="146">
                  <c:v>45.928787020643512</c:v>
                </c:pt>
                <c:pt idx="147">
                  <c:v>55.242756785117976</c:v>
                </c:pt>
                <c:pt idx="148">
                  <c:v>59.731144573311511</c:v>
                </c:pt>
                <c:pt idx="149">
                  <c:v>50.681700049059046</c:v>
                </c:pt>
                <c:pt idx="150">
                  <c:v>54.941273355448971</c:v>
                </c:pt>
                <c:pt idx="151">
                  <c:v>55.984687232359228</c:v>
                </c:pt>
                <c:pt idx="152">
                  <c:v>44.650476812827435</c:v>
                </c:pt>
                <c:pt idx="153">
                  <c:v>54.614088566831661</c:v>
                </c:pt>
                <c:pt idx="154">
                  <c:v>26.036134751184459</c:v>
                </c:pt>
                <c:pt idx="155">
                  <c:v>35.876759282014852</c:v>
                </c:pt>
                <c:pt idx="156">
                  <c:v>46.797861934757975</c:v>
                </c:pt>
                <c:pt idx="157">
                  <c:v>28.388021989333353</c:v>
                </c:pt>
                <c:pt idx="158">
                  <c:v>21.164086084853288</c:v>
                </c:pt>
                <c:pt idx="159">
                  <c:v>46.110253634465188</c:v>
                </c:pt>
                <c:pt idx="160">
                  <c:v>57.523773077813424</c:v>
                </c:pt>
                <c:pt idx="161">
                  <c:v>55.589377126293897</c:v>
                </c:pt>
                <c:pt idx="162">
                  <c:v>43.151309329942052</c:v>
                </c:pt>
                <c:pt idx="163">
                  <c:v>54.26662042106117</c:v>
                </c:pt>
                <c:pt idx="164">
                  <c:v>48.241291052271386</c:v>
                </c:pt>
                <c:pt idx="165">
                  <c:v>54.383818524495197</c:v>
                </c:pt>
                <c:pt idx="166">
                  <c:v>52.233886334651103</c:v>
                </c:pt>
                <c:pt idx="167">
                  <c:v>52.374519865829051</c:v>
                </c:pt>
                <c:pt idx="168">
                  <c:v>54.764773083386046</c:v>
                </c:pt>
                <c:pt idx="169">
                  <c:v>56.096549311159137</c:v>
                </c:pt>
                <c:pt idx="170">
                  <c:v>31.645682485215129</c:v>
                </c:pt>
                <c:pt idx="171">
                  <c:v>22.774168112529054</c:v>
                </c:pt>
                <c:pt idx="172">
                  <c:v>44.11067829948</c:v>
                </c:pt>
                <c:pt idx="173">
                  <c:v>41.607753703808832</c:v>
                </c:pt>
                <c:pt idx="174">
                  <c:v>39.245934391153725</c:v>
                </c:pt>
                <c:pt idx="175">
                  <c:v>34.058283612608953</c:v>
                </c:pt>
                <c:pt idx="176">
                  <c:v>12.092012439364245</c:v>
                </c:pt>
                <c:pt idx="177">
                  <c:v>14.692935491272417</c:v>
                </c:pt>
                <c:pt idx="178">
                  <c:v>58.288908905224808</c:v>
                </c:pt>
                <c:pt idx="179">
                  <c:v>56.617722346922108</c:v>
                </c:pt>
                <c:pt idx="180">
                  <c:v>13.962904621888351</c:v>
                </c:pt>
                <c:pt idx="181">
                  <c:v>50.363431219948659</c:v>
                </c:pt>
                <c:pt idx="182">
                  <c:v>55.634650162185693</c:v>
                </c:pt>
                <c:pt idx="183">
                  <c:v>45.830451337746396</c:v>
                </c:pt>
                <c:pt idx="184">
                  <c:v>44.340281478393941</c:v>
                </c:pt>
                <c:pt idx="185">
                  <c:v>55.583495424755704</c:v>
                </c:pt>
                <c:pt idx="186">
                  <c:v>47.24687233171354</c:v>
                </c:pt>
                <c:pt idx="187">
                  <c:v>55.032793537767311</c:v>
                </c:pt>
                <c:pt idx="188">
                  <c:v>57.403917759875199</c:v>
                </c:pt>
                <c:pt idx="189">
                  <c:v>56.733235523712821</c:v>
                </c:pt>
                <c:pt idx="190">
                  <c:v>56.194179480314226</c:v>
                </c:pt>
                <c:pt idx="191">
                  <c:v>54.718384932328938</c:v>
                </c:pt>
                <c:pt idx="192">
                  <c:v>54.481685544350384</c:v>
                </c:pt>
                <c:pt idx="193">
                  <c:v>54.204921893972731</c:v>
                </c:pt>
                <c:pt idx="194">
                  <c:v>53.638158766703526</c:v>
                </c:pt>
                <c:pt idx="195">
                  <c:v>51.868446699628798</c:v>
                </c:pt>
                <c:pt idx="196">
                  <c:v>53.377479266807626</c:v>
                </c:pt>
                <c:pt idx="197">
                  <c:v>52.907997356821006</c:v>
                </c:pt>
                <c:pt idx="198">
                  <c:v>53.861872303395359</c:v>
                </c:pt>
                <c:pt idx="199">
                  <c:v>44.509558830307988</c:v>
                </c:pt>
                <c:pt idx="200">
                  <c:v>44.075223303750519</c:v>
                </c:pt>
                <c:pt idx="201">
                  <c:v>52.122334326666206</c:v>
                </c:pt>
                <c:pt idx="202">
                  <c:v>42.08549361479669</c:v>
                </c:pt>
                <c:pt idx="203">
                  <c:v>48.361110809141735</c:v>
                </c:pt>
                <c:pt idx="204">
                  <c:v>52.353788120561688</c:v>
                </c:pt>
                <c:pt idx="205">
                  <c:v>26.679643133997796</c:v>
                </c:pt>
                <c:pt idx="206">
                  <c:v>56.577423439169472</c:v>
                </c:pt>
                <c:pt idx="207">
                  <c:v>56.616485338273861</c:v>
                </c:pt>
                <c:pt idx="208">
                  <c:v>44.14281990187402</c:v>
                </c:pt>
                <c:pt idx="209">
                  <c:v>31.528496690007611</c:v>
                </c:pt>
                <c:pt idx="210">
                  <c:v>48.763412366106536</c:v>
                </c:pt>
                <c:pt idx="211">
                  <c:v>54.143932830451938</c:v>
                </c:pt>
                <c:pt idx="212">
                  <c:v>53.77739951028849</c:v>
                </c:pt>
                <c:pt idx="213">
                  <c:v>53.766769466787181</c:v>
                </c:pt>
                <c:pt idx="214">
                  <c:v>50.774128900523479</c:v>
                </c:pt>
                <c:pt idx="215">
                  <c:v>50.021975033315016</c:v>
                </c:pt>
                <c:pt idx="216">
                  <c:v>45.426952084047613</c:v>
                </c:pt>
                <c:pt idx="217">
                  <c:v>49.88218867015329</c:v>
                </c:pt>
                <c:pt idx="218">
                  <c:v>52.491934221223026</c:v>
                </c:pt>
                <c:pt idx="219">
                  <c:v>52.934494561137726</c:v>
                </c:pt>
                <c:pt idx="220">
                  <c:v>50.948297119445392</c:v>
                </c:pt>
                <c:pt idx="221">
                  <c:v>48.145115829180959</c:v>
                </c:pt>
                <c:pt idx="222">
                  <c:v>46.555767452805192</c:v>
                </c:pt>
                <c:pt idx="223">
                  <c:v>47.482039168774236</c:v>
                </c:pt>
                <c:pt idx="224">
                  <c:v>35.734328005279565</c:v>
                </c:pt>
                <c:pt idx="225">
                  <c:v>33.919484638022105</c:v>
                </c:pt>
                <c:pt idx="226">
                  <c:v>38.424533517023733</c:v>
                </c:pt>
                <c:pt idx="227">
                  <c:v>35.539773833420618</c:v>
                </c:pt>
                <c:pt idx="228">
                  <c:v>28.513783569046492</c:v>
                </c:pt>
                <c:pt idx="229">
                  <c:v>36.177021067355206</c:v>
                </c:pt>
                <c:pt idx="230">
                  <c:v>41.209038825203386</c:v>
                </c:pt>
                <c:pt idx="231">
                  <c:v>49.488089848669276</c:v>
                </c:pt>
                <c:pt idx="232">
                  <c:v>33.429127779385119</c:v>
                </c:pt>
                <c:pt idx="233">
                  <c:v>26.642322350606161</c:v>
                </c:pt>
                <c:pt idx="234">
                  <c:v>48.317098503110543</c:v>
                </c:pt>
                <c:pt idx="235">
                  <c:v>46.062988150556869</c:v>
                </c:pt>
                <c:pt idx="236">
                  <c:v>32.295163638327665</c:v>
                </c:pt>
                <c:pt idx="237">
                  <c:v>42.888029647233111</c:v>
                </c:pt>
                <c:pt idx="238">
                  <c:v>48.773543775459594</c:v>
                </c:pt>
                <c:pt idx="239">
                  <c:v>47.712404323675543</c:v>
                </c:pt>
                <c:pt idx="240">
                  <c:v>32.648035703133147</c:v>
                </c:pt>
                <c:pt idx="241">
                  <c:v>47.396868803476558</c:v>
                </c:pt>
                <c:pt idx="242">
                  <c:v>24.481674052680617</c:v>
                </c:pt>
                <c:pt idx="243">
                  <c:v>40.074316157796979</c:v>
                </c:pt>
                <c:pt idx="244">
                  <c:v>38.56822445922262</c:v>
                </c:pt>
                <c:pt idx="245">
                  <c:v>37.654848764278498</c:v>
                </c:pt>
                <c:pt idx="246">
                  <c:v>45.509460283132576</c:v>
                </c:pt>
                <c:pt idx="247">
                  <c:v>39.778680992957163</c:v>
                </c:pt>
                <c:pt idx="248">
                  <c:v>45.015039169433827</c:v>
                </c:pt>
                <c:pt idx="249">
                  <c:v>35.834643604736961</c:v>
                </c:pt>
                <c:pt idx="250">
                  <c:v>34.826625132453493</c:v>
                </c:pt>
                <c:pt idx="251">
                  <c:v>23.324904227920978</c:v>
                </c:pt>
                <c:pt idx="252">
                  <c:v>46.138028046834322</c:v>
                </c:pt>
                <c:pt idx="253">
                  <c:v>45.569874216898313</c:v>
                </c:pt>
                <c:pt idx="254">
                  <c:v>33.076443013304676</c:v>
                </c:pt>
                <c:pt idx="255">
                  <c:v>14.040253008540159</c:v>
                </c:pt>
                <c:pt idx="256">
                  <c:v>35.207237869264283</c:v>
                </c:pt>
                <c:pt idx="257">
                  <c:v>40.321816960710315</c:v>
                </c:pt>
                <c:pt idx="258">
                  <c:v>32.216261813431778</c:v>
                </c:pt>
                <c:pt idx="259">
                  <c:v>45.018153449755658</c:v>
                </c:pt>
                <c:pt idx="260">
                  <c:v>45.010418219256572</c:v>
                </c:pt>
                <c:pt idx="261">
                  <c:v>44.398948208030767</c:v>
                </c:pt>
                <c:pt idx="262">
                  <c:v>46.088482311303366</c:v>
                </c:pt>
                <c:pt idx="263">
                  <c:v>44.901424037775989</c:v>
                </c:pt>
                <c:pt idx="264">
                  <c:v>43.449044402087999</c:v>
                </c:pt>
                <c:pt idx="265">
                  <c:v>27.576597216280991</c:v>
                </c:pt>
                <c:pt idx="266">
                  <c:v>16.704424025680609</c:v>
                </c:pt>
                <c:pt idx="267">
                  <c:v>35.177295775841927</c:v>
                </c:pt>
                <c:pt idx="268">
                  <c:v>32.207563746516392</c:v>
                </c:pt>
                <c:pt idx="269">
                  <c:v>17.078017350205286</c:v>
                </c:pt>
                <c:pt idx="270">
                  <c:v>19.356039643206113</c:v>
                </c:pt>
                <c:pt idx="271">
                  <c:v>23.255894212011714</c:v>
                </c:pt>
                <c:pt idx="272">
                  <c:v>27.596133113559759</c:v>
                </c:pt>
                <c:pt idx="273">
                  <c:v>36.056525422274987</c:v>
                </c:pt>
                <c:pt idx="274">
                  <c:v>38.445438403446524</c:v>
                </c:pt>
                <c:pt idx="275">
                  <c:v>37.111475387149461</c:v>
                </c:pt>
                <c:pt idx="276">
                  <c:v>40.878066485769523</c:v>
                </c:pt>
                <c:pt idx="277">
                  <c:v>41.673678314968654</c:v>
                </c:pt>
                <c:pt idx="278">
                  <c:v>11.511173514293917</c:v>
                </c:pt>
                <c:pt idx="279">
                  <c:v>28.912562194286412</c:v>
                </c:pt>
                <c:pt idx="280">
                  <c:v>16.684671792911526</c:v>
                </c:pt>
                <c:pt idx="281">
                  <c:v>38.092277860152386</c:v>
                </c:pt>
                <c:pt idx="282">
                  <c:v>30.578607379643035</c:v>
                </c:pt>
                <c:pt idx="283">
                  <c:v>22.239638436797215</c:v>
                </c:pt>
                <c:pt idx="284">
                  <c:v>27.601101319520712</c:v>
                </c:pt>
                <c:pt idx="285">
                  <c:v>23.108178690530611</c:v>
                </c:pt>
                <c:pt idx="286">
                  <c:v>17.961196531337709</c:v>
                </c:pt>
                <c:pt idx="287">
                  <c:v>36.904060560416966</c:v>
                </c:pt>
                <c:pt idx="288">
                  <c:v>32.569771056994952</c:v>
                </c:pt>
                <c:pt idx="289">
                  <c:v>19.333961752673058</c:v>
                </c:pt>
                <c:pt idx="290">
                  <c:v>34.101852446815329</c:v>
                </c:pt>
                <c:pt idx="291">
                  <c:v>15.849694600620799</c:v>
                </c:pt>
                <c:pt idx="292">
                  <c:v>6.6738654481508508</c:v>
                </c:pt>
                <c:pt idx="293">
                  <c:v>16.241103026450517</c:v>
                </c:pt>
                <c:pt idx="294">
                  <c:v>32.810846422795287</c:v>
                </c:pt>
                <c:pt idx="295">
                  <c:v>16.862224055542036</c:v>
                </c:pt>
                <c:pt idx="296">
                  <c:v>24.947175197168598</c:v>
                </c:pt>
                <c:pt idx="297">
                  <c:v>22.056119332791805</c:v>
                </c:pt>
                <c:pt idx="298">
                  <c:v>12.294692776750725</c:v>
                </c:pt>
                <c:pt idx="299">
                  <c:v>14.222642415970283</c:v>
                </c:pt>
                <c:pt idx="300">
                  <c:v>17.108473048432192</c:v>
                </c:pt>
                <c:pt idx="301">
                  <c:v>26.5695703208835</c:v>
                </c:pt>
                <c:pt idx="302">
                  <c:v>22.842324032378404</c:v>
                </c:pt>
                <c:pt idx="303">
                  <c:v>21.725376811799752</c:v>
                </c:pt>
                <c:pt idx="304">
                  <c:v>19.258345380657914</c:v>
                </c:pt>
                <c:pt idx="305">
                  <c:v>28.569182997301681</c:v>
                </c:pt>
                <c:pt idx="306">
                  <c:v>10.028180177566538</c:v>
                </c:pt>
                <c:pt idx="307">
                  <c:v>17.318350199721692</c:v>
                </c:pt>
                <c:pt idx="308">
                  <c:v>29.499111548850834</c:v>
                </c:pt>
                <c:pt idx="309">
                  <c:v>29.455840865290529</c:v>
                </c:pt>
                <c:pt idx="310">
                  <c:v>27.628730322451705</c:v>
                </c:pt>
                <c:pt idx="311">
                  <c:v>19.923170185272738</c:v>
                </c:pt>
                <c:pt idx="312">
                  <c:v>9.813116749905447</c:v>
                </c:pt>
                <c:pt idx="313">
                  <c:v>19.812821664626302</c:v>
                </c:pt>
                <c:pt idx="314">
                  <c:v>27.101111542115536</c:v>
                </c:pt>
                <c:pt idx="315">
                  <c:v>26.686834897075631</c:v>
                </c:pt>
                <c:pt idx="316">
                  <c:v>25.664496154703592</c:v>
                </c:pt>
                <c:pt idx="317">
                  <c:v>9.5025309938227949</c:v>
                </c:pt>
                <c:pt idx="318">
                  <c:v>12.193064027865194</c:v>
                </c:pt>
                <c:pt idx="319">
                  <c:v>26.250951991399539</c:v>
                </c:pt>
                <c:pt idx="320">
                  <c:v>13.438423764452931</c:v>
                </c:pt>
                <c:pt idx="321">
                  <c:v>15.382573954816243</c:v>
                </c:pt>
                <c:pt idx="322">
                  <c:v>7.0297687336499273</c:v>
                </c:pt>
                <c:pt idx="323">
                  <c:v>15.468941365102093</c:v>
                </c:pt>
                <c:pt idx="324">
                  <c:v>3.1070079278354377</c:v>
                </c:pt>
                <c:pt idx="325">
                  <c:v>7.6864383165410546</c:v>
                </c:pt>
                <c:pt idx="326">
                  <c:v>12.890633570765269</c:v>
                </c:pt>
                <c:pt idx="327">
                  <c:v>13.527693738158373</c:v>
                </c:pt>
                <c:pt idx="328">
                  <c:v>4.6876658678131653</c:v>
                </c:pt>
                <c:pt idx="329">
                  <c:v>10.771589477059749</c:v>
                </c:pt>
                <c:pt idx="330">
                  <c:v>14.179651846946758</c:v>
                </c:pt>
                <c:pt idx="331">
                  <c:v>10.287296806553767</c:v>
                </c:pt>
                <c:pt idx="332">
                  <c:v>14.982561254852749</c:v>
                </c:pt>
                <c:pt idx="333">
                  <c:v>3.9152572928182496</c:v>
                </c:pt>
                <c:pt idx="334">
                  <c:v>3.7060801666845538</c:v>
                </c:pt>
                <c:pt idx="335">
                  <c:v>5.5678728209086765</c:v>
                </c:pt>
                <c:pt idx="336">
                  <c:v>9.3315661699005137</c:v>
                </c:pt>
                <c:pt idx="337">
                  <c:v>17.11339660974193</c:v>
                </c:pt>
                <c:pt idx="338">
                  <c:v>22.687966661408648</c:v>
                </c:pt>
                <c:pt idx="339">
                  <c:v>11.153514346664792</c:v>
                </c:pt>
                <c:pt idx="340">
                  <c:v>20.099183667494767</c:v>
                </c:pt>
                <c:pt idx="341">
                  <c:v>4.0369271570545759</c:v>
                </c:pt>
                <c:pt idx="342">
                  <c:v>4.9271852577622992</c:v>
                </c:pt>
                <c:pt idx="343">
                  <c:v>11.928485426208413</c:v>
                </c:pt>
                <c:pt idx="344">
                  <c:v>17.069354993696379</c:v>
                </c:pt>
                <c:pt idx="345">
                  <c:v>5.2172794912534206</c:v>
                </c:pt>
                <c:pt idx="346">
                  <c:v>5.2826089105404765</c:v>
                </c:pt>
                <c:pt idx="347">
                  <c:v>16.86938415257984</c:v>
                </c:pt>
                <c:pt idx="348">
                  <c:v>5.7655963517715501</c:v>
                </c:pt>
                <c:pt idx="349">
                  <c:v>5.0927634970443254</c:v>
                </c:pt>
                <c:pt idx="350">
                  <c:v>3.4529531012135033</c:v>
                </c:pt>
                <c:pt idx="351">
                  <c:v>20.59837652702609</c:v>
                </c:pt>
                <c:pt idx="352">
                  <c:v>17.52927922067261</c:v>
                </c:pt>
                <c:pt idx="353">
                  <c:v>4.4683087692717827</c:v>
                </c:pt>
                <c:pt idx="354">
                  <c:v>20.458894196789046</c:v>
                </c:pt>
                <c:pt idx="355">
                  <c:v>17.298159134616018</c:v>
                </c:pt>
                <c:pt idx="356">
                  <c:v>17.531023304116715</c:v>
                </c:pt>
                <c:pt idx="357">
                  <c:v>20.835647521711845</c:v>
                </c:pt>
                <c:pt idx="358">
                  <c:v>11.771331989548635</c:v>
                </c:pt>
                <c:pt idx="359">
                  <c:v>20.350465092170634</c:v>
                </c:pt>
                <c:pt idx="360">
                  <c:v>6.895471180969416</c:v>
                </c:pt>
                <c:pt idx="361">
                  <c:v>21.406260582395429</c:v>
                </c:pt>
                <c:pt idx="362">
                  <c:v>10.166932428164873</c:v>
                </c:pt>
                <c:pt idx="363">
                  <c:v>13.774660299266518</c:v>
                </c:pt>
                <c:pt idx="364">
                  <c:v>11.396280170585079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23.496361439616425</c:v>
                </c:pt>
                <c:pt idx="1">
                  <c:v>16.204710361062556</c:v>
                </c:pt>
                <c:pt idx="2">
                  <c:v>17.497138367709798</c:v>
                </c:pt>
                <c:pt idx="3">
                  <c:v>18.593014047988166</c:v>
                </c:pt>
                <c:pt idx="4">
                  <c:v>14.703547057770054</c:v>
                </c:pt>
                <c:pt idx="5">
                  <c:v>21.100045780989873</c:v>
                </c:pt>
                <c:pt idx="6">
                  <c:v>10.347088315126236</c:v>
                </c:pt>
                <c:pt idx="7">
                  <c:v>7.3640952094862371</c:v>
                </c:pt>
                <c:pt idx="8">
                  <c:v>2.1986041387598663</c:v>
                </c:pt>
                <c:pt idx="9">
                  <c:v>1.8030837448861432</c:v>
                </c:pt>
                <c:pt idx="10">
                  <c:v>25.276833301788471</c:v>
                </c:pt>
                <c:pt idx="11">
                  <c:v>21.973521100807307</c:v>
                </c:pt>
                <c:pt idx="12">
                  <c:v>5.6330206064397927</c:v>
                </c:pt>
                <c:pt idx="13">
                  <c:v>26.733015253760399</c:v>
                </c:pt>
                <c:pt idx="14">
                  <c:v>27.048189063010764</c:v>
                </c:pt>
                <c:pt idx="15">
                  <c:v>26.464121758416528</c:v>
                </c:pt>
                <c:pt idx="16">
                  <c:v>12.220982304957838</c:v>
                </c:pt>
                <c:pt idx="17">
                  <c:v>3.8825753105881389</c:v>
                </c:pt>
                <c:pt idx="18">
                  <c:v>10.594253107775202</c:v>
                </c:pt>
                <c:pt idx="19">
                  <c:v>6.6350060065586449</c:v>
                </c:pt>
                <c:pt idx="20">
                  <c:v>21.155696206652959</c:v>
                </c:pt>
                <c:pt idx="21">
                  <c:v>28.241471218306039</c:v>
                </c:pt>
                <c:pt idx="22">
                  <c:v>28.368414662167865</c:v>
                </c:pt>
                <c:pt idx="23">
                  <c:v>28.920382770543082</c:v>
                </c:pt>
                <c:pt idx="24">
                  <c:v>27.966687850478273</c:v>
                </c:pt>
                <c:pt idx="25">
                  <c:v>28.649261604131169</c:v>
                </c:pt>
                <c:pt idx="26">
                  <c:v>27.378219810462621</c:v>
                </c:pt>
                <c:pt idx="27">
                  <c:v>4.3270288288500787</c:v>
                </c:pt>
                <c:pt idx="28">
                  <c:v>9.1335808582147635</c:v>
                </c:pt>
                <c:pt idx="29">
                  <c:v>4.7172509857042408</c:v>
                </c:pt>
                <c:pt idx="30">
                  <c:v>7.8228883405555099</c:v>
                </c:pt>
                <c:pt idx="31">
                  <c:v>12.982706851503053</c:v>
                </c:pt>
                <c:pt idx="32">
                  <c:v>5.4810915329702805</c:v>
                </c:pt>
                <c:pt idx="33">
                  <c:v>10.757814671768246</c:v>
                </c:pt>
                <c:pt idx="34">
                  <c:v>10.596538820471709</c:v>
                </c:pt>
                <c:pt idx="35">
                  <c:v>9.3119367253234877</c:v>
                </c:pt>
                <c:pt idx="36">
                  <c:v>21.695687484142155</c:v>
                </c:pt>
                <c:pt idx="37">
                  <c:v>9.1441156449304923</c:v>
                </c:pt>
                <c:pt idx="38">
                  <c:v>33.914250109213469</c:v>
                </c:pt>
                <c:pt idx="39">
                  <c:v>34.206143063022303</c:v>
                </c:pt>
                <c:pt idx="40">
                  <c:v>31.900841502204759</c:v>
                </c:pt>
                <c:pt idx="41">
                  <c:v>17.672512924997342</c:v>
                </c:pt>
                <c:pt idx="42">
                  <c:v>27.082121213353293</c:v>
                </c:pt>
                <c:pt idx="43">
                  <c:v>33.135391113484289</c:v>
                </c:pt>
                <c:pt idx="44">
                  <c:v>15.55693794234614</c:v>
                </c:pt>
                <c:pt idx="45">
                  <c:v>18.764176017743253</c:v>
                </c:pt>
                <c:pt idx="46">
                  <c:v>9.2300464176496533</c:v>
                </c:pt>
                <c:pt idx="47">
                  <c:v>11.500107844970502</c:v>
                </c:pt>
                <c:pt idx="48">
                  <c:v>29.690173745148112</c:v>
                </c:pt>
                <c:pt idx="49">
                  <c:v>20.146453182744015</c:v>
                </c:pt>
                <c:pt idx="50">
                  <c:v>20.025494352550428</c:v>
                </c:pt>
                <c:pt idx="51">
                  <c:v>22.172508883595565</c:v>
                </c:pt>
                <c:pt idx="52">
                  <c:v>33.884367533829909</c:v>
                </c:pt>
                <c:pt idx="53">
                  <c:v>35.607700167715791</c:v>
                </c:pt>
                <c:pt idx="54">
                  <c:v>22.166168199721088</c:v>
                </c:pt>
                <c:pt idx="55">
                  <c:v>31.743780561196029</c:v>
                </c:pt>
                <c:pt idx="56">
                  <c:v>40.233675936916363</c:v>
                </c:pt>
                <c:pt idx="57">
                  <c:v>28.760982676197049</c:v>
                </c:pt>
                <c:pt idx="58">
                  <c:v>34.723302296213163</c:v>
                </c:pt>
                <c:pt idx="59">
                  <c:v>40.289021897255317</c:v>
                </c:pt>
                <c:pt idx="60">
                  <c:v>11.739842725178198</c:v>
                </c:pt>
                <c:pt idx="61">
                  <c:v>36.024246638702643</c:v>
                </c:pt>
                <c:pt idx="62">
                  <c:v>3.8712670326332388</c:v>
                </c:pt>
                <c:pt idx="63">
                  <c:v>13.330483185209015</c:v>
                </c:pt>
                <c:pt idx="64">
                  <c:v>16.072248952042507</c:v>
                </c:pt>
                <c:pt idx="65">
                  <c:v>39.593044664876317</c:v>
                </c:pt>
                <c:pt idx="66">
                  <c:v>32.269169875514379</c:v>
                </c:pt>
                <c:pt idx="67">
                  <c:v>31.46238674370553</c:v>
                </c:pt>
                <c:pt idx="68">
                  <c:v>25.046671951623569</c:v>
                </c:pt>
                <c:pt idx="69">
                  <c:v>15.534074956986304</c:v>
                </c:pt>
                <c:pt idx="70">
                  <c:v>16.168537447632193</c:v>
                </c:pt>
                <c:pt idx="71">
                  <c:v>9.0666400999869161</c:v>
                </c:pt>
                <c:pt idx="72">
                  <c:v>14.608882579340092</c:v>
                </c:pt>
                <c:pt idx="73">
                  <c:v>13.905671715082351</c:v>
                </c:pt>
                <c:pt idx="74">
                  <c:v>13.878411839737012</c:v>
                </c:pt>
                <c:pt idx="75">
                  <c:v>11.655964770419287</c:v>
                </c:pt>
                <c:pt idx="76">
                  <c:v>15.068794273623563</c:v>
                </c:pt>
                <c:pt idx="77">
                  <c:v>28.790518380185802</c:v>
                </c:pt>
                <c:pt idx="78">
                  <c:v>31.969087891619647</c:v>
                </c:pt>
                <c:pt idx="79">
                  <c:v>45.255100764747574</c:v>
                </c:pt>
                <c:pt idx="80">
                  <c:v>42.966109405015921</c:v>
                </c:pt>
                <c:pt idx="81">
                  <c:v>48.974805358097825</c:v>
                </c:pt>
                <c:pt idx="82">
                  <c:v>48.17115299493711</c:v>
                </c:pt>
                <c:pt idx="83">
                  <c:v>42.868815777546324</c:v>
                </c:pt>
                <c:pt idx="84">
                  <c:v>47.455357016556434</c:v>
                </c:pt>
                <c:pt idx="85">
                  <c:v>45.88040857246385</c:v>
                </c:pt>
                <c:pt idx="86">
                  <c:v>14.774294943281692</c:v>
                </c:pt>
                <c:pt idx="87">
                  <c:v>28.356562793800233</c:v>
                </c:pt>
                <c:pt idx="88">
                  <c:v>7.9509773107105364</c:v>
                </c:pt>
                <c:pt idx="89">
                  <c:v>28.320948752625096</c:v>
                </c:pt>
                <c:pt idx="90">
                  <c:v>33.164494051702583</c:v>
                </c:pt>
                <c:pt idx="91">
                  <c:v>20.703860130203385</c:v>
                </c:pt>
                <c:pt idx="92">
                  <c:v>23.033640937355447</c:v>
                </c:pt>
                <c:pt idx="93">
                  <c:v>46.367491177127519</c:v>
                </c:pt>
                <c:pt idx="94">
                  <c:v>53.207262369168781</c:v>
                </c:pt>
                <c:pt idx="95">
                  <c:v>11.517195221759206</c:v>
                </c:pt>
                <c:pt idx="96">
                  <c:v>38.662853590675404</c:v>
                </c:pt>
                <c:pt idx="97">
                  <c:v>31.411230514589189</c:v>
                </c:pt>
                <c:pt idx="98">
                  <c:v>36.851930966776294</c:v>
                </c:pt>
                <c:pt idx="99">
                  <c:v>53.887639440739207</c:v>
                </c:pt>
                <c:pt idx="100">
                  <c:v>44.662975545435863</c:v>
                </c:pt>
                <c:pt idx="101">
                  <c:v>38.146126940957451</c:v>
                </c:pt>
                <c:pt idx="102">
                  <c:v>8.1519261699054919</c:v>
                </c:pt>
                <c:pt idx="103">
                  <c:v>41.260997991476586</c:v>
                </c:pt>
                <c:pt idx="104">
                  <c:v>45.024809902312548</c:v>
                </c:pt>
                <c:pt idx="105">
                  <c:v>46.716664743979784</c:v>
                </c:pt>
                <c:pt idx="106">
                  <c:v>54.832731267761602</c:v>
                </c:pt>
                <c:pt idx="107">
                  <c:v>40.563338758816755</c:v>
                </c:pt>
                <c:pt idx="108">
                  <c:v>9.4819836765656067</c:v>
                </c:pt>
                <c:pt idx="109">
                  <c:v>9.8928456037400689</c:v>
                </c:pt>
                <c:pt idx="110">
                  <c:v>9.5228089579709518</c:v>
                </c:pt>
                <c:pt idx="111">
                  <c:v>27.678004010604237</c:v>
                </c:pt>
                <c:pt idx="112">
                  <c:v>9.2180502151668975</c:v>
                </c:pt>
                <c:pt idx="113">
                  <c:v>31.853111581872653</c:v>
                </c:pt>
                <c:pt idx="114">
                  <c:v>48.208428547142709</c:v>
                </c:pt>
                <c:pt idx="115">
                  <c:v>55.272647343250881</c:v>
                </c:pt>
                <c:pt idx="116">
                  <c:v>40.123342035408228</c:v>
                </c:pt>
                <c:pt idx="117">
                  <c:v>24.176397013237217</c:v>
                </c:pt>
                <c:pt idx="118">
                  <c:v>44.21664953306373</c:v>
                </c:pt>
                <c:pt idx="119">
                  <c:v>46.806359894997179</c:v>
                </c:pt>
                <c:pt idx="120">
                  <c:v>47.360211366731527</c:v>
                </c:pt>
                <c:pt idx="121">
                  <c:v>28.137708988419757</c:v>
                </c:pt>
                <c:pt idx="122">
                  <c:v>39.274064280591595</c:v>
                </c:pt>
                <c:pt idx="123">
                  <c:v>21.267479775317263</c:v>
                </c:pt>
                <c:pt idx="124">
                  <c:v>43.626989276207055</c:v>
                </c:pt>
                <c:pt idx="125">
                  <c:v>38.284686406227713</c:v>
                </c:pt>
                <c:pt idx="126">
                  <c:v>52.37698945408254</c:v>
                </c:pt>
                <c:pt idx="127">
                  <c:v>48.29786279240848</c:v>
                </c:pt>
                <c:pt idx="128">
                  <c:v>55.46113230091737</c:v>
                </c:pt>
                <c:pt idx="129">
                  <c:v>51.80714294191057</c:v>
                </c:pt>
                <c:pt idx="130">
                  <c:v>55.865238646519764</c:v>
                </c:pt>
                <c:pt idx="131">
                  <c:v>41.65108526674031</c:v>
                </c:pt>
                <c:pt idx="132">
                  <c:v>43.626850726131082</c:v>
                </c:pt>
                <c:pt idx="133">
                  <c:v>49.713822862167113</c:v>
                </c:pt>
                <c:pt idx="134">
                  <c:v>52.316039248632727</c:v>
                </c:pt>
                <c:pt idx="135">
                  <c:v>50.750772435437675</c:v>
                </c:pt>
                <c:pt idx="136">
                  <c:v>54.127197352913115</c:v>
                </c:pt>
                <c:pt idx="137">
                  <c:v>52.352148152248397</c:v>
                </c:pt>
                <c:pt idx="138">
                  <c:v>55.034485695214833</c:v>
                </c:pt>
                <c:pt idx="139">
                  <c:v>49.108993364213866</c:v>
                </c:pt>
                <c:pt idx="140">
                  <c:v>49.204578775874673</c:v>
                </c:pt>
                <c:pt idx="141">
                  <c:v>37.37605408045242</c:v>
                </c:pt>
                <c:pt idx="142">
                  <c:v>19.734076501484175</c:v>
                </c:pt>
                <c:pt idx="143">
                  <c:v>16.31403599650713</c:v>
                </c:pt>
                <c:pt idx="144">
                  <c:v>41.037949419038483</c:v>
                </c:pt>
                <c:pt idx="145">
                  <c:v>24.946114227270854</c:v>
                </c:pt>
                <c:pt idx="146">
                  <c:v>45.928787020643512</c:v>
                </c:pt>
                <c:pt idx="147">
                  <c:v>55.242756785117976</c:v>
                </c:pt>
                <c:pt idx="148">
                  <c:v>59.731144573311511</c:v>
                </c:pt>
                <c:pt idx="149">
                  <c:v>50.681700049059046</c:v>
                </c:pt>
                <c:pt idx="150">
                  <c:v>54.941273355448971</c:v>
                </c:pt>
                <c:pt idx="151">
                  <c:v>55.984687232359228</c:v>
                </c:pt>
                <c:pt idx="152">
                  <c:v>44.650476812827435</c:v>
                </c:pt>
                <c:pt idx="153">
                  <c:v>54.614088566831661</c:v>
                </c:pt>
                <c:pt idx="154">
                  <c:v>26.036134751184459</c:v>
                </c:pt>
                <c:pt idx="155">
                  <c:v>35.876759282014852</c:v>
                </c:pt>
                <c:pt idx="156">
                  <c:v>46.797861934757975</c:v>
                </c:pt>
                <c:pt idx="157">
                  <c:v>28.388021989333353</c:v>
                </c:pt>
                <c:pt idx="158">
                  <c:v>21.164086084853288</c:v>
                </c:pt>
                <c:pt idx="159">
                  <c:v>46.110253634465188</c:v>
                </c:pt>
                <c:pt idx="160">
                  <c:v>57.523773077813424</c:v>
                </c:pt>
                <c:pt idx="161">
                  <c:v>55.589377126293897</c:v>
                </c:pt>
                <c:pt idx="162">
                  <c:v>43.151309329942052</c:v>
                </c:pt>
                <c:pt idx="163">
                  <c:v>54.26662042106117</c:v>
                </c:pt>
                <c:pt idx="164">
                  <c:v>48.241291052271386</c:v>
                </c:pt>
                <c:pt idx="165">
                  <c:v>54.383818524495197</c:v>
                </c:pt>
                <c:pt idx="166">
                  <c:v>52.233886334651103</c:v>
                </c:pt>
                <c:pt idx="167">
                  <c:v>52.374519865829051</c:v>
                </c:pt>
                <c:pt idx="168">
                  <c:v>54.764773083386046</c:v>
                </c:pt>
                <c:pt idx="169">
                  <c:v>56.096549311159137</c:v>
                </c:pt>
                <c:pt idx="170">
                  <c:v>31.645682485215129</c:v>
                </c:pt>
                <c:pt idx="171">
                  <c:v>22.774168112529054</c:v>
                </c:pt>
                <c:pt idx="172">
                  <c:v>44.11067829948</c:v>
                </c:pt>
                <c:pt idx="173">
                  <c:v>41.607753703808832</c:v>
                </c:pt>
                <c:pt idx="174">
                  <c:v>39.245934391153725</c:v>
                </c:pt>
                <c:pt idx="175">
                  <c:v>34.058283612608953</c:v>
                </c:pt>
                <c:pt idx="176">
                  <c:v>12.092012439364245</c:v>
                </c:pt>
                <c:pt idx="177">
                  <c:v>14.692935491272417</c:v>
                </c:pt>
                <c:pt idx="178">
                  <c:v>58.288908905224808</c:v>
                </c:pt>
                <c:pt idx="179">
                  <c:v>56.617722346922108</c:v>
                </c:pt>
                <c:pt idx="180">
                  <c:v>13.962904621888351</c:v>
                </c:pt>
                <c:pt idx="181">
                  <c:v>50.363431219948659</c:v>
                </c:pt>
                <c:pt idx="182">
                  <c:v>55.634650162185693</c:v>
                </c:pt>
                <c:pt idx="183">
                  <c:v>45.830451337746396</c:v>
                </c:pt>
                <c:pt idx="184">
                  <c:v>44.340281478393941</c:v>
                </c:pt>
                <c:pt idx="185">
                  <c:v>55.583495424755704</c:v>
                </c:pt>
                <c:pt idx="186">
                  <c:v>47.24687233171354</c:v>
                </c:pt>
                <c:pt idx="187">
                  <c:v>55.032793537767311</c:v>
                </c:pt>
                <c:pt idx="188">
                  <c:v>57.403917759875199</c:v>
                </c:pt>
                <c:pt idx="189">
                  <c:v>56.733235523712821</c:v>
                </c:pt>
                <c:pt idx="190">
                  <c:v>56.194179480314226</c:v>
                </c:pt>
                <c:pt idx="191">
                  <c:v>54.718384932328938</c:v>
                </c:pt>
                <c:pt idx="192">
                  <c:v>54.481685544350384</c:v>
                </c:pt>
                <c:pt idx="193">
                  <c:v>54.204921893972731</c:v>
                </c:pt>
                <c:pt idx="194">
                  <c:v>53.638158766703526</c:v>
                </c:pt>
                <c:pt idx="195">
                  <c:v>51.868446699628798</c:v>
                </c:pt>
                <c:pt idx="196">
                  <c:v>53.377479266807626</c:v>
                </c:pt>
                <c:pt idx="197">
                  <c:v>52.907997356821006</c:v>
                </c:pt>
                <c:pt idx="198">
                  <c:v>53.861872303395359</c:v>
                </c:pt>
                <c:pt idx="199">
                  <c:v>44.509558830307988</c:v>
                </c:pt>
                <c:pt idx="200">
                  <c:v>44.075223303750519</c:v>
                </c:pt>
                <c:pt idx="201">
                  <c:v>52.122334326666206</c:v>
                </c:pt>
                <c:pt idx="202">
                  <c:v>42.08549361479669</c:v>
                </c:pt>
                <c:pt idx="203">
                  <c:v>48.361110809141735</c:v>
                </c:pt>
                <c:pt idx="204">
                  <c:v>52.353788120561688</c:v>
                </c:pt>
                <c:pt idx="205">
                  <c:v>26.679643133997796</c:v>
                </c:pt>
                <c:pt idx="206">
                  <c:v>56.577423439169472</c:v>
                </c:pt>
                <c:pt idx="207">
                  <c:v>56.616485338273861</c:v>
                </c:pt>
                <c:pt idx="208">
                  <c:v>44.14281990187402</c:v>
                </c:pt>
                <c:pt idx="209">
                  <c:v>31.528496690007611</c:v>
                </c:pt>
                <c:pt idx="210">
                  <c:v>48.763412366106536</c:v>
                </c:pt>
                <c:pt idx="211">
                  <c:v>54.143932830451938</c:v>
                </c:pt>
                <c:pt idx="212">
                  <c:v>53.77739951028849</c:v>
                </c:pt>
                <c:pt idx="213">
                  <c:v>53.766769466787181</c:v>
                </c:pt>
                <c:pt idx="214">
                  <c:v>50.774128900523479</c:v>
                </c:pt>
                <c:pt idx="215">
                  <c:v>50.021975033315016</c:v>
                </c:pt>
                <c:pt idx="216">
                  <c:v>45.426952084047613</c:v>
                </c:pt>
                <c:pt idx="217">
                  <c:v>49.88218867015329</c:v>
                </c:pt>
                <c:pt idx="218">
                  <c:v>52.491934221223026</c:v>
                </c:pt>
                <c:pt idx="219">
                  <c:v>52.934494561137726</c:v>
                </c:pt>
                <c:pt idx="220">
                  <c:v>50.948297119445392</c:v>
                </c:pt>
                <c:pt idx="221">
                  <c:v>48.145115829180959</c:v>
                </c:pt>
                <c:pt idx="222">
                  <c:v>46.555767452805192</c:v>
                </c:pt>
                <c:pt idx="223">
                  <c:v>47.482039168774236</c:v>
                </c:pt>
                <c:pt idx="224">
                  <c:v>35.734328005279565</c:v>
                </c:pt>
                <c:pt idx="225">
                  <c:v>33.919484638022105</c:v>
                </c:pt>
                <c:pt idx="226">
                  <c:v>38.424533517023733</c:v>
                </c:pt>
                <c:pt idx="227">
                  <c:v>35.539773833420618</c:v>
                </c:pt>
                <c:pt idx="228">
                  <c:v>28.513783569046492</c:v>
                </c:pt>
                <c:pt idx="229">
                  <c:v>36.177021067355206</c:v>
                </c:pt>
                <c:pt idx="230">
                  <c:v>41.209038825203386</c:v>
                </c:pt>
                <c:pt idx="231">
                  <c:v>49.488089848669276</c:v>
                </c:pt>
                <c:pt idx="232">
                  <c:v>33.429127779385119</c:v>
                </c:pt>
                <c:pt idx="233">
                  <c:v>26.642322350606161</c:v>
                </c:pt>
                <c:pt idx="234">
                  <c:v>48.317098503110543</c:v>
                </c:pt>
                <c:pt idx="235">
                  <c:v>46.062988150556869</c:v>
                </c:pt>
                <c:pt idx="236">
                  <c:v>32.295163638327665</c:v>
                </c:pt>
                <c:pt idx="237">
                  <c:v>42.888029647233111</c:v>
                </c:pt>
                <c:pt idx="238">
                  <c:v>48.773543775459594</c:v>
                </c:pt>
                <c:pt idx="239">
                  <c:v>47.712404323675543</c:v>
                </c:pt>
                <c:pt idx="240">
                  <c:v>32.648035703133147</c:v>
                </c:pt>
                <c:pt idx="241">
                  <c:v>47.396868803476558</c:v>
                </c:pt>
                <c:pt idx="242">
                  <c:v>24.481674052680617</c:v>
                </c:pt>
                <c:pt idx="243">
                  <c:v>40.074316157796979</c:v>
                </c:pt>
                <c:pt idx="244">
                  <c:v>38.56822445922262</c:v>
                </c:pt>
                <c:pt idx="245">
                  <c:v>37.654848764278498</c:v>
                </c:pt>
                <c:pt idx="246">
                  <c:v>45.509460283132576</c:v>
                </c:pt>
                <c:pt idx="247">
                  <c:v>39.778680992957163</c:v>
                </c:pt>
                <c:pt idx="248">
                  <c:v>45.015039169433827</c:v>
                </c:pt>
                <c:pt idx="249">
                  <c:v>35.834643604736961</c:v>
                </c:pt>
                <c:pt idx="250">
                  <c:v>34.826625132453493</c:v>
                </c:pt>
                <c:pt idx="251">
                  <c:v>23.324904227920978</c:v>
                </c:pt>
                <c:pt idx="252">
                  <c:v>46.138028046834322</c:v>
                </c:pt>
                <c:pt idx="253">
                  <c:v>45.569874216898313</c:v>
                </c:pt>
                <c:pt idx="254">
                  <c:v>33.076443013304676</c:v>
                </c:pt>
                <c:pt idx="255">
                  <c:v>14.040253008540159</c:v>
                </c:pt>
                <c:pt idx="256">
                  <c:v>35.207237869264283</c:v>
                </c:pt>
                <c:pt idx="257">
                  <c:v>40.321816960710315</c:v>
                </c:pt>
                <c:pt idx="258">
                  <c:v>32.216261813431778</c:v>
                </c:pt>
                <c:pt idx="259">
                  <c:v>45.018153449755658</c:v>
                </c:pt>
                <c:pt idx="260">
                  <c:v>45.010418219256572</c:v>
                </c:pt>
                <c:pt idx="261">
                  <c:v>44.398948208030767</c:v>
                </c:pt>
                <c:pt idx="262">
                  <c:v>46.088482311303366</c:v>
                </c:pt>
                <c:pt idx="263">
                  <c:v>44.901424037775989</c:v>
                </c:pt>
                <c:pt idx="264">
                  <c:v>43.449044402087999</c:v>
                </c:pt>
                <c:pt idx="265">
                  <c:v>27.576597216280991</c:v>
                </c:pt>
                <c:pt idx="266">
                  <c:v>16.704424025680609</c:v>
                </c:pt>
                <c:pt idx="267">
                  <c:v>35.177295775841927</c:v>
                </c:pt>
                <c:pt idx="268">
                  <c:v>32.207563746516392</c:v>
                </c:pt>
                <c:pt idx="269">
                  <c:v>17.078017350205286</c:v>
                </c:pt>
                <c:pt idx="270">
                  <c:v>19.356039643206113</c:v>
                </c:pt>
                <c:pt idx="271">
                  <c:v>23.255894212011714</c:v>
                </c:pt>
                <c:pt idx="272">
                  <c:v>27.596133113559759</c:v>
                </c:pt>
                <c:pt idx="273">
                  <c:v>36.056525422274987</c:v>
                </c:pt>
                <c:pt idx="274">
                  <c:v>38.445438403446524</c:v>
                </c:pt>
                <c:pt idx="275">
                  <c:v>37.111475387149461</c:v>
                </c:pt>
                <c:pt idx="276">
                  <c:v>40.878066485769523</c:v>
                </c:pt>
                <c:pt idx="277">
                  <c:v>41.673678314968654</c:v>
                </c:pt>
                <c:pt idx="278">
                  <c:v>11.511173514293917</c:v>
                </c:pt>
                <c:pt idx="279">
                  <c:v>28.912562194286412</c:v>
                </c:pt>
                <c:pt idx="280">
                  <c:v>16.684671792911526</c:v>
                </c:pt>
                <c:pt idx="281">
                  <c:v>38.092277860152386</c:v>
                </c:pt>
                <c:pt idx="282">
                  <c:v>30.578607379643035</c:v>
                </c:pt>
                <c:pt idx="283">
                  <c:v>22.239638436797215</c:v>
                </c:pt>
                <c:pt idx="284">
                  <c:v>27.601101319520712</c:v>
                </c:pt>
                <c:pt idx="285">
                  <c:v>23.108178690530611</c:v>
                </c:pt>
                <c:pt idx="286">
                  <c:v>17.961196531337709</c:v>
                </c:pt>
                <c:pt idx="287">
                  <c:v>36.904060560416966</c:v>
                </c:pt>
                <c:pt idx="288">
                  <c:v>32.569771056994952</c:v>
                </c:pt>
                <c:pt idx="289">
                  <c:v>19.333961752673058</c:v>
                </c:pt>
                <c:pt idx="290">
                  <c:v>34.101852446815329</c:v>
                </c:pt>
                <c:pt idx="291">
                  <c:v>15.849694600620799</c:v>
                </c:pt>
                <c:pt idx="292">
                  <c:v>6.6738654481508508</c:v>
                </c:pt>
                <c:pt idx="293">
                  <c:v>16.241103026450517</c:v>
                </c:pt>
                <c:pt idx="294">
                  <c:v>32.810846422795287</c:v>
                </c:pt>
                <c:pt idx="295">
                  <c:v>16.862224055542036</c:v>
                </c:pt>
                <c:pt idx="296">
                  <c:v>24.947175197168598</c:v>
                </c:pt>
                <c:pt idx="297">
                  <c:v>22.056119332791805</c:v>
                </c:pt>
                <c:pt idx="298">
                  <c:v>12.294692776750725</c:v>
                </c:pt>
                <c:pt idx="299">
                  <c:v>14.222642415970283</c:v>
                </c:pt>
                <c:pt idx="300">
                  <c:v>17.108473048432192</c:v>
                </c:pt>
                <c:pt idx="301">
                  <c:v>26.5695703208835</c:v>
                </c:pt>
                <c:pt idx="302">
                  <c:v>22.842324032378404</c:v>
                </c:pt>
                <c:pt idx="303">
                  <c:v>21.725376811799752</c:v>
                </c:pt>
                <c:pt idx="304">
                  <c:v>19.258345380657914</c:v>
                </c:pt>
                <c:pt idx="305">
                  <c:v>28.569182997301681</c:v>
                </c:pt>
                <c:pt idx="306">
                  <c:v>10.028180177566538</c:v>
                </c:pt>
                <c:pt idx="307">
                  <c:v>17.318350199721692</c:v>
                </c:pt>
                <c:pt idx="308">
                  <c:v>29.499111548850834</c:v>
                </c:pt>
                <c:pt idx="309">
                  <c:v>29.455840865290529</c:v>
                </c:pt>
                <c:pt idx="310">
                  <c:v>27.628730322451705</c:v>
                </c:pt>
                <c:pt idx="311">
                  <c:v>19.923170185272738</c:v>
                </c:pt>
                <c:pt idx="312">
                  <c:v>9.813116749905447</c:v>
                </c:pt>
                <c:pt idx="313">
                  <c:v>19.812821664626302</c:v>
                </c:pt>
                <c:pt idx="314">
                  <c:v>27.101111542115536</c:v>
                </c:pt>
                <c:pt idx="315">
                  <c:v>26.686834897075631</c:v>
                </c:pt>
                <c:pt idx="316">
                  <c:v>25.664496154703592</c:v>
                </c:pt>
                <c:pt idx="317">
                  <c:v>9.5025309938227949</c:v>
                </c:pt>
                <c:pt idx="318">
                  <c:v>12.193064027865194</c:v>
                </c:pt>
                <c:pt idx="319">
                  <c:v>26.250951991399539</c:v>
                </c:pt>
                <c:pt idx="320">
                  <c:v>13.438423764452931</c:v>
                </c:pt>
                <c:pt idx="321">
                  <c:v>15.382573954816243</c:v>
                </c:pt>
                <c:pt idx="322">
                  <c:v>7.0297687336499273</c:v>
                </c:pt>
                <c:pt idx="323">
                  <c:v>15.468941365102093</c:v>
                </c:pt>
                <c:pt idx="324">
                  <c:v>3.1070079278354377</c:v>
                </c:pt>
                <c:pt idx="325">
                  <c:v>7.6864383165410546</c:v>
                </c:pt>
                <c:pt idx="326">
                  <c:v>12.890633570765269</c:v>
                </c:pt>
                <c:pt idx="327">
                  <c:v>13.527693738158373</c:v>
                </c:pt>
                <c:pt idx="328">
                  <c:v>4.6876658678131653</c:v>
                </c:pt>
                <c:pt idx="329">
                  <c:v>10.771589477059749</c:v>
                </c:pt>
                <c:pt idx="330">
                  <c:v>14.179651846946758</c:v>
                </c:pt>
                <c:pt idx="331">
                  <c:v>10.287296806553767</c:v>
                </c:pt>
                <c:pt idx="332">
                  <c:v>14.982561254852749</c:v>
                </c:pt>
                <c:pt idx="333">
                  <c:v>3.9152572928182496</c:v>
                </c:pt>
                <c:pt idx="334">
                  <c:v>3.7060801666845538</c:v>
                </c:pt>
                <c:pt idx="335">
                  <c:v>5.5678728209086765</c:v>
                </c:pt>
                <c:pt idx="336">
                  <c:v>9.3315661699005137</c:v>
                </c:pt>
                <c:pt idx="337">
                  <c:v>17.11339660974193</c:v>
                </c:pt>
                <c:pt idx="338">
                  <c:v>22.687966661408648</c:v>
                </c:pt>
                <c:pt idx="339">
                  <c:v>11.153514346664792</c:v>
                </c:pt>
                <c:pt idx="340">
                  <c:v>20.099183667494767</c:v>
                </c:pt>
                <c:pt idx="341">
                  <c:v>4.0369271570545759</c:v>
                </c:pt>
                <c:pt idx="342">
                  <c:v>4.9271852577622992</c:v>
                </c:pt>
                <c:pt idx="343">
                  <c:v>11.928485426208413</c:v>
                </c:pt>
                <c:pt idx="344">
                  <c:v>17.069354993696379</c:v>
                </c:pt>
                <c:pt idx="345">
                  <c:v>5.2172794912534206</c:v>
                </c:pt>
                <c:pt idx="346">
                  <c:v>5.2826089105404765</c:v>
                </c:pt>
                <c:pt idx="347">
                  <c:v>16.86938415257984</c:v>
                </c:pt>
                <c:pt idx="348">
                  <c:v>5.7655963517715501</c:v>
                </c:pt>
                <c:pt idx="349">
                  <c:v>5.0927634970443254</c:v>
                </c:pt>
                <c:pt idx="350">
                  <c:v>3.4529531012135033</c:v>
                </c:pt>
                <c:pt idx="351">
                  <c:v>20.59837652702609</c:v>
                </c:pt>
                <c:pt idx="352">
                  <c:v>17.52927922067261</c:v>
                </c:pt>
                <c:pt idx="353">
                  <c:v>4.4683087692717827</c:v>
                </c:pt>
                <c:pt idx="354">
                  <c:v>20.458894196789046</c:v>
                </c:pt>
                <c:pt idx="355">
                  <c:v>17.298159134616018</c:v>
                </c:pt>
                <c:pt idx="356">
                  <c:v>17.531023304116715</c:v>
                </c:pt>
                <c:pt idx="357">
                  <c:v>20.835647521711845</c:v>
                </c:pt>
                <c:pt idx="358">
                  <c:v>11.771331989548635</c:v>
                </c:pt>
                <c:pt idx="359">
                  <c:v>20.350465092170634</c:v>
                </c:pt>
                <c:pt idx="360">
                  <c:v>6.895471180969416</c:v>
                </c:pt>
                <c:pt idx="361">
                  <c:v>21.406260582395429</c:v>
                </c:pt>
                <c:pt idx="362">
                  <c:v>10.166932428164873</c:v>
                </c:pt>
                <c:pt idx="363">
                  <c:v>13.774660299266518</c:v>
                </c:pt>
                <c:pt idx="364">
                  <c:v>11.396280170585079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343936"/>
        <c:axId val="778344328"/>
      </c:lineChart>
      <c:dateAx>
        <c:axId val="77834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4328"/>
        <c:crosses val="autoZero"/>
        <c:auto val="1"/>
        <c:lblOffset val="100"/>
        <c:baseTimeUnit val="days"/>
        <c:majorUnit val="1"/>
        <c:majorTimeUnit val="months"/>
      </c:dateAx>
      <c:valAx>
        <c:axId val="7783443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83439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4.0863720298336736E-2</c:v>
                </c:pt>
                <c:pt idx="1">
                  <c:v>4.0882101926323133E-2</c:v>
                </c:pt>
                <c:pt idx="2">
                  <c:v>4.0900483202029769E-2</c:v>
                </c:pt>
                <c:pt idx="3">
                  <c:v>4.0918864125463417E-2</c:v>
                </c:pt>
                <c:pt idx="4">
                  <c:v>4.0937244696630848E-2</c:v>
                </c:pt>
                <c:pt idx="5">
                  <c:v>4.0955624915538946E-2</c:v>
                </c:pt>
                <c:pt idx="6">
                  <c:v>4.0974004782194262E-2</c:v>
                </c:pt>
                <c:pt idx="7">
                  <c:v>4.0992384296603568E-2</c:v>
                </c:pt>
                <c:pt idx="8">
                  <c:v>4.1010763458773747E-2</c:v>
                </c:pt>
                <c:pt idx="9">
                  <c:v>4.102914226871146E-2</c:v>
                </c:pt>
                <c:pt idx="10">
                  <c:v>4.1047520726423481E-2</c:v>
                </c:pt>
                <c:pt idx="11">
                  <c:v>4.106589883191647E-2</c:v>
                </c:pt>
                <c:pt idx="12">
                  <c:v>4.1084276585197421E-2</c:v>
                </c:pt>
                <c:pt idx="13">
                  <c:v>4.1102653986272775E-2</c:v>
                </c:pt>
                <c:pt idx="14">
                  <c:v>4.1121031035149525E-2</c:v>
                </c:pt>
                <c:pt idx="15">
                  <c:v>4.1139407731834221E-2</c:v>
                </c:pt>
                <c:pt idx="16">
                  <c:v>4.1157784076333859E-2</c:v>
                </c:pt>
                <c:pt idx="17">
                  <c:v>4.1176160068654988E-2</c:v>
                </c:pt>
                <c:pt idx="18">
                  <c:v>4.1194535708804381E-2</c:v>
                </c:pt>
                <c:pt idx="19">
                  <c:v>4.121291099678881E-2</c:v>
                </c:pt>
                <c:pt idx="20">
                  <c:v>4.1231285932615047E-2</c:v>
                </c:pt>
                <c:pt idx="21">
                  <c:v>4.1249660516289866E-2</c:v>
                </c:pt>
                <c:pt idx="22">
                  <c:v>4.1268034747820037E-2</c:v>
                </c:pt>
                <c:pt idx="23">
                  <c:v>4.1286408627212112E-2</c:v>
                </c:pt>
                <c:pt idx="24">
                  <c:v>4.1304782154473085E-2</c:v>
                </c:pt>
                <c:pt idx="25">
                  <c:v>4.1323155329609507E-2</c:v>
                </c:pt>
                <c:pt idx="26">
                  <c:v>4.1341528152628371E-2</c:v>
                </c:pt>
                <c:pt idx="27">
                  <c:v>4.1359900623536117E-2</c:v>
                </c:pt>
                <c:pt idx="28">
                  <c:v>4.1378272742339739E-2</c:v>
                </c:pt>
                <c:pt idx="29">
                  <c:v>4.1396644509045899E-2</c:v>
                </c:pt>
                <c:pt idx="30">
                  <c:v>4.1415015923661258E-2</c:v>
                </c:pt>
                <c:pt idx="31">
                  <c:v>4.14333869861927E-2</c:v>
                </c:pt>
                <c:pt idx="32">
                  <c:v>4.1451757696646996E-2</c:v>
                </c:pt>
                <c:pt idx="33">
                  <c:v>4.1470128055030697E-2</c:v>
                </c:pt>
                <c:pt idx="34">
                  <c:v>4.1488498061350687E-2</c:v>
                </c:pt>
                <c:pt idx="35">
                  <c:v>4.1506867715613738E-2</c:v>
                </c:pt>
                <c:pt idx="36">
                  <c:v>4.1525237017826622E-2</c:v>
                </c:pt>
                <c:pt idx="37">
                  <c:v>4.1543605967995889E-2</c:v>
                </c:pt>
                <c:pt idx="38">
                  <c:v>4.1561974566128423E-2</c:v>
                </c:pt>
                <c:pt idx="39">
                  <c:v>4.1580342812231108E-2</c:v>
                </c:pt>
                <c:pt idx="40">
                  <c:v>4.1598710706310382E-2</c:v>
                </c:pt>
                <c:pt idx="41">
                  <c:v>4.161707824837324E-2</c:v>
                </c:pt>
                <c:pt idx="42">
                  <c:v>4.1635445438426344E-2</c:v>
                </c:pt>
                <c:pt idx="43">
                  <c:v>4.1653812276476465E-2</c:v>
                </c:pt>
                <c:pt idx="44">
                  <c:v>4.1672178762530265E-2</c:v>
                </c:pt>
                <c:pt idx="45">
                  <c:v>4.1690544896594517E-2</c:v>
                </c:pt>
                <c:pt idx="46">
                  <c:v>4.1708910678676103E-2</c:v>
                </c:pt>
                <c:pt idx="47">
                  <c:v>4.1727276108781575E-2</c:v>
                </c:pt>
                <c:pt idx="48">
                  <c:v>4.1745641186917815E-2</c:v>
                </c:pt>
                <c:pt idx="49">
                  <c:v>4.1764005913091484E-2</c:v>
                </c:pt>
                <c:pt idx="50">
                  <c:v>4.1782370287309467E-2</c:v>
                </c:pt>
                <c:pt idx="51">
                  <c:v>4.1800734309578313E-2</c:v>
                </c:pt>
                <c:pt idx="52">
                  <c:v>4.1819097979904907E-2</c:v>
                </c:pt>
                <c:pt idx="53">
                  <c:v>4.1837461298295908E-2</c:v>
                </c:pt>
                <c:pt idx="54">
                  <c:v>4.185582426475809E-2</c:v>
                </c:pt>
                <c:pt idx="55">
                  <c:v>4.1874186879298336E-2</c:v>
                </c:pt>
                <c:pt idx="56">
                  <c:v>4.1892549141923086E-2</c:v>
                </c:pt>
                <c:pt idx="57">
                  <c:v>4.1910911052639332E-2</c:v>
                </c:pt>
                <c:pt idx="58">
                  <c:v>4.1929272611453849E-2</c:v>
                </c:pt>
                <c:pt idx="59">
                  <c:v>4.1947633818373187E-2</c:v>
                </c:pt>
                <c:pt idx="60">
                  <c:v>4.1965994673404117E-2</c:v>
                </c:pt>
                <c:pt idx="61">
                  <c:v>4.1984355176553523E-2</c:v>
                </c:pt>
                <c:pt idx="62">
                  <c:v>4.2002715327828066E-2</c:v>
                </c:pt>
                <c:pt idx="63">
                  <c:v>4.202107512723452E-2</c:v>
                </c:pt>
                <c:pt idx="64">
                  <c:v>4.2039434574779655E-2</c:v>
                </c:pt>
                <c:pt idx="65">
                  <c:v>4.2057793670470023E-2</c:v>
                </c:pt>
                <c:pt idx="66">
                  <c:v>4.2076152414312618E-2</c:v>
                </c:pt>
                <c:pt idx="67">
                  <c:v>4.20945108063141E-2</c:v>
                </c:pt>
                <c:pt idx="68">
                  <c:v>4.2112868846481133E-2</c:v>
                </c:pt>
                <c:pt idx="69">
                  <c:v>4.2131226534820487E-2</c:v>
                </c:pt>
                <c:pt idx="70">
                  <c:v>4.2149583871338936E-2</c:v>
                </c:pt>
                <c:pt idx="71">
                  <c:v>4.2167940856043251E-2</c:v>
                </c:pt>
                <c:pt idx="72">
                  <c:v>4.2186297488940205E-2</c:v>
                </c:pt>
                <c:pt idx="73">
                  <c:v>4.2204653770036349E-2</c:v>
                </c:pt>
                <c:pt idx="74">
                  <c:v>4.2223009699338676E-2</c:v>
                </c:pt>
                <c:pt idx="75">
                  <c:v>4.2241365276853737E-2</c:v>
                </c:pt>
                <c:pt idx="76">
                  <c:v>4.2259720502588305E-2</c:v>
                </c:pt>
                <c:pt idx="77">
                  <c:v>4.2278075376549151E-2</c:v>
                </c:pt>
                <c:pt idx="78">
                  <c:v>4.229642989874316E-2</c:v>
                </c:pt>
                <c:pt idx="79">
                  <c:v>4.231478406917677E-2</c:v>
                </c:pt>
                <c:pt idx="80">
                  <c:v>4.2333137887856975E-2</c:v>
                </c:pt>
                <c:pt idx="81">
                  <c:v>4.2351491354790438E-2</c:v>
                </c:pt>
                <c:pt idx="82">
                  <c:v>4.2369844469983931E-2</c:v>
                </c:pt>
                <c:pt idx="83">
                  <c:v>4.2388197233444114E-2</c:v>
                </c:pt>
                <c:pt idx="84">
                  <c:v>4.240654964517776E-2</c:v>
                </c:pt>
                <c:pt idx="85">
                  <c:v>4.2424901705191642E-2</c:v>
                </c:pt>
                <c:pt idx="86">
                  <c:v>4.2443253413492532E-2</c:v>
                </c:pt>
                <c:pt idx="87">
                  <c:v>4.246160477008698E-2</c:v>
                </c:pt>
                <c:pt idx="88">
                  <c:v>4.2479955774981981E-2</c:v>
                </c:pt>
                <c:pt idx="89">
                  <c:v>4.2498306428184085E-2</c:v>
                </c:pt>
                <c:pt idx="90">
                  <c:v>4.2516656729700175E-2</c:v>
                </c:pt>
                <c:pt idx="91">
                  <c:v>4.2535006679536913E-2</c:v>
                </c:pt>
                <c:pt idx="92">
                  <c:v>4.2553356277701071E-2</c:v>
                </c:pt>
                <c:pt idx="93">
                  <c:v>4.257170552419931E-2</c:v>
                </c:pt>
                <c:pt idx="94">
                  <c:v>4.2590054419038403E-2</c:v>
                </c:pt>
                <c:pt idx="95">
                  <c:v>4.2608402962225123E-2</c:v>
                </c:pt>
                <c:pt idx="96">
                  <c:v>4.262675115376624E-2</c:v>
                </c:pt>
                <c:pt idx="97">
                  <c:v>4.2645098993668529E-2</c:v>
                </c:pt>
                <c:pt idx="98">
                  <c:v>4.2663446481938538E-2</c:v>
                </c:pt>
                <c:pt idx="99">
                  <c:v>4.2681793618583153E-2</c:v>
                </c:pt>
                <c:pt idx="100">
                  <c:v>4.2700140403609033E-2</c:v>
                </c:pt>
                <c:pt idx="101">
                  <c:v>4.2718486837023062E-2</c:v>
                </c:pt>
                <c:pt idx="102">
                  <c:v>4.2736832918831791E-2</c:v>
                </c:pt>
                <c:pt idx="103">
                  <c:v>4.2755178649042103E-2</c:v>
                </c:pt>
                <c:pt idx="104">
                  <c:v>4.2773524027660659E-2</c:v>
                </c:pt>
                <c:pt idx="105">
                  <c:v>4.279186905469412E-2</c:v>
                </c:pt>
                <c:pt idx="106">
                  <c:v>4.2810213730149482E-2</c:v>
                </c:pt>
                <c:pt idx="107">
                  <c:v>4.2828558054033294E-2</c:v>
                </c:pt>
                <c:pt idx="108">
                  <c:v>4.2846902026352218E-2</c:v>
                </c:pt>
                <c:pt idx="109">
                  <c:v>4.2865245647113248E-2</c:v>
                </c:pt>
                <c:pt idx="110">
                  <c:v>4.2883588916322823E-2</c:v>
                </c:pt>
                <c:pt idx="111">
                  <c:v>4.2901931833987939E-2</c:v>
                </c:pt>
                <c:pt idx="112">
                  <c:v>4.2920274400115144E-2</c:v>
                </c:pt>
                <c:pt idx="113">
                  <c:v>4.2938616614711322E-2</c:v>
                </c:pt>
                <c:pt idx="114">
                  <c:v>4.2956958477783136E-2</c:v>
                </c:pt>
                <c:pt idx="115">
                  <c:v>4.2975299989337246E-2</c:v>
                </c:pt>
                <c:pt idx="116">
                  <c:v>4.2993641149380535E-2</c:v>
                </c:pt>
                <c:pt idx="117">
                  <c:v>4.3011981957919665E-2</c:v>
                </c:pt>
                <c:pt idx="118">
                  <c:v>4.3030322414961408E-2</c:v>
                </c:pt>
                <c:pt idx="119">
                  <c:v>4.3048662520512426E-2</c:v>
                </c:pt>
                <c:pt idx="120">
                  <c:v>4.3067002274579602E-2</c:v>
                </c:pt>
                <c:pt idx="121">
                  <c:v>4.3085341677169486E-2</c:v>
                </c:pt>
                <c:pt idx="122">
                  <c:v>4.3103680728288962E-2</c:v>
                </c:pt>
                <c:pt idx="123">
                  <c:v>4.312201942794458E-2</c:v>
                </c:pt>
                <c:pt idx="124">
                  <c:v>4.3140357776143334E-2</c:v>
                </c:pt>
                <c:pt idx="125">
                  <c:v>4.3158695772891775E-2</c:v>
                </c:pt>
                <c:pt idx="126">
                  <c:v>4.3177033418196786E-2</c:v>
                </c:pt>
                <c:pt idx="127">
                  <c:v>4.3195370712064918E-2</c:v>
                </c:pt>
                <c:pt idx="128">
                  <c:v>4.3213707654502942E-2</c:v>
                </c:pt>
                <c:pt idx="129">
                  <c:v>4.3232044245517742E-2</c:v>
                </c:pt>
                <c:pt idx="130">
                  <c:v>4.3250380485115869E-2</c:v>
                </c:pt>
                <c:pt idx="131">
                  <c:v>4.3268716373304317E-2</c:v>
                </c:pt>
                <c:pt idx="132">
                  <c:v>4.3287051910089525E-2</c:v>
                </c:pt>
                <c:pt idx="133">
                  <c:v>4.3305387095478376E-2</c:v>
                </c:pt>
                <c:pt idx="134">
                  <c:v>4.3323721929477532E-2</c:v>
                </c:pt>
                <c:pt idx="135">
                  <c:v>4.3342056412093766E-2</c:v>
                </c:pt>
                <c:pt idx="136">
                  <c:v>4.336039054333396E-2</c:v>
                </c:pt>
                <c:pt idx="137">
                  <c:v>4.3378724323204554E-2</c:v>
                </c:pt>
                <c:pt idx="138">
                  <c:v>4.3397057751712542E-2</c:v>
                </c:pt>
                <c:pt idx="139">
                  <c:v>4.3415390828864586E-2</c:v>
                </c:pt>
                <c:pt idx="140">
                  <c:v>4.3433723554667347E-2</c:v>
                </c:pt>
                <c:pt idx="141">
                  <c:v>4.3452055929127487E-2</c:v>
                </c:pt>
                <c:pt idx="142">
                  <c:v>4.3470387952251999E-2</c:v>
                </c:pt>
                <c:pt idx="143">
                  <c:v>4.3488719624047434E-2</c:v>
                </c:pt>
                <c:pt idx="144">
                  <c:v>4.3507050944520564E-2</c:v>
                </c:pt>
                <c:pt idx="145">
                  <c:v>4.3525381913678052E-2</c:v>
                </c:pt>
                <c:pt idx="146">
                  <c:v>4.3543712531526779E-2</c:v>
                </c:pt>
                <c:pt idx="147">
                  <c:v>4.3562042798073408E-2</c:v>
                </c:pt>
                <c:pt idx="148">
                  <c:v>4.35803727133246E-2</c:v>
                </c:pt>
                <c:pt idx="149">
                  <c:v>4.3598702277287127E-2</c:v>
                </c:pt>
                <c:pt idx="150">
                  <c:v>4.3617031489967761E-2</c:v>
                </c:pt>
                <c:pt idx="151">
                  <c:v>4.3635360351373276E-2</c:v>
                </c:pt>
                <c:pt idx="152">
                  <c:v>4.3653688861510331E-2</c:v>
                </c:pt>
                <c:pt idx="153">
                  <c:v>4.367201702038559E-2</c:v>
                </c:pt>
                <c:pt idx="154">
                  <c:v>4.3690344828005934E-2</c:v>
                </c:pt>
                <c:pt idx="155">
                  <c:v>4.3708672284378025E-2</c:v>
                </c:pt>
                <c:pt idx="156">
                  <c:v>4.3726999389508636E-2</c:v>
                </c:pt>
                <c:pt idx="157">
                  <c:v>4.3745326143404317E-2</c:v>
                </c:pt>
                <c:pt idx="158">
                  <c:v>4.3763652546072063E-2</c:v>
                </c:pt>
                <c:pt idx="159">
                  <c:v>4.3781978597518423E-2</c:v>
                </c:pt>
                <c:pt idx="160">
                  <c:v>4.3800304297750281E-2</c:v>
                </c:pt>
                <c:pt idx="161">
                  <c:v>4.3818629646774188E-2</c:v>
                </c:pt>
                <c:pt idx="162">
                  <c:v>4.3836954644596915E-2</c:v>
                </c:pt>
                <c:pt idx="163">
                  <c:v>4.3855279291225346E-2</c:v>
                </c:pt>
                <c:pt idx="164">
                  <c:v>4.3873603586666032E-2</c:v>
                </c:pt>
                <c:pt idx="165">
                  <c:v>4.3891927530925856E-2</c:v>
                </c:pt>
                <c:pt idx="166">
                  <c:v>4.3910251124011368E-2</c:v>
                </c:pt>
                <c:pt idx="167">
                  <c:v>4.3928574365929451E-2</c:v>
                </c:pt>
                <c:pt idx="168">
                  <c:v>4.3946897256686879E-2</c:v>
                </c:pt>
                <c:pt idx="169">
                  <c:v>4.39652197962902E-2</c:v>
                </c:pt>
                <c:pt idx="170">
                  <c:v>4.3983541984746188E-2</c:v>
                </c:pt>
                <c:pt idx="171">
                  <c:v>4.4001863822061615E-2</c:v>
                </c:pt>
                <c:pt idx="172">
                  <c:v>4.4020185308243254E-2</c:v>
                </c:pt>
                <c:pt idx="173">
                  <c:v>4.4038506443297765E-2</c:v>
                </c:pt>
                <c:pt idx="174">
                  <c:v>4.4056827227231921E-2</c:v>
                </c:pt>
                <c:pt idx="175">
                  <c:v>4.4075147660052383E-2</c:v>
                </c:pt>
                <c:pt idx="176">
                  <c:v>4.4093467741766035E-2</c:v>
                </c:pt>
                <c:pt idx="177">
                  <c:v>4.4111787472379427E-2</c:v>
                </c:pt>
                <c:pt idx="178">
                  <c:v>4.4130106851899331E-2</c:v>
                </c:pt>
                <c:pt idx="179">
                  <c:v>4.4148425880332631E-2</c:v>
                </c:pt>
                <c:pt idx="180">
                  <c:v>4.4166744557685766E-2</c:v>
                </c:pt>
                <c:pt idx="181">
                  <c:v>4.4185062883965731E-2</c:v>
                </c:pt>
                <c:pt idx="182">
                  <c:v>4.4203380859179187E-2</c:v>
                </c:pt>
                <c:pt idx="183">
                  <c:v>4.4221698483332683E-2</c:v>
                </c:pt>
                <c:pt idx="184">
                  <c:v>4.4240015756433215E-2</c:v>
                </c:pt>
                <c:pt idx="185">
                  <c:v>4.4258332678487333E-2</c:v>
                </c:pt>
                <c:pt idx="186">
                  <c:v>4.4276649249501809E-2</c:v>
                </c:pt>
                <c:pt idx="187">
                  <c:v>4.4294965469483416E-2</c:v>
                </c:pt>
                <c:pt idx="188">
                  <c:v>4.4313281338438926E-2</c:v>
                </c:pt>
                <c:pt idx="189">
                  <c:v>4.4331596856374889E-2</c:v>
                </c:pt>
                <c:pt idx="190">
                  <c:v>4.4349912023298077E-2</c:v>
                </c:pt>
                <c:pt idx="191">
                  <c:v>4.4368226839215374E-2</c:v>
                </c:pt>
                <c:pt idx="192">
                  <c:v>4.4386541304133331E-2</c:v>
                </c:pt>
                <c:pt idx="193">
                  <c:v>4.4404855418058831E-2</c:v>
                </c:pt>
                <c:pt idx="194">
                  <c:v>4.4423169180998423E-2</c:v>
                </c:pt>
                <c:pt idx="195">
                  <c:v>4.4441482592958992E-2</c:v>
                </c:pt>
                <c:pt idx="196">
                  <c:v>4.4459795653947087E-2</c:v>
                </c:pt>
                <c:pt idx="197">
                  <c:v>4.4478108363969704E-2</c:v>
                </c:pt>
                <c:pt idx="198">
                  <c:v>4.4496420723033281E-2</c:v>
                </c:pt>
                <c:pt idx="199">
                  <c:v>4.4514732731144702E-2</c:v>
                </c:pt>
                <c:pt idx="200">
                  <c:v>4.4533044388310739E-2</c:v>
                </c:pt>
                <c:pt idx="201">
                  <c:v>4.4551355694537942E-2</c:v>
                </c:pt>
                <c:pt idx="202">
                  <c:v>4.4569666649833195E-2</c:v>
                </c:pt>
                <c:pt idx="203">
                  <c:v>4.4587977254203159E-2</c:v>
                </c:pt>
                <c:pt idx="204">
                  <c:v>4.4606287507654607E-2</c:v>
                </c:pt>
                <c:pt idx="205">
                  <c:v>4.46245974101942E-2</c:v>
                </c:pt>
                <c:pt idx="206">
                  <c:v>4.464290696182871E-2</c:v>
                </c:pt>
                <c:pt idx="207">
                  <c:v>4.4661216162564799E-2</c:v>
                </c:pt>
                <c:pt idx="208">
                  <c:v>4.4679525012409238E-2</c:v>
                </c:pt>
                <c:pt idx="209">
                  <c:v>4.469783351136869E-2</c:v>
                </c:pt>
                <c:pt idx="210">
                  <c:v>4.4716141659450037E-2</c:v>
                </c:pt>
                <c:pt idx="211">
                  <c:v>4.4734449456659831E-2</c:v>
                </c:pt>
                <c:pt idx="212">
                  <c:v>4.4752756903004953E-2</c:v>
                </c:pt>
                <c:pt idx="213">
                  <c:v>4.4771063998491956E-2</c:v>
                </c:pt>
                <c:pt idx="214">
                  <c:v>4.4789370743127721E-2</c:v>
                </c:pt>
                <c:pt idx="215">
                  <c:v>4.48076771369188E-2</c:v>
                </c:pt>
                <c:pt idx="216">
                  <c:v>4.4825983179872075E-2</c:v>
                </c:pt>
                <c:pt idx="217">
                  <c:v>4.484428887199432E-2</c:v>
                </c:pt>
                <c:pt idx="218">
                  <c:v>4.4862594213291973E-2</c:v>
                </c:pt>
                <c:pt idx="219">
                  <c:v>4.4880899203772029E-2</c:v>
                </c:pt>
                <c:pt idx="220">
                  <c:v>4.4899203843441149E-2</c:v>
                </c:pt>
                <c:pt idx="221">
                  <c:v>4.4917508132305994E-2</c:v>
                </c:pt>
                <c:pt idx="222">
                  <c:v>4.4935812070373227E-2</c:v>
                </c:pt>
                <c:pt idx="223">
                  <c:v>4.4954115657649729E-2</c:v>
                </c:pt>
                <c:pt idx="224">
                  <c:v>4.4972418894142274E-2</c:v>
                </c:pt>
                <c:pt idx="225">
                  <c:v>4.4990721779857301E-2</c:v>
                </c:pt>
                <c:pt idx="226">
                  <c:v>4.5009024314801804E-2</c:v>
                </c:pt>
                <c:pt idx="227">
                  <c:v>4.5027326498982334E-2</c:v>
                </c:pt>
                <c:pt idx="228">
                  <c:v>4.5045628332405663E-2</c:v>
                </c:pt>
                <c:pt idx="229">
                  <c:v>4.5063929815078563E-2</c:v>
                </c:pt>
                <c:pt idx="230">
                  <c:v>4.5082230947007806E-2</c:v>
                </c:pt>
                <c:pt idx="231">
                  <c:v>4.5100531728199944E-2</c:v>
                </c:pt>
                <c:pt idx="232">
                  <c:v>4.5118832158661748E-2</c:v>
                </c:pt>
                <c:pt idx="233">
                  <c:v>4.5137132238399991E-2</c:v>
                </c:pt>
                <c:pt idx="234">
                  <c:v>4.5155431967421444E-2</c:v>
                </c:pt>
                <c:pt idx="235">
                  <c:v>4.517373134573277E-2</c:v>
                </c:pt>
                <c:pt idx="236">
                  <c:v>4.519203037334063E-2</c:v>
                </c:pt>
                <c:pt idx="237">
                  <c:v>4.5210329050251796E-2</c:v>
                </c:pt>
                <c:pt idx="238">
                  <c:v>4.5228627376473041E-2</c:v>
                </c:pt>
                <c:pt idx="239">
                  <c:v>4.5246925352011025E-2</c:v>
                </c:pt>
                <c:pt idx="240">
                  <c:v>4.5265222976872521E-2</c:v>
                </c:pt>
                <c:pt idx="241">
                  <c:v>4.528352025106408E-2</c:v>
                </c:pt>
                <c:pt idx="242">
                  <c:v>4.5301817174592696E-2</c:v>
                </c:pt>
                <c:pt idx="243">
                  <c:v>4.5320113747464918E-2</c:v>
                </c:pt>
                <c:pt idx="244">
                  <c:v>4.533840996968741E-2</c:v>
                </c:pt>
                <c:pt idx="245">
                  <c:v>4.5356705841267053E-2</c:v>
                </c:pt>
                <c:pt idx="246">
                  <c:v>4.537500136221051E-2</c:v>
                </c:pt>
                <c:pt idx="247">
                  <c:v>4.5393296532524441E-2</c:v>
                </c:pt>
                <c:pt idx="248">
                  <c:v>4.5411591352215619E-2</c:v>
                </c:pt>
                <c:pt idx="249">
                  <c:v>4.5429885821290705E-2</c:v>
                </c:pt>
                <c:pt idx="250">
                  <c:v>4.5448179939756472E-2</c:v>
                </c:pt>
                <c:pt idx="251">
                  <c:v>4.5466473707619692E-2</c:v>
                </c:pt>
                <c:pt idx="252">
                  <c:v>4.5484767124887027E-2</c:v>
                </c:pt>
                <c:pt idx="253">
                  <c:v>4.5503060191565137E-2</c:v>
                </c:pt>
                <c:pt idx="254">
                  <c:v>4.5521352907660795E-2</c:v>
                </c:pt>
                <c:pt idx="255">
                  <c:v>4.5539645273180773E-2</c:v>
                </c:pt>
                <c:pt idx="256">
                  <c:v>4.5557937288131733E-2</c:v>
                </c:pt>
                <c:pt idx="257">
                  <c:v>4.5576228952520337E-2</c:v>
                </c:pt>
                <c:pt idx="258">
                  <c:v>4.5594520266353356E-2</c:v>
                </c:pt>
                <c:pt idx="259">
                  <c:v>4.5612811229637562E-2</c:v>
                </c:pt>
                <c:pt idx="260">
                  <c:v>4.5631101842379729E-2</c:v>
                </c:pt>
                <c:pt idx="261">
                  <c:v>4.5649392104586295E-2</c:v>
                </c:pt>
                <c:pt idx="262">
                  <c:v>4.5667682016264255E-2</c:v>
                </c:pt>
                <c:pt idx="263">
                  <c:v>4.568597157742027E-2</c:v>
                </c:pt>
                <c:pt idx="264">
                  <c:v>4.5704260788061002E-2</c:v>
                </c:pt>
                <c:pt idx="265">
                  <c:v>4.5722549648193112E-2</c:v>
                </c:pt>
                <c:pt idx="266">
                  <c:v>4.5740838157823482E-2</c:v>
                </c:pt>
                <c:pt idx="267">
                  <c:v>4.5759126316958665E-2</c:v>
                </c:pt>
                <c:pt idx="268">
                  <c:v>4.5777414125605431E-2</c:v>
                </c:pt>
                <c:pt idx="269">
                  <c:v>4.5795701583770554E-2</c:v>
                </c:pt>
                <c:pt idx="270">
                  <c:v>4.5813988691460694E-2</c:v>
                </c:pt>
                <c:pt idx="271">
                  <c:v>4.5832275448682624E-2</c:v>
                </c:pt>
                <c:pt idx="272">
                  <c:v>4.5850561855443006E-2</c:v>
                </c:pt>
                <c:pt idx="273">
                  <c:v>4.5868847911748611E-2</c:v>
                </c:pt>
                <c:pt idx="274">
                  <c:v>4.5887133617606102E-2</c:v>
                </c:pt>
                <c:pt idx="275">
                  <c:v>4.5905418973022138E-2</c:v>
                </c:pt>
                <c:pt idx="276">
                  <c:v>4.5923703978003605E-2</c:v>
                </c:pt>
                <c:pt idx="277">
                  <c:v>4.5941988632557051E-2</c:v>
                </c:pt>
                <c:pt idx="278">
                  <c:v>4.5960272936689361E-2</c:v>
                </c:pt>
                <c:pt idx="279">
                  <c:v>4.5978556890407085E-2</c:v>
                </c:pt>
                <c:pt idx="280">
                  <c:v>4.5996840493716995E-2</c:v>
                </c:pt>
                <c:pt idx="281">
                  <c:v>4.6015123746625863E-2</c:v>
                </c:pt>
                <c:pt idx="282">
                  <c:v>4.6033406649140352E-2</c:v>
                </c:pt>
                <c:pt idx="283">
                  <c:v>4.6051689201267121E-2</c:v>
                </c:pt>
                <c:pt idx="284">
                  <c:v>4.6069971403013055E-2</c:v>
                </c:pt>
                <c:pt idx="285">
                  <c:v>4.6088253254384703E-2</c:v>
                </c:pt>
                <c:pt idx="286">
                  <c:v>4.6106534755388839E-2</c:v>
                </c:pt>
                <c:pt idx="287">
                  <c:v>4.6124815906032124E-2</c:v>
                </c:pt>
                <c:pt idx="288">
                  <c:v>4.614309670632144E-2</c:v>
                </c:pt>
                <c:pt idx="289">
                  <c:v>4.6161377156263339E-2</c:v>
                </c:pt>
                <c:pt idx="290">
                  <c:v>4.6179657255864481E-2</c:v>
                </c:pt>
                <c:pt idx="291">
                  <c:v>4.6197937005131862E-2</c:v>
                </c:pt>
                <c:pt idx="292">
                  <c:v>4.6216216404071919E-2</c:v>
                </c:pt>
                <c:pt idx="293">
                  <c:v>4.6234495452691426E-2</c:v>
                </c:pt>
                <c:pt idx="294">
                  <c:v>4.6252774150997267E-2</c:v>
                </c:pt>
                <c:pt idx="295">
                  <c:v>4.627105249899599E-2</c:v>
                </c:pt>
                <c:pt idx="296">
                  <c:v>4.6289330496694259E-2</c:v>
                </c:pt>
                <c:pt idx="297">
                  <c:v>4.6307608144098955E-2</c:v>
                </c:pt>
                <c:pt idx="298">
                  <c:v>4.632588544121663E-2</c:v>
                </c:pt>
                <c:pt idx="299">
                  <c:v>4.6344162388054166E-2</c:v>
                </c:pt>
                <c:pt idx="300">
                  <c:v>4.6362438984618115E-2</c:v>
                </c:pt>
                <c:pt idx="301">
                  <c:v>4.6380715230915248E-2</c:v>
                </c:pt>
                <c:pt idx="302">
                  <c:v>4.6398991126952338E-2</c:v>
                </c:pt>
                <c:pt idx="303">
                  <c:v>4.6417266672736046E-2</c:v>
                </c:pt>
                <c:pt idx="304">
                  <c:v>4.6435541868273034E-2</c:v>
                </c:pt>
                <c:pt idx="305">
                  <c:v>4.6453816713570184E-2</c:v>
                </c:pt>
                <c:pt idx="306">
                  <c:v>4.6472091208634048E-2</c:v>
                </c:pt>
                <c:pt idx="307">
                  <c:v>4.6490365353471286E-2</c:v>
                </c:pt>
                <c:pt idx="308">
                  <c:v>4.6508639148088782E-2</c:v>
                </c:pt>
                <c:pt idx="309">
                  <c:v>4.6526912592493197E-2</c:v>
                </c:pt>
                <c:pt idx="310">
                  <c:v>4.6545185686691193E-2</c:v>
                </c:pt>
                <c:pt idx="311">
                  <c:v>4.6563458430689542E-2</c:v>
                </c:pt>
                <c:pt idx="312">
                  <c:v>4.6581730824494905E-2</c:v>
                </c:pt>
                <c:pt idx="313">
                  <c:v>4.6600002868113943E-2</c:v>
                </c:pt>
                <c:pt idx="314">
                  <c:v>4.6618274561553541E-2</c:v>
                </c:pt>
                <c:pt idx="315">
                  <c:v>4.6636545904820248E-2</c:v>
                </c:pt>
                <c:pt idx="316">
                  <c:v>4.6654816897920726E-2</c:v>
                </c:pt>
                <c:pt idx="317">
                  <c:v>4.6673087540861968E-2</c:v>
                </c:pt>
                <c:pt idx="318">
                  <c:v>4.6691357833650415E-2</c:v>
                </c:pt>
                <c:pt idx="319">
                  <c:v>4.6709627776292839E-2</c:v>
                </c:pt>
                <c:pt idx="320">
                  <c:v>4.6727897368796012E-2</c:v>
                </c:pt>
                <c:pt idx="321">
                  <c:v>4.6746166611166706E-2</c:v>
                </c:pt>
                <c:pt idx="322">
                  <c:v>4.6764435503411361E-2</c:v>
                </c:pt>
                <c:pt idx="323">
                  <c:v>4.6782704045536971E-2</c:v>
                </c:pt>
                <c:pt idx="324">
                  <c:v>4.6800972237550198E-2</c:v>
                </c:pt>
                <c:pt idx="325">
                  <c:v>4.6819240079457591E-2</c:v>
                </c:pt>
                <c:pt idx="326">
                  <c:v>4.6837507571266035E-2</c:v>
                </c:pt>
                <c:pt idx="327">
                  <c:v>4.6855774712982079E-2</c:v>
                </c:pt>
                <c:pt idx="328">
                  <c:v>4.6874041504612607E-2</c:v>
                </c:pt>
                <c:pt idx="329">
                  <c:v>4.6892307946164169E-2</c:v>
                </c:pt>
                <c:pt idx="330">
                  <c:v>4.6910574037643538E-2</c:v>
                </c:pt>
                <c:pt idx="331">
                  <c:v>4.6928839779057485E-2</c:v>
                </c:pt>
                <c:pt idx="332">
                  <c:v>4.6947105170412673E-2</c:v>
                </c:pt>
                <c:pt idx="333">
                  <c:v>4.6965370211715762E-2</c:v>
                </c:pt>
                <c:pt idx="334">
                  <c:v>4.6983634902973526E-2</c:v>
                </c:pt>
                <c:pt idx="335">
                  <c:v>4.7001899244192624E-2</c:v>
                </c:pt>
                <c:pt idx="336">
                  <c:v>4.702016323537983E-2</c:v>
                </c:pt>
                <c:pt idx="337">
                  <c:v>4.7038426876541695E-2</c:v>
                </c:pt>
                <c:pt idx="338">
                  <c:v>4.7056690167685211E-2</c:v>
                </c:pt>
                <c:pt idx="339">
                  <c:v>4.7074953108816819E-2</c:v>
                </c:pt>
                <c:pt idx="340">
                  <c:v>4.7093215699943292E-2</c:v>
                </c:pt>
                <c:pt idx="341">
                  <c:v>4.7111477941071511E-2</c:v>
                </c:pt>
                <c:pt idx="342">
                  <c:v>4.7129739832207918E-2</c:v>
                </c:pt>
                <c:pt idx="343">
                  <c:v>4.7148001373359394E-2</c:v>
                </c:pt>
                <c:pt idx="344">
                  <c:v>4.7166262564532602E-2</c:v>
                </c:pt>
                <c:pt idx="345">
                  <c:v>4.7184523405734313E-2</c:v>
                </c:pt>
                <c:pt idx="346">
                  <c:v>4.7202783896971079E-2</c:v>
                </c:pt>
                <c:pt idx="347">
                  <c:v>4.7221044038249671E-2</c:v>
                </c:pt>
                <c:pt idx="348">
                  <c:v>4.7239303829576862E-2</c:v>
                </c:pt>
                <c:pt idx="349">
                  <c:v>4.7257563270959313E-2</c:v>
                </c:pt>
                <c:pt idx="350">
                  <c:v>4.7275822362403797E-2</c:v>
                </c:pt>
                <c:pt idx="351">
                  <c:v>4.7294081103916863E-2</c:v>
                </c:pt>
                <c:pt idx="352">
                  <c:v>4.7312339495505396E-2</c:v>
                </c:pt>
                <c:pt idx="353">
                  <c:v>4.7330597537175945E-2</c:v>
                </c:pt>
                <c:pt idx="354">
                  <c:v>4.7348855228935394E-2</c:v>
                </c:pt>
                <c:pt idx="355">
                  <c:v>4.7367112570790182E-2</c:v>
                </c:pt>
                <c:pt idx="356">
                  <c:v>4.7385369562747304E-2</c:v>
                </c:pt>
                <c:pt idx="357">
                  <c:v>4.7403626204813309E-2</c:v>
                </c:pt>
                <c:pt idx="358">
                  <c:v>4.7421882496994971E-2</c:v>
                </c:pt>
                <c:pt idx="359">
                  <c:v>4.7440138439298951E-2</c:v>
                </c:pt>
                <c:pt idx="360">
                  <c:v>4.745839403173191E-2</c:v>
                </c:pt>
                <c:pt idx="361">
                  <c:v>4.747664927430062E-2</c:v>
                </c:pt>
                <c:pt idx="362">
                  <c:v>4.7494904167011742E-2</c:v>
                </c:pt>
                <c:pt idx="363">
                  <c:v>4.751315870987205E-2</c:v>
                </c:pt>
                <c:pt idx="364">
                  <c:v>4.7531412902888204E-2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2.8125010679567443E-2</c:v>
                </c:pt>
                <c:pt idx="1">
                  <c:v>2.818954506923951E-2</c:v>
                </c:pt>
                <c:pt idx="2">
                  <c:v>2.8254077846520294E-2</c:v>
                </c:pt>
                <c:pt idx="3">
                  <c:v>2.831860288852572E-2</c:v>
                </c:pt>
                <c:pt idx="4">
                  <c:v>2.8383114867064269E-2</c:v>
                </c:pt>
                <c:pt idx="5">
                  <c:v>2.8447609230817628E-2</c:v>
                </c:pt>
                <c:pt idx="6">
                  <c:v>2.8512082180838009E-2</c:v>
                </c:pt>
                <c:pt idx="7">
                  <c:v>2.8576530639809312E-2</c:v>
                </c:pt>
                <c:pt idx="8">
                  <c:v>2.8640952215569542E-2</c:v>
                </c:pt>
                <c:pt idx="9">
                  <c:v>2.870534515943798E-2</c:v>
                </c:pt>
                <c:pt idx="10">
                  <c:v>2.8769708319929765E-2</c:v>
                </c:pt>
                <c:pt idx="11">
                  <c:v>2.8834041092473492E-2</c:v>
                </c:pt>
                <c:pt idx="12">
                  <c:v>2.8898343365774955E-2</c:v>
                </c:pt>
                <c:pt idx="13">
                  <c:v>2.89626154654893E-2</c:v>
                </c:pt>
                <c:pt idx="14">
                  <c:v>2.9026858095877864E-2</c:v>
                </c:pt>
                <c:pt idx="15">
                  <c:v>2.9091072280131868E-2</c:v>
                </c:pt>
                <c:pt idx="16">
                  <c:v>2.9155259300045075E-2</c:v>
                </c:pt>
                <c:pt idx="17">
                  <c:v>2.9219420635709953E-2</c:v>
                </c:pt>
                <c:pt idx="18">
                  <c:v>2.9283557905898667E-2</c:v>
                </c:pt>
                <c:pt idx="19">
                  <c:v>2.9347672809769521E-2</c:v>
                </c:pt>
                <c:pt idx="20">
                  <c:v>2.9411767070513663E-2</c:v>
                </c:pt>
                <c:pt idx="21">
                  <c:v>2.9475842381524814E-2</c:v>
                </c:pt>
                <c:pt idx="22">
                  <c:v>2.9539900355637413E-2</c:v>
                </c:pt>
                <c:pt idx="23">
                  <c:v>2.9603942477936716E-2</c:v>
                </c:pt>
                <c:pt idx="24">
                  <c:v>2.9667970062597231E-2</c:v>
                </c:pt>
                <c:pt idx="25">
                  <c:v>2.9731984214156224E-2</c:v>
                </c:pt>
                <c:pt idx="26">
                  <c:v>2.9795985793574686E-2</c:v>
                </c:pt>
                <c:pt idx="27">
                  <c:v>2.9859975389381961E-2</c:v>
                </c:pt>
                <c:pt idx="28">
                  <c:v>2.9923953294141954E-2</c:v>
                </c:pt>
                <c:pt idx="29">
                  <c:v>2.998791948641848E-2</c:v>
                </c:pt>
                <c:pt idx="30">
                  <c:v>3.0051873618356959E-2</c:v>
                </c:pt>
                <c:pt idx="31">
                  <c:v>3.0115815008938399E-2</c:v>
                </c:pt>
                <c:pt idx="32">
                  <c:v>3.0179742642901568E-2</c:v>
                </c:pt>
                <c:pt idx="33">
                  <c:v>3.0243655175269311E-2</c:v>
                </c:pt>
                <c:pt idx="34">
                  <c:v>3.0307550941357789E-2</c:v>
                </c:pt>
                <c:pt idx="35">
                  <c:v>3.0371427972091816E-2</c:v>
                </c:pt>
                <c:pt idx="36">
                  <c:v>3.0435284014396598E-2</c:v>
                </c:pt>
                <c:pt idx="37">
                  <c:v>3.0499116556387186E-2</c:v>
                </c:pt>
                <c:pt idx="38">
                  <c:v>3.0562922857031376E-2</c:v>
                </c:pt>
                <c:pt idx="39">
                  <c:v>3.0626699979920048E-2</c:v>
                </c:pt>
                <c:pt idx="40">
                  <c:v>3.0690444830742902E-2</c:v>
                </c:pt>
                <c:pt idx="41">
                  <c:v>3.0754154198034726E-2</c:v>
                </c:pt>
                <c:pt idx="42">
                  <c:v>3.0817824796731376E-2</c:v>
                </c:pt>
                <c:pt idx="43">
                  <c:v>3.088145331405286E-2</c:v>
                </c:pt>
                <c:pt idx="44">
                  <c:v>3.0945036457214713E-2</c:v>
                </c:pt>
                <c:pt idx="45">
                  <c:v>3.1008571002459111E-2</c:v>
                </c:pt>
                <c:pt idx="46">
                  <c:v>3.1072053844891572E-2</c:v>
                </c:pt>
                <c:pt idx="47">
                  <c:v>3.1135482048610347E-2</c:v>
                </c:pt>
                <c:pt idx="48">
                  <c:v>3.1198852896621349E-2</c:v>
                </c:pt>
                <c:pt idx="49">
                  <c:v>3.1262163940042727E-2</c:v>
                </c:pt>
                <c:pt idx="50">
                  <c:v>3.1325413046120028E-2</c:v>
                </c:pt>
                <c:pt idx="51">
                  <c:v>3.1388598444593033E-2</c:v>
                </c:pt>
                <c:pt idx="52">
                  <c:v>3.1451718771982003E-2</c:v>
                </c:pt>
                <c:pt idx="53">
                  <c:v>3.1514773113389537E-2</c:v>
                </c:pt>
                <c:pt idx="54">
                  <c:v>3.1577761041448049E-2</c:v>
                </c:pt>
                <c:pt idx="55">
                  <c:v>3.1640682652079158E-2</c:v>
                </c:pt>
                <c:pt idx="56">
                  <c:v>3.1703538596770185E-2</c:v>
                </c:pt>
                <c:pt idx="57">
                  <c:v>3.1766330111114502E-2</c:v>
                </c:pt>
                <c:pt idx="58">
                  <c:v>3.1829059039405326E-2</c:v>
                </c:pt>
                <c:pt idx="59">
                  <c:v>3.1891727855116785E-2</c:v>
                </c:pt>
                <c:pt idx="60">
                  <c:v>3.1954339677151319E-2</c:v>
                </c:pt>
                <c:pt idx="61">
                  <c:v>3.2016898281776632E-2</c:v>
                </c:pt>
                <c:pt idx="62">
                  <c:v>3.2079408110220926E-2</c:v>
                </c:pt>
                <c:pt idx="63">
                  <c:v>3.2141874271937952E-2</c:v>
                </c:pt>
                <c:pt idx="64">
                  <c:v>3.2204302543596242E-2</c:v>
                </c:pt>
                <c:pt idx="65">
                  <c:v>3.2266699363886805E-2</c:v>
                </c:pt>
                <c:pt idx="66">
                  <c:v>3.2329071824281699E-2</c:v>
                </c:pt>
                <c:pt idx="67">
                  <c:v>3.2391427655911138E-2</c:v>
                </c:pt>
                <c:pt idx="68">
                  <c:v>3.2453775212758808E-2</c:v>
                </c:pt>
                <c:pt idx="69">
                  <c:v>3.2516123451404005E-2</c:v>
                </c:pt>
                <c:pt idx="70">
                  <c:v>3.2578481907563898E-2</c:v>
                </c:pt>
                <c:pt idx="71">
                  <c:v>3.2640860669710427E-2</c:v>
                </c:pt>
                <c:pt idx="72">
                  <c:v>3.2703270350053423E-2</c:v>
                </c:pt>
                <c:pt idx="73">
                  <c:v>3.2765722053193877E-2</c:v>
                </c:pt>
                <c:pt idx="74">
                  <c:v>3.2828227342760009E-2</c:v>
                </c:pt>
                <c:pt idx="75">
                  <c:v>3.2890798206342775E-2</c:v>
                </c:pt>
                <c:pt idx="76">
                  <c:v>3.2953447019047268E-2</c:v>
                </c:pt>
                <c:pt idx="77">
                  <c:v>3.3016186505971962E-2</c:v>
                </c:pt>
                <c:pt idx="78">
                  <c:v>3.3079029703919793E-2</c:v>
                </c:pt>
                <c:pt idx="79">
                  <c:v>3.3141989922632197E-2</c:v>
                </c:pt>
                <c:pt idx="80">
                  <c:v>3.320508070582219E-2</c:v>
                </c:pt>
                <c:pt idx="81">
                  <c:v>3.3268315792262824E-2</c:v>
                </c:pt>
                <c:pt idx="82">
                  <c:v>3.3331709077165927E-2</c:v>
                </c:pt>
                <c:pt idx="83">
                  <c:v>3.3395274574060801E-2</c:v>
                </c:pt>
                <c:pt idx="84">
                  <c:v>3.3459026377356392E-2</c:v>
                </c:pt>
                <c:pt idx="85">
                  <c:v>3.3522978625741509E-2</c:v>
                </c:pt>
                <c:pt idx="86">
                  <c:v>3.3587145466547584E-2</c:v>
                </c:pt>
                <c:pt idx="87">
                  <c:v>3.3651541021168463E-2</c:v>
                </c:pt>
                <c:pt idx="88">
                  <c:v>3.3716179351599901E-2</c:v>
                </c:pt>
                <c:pt idx="89">
                  <c:v>3.3781074428130706E-2</c:v>
                </c:pt>
                <c:pt idx="90">
                  <c:v>3.3846240098187021E-2</c:v>
                </c:pt>
                <c:pt idx="91">
                  <c:v>3.3911690056301909E-2</c:v>
                </c:pt>
                <c:pt idx="92">
                  <c:v>3.3977437815153999E-2</c:v>
                </c:pt>
                <c:pt idx="93">
                  <c:v>3.404349667759371E-2</c:v>
                </c:pt>
                <c:pt idx="94">
                  <c:v>3.4109879709550837E-2</c:v>
                </c:pt>
                <c:pt idx="95">
                  <c:v>3.4176599713697048E-2</c:v>
                </c:pt>
                <c:pt idx="96">
                  <c:v>3.4243669203718255E-2</c:v>
                </c:pt>
                <c:pt idx="97">
                  <c:v>3.4311100379037236E-2</c:v>
                </c:pt>
                <c:pt idx="98">
                  <c:v>3.4378905099815699E-2</c:v>
                </c:pt>
                <c:pt idx="99">
                  <c:v>3.444709486205743E-2</c:v>
                </c:pt>
                <c:pt idx="100">
                  <c:v>3.4515680772630584E-2</c:v>
                </c:pt>
                <c:pt idx="101">
                  <c:v>3.4584673524027831E-2</c:v>
                </c:pt>
                <c:pt idx="102">
                  <c:v>3.4654083368687263E-2</c:v>
                </c:pt>
                <c:pt idx="103">
                  <c:v>3.47239200927058E-2</c:v>
                </c:pt>
                <c:pt idx="104">
                  <c:v>3.4794192988789163E-2</c:v>
                </c:pt>
                <c:pt idx="105">
                  <c:v>3.4864910828298977E-2</c:v>
                </c:pt>
                <c:pt idx="106">
                  <c:v>3.493608183227747E-2</c:v>
                </c:pt>
                <c:pt idx="107">
                  <c:v>3.5007713641354112E-2</c:v>
                </c:pt>
                <c:pt idx="108">
                  <c:v>3.5079813284464578E-2</c:v>
                </c:pt>
                <c:pt idx="109">
                  <c:v>3.5152387146342889E-2</c:v>
                </c:pt>
                <c:pt idx="110">
                  <c:v>3.5225440933778579E-2</c:v>
                </c:pt>
                <c:pt idx="111">
                  <c:v>3.5298979640665848E-2</c:v>
                </c:pt>
                <c:pt idx="112">
                  <c:v>3.5373007511906772E-2</c:v>
                </c:pt>
                <c:pt idx="113">
                  <c:v>3.5447528006267846E-2</c:v>
                </c:pt>
                <c:pt idx="114">
                  <c:v>3.5522543758326697E-2</c:v>
                </c:pt>
                <c:pt idx="115">
                  <c:v>3.5598056539683641E-2</c:v>
                </c:pt>
                <c:pt idx="116">
                  <c:v>3.5674067219650198E-2</c:v>
                </c:pt>
                <c:pt idx="117">
                  <c:v>3.575057572566321E-2</c:v>
                </c:pt>
                <c:pt idx="118">
                  <c:v>3.5827581003708156E-2</c:v>
                </c:pt>
                <c:pt idx="119">
                  <c:v>3.5905080979068998E-2</c:v>
                </c:pt>
                <c:pt idx="120">
                  <c:v>3.5983072517751818E-2</c:v>
                </c:pt>
                <c:pt idx="121">
                  <c:v>3.6061551388958092E-2</c:v>
                </c:pt>
                <c:pt idx="122">
                  <c:v>3.6140512229007445E-2</c:v>
                </c:pt>
                <c:pt idx="123">
                  <c:v>3.6219948507130229E-2</c:v>
                </c:pt>
                <c:pt idx="124">
                  <c:v>3.6299852493567153E-2</c:v>
                </c:pt>
                <c:pt idx="125">
                  <c:v>3.6380215230424007E-2</c:v>
                </c:pt>
                <c:pt idx="126">
                  <c:v>3.6461026505737598E-2</c:v>
                </c:pt>
                <c:pt idx="127">
                  <c:v>3.6542274831209885E-2</c:v>
                </c:pt>
                <c:pt idx="128">
                  <c:v>3.662394742406392E-2</c:v>
                </c:pt>
                <c:pt idx="129">
                  <c:v>3.6706030193466695E-2</c:v>
                </c:pt>
                <c:pt idx="130">
                  <c:v>3.6788507731948646E-2</c:v>
                </c:pt>
                <c:pt idx="131">
                  <c:v>3.687136331223001E-2</c:v>
                </c:pt>
                <c:pt idx="132">
                  <c:v>3.6954578889838718E-2</c:v>
                </c:pt>
                <c:pt idx="133">
                  <c:v>3.7038135111872809E-2</c:v>
                </c:pt>
                <c:pt idx="134">
                  <c:v>3.7122011332225105E-2</c:v>
                </c:pt>
                <c:pt idx="135">
                  <c:v>3.7206185633546066E-2</c:v>
                </c:pt>
                <c:pt idx="136">
                  <c:v>3.7290634856175384E-2</c:v>
                </c:pt>
                <c:pt idx="137">
                  <c:v>3.7375334634222546E-2</c:v>
                </c:pt>
                <c:pt idx="138">
                  <c:v>3.746025943892297E-2</c:v>
                </c:pt>
                <c:pt idx="139">
                  <c:v>3.754538262933875E-2</c:v>
                </c:pt>
                <c:pt idx="140">
                  <c:v>3.7630676510413234E-2</c:v>
                </c:pt>
                <c:pt idx="141">
                  <c:v>3.7716112398325827E-2</c:v>
                </c:pt>
                <c:pt idx="142">
                  <c:v>3.7801660693029697E-2</c:v>
                </c:pt>
                <c:pt idx="143">
                  <c:v>3.7887290957789366E-2</c:v>
                </c:pt>
                <c:pt idx="144">
                  <c:v>3.7972972005470187E-2</c:v>
                </c:pt>
                <c:pt idx="145">
                  <c:v>3.8058671991265544E-2</c:v>
                </c:pt>
                <c:pt idx="146">
                  <c:v>3.8144358511483921E-2</c:v>
                </c:pt>
                <c:pt idx="147">
                  <c:v>3.82299987079548E-2</c:v>
                </c:pt>
                <c:pt idx="148">
                  <c:v>3.8315559377551822E-2</c:v>
                </c:pt>
                <c:pt idx="149">
                  <c:v>3.8401007086274253E-2</c:v>
                </c:pt>
                <c:pt idx="150">
                  <c:v>3.8486308287273889E-2</c:v>
                </c:pt>
                <c:pt idx="151">
                  <c:v>3.8571429442164712E-2</c:v>
                </c:pt>
                <c:pt idx="152">
                  <c:v>3.8656337144907849E-2</c:v>
                </c:pt>
                <c:pt idx="153">
                  <c:v>3.8740998247524777E-2</c:v>
                </c:pt>
                <c:pt idx="154">
                  <c:v>3.8825379986858428E-2</c:v>
                </c:pt>
                <c:pt idx="155">
                  <c:v>3.8909450111573846E-2</c:v>
                </c:pt>
                <c:pt idx="156">
                  <c:v>3.8993177008570239E-2</c:v>
                </c:pt>
                <c:pt idx="157">
                  <c:v>3.9076529827962059E-2</c:v>
                </c:pt>
                <c:pt idx="158">
                  <c:v>3.9159478605780673E-2</c:v>
                </c:pt>
                <c:pt idx="159">
                  <c:v>3.9241994383549181E-2</c:v>
                </c:pt>
                <c:pt idx="160">
                  <c:v>3.9324049323891802E-2</c:v>
                </c:pt>
                <c:pt idx="161">
                  <c:v>3.9405616821355398E-2</c:v>
                </c:pt>
                <c:pt idx="162">
                  <c:v>3.9486671607644581E-2</c:v>
                </c:pt>
                <c:pt idx="163">
                  <c:v>3.9567189850503136E-2</c:v>
                </c:pt>
                <c:pt idx="164">
                  <c:v>3.9647149245513123E-2</c:v>
                </c:pt>
                <c:pt idx="165">
                  <c:v>3.9726529100128367E-2</c:v>
                </c:pt>
                <c:pt idx="166">
                  <c:v>3.9805310409311116E-2</c:v>
                </c:pt>
                <c:pt idx="167">
                  <c:v>3.988347592219927E-2</c:v>
                </c:pt>
                <c:pt idx="168">
                  <c:v>3.9961010199295113E-2</c:v>
                </c:pt>
                <c:pt idx="169">
                  <c:v>4.0037899659736219E-2</c:v>
                </c:pt>
                <c:pt idx="170">
                  <c:v>4.0114132618282249E-2</c:v>
                </c:pt>
                <c:pt idx="171">
                  <c:v>4.0189699311729707E-2</c:v>
                </c:pt>
                <c:pt idx="172">
                  <c:v>4.0264591914547072E-2</c:v>
                </c:pt>
                <c:pt idx="173">
                  <c:v>4.0338804543605937E-2</c:v>
                </c:pt>
                <c:pt idx="174">
                  <c:v>4.0412333251969294E-2</c:v>
                </c:pt>
                <c:pt idx="175">
                  <c:v>4.0485176011783044E-2</c:v>
                </c:pt>
                <c:pt idx="176">
                  <c:v>4.0557332686403484E-2</c:v>
                </c:pt>
                <c:pt idx="177">
                  <c:v>4.0628804991978268E-2</c:v>
                </c:pt>
                <c:pt idx="178">
                  <c:v>4.069959644878178E-2</c:v>
                </c:pt>
                <c:pt idx="179">
                  <c:v>4.07697123226873E-2</c:v>
                </c:pt>
                <c:pt idx="180">
                  <c:v>4.0839159557236167E-2</c:v>
                </c:pt>
                <c:pt idx="181">
                  <c:v>4.090794669683815E-2</c:v>
                </c:pt>
                <c:pt idx="182">
                  <c:v>4.0976083801706836E-2</c:v>
                </c:pt>
                <c:pt idx="183">
                  <c:v>4.1043582355197394E-2</c:v>
                </c:pt>
                <c:pt idx="184">
                  <c:v>4.1110455164273009E-2</c:v>
                </c:pt>
                <c:pt idx="185">
                  <c:v>4.1176716253876658E-2</c:v>
                </c:pt>
                <c:pt idx="186">
                  <c:v>4.1242380756030241E-2</c:v>
                </c:pt>
                <c:pt idx="187">
                  <c:v>4.1307464794519438E-2</c:v>
                </c:pt>
                <c:pt idx="188">
                  <c:v>4.1371985366051946E-2</c:v>
                </c:pt>
                <c:pt idx="189">
                  <c:v>4.1435960218797419E-2</c:v>
                </c:pt>
                <c:pt idx="190">
                  <c:v>4.1499407729229817E-2</c:v>
                </c:pt>
                <c:pt idx="191">
                  <c:v>4.1562346778197069E-2</c:v>
                </c:pt>
                <c:pt idx="192">
                  <c:v>4.1624796627137819E-2</c:v>
                </c:pt>
                <c:pt idx="193">
                  <c:v>4.1686776795352536E-2</c:v>
                </c:pt>
                <c:pt idx="194">
                  <c:v>4.1748306939213921E-2</c:v>
                </c:pt>
                <c:pt idx="195">
                  <c:v>4.1809406734172612E-2</c:v>
                </c:pt>
                <c:pt idx="196">
                  <c:v>4.1870095760376189E-2</c:v>
                </c:pt>
                <c:pt idx="197">
                  <c:v>4.1930393392674722E-2</c:v>
                </c:pt>
                <c:pt idx="198">
                  <c:v>4.199031869573399E-2</c:v>
                </c:pt>
                <c:pt idx="199">
                  <c:v>4.2049890324919154E-2</c:v>
                </c:pt>
                <c:pt idx="200">
                  <c:v>4.2109126433547292E-2</c:v>
                </c:pt>
                <c:pt idx="201">
                  <c:v>4.2168044587037892E-2</c:v>
                </c:pt>
                <c:pt idx="202">
                  <c:v>4.2226661684416356E-2</c:v>
                </c:pt>
                <c:pt idx="203">
                  <c:v>4.2284993887547889E-2</c:v>
                </c:pt>
                <c:pt idx="204">
                  <c:v>4.2343056558398921E-2</c:v>
                </c:pt>
                <c:pt idx="205">
                  <c:v>4.2400864204540305E-2</c:v>
                </c:pt>
                <c:pt idx="206">
                  <c:v>4.2458430433023296E-2</c:v>
                </c:pt>
                <c:pt idx="207">
                  <c:v>4.2515767912674952E-2</c:v>
                </c:pt>
                <c:pt idx="208">
                  <c:v>4.2572888344776169E-2</c:v>
                </c:pt>
                <c:pt idx="209">
                  <c:v>4.2629802442004178E-2</c:v>
                </c:pt>
                <c:pt idx="210">
                  <c:v>4.2686519915440847E-2</c:v>
                </c:pt>
                <c:pt idx="211">
                  <c:v>4.2743049469372428E-2</c:v>
                </c:pt>
                <c:pt idx="212">
                  <c:v>4.2799398803533513E-2</c:v>
                </c:pt>
                <c:pt idx="213">
                  <c:v>4.2855574622380148E-2</c:v>
                </c:pt>
                <c:pt idx="214">
                  <c:v>4.2911582650915048E-2</c:v>
                </c:pt>
                <c:pt idx="215">
                  <c:v>4.29674276565312E-2</c:v>
                </c:pt>
                <c:pt idx="216">
                  <c:v>4.3023113476291022E-2</c:v>
                </c:pt>
                <c:pt idx="217">
                  <c:v>4.3078643049015576E-2</c:v>
                </c:pt>
                <c:pt idx="218">
                  <c:v>4.3134018451523731E-2</c:v>
                </c:pt>
                <c:pt idx="219">
                  <c:v>4.318924093833465E-2</c:v>
                </c:pt>
                <c:pt idx="220">
                  <c:v>4.3244310984128211E-2</c:v>
                </c:pt>
                <c:pt idx="221">
                  <c:v>4.3299228328248597E-2</c:v>
                </c:pt>
                <c:pt idx="222">
                  <c:v>4.3353992020534034E-2</c:v>
                </c:pt>
                <c:pt idx="223">
                  <c:v>4.3408600467763812E-2</c:v>
                </c:pt>
                <c:pt idx="224">
                  <c:v>4.3463051480028554E-2</c:v>
                </c:pt>
                <c:pt idx="225">
                  <c:v>4.3517342316353833E-2</c:v>
                </c:pt>
                <c:pt idx="226">
                  <c:v>4.3571469728939174E-2</c:v>
                </c:pt>
                <c:pt idx="227">
                  <c:v>4.3625430005413912E-2</c:v>
                </c:pt>
                <c:pt idx="228">
                  <c:v>4.3679219008557542E-2</c:v>
                </c:pt>
                <c:pt idx="229">
                  <c:v>4.3732832212986253E-2</c:v>
                </c:pt>
                <c:pt idx="230">
                  <c:v>4.37862647383657E-2</c:v>
                </c:pt>
                <c:pt idx="231">
                  <c:v>4.3839511378775037E-2</c:v>
                </c:pt>
                <c:pt idx="232">
                  <c:v>4.3892566627916317E-2</c:v>
                </c:pt>
                <c:pt idx="233">
                  <c:v>4.3945424699936106E-2</c:v>
                </c:pt>
                <c:pt idx="234">
                  <c:v>4.3998079545702055E-2</c:v>
                </c:pt>
                <c:pt idx="235">
                  <c:v>4.4050524864454842E-2</c:v>
                </c:pt>
                <c:pt idx="236">
                  <c:v>4.4102754110835155E-2</c:v>
                </c:pt>
                <c:pt idx="237">
                  <c:v>4.4154760497364505E-2</c:v>
                </c:pt>
                <c:pt idx="238">
                  <c:v>4.4206536992536682E-2</c:v>
                </c:pt>
                <c:pt idx="239">
                  <c:v>4.4258076314754272E-2</c:v>
                </c:pt>
                <c:pt idx="240">
                  <c:v>4.4309370922418198E-2</c:v>
                </c:pt>
                <c:pt idx="241">
                  <c:v>4.4360413000549132E-2</c:v>
                </c:pt>
                <c:pt idx="242">
                  <c:v>4.4411194444386438E-2</c:v>
                </c:pt>
                <c:pt idx="243">
                  <c:v>4.4461706840470891E-2</c:v>
                </c:pt>
                <c:pt idx="244">
                  <c:v>4.4511941445773209E-2</c:v>
                </c:pt>
                <c:pt idx="245">
                  <c:v>4.4561889165478832E-2</c:v>
                </c:pt>
                <c:pt idx="246">
                  <c:v>4.4611540530080762E-2</c:v>
                </c:pt>
                <c:pt idx="247">
                  <c:v>4.4660885672465817E-2</c:v>
                </c:pt>
                <c:pt idx="248">
                  <c:v>4.4709914305704569E-2</c:v>
                </c:pt>
                <c:pt idx="249">
                  <c:v>4.4758615702271985E-2</c:v>
                </c:pt>
                <c:pt idx="250">
                  <c:v>4.4806978675432554E-2</c:v>
                </c:pt>
                <c:pt idx="251">
                  <c:v>4.4854991563522288E-2</c:v>
                </c:pt>
                <c:pt idx="252">
                  <c:v>4.4902642217848364E-2</c:v>
                </c:pt>
                <c:pt idx="253">
                  <c:v>4.4949917994906462E-2</c:v>
                </c:pt>
                <c:pt idx="254">
                  <c:v>4.4996805753586146E-2</c:v>
                </c:pt>
                <c:pt idx="255">
                  <c:v>4.5043291857995237E-2</c:v>
                </c:pt>
                <c:pt idx="256">
                  <c:v>4.5089362186486827E-2</c:v>
                </c:pt>
                <c:pt idx="257">
                  <c:v>4.5135002147415955E-2</c:v>
                </c:pt>
                <c:pt idx="258">
                  <c:v>4.5180196702089288E-2</c:v>
                </c:pt>
                <c:pt idx="259">
                  <c:v>4.5224930395299678E-2</c:v>
                </c:pt>
                <c:pt idx="260">
                  <c:v>4.5269187393759833E-2</c:v>
                </c:pt>
                <c:pt idx="261">
                  <c:v>4.5312951532665291E-2</c:v>
                </c:pt>
                <c:pt idx="262">
                  <c:v>4.5356206370528736E-2</c:v>
                </c:pt>
                <c:pt idx="263">
                  <c:v>4.5398935252334058E-2</c:v>
                </c:pt>
                <c:pt idx="264">
                  <c:v>4.5441121380963623E-2</c:v>
                </c:pt>
                <c:pt idx="265">
                  <c:v>4.5482747896753203E-2</c:v>
                </c:pt>
                <c:pt idx="266">
                  <c:v>4.5523797964930175E-2</c:v>
                </c:pt>
                <c:pt idx="267">
                  <c:v>4.5564254870591236E-2</c:v>
                </c:pt>
                <c:pt idx="268">
                  <c:v>4.5604102120777291E-2</c:v>
                </c:pt>
                <c:pt idx="269">
                  <c:v>4.5643323553107393E-2</c:v>
                </c:pt>
                <c:pt idx="270">
                  <c:v>4.5681903450339414E-2</c:v>
                </c:pt>
                <c:pt idx="271">
                  <c:v>4.5719826660137582E-2</c:v>
                </c:pt>
                <c:pt idx="272">
                  <c:v>4.5757078719241784E-2</c:v>
                </c:pt>
                <c:pt idx="273">
                  <c:v>4.5793645981156643E-2</c:v>
                </c:pt>
                <c:pt idx="274">
                  <c:v>4.5829515746407881E-2</c:v>
                </c:pt>
                <c:pt idx="275">
                  <c:v>4.5864676394350289E-2</c:v>
                </c:pt>
                <c:pt idx="276">
                  <c:v>4.5899117515457943E-2</c:v>
                </c:pt>
                <c:pt idx="277">
                  <c:v>4.593283004298334E-2</c:v>
                </c:pt>
                <c:pt idx="278">
                  <c:v>4.5965806382836615E-2</c:v>
                </c:pt>
                <c:pt idx="279">
                  <c:v>4.5998040540513263E-2</c:v>
                </c:pt>
                <c:pt idx="280">
                  <c:v>4.6029528243885093E-2</c:v>
                </c:pt>
                <c:pt idx="281">
                  <c:v>4.6060267060668174E-2</c:v>
                </c:pt>
                <c:pt idx="282">
                  <c:v>4.609025650939113E-2</c:v>
                </c:pt>
                <c:pt idx="283">
                  <c:v>4.6119498162708987E-2</c:v>
                </c:pt>
                <c:pt idx="284">
                  <c:v>4.6147995741940805E-2</c:v>
                </c:pt>
                <c:pt idx="285">
                  <c:v>4.6175755201754015E-2</c:v>
                </c:pt>
                <c:pt idx="286">
                  <c:v>4.6202784803974169E-2</c:v>
                </c:pt>
                <c:pt idx="287">
                  <c:v>4.6229095179565527E-2</c:v>
                </c:pt>
                <c:pt idx="288">
                  <c:v>4.6254699377904593E-2</c:v>
                </c:pt>
                <c:pt idx="289">
                  <c:v>4.6279612902555715E-2</c:v>
                </c:pt>
                <c:pt idx="290">
                  <c:v>4.6303853732853277E-2</c:v>
                </c:pt>
                <c:pt idx="291">
                  <c:v>4.6327442330699208E-2</c:v>
                </c:pt>
                <c:pt idx="292">
                  <c:v>4.6350401632095604E-2</c:v>
                </c:pt>
                <c:pt idx="293">
                  <c:v>4.6372757023050076E-2</c:v>
                </c:pt>
                <c:pt idx="294">
                  <c:v>4.6394536299614701E-2</c:v>
                </c:pt>
                <c:pt idx="295">
                  <c:v>4.6415769611946184E-2</c:v>
                </c:pt>
                <c:pt idx="296">
                  <c:v>4.643648939240589E-2</c:v>
                </c:pt>
                <c:pt idx="297">
                  <c:v>4.64567302678505E-2</c:v>
                </c:pt>
                <c:pt idx="298">
                  <c:v>4.6476528956396701E-2</c:v>
                </c:pt>
                <c:pt idx="299">
                  <c:v>4.649592414907662E-2</c:v>
                </c:pt>
                <c:pt idx="300">
                  <c:v>4.6514956376930455E-2</c:v>
                </c:pt>
                <c:pt idx="301">
                  <c:v>4.6533667864211141E-2</c:v>
                </c:pt>
                <c:pt idx="302">
                  <c:v>4.6552102368498854E-2</c:v>
                </c:pt>
                <c:pt idx="303">
                  <c:v>4.6570305008641399E-2</c:v>
                </c:pt>
                <c:pt idx="304">
                  <c:v>4.6588322081547694E-2</c:v>
                </c:pt>
                <c:pt idx="305">
                  <c:v>4.6606200868965386E-2</c:v>
                </c:pt>
                <c:pt idx="306">
                  <c:v>4.6623989435468645E-2</c:v>
                </c:pt>
                <c:pt idx="307">
                  <c:v>4.6641736418967676E-2</c:v>
                </c:pt>
                <c:pt idx="308">
                  <c:v>4.665949081512593E-2</c:v>
                </c:pt>
                <c:pt idx="309">
                  <c:v>4.6677301757135352E-2</c:v>
                </c:pt>
                <c:pt idx="310">
                  <c:v>4.6695218292350717E-2</c:v>
                </c:pt>
                <c:pt idx="311">
                  <c:v>4.6713289157324207E-2</c:v>
                </c:pt>
                <c:pt idx="312">
                  <c:v>4.6731562552806943E-2</c:v>
                </c:pt>
                <c:pt idx="313">
                  <c:v>4.6750085920297377E-2</c:v>
                </c:pt>
                <c:pt idx="314">
                  <c:v>4.6768905721716172E-2</c:v>
                </c:pt>
                <c:pt idx="315">
                  <c:v>4.6788067223772913E-2</c:v>
                </c:pt>
                <c:pt idx="316">
                  <c:v>4.6807614288562588E-2</c:v>
                </c:pt>
                <c:pt idx="317">
                  <c:v>4.6827589171889304E-2</c:v>
                </c:pt>
                <c:pt idx="318">
                  <c:v>4.684803233076059E-2</c:v>
                </c:pt>
                <c:pt idx="319">
                  <c:v>4.6868982241429727E-2</c:v>
                </c:pt>
                <c:pt idx="320">
                  <c:v>4.6890475229285029E-2</c:v>
                </c:pt>
                <c:pt idx="321">
                  <c:v>4.691254531179586E-2</c:v>
                </c:pt>
                <c:pt idx="322">
                  <c:v>4.6935224055624454E-2</c:v>
                </c:pt>
                <c:pt idx="323">
                  <c:v>4.6958540448903477E-2</c:v>
                </c:pt>
                <c:pt idx="324">
                  <c:v>4.6982520789560472E-2</c:v>
                </c:pt>
                <c:pt idx="325">
                  <c:v>4.7007188590444136E-2</c:v>
                </c:pt>
                <c:pt idx="326">
                  <c:v>4.703256450187495E-2</c:v>
                </c:pt>
                <c:pt idx="327">
                  <c:v>4.7058666252104579E-2</c:v>
                </c:pt>
                <c:pt idx="328">
                  <c:v>4.7085508606026519E-2</c:v>
                </c:pt>
                <c:pt idx="329">
                  <c:v>4.7113103342335254E-2</c:v>
                </c:pt>
                <c:pt idx="330">
                  <c:v>4.7141459249185003E-2</c:v>
                </c:pt>
                <c:pt idx="331">
                  <c:v>4.7170582138252634E-2</c:v>
                </c:pt>
                <c:pt idx="332">
                  <c:v>4.7200474876963376E-2</c:v>
                </c:pt>
                <c:pt idx="333">
                  <c:v>4.7231137438495378E-2</c:v>
                </c:pt>
                <c:pt idx="334">
                  <c:v>4.7262566969039299E-2</c:v>
                </c:pt>
                <c:pt idx="335">
                  <c:v>4.7294757871655269E-2</c:v>
                </c:pt>
                <c:pt idx="336">
                  <c:v>4.7327701905940815E-2</c:v>
                </c:pt>
                <c:pt idx="337">
                  <c:v>4.7361388302602635E-2</c:v>
                </c:pt>
                <c:pt idx="338">
                  <c:v>4.739580389191269E-2</c:v>
                </c:pt>
                <c:pt idx="339">
                  <c:v>4.7430933244925533E-2</c:v>
                </c:pt>
                <c:pt idx="340">
                  <c:v>4.7466758826241164E-2</c:v>
                </c:pt>
                <c:pt idx="341">
                  <c:v>4.7503261157015891E-2</c:v>
                </c:pt>
                <c:pt idx="342">
                  <c:v>4.7540418986853114E-2</c:v>
                </c:pt>
                <c:pt idx="343">
                  <c:v>4.7578209473148822E-2</c:v>
                </c:pt>
                <c:pt idx="344">
                  <c:v>4.7616608366421238E-2</c:v>
                </c:pt>
                <c:pt idx="345">
                  <c:v>4.765559020012234E-2</c:v>
                </c:pt>
                <c:pt idx="346">
                  <c:v>4.7695128483410489E-2</c:v>
                </c:pt>
                <c:pt idx="347">
                  <c:v>4.7735195895358684E-2</c:v>
                </c:pt>
                <c:pt idx="348">
                  <c:v>4.7775764479081072E-2</c:v>
                </c:pt>
                <c:pt idx="349">
                  <c:v>4.7816805834282036E-2</c:v>
                </c:pt>
                <c:pt idx="350">
                  <c:v>4.7858291306767109E-2</c:v>
                </c:pt>
                <c:pt idx="351">
                  <c:v>4.7900192173501874E-2</c:v>
                </c:pt>
                <c:pt idx="352">
                  <c:v>4.7942479821864288E-2</c:v>
                </c:pt>
                <c:pt idx="353">
                  <c:v>4.7985125921806357E-2</c:v>
                </c:pt>
                <c:pt idx="354">
                  <c:v>4.8028102589722628E-2</c:v>
                </c:pt>
                <c:pt idx="355">
                  <c:v>4.8071382542913557E-2</c:v>
                </c:pt>
                <c:pt idx="356">
                  <c:v>4.8114939243631909E-2</c:v>
                </c:pt>
                <c:pt idx="357">
                  <c:v>4.8158747031808197E-2</c:v>
                </c:pt>
                <c:pt idx="358">
                  <c:v>4.8202781245665481E-2</c:v>
                </c:pt>
                <c:pt idx="359">
                  <c:v>4.8247018329554074E-2</c:v>
                </c:pt>
                <c:pt idx="360">
                  <c:v>4.8291435928461662E-2</c:v>
                </c:pt>
                <c:pt idx="361">
                  <c:v>4.8336012968781913E-2</c:v>
                </c:pt>
                <c:pt idx="362">
                  <c:v>4.838072972505468E-2</c:v>
                </c:pt>
                <c:pt idx="363">
                  <c:v>4.8425567872522071E-2</c:v>
                </c:pt>
                <c:pt idx="364">
                  <c:v>4.8470510525474311E-2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9.7332562972447263E-3</c:v>
                </c:pt>
                <c:pt idx="1">
                  <c:v>9.6354168772449754E-3</c:v>
                </c:pt>
                <c:pt idx="2">
                  <c:v>9.5307158579139104E-3</c:v>
                </c:pt>
                <c:pt idx="3">
                  <c:v>9.4195323999522011E-3</c:v>
                </c:pt>
                <c:pt idx="4">
                  <c:v>9.3022469880538316E-3</c:v>
                </c:pt>
                <c:pt idx="5">
                  <c:v>9.1792387684372246E-3</c:v>
                </c:pt>
                <c:pt idx="6">
                  <c:v>9.05088307298243E-3</c:v>
                </c:pt>
                <c:pt idx="7">
                  <c:v>8.9175491518658934E-3</c:v>
                </c:pt>
                <c:pt idx="8">
                  <c:v>8.7785354922680723E-3</c:v>
                </c:pt>
                <c:pt idx="9">
                  <c:v>8.6365053040295039E-3</c:v>
                </c:pt>
                <c:pt idx="10">
                  <c:v>8.4970344611305666E-3</c:v>
                </c:pt>
                <c:pt idx="11">
                  <c:v>8.3604675870620412E-3</c:v>
                </c:pt>
                <c:pt idx="12">
                  <c:v>8.2271164597705129E-3</c:v>
                </c:pt>
                <c:pt idx="13">
                  <c:v>8.0972607081640398E-3</c:v>
                </c:pt>
                <c:pt idx="14">
                  <c:v>7.9711488514366598E-3</c:v>
                </c:pt>
                <c:pt idx="15">
                  <c:v>7.8435303186668547E-3</c:v>
                </c:pt>
                <c:pt idx="16">
                  <c:v>7.7142120656121171E-3</c:v>
                </c:pt>
                <c:pt idx="17">
                  <c:v>7.5835476669024373E-3</c:v>
                </c:pt>
                <c:pt idx="18">
                  <c:v>7.4518638223633714E-3</c:v>
                </c:pt>
                <c:pt idx="19">
                  <c:v>7.3195013220691734E-3</c:v>
                </c:pt>
                <c:pt idx="20">
                  <c:v>7.1867897624008506E-3</c:v>
                </c:pt>
                <c:pt idx="21">
                  <c:v>7.0539982445317244E-3</c:v>
                </c:pt>
                <c:pt idx="22">
                  <c:v>6.920403190606406E-3</c:v>
                </c:pt>
                <c:pt idx="23">
                  <c:v>6.7836051693662483E-3</c:v>
                </c:pt>
                <c:pt idx="24">
                  <c:v>6.6413168639215796E-3</c:v>
                </c:pt>
                <c:pt idx="25">
                  <c:v>6.4940428846183952E-3</c:v>
                </c:pt>
                <c:pt idx="26">
                  <c:v>6.3422529182547826E-3</c:v>
                </c:pt>
                <c:pt idx="27">
                  <c:v>6.186381018126047E-3</c:v>
                </c:pt>
                <c:pt idx="28">
                  <c:v>6.0268253682517056E-3</c:v>
                </c:pt>
                <c:pt idx="29">
                  <c:v>5.8667779833699663E-3</c:v>
                </c:pt>
                <c:pt idx="30">
                  <c:v>5.7111132946704168E-3</c:v>
                </c:pt>
                <c:pt idx="31">
                  <c:v>5.5598805966500806E-3</c:v>
                </c:pt>
                <c:pt idx="32">
                  <c:v>5.4131069615218266E-3</c:v>
                </c:pt>
                <c:pt idx="33">
                  <c:v>5.2707998284726495E-3</c:v>
                </c:pt>
                <c:pt idx="34">
                  <c:v>5.1329494503525698E-3</c:v>
                </c:pt>
                <c:pt idx="35">
                  <c:v>4.9995311906437471E-3</c:v>
                </c:pt>
                <c:pt idx="36">
                  <c:v>4.8701373059208226E-3</c:v>
                </c:pt>
                <c:pt idx="37">
                  <c:v>4.7428784089482649E-3</c:v>
                </c:pt>
                <c:pt idx="38">
                  <c:v>4.61922853207324E-3</c:v>
                </c:pt>
                <c:pt idx="39">
                  <c:v>4.4990986302998956E-3</c:v>
                </c:pt>
                <c:pt idx="40">
                  <c:v>4.3824010552440283E-3</c:v>
                </c:pt>
                <c:pt idx="41">
                  <c:v>4.2690497523126458E-3</c:v>
                </c:pt>
                <c:pt idx="42">
                  <c:v>4.158960433698889E-3</c:v>
                </c:pt>
                <c:pt idx="43">
                  <c:v>4.0508009571691064E-3</c:v>
                </c:pt>
                <c:pt idx="44">
                  <c:v>3.9421002259546895E-3</c:v>
                </c:pt>
                <c:pt idx="45">
                  <c:v>3.8328824635280125E-3</c:v>
                </c:pt>
                <c:pt idx="46">
                  <c:v>3.723170223096517E-3</c:v>
                </c:pt>
                <c:pt idx="47">
                  <c:v>3.6129845455604818E-3</c:v>
                </c:pt>
                <c:pt idx="48">
                  <c:v>3.5023450896224683E-3</c:v>
                </c:pt>
                <c:pt idx="49">
                  <c:v>3.3912702339496496E-3</c:v>
                </c:pt>
                <c:pt idx="50">
                  <c:v>3.2797551115776881E-3</c:v>
                </c:pt>
                <c:pt idx="51">
                  <c:v>3.1673273390792813E-3</c:v>
                </c:pt>
                <c:pt idx="52">
                  <c:v>3.0552499309320132E-3</c:v>
                </c:pt>
                <c:pt idx="53">
                  <c:v>2.9434967662630733E-3</c:v>
                </c:pt>
                <c:pt idx="54">
                  <c:v>2.8320594165434252E-3</c:v>
                </c:pt>
                <c:pt idx="55">
                  <c:v>2.7209307523564786E-3</c:v>
                </c:pt>
                <c:pt idx="56">
                  <c:v>2.610104788783625E-3</c:v>
                </c:pt>
                <c:pt idx="57">
                  <c:v>2.5011586658515166E-3</c:v>
                </c:pt>
                <c:pt idx="58">
                  <c:v>2.3951427620857225E-3</c:v>
                </c:pt>
                <c:pt idx="59">
                  <c:v>2.291988103219525E-3</c:v>
                </c:pt>
                <c:pt idx="60">
                  <c:v>2.1916282278596519E-3</c:v>
                </c:pt>
                <c:pt idx="61">
                  <c:v>2.0939989488019347E-3</c:v>
                </c:pt>
                <c:pt idx="62">
                  <c:v>1.9990381247614653E-3</c:v>
                </c:pt>
                <c:pt idx="63">
                  <c:v>1.9066854436727723E-3</c:v>
                </c:pt>
                <c:pt idx="64">
                  <c:v>1.8168354206465891E-3</c:v>
                </c:pt>
                <c:pt idx="65">
                  <c:v>1.7315180847544847E-3</c:v>
                </c:pt>
                <c:pt idx="66">
                  <c:v>1.6510743133851418E-3</c:v>
                </c:pt>
                <c:pt idx="67">
                  <c:v>1.5754195177219788E-3</c:v>
                </c:pt>
                <c:pt idx="68">
                  <c:v>1.5044674107175702E-3</c:v>
                </c:pt>
                <c:pt idx="69">
                  <c:v>1.4381306751900418E-3</c:v>
                </c:pt>
                <c:pt idx="70">
                  <c:v>1.3763216009811947E-3</c:v>
                </c:pt>
                <c:pt idx="71">
                  <c:v>1.3192454529713923E-3</c:v>
                </c:pt>
                <c:pt idx="72">
                  <c:v>1.2654040715318587E-3</c:v>
                </c:pt>
                <c:pt idx="73">
                  <c:v>1.2147361989174304E-3</c:v>
                </c:pt>
                <c:pt idx="74">
                  <c:v>1.1671809825572195E-3</c:v>
                </c:pt>
                <c:pt idx="75">
                  <c:v>1.1226783511480262E-3</c:v>
                </c:pt>
                <c:pt idx="76">
                  <c:v>1.0811693737128715E-3</c:v>
                </c:pt>
                <c:pt idx="77">
                  <c:v>1.0425966022523281E-3</c:v>
                </c:pt>
                <c:pt idx="78">
                  <c:v>1.0068405035577857E-3</c:v>
                </c:pt>
                <c:pt idx="79">
                  <c:v>9.7415650119812706E-4</c:v>
                </c:pt>
                <c:pt idx="80">
                  <c:v>9.426036841630993E-4</c:v>
                </c:pt>
                <c:pt idx="81">
                  <c:v>9.121742003840534E-4</c:v>
                </c:pt>
                <c:pt idx="82">
                  <c:v>8.828581951838652E-4</c:v>
                </c:pt>
                <c:pt idx="83">
                  <c:v>8.5464408523247516E-4</c:v>
                </c:pt>
                <c:pt idx="84">
                  <c:v>8.2751882104041422E-4</c:v>
                </c:pt>
                <c:pt idx="85">
                  <c:v>8.0179766928095274E-4</c:v>
                </c:pt>
                <c:pt idx="86">
                  <c:v>7.7719244838865011E-4</c:v>
                </c:pt>
                <c:pt idx="87">
                  <c:v>7.5368674379526805E-4</c:v>
                </c:pt>
                <c:pt idx="88">
                  <c:v>7.312637464803966E-4</c:v>
                </c:pt>
                <c:pt idx="89">
                  <c:v>7.0990646352757554E-4</c:v>
                </c:pt>
                <c:pt idx="90">
                  <c:v>6.8959791690500235E-4</c:v>
                </c:pt>
                <c:pt idx="91">
                  <c:v>6.7032133147727248E-4</c:v>
                </c:pt>
                <c:pt idx="92">
                  <c:v>6.5203225009833937E-4</c:v>
                </c:pt>
                <c:pt idx="93">
                  <c:v>6.3483179718222104E-4</c:v>
                </c:pt>
                <c:pt idx="94">
                  <c:v>6.1836579840882468E-4</c:v>
                </c:pt>
                <c:pt idx="95">
                  <c:v>6.0261817951658375E-4</c:v>
                </c:pt>
                <c:pt idx="96">
                  <c:v>5.8757365966758974E-4</c:v>
                </c:pt>
                <c:pt idx="97">
                  <c:v>5.7321776605531586E-4</c:v>
                </c:pt>
                <c:pt idx="98">
                  <c:v>5.5953684885959136E-4</c:v>
                </c:pt>
                <c:pt idx="99">
                  <c:v>5.4659673911146268E-4</c:v>
                </c:pt>
                <c:pt idx="100">
                  <c:v>5.3406430705640624E-4</c:v>
                </c:pt>
                <c:pt idx="101">
                  <c:v>5.2192769450920627E-4</c:v>
                </c:pt>
                <c:pt idx="102">
                  <c:v>5.1017538909270876E-4</c:v>
                </c:pt>
                <c:pt idx="103">
                  <c:v>4.9879623196715265E-4</c:v>
                </c:pt>
                <c:pt idx="104">
                  <c:v>4.8777942568848878E-4</c:v>
                </c:pt>
                <c:pt idx="105">
                  <c:v>4.7711454187769668E-4</c:v>
                </c:pt>
                <c:pt idx="106">
                  <c:v>4.6678940329884517E-4</c:v>
                </c:pt>
                <c:pt idx="107">
                  <c:v>4.5691375477987682E-4</c:v>
                </c:pt>
                <c:pt idx="108">
                  <c:v>4.4732856907776694E-4</c:v>
                </c:pt>
                <c:pt idx="109">
                  <c:v>4.3802406980207663E-4</c:v>
                </c:pt>
                <c:pt idx="110">
                  <c:v>4.2899207139871664E-4</c:v>
                </c:pt>
                <c:pt idx="111">
                  <c:v>4.2022468718723894E-4</c:v>
                </c:pt>
                <c:pt idx="112">
                  <c:v>4.1171314686421948E-4</c:v>
                </c:pt>
                <c:pt idx="113">
                  <c:v>4.0362075337418843E-4</c:v>
                </c:pt>
                <c:pt idx="114">
                  <c:v>3.9585960221462867E-4</c:v>
                </c:pt>
                <c:pt idx="115">
                  <c:v>3.8842388074679618E-4</c:v>
                </c:pt>
                <c:pt idx="116">
                  <c:v>3.8130835264704391E-4</c:v>
                </c:pt>
                <c:pt idx="117">
                  <c:v>3.7450835983653742E-4</c:v>
                </c:pt>
                <c:pt idx="118">
                  <c:v>3.6801982443317822E-4</c:v>
                </c:pt>
                <c:pt idx="119">
                  <c:v>3.6183925081945806E-4</c:v>
                </c:pt>
                <c:pt idx="120">
                  <c:v>3.5596913027985101E-4</c:v>
                </c:pt>
                <c:pt idx="121">
                  <c:v>3.506030094737478E-4</c:v>
                </c:pt>
                <c:pt idx="122">
                  <c:v>3.4560800368808804E-4</c:v>
                </c:pt>
                <c:pt idx="123">
                  <c:v>3.4098217568779833E-4</c:v>
                </c:pt>
                <c:pt idx="124">
                  <c:v>3.367244872663566E-4</c:v>
                </c:pt>
                <c:pt idx="125">
                  <c:v>3.3283476923882824E-4</c:v>
                </c:pt>
                <c:pt idx="126">
                  <c:v>3.293136911350585E-4</c:v>
                </c:pt>
                <c:pt idx="127">
                  <c:v>3.261508619675184E-4</c:v>
                </c:pt>
                <c:pt idx="128">
                  <c:v>3.2315467239763342E-4</c:v>
                </c:pt>
                <c:pt idx="129">
                  <c:v>3.2032206631178424E-4</c:v>
                </c:pt>
                <c:pt idx="130">
                  <c:v>3.1765037356662593E-4</c:v>
                </c:pt>
                <c:pt idx="131">
                  <c:v>3.1513729870220756E-4</c:v>
                </c:pt>
                <c:pt idx="132">
                  <c:v>3.1278090967505579E-4</c:v>
                </c:pt>
                <c:pt idx="133">
                  <c:v>3.1057962636357489E-4</c:v>
                </c:pt>
                <c:pt idx="134">
                  <c:v>3.0853981658075476E-4</c:v>
                </c:pt>
                <c:pt idx="135">
                  <c:v>3.0665881212632953E-4</c:v>
                </c:pt>
                <c:pt idx="136">
                  <c:v>3.0471393055710817E-4</c:v>
                </c:pt>
                <c:pt idx="137">
                  <c:v>3.0269824063214611E-4</c:v>
                </c:pt>
                <c:pt idx="138">
                  <c:v>3.0060486821154373E-4</c:v>
                </c:pt>
                <c:pt idx="139">
                  <c:v>2.984270136690381E-4</c:v>
                </c:pt>
                <c:pt idx="140">
                  <c:v>2.9615797032345035E-4</c:v>
                </c:pt>
                <c:pt idx="141">
                  <c:v>2.9391076600416113E-4</c:v>
                </c:pt>
                <c:pt idx="142">
                  <c:v>2.9169375904437042E-4</c:v>
                </c:pt>
                <c:pt idx="143">
                  <c:v>2.8950339880734499E-4</c:v>
                </c:pt>
                <c:pt idx="144">
                  <c:v>2.8733812994911141E-4</c:v>
                </c:pt>
                <c:pt idx="145">
                  <c:v>2.8519661244639502E-4</c:v>
                </c:pt>
                <c:pt idx="146">
                  <c:v>2.8307772439705939E-4</c:v>
                </c:pt>
                <c:pt idx="147">
                  <c:v>2.8098056422777118E-4</c:v>
                </c:pt>
                <c:pt idx="148">
                  <c:v>2.7891098472001646E-4</c:v>
                </c:pt>
                <c:pt idx="149">
                  <c:v>2.7690969726331652E-4</c:v>
                </c:pt>
                <c:pt idx="150">
                  <c:v>2.7498687216370504E-4</c:v>
                </c:pt>
                <c:pt idx="151">
                  <c:v>2.7314264731987184E-4</c:v>
                </c:pt>
                <c:pt idx="152">
                  <c:v>2.7137741206876984E-4</c:v>
                </c:pt>
                <c:pt idx="153">
                  <c:v>2.6969179574532561E-4</c:v>
                </c:pt>
                <c:pt idx="154">
                  <c:v>2.6808665554689558E-4</c:v>
                </c:pt>
                <c:pt idx="155">
                  <c:v>2.6671563324091066E-4</c:v>
                </c:pt>
                <c:pt idx="156">
                  <c:v>2.6544512911999855E-4</c:v>
                </c:pt>
                <c:pt idx="157">
                  <c:v>2.6427707551004482E-4</c:v>
                </c:pt>
                <c:pt idx="158">
                  <c:v>2.6321356274535763E-4</c:v>
                </c:pt>
                <c:pt idx="159">
                  <c:v>2.6225682081278318E-4</c:v>
                </c:pt>
                <c:pt idx="160">
                  <c:v>2.6140920040746996E-4</c:v>
                </c:pt>
                <c:pt idx="161">
                  <c:v>2.6067315343478224E-4</c:v>
                </c:pt>
                <c:pt idx="162">
                  <c:v>2.6005570031878173E-4</c:v>
                </c:pt>
                <c:pt idx="163">
                  <c:v>2.5968911800838167E-4</c:v>
                </c:pt>
                <c:pt idx="164">
                  <c:v>2.5953933218287228E-4</c:v>
                </c:pt>
                <c:pt idx="165">
                  <c:v>2.5961265707396023E-4</c:v>
                </c:pt>
                <c:pt idx="166">
                  <c:v>2.5991537700162419E-4</c:v>
                </c:pt>
                <c:pt idx="167">
                  <c:v>2.6045373304162995E-4</c:v>
                </c:pt>
                <c:pt idx="168">
                  <c:v>2.6123391093912739E-4</c:v>
                </c:pt>
                <c:pt idx="169">
                  <c:v>2.6239202271956572E-4</c:v>
                </c:pt>
                <c:pt idx="170">
                  <c:v>2.6376372095020549E-4</c:v>
                </c:pt>
                <c:pt idx="171">
                  <c:v>2.6535403915680961E-4</c:v>
                </c:pt>
                <c:pt idx="172">
                  <c:v>2.6716795621542131E-4</c:v>
                </c:pt>
                <c:pt idx="173">
                  <c:v>2.6920764003207322E-4</c:v>
                </c:pt>
                <c:pt idx="174">
                  <c:v>2.7147495850683701E-4</c:v>
                </c:pt>
                <c:pt idx="175">
                  <c:v>2.739743240947974E-4</c:v>
                </c:pt>
                <c:pt idx="176">
                  <c:v>2.7671005013696749E-4</c:v>
                </c:pt>
                <c:pt idx="177">
                  <c:v>2.7986746023891756E-4</c:v>
                </c:pt>
                <c:pt idx="178">
                  <c:v>2.8331601442187671E-4</c:v>
                </c:pt>
                <c:pt idx="179">
                  <c:v>2.870603579469233E-4</c:v>
                </c:pt>
                <c:pt idx="180">
                  <c:v>2.9110500183483469E-4</c:v>
                </c:pt>
                <c:pt idx="181">
                  <c:v>2.9545432832920541E-4</c:v>
                </c:pt>
                <c:pt idx="182">
                  <c:v>3.001125976970216E-4</c:v>
                </c:pt>
                <c:pt idx="183">
                  <c:v>3.0513179642047762E-4</c:v>
                </c:pt>
                <c:pt idx="184">
                  <c:v>3.103748384838553E-4</c:v>
                </c:pt>
                <c:pt idx="185">
                  <c:v>3.1584451573303204E-4</c:v>
                </c:pt>
                <c:pt idx="186">
                  <c:v>3.2154360766037393E-4</c:v>
                </c:pt>
                <c:pt idx="187">
                  <c:v>3.2747488849455485E-4</c:v>
                </c:pt>
                <c:pt idx="188">
                  <c:v>3.3364113427387574E-4</c:v>
                </c:pt>
                <c:pt idx="189">
                  <c:v>3.4004512985319214E-4</c:v>
                </c:pt>
                <c:pt idx="190">
                  <c:v>3.466870101058783E-4</c:v>
                </c:pt>
                <c:pt idx="191">
                  <c:v>3.5374112885702301E-4</c:v>
                </c:pt>
                <c:pt idx="192">
                  <c:v>3.6101944772212003E-4</c:v>
                </c:pt>
                <c:pt idx="193">
                  <c:v>3.6852561998072022E-4</c:v>
                </c:pt>
                <c:pt idx="194">
                  <c:v>3.7626345706120475E-4</c:v>
                </c:pt>
                <c:pt idx="195">
                  <c:v>3.8423694120036291E-4</c:v>
                </c:pt>
                <c:pt idx="196">
                  <c:v>3.9245023777984586E-4</c:v>
                </c:pt>
                <c:pt idx="197">
                  <c:v>4.0089810786676501E-4</c:v>
                </c:pt>
                <c:pt idx="198">
                  <c:v>4.0953415461572048E-4</c:v>
                </c:pt>
                <c:pt idx="199">
                  <c:v>4.1836272066342653E-4</c:v>
                </c:pt>
                <c:pt idx="200">
                  <c:v>4.2738838617574861E-4</c:v>
                </c:pt>
                <c:pt idx="201">
                  <c:v>4.3661597446510313E-4</c:v>
                </c:pt>
                <c:pt idx="202">
                  <c:v>4.460505575966091E-4</c:v>
                </c:pt>
                <c:pt idx="203">
                  <c:v>4.5569746220359644E-4</c:v>
                </c:pt>
                <c:pt idx="204">
                  <c:v>4.6555730234808831E-4</c:v>
                </c:pt>
                <c:pt idx="205">
                  <c:v>4.7561733333548336E-4</c:v>
                </c:pt>
                <c:pt idx="206">
                  <c:v>4.8569948402693293E-4</c:v>
                </c:pt>
                <c:pt idx="207">
                  <c:v>4.9580550963204814E-4</c:v>
                </c:pt>
                <c:pt idx="208">
                  <c:v>5.0593718014561352E-4</c:v>
                </c:pt>
                <c:pt idx="209">
                  <c:v>5.1609626719075624E-4</c:v>
                </c:pt>
                <c:pt idx="210">
                  <c:v>5.2628453166361799E-4</c:v>
                </c:pt>
                <c:pt idx="211">
                  <c:v>5.3687710670555374E-4</c:v>
                </c:pt>
                <c:pt idx="212">
                  <c:v>5.478881622301957E-4</c:v>
                </c:pt>
                <c:pt idx="213">
                  <c:v>5.593225423670212E-4</c:v>
                </c:pt>
                <c:pt idx="214">
                  <c:v>5.7118507761925097E-4</c:v>
                </c:pt>
                <c:pt idx="215">
                  <c:v>5.8348058433712821E-4</c:v>
                </c:pt>
                <c:pt idx="216">
                  <c:v>5.9621386402056349E-4</c:v>
                </c:pt>
                <c:pt idx="217">
                  <c:v>6.0938970254801759E-4</c:v>
                </c:pt>
                <c:pt idx="218">
                  <c:v>6.2300781974591879E-4</c:v>
                </c:pt>
                <c:pt idx="219">
                  <c:v>6.3743682223414689E-4</c:v>
                </c:pt>
                <c:pt idx="220">
                  <c:v>6.5269795764578563E-4</c:v>
                </c:pt>
                <c:pt idx="221">
                  <c:v>6.6880118504045747E-4</c:v>
                </c:pt>
                <c:pt idx="222">
                  <c:v>6.8575672093347734E-4</c:v>
                </c:pt>
                <c:pt idx="223">
                  <c:v>7.0357507557778764E-4</c:v>
                </c:pt>
                <c:pt idx="224">
                  <c:v>7.2226708999767973E-4</c:v>
                </c:pt>
                <c:pt idx="225">
                  <c:v>7.4210536555106019E-4</c:v>
                </c:pt>
                <c:pt idx="226">
                  <c:v>7.6271387301020117E-4</c:v>
                </c:pt>
                <c:pt idx="227">
                  <c:v>7.8410351176656757E-4</c:v>
                </c:pt>
                <c:pt idx="228">
                  <c:v>8.0628564265976146E-4</c:v>
                </c:pt>
                <c:pt idx="229">
                  <c:v>8.2927212511596364E-4</c:v>
                </c:pt>
                <c:pt idx="230">
                  <c:v>8.5307535567493852E-4</c:v>
                </c:pt>
                <c:pt idx="231">
                  <c:v>8.7770830821560749E-4</c:v>
                </c:pt>
                <c:pt idx="232">
                  <c:v>9.0317577613416072E-4</c:v>
                </c:pt>
                <c:pt idx="233">
                  <c:v>9.296684546048166E-4</c:v>
                </c:pt>
                <c:pt idx="234">
                  <c:v>9.5681208431451471E-4</c:v>
                </c:pt>
                <c:pt idx="235">
                  <c:v>9.8461477341534021E-4</c:v>
                </c:pt>
                <c:pt idx="236">
                  <c:v>1.0130850953662751E-3</c:v>
                </c:pt>
                <c:pt idx="237">
                  <c:v>1.0422311236900463E-3</c:v>
                </c:pt>
                <c:pt idx="238">
                  <c:v>1.0720610255322695E-3</c:v>
                </c:pt>
                <c:pt idx="239">
                  <c:v>1.1029579231656267E-3</c:v>
                </c:pt>
                <c:pt idx="240">
                  <c:v>1.1346599637728962E-3</c:v>
                </c:pt>
                <c:pt idx="241">
                  <c:v>1.1671768078617122E-3</c:v>
                </c:pt>
                <c:pt idx="242">
                  <c:v>1.2005181855276072E-3</c:v>
                </c:pt>
                <c:pt idx="243">
                  <c:v>1.2346938815273557E-3</c:v>
                </c:pt>
                <c:pt idx="244">
                  <c:v>1.2697137177882819E-3</c:v>
                </c:pt>
                <c:pt idx="245">
                  <c:v>1.3055875335948779E-3</c:v>
                </c:pt>
                <c:pt idx="246">
                  <c:v>1.3423251631345156E-3</c:v>
                </c:pt>
                <c:pt idx="247">
                  <c:v>1.3807262338782905E-3</c:v>
                </c:pt>
                <c:pt idx="248">
                  <c:v>1.4206101637420411E-3</c:v>
                </c:pt>
                <c:pt idx="249">
                  <c:v>1.4619933733662899E-3</c:v>
                </c:pt>
                <c:pt idx="250">
                  <c:v>1.5048922986363907E-3</c:v>
                </c:pt>
                <c:pt idx="251">
                  <c:v>1.5493233521734909E-3</c:v>
                </c:pt>
                <c:pt idx="252">
                  <c:v>1.5953028818622196E-3</c:v>
                </c:pt>
                <c:pt idx="253">
                  <c:v>1.6436820776147389E-3</c:v>
                </c:pt>
                <c:pt idx="254">
                  <c:v>1.6940901120995847E-3</c:v>
                </c:pt>
                <c:pt idx="255">
                  <c:v>1.746548009205444E-3</c:v>
                </c:pt>
                <c:pt idx="256">
                  <c:v>1.8010766212756143E-3</c:v>
                </c:pt>
                <c:pt idx="257">
                  <c:v>1.8576965718794744E-3</c:v>
                </c:pt>
                <c:pt idx="258">
                  <c:v>1.9164281979262294E-3</c:v>
                </c:pt>
                <c:pt idx="259">
                  <c:v>1.9772914916794493E-3</c:v>
                </c:pt>
                <c:pt idx="260">
                  <c:v>2.0403158458361706E-3</c:v>
                </c:pt>
                <c:pt idx="261">
                  <c:v>2.1062359945456396E-3</c:v>
                </c:pt>
                <c:pt idx="262">
                  <c:v>2.1742393356852844E-3</c:v>
                </c:pt>
                <c:pt idx="263">
                  <c:v>2.2443390863310661E-3</c:v>
                </c:pt>
                <c:pt idx="264">
                  <c:v>2.3165473011643538E-3</c:v>
                </c:pt>
                <c:pt idx="265">
                  <c:v>2.3908874850959599E-3</c:v>
                </c:pt>
                <c:pt idx="266">
                  <c:v>2.4673768343981845E-3</c:v>
                </c:pt>
                <c:pt idx="267">
                  <c:v>2.5508731948735213E-3</c:v>
                </c:pt>
                <c:pt idx="268">
                  <c:v>2.6405527489583446E-3</c:v>
                </c:pt>
                <c:pt idx="269">
                  <c:v>2.7364645459974596E-3</c:v>
                </c:pt>
                <c:pt idx="270">
                  <c:v>2.8386551020987585E-3</c:v>
                </c:pt>
                <c:pt idx="271">
                  <c:v>2.9471680650544536E-3</c:v>
                </c:pt>
                <c:pt idx="272">
                  <c:v>3.0620438927263668E-3</c:v>
                </c:pt>
                <c:pt idx="273">
                  <c:v>3.1833195477444878E-3</c:v>
                </c:pt>
                <c:pt idx="274">
                  <c:v>3.3111532861600278E-3</c:v>
                </c:pt>
                <c:pt idx="275">
                  <c:v>3.4487552978106563E-3</c:v>
                </c:pt>
                <c:pt idx="276">
                  <c:v>3.5954259204915772E-3</c:v>
                </c:pt>
                <c:pt idx="277">
                  <c:v>3.7511976115752158E-3</c:v>
                </c:pt>
                <c:pt idx="278">
                  <c:v>3.9160918549546401E-3</c:v>
                </c:pt>
                <c:pt idx="279">
                  <c:v>4.0901175317661909E-3</c:v>
                </c:pt>
                <c:pt idx="280">
                  <c:v>4.2732692675332444E-3</c:v>
                </c:pt>
                <c:pt idx="281">
                  <c:v>4.4638684655094341E-3</c:v>
                </c:pt>
                <c:pt idx="282">
                  <c:v>4.6567278508516897E-3</c:v>
                </c:pt>
                <c:pt idx="283">
                  <c:v>4.8517228283306473E-3</c:v>
                </c:pt>
                <c:pt idx="284">
                  <c:v>5.0487133199502337E-3</c:v>
                </c:pt>
                <c:pt idx="285">
                  <c:v>5.247543392682949E-3</c:v>
                </c:pt>
                <c:pt idx="286">
                  <c:v>5.4480409394813264E-3</c:v>
                </c:pt>
                <c:pt idx="287">
                  <c:v>5.6500174207878579E-3</c:v>
                </c:pt>
                <c:pt idx="288">
                  <c:v>5.8536826084697206E-3</c:v>
                </c:pt>
                <c:pt idx="289">
                  <c:v>6.0570059080530007E-3</c:v>
                </c:pt>
                <c:pt idx="290">
                  <c:v>6.2566600435917533E-3</c:v>
                </c:pt>
                <c:pt idx="291">
                  <c:v>6.4524955872243472E-3</c:v>
                </c:pt>
                <c:pt idx="292">
                  <c:v>6.644358007614158E-3</c:v>
                </c:pt>
                <c:pt idx="293">
                  <c:v>6.8320883210165649E-3</c:v>
                </c:pt>
                <c:pt idx="294">
                  <c:v>7.0155237415762848E-3</c:v>
                </c:pt>
                <c:pt idx="295">
                  <c:v>7.1923758235066318E-3</c:v>
                </c:pt>
                <c:pt idx="296">
                  <c:v>7.3642762869344045E-3</c:v>
                </c:pt>
                <c:pt idx="297">
                  <c:v>7.5311241189649327E-3</c:v>
                </c:pt>
                <c:pt idx="298">
                  <c:v>7.6927589019727344E-3</c:v>
                </c:pt>
                <c:pt idx="299">
                  <c:v>7.8490194754402311E-3</c:v>
                </c:pt>
                <c:pt idx="300">
                  <c:v>7.9997445230139477E-3</c:v>
                </c:pt>
                <c:pt idx="301">
                  <c:v>8.1447731408228821E-3</c:v>
                </c:pt>
                <c:pt idx="302">
                  <c:v>8.2844389968946917E-3</c:v>
                </c:pt>
                <c:pt idx="303">
                  <c:v>8.4230666240561452E-3</c:v>
                </c:pt>
                <c:pt idx="304">
                  <c:v>8.5629922024156903E-3</c:v>
                </c:pt>
                <c:pt idx="305">
                  <c:v>8.7042034984671206E-3</c:v>
                </c:pt>
                <c:pt idx="306">
                  <c:v>8.8466912316121464E-3</c:v>
                </c:pt>
                <c:pt idx="307">
                  <c:v>8.9904489278139505E-3</c:v>
                </c:pt>
                <c:pt idx="308">
                  <c:v>9.1354726950365304E-3</c:v>
                </c:pt>
                <c:pt idx="309">
                  <c:v>9.2793790567538715E-3</c:v>
                </c:pt>
                <c:pt idx="310">
                  <c:v>9.4243104578951176E-3</c:v>
                </c:pt>
                <c:pt idx="311">
                  <c:v>9.5702689028483012E-3</c:v>
                </c:pt>
                <c:pt idx="312">
                  <c:v>9.7172572312716372E-3</c:v>
                </c:pt>
                <c:pt idx="313">
                  <c:v>9.8652784143334078E-3</c:v>
                </c:pt>
                <c:pt idx="314">
                  <c:v>1.0014334747788754E-2</c:v>
                </c:pt>
                <c:pt idx="315">
                  <c:v>1.0164426938548845E-2</c:v>
                </c:pt>
                <c:pt idx="316">
                  <c:v>1.0316233046914E-2</c:v>
                </c:pt>
                <c:pt idx="317">
                  <c:v>1.0464285601799666E-2</c:v>
                </c:pt>
                <c:pt idx="318">
                  <c:v>1.0604690722803879E-2</c:v>
                </c:pt>
                <c:pt idx="319">
                  <c:v>1.0737445339586812E-2</c:v>
                </c:pt>
                <c:pt idx="320">
                  <c:v>1.0862529658837883E-2</c:v>
                </c:pt>
                <c:pt idx="321">
                  <c:v>1.0979905690748226E-2</c:v>
                </c:pt>
                <c:pt idx="322">
                  <c:v>1.1089515862401454E-2</c:v>
                </c:pt>
                <c:pt idx="323">
                  <c:v>1.1192431691850619E-2</c:v>
                </c:pt>
                <c:pt idx="324">
                  <c:v>1.12909373492083E-2</c:v>
                </c:pt>
                <c:pt idx="325">
                  <c:v>1.1384913344256618E-2</c:v>
                </c:pt>
                <c:pt idx="326">
                  <c:v>1.1474145782953211E-2</c:v>
                </c:pt>
                <c:pt idx="327">
                  <c:v>1.1558442731003541E-2</c:v>
                </c:pt>
                <c:pt idx="328">
                  <c:v>1.1637646970131718E-2</c:v>
                </c:pt>
                <c:pt idx="329">
                  <c:v>1.1711577650006459E-2</c:v>
                </c:pt>
                <c:pt idx="330">
                  <c:v>1.1781256375813228E-2</c:v>
                </c:pt>
                <c:pt idx="331">
                  <c:v>1.184542293686267E-2</c:v>
                </c:pt>
                <c:pt idx="332">
                  <c:v>1.1910055167150846E-2</c:v>
                </c:pt>
                <c:pt idx="333">
                  <c:v>1.1974921209409375E-2</c:v>
                </c:pt>
                <c:pt idx="334">
                  <c:v>1.2039759246203954E-2</c:v>
                </c:pt>
                <c:pt idx="335">
                  <c:v>1.210427711044303E-2</c:v>
                </c:pt>
                <c:pt idx="336">
                  <c:v>1.2168152239301561E-2</c:v>
                </c:pt>
                <c:pt idx="337">
                  <c:v>1.2225665338022114E-2</c:v>
                </c:pt>
                <c:pt idx="338">
                  <c:v>1.2275257734591731E-2</c:v>
                </c:pt>
                <c:pt idx="339">
                  <c:v>1.23165020041418E-2</c:v>
                </c:pt>
                <c:pt idx="340">
                  <c:v>1.2348948743041297E-2</c:v>
                </c:pt>
                <c:pt idx="341">
                  <c:v>1.2372131181036073E-2</c:v>
                </c:pt>
                <c:pt idx="342">
                  <c:v>1.2385570440568842E-2</c:v>
                </c:pt>
                <c:pt idx="343">
                  <c:v>1.2388781413236646E-2</c:v>
                </c:pt>
                <c:pt idx="344">
                  <c:v>1.238267680980922E-2</c:v>
                </c:pt>
                <c:pt idx="345">
                  <c:v>1.2368235258613828E-2</c:v>
                </c:pt>
                <c:pt idx="346">
                  <c:v>1.2350650853672559E-2</c:v>
                </c:pt>
                <c:pt idx="347">
                  <c:v>1.2329531770496683E-2</c:v>
                </c:pt>
                <c:pt idx="348">
                  <c:v>1.2304485297983347E-2</c:v>
                </c:pt>
                <c:pt idx="349">
                  <c:v>1.2275121350722919E-2</c:v>
                </c:pt>
                <c:pt idx="350">
                  <c:v>1.2241056174124765E-2</c:v>
                </c:pt>
                <c:pt idx="351">
                  <c:v>1.220517821769343E-2</c:v>
                </c:pt>
                <c:pt idx="352">
                  <c:v>1.2172494749306024E-2</c:v>
                </c:pt>
                <c:pt idx="353">
                  <c:v>1.2142625495351465E-2</c:v>
                </c:pt>
                <c:pt idx="354">
                  <c:v>1.2115194327184785E-2</c:v>
                </c:pt>
                <c:pt idx="355">
                  <c:v>1.2089830708522745E-2</c:v>
                </c:pt>
                <c:pt idx="356">
                  <c:v>1.2066155341578079E-2</c:v>
                </c:pt>
                <c:pt idx="357">
                  <c:v>1.2043811703124272E-2</c:v>
                </c:pt>
                <c:pt idx="358">
                  <c:v>1.2022451114027404E-2</c:v>
                </c:pt>
                <c:pt idx="359">
                  <c:v>1.200207724687502E-2</c:v>
                </c:pt>
                <c:pt idx="360">
                  <c:v>1.1977558723152903E-2</c:v>
                </c:pt>
                <c:pt idx="361">
                  <c:v>1.194592795450251E-2</c:v>
                </c:pt>
                <c:pt idx="362">
                  <c:v>1.1907452224814321E-2</c:v>
                </c:pt>
                <c:pt idx="363">
                  <c:v>1.1862417546066265E-2</c:v>
                </c:pt>
                <c:pt idx="364">
                  <c:v>1.1811125822457712E-2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0064"/>
        <c:axId val="701980456"/>
      </c:lineChart>
      <c:dateAx>
        <c:axId val="7019800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0456"/>
        <c:crosses val="autoZero"/>
        <c:auto val="1"/>
        <c:lblOffset val="100"/>
        <c:baseTimeUnit val="days"/>
        <c:majorUnit val="1"/>
        <c:majorTimeUnit val="months"/>
      </c:dateAx>
      <c:valAx>
        <c:axId val="7019804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0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22.40641979577785</c:v>
                </c:pt>
                <c:pt idx="1">
                  <c:v>22.546168067411426</c:v>
                </c:pt>
                <c:pt idx="2">
                  <c:v>22.695208664385621</c:v>
                </c:pt>
                <c:pt idx="3">
                  <c:v>22.853075677646739</c:v>
                </c:pt>
                <c:pt idx="4">
                  <c:v>23.019303177335889</c:v>
                </c:pt>
                <c:pt idx="5">
                  <c:v>23.193425198665366</c:v>
                </c:pt>
                <c:pt idx="6">
                  <c:v>23.374975747202576</c:v>
                </c:pt>
                <c:pt idx="7">
                  <c:v>23.563488800377602</c:v>
                </c:pt>
                <c:pt idx="8">
                  <c:v>23.761406062200589</c:v>
                </c:pt>
                <c:pt idx="9">
                  <c:v>23.970941652140407</c:v>
                </c:pt>
                <c:pt idx="10">
                  <c:v>24.191209917934124</c:v>
                </c:pt>
                <c:pt idx="11">
                  <c:v>24.421441093529182</c:v>
                </c:pt>
                <c:pt idx="12">
                  <c:v>24.660865490330309</c:v>
                </c:pt>
                <c:pt idx="13">
                  <c:v>24.908713521854235</c:v>
                </c:pt>
                <c:pt idx="14">
                  <c:v>25.164215709533071</c:v>
                </c:pt>
                <c:pt idx="15">
                  <c:v>25.426736811986526</c:v>
                </c:pt>
                <c:pt idx="16">
                  <c:v>25.695457774231372</c:v>
                </c:pt>
                <c:pt idx="17">
                  <c:v>25.969609468754708</c:v>
                </c:pt>
                <c:pt idx="18">
                  <c:v>26.248422933354057</c:v>
                </c:pt>
                <c:pt idx="19">
                  <c:v>26.53112799627861</c:v>
                </c:pt>
                <c:pt idx="20">
                  <c:v>26.816954089237644</c:v>
                </c:pt>
                <c:pt idx="21">
                  <c:v>27.105130547780391</c:v>
                </c:pt>
                <c:pt idx="22">
                  <c:v>27.39874621458841</c:v>
                </c:pt>
                <c:pt idx="23">
                  <c:v>27.700855790241871</c:v>
                </c:pt>
                <c:pt idx="24">
                  <c:v>28.010588040347088</c:v>
                </c:pt>
                <c:pt idx="25">
                  <c:v>28.327047196723811</c:v>
                </c:pt>
                <c:pt idx="26">
                  <c:v>28.649337811869227</c:v>
                </c:pt>
                <c:pt idx="27">
                  <c:v>28.976564771416921</c:v>
                </c:pt>
                <c:pt idx="28">
                  <c:v>29.307833291811722</c:v>
                </c:pt>
                <c:pt idx="29">
                  <c:v>29.64216406332789</c:v>
                </c:pt>
                <c:pt idx="30">
                  <c:v>29.978529131092667</c:v>
                </c:pt>
                <c:pt idx="31">
                  <c:v>30.316034742612981</c:v>
                </c:pt>
                <c:pt idx="32">
                  <c:v>30.653787462523383</c:v>
                </c:pt>
                <c:pt idx="33">
                  <c:v>30.990894161680359</c:v>
                </c:pt>
                <c:pt idx="34">
                  <c:v>31.326462016918175</c:v>
                </c:pt>
                <c:pt idx="35">
                  <c:v>31.659598504452291</c:v>
                </c:pt>
                <c:pt idx="36">
                  <c:v>31.991859195925713</c:v>
                </c:pt>
                <c:pt idx="37">
                  <c:v>32.325374940209969</c:v>
                </c:pt>
                <c:pt idx="38">
                  <c:v>32.659994818121469</c:v>
                </c:pt>
                <c:pt idx="39">
                  <c:v>32.995619829499304</c:v>
                </c:pt>
                <c:pt idx="40">
                  <c:v>33.33215101747259</c:v>
                </c:pt>
                <c:pt idx="41">
                  <c:v>33.669489460950025</c:v>
                </c:pt>
                <c:pt idx="42">
                  <c:v>34.007536266363481</c:v>
                </c:pt>
                <c:pt idx="43">
                  <c:v>34.34624391193028</c:v>
                </c:pt>
                <c:pt idx="44">
                  <c:v>34.685598468229756</c:v>
                </c:pt>
                <c:pt idx="45">
                  <c:v>35.025501152025214</c:v>
                </c:pt>
                <c:pt idx="46">
                  <c:v>35.365853185303614</c:v>
                </c:pt>
                <c:pt idx="47">
                  <c:v>35.706555786132988</c:v>
                </c:pt>
                <c:pt idx="48">
                  <c:v>36.047510162616845</c:v>
                </c:pt>
                <c:pt idx="49">
                  <c:v>36.38861750544357</c:v>
                </c:pt>
                <c:pt idx="50">
                  <c:v>36.730026837221942</c:v>
                </c:pt>
                <c:pt idx="51">
                  <c:v>37.071991231999952</c:v>
                </c:pt>
                <c:pt idx="52">
                  <c:v>37.414465306522374</c:v>
                </c:pt>
                <c:pt idx="53">
                  <c:v>37.757450090366852</c:v>
                </c:pt>
                <c:pt idx="54">
                  <c:v>38.10094576214243</c:v>
                </c:pt>
                <c:pt idx="55">
                  <c:v>38.444952417345803</c:v>
                </c:pt>
                <c:pt idx="56">
                  <c:v>38.789470068766811</c:v>
                </c:pt>
                <c:pt idx="57">
                  <c:v>39.134427352521421</c:v>
                </c:pt>
                <c:pt idx="58">
                  <c:v>39.47977245592503</c:v>
                </c:pt>
                <c:pt idx="59">
                  <c:v>39.825505052445692</c:v>
                </c:pt>
                <c:pt idx="60">
                  <c:v>40.171624747863234</c:v>
                </c:pt>
                <c:pt idx="61">
                  <c:v>40.51813108506245</c:v>
                </c:pt>
                <c:pt idx="62">
                  <c:v>40.865023550089774</c:v>
                </c:pt>
                <c:pt idx="63">
                  <c:v>41.212301576968855</c:v>
                </c:pt>
                <c:pt idx="64">
                  <c:v>41.561037580789538</c:v>
                </c:pt>
                <c:pt idx="65">
                  <c:v>41.91185636820407</c:v>
                </c:pt>
                <c:pt idx="66">
                  <c:v>42.264223151740694</c:v>
                </c:pt>
                <c:pt idx="67">
                  <c:v>42.617641560876564</c:v>
                </c:pt>
                <c:pt idx="68">
                  <c:v>42.971615302513698</c:v>
                </c:pt>
                <c:pt idx="69">
                  <c:v>43.325648159969738</c:v>
                </c:pt>
                <c:pt idx="70">
                  <c:v>43.679243990292242</c:v>
                </c:pt>
                <c:pt idx="71">
                  <c:v>44.031888870346599</c:v>
                </c:pt>
                <c:pt idx="72">
                  <c:v>44.383158368783498</c:v>
                </c:pt>
                <c:pt idx="73">
                  <c:v>44.732556584497381</c:v>
                </c:pt>
                <c:pt idx="74">
                  <c:v>45.079587689802544</c:v>
                </c:pt>
                <c:pt idx="75">
                  <c:v>45.42375593187618</c:v>
                </c:pt>
                <c:pt idx="76">
                  <c:v>45.764565626376687</c:v>
                </c:pt>
                <c:pt idx="77">
                  <c:v>46.101521156453508</c:v>
                </c:pt>
                <c:pt idx="78">
                  <c:v>46.437079136654461</c:v>
                </c:pt>
                <c:pt idx="79">
                  <c:v>46.773475693872733</c:v>
                </c:pt>
                <c:pt idx="80">
                  <c:v>47.110035628280649</c:v>
                </c:pt>
                <c:pt idx="81">
                  <c:v>47.445966048759544</c:v>
                </c:pt>
                <c:pt idx="82">
                  <c:v>47.780474256817058</c:v>
                </c:pt>
                <c:pt idx="83">
                  <c:v>48.112767750124064</c:v>
                </c:pt>
                <c:pt idx="84">
                  <c:v>48.442054226484665</c:v>
                </c:pt>
                <c:pt idx="85">
                  <c:v>48.7675204518196</c:v>
                </c:pt>
                <c:pt idx="86">
                  <c:v>49.08839286515267</c:v>
                </c:pt>
                <c:pt idx="87">
                  <c:v>49.403879815299867</c:v>
                </c:pt>
                <c:pt idx="88">
                  <c:v>49.713189872269723</c:v>
                </c:pt>
                <c:pt idx="89">
                  <c:v>50.061315275985443</c:v>
                </c:pt>
                <c:pt idx="90">
                  <c:v>50.3548246299247</c:v>
                </c:pt>
                <c:pt idx="91">
                  <c:v>50.639829211500995</c:v>
                </c:pt>
                <c:pt idx="92">
                  <c:v>50.917729860660508</c:v>
                </c:pt>
                <c:pt idx="93">
                  <c:v>51.190388327969899</c:v>
                </c:pt>
                <c:pt idx="94">
                  <c:v>51.457705462108507</c:v>
                </c:pt>
                <c:pt idx="95">
                  <c:v>51.719582158041099</c:v>
                </c:pt>
                <c:pt idx="96">
                  <c:v>51.975919366622435</c:v>
                </c:pt>
                <c:pt idx="97">
                  <c:v>52.226618098519495</c:v>
                </c:pt>
                <c:pt idx="98">
                  <c:v>52.471579425992623</c:v>
                </c:pt>
                <c:pt idx="99">
                  <c:v>52.710704484181335</c:v>
                </c:pt>
                <c:pt idx="100">
                  <c:v>52.943894517330179</c:v>
                </c:pt>
                <c:pt idx="101">
                  <c:v>53.171050827142338</c:v>
                </c:pt>
                <c:pt idx="102">
                  <c:v>53.392074793932345</c:v>
                </c:pt>
                <c:pt idx="103">
                  <c:v>53.606867889484121</c:v>
                </c:pt>
                <c:pt idx="104">
                  <c:v>53.815331674265373</c:v>
                </c:pt>
                <c:pt idx="105">
                  <c:v>54.017367807837026</c:v>
                </c:pt>
                <c:pt idx="106">
                  <c:v>54.213124921145045</c:v>
                </c:pt>
                <c:pt idx="107">
                  <c:v>54.402817449872849</c:v>
                </c:pt>
                <c:pt idx="108">
                  <c:v>54.586445932030209</c:v>
                </c:pt>
                <c:pt idx="109">
                  <c:v>54.764010998646675</c:v>
                </c:pt>
                <c:pt idx="110">
                  <c:v>54.935513361566848</c:v>
                </c:pt>
                <c:pt idx="111">
                  <c:v>55.100953817947016</c:v>
                </c:pt>
                <c:pt idx="112">
                  <c:v>55.260333257180363</c:v>
                </c:pt>
                <c:pt idx="113">
                  <c:v>55.413652641010749</c:v>
                </c:pt>
                <c:pt idx="114">
                  <c:v>55.56091308497642</c:v>
                </c:pt>
                <c:pt idx="115">
                  <c:v>55.702115777394326</c:v>
                </c:pt>
                <c:pt idx="116">
                  <c:v>55.837262016458759</c:v>
                </c:pt>
                <c:pt idx="117">
                  <c:v>55.96635321194713</c:v>
                </c:pt>
                <c:pt idx="118">
                  <c:v>56.089390893375352</c:v>
                </c:pt>
                <c:pt idx="119">
                  <c:v>58.838161183880572</c:v>
                </c:pt>
                <c:pt idx="120">
                  <c:v>58.952539574186886</c:v>
                </c:pt>
                <c:pt idx="121">
                  <c:v>59.059106218722611</c:v>
                </c:pt>
                <c:pt idx="122">
                  <c:v>59.158276526783041</c:v>
                </c:pt>
                <c:pt idx="123">
                  <c:v>59.250465637600243</c:v>
                </c:pt>
                <c:pt idx="124">
                  <c:v>59.336088548039235</c:v>
                </c:pt>
                <c:pt idx="125">
                  <c:v>59.415560102616183</c:v>
                </c:pt>
                <c:pt idx="126">
                  <c:v>59.489295000702462</c:v>
                </c:pt>
                <c:pt idx="127">
                  <c:v>59.557707844737671</c:v>
                </c:pt>
                <c:pt idx="128">
                  <c:v>59.621213111441122</c:v>
                </c:pt>
                <c:pt idx="129">
                  <c:v>59.680225075157878</c:v>
                </c:pt>
                <c:pt idx="130">
                  <c:v>59.735157863678246</c:v>
                </c:pt>
                <c:pt idx="131">
                  <c:v>59.786425462139249</c:v>
                </c:pt>
                <c:pt idx="132">
                  <c:v>59.834441708605127</c:v>
                </c:pt>
                <c:pt idx="133">
                  <c:v>59.879620295324663</c:v>
                </c:pt>
                <c:pt idx="134">
                  <c:v>59.920897217312394</c:v>
                </c:pt>
                <c:pt idx="135">
                  <c:v>59.957071659115549</c:v>
                </c:pt>
                <c:pt idx="136">
                  <c:v>59.988352009994209</c:v>
                </c:pt>
                <c:pt idx="137">
                  <c:v>60.014946425605345</c:v>
                </c:pt>
                <c:pt idx="138">
                  <c:v>60.037063005917204</c:v>
                </c:pt>
                <c:pt idx="139">
                  <c:v>60.054909798607525</c:v>
                </c:pt>
                <c:pt idx="140">
                  <c:v>60.068694800025291</c:v>
                </c:pt>
                <c:pt idx="141">
                  <c:v>60.078625690514762</c:v>
                </c:pt>
                <c:pt idx="142">
                  <c:v>60.084910203036856</c:v>
                </c:pt>
                <c:pt idx="143">
                  <c:v>60.087756115208705</c:v>
                </c:pt>
                <c:pt idx="144">
                  <c:v>60.087371136013729</c:v>
                </c:pt>
                <c:pt idx="145">
                  <c:v>60.083962912484878</c:v>
                </c:pt>
                <c:pt idx="146">
                  <c:v>60.077739022929237</c:v>
                </c:pt>
                <c:pt idx="147">
                  <c:v>60.068906975143889</c:v>
                </c:pt>
                <c:pt idx="148">
                  <c:v>60.056267566152378</c:v>
                </c:pt>
                <c:pt idx="149">
                  <c:v>60.038759295196364</c:v>
                </c:pt>
                <c:pt idx="150">
                  <c:v>60.016795922992515</c:v>
                </c:pt>
                <c:pt idx="151">
                  <c:v>59.990791225857102</c:v>
                </c:pt>
                <c:pt idx="152">
                  <c:v>59.961158803769884</c:v>
                </c:pt>
                <c:pt idx="153">
                  <c:v>59.928312076563842</c:v>
                </c:pt>
                <c:pt idx="154">
                  <c:v>59.892664278519923</c:v>
                </c:pt>
                <c:pt idx="155">
                  <c:v>59.854628147858584</c:v>
                </c:pt>
                <c:pt idx="156">
                  <c:v>59.814616965221312</c:v>
                </c:pt>
                <c:pt idx="157">
                  <c:v>59.773043410363101</c:v>
                </c:pt>
                <c:pt idx="158">
                  <c:v>59.730319966552543</c:v>
                </c:pt>
                <c:pt idx="159">
                  <c:v>59.686858920524507</c:v>
                </c:pt>
                <c:pt idx="160">
                  <c:v>59.643072358208933</c:v>
                </c:pt>
                <c:pt idx="161">
                  <c:v>59.599372162971989</c:v>
                </c:pt>
                <c:pt idx="162">
                  <c:v>59.55514236514265</c:v>
                </c:pt>
                <c:pt idx="163">
                  <c:v>59.509492876292889</c:v>
                </c:pt>
                <c:pt idx="164">
                  <c:v>59.462424837660521</c:v>
                </c:pt>
                <c:pt idx="165">
                  <c:v>59.413939259469224</c:v>
                </c:pt>
                <c:pt idx="166">
                  <c:v>59.364037118510808</c:v>
                </c:pt>
                <c:pt idx="167">
                  <c:v>59.31271935329552</c:v>
                </c:pt>
                <c:pt idx="168">
                  <c:v>59.25998686528353</c:v>
                </c:pt>
                <c:pt idx="169">
                  <c:v>59.20584009964535</c:v>
                </c:pt>
                <c:pt idx="170">
                  <c:v>59.150280317025214</c:v>
                </c:pt>
                <c:pt idx="171">
                  <c:v>59.09330829665825</c:v>
                </c:pt>
                <c:pt idx="172">
                  <c:v>59.034924772772833</c:v>
                </c:pt>
                <c:pt idx="173">
                  <c:v>58.975130440349197</c:v>
                </c:pt>
                <c:pt idx="174">
                  <c:v>58.913925949064556</c:v>
                </c:pt>
                <c:pt idx="175">
                  <c:v>58.851311898578807</c:v>
                </c:pt>
                <c:pt idx="176">
                  <c:v>58.787288845233597</c:v>
                </c:pt>
                <c:pt idx="177">
                  <c:v>58.721856757776663</c:v>
                </c:pt>
                <c:pt idx="178">
                  <c:v>58.655016570344422</c:v>
                </c:pt>
                <c:pt idx="179">
                  <c:v>58.586768703113663</c:v>
                </c:pt>
                <c:pt idx="180">
                  <c:v>58.517113533696509</c:v>
                </c:pt>
                <c:pt idx="181">
                  <c:v>58.446051400142636</c:v>
                </c:pt>
                <c:pt idx="182">
                  <c:v>58.373582600202127</c:v>
                </c:pt>
                <c:pt idx="183">
                  <c:v>58.299707237926008</c:v>
                </c:pt>
                <c:pt idx="184">
                  <c:v>58.224426075037023</c:v>
                </c:pt>
                <c:pt idx="185">
                  <c:v>58.147739318561499</c:v>
                </c:pt>
                <c:pt idx="186">
                  <c:v>58.069647145037401</c:v>
                </c:pt>
                <c:pt idx="187">
                  <c:v>57.990149700096623</c:v>
                </c:pt>
                <c:pt idx="188">
                  <c:v>57.909247104204589</c:v>
                </c:pt>
                <c:pt idx="189">
                  <c:v>57.826939452620834</c:v>
                </c:pt>
                <c:pt idx="190">
                  <c:v>57.743670801577558</c:v>
                </c:pt>
                <c:pt idx="191">
                  <c:v>57.659747489346344</c:v>
                </c:pt>
                <c:pt idx="192">
                  <c:v>57.574965086561328</c:v>
                </c:pt>
                <c:pt idx="193">
                  <c:v>57.489118595377704</c:v>
                </c:pt>
                <c:pt idx="194">
                  <c:v>57.402003093958008</c:v>
                </c:pt>
                <c:pt idx="195">
                  <c:v>57.313413738457889</c:v>
                </c:pt>
                <c:pt idx="196">
                  <c:v>57.223145765408844</c:v>
                </c:pt>
                <c:pt idx="197">
                  <c:v>57.130995061736286</c:v>
                </c:pt>
                <c:pt idx="198">
                  <c:v>57.036757227713217</c:v>
                </c:pt>
                <c:pt idx="199">
                  <c:v>56.940227772657572</c:v>
                </c:pt>
                <c:pt idx="200">
                  <c:v>56.841202293443281</c:v>
                </c:pt>
                <c:pt idx="201">
                  <c:v>56.739476475125556</c:v>
                </c:pt>
                <c:pt idx="202">
                  <c:v>56.634846097089635</c:v>
                </c:pt>
                <c:pt idx="203">
                  <c:v>56.527107031507448</c:v>
                </c:pt>
                <c:pt idx="204">
                  <c:v>56.416566803163327</c:v>
                </c:pt>
                <c:pt idx="205">
                  <c:v>56.303669672805391</c:v>
                </c:pt>
                <c:pt idx="206">
                  <c:v>56.188417075578997</c:v>
                </c:pt>
                <c:pt idx="207">
                  <c:v>56.0708094484838</c:v>
                </c:pt>
                <c:pt idx="208">
                  <c:v>55.950847243706406</c:v>
                </c:pt>
                <c:pt idx="209">
                  <c:v>55.828530933061273</c:v>
                </c:pt>
                <c:pt idx="210">
                  <c:v>55.703861006317254</c:v>
                </c:pt>
                <c:pt idx="211">
                  <c:v>55.576836868427065</c:v>
                </c:pt>
                <c:pt idx="212">
                  <c:v>55.447458413508286</c:v>
                </c:pt>
                <c:pt idx="213">
                  <c:v>55.315726169797543</c:v>
                </c:pt>
                <c:pt idx="214">
                  <c:v>55.181640685187489</c:v>
                </c:pt>
                <c:pt idx="215">
                  <c:v>55.045202528474682</c:v>
                </c:pt>
                <c:pt idx="216">
                  <c:v>54.906412290450035</c:v>
                </c:pt>
                <c:pt idx="217">
                  <c:v>54.76527058033885</c:v>
                </c:pt>
                <c:pt idx="218">
                  <c:v>54.622220754621253</c:v>
                </c:pt>
                <c:pt idx="219">
                  <c:v>54.477569317383036</c:v>
                </c:pt>
                <c:pt idx="220">
                  <c:v>54.331111936218079</c:v>
                </c:pt>
                <c:pt idx="221">
                  <c:v>54.182644846922329</c:v>
                </c:pt>
                <c:pt idx="222">
                  <c:v>54.031964380112498</c:v>
                </c:pt>
                <c:pt idx="223">
                  <c:v>53.878866963421352</c:v>
                </c:pt>
                <c:pt idx="224">
                  <c:v>53.723149117906644</c:v>
                </c:pt>
                <c:pt idx="225">
                  <c:v>53.564606012729151</c:v>
                </c:pt>
                <c:pt idx="226">
                  <c:v>53.403035500645011</c:v>
                </c:pt>
                <c:pt idx="227">
                  <c:v>53.238234375537502</c:v>
                </c:pt>
                <c:pt idx="228">
                  <c:v>53.069999519200714</c:v>
                </c:pt>
                <c:pt idx="229">
                  <c:v>52.898127899715504</c:v>
                </c:pt>
                <c:pt idx="230">
                  <c:v>52.722416574244612</c:v>
                </c:pt>
                <c:pt idx="231">
                  <c:v>52.542662680670176</c:v>
                </c:pt>
                <c:pt idx="232">
                  <c:v>52.359173584549239</c:v>
                </c:pt>
                <c:pt idx="233">
                  <c:v>52.172391880774143</c:v>
                </c:pt>
                <c:pt idx="234">
                  <c:v>51.982319136560733</c:v>
                </c:pt>
                <c:pt idx="235">
                  <c:v>51.788956421363416</c:v>
                </c:pt>
                <c:pt idx="236">
                  <c:v>51.592304806592381</c:v>
                </c:pt>
                <c:pt idx="237">
                  <c:v>51.392365369341135</c:v>
                </c:pt>
                <c:pt idx="238">
                  <c:v>51.189139187516986</c:v>
                </c:pt>
                <c:pt idx="239">
                  <c:v>50.982627830969868</c:v>
                </c:pt>
                <c:pt idx="240">
                  <c:v>50.772833861621137</c:v>
                </c:pt>
                <c:pt idx="241">
                  <c:v>50.559758366934219</c:v>
                </c:pt>
                <c:pt idx="242">
                  <c:v>50.343402439349852</c:v>
                </c:pt>
                <c:pt idx="243">
                  <c:v>50.123767171452364</c:v>
                </c:pt>
                <c:pt idx="244">
                  <c:v>49.900853659077676</c:v>
                </c:pt>
                <c:pt idx="245">
                  <c:v>49.674662999200372</c:v>
                </c:pt>
                <c:pt idx="246">
                  <c:v>49.445196295133208</c:v>
                </c:pt>
                <c:pt idx="247">
                  <c:v>49.2124526466174</c:v>
                </c:pt>
                <c:pt idx="248">
                  <c:v>48.976433845093055</c:v>
                </c:pt>
                <c:pt idx="249">
                  <c:v>48.737141002173402</c:v>
                </c:pt>
                <c:pt idx="250">
                  <c:v>48.494575236850309</c:v>
                </c:pt>
                <c:pt idx="251">
                  <c:v>48.248737671293206</c:v>
                </c:pt>
                <c:pt idx="252">
                  <c:v>47.999629432567467</c:v>
                </c:pt>
                <c:pt idx="253">
                  <c:v>47.74724979155306</c:v>
                </c:pt>
                <c:pt idx="254">
                  <c:v>47.491599398962279</c:v>
                </c:pt>
                <c:pt idx="255">
                  <c:v>47.232679401517977</c:v>
                </c:pt>
                <c:pt idx="256">
                  <c:v>46.97049095020283</c:v>
                </c:pt>
                <c:pt idx="257">
                  <c:v>46.705035199690748</c:v>
                </c:pt>
                <c:pt idx="258">
                  <c:v>46.436313306218828</c:v>
                </c:pt>
                <c:pt idx="259">
                  <c:v>46.164326430801779</c:v>
                </c:pt>
                <c:pt idx="260">
                  <c:v>45.888855257618708</c:v>
                </c:pt>
                <c:pt idx="261">
                  <c:v>45.609748399062703</c:v>
                </c:pt>
                <c:pt idx="262">
                  <c:v>45.327110827072502</c:v>
                </c:pt>
                <c:pt idx="263">
                  <c:v>45.041045484367096</c:v>
                </c:pt>
                <c:pt idx="264">
                  <c:v>44.751655268683749</c:v>
                </c:pt>
                <c:pt idx="265">
                  <c:v>44.459042999071094</c:v>
                </c:pt>
                <c:pt idx="266">
                  <c:v>44.163311458188602</c:v>
                </c:pt>
                <c:pt idx="267">
                  <c:v>43.864562358890495</c:v>
                </c:pt>
                <c:pt idx="268">
                  <c:v>43.562900222065849</c:v>
                </c:pt>
                <c:pt idx="269">
                  <c:v>43.258427686275674</c:v>
                </c:pt>
                <c:pt idx="270">
                  <c:v>42.951247328250481</c:v>
                </c:pt>
                <c:pt idx="271">
                  <c:v>42.641461665730084</c:v>
                </c:pt>
                <c:pt idx="272">
                  <c:v>42.329173149812227</c:v>
                </c:pt>
                <c:pt idx="273">
                  <c:v>42.014484167022744</c:v>
                </c:pt>
                <c:pt idx="274">
                  <c:v>41.695921750937252</c:v>
                </c:pt>
                <c:pt idx="275">
                  <c:v>41.372334252081828</c:v>
                </c:pt>
                <c:pt idx="276">
                  <c:v>41.044332820158552</c:v>
                </c:pt>
                <c:pt idx="277">
                  <c:v>40.712528385818224</c:v>
                </c:pt>
                <c:pt idx="278">
                  <c:v>40.377531639157063</c:v>
                </c:pt>
                <c:pt idx="279">
                  <c:v>40.039953034999257</c:v>
                </c:pt>
                <c:pt idx="280">
                  <c:v>39.700402790471593</c:v>
                </c:pt>
                <c:pt idx="281">
                  <c:v>39.359485332001142</c:v>
                </c:pt>
                <c:pt idx="282">
                  <c:v>39.017811476853396</c:v>
                </c:pt>
                <c:pt idx="283">
                  <c:v>38.675990817140494</c:v>
                </c:pt>
                <c:pt idx="284">
                  <c:v>38.334632717577357</c:v>
                </c:pt>
                <c:pt idx="285">
                  <c:v>37.994346319123167</c:v>
                </c:pt>
                <c:pt idx="286">
                  <c:v>37.655740539384361</c:v>
                </c:pt>
                <c:pt idx="287">
                  <c:v>37.319424074522438</c:v>
                </c:pt>
                <c:pt idx="288">
                  <c:v>36.983382978221947</c:v>
                </c:pt>
                <c:pt idx="289">
                  <c:v>36.645543157374448</c:v>
                </c:pt>
                <c:pt idx="290">
                  <c:v>36.306428790099716</c:v>
                </c:pt>
                <c:pt idx="291">
                  <c:v>35.966546983231737</c:v>
                </c:pt>
                <c:pt idx="292">
                  <c:v>35.62640462589242</c:v>
                </c:pt>
                <c:pt idx="293">
                  <c:v>35.286508392419996</c:v>
                </c:pt>
                <c:pt idx="294">
                  <c:v>34.947364746983972</c:v>
                </c:pt>
                <c:pt idx="295">
                  <c:v>34.60948044929826</c:v>
                </c:pt>
                <c:pt idx="296">
                  <c:v>34.273366421922837</c:v>
                </c:pt>
                <c:pt idx="297">
                  <c:v>33.93952826754731</c:v>
                </c:pt>
                <c:pt idx="298">
                  <c:v>33.608471492054299</c:v>
                </c:pt>
                <c:pt idx="299">
                  <c:v>33.280701409116034</c:v>
                </c:pt>
                <c:pt idx="300">
                  <c:v>32.956723148560833</c:v>
                </c:pt>
                <c:pt idx="301">
                  <c:v>32.637041661415488</c:v>
                </c:pt>
                <c:pt idx="302">
                  <c:v>32.320235046577992</c:v>
                </c:pt>
                <c:pt idx="303">
                  <c:v>32.00474399585957</c:v>
                </c:pt>
                <c:pt idx="304">
                  <c:v>31.690865026193062</c:v>
                </c:pt>
                <c:pt idx="305">
                  <c:v>31.378900836533937</c:v>
                </c:pt>
                <c:pt idx="306">
                  <c:v>31.069154027868933</c:v>
                </c:pt>
                <c:pt idx="307">
                  <c:v>30.761927110022754</c:v>
                </c:pt>
                <c:pt idx="308">
                  <c:v>30.457522508021022</c:v>
                </c:pt>
                <c:pt idx="309">
                  <c:v>30.156231866287669</c:v>
                </c:pt>
                <c:pt idx="310">
                  <c:v>29.858357323413777</c:v>
                </c:pt>
                <c:pt idx="311">
                  <c:v>29.564201391249647</c:v>
                </c:pt>
                <c:pt idx="312">
                  <c:v>29.274066505374442</c:v>
                </c:pt>
                <c:pt idx="313">
                  <c:v>28.988255028589954</c:v>
                </c:pt>
                <c:pt idx="314">
                  <c:v>28.707069250258847</c:v>
                </c:pt>
                <c:pt idx="315">
                  <c:v>28.430811390254235</c:v>
                </c:pt>
                <c:pt idx="316">
                  <c:v>28.157926449783385</c:v>
                </c:pt>
                <c:pt idx="317">
                  <c:v>27.887022341044045</c:v>
                </c:pt>
                <c:pt idx="318">
                  <c:v>27.618605927993801</c:v>
                </c:pt>
                <c:pt idx="319">
                  <c:v>27.353181656075769</c:v>
                </c:pt>
                <c:pt idx="320">
                  <c:v>27.091253882226951</c:v>
                </c:pt>
                <c:pt idx="321">
                  <c:v>26.833326886604951</c:v>
                </c:pt>
                <c:pt idx="322">
                  <c:v>26.579904867658321</c:v>
                </c:pt>
                <c:pt idx="323">
                  <c:v>26.331509837114243</c:v>
                </c:pt>
                <c:pt idx="324">
                  <c:v>26.088654645233476</c:v>
                </c:pt>
                <c:pt idx="325">
                  <c:v>25.851842590677879</c:v>
                </c:pt>
                <c:pt idx="326">
                  <c:v>25.621577049094551</c:v>
                </c:pt>
                <c:pt idx="327">
                  <c:v>25.398361294586682</c:v>
                </c:pt>
                <c:pt idx="328">
                  <c:v>25.182698480018097</c:v>
                </c:pt>
                <c:pt idx="329">
                  <c:v>24.975091729831153</c:v>
                </c:pt>
                <c:pt idx="330">
                  <c:v>24.773463736645645</c:v>
                </c:pt>
                <c:pt idx="331">
                  <c:v>24.575768602626724</c:v>
                </c:pt>
                <c:pt idx="332">
                  <c:v>24.382588416342692</c:v>
                </c:pt>
                <c:pt idx="333">
                  <c:v>24.194529723594648</c:v>
                </c:pt>
                <c:pt idx="334">
                  <c:v>24.012198890070671</c:v>
                </c:pt>
                <c:pt idx="335">
                  <c:v>23.836202099416628</c:v>
                </c:pt>
                <c:pt idx="336">
                  <c:v>23.667145348457399</c:v>
                </c:pt>
                <c:pt idx="337">
                  <c:v>23.505615595152825</c:v>
                </c:pt>
                <c:pt idx="338">
                  <c:v>23.352202721321529</c:v>
                </c:pt>
                <c:pt idx="339">
                  <c:v>23.20751264318659</c:v>
                </c:pt>
                <c:pt idx="340">
                  <c:v>23.072151019529407</c:v>
                </c:pt>
                <c:pt idx="341">
                  <c:v>22.946723235435851</c:v>
                </c:pt>
                <c:pt idx="342">
                  <c:v>22.831834398410365</c:v>
                </c:pt>
                <c:pt idx="343">
                  <c:v>22.728089351602929</c:v>
                </c:pt>
                <c:pt idx="344">
                  <c:v>22.633535844858812</c:v>
                </c:pt>
                <c:pt idx="345">
                  <c:v>22.546138094142865</c:v>
                </c:pt>
                <c:pt idx="346">
                  <c:v>22.46644842126609</c:v>
                </c:pt>
                <c:pt idx="347">
                  <c:v>22.39494507749589</c:v>
                </c:pt>
                <c:pt idx="348">
                  <c:v>22.33210620542409</c:v>
                </c:pt>
                <c:pt idx="349">
                  <c:v>22.278409835743481</c:v>
                </c:pt>
                <c:pt idx="350">
                  <c:v>22.234333862905341</c:v>
                </c:pt>
                <c:pt idx="351">
                  <c:v>22.200394630927367</c:v>
                </c:pt>
                <c:pt idx="352">
                  <c:v>22.177087351441969</c:v>
                </c:pt>
                <c:pt idx="353">
                  <c:v>22.164889215473725</c:v>
                </c:pt>
                <c:pt idx="354">
                  <c:v>22.164277326671577</c:v>
                </c:pt>
                <c:pt idx="355">
                  <c:v>22.175728697317286</c:v>
                </c:pt>
                <c:pt idx="356">
                  <c:v>22.199720501444528</c:v>
                </c:pt>
                <c:pt idx="357">
                  <c:v>22.236729271778145</c:v>
                </c:pt>
                <c:pt idx="358">
                  <c:v>22.287136322756773</c:v>
                </c:pt>
                <c:pt idx="359">
                  <c:v>22.350687703783912</c:v>
                </c:pt>
                <c:pt idx="360">
                  <c:v>22.426889815201072</c:v>
                </c:pt>
                <c:pt idx="361">
                  <c:v>22.515228851347</c:v>
                </c:pt>
                <c:pt idx="362">
                  <c:v>22.615229286685608</c:v>
                </c:pt>
                <c:pt idx="363">
                  <c:v>22.726415716541325</c:v>
                </c:pt>
                <c:pt idx="364">
                  <c:v>22.848312873260031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22.796430115802789</c:v>
                </c:pt>
                <c:pt idx="1">
                  <c:v>15.721816583994677</c:v>
                </c:pt>
                <c:pt idx="2">
                  <c:v>16.975604661634019</c:v>
                </c:pt>
                <c:pt idx="3">
                  <c:v>18.038744898918807</c:v>
                </c:pt>
                <c:pt idx="4">
                  <c:v>14.265218015708202</c:v>
                </c:pt>
                <c:pt idx="5">
                  <c:v>20.471087790999245</c:v>
                </c:pt>
                <c:pt idx="6">
                  <c:v>10.038719332063106</c:v>
                </c:pt>
                <c:pt idx="7">
                  <c:v>7.1446926186300601</c:v>
                </c:pt>
                <c:pt idx="8">
                  <c:v>2.133126596072155</c:v>
                </c:pt>
                <c:pt idx="9">
                  <c:v>1.7494170998254119</c:v>
                </c:pt>
                <c:pt idx="10">
                  <c:v>24.525084142632451</c:v>
                </c:pt>
                <c:pt idx="11">
                  <c:v>21.320641318613969</c:v>
                </c:pt>
                <c:pt idx="12">
                  <c:v>5.4658412003451362</c:v>
                </c:pt>
                <c:pt idx="13">
                  <c:v>25.940650933407969</c:v>
                </c:pt>
                <c:pt idx="14">
                  <c:v>26.24765213328434</c:v>
                </c:pt>
                <c:pt idx="15">
                  <c:v>25.682126828667705</c:v>
                </c:pt>
                <c:pt idx="16">
                  <c:v>11.860460619506796</c:v>
                </c:pt>
                <c:pt idx="17">
                  <c:v>3.768234485853085</c:v>
                </c:pt>
                <c:pt idx="18">
                  <c:v>10.282804106051749</c:v>
                </c:pt>
                <c:pt idx="19">
                  <c:v>6.4403024690695334</c:v>
                </c:pt>
                <c:pt idx="20">
                  <c:v>20.536029412756871</c:v>
                </c:pt>
                <c:pt idx="21">
                  <c:v>27.415811159876206</c:v>
                </c:pt>
                <c:pt idx="22">
                  <c:v>27.54063685075706</c:v>
                </c:pt>
                <c:pt idx="23">
                  <c:v>28.078161485133879</c:v>
                </c:pt>
                <c:pt idx="24">
                  <c:v>27.153830414587929</c:v>
                </c:pt>
                <c:pt idx="25">
                  <c:v>27.818174180653656</c:v>
                </c:pt>
                <c:pt idx="26">
                  <c:v>26.585521219970044</c:v>
                </c:pt>
                <c:pt idx="27">
                  <c:v>4.2019819852035205</c:v>
                </c:pt>
                <c:pt idx="28">
                  <c:v>8.8701205342338234</c:v>
                </c:pt>
                <c:pt idx="29">
                  <c:v>4.5814301919348051</c:v>
                </c:pt>
                <c:pt idx="30">
                  <c:v>7.5980569430491949</c:v>
                </c:pt>
                <c:pt idx="31">
                  <c:v>12.610248709119007</c:v>
                </c:pt>
                <c:pt idx="32">
                  <c:v>5.3241232669515561</c:v>
                </c:pt>
                <c:pt idx="33">
                  <c:v>10.450267383026837</c:v>
                </c:pt>
                <c:pt idx="34">
                  <c:v>10.294122266180329</c:v>
                </c:pt>
                <c:pt idx="35">
                  <c:v>9.0466313840157664</c:v>
                </c:pt>
                <c:pt idx="36">
                  <c:v>21.078590837743022</c:v>
                </c:pt>
                <c:pt idx="37">
                  <c:v>8.8844567144067934</c:v>
                </c:pt>
                <c:pt idx="38">
                  <c:v>32.952783219047866</c:v>
                </c:pt>
                <c:pt idx="39">
                  <c:v>33.237964729232431</c:v>
                </c:pt>
                <c:pt idx="40">
                  <c:v>30.999351521098735</c:v>
                </c:pt>
                <c:pt idx="41">
                  <c:v>17.173889404731771</c:v>
                </c:pt>
                <c:pt idx="42">
                  <c:v>26.319198068280677</c:v>
                </c:pt>
                <c:pt idx="43">
                  <c:v>32.203386542632018</c:v>
                </c:pt>
                <c:pt idx="44">
                  <c:v>15.120038219599808</c:v>
                </c:pt>
                <c:pt idx="45">
                  <c:v>18.238010188784468</c:v>
                </c:pt>
                <c:pt idx="46">
                  <c:v>8.9716204166652318</c:v>
                </c:pt>
                <c:pt idx="47">
                  <c:v>11.178610780972081</c:v>
                </c:pt>
                <c:pt idx="48">
                  <c:v>28.861403556823792</c:v>
                </c:pt>
                <c:pt idx="49">
                  <c:v>19.584927418250338</c:v>
                </c:pt>
                <c:pt idx="50">
                  <c:v>19.468170932844945</c:v>
                </c:pt>
                <c:pt idx="51">
                  <c:v>21.556358958024443</c:v>
                </c:pt>
                <c:pt idx="52">
                  <c:v>32.944183743903565</c:v>
                </c:pt>
                <c:pt idx="53">
                  <c:v>34.62120848217436</c:v>
                </c:pt>
                <c:pt idx="54">
                  <c:v>21.553012638795472</c:v>
                </c:pt>
                <c:pt idx="55">
                  <c:v>30.867054832951091</c:v>
                </c:pt>
                <c:pt idx="56">
                  <c:v>39.124208667251253</c:v>
                </c:pt>
                <c:pt idx="57">
                  <c:v>27.969126094424023</c:v>
                </c:pt>
                <c:pt idx="58">
                  <c:v>33.768785690081941</c:v>
                </c:pt>
                <c:pt idx="59">
                  <c:v>39.183237493148013</c:v>
                </c:pt>
                <c:pt idx="60">
                  <c:v>11.418129517395851</c:v>
                </c:pt>
                <c:pt idx="61">
                  <c:v>35.038589196919538</c:v>
                </c:pt>
                <c:pt idx="62">
                  <c:v>3.7655097377478541</c:v>
                </c:pt>
                <c:pt idx="63">
                  <c:v>12.966877352053025</c:v>
                </c:pt>
                <c:pt idx="64">
                  <c:v>15.634534594805267</c:v>
                </c:pt>
                <c:pt idx="65">
                  <c:v>38.516395558852771</c:v>
                </c:pt>
                <c:pt idx="66">
                  <c:v>31.3929686974307</c:v>
                </c:pt>
                <c:pt idx="67">
                  <c:v>30.609310443287633</c:v>
                </c:pt>
                <c:pt idx="68">
                  <c:v>24.368490941662358</c:v>
                </c:pt>
                <c:pt idx="69">
                  <c:v>15.114026511191593</c:v>
                </c:pt>
                <c:pt idx="70">
                  <c:v>15.731899074626908</c:v>
                </c:pt>
                <c:pt idx="71">
                  <c:v>8.8220972049887312</c:v>
                </c:pt>
                <c:pt idx="72">
                  <c:v>14.215332481548367</c:v>
                </c:pt>
                <c:pt idx="73">
                  <c:v>13.531504242677672</c:v>
                </c:pt>
                <c:pt idx="74">
                  <c:v>13.50540106687388</c:v>
                </c:pt>
                <c:pt idx="75">
                  <c:v>11.34303006399802</c:v>
                </c:pt>
                <c:pt idx="76">
                  <c:v>14.664661459620328</c:v>
                </c:pt>
                <c:pt idx="77">
                  <c:v>28.01916877728226</c:v>
                </c:pt>
                <c:pt idx="78">
                  <c:v>31.1134228044764</c:v>
                </c:pt>
                <c:pt idx="79">
                  <c:v>44.044976768013925</c:v>
                </c:pt>
                <c:pt idx="80">
                  <c:v>41.81826121008865</c:v>
                </c:pt>
                <c:pt idx="81">
                  <c:v>47.667627580816244</c:v>
                </c:pt>
                <c:pt idx="82">
                  <c:v>46.886576386463595</c:v>
                </c:pt>
                <c:pt idx="83">
                  <c:v>41.726639613243158</c:v>
                </c:pt>
                <c:pt idx="84">
                  <c:v>46.192066664938174</c:v>
                </c:pt>
                <c:pt idx="85">
                  <c:v>44.660068276507602</c:v>
                </c:pt>
                <c:pt idx="86">
                  <c:v>14.381646444316775</c:v>
                </c:pt>
                <c:pt idx="87">
                  <c:v>27.603550480290071</c:v>
                </c:pt>
                <c:pt idx="88">
                  <c:v>7.7400036788139399</c:v>
                </c:pt>
                <c:pt idx="89">
                  <c:v>27.595285193681779</c:v>
                </c:pt>
                <c:pt idx="90">
                  <c:v>32.314521408023971</c:v>
                </c:pt>
                <c:pt idx="91">
                  <c:v>20.173130623737812</c:v>
                </c:pt>
                <c:pt idx="92">
                  <c:v>22.443083728065041</c:v>
                </c:pt>
                <c:pt idx="93">
                  <c:v>45.178507090898009</c:v>
                </c:pt>
                <c:pt idx="94">
                  <c:v>51.842717054718875</c:v>
                </c:pt>
                <c:pt idx="95">
                  <c:v>11.221795355331274</c:v>
                </c:pt>
                <c:pt idx="96">
                  <c:v>37.671117189289099</c:v>
                </c:pt>
                <c:pt idx="97">
                  <c:v>30.605446436652148</c:v>
                </c:pt>
                <c:pt idx="98">
                  <c:v>35.90652513316828</c:v>
                </c:pt>
                <c:pt idx="99">
                  <c:v>52.505144971600608</c:v>
                </c:pt>
                <c:pt idx="100">
                  <c:v>43.5171048949408</c:v>
                </c:pt>
                <c:pt idx="101">
                  <c:v>37.167426361261924</c:v>
                </c:pt>
                <c:pt idx="102">
                  <c:v>7.9427707621404116</c:v>
                </c:pt>
                <c:pt idx="103">
                  <c:v>40.202338466586518</c:v>
                </c:pt>
                <c:pt idx="104">
                  <c:v>43.869563350674007</c:v>
                </c:pt>
                <c:pt idx="105">
                  <c:v>45.517994988491665</c:v>
                </c:pt>
                <c:pt idx="106">
                  <c:v>53.425804540452241</c:v>
                </c:pt>
                <c:pt idx="107">
                  <c:v>39.522540930170855</c:v>
                </c:pt>
                <c:pt idx="108">
                  <c:v>9.2386888742274564</c:v>
                </c:pt>
                <c:pt idx="109">
                  <c:v>9.6390080603159465</c:v>
                </c:pt>
                <c:pt idx="110">
                  <c:v>9.2784653937839092</c:v>
                </c:pt>
                <c:pt idx="111">
                  <c:v>26.967817916000023</c:v>
                </c:pt>
                <c:pt idx="112">
                  <c:v>8.9815244045856826</c:v>
                </c:pt>
                <c:pt idx="113">
                  <c:v>31.035793269417944</c:v>
                </c:pt>
                <c:pt idx="114">
                  <c:v>46.971451911517583</c:v>
                </c:pt>
                <c:pt idx="115">
                  <c:v>53.854415338029355</c:v>
                </c:pt>
                <c:pt idx="116">
                  <c:v>39.093828614582513</c:v>
                </c:pt>
                <c:pt idx="117">
                  <c:v>23.556065511655031</c:v>
                </c:pt>
                <c:pt idx="118">
                  <c:v>43.082122343864086</c:v>
                </c:pt>
                <c:pt idx="119">
                  <c:v>47.740803619816326</c:v>
                </c:pt>
                <c:pt idx="120">
                  <c:v>48.305022660729136</c:v>
                </c:pt>
                <c:pt idx="121">
                  <c:v>28.698656392367774</c:v>
                </c:pt>
                <c:pt idx="122">
                  <c:v>40.056515010092518</c:v>
                </c:pt>
                <c:pt idx="123">
                  <c:v>21.690928203272975</c:v>
                </c:pt>
                <c:pt idx="124">
                  <c:v>44.495126743426439</c:v>
                </c:pt>
                <c:pt idx="125">
                  <c:v>39.046103014273328</c:v>
                </c:pt>
                <c:pt idx="126">
                  <c:v>53.418147899821697</c:v>
                </c:pt>
                <c:pt idx="127">
                  <c:v>49.257479646014204</c:v>
                </c:pt>
                <c:pt idx="128">
                  <c:v>56.56257642304422</c:v>
                </c:pt>
                <c:pt idx="129">
                  <c:v>52.8355782034713</c:v>
                </c:pt>
                <c:pt idx="130">
                  <c:v>56.973780270858363</c:v>
                </c:pt>
                <c:pt idx="131">
                  <c:v>42.477254080320456</c:v>
                </c:pt>
                <c:pt idx="132">
                  <c:v>44.491892738919717</c:v>
                </c:pt>
                <c:pt idx="133">
                  <c:v>50.699216411806283</c:v>
                </c:pt>
                <c:pt idx="134">
                  <c:v>53.352671618519764</c:v>
                </c:pt>
                <c:pt idx="135">
                  <c:v>51.75607701209811</c:v>
                </c:pt>
                <c:pt idx="136">
                  <c:v>55.199057406879035</c:v>
                </c:pt>
                <c:pt idx="137">
                  <c:v>53.388545969433196</c:v>
                </c:pt>
                <c:pt idx="138">
                  <c:v>56.123660685573533</c:v>
                </c:pt>
                <c:pt idx="139">
                  <c:v>50.080610789094855</c:v>
                </c:pt>
                <c:pt idx="140">
                  <c:v>50.177799740891174</c:v>
                </c:pt>
                <c:pt idx="141">
                  <c:v>38.115103037053139</c:v>
                </c:pt>
                <c:pt idx="142">
                  <c:v>20.124173139879574</c:v>
                </c:pt>
                <c:pt idx="143">
                  <c:v>16.636435018182617</c:v>
                </c:pt>
                <c:pt idx="144">
                  <c:v>41.848715513938451</c:v>
                </c:pt>
                <c:pt idx="145">
                  <c:v>25.438823415761377</c:v>
                </c:pt>
                <c:pt idx="146">
                  <c:v>46.835667866191287</c:v>
                </c:pt>
                <c:pt idx="147">
                  <c:v>56.333235612446202</c:v>
                </c:pt>
                <c:pt idx="148">
                  <c:v>60.909884882304148</c:v>
                </c:pt>
                <c:pt idx="149">
                  <c:v>51.681568848342401</c:v>
                </c:pt>
                <c:pt idx="150">
                  <c:v>56.024860605781299</c:v>
                </c:pt>
                <c:pt idx="151">
                  <c:v>57.088526945779755</c:v>
                </c:pt>
                <c:pt idx="152">
                  <c:v>45.530577221142899</c:v>
                </c:pt>
                <c:pt idx="153">
                  <c:v>55.690250084550016</c:v>
                </c:pt>
                <c:pt idx="154">
                  <c:v>26.549011175113232</c:v>
                </c:pt>
                <c:pt idx="155">
                  <c:v>36.583259919300588</c:v>
                </c:pt>
                <c:pt idx="156">
                  <c:v>47.719127515018343</c:v>
                </c:pt>
                <c:pt idx="157">
                  <c:v>28.946684335743971</c:v>
                </c:pt>
                <c:pt idx="158">
                  <c:v>21.580442047774152</c:v>
                </c:pt>
                <c:pt idx="159">
                  <c:v>47.017048360755439</c:v>
                </c:pt>
                <c:pt idx="160">
                  <c:v>58.654609809826596</c:v>
                </c:pt>
                <c:pt idx="161">
                  <c:v>56.681772780203048</c:v>
                </c:pt>
                <c:pt idx="162">
                  <c:v>43.99895060948193</c:v>
                </c:pt>
                <c:pt idx="163">
                  <c:v>55.332179985276682</c:v>
                </c:pt>
                <c:pt idx="164">
                  <c:v>49.188152743567919</c:v>
                </c:pt>
                <c:pt idx="165">
                  <c:v>55.450797063204561</c:v>
                </c:pt>
                <c:pt idx="166">
                  <c:v>53.25824552916535</c:v>
                </c:pt>
                <c:pt idx="167">
                  <c:v>53.401186449375679</c:v>
                </c:pt>
                <c:pt idx="168">
                  <c:v>55.83781218110969</c:v>
                </c:pt>
                <c:pt idx="169">
                  <c:v>57.195184425076398</c:v>
                </c:pt>
                <c:pt idx="170">
                  <c:v>32.265165464012711</c:v>
                </c:pt>
                <c:pt idx="171">
                  <c:v>23.21977257554515</c:v>
                </c:pt>
                <c:pt idx="172">
                  <c:v>44.973333795146054</c:v>
                </c:pt>
                <c:pt idx="173">
                  <c:v>42.421050622410476</c:v>
                </c:pt>
                <c:pt idx="174">
                  <c:v>40.012669424370486</c:v>
                </c:pt>
                <c:pt idx="175">
                  <c:v>34.723317622931191</c:v>
                </c:pt>
                <c:pt idx="176">
                  <c:v>12.327997751254712</c:v>
                </c:pt>
                <c:pt idx="177">
                  <c:v>14.979524241190511</c:v>
                </c:pt>
                <c:pt idx="178">
                  <c:v>59.425219027066483</c:v>
                </c:pt>
                <c:pt idx="179">
                  <c:v>57.720835736711308</c:v>
                </c:pt>
                <c:pt idx="180">
                  <c:v>14.234796993273996</c:v>
                </c:pt>
                <c:pt idx="181">
                  <c:v>51.343568696700856</c:v>
                </c:pt>
                <c:pt idx="182">
                  <c:v>56.716743469881791</c:v>
                </c:pt>
                <c:pt idx="183">
                  <c:v>46.721332372404952</c:v>
                </c:pt>
                <c:pt idx="184">
                  <c:v>45.201683993978257</c:v>
                </c:pt>
                <c:pt idx="185">
                  <c:v>56.662670357429725</c:v>
                </c:pt>
                <c:pt idx="186">
                  <c:v>48.163628594611367</c:v>
                </c:pt>
                <c:pt idx="187">
                  <c:v>56.09996467457497</c:v>
                </c:pt>
                <c:pt idx="188">
                  <c:v>58.516374041101372</c:v>
                </c:pt>
                <c:pt idx="189">
                  <c:v>57.832002144482551</c:v>
                </c:pt>
                <c:pt idx="190">
                  <c:v>57.281815588820017</c:v>
                </c:pt>
                <c:pt idx="191">
                  <c:v>55.776789641830192</c:v>
                </c:pt>
                <c:pt idx="192">
                  <c:v>55.534843072392732</c:v>
                </c:pt>
                <c:pt idx="193">
                  <c:v>55.252060874593944</c:v>
                </c:pt>
                <c:pt idx="194">
                  <c:v>54.673685139660527</c:v>
                </c:pt>
                <c:pt idx="195">
                  <c:v>52.869164312676219</c:v>
                </c:pt>
                <c:pt idx="196">
                  <c:v>54.406649141405595</c:v>
                </c:pt>
                <c:pt idx="197">
                  <c:v>53.927459605910293</c:v>
                </c:pt>
                <c:pt idx="198">
                  <c:v>54.899046063329855</c:v>
                </c:pt>
                <c:pt idx="199">
                  <c:v>45.366090529473915</c:v>
                </c:pt>
                <c:pt idx="200">
                  <c:v>44.922850665027333</c:v>
                </c:pt>
                <c:pt idx="201">
                  <c:v>53.124074767479954</c:v>
                </c:pt>
                <c:pt idx="202">
                  <c:v>42.893817977878001</c:v>
                </c:pt>
                <c:pt idx="203">
                  <c:v>49.289377511686354</c:v>
                </c:pt>
                <c:pt idx="204">
                  <c:v>53.358055841662171</c:v>
                </c:pt>
                <c:pt idx="205">
                  <c:v>27.191098861059107</c:v>
                </c:pt>
                <c:pt idx="206">
                  <c:v>57.661340640968142</c:v>
                </c:pt>
                <c:pt idx="207">
                  <c:v>57.700460386004423</c:v>
                </c:pt>
                <c:pt idx="208">
                  <c:v>44.98743461965865</c:v>
                </c:pt>
                <c:pt idx="209">
                  <c:v>32.13136575575755</c:v>
                </c:pt>
                <c:pt idx="210">
                  <c:v>49.695236947459058</c:v>
                </c:pt>
                <c:pt idx="211">
                  <c:v>55.177926225952724</c:v>
                </c:pt>
                <c:pt idx="212">
                  <c:v>54.803768251512842</c:v>
                </c:pt>
                <c:pt idx="213">
                  <c:v>54.79232977187128</c:v>
                </c:pt>
                <c:pt idx="214">
                  <c:v>51.742053620462748</c:v>
                </c:pt>
                <c:pt idx="215">
                  <c:v>50.975034882218694</c:v>
                </c:pt>
                <c:pt idx="216">
                  <c:v>46.29200317361375</c:v>
                </c:pt>
                <c:pt idx="217">
                  <c:v>50.831593050843075</c:v>
                </c:pt>
                <c:pt idx="218">
                  <c:v>53.490518389359615</c:v>
                </c:pt>
                <c:pt idx="219">
                  <c:v>53.941042478391182</c:v>
                </c:pt>
                <c:pt idx="220">
                  <c:v>51.916678596550867</c:v>
                </c:pt>
                <c:pt idx="221">
                  <c:v>49.059877442519692</c:v>
                </c:pt>
                <c:pt idx="222">
                  <c:v>47.44003990958592</c:v>
                </c:pt>
                <c:pt idx="223">
                  <c:v>48.38364587442998</c:v>
                </c:pt>
                <c:pt idx="224">
                  <c:v>36.412698637239394</c:v>
                </c:pt>
                <c:pt idx="225">
                  <c:v>34.563280968213682</c:v>
                </c:pt>
                <c:pt idx="226">
                  <c:v>39.153724950291441</c:v>
                </c:pt>
                <c:pt idx="227">
                  <c:v>36.214142507174046</c:v>
                </c:pt>
                <c:pt idx="228">
                  <c:v>29.054791496115961</c:v>
                </c:pt>
                <c:pt idx="229">
                  <c:v>36.863400279488758</c:v>
                </c:pt>
                <c:pt idx="230">
                  <c:v>41.990888117117272</c:v>
                </c:pt>
                <c:pt idx="231">
                  <c:v>50.427050566158044</c:v>
                </c:pt>
                <c:pt idx="232">
                  <c:v>34.063442677546526</c:v>
                </c:pt>
                <c:pt idx="233">
                  <c:v>27.147921245381632</c:v>
                </c:pt>
                <c:pt idx="234">
                  <c:v>49.234166388931676</c:v>
                </c:pt>
                <c:pt idx="235">
                  <c:v>46.937431890701681</c:v>
                </c:pt>
                <c:pt idx="236">
                  <c:v>32.908373325578452</c:v>
                </c:pt>
                <c:pt idx="237">
                  <c:v>43.702569008400687</c:v>
                </c:pt>
                <c:pt idx="238">
                  <c:v>49.700112319156105</c:v>
                </c:pt>
                <c:pt idx="239">
                  <c:v>48.619104380746947</c:v>
                </c:pt>
                <c:pt idx="240">
                  <c:v>33.268682893253683</c:v>
                </c:pt>
                <c:pt idx="241">
                  <c:v>48.298251454784811</c:v>
                </c:pt>
                <c:pt idx="242">
                  <c:v>24.947462790816235</c:v>
                </c:pt>
                <c:pt idx="243">
                  <c:v>40.837130679170507</c:v>
                </c:pt>
                <c:pt idx="244">
                  <c:v>39.30274538074373</c:v>
                </c:pt>
                <c:pt idx="245">
                  <c:v>38.372368672703011</c:v>
                </c:pt>
                <c:pt idx="246">
                  <c:v>46.377161444495556</c:v>
                </c:pt>
                <c:pt idx="247">
                  <c:v>40.537623237173172</c:v>
                </c:pt>
                <c:pt idx="248">
                  <c:v>45.874519969581591</c:v>
                </c:pt>
                <c:pt idx="249">
                  <c:v>36.519394113092126</c:v>
                </c:pt>
                <c:pt idx="250">
                  <c:v>35.492698538456537</c:v>
                </c:pt>
                <c:pt idx="251">
                  <c:v>23.771426231750361</c:v>
                </c:pt>
                <c:pt idx="252">
                  <c:v>47.022176781129801</c:v>
                </c:pt>
                <c:pt idx="253">
                  <c:v>46.444126907882293</c:v>
                </c:pt>
                <c:pt idx="254">
                  <c:v>33.711790348003404</c:v>
                </c:pt>
                <c:pt idx="255">
                  <c:v>14.310301151491499</c:v>
                </c:pt>
                <c:pt idx="256">
                  <c:v>35.885367616101057</c:v>
                </c:pt>
                <c:pt idx="257">
                  <c:v>41.099632062327075</c:v>
                </c:pt>
                <c:pt idx="258">
                  <c:v>32.838716609629905</c:v>
                </c:pt>
                <c:pt idx="259">
                  <c:v>45.88943352186125</c:v>
                </c:pt>
                <c:pt idx="260">
                  <c:v>45.8831120166749</c:v>
                </c:pt>
                <c:pt idx="261">
                  <c:v>45.261445890019367</c:v>
                </c:pt>
                <c:pt idx="262">
                  <c:v>46.985608861101902</c:v>
                </c:pt>
                <c:pt idx="263">
                  <c:v>45.777288672078981</c:v>
                </c:pt>
                <c:pt idx="264">
                  <c:v>44.298444018162598</c:v>
                </c:pt>
                <c:pt idx="265">
                  <c:v>28.116936989728011</c:v>
                </c:pt>
                <c:pt idx="266">
                  <c:v>17.032512985690776</c:v>
                </c:pt>
                <c:pt idx="267">
                  <c:v>35.870090210395063</c:v>
                </c:pt>
                <c:pt idx="268">
                  <c:v>32.84378873476453</c:v>
                </c:pt>
                <c:pt idx="269">
                  <c:v>17.416495097655694</c:v>
                </c:pt>
                <c:pt idx="270">
                  <c:v>19.741054591734006</c:v>
                </c:pt>
                <c:pt idx="271">
                  <c:v>23.720292544305135</c:v>
                </c:pt>
                <c:pt idx="272">
                  <c:v>28.149521195256742</c:v>
                </c:pt>
                <c:pt idx="273">
                  <c:v>36.782825377361029</c:v>
                </c:pt>
                <c:pt idx="274">
                  <c:v>39.223574852541553</c:v>
                </c:pt>
                <c:pt idx="275">
                  <c:v>37.866541459604875</c:v>
                </c:pt>
                <c:pt idx="276">
                  <c:v>41.714442738563115</c:v>
                </c:pt>
                <c:pt idx="277">
                  <c:v>42.531455409977482</c:v>
                </c:pt>
                <c:pt idx="278">
                  <c:v>11.749623656368836</c:v>
                </c:pt>
                <c:pt idx="279">
                  <c:v>29.515525836262434</c:v>
                </c:pt>
                <c:pt idx="280">
                  <c:v>17.035106109523401</c:v>
                </c:pt>
                <c:pt idx="281">
                  <c:v>38.898262150462486</c:v>
                </c:pt>
                <c:pt idx="282">
                  <c:v>31.230406549347499</c:v>
                </c:pt>
                <c:pt idx="283">
                  <c:v>22.717204316511221</c:v>
                </c:pt>
                <c:pt idx="284">
                  <c:v>28.198193600957172</c:v>
                </c:pt>
                <c:pt idx="285">
                  <c:v>23.611780246839274</c:v>
                </c:pt>
                <c:pt idx="286">
                  <c:v>18.355523388265151</c:v>
                </c:pt>
                <c:pt idx="287">
                  <c:v>37.720238541528609</c:v>
                </c:pt>
                <c:pt idx="288">
                  <c:v>33.295390868965612</c:v>
                </c:pt>
                <c:pt idx="289">
                  <c:v>19.767828375183033</c:v>
                </c:pt>
                <c:pt idx="290">
                  <c:v>34.872499876127641</c:v>
                </c:pt>
                <c:pt idx="291">
                  <c:v>16.210307884239274</c:v>
                </c:pt>
                <c:pt idx="292">
                  <c:v>6.8267069101163473</c:v>
                </c:pt>
                <c:pt idx="293">
                  <c:v>16.615404143791501</c:v>
                </c:pt>
                <c:pt idx="294">
                  <c:v>33.571633067638061</c:v>
                </c:pt>
                <c:pt idx="295">
                  <c:v>17.255463097535191</c:v>
                </c:pt>
                <c:pt idx="296">
                  <c:v>25.532170783392605</c:v>
                </c:pt>
                <c:pt idx="297">
                  <c:v>22.576047110573786</c:v>
                </c:pt>
                <c:pt idx="298">
                  <c:v>12.585970060211491</c:v>
                </c:pt>
                <c:pt idx="299">
                  <c:v>14.561202348529529</c:v>
                </c:pt>
                <c:pt idx="300">
                  <c:v>17.517567079268041</c:v>
                </c:pt>
                <c:pt idx="301">
                  <c:v>27.20760206387089</c:v>
                </c:pt>
                <c:pt idx="302">
                  <c:v>23.393056622903988</c:v>
                </c:pt>
                <c:pt idx="303">
                  <c:v>22.251257525860133</c:v>
                </c:pt>
                <c:pt idx="304">
                  <c:v>19.726377164814679</c:v>
                </c:pt>
                <c:pt idx="305">
                  <c:v>29.266303224539559</c:v>
                </c:pt>
                <c:pt idx="306">
                  <c:v>10.273878726440978</c:v>
                </c:pt>
                <c:pt idx="307">
                  <c:v>17.744414172957217</c:v>
                </c:pt>
                <c:pt idx="308">
                  <c:v>30.227868071981547</c:v>
                </c:pt>
                <c:pt idx="309">
                  <c:v>30.186505771678746</c:v>
                </c:pt>
                <c:pt idx="310">
                  <c:v>28.316888550467823</c:v>
                </c:pt>
                <c:pt idx="311">
                  <c:v>20.42145079641714</c:v>
                </c:pt>
                <c:pt idx="312">
                  <c:v>10.059560972133829</c:v>
                </c:pt>
                <c:pt idx="313">
                  <c:v>20.312467703880714</c:v>
                </c:pt>
                <c:pt idx="314">
                  <c:v>27.787415170399882</c:v>
                </c:pt>
                <c:pt idx="315">
                  <c:v>27.365488615282725</c:v>
                </c:pt>
                <c:pt idx="316">
                  <c:v>26.319926118600492</c:v>
                </c:pt>
                <c:pt idx="317">
                  <c:v>9.7462088691509106</c:v>
                </c:pt>
                <c:pt idx="318">
                  <c:v>12.5069327485943</c:v>
                </c:pt>
                <c:pt idx="319">
                  <c:v>26.929085620200777</c:v>
                </c:pt>
                <c:pt idx="320">
                  <c:v>13.786706057472214</c:v>
                </c:pt>
                <c:pt idx="321">
                  <c:v>15.782429779990284</c:v>
                </c:pt>
                <c:pt idx="322">
                  <c:v>7.2129940991236641</c:v>
                </c:pt>
                <c:pt idx="323">
                  <c:v>15.873131148631959</c:v>
                </c:pt>
                <c:pt idx="324">
                  <c:v>3.1883852849003955</c:v>
                </c:pt>
                <c:pt idx="325">
                  <c:v>7.8882181130150153</c:v>
                </c:pt>
                <c:pt idx="326">
                  <c:v>13.229766479222889</c:v>
                </c:pt>
                <c:pt idx="327">
                  <c:v>13.884318691648971</c:v>
                </c:pt>
                <c:pt idx="328">
                  <c:v>4.8114839102873637</c:v>
                </c:pt>
                <c:pt idx="329">
                  <c:v>11.056619681132986</c:v>
                </c:pt>
                <c:pt idx="330">
                  <c:v>14.555507994925772</c:v>
                </c:pt>
                <c:pt idx="331">
                  <c:v>10.560393359356535</c:v>
                </c:pt>
                <c:pt idx="332">
                  <c:v>15.380906101552288</c:v>
                </c:pt>
                <c:pt idx="333">
                  <c:v>4.0195099735307149</c:v>
                </c:pt>
                <c:pt idx="334">
                  <c:v>3.8049097268431979</c:v>
                </c:pt>
                <c:pt idx="335">
                  <c:v>5.7165667017787776</c:v>
                </c:pt>
                <c:pt idx="336">
                  <c:v>9.5811241396642846</c:v>
                </c:pt>
                <c:pt idx="337">
                  <c:v>17.571578663935018</c:v>
                </c:pt>
                <c:pt idx="338">
                  <c:v>23.295845555346144</c:v>
                </c:pt>
                <c:pt idx="339">
                  <c:v>11.452452099764605</c:v>
                </c:pt>
                <c:pt idx="340">
                  <c:v>20.637844798750539</c:v>
                </c:pt>
                <c:pt idx="341">
                  <c:v>4.1450628875265547</c:v>
                </c:pt>
                <c:pt idx="342">
                  <c:v>5.059042217972574</c:v>
                </c:pt>
                <c:pt idx="343">
                  <c:v>12.247251196397295</c:v>
                </c:pt>
                <c:pt idx="344">
                  <c:v>17.524652820144063</c:v>
                </c:pt>
                <c:pt idx="345">
                  <c:v>5.3561272637156909</c:v>
                </c:pt>
                <c:pt idx="346">
                  <c:v>5.4228663625803302</c:v>
                </c:pt>
                <c:pt idx="347">
                  <c:v>17.316190267829196</c:v>
                </c:pt>
                <c:pt idx="348">
                  <c:v>5.9179172813851757</c:v>
                </c:pt>
                <c:pt idx="349">
                  <c:v>5.2269505887474299</c:v>
                </c:pt>
                <c:pt idx="350">
                  <c:v>3.5436786503983844</c:v>
                </c:pt>
                <c:pt idx="351">
                  <c:v>21.138101660662112</c:v>
                </c:pt>
                <c:pt idx="352">
                  <c:v>17.987446510804435</c:v>
                </c:pt>
                <c:pt idx="353">
                  <c:v>4.5848387603970657</c:v>
                </c:pt>
                <c:pt idx="354">
                  <c:v>20.991394274306558</c:v>
                </c:pt>
                <c:pt idx="355">
                  <c:v>17.747610825463834</c:v>
                </c:pt>
                <c:pt idx="356">
                  <c:v>17.985836018346834</c:v>
                </c:pt>
                <c:pt idx="357">
                  <c:v>21.375487192049579</c:v>
                </c:pt>
                <c:pt idx="358">
                  <c:v>12.075981069639873</c:v>
                </c:pt>
                <c:pt idx="359">
                  <c:v>20.876661957507881</c:v>
                </c:pt>
                <c:pt idx="360">
                  <c:v>7.0735926825659687</c:v>
                </c:pt>
                <c:pt idx="361">
                  <c:v>21.958551648586855</c:v>
                </c:pt>
                <c:pt idx="362">
                  <c:v>10.428866232091195</c:v>
                </c:pt>
                <c:pt idx="363">
                  <c:v>14.128951233010516</c:v>
                </c:pt>
                <c:pt idx="364">
                  <c:v>11.688848078017312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22.796430115802789</c:v>
                </c:pt>
                <c:pt idx="1">
                  <c:v>15.721816583994677</c:v>
                </c:pt>
                <c:pt idx="2">
                  <c:v>16.975604661634019</c:v>
                </c:pt>
                <c:pt idx="3">
                  <c:v>18.038744898918807</c:v>
                </c:pt>
                <c:pt idx="4">
                  <c:v>14.265218015708202</c:v>
                </c:pt>
                <c:pt idx="5">
                  <c:v>20.471087790999245</c:v>
                </c:pt>
                <c:pt idx="6">
                  <c:v>10.038719332063106</c:v>
                </c:pt>
                <c:pt idx="7">
                  <c:v>7.1446926186300601</c:v>
                </c:pt>
                <c:pt idx="8">
                  <c:v>2.133126596072155</c:v>
                </c:pt>
                <c:pt idx="9">
                  <c:v>1.7494170998254119</c:v>
                </c:pt>
                <c:pt idx="10">
                  <c:v>24.525084142632451</c:v>
                </c:pt>
                <c:pt idx="11">
                  <c:v>21.320641318613969</c:v>
                </c:pt>
                <c:pt idx="12">
                  <c:v>5.4658412003451362</c:v>
                </c:pt>
                <c:pt idx="13">
                  <c:v>25.940650933407969</c:v>
                </c:pt>
                <c:pt idx="14">
                  <c:v>26.24765213328434</c:v>
                </c:pt>
                <c:pt idx="15">
                  <c:v>25.682126828667705</c:v>
                </c:pt>
                <c:pt idx="16">
                  <c:v>11.860460619506796</c:v>
                </c:pt>
                <c:pt idx="17">
                  <c:v>3.768234485853085</c:v>
                </c:pt>
                <c:pt idx="18">
                  <c:v>10.282804106051749</c:v>
                </c:pt>
                <c:pt idx="19">
                  <c:v>6.4403024690695334</c:v>
                </c:pt>
                <c:pt idx="20">
                  <c:v>20.536029412756871</c:v>
                </c:pt>
                <c:pt idx="21">
                  <c:v>27.415811159876206</c:v>
                </c:pt>
                <c:pt idx="22">
                  <c:v>27.54063685075706</c:v>
                </c:pt>
                <c:pt idx="23">
                  <c:v>28.078161485133879</c:v>
                </c:pt>
                <c:pt idx="24">
                  <c:v>27.153830414587929</c:v>
                </c:pt>
                <c:pt idx="25">
                  <c:v>27.818174180653656</c:v>
                </c:pt>
                <c:pt idx="26">
                  <c:v>26.585521219970044</c:v>
                </c:pt>
                <c:pt idx="27">
                  <c:v>4.2019819852035205</c:v>
                </c:pt>
                <c:pt idx="28">
                  <c:v>8.8701205342338234</c:v>
                </c:pt>
                <c:pt idx="29">
                  <c:v>4.5814301919348051</c:v>
                </c:pt>
                <c:pt idx="30">
                  <c:v>7.5980569430491949</c:v>
                </c:pt>
                <c:pt idx="31">
                  <c:v>12.610248709119007</c:v>
                </c:pt>
                <c:pt idx="32">
                  <c:v>5.3241232669515561</c:v>
                </c:pt>
                <c:pt idx="33">
                  <c:v>10.450267383026837</c:v>
                </c:pt>
                <c:pt idx="34">
                  <c:v>10.294122266180329</c:v>
                </c:pt>
                <c:pt idx="35">
                  <c:v>9.0466313840157664</c:v>
                </c:pt>
                <c:pt idx="36">
                  <c:v>21.078590837743022</c:v>
                </c:pt>
                <c:pt idx="37">
                  <c:v>8.8844567144067934</c:v>
                </c:pt>
                <c:pt idx="38">
                  <c:v>32.952783219047866</c:v>
                </c:pt>
                <c:pt idx="39">
                  <c:v>33.237964729232431</c:v>
                </c:pt>
                <c:pt idx="40">
                  <c:v>30.999351521098735</c:v>
                </c:pt>
                <c:pt idx="41">
                  <c:v>17.173889404731771</c:v>
                </c:pt>
                <c:pt idx="42">
                  <c:v>26.319198068280677</c:v>
                </c:pt>
                <c:pt idx="43">
                  <c:v>32.203386542632018</c:v>
                </c:pt>
                <c:pt idx="44">
                  <c:v>15.120038219599808</c:v>
                </c:pt>
                <c:pt idx="45">
                  <c:v>18.238010188784468</c:v>
                </c:pt>
                <c:pt idx="46">
                  <c:v>8.9716204166652318</c:v>
                </c:pt>
                <c:pt idx="47">
                  <c:v>11.178610780972081</c:v>
                </c:pt>
                <c:pt idx="48">
                  <c:v>28.861403556823792</c:v>
                </c:pt>
                <c:pt idx="49">
                  <c:v>19.584927418250338</c:v>
                </c:pt>
                <c:pt idx="50">
                  <c:v>19.468170932844945</c:v>
                </c:pt>
                <c:pt idx="51">
                  <c:v>21.556358958024443</c:v>
                </c:pt>
                <c:pt idx="52">
                  <c:v>32.944183743903565</c:v>
                </c:pt>
                <c:pt idx="53">
                  <c:v>34.62120848217436</c:v>
                </c:pt>
                <c:pt idx="54">
                  <c:v>21.553012638795472</c:v>
                </c:pt>
                <c:pt idx="55">
                  <c:v>30.867054832951091</c:v>
                </c:pt>
                <c:pt idx="56">
                  <c:v>39.124208667251253</c:v>
                </c:pt>
                <c:pt idx="57">
                  <c:v>27.969126094424023</c:v>
                </c:pt>
                <c:pt idx="58">
                  <c:v>33.768785690081941</c:v>
                </c:pt>
                <c:pt idx="59">
                  <c:v>39.183237493148013</c:v>
                </c:pt>
                <c:pt idx="60">
                  <c:v>11.418129517395851</c:v>
                </c:pt>
                <c:pt idx="61">
                  <c:v>35.038589196919538</c:v>
                </c:pt>
                <c:pt idx="62">
                  <c:v>3.7655097377478541</c:v>
                </c:pt>
                <c:pt idx="63">
                  <c:v>12.966877352053025</c:v>
                </c:pt>
                <c:pt idx="64">
                  <c:v>15.634534594805267</c:v>
                </c:pt>
                <c:pt idx="65">
                  <c:v>38.516395558852771</c:v>
                </c:pt>
                <c:pt idx="66">
                  <c:v>31.3929686974307</c:v>
                </c:pt>
                <c:pt idx="67">
                  <c:v>30.609310443287633</c:v>
                </c:pt>
                <c:pt idx="68">
                  <c:v>24.368490941662358</c:v>
                </c:pt>
                <c:pt idx="69">
                  <c:v>15.114026511191593</c:v>
                </c:pt>
                <c:pt idx="70">
                  <c:v>15.731899074626908</c:v>
                </c:pt>
                <c:pt idx="71">
                  <c:v>8.8220972049887312</c:v>
                </c:pt>
                <c:pt idx="72">
                  <c:v>14.215332481548367</c:v>
                </c:pt>
                <c:pt idx="73">
                  <c:v>13.531504242677672</c:v>
                </c:pt>
                <c:pt idx="74">
                  <c:v>13.50540106687388</c:v>
                </c:pt>
                <c:pt idx="75">
                  <c:v>11.34303006399802</c:v>
                </c:pt>
                <c:pt idx="76">
                  <c:v>14.664661459620328</c:v>
                </c:pt>
                <c:pt idx="77">
                  <c:v>28.01916877728226</c:v>
                </c:pt>
                <c:pt idx="78">
                  <c:v>31.1134228044764</c:v>
                </c:pt>
                <c:pt idx="79">
                  <c:v>44.044976768013925</c:v>
                </c:pt>
                <c:pt idx="80">
                  <c:v>41.81826121008865</c:v>
                </c:pt>
                <c:pt idx="81">
                  <c:v>47.667627580816244</c:v>
                </c:pt>
                <c:pt idx="82">
                  <c:v>46.886576386463595</c:v>
                </c:pt>
                <c:pt idx="83">
                  <c:v>41.726639613243158</c:v>
                </c:pt>
                <c:pt idx="84">
                  <c:v>46.192066664938174</c:v>
                </c:pt>
                <c:pt idx="85">
                  <c:v>44.660068276507602</c:v>
                </c:pt>
                <c:pt idx="86">
                  <c:v>14.381646444316775</c:v>
                </c:pt>
                <c:pt idx="87">
                  <c:v>27.603550480290071</c:v>
                </c:pt>
                <c:pt idx="88">
                  <c:v>7.7400036788139399</c:v>
                </c:pt>
                <c:pt idx="89">
                  <c:v>27.595285193681779</c:v>
                </c:pt>
                <c:pt idx="90">
                  <c:v>32.314521408023971</c:v>
                </c:pt>
                <c:pt idx="91">
                  <c:v>20.173130623737812</c:v>
                </c:pt>
                <c:pt idx="92">
                  <c:v>22.443083728065041</c:v>
                </c:pt>
                <c:pt idx="93">
                  <c:v>45.178507090898009</c:v>
                </c:pt>
                <c:pt idx="94">
                  <c:v>51.842717054718875</c:v>
                </c:pt>
                <c:pt idx="95">
                  <c:v>11.221795355331274</c:v>
                </c:pt>
                <c:pt idx="96">
                  <c:v>37.671117189289099</c:v>
                </c:pt>
                <c:pt idx="97">
                  <c:v>30.605446436652148</c:v>
                </c:pt>
                <c:pt idx="98">
                  <c:v>35.90652513316828</c:v>
                </c:pt>
                <c:pt idx="99">
                  <c:v>52.505144971600608</c:v>
                </c:pt>
                <c:pt idx="100">
                  <c:v>43.5171048949408</c:v>
                </c:pt>
                <c:pt idx="101">
                  <c:v>37.167426361261924</c:v>
                </c:pt>
                <c:pt idx="102">
                  <c:v>7.9427707621404116</c:v>
                </c:pt>
                <c:pt idx="103">
                  <c:v>40.202338466586518</c:v>
                </c:pt>
                <c:pt idx="104">
                  <c:v>43.869563350674007</c:v>
                </c:pt>
                <c:pt idx="105">
                  <c:v>45.517994988491665</c:v>
                </c:pt>
                <c:pt idx="106">
                  <c:v>53.425804540452241</c:v>
                </c:pt>
                <c:pt idx="107">
                  <c:v>39.522540930170855</c:v>
                </c:pt>
                <c:pt idx="108">
                  <c:v>9.2386888742274564</c:v>
                </c:pt>
                <c:pt idx="109">
                  <c:v>9.6390080603159465</c:v>
                </c:pt>
                <c:pt idx="110">
                  <c:v>9.2784653937839092</c:v>
                </c:pt>
                <c:pt idx="111">
                  <c:v>26.967817916000023</c:v>
                </c:pt>
                <c:pt idx="112">
                  <c:v>8.9815244045856826</c:v>
                </c:pt>
                <c:pt idx="113">
                  <c:v>31.035793269417944</c:v>
                </c:pt>
                <c:pt idx="114">
                  <c:v>46.971451911517583</c:v>
                </c:pt>
                <c:pt idx="115">
                  <c:v>53.854415338029355</c:v>
                </c:pt>
                <c:pt idx="116">
                  <c:v>39.093828614582513</c:v>
                </c:pt>
                <c:pt idx="117">
                  <c:v>23.556065511655031</c:v>
                </c:pt>
                <c:pt idx="118">
                  <c:v>43.082122343864086</c:v>
                </c:pt>
                <c:pt idx="119">
                  <c:v>47.740803619816326</c:v>
                </c:pt>
                <c:pt idx="120">
                  <c:v>48.305022660729136</c:v>
                </c:pt>
                <c:pt idx="121">
                  <c:v>28.698656392367774</c:v>
                </c:pt>
                <c:pt idx="122">
                  <c:v>40.056515010092518</c:v>
                </c:pt>
                <c:pt idx="123">
                  <c:v>21.690928203272975</c:v>
                </c:pt>
                <c:pt idx="124">
                  <c:v>44.495126743426439</c:v>
                </c:pt>
                <c:pt idx="125">
                  <c:v>39.046103014273328</c:v>
                </c:pt>
                <c:pt idx="126">
                  <c:v>53.418147899821697</c:v>
                </c:pt>
                <c:pt idx="127">
                  <c:v>49.257479646014204</c:v>
                </c:pt>
                <c:pt idx="128">
                  <c:v>56.56257642304422</c:v>
                </c:pt>
                <c:pt idx="129">
                  <c:v>52.8355782034713</c:v>
                </c:pt>
                <c:pt idx="130">
                  <c:v>56.973780270858363</c:v>
                </c:pt>
                <c:pt idx="131">
                  <c:v>42.477254080320456</c:v>
                </c:pt>
                <c:pt idx="132">
                  <c:v>44.491892738919717</c:v>
                </c:pt>
                <c:pt idx="133">
                  <c:v>50.699216411806283</c:v>
                </c:pt>
                <c:pt idx="134">
                  <c:v>53.352671618519764</c:v>
                </c:pt>
                <c:pt idx="135">
                  <c:v>51.75607701209811</c:v>
                </c:pt>
                <c:pt idx="136">
                  <c:v>55.199057406879035</c:v>
                </c:pt>
                <c:pt idx="137">
                  <c:v>53.388545969433196</c:v>
                </c:pt>
                <c:pt idx="138">
                  <c:v>56.123660685573533</c:v>
                </c:pt>
                <c:pt idx="139">
                  <c:v>50.080610789094855</c:v>
                </c:pt>
                <c:pt idx="140">
                  <c:v>50.177799740891174</c:v>
                </c:pt>
                <c:pt idx="141">
                  <c:v>38.115103037053139</c:v>
                </c:pt>
                <c:pt idx="142">
                  <c:v>20.124173139879574</c:v>
                </c:pt>
                <c:pt idx="143">
                  <c:v>16.636435018182617</c:v>
                </c:pt>
                <c:pt idx="144">
                  <c:v>41.848715513938451</c:v>
                </c:pt>
                <c:pt idx="145">
                  <c:v>25.438823415761377</c:v>
                </c:pt>
                <c:pt idx="146">
                  <c:v>46.835667866191287</c:v>
                </c:pt>
                <c:pt idx="147">
                  <c:v>56.333235612446202</c:v>
                </c:pt>
                <c:pt idx="148">
                  <c:v>60.909884882304148</c:v>
                </c:pt>
                <c:pt idx="149">
                  <c:v>51.681568848342401</c:v>
                </c:pt>
                <c:pt idx="150">
                  <c:v>56.024860605781299</c:v>
                </c:pt>
                <c:pt idx="151">
                  <c:v>57.088526945779755</c:v>
                </c:pt>
                <c:pt idx="152">
                  <c:v>45.530577221142899</c:v>
                </c:pt>
                <c:pt idx="153">
                  <c:v>55.690250084550016</c:v>
                </c:pt>
                <c:pt idx="154">
                  <c:v>26.549011175113232</c:v>
                </c:pt>
                <c:pt idx="155">
                  <c:v>36.583259919300588</c:v>
                </c:pt>
                <c:pt idx="156">
                  <c:v>47.719127515018343</c:v>
                </c:pt>
                <c:pt idx="157">
                  <c:v>28.946684335743971</c:v>
                </c:pt>
                <c:pt idx="158">
                  <c:v>21.580442047774152</c:v>
                </c:pt>
                <c:pt idx="159">
                  <c:v>47.017048360755439</c:v>
                </c:pt>
                <c:pt idx="160">
                  <c:v>58.654609809826596</c:v>
                </c:pt>
                <c:pt idx="161">
                  <c:v>56.681772780203048</c:v>
                </c:pt>
                <c:pt idx="162">
                  <c:v>43.99895060948193</c:v>
                </c:pt>
                <c:pt idx="163">
                  <c:v>55.332179985276682</c:v>
                </c:pt>
                <c:pt idx="164">
                  <c:v>49.188152743567919</c:v>
                </c:pt>
                <c:pt idx="165">
                  <c:v>55.450797063204561</c:v>
                </c:pt>
                <c:pt idx="166">
                  <c:v>53.25824552916535</c:v>
                </c:pt>
                <c:pt idx="167">
                  <c:v>53.401186449375679</c:v>
                </c:pt>
                <c:pt idx="168">
                  <c:v>55.83781218110969</c:v>
                </c:pt>
                <c:pt idx="169">
                  <c:v>57.195184425076398</c:v>
                </c:pt>
                <c:pt idx="170">
                  <c:v>32.265165464012711</c:v>
                </c:pt>
                <c:pt idx="171">
                  <c:v>23.21977257554515</c:v>
                </c:pt>
                <c:pt idx="172">
                  <c:v>44.973333795146054</c:v>
                </c:pt>
                <c:pt idx="173">
                  <c:v>42.421050622410476</c:v>
                </c:pt>
                <c:pt idx="174">
                  <c:v>40.012669424370486</c:v>
                </c:pt>
                <c:pt idx="175">
                  <c:v>34.723317622931191</c:v>
                </c:pt>
                <c:pt idx="176">
                  <c:v>12.327997751254712</c:v>
                </c:pt>
                <c:pt idx="177">
                  <c:v>14.979524241190511</c:v>
                </c:pt>
                <c:pt idx="178">
                  <c:v>59.425219027066483</c:v>
                </c:pt>
                <c:pt idx="179">
                  <c:v>57.720835736711308</c:v>
                </c:pt>
                <c:pt idx="180">
                  <c:v>14.234796993273996</c:v>
                </c:pt>
                <c:pt idx="181">
                  <c:v>51.343568696700856</c:v>
                </c:pt>
                <c:pt idx="182">
                  <c:v>56.716743469881791</c:v>
                </c:pt>
                <c:pt idx="183">
                  <c:v>46.721332372404952</c:v>
                </c:pt>
                <c:pt idx="184">
                  <c:v>45.201683993978257</c:v>
                </c:pt>
                <c:pt idx="185">
                  <c:v>56.662670357429725</c:v>
                </c:pt>
                <c:pt idx="186">
                  <c:v>48.163628594611367</c:v>
                </c:pt>
                <c:pt idx="187">
                  <c:v>56.09996467457497</c:v>
                </c:pt>
                <c:pt idx="188">
                  <c:v>58.516374041101372</c:v>
                </c:pt>
                <c:pt idx="189">
                  <c:v>57.832002144482551</c:v>
                </c:pt>
                <c:pt idx="190">
                  <c:v>57.281815588820017</c:v>
                </c:pt>
                <c:pt idx="191">
                  <c:v>55.776789641830192</c:v>
                </c:pt>
                <c:pt idx="192">
                  <c:v>55.534843072392732</c:v>
                </c:pt>
                <c:pt idx="193">
                  <c:v>55.252060874593944</c:v>
                </c:pt>
                <c:pt idx="194">
                  <c:v>54.673685139660527</c:v>
                </c:pt>
                <c:pt idx="195">
                  <c:v>52.869164312676219</c:v>
                </c:pt>
                <c:pt idx="196">
                  <c:v>54.406649141405595</c:v>
                </c:pt>
                <c:pt idx="197">
                  <c:v>53.927459605910293</c:v>
                </c:pt>
                <c:pt idx="198">
                  <c:v>54.899046063329855</c:v>
                </c:pt>
                <c:pt idx="199">
                  <c:v>45.366090529473915</c:v>
                </c:pt>
                <c:pt idx="200">
                  <c:v>44.922850665027333</c:v>
                </c:pt>
                <c:pt idx="201">
                  <c:v>53.124074767479954</c:v>
                </c:pt>
                <c:pt idx="202">
                  <c:v>42.893817977878001</c:v>
                </c:pt>
                <c:pt idx="203">
                  <c:v>49.289377511686354</c:v>
                </c:pt>
                <c:pt idx="204">
                  <c:v>53.358055841662171</c:v>
                </c:pt>
                <c:pt idx="205">
                  <c:v>27.191098861059107</c:v>
                </c:pt>
                <c:pt idx="206">
                  <c:v>57.661340640968142</c:v>
                </c:pt>
                <c:pt idx="207">
                  <c:v>57.700460386004423</c:v>
                </c:pt>
                <c:pt idx="208">
                  <c:v>44.98743461965865</c:v>
                </c:pt>
                <c:pt idx="209">
                  <c:v>32.13136575575755</c:v>
                </c:pt>
                <c:pt idx="210">
                  <c:v>49.695236947459058</c:v>
                </c:pt>
                <c:pt idx="211">
                  <c:v>55.177926225952724</c:v>
                </c:pt>
                <c:pt idx="212">
                  <c:v>54.803768251512842</c:v>
                </c:pt>
                <c:pt idx="213">
                  <c:v>54.79232977187128</c:v>
                </c:pt>
                <c:pt idx="214">
                  <c:v>51.742053620462748</c:v>
                </c:pt>
                <c:pt idx="215">
                  <c:v>50.975034882218694</c:v>
                </c:pt>
                <c:pt idx="216">
                  <c:v>46.29200317361375</c:v>
                </c:pt>
                <c:pt idx="217">
                  <c:v>50.831593050843075</c:v>
                </c:pt>
                <c:pt idx="218">
                  <c:v>53.490518389359615</c:v>
                </c:pt>
                <c:pt idx="219">
                  <c:v>53.941042478391182</c:v>
                </c:pt>
                <c:pt idx="220">
                  <c:v>51.916678596550867</c:v>
                </c:pt>
                <c:pt idx="221">
                  <c:v>49.059877442519692</c:v>
                </c:pt>
                <c:pt idx="222">
                  <c:v>47.44003990958592</c:v>
                </c:pt>
                <c:pt idx="223">
                  <c:v>48.38364587442998</c:v>
                </c:pt>
                <c:pt idx="224">
                  <c:v>36.412698637239394</c:v>
                </c:pt>
                <c:pt idx="225">
                  <c:v>34.563280968213682</c:v>
                </c:pt>
                <c:pt idx="226">
                  <c:v>39.153724950291441</c:v>
                </c:pt>
                <c:pt idx="227">
                  <c:v>36.214142507174046</c:v>
                </c:pt>
                <c:pt idx="228">
                  <c:v>29.054791496115961</c:v>
                </c:pt>
                <c:pt idx="229">
                  <c:v>36.863400279488758</c:v>
                </c:pt>
                <c:pt idx="230">
                  <c:v>41.990888117117272</c:v>
                </c:pt>
                <c:pt idx="231">
                  <c:v>50.427050566158044</c:v>
                </c:pt>
                <c:pt idx="232">
                  <c:v>34.063442677546526</c:v>
                </c:pt>
                <c:pt idx="233">
                  <c:v>27.147921245381632</c:v>
                </c:pt>
                <c:pt idx="234">
                  <c:v>49.234166388931676</c:v>
                </c:pt>
                <c:pt idx="235">
                  <c:v>46.937431890701681</c:v>
                </c:pt>
                <c:pt idx="236">
                  <c:v>32.908373325578452</c:v>
                </c:pt>
                <c:pt idx="237">
                  <c:v>43.702569008400687</c:v>
                </c:pt>
                <c:pt idx="238">
                  <c:v>49.700112319156105</c:v>
                </c:pt>
                <c:pt idx="239">
                  <c:v>48.619104380746947</c:v>
                </c:pt>
                <c:pt idx="240">
                  <c:v>33.268682893253683</c:v>
                </c:pt>
                <c:pt idx="241">
                  <c:v>48.298251454784811</c:v>
                </c:pt>
                <c:pt idx="242">
                  <c:v>24.947462790816235</c:v>
                </c:pt>
                <c:pt idx="243">
                  <c:v>40.837130679170507</c:v>
                </c:pt>
                <c:pt idx="244">
                  <c:v>39.30274538074373</c:v>
                </c:pt>
                <c:pt idx="245">
                  <c:v>38.372368672703011</c:v>
                </c:pt>
                <c:pt idx="246">
                  <c:v>46.377161444495556</c:v>
                </c:pt>
                <c:pt idx="247">
                  <c:v>40.537623237173172</c:v>
                </c:pt>
                <c:pt idx="248">
                  <c:v>45.874519969581591</c:v>
                </c:pt>
                <c:pt idx="249">
                  <c:v>36.519394113092126</c:v>
                </c:pt>
                <c:pt idx="250">
                  <c:v>35.492698538456537</c:v>
                </c:pt>
                <c:pt idx="251">
                  <c:v>23.771426231750361</c:v>
                </c:pt>
                <c:pt idx="252">
                  <c:v>47.022176781129801</c:v>
                </c:pt>
                <c:pt idx="253">
                  <c:v>46.444126907882293</c:v>
                </c:pt>
                <c:pt idx="254">
                  <c:v>33.711790348003404</c:v>
                </c:pt>
                <c:pt idx="255">
                  <c:v>14.310301151491499</c:v>
                </c:pt>
                <c:pt idx="256">
                  <c:v>35.885367616101057</c:v>
                </c:pt>
                <c:pt idx="257">
                  <c:v>41.099632062327075</c:v>
                </c:pt>
                <c:pt idx="258">
                  <c:v>32.838716609629905</c:v>
                </c:pt>
                <c:pt idx="259">
                  <c:v>45.88943352186125</c:v>
                </c:pt>
                <c:pt idx="260">
                  <c:v>45.8831120166749</c:v>
                </c:pt>
                <c:pt idx="261">
                  <c:v>45.261445890019367</c:v>
                </c:pt>
                <c:pt idx="262">
                  <c:v>46.985608861101902</c:v>
                </c:pt>
                <c:pt idx="263">
                  <c:v>45.777288672078981</c:v>
                </c:pt>
                <c:pt idx="264">
                  <c:v>44.298444018162598</c:v>
                </c:pt>
                <c:pt idx="265">
                  <c:v>28.116936989728011</c:v>
                </c:pt>
                <c:pt idx="266">
                  <c:v>17.032512985690776</c:v>
                </c:pt>
                <c:pt idx="267">
                  <c:v>35.870090210395063</c:v>
                </c:pt>
                <c:pt idx="268">
                  <c:v>32.84378873476453</c:v>
                </c:pt>
                <c:pt idx="269">
                  <c:v>17.416495097655694</c:v>
                </c:pt>
                <c:pt idx="270">
                  <c:v>19.741054591734006</c:v>
                </c:pt>
                <c:pt idx="271">
                  <c:v>23.720292544305135</c:v>
                </c:pt>
                <c:pt idx="272">
                  <c:v>28.149521195256742</c:v>
                </c:pt>
                <c:pt idx="273">
                  <c:v>36.782825377361029</c:v>
                </c:pt>
                <c:pt idx="274">
                  <c:v>39.223574852541553</c:v>
                </c:pt>
                <c:pt idx="275">
                  <c:v>37.866541459604875</c:v>
                </c:pt>
                <c:pt idx="276">
                  <c:v>41.714442738563115</c:v>
                </c:pt>
                <c:pt idx="277">
                  <c:v>42.531455409977482</c:v>
                </c:pt>
                <c:pt idx="278">
                  <c:v>11.749623656368836</c:v>
                </c:pt>
                <c:pt idx="279">
                  <c:v>29.515525836262434</c:v>
                </c:pt>
                <c:pt idx="280">
                  <c:v>17.035106109523401</c:v>
                </c:pt>
                <c:pt idx="281">
                  <c:v>38.898262150462486</c:v>
                </c:pt>
                <c:pt idx="282">
                  <c:v>31.230406549347499</c:v>
                </c:pt>
                <c:pt idx="283">
                  <c:v>22.717204316511221</c:v>
                </c:pt>
                <c:pt idx="284">
                  <c:v>28.198193600957172</c:v>
                </c:pt>
                <c:pt idx="285">
                  <c:v>23.611780246839274</c:v>
                </c:pt>
                <c:pt idx="286">
                  <c:v>18.355523388265151</c:v>
                </c:pt>
                <c:pt idx="287">
                  <c:v>37.720238541528609</c:v>
                </c:pt>
                <c:pt idx="288">
                  <c:v>33.295390868965612</c:v>
                </c:pt>
                <c:pt idx="289">
                  <c:v>19.767828375183033</c:v>
                </c:pt>
                <c:pt idx="290">
                  <c:v>34.872499876127641</c:v>
                </c:pt>
                <c:pt idx="291">
                  <c:v>16.210307884239274</c:v>
                </c:pt>
                <c:pt idx="292">
                  <c:v>6.8267069101163473</c:v>
                </c:pt>
                <c:pt idx="293">
                  <c:v>16.615404143791501</c:v>
                </c:pt>
                <c:pt idx="294">
                  <c:v>33.571633067638061</c:v>
                </c:pt>
                <c:pt idx="295">
                  <c:v>17.255463097535191</c:v>
                </c:pt>
                <c:pt idx="296">
                  <c:v>25.532170783392605</c:v>
                </c:pt>
                <c:pt idx="297">
                  <c:v>22.576047110573786</c:v>
                </c:pt>
                <c:pt idx="298">
                  <c:v>12.585970060211491</c:v>
                </c:pt>
                <c:pt idx="299">
                  <c:v>14.561202348529529</c:v>
                </c:pt>
                <c:pt idx="300">
                  <c:v>17.517567079268041</c:v>
                </c:pt>
                <c:pt idx="301">
                  <c:v>27.20760206387089</c:v>
                </c:pt>
                <c:pt idx="302">
                  <c:v>23.393056622903988</c:v>
                </c:pt>
                <c:pt idx="303">
                  <c:v>22.251257525860133</c:v>
                </c:pt>
                <c:pt idx="304">
                  <c:v>19.726377164814679</c:v>
                </c:pt>
                <c:pt idx="305">
                  <c:v>29.266303224539559</c:v>
                </c:pt>
                <c:pt idx="306">
                  <c:v>10.273878726440978</c:v>
                </c:pt>
                <c:pt idx="307">
                  <c:v>17.744414172957217</c:v>
                </c:pt>
                <c:pt idx="308">
                  <c:v>30.227868071981547</c:v>
                </c:pt>
                <c:pt idx="309">
                  <c:v>30.186505771678746</c:v>
                </c:pt>
                <c:pt idx="310">
                  <c:v>28.316888550467823</c:v>
                </c:pt>
                <c:pt idx="311">
                  <c:v>20.42145079641714</c:v>
                </c:pt>
                <c:pt idx="312">
                  <c:v>10.059560972133829</c:v>
                </c:pt>
                <c:pt idx="313">
                  <c:v>20.312467703880714</c:v>
                </c:pt>
                <c:pt idx="314">
                  <c:v>27.787415170399882</c:v>
                </c:pt>
                <c:pt idx="315">
                  <c:v>27.365488615282725</c:v>
                </c:pt>
                <c:pt idx="316">
                  <c:v>26.319926118600492</c:v>
                </c:pt>
                <c:pt idx="317">
                  <c:v>9.7462088691509106</c:v>
                </c:pt>
                <c:pt idx="318">
                  <c:v>12.5069327485943</c:v>
                </c:pt>
                <c:pt idx="319">
                  <c:v>26.929085620200777</c:v>
                </c:pt>
                <c:pt idx="320">
                  <c:v>13.786706057472214</c:v>
                </c:pt>
                <c:pt idx="321">
                  <c:v>15.782429779990284</c:v>
                </c:pt>
                <c:pt idx="322">
                  <c:v>7.2129940991236641</c:v>
                </c:pt>
                <c:pt idx="323">
                  <c:v>15.873131148631959</c:v>
                </c:pt>
                <c:pt idx="324">
                  <c:v>3.1883852849003955</c:v>
                </c:pt>
                <c:pt idx="325">
                  <c:v>7.8882181130150153</c:v>
                </c:pt>
                <c:pt idx="326">
                  <c:v>13.229766479222889</c:v>
                </c:pt>
                <c:pt idx="327">
                  <c:v>13.884318691648971</c:v>
                </c:pt>
                <c:pt idx="328">
                  <c:v>4.8114839102873637</c:v>
                </c:pt>
                <c:pt idx="329">
                  <c:v>11.056619681132986</c:v>
                </c:pt>
                <c:pt idx="330">
                  <c:v>14.555507994925772</c:v>
                </c:pt>
                <c:pt idx="331">
                  <c:v>10.560393359356535</c:v>
                </c:pt>
                <c:pt idx="332">
                  <c:v>15.380906101552288</c:v>
                </c:pt>
                <c:pt idx="333">
                  <c:v>4.0195099735307149</c:v>
                </c:pt>
                <c:pt idx="334">
                  <c:v>3.8049097268431979</c:v>
                </c:pt>
                <c:pt idx="335">
                  <c:v>5.7165667017787776</c:v>
                </c:pt>
                <c:pt idx="336">
                  <c:v>9.5811241396642846</c:v>
                </c:pt>
                <c:pt idx="337">
                  <c:v>17.571578663935018</c:v>
                </c:pt>
                <c:pt idx="338">
                  <c:v>23.295845555346144</c:v>
                </c:pt>
                <c:pt idx="339">
                  <c:v>11.452452099764605</c:v>
                </c:pt>
                <c:pt idx="340">
                  <c:v>20.637844798750539</c:v>
                </c:pt>
                <c:pt idx="341">
                  <c:v>4.1450628875265547</c:v>
                </c:pt>
                <c:pt idx="342">
                  <c:v>5.059042217972574</c:v>
                </c:pt>
                <c:pt idx="343">
                  <c:v>12.247251196397295</c:v>
                </c:pt>
                <c:pt idx="344">
                  <c:v>17.524652820144063</c:v>
                </c:pt>
                <c:pt idx="345">
                  <c:v>5.3561272637156909</c:v>
                </c:pt>
                <c:pt idx="346">
                  <c:v>5.4228663625803302</c:v>
                </c:pt>
                <c:pt idx="347">
                  <c:v>17.316190267829196</c:v>
                </c:pt>
                <c:pt idx="348">
                  <c:v>5.9179172813851757</c:v>
                </c:pt>
                <c:pt idx="349">
                  <c:v>5.2269505887474299</c:v>
                </c:pt>
                <c:pt idx="350">
                  <c:v>3.5436786503983844</c:v>
                </c:pt>
                <c:pt idx="351">
                  <c:v>21.138101660662112</c:v>
                </c:pt>
                <c:pt idx="352">
                  <c:v>17.987446510804435</c:v>
                </c:pt>
                <c:pt idx="353">
                  <c:v>4.5848387603970657</c:v>
                </c:pt>
                <c:pt idx="354">
                  <c:v>20.991394274306558</c:v>
                </c:pt>
                <c:pt idx="355">
                  <c:v>17.747610825463834</c:v>
                </c:pt>
                <c:pt idx="356">
                  <c:v>17.985836018346834</c:v>
                </c:pt>
                <c:pt idx="357">
                  <c:v>21.375487192049579</c:v>
                </c:pt>
                <c:pt idx="358">
                  <c:v>12.075981069639873</c:v>
                </c:pt>
                <c:pt idx="359">
                  <c:v>20.876661957507881</c:v>
                </c:pt>
                <c:pt idx="360">
                  <c:v>7.0735926825659687</c:v>
                </c:pt>
                <c:pt idx="361">
                  <c:v>21.958551648586855</c:v>
                </c:pt>
                <c:pt idx="362">
                  <c:v>10.428866232091195</c:v>
                </c:pt>
                <c:pt idx="363">
                  <c:v>14.128951233010516</c:v>
                </c:pt>
                <c:pt idx="364">
                  <c:v>11.688848078017312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1240"/>
        <c:axId val="701981632"/>
      </c:lineChart>
      <c:dateAx>
        <c:axId val="701981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1632"/>
        <c:crosses val="autoZero"/>
        <c:auto val="1"/>
        <c:lblOffset val="100"/>
        <c:baseTimeUnit val="days"/>
        <c:majorUnit val="1"/>
        <c:majorTimeUnit val="months"/>
      </c:dateAx>
      <c:valAx>
        <c:axId val="7019816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12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4.7549666746066976E-2</c:v>
                </c:pt>
                <c:pt idx="1">
                  <c:v>4.7567920239414918E-2</c:v>
                </c:pt>
                <c:pt idx="2">
                  <c:v>4.7586173382938912E-2</c:v>
                </c:pt>
                <c:pt idx="3">
                  <c:v>4.7604426176645509E-2</c:v>
                </c:pt>
                <c:pt idx="4">
                  <c:v>4.7622678620541481E-2</c:v>
                </c:pt>
                <c:pt idx="5">
                  <c:v>4.7640930714633489E-2</c:v>
                </c:pt>
                <c:pt idx="6">
                  <c:v>4.7659182458928306E-2</c:v>
                </c:pt>
                <c:pt idx="7">
                  <c:v>4.7677433853432705E-2</c:v>
                </c:pt>
                <c:pt idx="8">
                  <c:v>4.7695684898153123E-2</c:v>
                </c:pt>
                <c:pt idx="9">
                  <c:v>4.7713935593096557E-2</c:v>
                </c:pt>
                <c:pt idx="10">
                  <c:v>4.7732185938269556E-2</c:v>
                </c:pt>
                <c:pt idx="11">
                  <c:v>4.7750435933678892E-2</c:v>
                </c:pt>
                <c:pt idx="12">
                  <c:v>4.7768685579331116E-2</c:v>
                </c:pt>
                <c:pt idx="13">
                  <c:v>4.7786934875233111E-2</c:v>
                </c:pt>
                <c:pt idx="14">
                  <c:v>4.7805183821391539E-2</c:v>
                </c:pt>
                <c:pt idx="15">
                  <c:v>4.7823432417813061E-2</c:v>
                </c:pt>
                <c:pt idx="16">
                  <c:v>4.7841680664504338E-2</c:v>
                </c:pt>
                <c:pt idx="17">
                  <c:v>4.7859928561472254E-2</c:v>
                </c:pt>
                <c:pt idx="18">
                  <c:v>4.7878176108723247E-2</c:v>
                </c:pt>
                <c:pt idx="19">
                  <c:v>4.7896423306264313E-2</c:v>
                </c:pt>
                <c:pt idx="20">
                  <c:v>4.791467015410189E-2</c:v>
                </c:pt>
                <c:pt idx="21">
                  <c:v>4.7932916652242863E-2</c:v>
                </c:pt>
                <c:pt idx="22">
                  <c:v>4.7951162800693781E-2</c:v>
                </c:pt>
                <c:pt idx="23">
                  <c:v>4.7969408599461416E-2</c:v>
                </c:pt>
                <c:pt idx="24">
                  <c:v>4.7987654048552542E-2</c:v>
                </c:pt>
                <c:pt idx="25">
                  <c:v>4.8005899147973818E-2</c:v>
                </c:pt>
                <c:pt idx="26">
                  <c:v>4.8024143897731908E-2</c:v>
                </c:pt>
                <c:pt idx="27">
                  <c:v>4.8042388297833472E-2</c:v>
                </c:pt>
                <c:pt idx="28">
                  <c:v>4.8060632348285282E-2</c:v>
                </c:pt>
                <c:pt idx="29">
                  <c:v>4.807887604909411E-2</c:v>
                </c:pt>
                <c:pt idx="30">
                  <c:v>4.8097119400266508E-2</c:v>
                </c:pt>
                <c:pt idx="31">
                  <c:v>4.8115362401809247E-2</c:v>
                </c:pt>
                <c:pt idx="32">
                  <c:v>4.8133605053728989E-2</c:v>
                </c:pt>
                <c:pt idx="33">
                  <c:v>4.8151847356032507E-2</c:v>
                </c:pt>
                <c:pt idx="34">
                  <c:v>4.8170089308726571E-2</c:v>
                </c:pt>
                <c:pt idx="35">
                  <c:v>4.8188330911817623E-2</c:v>
                </c:pt>
                <c:pt idx="36">
                  <c:v>4.8206572165312545E-2</c:v>
                </c:pt>
                <c:pt idx="37">
                  <c:v>4.8224813069217998E-2</c:v>
                </c:pt>
                <c:pt idx="38">
                  <c:v>4.8243053623540755E-2</c:v>
                </c:pt>
                <c:pt idx="39">
                  <c:v>4.8261293828287366E-2</c:v>
                </c:pt>
                <c:pt idx="40">
                  <c:v>4.8279533683464715E-2</c:v>
                </c:pt>
                <c:pt idx="41">
                  <c:v>4.8297773189079352E-2</c:v>
                </c:pt>
                <c:pt idx="42">
                  <c:v>4.8316012345137938E-2</c:v>
                </c:pt>
                <c:pt idx="43">
                  <c:v>4.8334251151647356E-2</c:v>
                </c:pt>
                <c:pt idx="44">
                  <c:v>4.8352489608614158E-2</c:v>
                </c:pt>
                <c:pt idx="45">
                  <c:v>4.8370727716045225E-2</c:v>
                </c:pt>
                <c:pt idx="46">
                  <c:v>4.8388965473946999E-2</c:v>
                </c:pt>
                <c:pt idx="47">
                  <c:v>4.840720288232625E-2</c:v>
                </c:pt>
                <c:pt idx="48">
                  <c:v>4.8425439941189863E-2</c:v>
                </c:pt>
                <c:pt idx="49">
                  <c:v>4.8443676650544387E-2</c:v>
                </c:pt>
                <c:pt idx="50">
                  <c:v>4.8461913010396485E-2</c:v>
                </c:pt>
                <c:pt idx="51">
                  <c:v>4.8480149020752927E-2</c:v>
                </c:pt>
                <c:pt idx="52">
                  <c:v>4.8498384681620377E-2</c:v>
                </c:pt>
                <c:pt idx="53">
                  <c:v>4.8516619993005494E-2</c:v>
                </c:pt>
                <c:pt idx="54">
                  <c:v>4.8534854954915052E-2</c:v>
                </c:pt>
                <c:pt idx="55">
                  <c:v>4.8553089567355823E-2</c:v>
                </c:pt>
                <c:pt idx="56">
                  <c:v>4.8571323830334356E-2</c:v>
                </c:pt>
                <c:pt idx="57">
                  <c:v>4.8589557743857315E-2</c:v>
                </c:pt>
                <c:pt idx="58">
                  <c:v>4.860779130793158E-2</c:v>
                </c:pt>
                <c:pt idx="59">
                  <c:v>4.8626024522563704E-2</c:v>
                </c:pt>
                <c:pt idx="60">
                  <c:v>4.8644257387760459E-2</c:v>
                </c:pt>
                <c:pt idx="61">
                  <c:v>4.8662489903528505E-2</c:v>
                </c:pt>
                <c:pt idx="62">
                  <c:v>4.8680722069874505E-2</c:v>
                </c:pt>
                <c:pt idx="63">
                  <c:v>4.869895388680523E-2</c:v>
                </c:pt>
                <c:pt idx="64">
                  <c:v>4.8717185354327341E-2</c:v>
                </c:pt>
                <c:pt idx="65">
                  <c:v>4.8735416472447612E-2</c:v>
                </c:pt>
                <c:pt idx="66">
                  <c:v>4.8753647241172593E-2</c:v>
                </c:pt>
                <c:pt idx="67">
                  <c:v>4.8771877660509055E-2</c:v>
                </c:pt>
                <c:pt idx="68">
                  <c:v>4.8790107730463661E-2</c:v>
                </c:pt>
                <c:pt idx="69">
                  <c:v>4.8808337451043182E-2</c:v>
                </c:pt>
                <c:pt idx="70">
                  <c:v>4.8826566822254169E-2</c:v>
                </c:pt>
                <c:pt idx="71">
                  <c:v>4.8844795844103506E-2</c:v>
                </c:pt>
                <c:pt idx="72">
                  <c:v>4.8863024516597853E-2</c:v>
                </c:pt>
                <c:pt idx="73">
                  <c:v>4.8881252839743761E-2</c:v>
                </c:pt>
                <c:pt idx="74">
                  <c:v>4.8899480813548002E-2</c:v>
                </c:pt>
                <c:pt idx="75">
                  <c:v>4.8917708438017349E-2</c:v>
                </c:pt>
                <c:pt idx="76">
                  <c:v>4.8935935713158352E-2</c:v>
                </c:pt>
                <c:pt idx="77">
                  <c:v>4.8954162638977783E-2</c:v>
                </c:pt>
                <c:pt idx="78">
                  <c:v>4.8972389215482415E-2</c:v>
                </c:pt>
                <c:pt idx="79">
                  <c:v>4.8990615442678798E-2</c:v>
                </c:pt>
                <c:pt idx="80">
                  <c:v>4.9008841320573815E-2</c:v>
                </c:pt>
                <c:pt idx="81">
                  <c:v>4.9027066849173906E-2</c:v>
                </c:pt>
                <c:pt idx="82">
                  <c:v>4.9045292028485954E-2</c:v>
                </c:pt>
                <c:pt idx="83">
                  <c:v>4.906351685851662E-2</c:v>
                </c:pt>
                <c:pt idx="84">
                  <c:v>4.9081741339272567E-2</c:v>
                </c:pt>
                <c:pt idx="85">
                  <c:v>4.9099965470760454E-2</c:v>
                </c:pt>
                <c:pt idx="86">
                  <c:v>4.9118189252987055E-2</c:v>
                </c:pt>
                <c:pt idx="87">
                  <c:v>4.913641268595903E-2</c:v>
                </c:pt>
                <c:pt idx="88">
                  <c:v>4.9154635769683042E-2</c:v>
                </c:pt>
                <c:pt idx="89">
                  <c:v>4.9172858504165862E-2</c:v>
                </c:pt>
                <c:pt idx="90">
                  <c:v>4.9191080889414041E-2</c:v>
                </c:pt>
                <c:pt idx="91">
                  <c:v>4.9209302925434462E-2</c:v>
                </c:pt>
                <c:pt idx="92">
                  <c:v>4.9227524612233675E-2</c:v>
                </c:pt>
                <c:pt idx="93">
                  <c:v>4.9245745949818454E-2</c:v>
                </c:pt>
                <c:pt idx="94">
                  <c:v>4.9263966938195347E-2</c:v>
                </c:pt>
                <c:pt idx="95">
                  <c:v>4.9282187577371239E-2</c:v>
                </c:pt>
                <c:pt idx="96">
                  <c:v>4.9300407867352791E-2</c:v>
                </c:pt>
                <c:pt idx="97">
                  <c:v>4.9318627808146553E-2</c:v>
                </c:pt>
                <c:pt idx="98">
                  <c:v>4.9336847399759298E-2</c:v>
                </c:pt>
                <c:pt idx="99">
                  <c:v>4.9355066642197798E-2</c:v>
                </c:pt>
                <c:pt idx="100">
                  <c:v>4.9373285535468603E-2</c:v>
                </c:pt>
                <c:pt idx="101">
                  <c:v>4.9391504079578596E-2</c:v>
                </c:pt>
                <c:pt idx="102">
                  <c:v>4.9409722274534218E-2</c:v>
                </c:pt>
                <c:pt idx="103">
                  <c:v>4.9427940120342351E-2</c:v>
                </c:pt>
                <c:pt idx="104">
                  <c:v>4.9446157617009545E-2</c:v>
                </c:pt>
                <c:pt idx="105">
                  <c:v>4.9464374764542685E-2</c:v>
                </c:pt>
                <c:pt idx="106">
                  <c:v>4.9482591562948319E-2</c:v>
                </c:pt>
                <c:pt idx="107">
                  <c:v>4.9500808012233111E-2</c:v>
                </c:pt>
                <c:pt idx="108">
                  <c:v>4.9519024112403831E-2</c:v>
                </c:pt>
                <c:pt idx="109">
                  <c:v>4.9537239863467142E-2</c:v>
                </c:pt>
                <c:pt idx="110">
                  <c:v>4.9555455265429815E-2</c:v>
                </c:pt>
                <c:pt idx="111">
                  <c:v>4.9573670318298402E-2</c:v>
                </c:pt>
                <c:pt idx="112">
                  <c:v>4.9591885022079674E-2</c:v>
                </c:pt>
                <c:pt idx="113">
                  <c:v>4.9610099376780292E-2</c:v>
                </c:pt>
                <c:pt idx="114">
                  <c:v>4.9628313382406919E-2</c:v>
                </c:pt>
                <c:pt idx="115">
                  <c:v>4.9646527038966326E-2</c:v>
                </c:pt>
                <c:pt idx="116">
                  <c:v>4.9664740346465175E-2</c:v>
                </c:pt>
                <c:pt idx="117">
                  <c:v>4.9682953304910127E-2</c:v>
                </c:pt>
                <c:pt idx="118">
                  <c:v>4.9701165914307843E-2</c:v>
                </c:pt>
                <c:pt idx="119">
                  <c:v>4.9719378174665096E-2</c:v>
                </c:pt>
                <c:pt idx="120">
                  <c:v>4.9737590085988548E-2</c:v>
                </c:pt>
                <c:pt idx="121">
                  <c:v>4.9755801648284859E-2</c:v>
                </c:pt>
                <c:pt idx="122">
                  <c:v>4.977401286156069E-2</c:v>
                </c:pt>
                <c:pt idx="123">
                  <c:v>4.9792223725822815E-2</c:v>
                </c:pt>
                <c:pt idx="124">
                  <c:v>4.9810434241077894E-2</c:v>
                </c:pt>
                <c:pt idx="125">
                  <c:v>4.982864440733259E-2</c:v>
                </c:pt>
                <c:pt idx="126">
                  <c:v>4.9846854224593562E-2</c:v>
                </c:pt>
                <c:pt idx="127">
                  <c:v>4.9865063692867584E-2</c:v>
                </c:pt>
                <c:pt idx="128">
                  <c:v>4.9883272812161317E-2</c:v>
                </c:pt>
                <c:pt idx="129">
                  <c:v>4.9901481582481422E-2</c:v>
                </c:pt>
                <c:pt idx="130">
                  <c:v>4.991969000383456E-2</c:v>
                </c:pt>
                <c:pt idx="131">
                  <c:v>4.9937898076227505E-2</c:v>
                </c:pt>
                <c:pt idx="132">
                  <c:v>4.9956105799666917E-2</c:v>
                </c:pt>
                <c:pt idx="133">
                  <c:v>4.9974313174159457E-2</c:v>
                </c:pt>
                <c:pt idx="134">
                  <c:v>4.9992520199711787E-2</c:v>
                </c:pt>
                <c:pt idx="135">
                  <c:v>5.0010726876330569E-2</c:v>
                </c:pt>
                <c:pt idx="136">
                  <c:v>5.0028933204022574E-2</c:v>
                </c:pt>
                <c:pt idx="137">
                  <c:v>5.0047139182794576E-2</c:v>
                </c:pt>
                <c:pt idx="138">
                  <c:v>5.0065344812653012E-2</c:v>
                </c:pt>
                <c:pt idx="139">
                  <c:v>5.0083550093604767E-2</c:v>
                </c:pt>
                <c:pt idx="140">
                  <c:v>5.0101755025656391E-2</c:v>
                </c:pt>
                <c:pt idx="141">
                  <c:v>5.0119959608814768E-2</c:v>
                </c:pt>
                <c:pt idx="142">
                  <c:v>5.0138163843086447E-2</c:v>
                </c:pt>
                <c:pt idx="143">
                  <c:v>5.0156367728478091E-2</c:v>
                </c:pt>
                <c:pt idx="144">
                  <c:v>5.0174571264996359E-2</c:v>
                </c:pt>
                <c:pt idx="145">
                  <c:v>5.0192774452648026E-2</c:v>
                </c:pt>
                <c:pt idx="146">
                  <c:v>5.0210977291439862E-2</c:v>
                </c:pt>
                <c:pt idx="147">
                  <c:v>5.0229179781378308E-2</c:v>
                </c:pt>
                <c:pt idx="148">
                  <c:v>5.0247381922470247E-2</c:v>
                </c:pt>
                <c:pt idx="149">
                  <c:v>5.0265583714722339E-2</c:v>
                </c:pt>
                <c:pt idx="150">
                  <c:v>5.0283785158141248E-2</c:v>
                </c:pt>
                <c:pt idx="151">
                  <c:v>5.0301986252733633E-2</c:v>
                </c:pt>
                <c:pt idx="152">
                  <c:v>5.0320186998506156E-2</c:v>
                </c:pt>
                <c:pt idx="153">
                  <c:v>5.0338387395465478E-2</c:v>
                </c:pt>
                <c:pt idx="154">
                  <c:v>5.0356587443618483E-2</c:v>
                </c:pt>
                <c:pt idx="155">
                  <c:v>5.0374787142971611E-2</c:v>
                </c:pt>
                <c:pt idx="156">
                  <c:v>5.0392986493531633E-2</c:v>
                </c:pt>
                <c:pt idx="157">
                  <c:v>5.0411185495305322E-2</c:v>
                </c:pt>
                <c:pt idx="158">
                  <c:v>5.0429384148299339E-2</c:v>
                </c:pt>
                <c:pt idx="159">
                  <c:v>5.0447582452520234E-2</c:v>
                </c:pt>
                <c:pt idx="160">
                  <c:v>5.0465780407974781E-2</c:v>
                </c:pt>
                <c:pt idx="161">
                  <c:v>5.048397801466975E-2</c:v>
                </c:pt>
                <c:pt idx="162">
                  <c:v>5.0502175272611693E-2</c:v>
                </c:pt>
                <c:pt idx="163">
                  <c:v>5.0520372181807272E-2</c:v>
                </c:pt>
                <c:pt idx="164">
                  <c:v>5.0538568742263368E-2</c:v>
                </c:pt>
                <c:pt idx="165">
                  <c:v>5.0556764953986422E-2</c:v>
                </c:pt>
                <c:pt idx="166">
                  <c:v>5.0574960816983316E-2</c:v>
                </c:pt>
                <c:pt idx="167">
                  <c:v>5.0593156331260603E-2</c:v>
                </c:pt>
                <c:pt idx="168">
                  <c:v>5.0611351496824941E-2</c:v>
                </c:pt>
                <c:pt idx="169">
                  <c:v>5.0629546313683216E-2</c:v>
                </c:pt>
                <c:pt idx="170">
                  <c:v>5.0647740781841866E-2</c:v>
                </c:pt>
                <c:pt idx="171">
                  <c:v>5.0665934901307774E-2</c:v>
                </c:pt>
                <c:pt idx="172">
                  <c:v>5.0684128672087381E-2</c:v>
                </c:pt>
                <c:pt idx="173">
                  <c:v>5.070232209418768E-2</c:v>
                </c:pt>
                <c:pt idx="174">
                  <c:v>5.072051516761511E-2</c:v>
                </c:pt>
                <c:pt idx="175">
                  <c:v>5.0738707892376445E-2</c:v>
                </c:pt>
                <c:pt idx="176">
                  <c:v>5.0756900268478455E-2</c:v>
                </c:pt>
                <c:pt idx="177">
                  <c:v>5.0775092295927693E-2</c:v>
                </c:pt>
                <c:pt idx="178">
                  <c:v>5.0793283974730818E-2</c:v>
                </c:pt>
                <c:pt idx="179">
                  <c:v>5.0811475304894604E-2</c:v>
                </c:pt>
                <c:pt idx="180">
                  <c:v>5.0829666286425601E-2</c:v>
                </c:pt>
                <c:pt idx="181">
                  <c:v>5.0847856919330692E-2</c:v>
                </c:pt>
                <c:pt idx="182">
                  <c:v>5.0866047203616427E-2</c:v>
                </c:pt>
                <c:pt idx="183">
                  <c:v>5.0884237139289579E-2</c:v>
                </c:pt>
                <c:pt idx="184">
                  <c:v>5.0902426726356698E-2</c:v>
                </c:pt>
                <c:pt idx="185">
                  <c:v>5.0920615964824556E-2</c:v>
                </c:pt>
                <c:pt idx="186">
                  <c:v>5.0938804854699704E-2</c:v>
                </c:pt>
                <c:pt idx="187">
                  <c:v>5.0956993395989025E-2</c:v>
                </c:pt>
                <c:pt idx="188">
                  <c:v>5.097518158869907E-2</c:v>
                </c:pt>
                <c:pt idx="189">
                  <c:v>5.099336943283661E-2</c:v>
                </c:pt>
                <c:pt idx="190">
                  <c:v>5.1011556928408197E-2</c:v>
                </c:pt>
                <c:pt idx="191">
                  <c:v>5.1029744075420602E-2</c:v>
                </c:pt>
                <c:pt idx="192">
                  <c:v>5.1047930873880487E-2</c:v>
                </c:pt>
                <c:pt idx="193">
                  <c:v>5.1066117323794513E-2</c:v>
                </c:pt>
                <c:pt idx="194">
                  <c:v>5.1084303425169453E-2</c:v>
                </c:pt>
                <c:pt idx="195">
                  <c:v>5.1102489178011856E-2</c:v>
                </c:pt>
                <c:pt idx="196">
                  <c:v>5.1120674582328385E-2</c:v>
                </c:pt>
                <c:pt idx="197">
                  <c:v>5.1138859638125922E-2</c:v>
                </c:pt>
                <c:pt idx="198">
                  <c:v>5.1157044345410907E-2</c:v>
                </c:pt>
                <c:pt idx="199">
                  <c:v>5.1175228704190223E-2</c:v>
                </c:pt>
                <c:pt idx="200">
                  <c:v>5.119341271447031E-2</c:v>
                </c:pt>
                <c:pt idx="201">
                  <c:v>5.1211596376258051E-2</c:v>
                </c:pt>
                <c:pt idx="202">
                  <c:v>5.1229779689560107E-2</c:v>
                </c:pt>
                <c:pt idx="203">
                  <c:v>5.1247962654383139E-2</c:v>
                </c:pt>
                <c:pt idx="204">
                  <c:v>5.1266145270733698E-2</c:v>
                </c:pt>
                <c:pt idx="205">
                  <c:v>5.1284327538618668E-2</c:v>
                </c:pt>
                <c:pt idx="206">
                  <c:v>5.1302509458044487E-2</c:v>
                </c:pt>
                <c:pt idx="207">
                  <c:v>5.132069102901804E-2</c:v>
                </c:pt>
                <c:pt idx="208">
                  <c:v>5.1338872251545986E-2</c:v>
                </c:pt>
                <c:pt idx="209">
                  <c:v>5.1357053125634877E-2</c:v>
                </c:pt>
                <c:pt idx="210">
                  <c:v>5.1375233651291485E-2</c:v>
                </c:pt>
                <c:pt idx="211">
                  <c:v>5.1393413828522472E-2</c:v>
                </c:pt>
                <c:pt idx="212">
                  <c:v>5.1411593657334498E-2</c:v>
                </c:pt>
                <c:pt idx="213">
                  <c:v>5.1429773137734336E-2</c:v>
                </c:pt>
                <c:pt idx="214">
                  <c:v>5.1447952269728425E-2</c:v>
                </c:pt>
                <c:pt idx="215">
                  <c:v>5.146613105332376E-2</c:v>
                </c:pt>
                <c:pt idx="216">
                  <c:v>5.148430948852678E-2</c:v>
                </c:pt>
                <c:pt idx="217">
                  <c:v>5.1502487575344147E-2</c:v>
                </c:pt>
                <c:pt idx="218">
                  <c:v>5.1520665313782743E-2</c:v>
                </c:pt>
                <c:pt idx="219">
                  <c:v>5.1538842703849119E-2</c:v>
                </c:pt>
                <c:pt idx="220">
                  <c:v>5.1557019745549937E-2</c:v>
                </c:pt>
                <c:pt idx="221">
                  <c:v>5.1575196438891857E-2</c:v>
                </c:pt>
                <c:pt idx="222">
                  <c:v>5.1593372783881652E-2</c:v>
                </c:pt>
                <c:pt idx="223">
                  <c:v>5.1611548780525984E-2</c:v>
                </c:pt>
                <c:pt idx="224">
                  <c:v>5.1629724428831403E-2</c:v>
                </c:pt>
                <c:pt idx="225">
                  <c:v>5.164789972880468E-2</c:v>
                </c:pt>
                <c:pt idx="226">
                  <c:v>5.1666074680452478E-2</c:v>
                </c:pt>
                <c:pt idx="227">
                  <c:v>5.1684249283781458E-2</c:v>
                </c:pt>
                <c:pt idx="228">
                  <c:v>5.1702423538798392E-2</c:v>
                </c:pt>
                <c:pt idx="229">
                  <c:v>5.1720597445509831E-2</c:v>
                </c:pt>
                <c:pt idx="230">
                  <c:v>5.1738771003922435E-2</c:v>
                </c:pt>
                <c:pt idx="231">
                  <c:v>5.1756944214042977E-2</c:v>
                </c:pt>
                <c:pt idx="232">
                  <c:v>5.1775117075878119E-2</c:v>
                </c:pt>
                <c:pt idx="233">
                  <c:v>5.1793289589434521E-2</c:v>
                </c:pt>
                <c:pt idx="234">
                  <c:v>5.1811461754718846E-2</c:v>
                </c:pt>
                <c:pt idx="235">
                  <c:v>5.1829633571737754E-2</c:v>
                </c:pt>
                <c:pt idx="236">
                  <c:v>5.1847805040497907E-2</c:v>
                </c:pt>
                <c:pt idx="237">
                  <c:v>5.1865976161006078E-2</c:v>
                </c:pt>
                <c:pt idx="238">
                  <c:v>5.1884146933268815E-2</c:v>
                </c:pt>
                <c:pt idx="239">
                  <c:v>5.1902317357292782E-2</c:v>
                </c:pt>
                <c:pt idx="240">
                  <c:v>5.1920487433084861E-2</c:v>
                </c:pt>
                <c:pt idx="241">
                  <c:v>5.1938657160651491E-2</c:v>
                </c:pt>
                <c:pt idx="242">
                  <c:v>5.1956826539999446E-2</c:v>
                </c:pt>
                <c:pt idx="243">
                  <c:v>5.1974995571135385E-2</c:v>
                </c:pt>
                <c:pt idx="244">
                  <c:v>5.1993164254066082E-2</c:v>
                </c:pt>
                <c:pt idx="245">
                  <c:v>5.2011332588797976E-2</c:v>
                </c:pt>
                <c:pt idx="246">
                  <c:v>5.202950057533795E-2</c:v>
                </c:pt>
                <c:pt idx="247">
                  <c:v>5.2047668213692555E-2</c:v>
                </c:pt>
                <c:pt idx="248">
                  <c:v>5.2065835503868563E-2</c:v>
                </c:pt>
                <c:pt idx="249">
                  <c:v>5.2084002445872635E-2</c:v>
                </c:pt>
                <c:pt idx="250">
                  <c:v>5.2102169039711321E-2</c:v>
                </c:pt>
                <c:pt idx="251">
                  <c:v>5.2120335285391506E-2</c:v>
                </c:pt>
                <c:pt idx="252">
                  <c:v>5.2138501182919628E-2</c:v>
                </c:pt>
                <c:pt idx="253">
                  <c:v>5.2156666732302459E-2</c:v>
                </c:pt>
                <c:pt idx="254">
                  <c:v>5.2174831933546773E-2</c:v>
                </c:pt>
                <c:pt idx="255">
                  <c:v>5.2192996786659118E-2</c:v>
                </c:pt>
                <c:pt idx="256">
                  <c:v>5.2211161291646158E-2</c:v>
                </c:pt>
                <c:pt idx="257">
                  <c:v>5.2229325448514663E-2</c:v>
                </c:pt>
                <c:pt idx="258">
                  <c:v>5.2247489257271185E-2</c:v>
                </c:pt>
                <c:pt idx="259">
                  <c:v>5.2265652717922384E-2</c:v>
                </c:pt>
                <c:pt idx="260">
                  <c:v>5.2283815830475144E-2</c:v>
                </c:pt>
                <c:pt idx="261">
                  <c:v>5.2301978594935905E-2</c:v>
                </c:pt>
                <c:pt idx="262">
                  <c:v>5.2320141011311549E-2</c:v>
                </c:pt>
                <c:pt idx="263">
                  <c:v>5.2338303079608517E-2</c:v>
                </c:pt>
                <c:pt idx="264">
                  <c:v>5.235646479983358E-2</c:v>
                </c:pt>
                <c:pt idx="265">
                  <c:v>5.237462617199351E-2</c:v>
                </c:pt>
                <c:pt idx="266">
                  <c:v>5.2392787196094859E-2</c:v>
                </c:pt>
                <c:pt idx="267">
                  <c:v>5.2410947872144287E-2</c:v>
                </c:pt>
                <c:pt idx="268">
                  <c:v>5.2429108200148455E-2</c:v>
                </c:pt>
                <c:pt idx="269">
                  <c:v>5.2447268180114137E-2</c:v>
                </c:pt>
                <c:pt idx="270">
                  <c:v>5.2465427812047993E-2</c:v>
                </c:pt>
                <c:pt idx="271">
                  <c:v>5.2483587095956574E-2</c:v>
                </c:pt>
                <c:pt idx="272">
                  <c:v>5.2501746031846652E-2</c:v>
                </c:pt>
                <c:pt idx="273">
                  <c:v>5.2519904619724889E-2</c:v>
                </c:pt>
                <c:pt idx="274">
                  <c:v>5.2538062859597945E-2</c:v>
                </c:pt>
                <c:pt idx="275">
                  <c:v>5.2556220751472371E-2</c:v>
                </c:pt>
                <c:pt idx="276">
                  <c:v>5.2574378295355051E-2</c:v>
                </c:pt>
                <c:pt idx="277">
                  <c:v>5.2592535491252423E-2</c:v>
                </c:pt>
                <c:pt idx="278">
                  <c:v>5.2610692339171372E-2</c:v>
                </c:pt>
                <c:pt idx="279">
                  <c:v>5.2628848839118447E-2</c:v>
                </c:pt>
                <c:pt idx="280">
                  <c:v>5.2647004991100421E-2</c:v>
                </c:pt>
                <c:pt idx="281">
                  <c:v>5.2665160795123844E-2</c:v>
                </c:pt>
                <c:pt idx="282">
                  <c:v>5.2683316251195378E-2</c:v>
                </c:pt>
                <c:pt idx="283">
                  <c:v>5.2701471359321683E-2</c:v>
                </c:pt>
                <c:pt idx="284">
                  <c:v>5.2719626119509644E-2</c:v>
                </c:pt>
                <c:pt idx="285">
                  <c:v>5.2737780531765588E-2</c:v>
                </c:pt>
                <c:pt idx="286">
                  <c:v>5.275593459609651E-2</c:v>
                </c:pt>
                <c:pt idx="287">
                  <c:v>5.2774088312508849E-2</c:v>
                </c:pt>
                <c:pt idx="288">
                  <c:v>5.2792241681009378E-2</c:v>
                </c:pt>
                <c:pt idx="289">
                  <c:v>5.2810394701604757E-2</c:v>
                </c:pt>
                <c:pt idx="290">
                  <c:v>5.2828547374301649E-2</c:v>
                </c:pt>
                <c:pt idx="291">
                  <c:v>5.2846699699106714E-2</c:v>
                </c:pt>
                <c:pt idx="292">
                  <c:v>5.2864851676026503E-2</c:v>
                </c:pt>
                <c:pt idx="293">
                  <c:v>5.2883003305067899E-2</c:v>
                </c:pt>
                <c:pt idx="294">
                  <c:v>5.2901154586237453E-2</c:v>
                </c:pt>
                <c:pt idx="295">
                  <c:v>5.2919305519541826E-2</c:v>
                </c:pt>
                <c:pt idx="296">
                  <c:v>5.293745610498779E-2</c:v>
                </c:pt>
                <c:pt idx="297">
                  <c:v>5.2955606342581785E-2</c:v>
                </c:pt>
                <c:pt idx="298">
                  <c:v>5.2973756232330693E-2</c:v>
                </c:pt>
                <c:pt idx="299">
                  <c:v>5.2991905774241066E-2</c:v>
                </c:pt>
                <c:pt idx="300">
                  <c:v>5.3010054968319675E-2</c:v>
                </c:pt>
                <c:pt idx="301">
                  <c:v>5.3028203814573072E-2</c:v>
                </c:pt>
                <c:pt idx="302">
                  <c:v>5.3046352313008027E-2</c:v>
                </c:pt>
                <c:pt idx="303">
                  <c:v>5.3064500463631092E-2</c:v>
                </c:pt>
                <c:pt idx="304">
                  <c:v>5.308264826644904E-2</c:v>
                </c:pt>
                <c:pt idx="305">
                  <c:v>5.3100795721468419E-2</c:v>
                </c:pt>
                <c:pt idx="306">
                  <c:v>5.3118942828696003E-2</c:v>
                </c:pt>
                <c:pt idx="307">
                  <c:v>5.3137089588138342E-2</c:v>
                </c:pt>
                <c:pt idx="308">
                  <c:v>5.3155235999802319E-2</c:v>
                </c:pt>
                <c:pt idx="309">
                  <c:v>5.3173382063694374E-2</c:v>
                </c:pt>
                <c:pt idx="310">
                  <c:v>5.3191527779821279E-2</c:v>
                </c:pt>
                <c:pt idx="311">
                  <c:v>5.3209673148189585E-2</c:v>
                </c:pt>
                <c:pt idx="312">
                  <c:v>5.3227818168806174E-2</c:v>
                </c:pt>
                <c:pt idx="313">
                  <c:v>5.3245962841677485E-2</c:v>
                </c:pt>
                <c:pt idx="314">
                  <c:v>5.3264107166810293E-2</c:v>
                </c:pt>
                <c:pt idx="315">
                  <c:v>5.3282251144211257E-2</c:v>
                </c:pt>
                <c:pt idx="316">
                  <c:v>5.3300394773887039E-2</c:v>
                </c:pt>
                <c:pt idx="317">
                  <c:v>5.3318538055844411E-2</c:v>
                </c:pt>
                <c:pt idx="318">
                  <c:v>5.3336680990089813E-2</c:v>
                </c:pt>
                <c:pt idx="319">
                  <c:v>5.3354823576630017E-2</c:v>
                </c:pt>
                <c:pt idx="320">
                  <c:v>5.3372965815471685E-2</c:v>
                </c:pt>
                <c:pt idx="321">
                  <c:v>5.3391107706621477E-2</c:v>
                </c:pt>
                <c:pt idx="322">
                  <c:v>5.3409249250086055E-2</c:v>
                </c:pt>
                <c:pt idx="323">
                  <c:v>5.3427390445872192E-2</c:v>
                </c:pt>
                <c:pt idx="324">
                  <c:v>5.3445531293986326E-2</c:v>
                </c:pt>
                <c:pt idx="325">
                  <c:v>5.3463671794435341E-2</c:v>
                </c:pt>
                <c:pt idx="326">
                  <c:v>5.3481811947225788E-2</c:v>
                </c:pt>
                <c:pt idx="327">
                  <c:v>5.3499951752364328E-2</c:v>
                </c:pt>
                <c:pt idx="328">
                  <c:v>5.3518091209857621E-2</c:v>
                </c:pt>
                <c:pt idx="329">
                  <c:v>5.353623031971233E-2</c:v>
                </c:pt>
                <c:pt idx="330">
                  <c:v>5.3554369081935116E-2</c:v>
                </c:pt>
                <c:pt idx="331">
                  <c:v>5.3572507496532751E-2</c:v>
                </c:pt>
                <c:pt idx="332">
                  <c:v>5.3590645563511785E-2</c:v>
                </c:pt>
                <c:pt idx="333">
                  <c:v>5.360878328287888E-2</c:v>
                </c:pt>
                <c:pt idx="334">
                  <c:v>5.3626920654640697E-2</c:v>
                </c:pt>
                <c:pt idx="335">
                  <c:v>5.3645057678804009E-2</c:v>
                </c:pt>
                <c:pt idx="336">
                  <c:v>5.3663194355375365E-2</c:v>
                </c:pt>
                <c:pt idx="337">
                  <c:v>5.3681330684361428E-2</c:v>
                </c:pt>
                <c:pt idx="338">
                  <c:v>5.3699466665768858E-2</c:v>
                </c:pt>
                <c:pt idx="339">
                  <c:v>5.3717602299604317E-2</c:v>
                </c:pt>
                <c:pt idx="340">
                  <c:v>5.3735737585874577E-2</c:v>
                </c:pt>
                <c:pt idx="341">
                  <c:v>5.3753872524586188E-2</c:v>
                </c:pt>
                <c:pt idx="342">
                  <c:v>5.3772007115745812E-2</c:v>
                </c:pt>
                <c:pt idx="343">
                  <c:v>5.3790141359360111E-2</c:v>
                </c:pt>
                <c:pt idx="344">
                  <c:v>5.3808275255435856E-2</c:v>
                </c:pt>
                <c:pt idx="345">
                  <c:v>5.3826408803979486E-2</c:v>
                </c:pt>
                <c:pt idx="346">
                  <c:v>5.3844542004997886E-2</c:v>
                </c:pt>
                <c:pt idx="347">
                  <c:v>5.3862674858497606E-2</c:v>
                </c:pt>
                <c:pt idx="348">
                  <c:v>5.3880807364485306E-2</c:v>
                </c:pt>
                <c:pt idx="349">
                  <c:v>5.3898939522967759E-2</c:v>
                </c:pt>
                <c:pt idx="350">
                  <c:v>5.3917071333951405E-2</c:v>
                </c:pt>
                <c:pt idx="351">
                  <c:v>5.3935202797443127E-2</c:v>
                </c:pt>
                <c:pt idx="352">
                  <c:v>5.3953333913449475E-2</c:v>
                </c:pt>
                <c:pt idx="353">
                  <c:v>5.397146468197711E-2</c:v>
                </c:pt>
                <c:pt idx="354">
                  <c:v>5.3989595103032695E-2</c:v>
                </c:pt>
                <c:pt idx="355">
                  <c:v>5.4007725176622889E-2</c:v>
                </c:pt>
                <c:pt idx="356">
                  <c:v>5.4025854902754356E-2</c:v>
                </c:pt>
                <c:pt idx="357">
                  <c:v>5.4043984281433755E-2</c:v>
                </c:pt>
                <c:pt idx="358">
                  <c:v>5.4062113312667748E-2</c:v>
                </c:pt>
                <c:pt idx="359">
                  <c:v>5.4080241996462997E-2</c:v>
                </c:pt>
                <c:pt idx="360">
                  <c:v>5.4098370332826162E-2</c:v>
                </c:pt>
                <c:pt idx="361">
                  <c:v>5.4116498321763906E-2</c:v>
                </c:pt>
                <c:pt idx="362">
                  <c:v>5.4134625963282779E-2</c:v>
                </c:pt>
                <c:pt idx="363">
                  <c:v>5.4152753257389663E-2</c:v>
                </c:pt>
                <c:pt idx="364">
                  <c:v>5.4170880204090999E-2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4.8515542261488735E-2</c:v>
                </c:pt>
                <c:pt idx="1">
                  <c:v>4.8560649131790118E-2</c:v>
                </c:pt>
                <c:pt idx="2">
                  <c:v>4.860581865808334E-2</c:v>
                </c:pt>
                <c:pt idx="3">
                  <c:v>4.8651039816325001E-2</c:v>
                </c:pt>
                <c:pt idx="4">
                  <c:v>4.869630300801156E-2</c:v>
                </c:pt>
                <c:pt idx="5">
                  <c:v>4.8741600019664877E-2</c:v>
                </c:pt>
                <c:pt idx="6">
                  <c:v>4.8786923971290572E-2</c:v>
                </c:pt>
                <c:pt idx="7">
                  <c:v>4.8832269254671837E-2</c:v>
                </c:pt>
                <c:pt idx="8">
                  <c:v>4.8877631462437045E-2</c:v>
                </c:pt>
                <c:pt idx="9">
                  <c:v>4.8923007308906731E-2</c:v>
                </c:pt>
                <c:pt idx="10">
                  <c:v>4.8968394543780845E-2</c:v>
                </c:pt>
                <c:pt idx="11">
                  <c:v>4.9013791859771859E-2</c:v>
                </c:pt>
                <c:pt idx="12">
                  <c:v>4.9059198795322757E-2</c:v>
                </c:pt>
                <c:pt idx="13">
                  <c:v>4.9104615633570325E-2</c:v>
                </c:pt>
                <c:pt idx="14">
                  <c:v>4.9150043298724376E-2</c:v>
                </c:pt>
                <c:pt idx="15">
                  <c:v>4.9195483251031985E-2</c:v>
                </c:pt>
                <c:pt idx="16">
                  <c:v>4.9240937381483024E-2</c:v>
                </c:pt>
                <c:pt idx="17">
                  <c:v>4.928640790738914E-2</c:v>
                </c:pt>
                <c:pt idx="18">
                  <c:v>4.9331897269934116E-2</c:v>
                </c:pt>
                <c:pt idx="19">
                  <c:v>4.9377408034748181E-2</c:v>
                </c:pt>
                <c:pt idx="20">
                  <c:v>4.9422942796505193E-2</c:v>
                </c:pt>
                <c:pt idx="21">
                  <c:v>4.946850408847768E-2</c:v>
                </c:pt>
                <c:pt idx="22">
                  <c:v>4.9514094297913806E-2</c:v>
                </c:pt>
                <c:pt idx="23">
                  <c:v>4.9559715588021809E-2</c:v>
                </c:pt>
                <c:pt idx="24">
                  <c:v>4.9605369827261811E-2</c:v>
                </c:pt>
                <c:pt idx="25">
                  <c:v>4.9651058526555283E-2</c:v>
                </c:pt>
                <c:pt idx="26">
                  <c:v>4.9696782784927077E-2</c:v>
                </c:pt>
                <c:pt idx="27">
                  <c:v>4.9742543243996948E-2</c:v>
                </c:pt>
                <c:pt idx="28">
                  <c:v>4.9788340051636827E-2</c:v>
                </c:pt>
                <c:pt idx="29">
                  <c:v>4.9834172835008468E-2</c:v>
                </c:pt>
                <c:pt idx="30">
                  <c:v>4.988004068309395E-2</c:v>
                </c:pt>
                <c:pt idx="31">
                  <c:v>4.9925942138730119E-2</c:v>
                </c:pt>
                <c:pt idx="32">
                  <c:v>4.997187520005935E-2</c:v>
                </c:pt>
                <c:pt idx="33">
                  <c:v>5.0017837331211755E-2</c:v>
                </c:pt>
                <c:pt idx="34">
                  <c:v>5.0063825481941819E-2</c:v>
                </c:pt>
                <c:pt idx="35">
                  <c:v>5.0109836115854317E-2</c:v>
                </c:pt>
                <c:pt idx="36">
                  <c:v>5.0155865246771771E-2</c:v>
                </c:pt>
                <c:pt idx="37">
                  <c:v>5.0201908482719541E-2</c:v>
                </c:pt>
                <c:pt idx="38">
                  <c:v>5.0247961076935542E-2</c:v>
                </c:pt>
                <c:pt idx="39">
                  <c:v>5.0294017985249621E-2</c:v>
                </c:pt>
                <c:pt idx="40">
                  <c:v>5.0340073929124221E-2</c:v>
                </c:pt>
                <c:pt idx="41">
                  <c:v>5.0386123463602543E-2</c:v>
                </c:pt>
                <c:pt idx="42">
                  <c:v>5.043216104937423E-2</c:v>
                </c:pt>
                <c:pt idx="43">
                  <c:v>5.0478181128141397E-2</c:v>
                </c:pt>
                <c:pt idx="44">
                  <c:v>5.0524178200448647E-2</c:v>
                </c:pt>
                <c:pt idx="45">
                  <c:v>5.0570146905133215E-2</c:v>
                </c:pt>
                <c:pt idx="46">
                  <c:v>5.0616082099549618E-2</c:v>
                </c:pt>
                <c:pt idx="47">
                  <c:v>5.0661978939733128E-2</c:v>
                </c:pt>
                <c:pt idx="48">
                  <c:v>5.070783295968357E-2</c:v>
                </c:pt>
                <c:pt idx="49">
                  <c:v>5.0753640148976147E-2</c:v>
                </c:pt>
                <c:pt idx="50">
                  <c:v>5.0799397027940181E-2</c:v>
                </c:pt>
                <c:pt idx="51">
                  <c:v>5.0845100719686696E-2</c:v>
                </c:pt>
                <c:pt idx="52">
                  <c:v>5.0890749018313634E-2</c:v>
                </c:pt>
                <c:pt idx="53">
                  <c:v>5.0936340452670661E-2</c:v>
                </c:pt>
                <c:pt idx="54">
                  <c:v>5.0981874345124044E-2</c:v>
                </c:pt>
                <c:pt idx="55">
                  <c:v>5.1027350864825682E-2</c:v>
                </c:pt>
                <c:pt idx="56">
                  <c:v>5.1072771075056693E-2</c:v>
                </c:pt>
                <c:pt idx="57">
                  <c:v>5.111813697428625E-2</c:v>
                </c:pt>
                <c:pt idx="58">
                  <c:v>5.1163451530657773E-2</c:v>
                </c:pt>
                <c:pt idx="59">
                  <c:v>5.120871870968767E-2</c:v>
                </c:pt>
                <c:pt idx="60">
                  <c:v>5.1253943495035176E-2</c:v>
                </c:pt>
                <c:pt idx="61">
                  <c:v>5.1299131902274253E-2</c:v>
                </c:pt>
                <c:pt idx="62">
                  <c:v>5.1344290985670275E-2</c:v>
                </c:pt>
                <c:pt idx="63">
                  <c:v>5.1389428838032845E-2</c:v>
                </c:pt>
                <c:pt idx="64">
                  <c:v>5.1434554583783057E-2</c:v>
                </c:pt>
                <c:pt idx="65">
                  <c:v>5.1479678365435273E-2</c:v>
                </c:pt>
                <c:pt idx="66">
                  <c:v>5.1524811323752633E-2</c:v>
                </c:pt>
                <c:pt idx="67">
                  <c:v>5.1569965571888275E-2</c:v>
                </c:pt>
                <c:pt idx="68">
                  <c:v>5.1615154163872613E-2</c:v>
                </c:pt>
                <c:pt idx="69">
                  <c:v>5.1660391057849149E-2</c:v>
                </c:pt>
                <c:pt idx="70">
                  <c:v>5.17056910744969E-2</c:v>
                </c:pt>
                <c:pt idx="71">
                  <c:v>5.175106985110741E-2</c:v>
                </c:pt>
                <c:pt idx="72">
                  <c:v>5.1796543791806406E-2</c:v>
                </c:pt>
                <c:pt idx="73">
                  <c:v>5.1842130014426155E-2</c:v>
                </c:pt>
                <c:pt idx="74">
                  <c:v>5.1887846294543759E-2</c:v>
                </c:pt>
                <c:pt idx="75">
                  <c:v>5.1933711007201878E-2</c:v>
                </c:pt>
                <c:pt idx="76">
                  <c:v>5.1979743066824666E-2</c:v>
                </c:pt>
                <c:pt idx="77">
                  <c:v>5.202596186582982E-2</c:v>
                </c:pt>
                <c:pt idx="78">
                  <c:v>5.2072387212420419E-2</c:v>
                </c:pt>
                <c:pt idx="79">
                  <c:v>5.21190392680176E-2</c:v>
                </c:pt>
                <c:pt idx="80">
                  <c:v>5.2165938484765854E-2</c:v>
                </c:pt>
                <c:pt idx="81">
                  <c:v>5.2213105543509816E-2</c:v>
                </c:pt>
                <c:pt idx="82">
                  <c:v>5.2260561292603806E-2</c:v>
                </c:pt>
                <c:pt idx="83">
                  <c:v>5.2308326687873635E-2</c:v>
                </c:pt>
                <c:pt idx="84">
                  <c:v>5.2356422734006189E-2</c:v>
                </c:pt>
                <c:pt idx="85">
                  <c:v>5.2404870427595535E-2</c:v>
                </c:pt>
                <c:pt idx="86">
                  <c:v>5.2453690702025803E-2</c:v>
                </c:pt>
                <c:pt idx="87">
                  <c:v>5.2502904374322062E-2</c:v>
                </c:pt>
                <c:pt idx="88">
                  <c:v>5.2552532094051092E-2</c:v>
                </c:pt>
                <c:pt idx="89">
                  <c:v>5.2602594294305006E-2</c:v>
                </c:pt>
                <c:pt idx="90">
                  <c:v>5.2653111144753302E-2</c:v>
                </c:pt>
                <c:pt idx="91">
                  <c:v>5.2704102506703578E-2</c:v>
                </c:pt>
                <c:pt idx="92">
                  <c:v>5.2755587890068234E-2</c:v>
                </c:pt>
                <c:pt idx="93">
                  <c:v>5.2807586412094973E-2</c:v>
                </c:pt>
                <c:pt idx="94">
                  <c:v>5.2860116757683519E-2</c:v>
                </c:pt>
                <c:pt idx="95">
                  <c:v>5.2913197141079622E-2</c:v>
                </c:pt>
                <c:pt idx="96">
                  <c:v>5.296684526871144E-2</c:v>
                </c:pt>
                <c:pt idx="97">
                  <c:v>5.3021078302912028E-2</c:v>
                </c:pt>
                <c:pt idx="98">
                  <c:v>5.3075912826256885E-2</c:v>
                </c:pt>
                <c:pt idx="99">
                  <c:v>5.3131364806235634E-2</c:v>
                </c:pt>
                <c:pt idx="100">
                  <c:v>5.3187449559973905E-2</c:v>
                </c:pt>
                <c:pt idx="101">
                  <c:v>5.3244181718724179E-2</c:v>
                </c:pt>
                <c:pt idx="102">
                  <c:v>5.3301575191853454E-2</c:v>
                </c:pt>
                <c:pt idx="103">
                  <c:v>5.3359643130070591E-2</c:v>
                </c:pt>
                <c:pt idx="104">
                  <c:v>5.3418397887657613E-2</c:v>
                </c:pt>
                <c:pt idx="105">
                  <c:v>5.3477850983495639E-2</c:v>
                </c:pt>
                <c:pt idx="106">
                  <c:v>5.3538013060708621E-2</c:v>
                </c:pt>
                <c:pt idx="107">
                  <c:v>5.3598893844785341E-2</c:v>
                </c:pt>
                <c:pt idx="108">
                  <c:v>5.3660502100081636E-2</c:v>
                </c:pt>
                <c:pt idx="109">
                  <c:v>5.3722845584650909E-2</c:v>
                </c:pt>
                <c:pt idx="110">
                  <c:v>5.378593100339988E-2</c:v>
                </c:pt>
                <c:pt idx="111">
                  <c:v>5.3849763959618907E-2</c:v>
                </c:pt>
                <c:pt idx="112">
                  <c:v>5.3914348904990084E-2</c:v>
                </c:pt>
                <c:pt idx="113">
                  <c:v>5.3979689088231503E-2</c:v>
                </c:pt>
                <c:pt idx="114">
                  <c:v>5.4045786502592771E-2</c:v>
                </c:pt>
                <c:pt idx="115">
                  <c:v>5.4112641832471942E-2</c:v>
                </c:pt>
                <c:pt idx="116">
                  <c:v>5.4180254399479731E-2</c:v>
                </c:pt>
                <c:pt idx="117">
                  <c:v>5.4248622108329231E-2</c:v>
                </c:pt>
                <c:pt idx="118">
                  <c:v>5.4317741392980352E-2</c:v>
                </c:pt>
                <c:pt idx="119">
                  <c:v>1.0110637789076154E-2</c:v>
                </c:pt>
                <c:pt idx="120">
                  <c:v>1.0198937248462488E-2</c:v>
                </c:pt>
                <c:pt idx="121">
                  <c:v>1.0287383237106635E-2</c:v>
                </c:pt>
                <c:pt idx="122">
                  <c:v>1.0375976812931936E-2</c:v>
                </c:pt>
                <c:pt idx="123">
                  <c:v>1.0464718635801897E-2</c:v>
                </c:pt>
                <c:pt idx="124">
                  <c:v>1.0553608948300689E-2</c:v>
                </c:pt>
                <c:pt idx="125">
                  <c:v>1.0642647557098955E-2</c:v>
                </c:pt>
                <c:pt idx="126">
                  <c:v>1.0731833815077077E-2</c:v>
                </c:pt>
                <c:pt idx="127">
                  <c:v>1.0821166604384052E-2</c:v>
                </c:pt>
                <c:pt idx="128">
                  <c:v>1.0910644320615498E-2</c:v>
                </c:pt>
                <c:pt idx="129">
                  <c:v>1.1000264858296541E-2</c:v>
                </c:pt>
                <c:pt idx="130">
                  <c:v>1.1090025597857012E-2</c:v>
                </c:pt>
                <c:pt idx="131">
                  <c:v>1.1179923394284929E-2</c:v>
                </c:pt>
                <c:pt idx="132">
                  <c:v>1.1269954567641389E-2</c:v>
                </c:pt>
                <c:pt idx="133">
                  <c:v>1.1360114895614811E-2</c:v>
                </c:pt>
                <c:pt idx="134">
                  <c:v>1.1450399608284888E-2</c:v>
                </c:pt>
                <c:pt idx="135">
                  <c:v>1.1540803385257273E-2</c:v>
                </c:pt>
                <c:pt idx="136">
                  <c:v>1.1631320355318178E-2</c:v>
                </c:pt>
                <c:pt idx="137">
                  <c:v>1.1721944098744462E-2</c:v>
                </c:pt>
                <c:pt idx="138">
                  <c:v>1.1812667652388583E-2</c:v>
                </c:pt>
                <c:pt idx="139">
                  <c:v>1.1903483517640614E-2</c:v>
                </c:pt>
                <c:pt idx="140">
                  <c:v>1.1994383671349439E-2</c:v>
                </c:pt>
                <c:pt idx="141">
                  <c:v>1.2085359579764508E-2</c:v>
                </c:pt>
                <c:pt idx="142">
                  <c:v>1.2176402215536522E-2</c:v>
                </c:pt>
                <c:pt idx="143">
                  <c:v>1.2267502077791807E-2</c:v>
                </c:pt>
                <c:pt idx="144">
                  <c:v>1.2358649215269904E-2</c:v>
                </c:pt>
                <c:pt idx="145">
                  <c:v>1.2449833252488229E-2</c:v>
                </c:pt>
                <c:pt idx="146">
                  <c:v>1.2541043418871183E-2</c:v>
                </c:pt>
                <c:pt idx="147">
                  <c:v>1.2632268580754346E-2</c:v>
                </c:pt>
                <c:pt idx="148">
                  <c:v>1.2723497276147711E-2</c:v>
                </c:pt>
                <c:pt idx="149">
                  <c:v>1.2814717752115071E-2</c:v>
                </c:pt>
                <c:pt idx="150">
                  <c:v>1.2905918004600976E-2</c:v>
                </c:pt>
                <c:pt idx="151">
                  <c:v>1.2997085820511038E-2</c:v>
                </c:pt>
                <c:pt idx="152">
                  <c:v>1.3088208821827407E-2</c:v>
                </c:pt>
                <c:pt idx="153">
                  <c:v>1.3179274511518039E-2</c:v>
                </c:pt>
                <c:pt idx="154">
                  <c:v>1.3270270320977499E-2</c:v>
                </c:pt>
                <c:pt idx="155">
                  <c:v>1.3361183658717208E-2</c:v>
                </c:pt>
                <c:pt idx="156">
                  <c:v>1.3452001960005899E-2</c:v>
                </c:pt>
                <c:pt idx="157">
                  <c:v>1.3542712737146037E-2</c:v>
                </c:pt>
                <c:pt idx="158">
                  <c:v>1.3633303630059487E-2</c:v>
                </c:pt>
                <c:pt idx="159">
                  <c:v>1.3723762456845706E-2</c:v>
                </c:pt>
                <c:pt idx="160">
                  <c:v>1.381407726396899E-2</c:v>
                </c:pt>
                <c:pt idx="161">
                  <c:v>1.3904236375727437E-2</c:v>
                </c:pt>
                <c:pt idx="162">
                  <c:v>1.3994228442655042E-2</c:v>
                </c:pt>
                <c:pt idx="163">
                  <c:v>1.4084042488510921E-2</c:v>
                </c:pt>
                <c:pt idx="164">
                  <c:v>1.4173667955514977E-2</c:v>
                </c:pt>
                <c:pt idx="165">
                  <c:v>1.4263094747497894E-2</c:v>
                </c:pt>
                <c:pt idx="166">
                  <c:v>1.435231327064522E-2</c:v>
                </c:pt>
                <c:pt idx="167">
                  <c:v>1.4441314471529989E-2</c:v>
                </c:pt>
                <c:pt idx="168">
                  <c:v>1.4530089872146242E-2</c:v>
                </c:pt>
                <c:pt idx="169">
                  <c:v>1.4618631601676585E-2</c:v>
                </c:pt>
                <c:pt idx="170">
                  <c:v>1.4706932424749988E-2</c:v>
                </c:pt>
                <c:pt idx="171">
                  <c:v>1.4794985765972208E-2</c:v>
                </c:pt>
                <c:pt idx="172">
                  <c:v>1.4882785730539212E-2</c:v>
                </c:pt>
                <c:pt idx="173">
                  <c:v>1.497032712077399E-2</c:v>
                </c:pt>
                <c:pt idx="174">
                  <c:v>1.505760544845937E-2</c:v>
                </c:pt>
                <c:pt idx="175">
                  <c:v>1.5144616942872401E-2</c:v>
                </c:pt>
                <c:pt idx="176">
                  <c:v>1.5231358554460782E-2</c:v>
                </c:pt>
                <c:pt idx="177">
                  <c:v>1.5317827954136803E-2</c:v>
                </c:pt>
                <c:pt idx="178">
                  <c:v>1.5404023528200056E-2</c:v>
                </c:pt>
                <c:pt idx="179">
                  <c:v>1.5489944368936482E-2</c:v>
                </c:pt>
                <c:pt idx="180">
                  <c:v>1.557559026097621E-2</c:v>
                </c:pt>
                <c:pt idx="181">
                  <c:v>1.5660961663528618E-2</c:v>
                </c:pt>
                <c:pt idx="182">
                  <c:v>1.5746059688646303E-2</c:v>
                </c:pt>
                <c:pt idx="183">
                  <c:v>1.5830886075703203E-2</c:v>
                </c:pt>
                <c:pt idx="184">
                  <c:v>1.5915443162302794E-2</c:v>
                </c:pt>
                <c:pt idx="185">
                  <c:v>1.5999733851861816E-2</c:v>
                </c:pt>
                <c:pt idx="186">
                  <c:v>1.6083761578141828E-2</c:v>
                </c:pt>
                <c:pt idx="187">
                  <c:v>1.6167530267025498E-2</c:v>
                </c:pt>
                <c:pt idx="188">
                  <c:v>1.6251044295855988E-2</c:v>
                </c:pt>
                <c:pt idx="189">
                  <c:v>1.6334308450676512E-2</c:v>
                </c:pt>
                <c:pt idx="190">
                  <c:v>1.6417327881722725E-2</c:v>
                </c:pt>
                <c:pt idx="191">
                  <c:v>1.6500108057532104E-2</c:v>
                </c:pt>
                <c:pt idx="192">
                  <c:v>1.6582654718043471E-2</c:v>
                </c:pt>
                <c:pt idx="193">
                  <c:v>1.6664973827064299E-2</c:v>
                </c:pt>
                <c:pt idx="194">
                  <c:v>1.6747071524484729E-2</c:v>
                </c:pt>
                <c:pt idx="195">
                  <c:v>1.6828954078614497E-2</c:v>
                </c:pt>
                <c:pt idx="196">
                  <c:v>1.6910627839012992E-2</c:v>
                </c:pt>
                <c:pt idx="197">
                  <c:v>1.6992099190172399E-2</c:v>
                </c:pt>
                <c:pt idx="198">
                  <c:v>1.7073374506400778E-2</c:v>
                </c:pt>
                <c:pt idx="199">
                  <c:v>1.7154460108234994E-2</c:v>
                </c:pt>
                <c:pt idx="200">
                  <c:v>1.7235362220693363E-2</c:v>
                </c:pt>
                <c:pt idx="201">
                  <c:v>1.7316086933654766E-2</c:v>
                </c:pt>
                <c:pt idx="202">
                  <c:v>1.7396640164625519E-2</c:v>
                </c:pt>
                <c:pt idx="203">
                  <c:v>1.747702762412651E-2</c:v>
                </c:pt>
                <c:pt idx="204">
                  <c:v>1.7557254783902944E-2</c:v>
                </c:pt>
                <c:pt idx="205">
                  <c:v>1.7637326848126862E-2</c:v>
                </c:pt>
                <c:pt idx="206">
                  <c:v>1.7717248727728251E-2</c:v>
                </c:pt>
                <c:pt idx="207">
                  <c:v>1.7797025017956172E-2</c:v>
                </c:pt>
                <c:pt idx="208">
                  <c:v>1.7876659979235324E-2</c:v>
                </c:pt>
                <c:pt idx="209">
                  <c:v>1.7956157521347323E-2</c:v>
                </c:pt>
                <c:pt idx="210">
                  <c:v>1.8035521190930413E-2</c:v>
                </c:pt>
                <c:pt idx="211">
                  <c:v>1.8114754162255081E-2</c:v>
                </c:pt>
                <c:pt idx="212">
                  <c:v>1.8193859231199056E-2</c:v>
                </c:pt>
                <c:pt idx="213">
                  <c:v>1.8272838812311142E-2</c:v>
                </c:pt>
                <c:pt idx="214">
                  <c:v>1.8351694938821748E-2</c:v>
                </c:pt>
                <c:pt idx="215">
                  <c:v>1.843042926542816E-2</c:v>
                </c:pt>
                <c:pt idx="216">
                  <c:v>1.8509043073654682E-2</c:v>
                </c:pt>
                <c:pt idx="217">
                  <c:v>1.8587537279563492E-2</c:v>
                </c:pt>
                <c:pt idx="218">
                  <c:v>1.8665912443569316E-2</c:v>
                </c:pt>
                <c:pt idx="219">
                  <c:v>1.8744168782092979E-2</c:v>
                </c:pt>
                <c:pt idx="220">
                  <c:v>1.8822306180773001E-2</c:v>
                </c:pt>
                <c:pt idx="221">
                  <c:v>1.8900324208942856E-2</c:v>
                </c:pt>
                <c:pt idx="222">
                  <c:v>1.8978222135073559E-2</c:v>
                </c:pt>
                <c:pt idx="223">
                  <c:v>1.9055998942876892E-2</c:v>
                </c:pt>
                <c:pt idx="224">
                  <c:v>1.9133653347764432E-2</c:v>
                </c:pt>
                <c:pt idx="225">
                  <c:v>1.9211183813361482E-2</c:v>
                </c:pt>
                <c:pt idx="226">
                  <c:v>1.9288588567781862E-2</c:v>
                </c:pt>
                <c:pt idx="227">
                  <c:v>1.9365865619382031E-2</c:v>
                </c:pt>
                <c:pt idx="228">
                  <c:v>1.9443012771726956E-2</c:v>
                </c:pt>
                <c:pt idx="229">
                  <c:v>1.9520027637519862E-2</c:v>
                </c:pt>
                <c:pt idx="230">
                  <c:v>1.9596907651269195E-2</c:v>
                </c:pt>
                <c:pt idx="231">
                  <c:v>1.9673650080491874E-2</c:v>
                </c:pt>
                <c:pt idx="232">
                  <c:v>1.975025203527938E-2</c:v>
                </c:pt>
                <c:pt idx="233">
                  <c:v>1.9826710476084027E-2</c:v>
                </c:pt>
                <c:pt idx="234">
                  <c:v>1.990302221961502E-2</c:v>
                </c:pt>
                <c:pt idx="235">
                  <c:v>1.9979183942768531E-2</c:v>
                </c:pt>
                <c:pt idx="236">
                  <c:v>2.0055192184551492E-2</c:v>
                </c:pt>
                <c:pt idx="237">
                  <c:v>2.0131043345995584E-2</c:v>
                </c:pt>
                <c:pt idx="238">
                  <c:v>2.0206733688095172E-2</c:v>
                </c:pt>
                <c:pt idx="239">
                  <c:v>2.028225932783969E-2</c:v>
                </c:pt>
                <c:pt idx="240">
                  <c:v>2.0357616232448302E-2</c:v>
                </c:pt>
                <c:pt idx="241">
                  <c:v>2.0432800211950288E-2</c:v>
                </c:pt>
                <c:pt idx="242">
                  <c:v>2.0507806910289163E-2</c:v>
                </c:pt>
                <c:pt idx="243">
                  <c:v>2.0582631795161645E-2</c:v>
                </c:pt>
                <c:pt idx="244">
                  <c:v>2.0657270146832923E-2</c:v>
                </c:pt>
                <c:pt idx="245">
                  <c:v>2.0731717046198004E-2</c:v>
                </c:pt>
                <c:pt idx="246">
                  <c:v>2.0805967362383875E-2</c:v>
                </c:pt>
                <c:pt idx="247">
                  <c:v>2.0880015740208847E-2</c:v>
                </c:pt>
                <c:pt idx="248">
                  <c:v>2.0953856587833743E-2</c:v>
                </c:pt>
                <c:pt idx="249">
                  <c:v>2.1027484064953562E-2</c:v>
                </c:pt>
                <c:pt idx="250">
                  <c:v>2.1100892071888096E-2</c:v>
                </c:pt>
                <c:pt idx="251">
                  <c:v>2.117407423993576E-2</c:v>
                </c:pt>
                <c:pt idx="252">
                  <c:v>2.1247023923355684E-2</c:v>
                </c:pt>
                <c:pt idx="253">
                  <c:v>2.1319734193339383E-2</c:v>
                </c:pt>
                <c:pt idx="254">
                  <c:v>2.1392197834325284E-2</c:v>
                </c:pt>
                <c:pt idx="255">
                  <c:v>2.146440734299572E-2</c:v>
                </c:pt>
                <c:pt idx="256">
                  <c:v>2.1536354930278952E-2</c:v>
                </c:pt>
                <c:pt idx="257">
                  <c:v>2.1608032526655937E-2</c:v>
                </c:pt>
                <c:pt idx="258">
                  <c:v>2.1679431791044954E-2</c:v>
                </c:pt>
                <c:pt idx="259">
                  <c:v>2.1750544123506719E-2</c:v>
                </c:pt>
                <c:pt idx="260">
                  <c:v>2.1821360681977171E-2</c:v>
                </c:pt>
                <c:pt idx="261">
                  <c:v>2.1891872403197243E-2</c:v>
                </c:pt>
                <c:pt idx="262">
                  <c:v>2.1962070027966851E-2</c:v>
                </c:pt>
                <c:pt idx="263">
                  <c:v>2.2031944130805919E-2</c:v>
                </c:pt>
                <c:pt idx="264">
                  <c:v>2.2101485154058277E-2</c:v>
                </c:pt>
                <c:pt idx="265">
                  <c:v>2.2170683446425005E-2</c:v>
                </c:pt>
                <c:pt idx="266">
                  <c:v>2.2239529305863686E-2</c:v>
                </c:pt>
                <c:pt idx="267">
                  <c:v>2.2308013026738072E-2</c:v>
                </c:pt>
                <c:pt idx="268">
                  <c:v>2.2376124951051395E-2</c:v>
                </c:pt>
                <c:pt idx="269">
                  <c:v>2.244385552354411E-2</c:v>
                </c:pt>
                <c:pt idx="270">
                  <c:v>2.2511195350386447E-2</c:v>
                </c:pt>
                <c:pt idx="271">
                  <c:v>2.2578135261145695E-2</c:v>
                </c:pt>
                <c:pt idx="272">
                  <c:v>2.2644666373660645E-2</c:v>
                </c:pt>
                <c:pt idx="273">
                  <c:v>2.2710780161409708E-2</c:v>
                </c:pt>
                <c:pt idx="274">
                  <c:v>2.2776468522916277E-2</c:v>
                </c:pt>
                <c:pt idx="275">
                  <c:v>2.2841723852696175E-2</c:v>
                </c:pt>
                <c:pt idx="276">
                  <c:v>2.2906539113215541E-2</c:v>
                </c:pt>
                <c:pt idx="277">
                  <c:v>2.2970907907297593E-2</c:v>
                </c:pt>
                <c:pt idx="278">
                  <c:v>2.3034824550389001E-2</c:v>
                </c:pt>
                <c:pt idx="279">
                  <c:v>2.3098284142076739E-2</c:v>
                </c:pt>
                <c:pt idx="280">
                  <c:v>2.3161282636229061E-2</c:v>
                </c:pt>
                <c:pt idx="281">
                  <c:v>2.322381690912538E-2</c:v>
                </c:pt>
                <c:pt idx="282">
                  <c:v>2.3285884824934898E-2</c:v>
                </c:pt>
                <c:pt idx="283">
                  <c:v>2.3347485297906038E-2</c:v>
                </c:pt>
                <c:pt idx="284">
                  <c:v>2.3408618350637102E-2</c:v>
                </c:pt>
                <c:pt idx="285">
                  <c:v>2.3469285167812472E-2</c:v>
                </c:pt>
                <c:pt idx="286">
                  <c:v>2.3529488144809818E-2</c:v>
                </c:pt>
                <c:pt idx="287">
                  <c:v>2.3589230930610213E-2</c:v>
                </c:pt>
                <c:pt idx="288">
                  <c:v>2.3648518464475885E-2</c:v>
                </c:pt>
                <c:pt idx="289">
                  <c:v>2.3707357005898703E-2</c:v>
                </c:pt>
                <c:pt idx="290">
                  <c:v>2.3765754157366786E-2</c:v>
                </c:pt>
                <c:pt idx="291">
                  <c:v>2.3823718879545503E-2</c:v>
                </c:pt>
                <c:pt idx="292">
                  <c:v>2.3881261498523054E-2</c:v>
                </c:pt>
                <c:pt idx="293">
                  <c:v>2.3938393704829454E-2</c:v>
                </c:pt>
                <c:pt idx="294">
                  <c:v>2.3995128543999291E-2</c:v>
                </c:pt>
                <c:pt idx="295">
                  <c:v>2.4051480398514586E-2</c:v>
                </c:pt>
                <c:pt idx="296">
                  <c:v>2.4107464961031954E-2</c:v>
                </c:pt>
                <c:pt idx="297">
                  <c:v>2.4163099198868492E-2</c:v>
                </c:pt>
                <c:pt idx="298">
                  <c:v>2.4218401309792949E-2</c:v>
                </c:pt>
                <c:pt idx="299">
                  <c:v>2.427339066924087E-2</c:v>
                </c:pt>
                <c:pt idx="300">
                  <c:v>2.4328087769145766E-2</c:v>
                </c:pt>
                <c:pt idx="301">
                  <c:v>2.4382514148649916E-2</c:v>
                </c:pt>
                <c:pt idx="302">
                  <c:v>2.4436692317030155E-2</c:v>
                </c:pt>
                <c:pt idx="303">
                  <c:v>2.4490645669242809E-2</c:v>
                </c:pt>
                <c:pt idx="304">
                  <c:v>2.4544398394558384E-2</c:v>
                </c:pt>
                <c:pt idx="305">
                  <c:v>2.4597975378820476E-2</c:v>
                </c:pt>
                <c:pt idx="306">
                  <c:v>2.4651402100922627E-2</c:v>
                </c:pt>
                <c:pt idx="307">
                  <c:v>2.4704704524151931E-2</c:v>
                </c:pt>
                <c:pt idx="308">
                  <c:v>2.4757908983098539E-2</c:v>
                </c:pt>
                <c:pt idx="309">
                  <c:v>2.4811042066874827E-2</c:v>
                </c:pt>
                <c:pt idx="310">
                  <c:v>2.486413049942646E-2</c:v>
                </c:pt>
                <c:pt idx="311">
                  <c:v>2.491720101775001E-2</c:v>
                </c:pt>
                <c:pt idx="312">
                  <c:v>2.4970280248857519E-2</c:v>
                </c:pt>
                <c:pt idx="313">
                  <c:v>2.5023394586346337E-2</c:v>
                </c:pt>
                <c:pt idx="314">
                  <c:v>2.5076570067444525E-2</c:v>
                </c:pt>
                <c:pt idx="315">
                  <c:v>2.5129832251405311E-2</c:v>
                </c:pt>
                <c:pt idx="316">
                  <c:v>2.5183206100120779E-2</c:v>
                </c:pt>
                <c:pt idx="317">
                  <c:v>2.5236715861813586E-2</c:v>
                </c:pt>
                <c:pt idx="318">
                  <c:v>2.5290384958646748E-2</c:v>
                </c:pt>
                <c:pt idx="319">
                  <c:v>2.5344235879065591E-2</c:v>
                </c:pt>
                <c:pt idx="320">
                  <c:v>2.5398290075652592E-2</c:v>
                </c:pt>
                <c:pt idx="321">
                  <c:v>2.5452567869235842E-2</c:v>
                </c:pt>
                <c:pt idx="322">
                  <c:v>2.5507088359944936E-2</c:v>
                </c:pt>
                <c:pt idx="323">
                  <c:v>2.5561869345855439E-2</c:v>
                </c:pt>
                <c:pt idx="324">
                  <c:v>2.5616927249804355E-2</c:v>
                </c:pt>
                <c:pt idx="325">
                  <c:v>2.5672277054895162E-2</c:v>
                </c:pt>
                <c:pt idx="326">
                  <c:v>2.5727932249142622E-2</c:v>
                </c:pt>
                <c:pt idx="327">
                  <c:v>2.5783904779634971E-2</c:v>
                </c:pt>
                <c:pt idx="328">
                  <c:v>2.5840205016515346E-2</c:v>
                </c:pt>
                <c:pt idx="329">
                  <c:v>2.5896841727005418E-2</c:v>
                </c:pt>
                <c:pt idx="330">
                  <c:v>2.5953822059613975E-2</c:v>
                </c:pt>
                <c:pt idx="331">
                  <c:v>2.6011151538591064E-2</c:v>
                </c:pt>
                <c:pt idx="332">
                  <c:v>2.606883406860595E-2</c:v>
                </c:pt>
                <c:pt idx="333">
                  <c:v>2.6126871949545202E-2</c:v>
                </c:pt>
                <c:pt idx="334">
                  <c:v>2.6185265901245706E-2</c:v>
                </c:pt>
                <c:pt idx="335">
                  <c:v>2.6244015097898261E-2</c:v>
                </c:pt>
                <c:pt idx="336">
                  <c:v>2.6303117211780254E-2</c:v>
                </c:pt>
                <c:pt idx="337">
                  <c:v>2.6362568465902084E-2</c:v>
                </c:pt>
                <c:pt idx="338">
                  <c:v>2.6422363695081889E-2</c:v>
                </c:pt>
                <c:pt idx="339">
                  <c:v>2.6482496414897819E-2</c:v>
                </c:pt>
                <c:pt idx="340">
                  <c:v>2.6542958897906241E-2</c:v>
                </c:pt>
                <c:pt idx="341">
                  <c:v>2.660374225645953E-2</c:v>
                </c:pt>
                <c:pt idx="342">
                  <c:v>2.666483653140838E-2</c:v>
                </c:pt>
                <c:pt idx="343">
                  <c:v>2.672623078593088E-2</c:v>
                </c:pt>
                <c:pt idx="344">
                  <c:v>2.6787913203695751E-2</c:v>
                </c:pt>
                <c:pt idx="345">
                  <c:v>2.6849871190538412E-2</c:v>
                </c:pt>
                <c:pt idx="346">
                  <c:v>2.6912091478808076E-2</c:v>
                </c:pt>
                <c:pt idx="347">
                  <c:v>2.6974560233530877E-2</c:v>
                </c:pt>
                <c:pt idx="348">
                  <c:v>2.7037263159528455E-2</c:v>
                </c:pt>
                <c:pt idx="349">
                  <c:v>2.7100185608633642E-2</c:v>
                </c:pt>
                <c:pt idx="350">
                  <c:v>2.7163312686155013E-2</c:v>
                </c:pt>
                <c:pt idx="351">
                  <c:v>2.7226629355759122E-2</c:v>
                </c:pt>
                <c:pt idx="352">
                  <c:v>2.7290120541964051E-2</c:v>
                </c:pt>
                <c:pt idx="353">
                  <c:v>2.7353771229469848E-2</c:v>
                </c:pt>
                <c:pt idx="354">
                  <c:v>2.7417566558589734E-2</c:v>
                </c:pt>
                <c:pt idx="355">
                  <c:v>2.7481491916090433E-2</c:v>
                </c:pt>
                <c:pt idx="356">
                  <c:v>2.7545533020801198E-2</c:v>
                </c:pt>
                <c:pt idx="357">
                  <c:v>2.7609676003406372E-2</c:v>
                </c:pt>
                <c:pt idx="358">
                  <c:v>2.7673907479897522E-2</c:v>
                </c:pt>
                <c:pt idx="359">
                  <c:v>2.7738214618225468E-2</c:v>
                </c:pt>
                <c:pt idx="360">
                  <c:v>2.7802585197761447E-2</c:v>
                </c:pt>
                <c:pt idx="361">
                  <c:v>2.7867007661247334E-2</c:v>
                </c:pt>
                <c:pt idx="362">
                  <c:v>2.7931471158988301E-2</c:v>
                </c:pt>
                <c:pt idx="363">
                  <c:v>2.7995965585116054E-2</c:v>
                </c:pt>
                <c:pt idx="364">
                  <c:v>2.8060481605826016E-2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1.1753896867321749E-2</c:v>
                </c:pt>
                <c:pt idx="1">
                  <c:v>1.1685900152134355E-2</c:v>
                </c:pt>
                <c:pt idx="2">
                  <c:v>1.1607469410474523E-2</c:v>
                </c:pt>
                <c:pt idx="3">
                  <c:v>1.151905762151211E-2</c:v>
                </c:pt>
                <c:pt idx="4">
                  <c:v>1.1421126477112131E-2</c:v>
                </c:pt>
                <c:pt idx="5">
                  <c:v>1.1314142717451086E-2</c:v>
                </c:pt>
                <c:pt idx="6">
                  <c:v>1.1198574659261631E-2</c:v>
                </c:pt>
                <c:pt idx="7">
                  <c:v>1.1074888952110526E-2</c:v>
                </c:pt>
                <c:pt idx="8">
                  <c:v>1.0942223038757403E-2</c:v>
                </c:pt>
                <c:pt idx="9">
                  <c:v>1.0800939415249903E-2</c:v>
                </c:pt>
                <c:pt idx="10">
                  <c:v>1.0656490545510187E-2</c:v>
                </c:pt>
                <c:pt idx="11">
                  <c:v>1.050944286930105E-2</c:v>
                </c:pt>
                <c:pt idx="12">
                  <c:v>1.0360334664306196E-2</c:v>
                </c:pt>
                <c:pt idx="13">
                  <c:v>1.0209674074555645E-2</c:v>
                </c:pt>
                <c:pt idx="14">
                  <c:v>1.0057937732391362E-2</c:v>
                </c:pt>
                <c:pt idx="15">
                  <c:v>9.9003477349543928E-3</c:v>
                </c:pt>
                <c:pt idx="16">
                  <c:v>9.7393978729433239E-3</c:v>
                </c:pt>
                <c:pt idx="17">
                  <c:v>9.5755706374350547E-3</c:v>
                </c:pt>
                <c:pt idx="18">
                  <c:v>9.4093147924938537E-3</c:v>
                </c:pt>
                <c:pt idx="19">
                  <c:v>9.2410967031734299E-3</c:v>
                </c:pt>
                <c:pt idx="20">
                  <c:v>9.0713680121684848E-3</c:v>
                </c:pt>
                <c:pt idx="21">
                  <c:v>8.9005549372406477E-3</c:v>
                </c:pt>
                <c:pt idx="22">
                  <c:v>8.727735541688637E-3</c:v>
                </c:pt>
                <c:pt idx="23">
                  <c:v>8.5503154680846571E-3</c:v>
                </c:pt>
                <c:pt idx="24">
                  <c:v>8.3680006325017441E-3</c:v>
                </c:pt>
                <c:pt idx="25">
                  <c:v>8.1813620964580058E-3</c:v>
                </c:pt>
                <c:pt idx="26">
                  <c:v>7.9909268082986474E-3</c:v>
                </c:pt>
                <c:pt idx="27">
                  <c:v>7.7971774642536015E-3</c:v>
                </c:pt>
                <c:pt idx="28">
                  <c:v>7.6005528717516067E-3</c:v>
                </c:pt>
                <c:pt idx="29">
                  <c:v>7.4042905425686202E-3</c:v>
                </c:pt>
                <c:pt idx="30">
                  <c:v>7.2130828795801275E-3</c:v>
                </c:pt>
                <c:pt idx="31">
                  <c:v>7.0270063283177971E-3</c:v>
                </c:pt>
                <c:pt idx="32">
                  <c:v>6.8461092486387064E-3</c:v>
                </c:pt>
                <c:pt idx="33">
                  <c:v>6.6704150384510816E-3</c:v>
                </c:pt>
                <c:pt idx="34">
                  <c:v>6.4999250956231554E-3</c:v>
                </c:pt>
                <c:pt idx="35">
                  <c:v>6.3346216074928888E-3</c:v>
                </c:pt>
                <c:pt idx="36">
                  <c:v>6.1740006452264424E-3</c:v>
                </c:pt>
                <c:pt idx="37">
                  <c:v>6.0160842235740608E-3</c:v>
                </c:pt>
                <c:pt idx="38">
                  <c:v>5.8623966713045083E-3</c:v>
                </c:pt>
                <c:pt idx="39">
                  <c:v>5.7128355620137752E-3</c:v>
                </c:pt>
                <c:pt idx="40">
                  <c:v>5.5672999134476616E-3</c:v>
                </c:pt>
                <c:pt idx="41">
                  <c:v>5.4256904444416601E-3</c:v>
                </c:pt>
                <c:pt idx="42">
                  <c:v>5.2879098022997886E-3</c:v>
                </c:pt>
                <c:pt idx="43">
                  <c:v>5.1523753205539088E-3</c:v>
                </c:pt>
                <c:pt idx="44">
                  <c:v>5.0166007705358187E-3</c:v>
                </c:pt>
                <c:pt idx="45">
                  <c:v>4.8806049803694785E-3</c:v>
                </c:pt>
                <c:pt idx="46">
                  <c:v>4.7444051796718999E-3</c:v>
                </c:pt>
                <c:pt idx="47">
                  <c:v>4.6080171907980343E-3</c:v>
                </c:pt>
                <c:pt idx="48">
                  <c:v>4.4714555861913889E-3</c:v>
                </c:pt>
                <c:pt idx="49">
                  <c:v>4.3347338119595572E-3</c:v>
                </c:pt>
                <c:pt idx="50">
                  <c:v>4.1978360686123223E-3</c:v>
                </c:pt>
                <c:pt idx="51">
                  <c:v>4.0597206929054381E-3</c:v>
                </c:pt>
                <c:pt idx="52">
                  <c:v>3.9216348472115433E-3</c:v>
                </c:pt>
                <c:pt idx="53">
                  <c:v>3.7835558740238234E-3</c:v>
                </c:pt>
                <c:pt idx="54">
                  <c:v>3.6454833907040049E-3</c:v>
                </c:pt>
                <c:pt idx="55">
                  <c:v>3.5074183318575887E-3</c:v>
                </c:pt>
                <c:pt idx="56">
                  <c:v>3.3693627735861104E-3</c:v>
                </c:pt>
                <c:pt idx="57">
                  <c:v>3.2331356959468208E-3</c:v>
                </c:pt>
                <c:pt idx="58">
                  <c:v>3.0999986202981129E-3</c:v>
                </c:pt>
                <c:pt idx="59">
                  <c:v>2.9698796897265267E-3</c:v>
                </c:pt>
                <c:pt idx="60">
                  <c:v>2.8427097664515339E-3</c:v>
                </c:pt>
                <c:pt idx="61">
                  <c:v>2.718422139578831E-3</c:v>
                </c:pt>
                <c:pt idx="62">
                  <c:v>2.5969522420069605E-3</c:v>
                </c:pt>
                <c:pt idx="63">
                  <c:v>2.47823737816452E-3</c:v>
                </c:pt>
                <c:pt idx="64">
                  <c:v>2.362155619857839E-3</c:v>
                </c:pt>
                <c:pt idx="65">
                  <c:v>2.251406378438158E-3</c:v>
                </c:pt>
                <c:pt idx="66">
                  <c:v>2.146814053892096E-3</c:v>
                </c:pt>
                <c:pt idx="67">
                  <c:v>2.0482717855230684E-3</c:v>
                </c:pt>
                <c:pt idx="68">
                  <c:v>1.9556703072117535E-3</c:v>
                </c:pt>
                <c:pt idx="69">
                  <c:v>1.8688987883627604E-3</c:v>
                </c:pt>
                <c:pt idx="70">
                  <c:v>1.7878456353306012E-3</c:v>
                </c:pt>
                <c:pt idx="71">
                  <c:v>1.7128039702721148E-3</c:v>
                </c:pt>
                <c:pt idx="72">
                  <c:v>1.6420434297456067E-3</c:v>
                </c:pt>
                <c:pt idx="73">
                  <c:v>1.5754819430308722E-3</c:v>
                </c:pt>
                <c:pt idx="74">
                  <c:v>1.5130379886304788E-3</c:v>
                </c:pt>
                <c:pt idx="75">
                  <c:v>1.4546310897217754E-3</c:v>
                </c:pt>
                <c:pt idx="76">
                  <c:v>1.4001822867417569E-3</c:v>
                </c:pt>
                <c:pt idx="77">
                  <c:v>1.3496145879314302E-3</c:v>
                </c:pt>
                <c:pt idx="78">
                  <c:v>1.3027707235951443E-3</c:v>
                </c:pt>
                <c:pt idx="79">
                  <c:v>1.2599812141605698E-3</c:v>
                </c:pt>
                <c:pt idx="80">
                  <c:v>1.2186853330857863E-3</c:v>
                </c:pt>
                <c:pt idx="81">
                  <c:v>1.1788729284669354E-3</c:v>
                </c:pt>
                <c:pt idx="82">
                  <c:v>1.1405313025727149E-3</c:v>
                </c:pt>
                <c:pt idx="83">
                  <c:v>1.1036455770418688E-3</c:v>
                </c:pt>
                <c:pt idx="84">
                  <c:v>1.0681990433880721E-3</c:v>
                </c:pt>
                <c:pt idx="85">
                  <c:v>1.0346064367152904E-3</c:v>
                </c:pt>
                <c:pt idx="86">
                  <c:v>1.0024669155212519E-3</c:v>
                </c:pt>
                <c:pt idx="87">
                  <c:v>9.7175877347379486E-4</c:v>
                </c:pt>
                <c:pt idx="88">
                  <c:v>9.4245979216718481E-4</c:v>
                </c:pt>
                <c:pt idx="89">
                  <c:v>0</c:v>
                </c:pt>
                <c:pt idx="90">
                  <c:v>1.017517929656172E-7</c:v>
                </c:pt>
                <c:pt idx="91">
                  <c:v>2.0207465870298151E-7</c:v>
                </c:pt>
                <c:pt idx="92">
                  <c:v>3.0123086894336344E-7</c:v>
                </c:pt>
                <c:pt idx="93">
                  <c:v>3.9942865269028013E-7</c:v>
                </c:pt>
                <c:pt idx="94">
                  <c:v>4.9666551374385479E-7</c:v>
                </c:pt>
                <c:pt idx="95">
                  <c:v>5.930285383242665E-7</c:v>
                </c:pt>
                <c:pt idx="96">
                  <c:v>6.8860478844939615E-7</c:v>
                </c:pt>
                <c:pt idx="97">
                  <c:v>7.8348135135689649E-7</c:v>
                </c:pt>
                <c:pt idx="98">
                  <c:v>8.7774540107289537E-7</c:v>
                </c:pt>
                <c:pt idx="99">
                  <c:v>9.716722468031313E-7</c:v>
                </c:pt>
                <c:pt idx="100">
                  <c:v>1.0647986651764275E-6</c:v>
                </c:pt>
                <c:pt idx="101">
                  <c:v>1.1570780297792467E-6</c:v>
                </c:pt>
                <c:pt idx="102">
                  <c:v>1.2484536295767736E-6</c:v>
                </c:pt>
                <c:pt idx="103">
                  <c:v>1.3388578747776305E-6</c:v>
                </c:pt>
                <c:pt idx="104">
                  <c:v>1.4282114672234836E-6</c:v>
                </c:pt>
                <c:pt idx="105">
                  <c:v>1.5164225350928855E-6</c:v>
                </c:pt>
                <c:pt idx="106">
                  <c:v>1.6033784319269918E-6</c:v>
                </c:pt>
                <c:pt idx="107">
                  <c:v>1.689808734372912E-6</c:v>
                </c:pt>
                <c:pt idx="108">
                  <c:v>1.7760831403037478E-6</c:v>
                </c:pt>
                <c:pt idx="109">
                  <c:v>1.8623336294004294E-6</c:v>
                </c:pt>
                <c:pt idx="110">
                  <c:v>1.9487041106485684E-6</c:v>
                </c:pt>
                <c:pt idx="111">
                  <c:v>2.035346847186565E-6</c:v>
                </c:pt>
                <c:pt idx="112">
                  <c:v>2.1224172835896136E-6</c:v>
                </c:pt>
                <c:pt idx="113">
                  <c:v>2.210527336161233E-6</c:v>
                </c:pt>
                <c:pt idx="114">
                  <c:v>2.2992955118128591E-6</c:v>
                </c:pt>
                <c:pt idx="115">
                  <c:v>2.3888791054218317E-6</c:v>
                </c:pt>
                <c:pt idx="116">
                  <c:v>2.4794453201705641E-6</c:v>
                </c:pt>
                <c:pt idx="117">
                  <c:v>2.5711723190259989E-6</c:v>
                </c:pt>
                <c:pt idx="118">
                  <c:v>2.6642503352879954E-6</c:v>
                </c:pt>
                <c:pt idx="119">
                  <c:v>2.758882842316079E-6</c:v>
                </c:pt>
                <c:pt idx="120">
                  <c:v>2.8553311162054633E-6</c:v>
                </c:pt>
                <c:pt idx="121">
                  <c:v>2.9555562901582043E-6</c:v>
                </c:pt>
                <c:pt idx="122">
                  <c:v>3.0578495009238217E-6</c:v>
                </c:pt>
                <c:pt idx="123">
                  <c:v>3.162400517850552E-6</c:v>
                </c:pt>
                <c:pt idx="124">
                  <c:v>3.2694108322433503E-6</c:v>
                </c:pt>
                <c:pt idx="125">
                  <c:v>3.3790946412142014E-6</c:v>
                </c:pt>
                <c:pt idx="126">
                  <c:v>3.4916798299750467E-6</c:v>
                </c:pt>
                <c:pt idx="127">
                  <c:v>3.606440056497199E-6</c:v>
                </c:pt>
                <c:pt idx="128">
                  <c:v>3.722433267175137E-6</c:v>
                </c:pt>
                <c:pt idx="129">
                  <c:v>3.8396075980517921E-6</c:v>
                </c:pt>
                <c:pt idx="130">
                  <c:v>3.9579043937612776E-6</c:v>
                </c:pt>
                <c:pt idx="131">
                  <c:v>4.0772583825412167E-6</c:v>
                </c:pt>
                <c:pt idx="132">
                  <c:v>4.1975979087555067E-6</c:v>
                </c:pt>
                <c:pt idx="133">
                  <c:v>4.3188452247761708E-6</c:v>
                </c:pt>
                <c:pt idx="134">
                  <c:v>4.4410263499838001E-6</c:v>
                </c:pt>
                <c:pt idx="135">
                  <c:v>4.5622592293464667E-6</c:v>
                </c:pt>
                <c:pt idx="136">
                  <c:v>4.678603489508439E-6</c:v>
                </c:pt>
                <c:pt idx="137">
                  <c:v>4.7892064372754706E-6</c:v>
                </c:pt>
                <c:pt idx="138">
                  <c:v>4.8931635420870463E-6</c:v>
                </c:pt>
                <c:pt idx="139">
                  <c:v>4.9895189078336163E-6</c:v>
                </c:pt>
                <c:pt idx="140">
                  <c:v>5.0772661454969898E-6</c:v>
                </c:pt>
                <c:pt idx="141">
                  <c:v>5.1596603695552763E-6</c:v>
                </c:pt>
                <c:pt idx="142">
                  <c:v>5.2380763289446099E-6</c:v>
                </c:pt>
                <c:pt idx="143">
                  <c:v>5.3121768664942923E-6</c:v>
                </c:pt>
                <c:pt idx="144">
                  <c:v>5.3816559674854199E-6</c:v>
                </c:pt>
                <c:pt idx="145">
                  <c:v>5.4462099997318009E-6</c:v>
                </c:pt>
                <c:pt idx="146">
                  <c:v>5.5055396027640673E-6</c:v>
                </c:pt>
                <c:pt idx="147">
                  <c:v>5.5593516394034368E-6</c:v>
                </c:pt>
                <c:pt idx="148">
                  <c:v>5.6074925289939263E-6</c:v>
                </c:pt>
                <c:pt idx="149">
                  <c:v>5.6509235225117383E-6</c:v>
                </c:pt>
                <c:pt idx="150">
                  <c:v>5.6930815515090789E-6</c:v>
                </c:pt>
                <c:pt idx="151">
                  <c:v>5.7342305479876896E-6</c:v>
                </c:pt>
                <c:pt idx="152">
                  <c:v>5.7746673362193562E-6</c:v>
                </c:pt>
                <c:pt idx="153">
                  <c:v>5.8147219913979016E-6</c:v>
                </c:pt>
                <c:pt idx="154">
                  <c:v>5.8547579341559891E-6</c:v>
                </c:pt>
                <c:pt idx="155">
                  <c:v>5.9003928248023593E-6</c:v>
                </c:pt>
                <c:pt idx="156">
                  <c:v>5.9450013971092881E-6</c:v>
                </c:pt>
                <c:pt idx="157">
                  <c:v>5.9888360416382553E-6</c:v>
                </c:pt>
                <c:pt idx="158">
                  <c:v>6.0321748801863684E-6</c:v>
                </c:pt>
                <c:pt idx="159">
                  <c:v>6.075321276405012E-6</c:v>
                </c:pt>
                <c:pt idx="160">
                  <c:v>6.1186031144510876E-6</c:v>
                </c:pt>
                <c:pt idx="161">
                  <c:v>6.1623718448176278E-6</c:v>
                </c:pt>
                <c:pt idx="162">
                  <c:v>6.2071084043030335E-6</c:v>
                </c:pt>
                <c:pt idx="163">
                  <c:v>6.259351213837091E-6</c:v>
                </c:pt>
                <c:pt idx="164">
                  <c:v>6.3182580168146757E-6</c:v>
                </c:pt>
                <c:pt idx="165">
                  <c:v>6.38466679130438E-6</c:v>
                </c:pt>
                <c:pt idx="166">
                  <c:v>6.4594332215290429E-6</c:v>
                </c:pt>
                <c:pt idx="167">
                  <c:v>6.543427670064226E-6</c:v>
                </c:pt>
                <c:pt idx="168">
                  <c:v>6.6375321072939713E-6</c:v>
                </c:pt>
                <c:pt idx="169">
                  <c:v>6.7496399032946685E-6</c:v>
                </c:pt>
                <c:pt idx="170">
                  <c:v>6.873189040938342E-6</c:v>
                </c:pt>
                <c:pt idx="171">
                  <c:v>7.0090215654737222E-6</c:v>
                </c:pt>
                <c:pt idx="172">
                  <c:v>7.1579790916028244E-6</c:v>
                </c:pt>
                <c:pt idx="173">
                  <c:v>7.3208253785894077E-6</c:v>
                </c:pt>
                <c:pt idx="174">
                  <c:v>7.4983074538266157E-6</c:v>
                </c:pt>
                <c:pt idx="175">
                  <c:v>7.6912319984846218E-6</c:v>
                </c:pt>
                <c:pt idx="176">
                  <c:v>7.9003932320820375E-6</c:v>
                </c:pt>
                <c:pt idx="177">
                  <c:v>8.1357738248833241E-6</c:v>
                </c:pt>
                <c:pt idx="178">
                  <c:v>8.3902020845165513E-6</c:v>
                </c:pt>
                <c:pt idx="179">
                  <c:v>8.6644660948459943E-6</c:v>
                </c:pt>
                <c:pt idx="180">
                  <c:v>8.9593324343632794E-6</c:v>
                </c:pt>
                <c:pt idx="181">
                  <c:v>9.2755449514500613E-6</c:v>
                </c:pt>
                <c:pt idx="182">
                  <c:v>9.6138238120754695E-6</c:v>
                </c:pt>
                <c:pt idx="183">
                  <c:v>9.9775518535081534E-6</c:v>
                </c:pt>
                <c:pt idx="184">
                  <c:v>1.0358197173600738E-5</c:v>
                </c:pt>
                <c:pt idx="185">
                  <c:v>1.075611098956481E-5</c:v>
                </c:pt>
                <c:pt idx="186">
                  <c:v>1.1171630509172193E-5</c:v>
                </c:pt>
                <c:pt idx="187">
                  <c:v>1.16050794638203E-5</c:v>
                </c:pt>
                <c:pt idx="188">
                  <c:v>1.2056768743624507E-5</c:v>
                </c:pt>
                <c:pt idx="189">
                  <c:v>1.2526997122032266E-5</c:v>
                </c:pt>
                <c:pt idx="190">
                  <c:v>1.3015951976922112E-5</c:v>
                </c:pt>
                <c:pt idx="191">
                  <c:v>1.3539780413476708E-5</c:v>
                </c:pt>
                <c:pt idx="192">
                  <c:v>1.4087844857994756E-5</c:v>
                </c:pt>
                <c:pt idx="193">
                  <c:v>1.466058336319704E-5</c:v>
                </c:pt>
                <c:pt idx="194">
                  <c:v>1.5258426866959005E-5</c:v>
                </c:pt>
                <c:pt idx="195">
                  <c:v>1.5881801295193388E-5</c:v>
                </c:pt>
                <c:pt idx="196">
                  <c:v>1.6531129728379401E-5</c:v>
                </c:pt>
                <c:pt idx="197">
                  <c:v>1.7196919602174116E-5</c:v>
                </c:pt>
                <c:pt idx="198">
                  <c:v>1.7876086819537199E-5</c:v>
                </c:pt>
                <c:pt idx="199">
                  <c:v>1.8568695997580189E-5</c:v>
                </c:pt>
                <c:pt idx="200">
                  <c:v>1.9274832055193078E-5</c:v>
                </c:pt>
                <c:pt idx="201">
                  <c:v>1.9994601094285239E-5</c:v>
                </c:pt>
                <c:pt idx="202">
                  <c:v>2.072813119957501E-5</c:v>
                </c:pt>
                <c:pt idx="203">
                  <c:v>2.1475573171280651E-5</c:v>
                </c:pt>
                <c:pt idx="204">
                  <c:v>2.2236863657867799E-5</c:v>
                </c:pt>
                <c:pt idx="205">
                  <c:v>2.3003957400753901E-5</c:v>
                </c:pt>
                <c:pt idx="206">
                  <c:v>2.3758354196544987E-5</c:v>
                </c:pt>
                <c:pt idx="207">
                  <c:v>2.4499524409617978E-5</c:v>
                </c:pt>
                <c:pt idx="208">
                  <c:v>2.5226965078475697E-5</c:v>
                </c:pt>
                <c:pt idx="209">
                  <c:v>2.5940198018441456E-5</c:v>
                </c:pt>
                <c:pt idx="210">
                  <c:v>2.6638767933522664E-5</c:v>
                </c:pt>
                <c:pt idx="211">
                  <c:v>2.7342117101758571E-5</c:v>
                </c:pt>
                <c:pt idx="212">
                  <c:v>2.8061400155599968E-5</c:v>
                </c:pt>
                <c:pt idx="213">
                  <c:v>2.8796825661184374E-5</c:v>
                </c:pt>
                <c:pt idx="214">
                  <c:v>2.9548601149664721E-5</c:v>
                </c:pt>
                <c:pt idx="215">
                  <c:v>3.0316932912834555E-5</c:v>
                </c:pt>
                <c:pt idx="216">
                  <c:v>3.1102025807852256E-5</c:v>
                </c:pt>
                <c:pt idx="217">
                  <c:v>3.1904083076674627E-5</c:v>
                </c:pt>
                <c:pt idx="218">
                  <c:v>3.2723040954599973E-5</c:v>
                </c:pt>
                <c:pt idx="219">
                  <c:v>3.3567799529471579E-5</c:v>
                </c:pt>
                <c:pt idx="220">
                  <c:v>3.4447520201210549E-5</c:v>
                </c:pt>
                <c:pt idx="221">
                  <c:v>3.5362796036865431E-5</c:v>
                </c:pt>
                <c:pt idx="222">
                  <c:v>3.6314224894043816E-5</c:v>
                </c:pt>
                <c:pt idx="223">
                  <c:v>3.7302411389690315E-5</c:v>
                </c:pt>
                <c:pt idx="224">
                  <c:v>3.8327968919842668E-5</c:v>
                </c:pt>
                <c:pt idx="225">
                  <c:v>3.9418495553480264E-5</c:v>
                </c:pt>
                <c:pt idx="226">
                  <c:v>4.0553352488815157E-5</c:v>
                </c:pt>
                <c:pt idx="227">
                  <c:v>4.1733273762932559E-5</c:v>
                </c:pt>
                <c:pt idx="228">
                  <c:v>4.2959010798886992E-5</c:v>
                </c:pt>
                <c:pt idx="229">
                  <c:v>4.423133504851716E-5</c:v>
                </c:pt>
                <c:pt idx="230">
                  <c:v>4.5551040699317009E-5</c:v>
                </c:pt>
                <c:pt idx="231">
                  <c:v>4.6918947461780507E-5</c:v>
                </c:pt>
                <c:pt idx="232">
                  <c:v>4.8335432499662437E-5</c:v>
                </c:pt>
                <c:pt idx="233">
                  <c:v>4.9813678753040724E-5</c:v>
                </c:pt>
                <c:pt idx="234">
                  <c:v>5.1344838584536516E-5</c:v>
                </c:pt>
                <c:pt idx="235">
                  <c:v>5.2929602095312695E-5</c:v>
                </c:pt>
                <c:pt idx="236">
                  <c:v>5.4568683016115681E-5</c:v>
                </c:pt>
                <c:pt idx="237">
                  <c:v>5.6262767297792331E-5</c:v>
                </c:pt>
                <c:pt idx="238">
                  <c:v>5.8012545324538618E-5</c:v>
                </c:pt>
                <c:pt idx="239">
                  <c:v>5.980911543166814E-5</c:v>
                </c:pt>
                <c:pt idx="240">
                  <c:v>6.1623989516873689E-5</c:v>
                </c:pt>
                <c:pt idx="241">
                  <c:v>6.3457321007648888E-5</c:v>
                </c:pt>
                <c:pt idx="242">
                  <c:v>6.5309265784888707E-5</c:v>
                </c:pt>
                <c:pt idx="243">
                  <c:v>6.7179981103989475E-5</c:v>
                </c:pt>
                <c:pt idx="244">
                  <c:v>6.9069624409164306E-5</c:v>
                </c:pt>
                <c:pt idx="245">
                  <c:v>7.097835205764005E-5</c:v>
                </c:pt>
                <c:pt idx="246">
                  <c:v>7.290631794039009E-5</c:v>
                </c:pt>
                <c:pt idx="247">
                  <c:v>7.4894386853627343E-5</c:v>
                </c:pt>
                <c:pt idx="248">
                  <c:v>7.6929345928472128E-5</c:v>
                </c:pt>
                <c:pt idx="249">
                  <c:v>7.9011707905632313E-5</c:v>
                </c:pt>
                <c:pt idx="250">
                  <c:v>8.114197853541413E-5</c:v>
                </c:pt>
                <c:pt idx="251">
                  <c:v>8.3320654893189979E-5</c:v>
                </c:pt>
                <c:pt idx="252">
                  <c:v>8.5548223594321486E-5</c:v>
                </c:pt>
                <c:pt idx="253">
                  <c:v>8.7864137736716656E-5</c:v>
                </c:pt>
                <c:pt idx="254">
                  <c:v>9.0279679625845911E-5</c:v>
                </c:pt>
                <c:pt idx="255">
                  <c:v>9.2795970145945276E-5</c:v>
                </c:pt>
                <c:pt idx="256">
                  <c:v>9.5414114606088215E-5</c:v>
                </c:pt>
                <c:pt idx="257">
                  <c:v>9.81352004140767E-5</c:v>
                </c:pt>
                <c:pt idx="258">
                  <c:v>1.0096029470193741E-4</c:v>
                </c:pt>
                <c:pt idx="259">
                  <c:v>1.0389044193049262E-4</c:v>
                </c:pt>
                <c:pt idx="260">
                  <c:v>1.069271752270493E-4</c:v>
                </c:pt>
                <c:pt idx="261">
                  <c:v>1.1007155555573348E-4</c:v>
                </c:pt>
                <c:pt idx="262">
                  <c:v>1.1328080003178537E-4</c:v>
                </c:pt>
                <c:pt idx="263">
                  <c:v>1.1655506953879955E-4</c:v>
                </c:pt>
                <c:pt idx="264">
                  <c:v>1.1989446605429666E-4</c:v>
                </c:pt>
                <c:pt idx="265">
                  <c:v>1.2329968515681621E-4</c:v>
                </c:pt>
                <c:pt idx="266">
                  <c:v>1.2677109351531577E-4</c:v>
                </c:pt>
                <c:pt idx="267">
                  <c:v>1.3033224022757623E-4</c:v>
                </c:pt>
                <c:pt idx="268">
                  <c:v>1.3394147377767483E-4</c:v>
                </c:pt>
                <c:pt idx="269">
                  <c:v>1.3759818662876662E-4</c:v>
                </c:pt>
                <c:pt idx="270">
                  <c:v>1.4130167958203611E-4</c:v>
                </c:pt>
                <c:pt idx="271">
                  <c:v>1.4505116193281928E-4</c:v>
                </c:pt>
                <c:pt idx="272">
                  <c:v>1.4884575241604564E-4</c:v>
                </c:pt>
                <c:pt idx="273">
                  <c:v>1.5268448092352127E-4</c:v>
                </c:pt>
                <c:pt idx="274">
                  <c:v>1.56572205292728E-4</c:v>
                </c:pt>
                <c:pt idx="275">
                  <c:v>1.609456611104547E-4</c:v>
                </c:pt>
                <c:pt idx="276">
                  <c:v>1.6580832849438809E-4</c:v>
                </c:pt>
                <c:pt idx="277">
                  <c:v>1.7116299060244102E-4</c:v>
                </c:pt>
                <c:pt idx="278">
                  <c:v>1.7701202380917053E-4</c:v>
                </c:pt>
                <c:pt idx="279">
                  <c:v>1.8335731258502933E-4</c:v>
                </c:pt>
                <c:pt idx="280">
                  <c:v>1.9020016255669056E-4</c:v>
                </c:pt>
                <c:pt idx="281">
                  <c:v>1.9768237629927022E-4</c:v>
                </c:pt>
                <c:pt idx="282">
                  <c:v>2.0578014007052367E-4</c:v>
                </c:pt>
                <c:pt idx="283">
                  <c:v>2.1449365251018606E-4</c:v>
                </c:pt>
                <c:pt idx="284">
                  <c:v>2.2382206631116946E-4</c:v>
                </c:pt>
                <c:pt idx="285">
                  <c:v>2.3376337521834238E-4</c:v>
                </c:pt>
                <c:pt idx="286">
                  <c:v>2.4431430136538851E-4</c:v>
                </c:pt>
                <c:pt idx="287">
                  <c:v>2.5547018368631805E-4</c:v>
                </c:pt>
                <c:pt idx="288">
                  <c:v>2.6724381162198724E-4</c:v>
                </c:pt>
                <c:pt idx="289">
                  <c:v>2.7946266352554518E-4</c:v>
                </c:pt>
                <c:pt idx="290">
                  <c:v>2.9166884618433015E-4</c:v>
                </c:pt>
                <c:pt idx="291">
                  <c:v>3.03855412077798E-4</c:v>
                </c:pt>
                <c:pt idx="292">
                  <c:v>3.1601496404256256E-4</c:v>
                </c:pt>
                <c:pt idx="293">
                  <c:v>3.281396711498691E-4</c:v>
                </c:pt>
                <c:pt idx="294">
                  <c:v>3.4022128511181473E-4</c:v>
                </c:pt>
                <c:pt idx="295">
                  <c:v>3.5223667401100003E-4</c:v>
                </c:pt>
                <c:pt idx="296">
                  <c:v>3.6403438423628781E-4</c:v>
                </c:pt>
                <c:pt idx="297">
                  <c:v>3.7560790210971502E-4</c:v>
                </c:pt>
                <c:pt idx="298">
                  <c:v>3.8694769882339689E-4</c:v>
                </c:pt>
                <c:pt idx="299">
                  <c:v>3.9804407661050403E-4</c:v>
                </c:pt>
                <c:pt idx="300">
                  <c:v>4.0888719867832502E-4</c:v>
                </c:pt>
                <c:pt idx="301">
                  <c:v>4.1946711832830443E-4</c:v>
                </c:pt>
                <c:pt idx="302">
                  <c:v>4.2979941587619418E-4</c:v>
                </c:pt>
                <c:pt idx="303">
                  <c:v>4.3998670459506839E-4</c:v>
                </c:pt>
                <c:pt idx="304">
                  <c:v>4.5021979520156423E-4</c:v>
                </c:pt>
                <c:pt idx="305">
                  <c:v>4.6049738950260913E-4</c:v>
                </c:pt>
                <c:pt idx="306">
                  <c:v>4.7081837691414661E-4</c:v>
                </c:pt>
                <c:pt idx="307">
                  <c:v>4.8118183031907089E-4</c:v>
                </c:pt>
                <c:pt idx="308">
                  <c:v>4.9158699689801121E-4</c:v>
                </c:pt>
                <c:pt idx="309">
                  <c:v>5.0238778644842654E-4</c:v>
                </c:pt>
                <c:pt idx="310">
                  <c:v>5.1359855625234701E-4</c:v>
                </c:pt>
                <c:pt idx="311">
                  <c:v>5.2521898067778522E-4</c:v>
                </c:pt>
                <c:pt idx="312">
                  <c:v>5.3724869883166771E-4</c:v>
                </c:pt>
                <c:pt idx="313">
                  <c:v>5.4968728474182038E-4</c:v>
                </c:pt>
                <c:pt idx="314">
                  <c:v>5.6253420960857188E-4</c:v>
                </c:pt>
                <c:pt idx="315">
                  <c:v>5.7578879527648414E-4</c:v>
                </c:pt>
                <c:pt idx="316">
                  <c:v>5.8948901256442531E-4</c:v>
                </c:pt>
                <c:pt idx="317">
                  <c:v>6.0269377698789423E-4</c:v>
                </c:pt>
                <c:pt idx="318">
                  <c:v>6.1532290602033576E-4</c:v>
                </c:pt>
                <c:pt idx="319">
                  <c:v>6.2737720899852425E-4</c:v>
                </c:pt>
                <c:pt idx="320">
                  <c:v>6.3885639858171249E-4</c:v>
                </c:pt>
                <c:pt idx="321">
                  <c:v>6.4975898808689318E-4</c:v>
                </c:pt>
                <c:pt idx="322">
                  <c:v>6.6008219321487106E-4</c:v>
                </c:pt>
                <c:pt idx="323">
                  <c:v>6.6914305502574825E-4</c:v>
                </c:pt>
                <c:pt idx="324">
                  <c:v>6.7657989455711129E-4</c:v>
                </c:pt>
                <c:pt idx="325">
                  <c:v>6.8238391153179758E-4</c:v>
                </c:pt>
                <c:pt idx="326">
                  <c:v>6.8654033832482619E-4</c:v>
                </c:pt>
                <c:pt idx="327">
                  <c:v>6.8903562568066706E-4</c:v>
                </c:pt>
                <c:pt idx="328">
                  <c:v>6.8985840744632441E-4</c:v>
                </c:pt>
                <c:pt idx="329">
                  <c:v>6.8899620152538036E-4</c:v>
                </c:pt>
                <c:pt idx="330">
                  <c:v>6.8650708802084771E-4</c:v>
                </c:pt>
                <c:pt idx="331">
                  <c:v>6.8394461661751759E-4</c:v>
                </c:pt>
                <c:pt idx="332">
                  <c:v>6.8228160517497434E-4</c:v>
                </c:pt>
                <c:pt idx="333">
                  <c:v>6.8150494450103705E-4</c:v>
                </c:pt>
                <c:pt idx="334">
                  <c:v>6.8160079845201119E-4</c:v>
                </c:pt>
                <c:pt idx="335">
                  <c:v>6.8255442612031648E-4</c:v>
                </c:pt>
                <c:pt idx="336">
                  <c:v>6.8434999623143578E-4</c:v>
                </c:pt>
                <c:pt idx="337">
                  <c:v>6.8777123200593118E-4</c:v>
                </c:pt>
                <c:pt idx="338">
                  <c:v>6.9348829069634246E-4</c:v>
                </c:pt>
                <c:pt idx="339">
                  <c:v>7.0148513330942574E-4</c:v>
                </c:pt>
                <c:pt idx="340">
                  <c:v>7.1174290143474685E-4</c:v>
                </c:pt>
                <c:pt idx="341">
                  <c:v>7.2423919682051887E-4</c:v>
                </c:pt>
                <c:pt idx="342">
                  <c:v>7.3894734577730175E-4</c:v>
                </c:pt>
                <c:pt idx="343">
                  <c:v>7.5583566134822678E-4</c:v>
                </c:pt>
                <c:pt idx="344">
                  <c:v>7.7495418520633292E-4</c:v>
                </c:pt>
                <c:pt idx="345">
                  <c:v>7.9636039066502461E-4</c:v>
                </c:pt>
                <c:pt idx="346">
                  <c:v>8.1677348908575651E-4</c:v>
                </c:pt>
                <c:pt idx="347">
                  <c:v>8.3616128574981908E-4</c:v>
                </c:pt>
                <c:pt idx="348">
                  <c:v>8.5448933793932339E-4</c:v>
                </c:pt>
                <c:pt idx="349">
                  <c:v>8.7172141737755179E-4</c:v>
                </c:pt>
                <c:pt idx="350">
                  <c:v>8.878200165628675E-4</c:v>
                </c:pt>
                <c:pt idx="351">
                  <c:v>9.0101097405635743E-4</c:v>
                </c:pt>
                <c:pt idx="352">
                  <c:v>9.1045872490295196E-4</c:v>
                </c:pt>
                <c:pt idx="353">
                  <c:v>9.161373455975634E-4</c:v>
                </c:pt>
                <c:pt idx="354">
                  <c:v>9.1802732274944736E-4</c:v>
                </c:pt>
                <c:pt idx="355">
                  <c:v>9.1611688661274245E-4</c:v>
                </c:pt>
                <c:pt idx="356">
                  <c:v>9.1039112395440748E-4</c:v>
                </c:pt>
                <c:pt idx="357">
                  <c:v>9.0086898123042003E-4</c:v>
                </c:pt>
                <c:pt idx="358">
                  <c:v>8.875689590331909E-4</c:v>
                </c:pt>
                <c:pt idx="359">
                  <c:v>8.705464230176123E-4</c:v>
                </c:pt>
                <c:pt idx="360">
                  <c:v>8.5066051906370623E-4</c:v>
                </c:pt>
                <c:pt idx="361">
                  <c:v>8.2967104577226698E-4</c:v>
                </c:pt>
                <c:pt idx="362">
                  <c:v>8.0762954934307659E-4</c:v>
                </c:pt>
                <c:pt idx="363">
                  <c:v>7.8458887559813145E-4</c:v>
                </c:pt>
                <c:pt idx="364">
                  <c:v>7.6060271030869628E-4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2416"/>
        <c:axId val="701982808"/>
      </c:lineChart>
      <c:dateAx>
        <c:axId val="7019824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2808"/>
        <c:crosses val="autoZero"/>
        <c:auto val="1"/>
        <c:lblOffset val="100"/>
        <c:baseTimeUnit val="days"/>
        <c:majorUnit val="1"/>
        <c:majorTimeUnit val="months"/>
      </c:dateAx>
      <c:valAx>
        <c:axId val="7019828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24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22.980445566971799</c:v>
                </c:pt>
                <c:pt idx="1">
                  <c:v>23.122266885494952</c:v>
                </c:pt>
                <c:pt idx="2">
                  <c:v>23.273302985978837</c:v>
                </c:pt>
                <c:pt idx="3">
                  <c:v>23.433079158436367</c:v>
                </c:pt>
                <c:pt idx="4">
                  <c:v>23.60112081071734</c:v>
                </c:pt>
                <c:pt idx="5">
                  <c:v>23.776953463318289</c:v>
                </c:pt>
                <c:pt idx="6">
                  <c:v>23.960102760887342</c:v>
                </c:pt>
                <c:pt idx="7">
                  <c:v>24.150094477078294</c:v>
                </c:pt>
                <c:pt idx="8">
                  <c:v>24.349403436577671</c:v>
                </c:pt>
                <c:pt idx="9">
                  <c:v>24.56031392792735</c:v>
                </c:pt>
                <c:pt idx="10">
                  <c:v>24.782061221628354</c:v>
                </c:pt>
                <c:pt idx="11">
                  <c:v>25.013863298225001</c:v>
                </c:pt>
                <c:pt idx="12">
                  <c:v>25.254938382484841</c:v>
                </c:pt>
                <c:pt idx="13">
                  <c:v>25.504504955768741</c:v>
                </c:pt>
                <c:pt idx="14">
                  <c:v>25.761781749107186</c:v>
                </c:pt>
                <c:pt idx="15">
                  <c:v>26.026009474534412</c:v>
                </c:pt>
                <c:pt idx="16">
                  <c:v>26.296440348497725</c:v>
                </c:pt>
                <c:pt idx="17">
                  <c:v>26.572293861010696</c:v>
                </c:pt>
                <c:pt idx="18">
                  <c:v>26.852789766186621</c:v>
                </c:pt>
                <c:pt idx="19">
                  <c:v>27.137147993019422</c:v>
                </c:pt>
                <c:pt idx="20">
                  <c:v>27.424588691898883</c:v>
                </c:pt>
                <c:pt idx="21">
                  <c:v>27.714332354385171</c:v>
                </c:pt>
                <c:pt idx="22">
                  <c:v>28.009510039012557</c:v>
                </c:pt>
                <c:pt idx="23">
                  <c:v>28.313158708204313</c:v>
                </c:pt>
                <c:pt idx="24">
                  <c:v>28.624354916075724</c:v>
                </c:pt>
                <c:pt idx="25">
                  <c:v>28.942190539127878</c:v>
                </c:pt>
                <c:pt idx="26">
                  <c:v>29.265757772940777</c:v>
                </c:pt>
                <c:pt idx="27">
                  <c:v>29.594149138988008</c:v>
                </c:pt>
                <c:pt idx="28">
                  <c:v>29.926457478102293</c:v>
                </c:pt>
                <c:pt idx="29">
                  <c:v>30.261774142295245</c:v>
                </c:pt>
                <c:pt idx="30">
                  <c:v>30.599170900810186</c:v>
                </c:pt>
                <c:pt idx="31">
                  <c:v>30.937741558639559</c:v>
                </c:pt>
                <c:pt idx="32">
                  <c:v>31.276580247007409</c:v>
                </c:pt>
                <c:pt idx="33">
                  <c:v>31.614781415966046</c:v>
                </c:pt>
                <c:pt idx="34">
                  <c:v>31.951439838454306</c:v>
                </c:pt>
                <c:pt idx="35">
                  <c:v>32.285650608472594</c:v>
                </c:pt>
                <c:pt idx="36">
                  <c:v>32.618990346020325</c:v>
                </c:pt>
                <c:pt idx="37">
                  <c:v>32.953571903959258</c:v>
                </c:pt>
                <c:pt idx="38">
                  <c:v>33.289302374449477</c:v>
                </c:pt>
                <c:pt idx="39">
                  <c:v>33.626081039100391</c:v>
                </c:pt>
                <c:pt idx="40">
                  <c:v>33.963807223443446</c:v>
                </c:pt>
                <c:pt idx="41">
                  <c:v>34.302380295879033</c:v>
                </c:pt>
                <c:pt idx="42">
                  <c:v>34.64169966572635</c:v>
                </c:pt>
                <c:pt idx="43">
                  <c:v>34.981669069805491</c:v>
                </c:pt>
                <c:pt idx="44">
                  <c:v>35.322189823731755</c:v>
                </c:pt>
                <c:pt idx="45">
                  <c:v>35.663161457358392</c:v>
                </c:pt>
                <c:pt idx="46">
                  <c:v>36.004483535068957</c:v>
                </c:pt>
                <c:pt idx="47">
                  <c:v>36.34605565218439</c:v>
                </c:pt>
                <c:pt idx="48">
                  <c:v>36.687777433735768</c:v>
                </c:pt>
                <c:pt idx="49">
                  <c:v>37.029548530937269</c:v>
                </c:pt>
                <c:pt idx="50">
                  <c:v>37.371519795343559</c:v>
                </c:pt>
                <c:pt idx="51">
                  <c:v>37.713905682300116</c:v>
                </c:pt>
                <c:pt idx="52">
                  <c:v>38.056705923850991</c:v>
                </c:pt>
                <c:pt idx="53">
                  <c:v>38.399920564670708</c:v>
                </c:pt>
                <c:pt idx="54">
                  <c:v>38.743549590692027</c:v>
                </c:pt>
                <c:pt idx="55">
                  <c:v>39.087592965887929</c:v>
                </c:pt>
                <c:pt idx="56">
                  <c:v>39.432050629653446</c:v>
                </c:pt>
                <c:pt idx="57">
                  <c:v>39.77691207575505</c:v>
                </c:pt>
                <c:pt idx="58">
                  <c:v>40.1221728343519</c:v>
                </c:pt>
                <c:pt idx="59">
                  <c:v>40.467832725429702</c:v>
                </c:pt>
                <c:pt idx="60">
                  <c:v>40.813891536344052</c:v>
                </c:pt>
                <c:pt idx="61">
                  <c:v>41.160349019987429</c:v>
                </c:pt>
                <c:pt idx="62">
                  <c:v>41.507204893846115</c:v>
                </c:pt>
                <c:pt idx="63">
                  <c:v>41.854458837482753</c:v>
                </c:pt>
                <c:pt idx="64">
                  <c:v>42.203197640029487</c:v>
                </c:pt>
                <c:pt idx="65">
                  <c:v>42.554172611613403</c:v>
                </c:pt>
                <c:pt idx="66">
                  <c:v>42.90688452339711</c:v>
                </c:pt>
                <c:pt idx="67">
                  <c:v>43.260830933924147</c:v>
                </c:pt>
                <c:pt idx="68">
                  <c:v>43.615509527656037</c:v>
                </c:pt>
                <c:pt idx="69">
                  <c:v>43.970418114726918</c:v>
                </c:pt>
                <c:pt idx="70">
                  <c:v>44.325054629894623</c:v>
                </c:pt>
                <c:pt idx="71">
                  <c:v>44.678917141315743</c:v>
                </c:pt>
                <c:pt idx="72">
                  <c:v>45.031514420096883</c:v>
                </c:pt>
                <c:pt idx="73">
                  <c:v>45.382344824290342</c:v>
                </c:pt>
                <c:pt idx="74">
                  <c:v>45.730906842259628</c:v>
                </c:pt>
                <c:pt idx="75">
                  <c:v>46.076699097517292</c:v>
                </c:pt>
                <c:pt idx="76">
                  <c:v>46.419220346224485</c:v>
                </c:pt>
                <c:pt idx="77">
                  <c:v>46.75796948070284</c:v>
                </c:pt>
                <c:pt idx="78">
                  <c:v>47.095435860689776</c:v>
                </c:pt>
                <c:pt idx="79">
                  <c:v>47.433906448521171</c:v>
                </c:pt>
                <c:pt idx="80">
                  <c:v>47.772579039476007</c:v>
                </c:pt>
                <c:pt idx="81">
                  <c:v>48.11065107284044</c:v>
                </c:pt>
                <c:pt idx="82">
                  <c:v>48.447320233392865</c:v>
                </c:pt>
                <c:pt idx="83">
                  <c:v>48.78178445442645</c:v>
                </c:pt>
                <c:pt idx="84">
                  <c:v>49.113241921355026</c:v>
                </c:pt>
                <c:pt idx="85">
                  <c:v>49.440889911385462</c:v>
                </c:pt>
                <c:pt idx="86">
                  <c:v>49.763927103431094</c:v>
                </c:pt>
                <c:pt idx="87">
                  <c:v>50.081552444228663</c:v>
                </c:pt>
                <c:pt idx="88">
                  <c:v>50.392965150174724</c:v>
                </c:pt>
                <c:pt idx="89">
                  <c:v>50.697364704304448</c:v>
                </c:pt>
                <c:pt idx="90">
                  <c:v>50.993950396738605</c:v>
                </c:pt>
                <c:pt idx="91">
                  <c:v>51.281919548848037</c:v>
                </c:pt>
                <c:pt idx="92">
                  <c:v>51.562694906104923</c:v>
                </c:pt>
                <c:pt idx="93">
                  <c:v>51.838162947528332</c:v>
                </c:pt>
                <c:pt idx="94">
                  <c:v>52.108225091930535</c:v>
                </c:pt>
                <c:pt idx="95">
                  <c:v>52.372781689445574</c:v>
                </c:pt>
                <c:pt idx="96">
                  <c:v>52.631733138273468</c:v>
                </c:pt>
                <c:pt idx="97">
                  <c:v>52.884979887009479</c:v>
                </c:pt>
                <c:pt idx="98">
                  <c:v>53.132422434808625</c:v>
                </c:pt>
                <c:pt idx="99">
                  <c:v>53.373960922287438</c:v>
                </c:pt>
                <c:pt idx="100">
                  <c:v>53.609497246414172</c:v>
                </c:pt>
                <c:pt idx="101">
                  <c:v>53.838932117911853</c:v>
                </c:pt>
                <c:pt idx="102">
                  <c:v>54.06216631104342</c:v>
                </c:pt>
                <c:pt idx="103">
                  <c:v>54.279100675091875</c:v>
                </c:pt>
                <c:pt idx="104">
                  <c:v>54.489636129988277</c:v>
                </c:pt>
                <c:pt idx="105">
                  <c:v>54.693673675287819</c:v>
                </c:pt>
                <c:pt idx="106">
                  <c:v>54.89136435823449</c:v>
                </c:pt>
                <c:pt idx="107">
                  <c:v>55.082924882393897</c:v>
                </c:pt>
                <c:pt idx="108">
                  <c:v>55.268355986613507</c:v>
                </c:pt>
                <c:pt idx="109">
                  <c:v>55.44765874933217</c:v>
                </c:pt>
                <c:pt idx="110">
                  <c:v>55.620834293510271</c:v>
                </c:pt>
                <c:pt idx="111">
                  <c:v>55.787883795252277</c:v>
                </c:pt>
                <c:pt idx="112">
                  <c:v>55.948808494572148</c:v>
                </c:pt>
                <c:pt idx="113">
                  <c:v>56.103609273526644</c:v>
                </c:pt>
                <c:pt idx="114">
                  <c:v>56.25228793446739</c:v>
                </c:pt>
                <c:pt idx="115">
                  <c:v>56.394845890861362</c:v>
                </c:pt>
                <c:pt idx="116">
                  <c:v>56.531284626145592</c:v>
                </c:pt>
                <c:pt idx="117">
                  <c:v>56.661605694184914</c:v>
                </c:pt>
                <c:pt idx="118">
                  <c:v>56.785810726310437</c:v>
                </c:pt>
                <c:pt idx="119">
                  <c:v>56.9039014235588</c:v>
                </c:pt>
                <c:pt idx="120">
                  <c:v>57.015014180266242</c:v>
                </c:pt>
                <c:pt idx="121">
                  <c:v>57.118551068942089</c:v>
                </c:pt>
                <c:pt idx="122">
                  <c:v>57.214914949994196</c:v>
                </c:pt>
                <c:pt idx="123">
                  <c:v>57.304507471567085</c:v>
                </c:pt>
                <c:pt idx="124">
                  <c:v>57.387730217036591</c:v>
                </c:pt>
                <c:pt idx="125">
                  <c:v>57.464984694401764</c:v>
                </c:pt>
                <c:pt idx="126">
                  <c:v>57.536672342154581</c:v>
                </c:pt>
                <c:pt idx="127">
                  <c:v>57.603194921075094</c:v>
                </c:pt>
                <c:pt idx="128">
                  <c:v>57.66495432786752</c:v>
                </c:pt>
                <c:pt idx="129">
                  <c:v>57.72235183635005</c:v>
                </c:pt>
                <c:pt idx="130">
                  <c:v>57.775788645742054</c:v>
                </c:pt>
                <c:pt idx="131">
                  <c:v>57.825665882525776</c:v>
                </c:pt>
                <c:pt idx="132">
                  <c:v>57.87238459408163</c:v>
                </c:pt>
                <c:pt idx="133">
                  <c:v>57.916345747636825</c:v>
                </c:pt>
                <c:pt idx="134">
                  <c:v>57.956521079128649</c:v>
                </c:pt>
                <c:pt idx="135">
                  <c:v>57.991750534166371</c:v>
                </c:pt>
                <c:pt idx="136">
                  <c:v>58.022237746156819</c:v>
                </c:pt>
                <c:pt idx="137">
                  <c:v>58.048185120117232</c:v>
                </c:pt>
                <c:pt idx="138">
                  <c:v>58.06979505519584</c:v>
                </c:pt>
                <c:pt idx="139">
                  <c:v>58.087269944146229</c:v>
                </c:pt>
                <c:pt idx="140">
                  <c:v>58.10081217020015</c:v>
                </c:pt>
                <c:pt idx="141">
                  <c:v>58.110622916235073</c:v>
                </c:pt>
                <c:pt idx="142">
                  <c:v>58.116903979770868</c:v>
                </c:pt>
                <c:pt idx="143">
                  <c:v>58.11985760246754</c:v>
                </c:pt>
                <c:pt idx="144">
                  <c:v>58.119685973620619</c:v>
                </c:pt>
                <c:pt idx="145">
                  <c:v>58.116591240128997</c:v>
                </c:pt>
                <c:pt idx="146">
                  <c:v>58.110775494974973</c:v>
                </c:pt>
                <c:pt idx="147">
                  <c:v>58.102440770443039</c:v>
                </c:pt>
                <c:pt idx="148">
                  <c:v>58.090428406732137</c:v>
                </c:pt>
                <c:pt idx="149">
                  <c:v>58.073712726212605</c:v>
                </c:pt>
                <c:pt idx="150">
                  <c:v>58.052694662849895</c:v>
                </c:pt>
                <c:pt idx="151">
                  <c:v>58.027775706548553</c:v>
                </c:pt>
                <c:pt idx="152">
                  <c:v>57.999357159496967</c:v>
                </c:pt>
                <c:pt idx="153">
                  <c:v>57.967840127480549</c:v>
                </c:pt>
                <c:pt idx="154">
                  <c:v>57.933625509883669</c:v>
                </c:pt>
                <c:pt idx="155">
                  <c:v>57.8971127165007</c:v>
                </c:pt>
                <c:pt idx="156">
                  <c:v>57.858703624104564</c:v>
                </c:pt>
                <c:pt idx="157">
                  <c:v>57.818798470163877</c:v>
                </c:pt>
                <c:pt idx="158">
                  <c:v>57.777797258394543</c:v>
                </c:pt>
                <c:pt idx="159">
                  <c:v>57.736099755617211</c:v>
                </c:pt>
                <c:pt idx="160">
                  <c:v>57.694105484923448</c:v>
                </c:pt>
                <c:pt idx="161">
                  <c:v>57.652213721682998</c:v>
                </c:pt>
                <c:pt idx="162">
                  <c:v>57.609829388675472</c:v>
                </c:pt>
                <c:pt idx="163">
                  <c:v>57.566091316524322</c:v>
                </c:pt>
                <c:pt idx="164">
                  <c:v>57.521001418335466</c:v>
                </c:pt>
                <c:pt idx="165">
                  <c:v>57.474561193946904</c:v>
                </c:pt>
                <c:pt idx="166">
                  <c:v>57.426772034571918</c:v>
                </c:pt>
                <c:pt idx="167">
                  <c:v>57.377635216594861</c:v>
                </c:pt>
                <c:pt idx="168">
                  <c:v>57.327151901666895</c:v>
                </c:pt>
                <c:pt idx="169">
                  <c:v>57.275321853935885</c:v>
                </c:pt>
                <c:pt idx="170">
                  <c:v>57.22214756099244</c:v>
                </c:pt>
                <c:pt idx="171">
                  <c:v>57.167629841440963</c:v>
                </c:pt>
                <c:pt idx="172">
                  <c:v>57.11176939105448</c:v>
                </c:pt>
                <c:pt idx="173">
                  <c:v>57.054566801621952</c:v>
                </c:pt>
                <c:pt idx="174">
                  <c:v>56.996022545500637</c:v>
                </c:pt>
                <c:pt idx="175">
                  <c:v>56.936136960161313</c:v>
                </c:pt>
                <c:pt idx="176">
                  <c:v>56.87491026861106</c:v>
                </c:pt>
                <c:pt idx="177">
                  <c:v>56.812340829162274</c:v>
                </c:pt>
                <c:pt idx="178">
                  <c:v>56.748429993245914</c:v>
                </c:pt>
                <c:pt idx="179">
                  <c:v>56.683177640360171</c:v>
                </c:pt>
                <c:pt idx="180">
                  <c:v>56.616583549303868</c:v>
                </c:pt>
                <c:pt idx="181">
                  <c:v>56.548647404990781</c:v>
                </c:pt>
                <c:pt idx="182">
                  <c:v>56.479368801890026</c:v>
                </c:pt>
                <c:pt idx="183">
                  <c:v>56.408746867287618</c:v>
                </c:pt>
                <c:pt idx="184">
                  <c:v>56.336782505466388</c:v>
                </c:pt>
                <c:pt idx="185">
                  <c:v>56.263475105221531</c:v>
                </c:pt>
                <c:pt idx="186">
                  <c:v>56.18882399198241</c:v>
                </c:pt>
                <c:pt idx="187">
                  <c:v>56.112828432308071</c:v>
                </c:pt>
                <c:pt idx="188">
                  <c:v>56.035487644383934</c:v>
                </c:pt>
                <c:pt idx="189">
                  <c:v>55.956800802934133</c:v>
                </c:pt>
                <c:pt idx="190">
                  <c:v>55.877196692333179</c:v>
                </c:pt>
                <c:pt idx="191">
                  <c:v>55.796969703578249</c:v>
                </c:pt>
                <c:pt idx="192">
                  <c:v>55.715922429730028</c:v>
                </c:pt>
                <c:pt idx="193">
                  <c:v>55.633855583240162</c:v>
                </c:pt>
                <c:pt idx="194">
                  <c:v>55.550569939292423</c:v>
                </c:pt>
                <c:pt idx="195">
                  <c:v>55.465866341481046</c:v>
                </c:pt>
                <c:pt idx="196">
                  <c:v>55.379545707720979</c:v>
                </c:pt>
                <c:pt idx="197">
                  <c:v>55.291410204011314</c:v>
                </c:pt>
                <c:pt idx="198">
                  <c:v>55.201261338321778</c:v>
                </c:pt>
                <c:pt idx="199">
                  <c:v>55.108900300240741</c:v>
                </c:pt>
                <c:pt idx="200">
                  <c:v>55.014128372862181</c:v>
                </c:pt>
                <c:pt idx="201">
                  <c:v>54.916746935931243</c:v>
                </c:pt>
                <c:pt idx="202">
                  <c:v>54.816557474057767</c:v>
                </c:pt>
                <c:pt idx="203">
                  <c:v>54.713361577194256</c:v>
                </c:pt>
                <c:pt idx="204">
                  <c:v>54.607456124051289</c:v>
                </c:pt>
                <c:pt idx="205">
                  <c:v>54.499270817113675</c:v>
                </c:pt>
                <c:pt idx="206">
                  <c:v>54.388807499207644</c:v>
                </c:pt>
                <c:pt idx="207">
                  <c:v>54.276065946206039</c:v>
                </c:pt>
                <c:pt idx="208">
                  <c:v>54.161045987262604</c:v>
                </c:pt>
                <c:pt idx="209">
                  <c:v>54.043747509352421</c:v>
                </c:pt>
                <c:pt idx="210">
                  <c:v>53.92417045558534</c:v>
                </c:pt>
                <c:pt idx="211">
                  <c:v>53.802311709375694</c:v>
                </c:pt>
                <c:pt idx="212">
                  <c:v>53.67817009579236</c:v>
                </c:pt>
                <c:pt idx="213">
                  <c:v>53.551745702170699</c:v>
                </c:pt>
                <c:pt idx="214">
                  <c:v>53.423038671488413</c:v>
                </c:pt>
                <c:pt idx="215">
                  <c:v>53.292049202212432</c:v>
                </c:pt>
                <c:pt idx="216">
                  <c:v>53.158777547823973</c:v>
                </c:pt>
                <c:pt idx="217">
                  <c:v>53.023224011698154</c:v>
                </c:pt>
                <c:pt idx="218">
                  <c:v>52.885817626124634</c:v>
                </c:pt>
                <c:pt idx="219">
                  <c:v>52.746853239398952</c:v>
                </c:pt>
                <c:pt idx="220">
                  <c:v>52.606132439975887</c:v>
                </c:pt>
                <c:pt idx="221">
                  <c:v>52.463457766951571</c:v>
                </c:pt>
                <c:pt idx="222">
                  <c:v>52.318631857220453</c:v>
                </c:pt>
                <c:pt idx="223">
                  <c:v>52.171457445536291</c:v>
                </c:pt>
                <c:pt idx="224">
                  <c:v>52.021737359011333</c:v>
                </c:pt>
                <c:pt idx="225">
                  <c:v>51.869271469242385</c:v>
                </c:pt>
                <c:pt idx="226">
                  <c:v>51.713865970835954</c:v>
                </c:pt>
                <c:pt idx="227">
                  <c:v>51.555323954634105</c:v>
                </c:pt>
                <c:pt idx="228">
                  <c:v>51.393448590683924</c:v>
                </c:pt>
                <c:pt idx="229">
                  <c:v>51.228043125113714</c:v>
                </c:pt>
                <c:pt idx="230">
                  <c:v>51.058910881416601</c:v>
                </c:pt>
                <c:pt idx="231">
                  <c:v>50.885855251062324</c:v>
                </c:pt>
                <c:pt idx="232">
                  <c:v>50.709173806478489</c:v>
                </c:pt>
                <c:pt idx="233">
                  <c:v>50.529294891442092</c:v>
                </c:pt>
                <c:pt idx="234">
                  <c:v>50.346221725132168</c:v>
                </c:pt>
                <c:pt idx="235">
                  <c:v>50.159955277149585</c:v>
                </c:pt>
                <c:pt idx="236">
                  <c:v>49.970496520069347</c:v>
                </c:pt>
                <c:pt idx="237">
                  <c:v>49.777846437481088</c:v>
                </c:pt>
                <c:pt idx="238">
                  <c:v>49.582006016183662</c:v>
                </c:pt>
                <c:pt idx="239">
                  <c:v>49.382976078550982</c:v>
                </c:pt>
                <c:pt idx="240">
                  <c:v>49.180760680649612</c:v>
                </c:pt>
                <c:pt idx="241">
                  <c:v>48.97536081856007</c:v>
                </c:pt>
                <c:pt idx="242">
                  <c:v>48.766777496269775</c:v>
                </c:pt>
                <c:pt idx="243">
                  <c:v>48.555011721263099</c:v>
                </c:pt>
                <c:pt idx="244">
                  <c:v>48.340064507842484</c:v>
                </c:pt>
                <c:pt idx="245">
                  <c:v>48.121936875408657</c:v>
                </c:pt>
                <c:pt idx="246">
                  <c:v>47.900629853822167</c:v>
                </c:pt>
                <c:pt idx="247">
                  <c:v>47.67613865002626</c:v>
                </c:pt>
                <c:pt idx="248">
                  <c:v>47.448465207791486</c:v>
                </c:pt>
                <c:pt idx="249">
                  <c:v>47.217610587834876</c:v>
                </c:pt>
                <c:pt idx="250">
                  <c:v>46.983575865075679</c:v>
                </c:pt>
                <c:pt idx="251">
                  <c:v>46.746362124624262</c:v>
                </c:pt>
                <c:pt idx="252">
                  <c:v>46.50597046339476</c:v>
                </c:pt>
                <c:pt idx="253">
                  <c:v>46.262396471941472</c:v>
                </c:pt>
                <c:pt idx="254">
                  <c:v>46.01564146513121</c:v>
                </c:pt>
                <c:pt idx="255">
                  <c:v>45.765706593862781</c:v>
                </c:pt>
                <c:pt idx="256">
                  <c:v>45.512593020122253</c:v>
                </c:pt>
                <c:pt idx="257">
                  <c:v>45.256301915712832</c:v>
                </c:pt>
                <c:pt idx="258">
                  <c:v>44.996834459301759</c:v>
                </c:pt>
                <c:pt idx="259">
                  <c:v>44.734191838470139</c:v>
                </c:pt>
                <c:pt idx="260">
                  <c:v>44.468161552094237</c:v>
                </c:pt>
                <c:pt idx="261">
                  <c:v>44.198595153512116</c:v>
                </c:pt>
                <c:pt idx="262">
                  <c:v>43.925598242790485</c:v>
                </c:pt>
                <c:pt idx="263">
                  <c:v>43.649270631865114</c:v>
                </c:pt>
                <c:pt idx="264">
                  <c:v>43.369712094017459</c:v>
                </c:pt>
                <c:pt idx="265">
                  <c:v>43.087022278451698</c:v>
                </c:pt>
                <c:pt idx="266">
                  <c:v>42.801300821417968</c:v>
                </c:pt>
                <c:pt idx="267">
                  <c:v>42.512630710051241</c:v>
                </c:pt>
                <c:pt idx="268">
                  <c:v>42.221117027338131</c:v>
                </c:pt>
                <c:pt idx="269">
                  <c:v>41.926859403430846</c:v>
                </c:pt>
                <c:pt idx="270">
                  <c:v>41.62995741309846</c:v>
                </c:pt>
                <c:pt idx="271">
                  <c:v>41.330510576638765</c:v>
                </c:pt>
                <c:pt idx="272">
                  <c:v>41.028618350588282</c:v>
                </c:pt>
                <c:pt idx="273">
                  <c:v>40.724380127841087</c:v>
                </c:pt>
                <c:pt idx="274">
                  <c:v>40.416367830961292</c:v>
                </c:pt>
                <c:pt idx="275">
                  <c:v>40.103446512645839</c:v>
                </c:pt>
                <c:pt idx="276">
                  <c:v>39.786210554932723</c:v>
                </c:pt>
                <c:pt idx="277">
                  <c:v>39.465252477016101</c:v>
                </c:pt>
                <c:pt idx="278">
                  <c:v>39.141164626905045</c:v>
                </c:pt>
                <c:pt idx="279">
                  <c:v>38.814539186743225</c:v>
                </c:pt>
                <c:pt idx="280">
                  <c:v>38.485968170656975</c:v>
                </c:pt>
                <c:pt idx="281">
                  <c:v>38.156025849189639</c:v>
                </c:pt>
                <c:pt idx="282">
                  <c:v>37.825319924695371</c:v>
                </c:pt>
                <c:pt idx="283">
                  <c:v>37.494441961563204</c:v>
                </c:pt>
                <c:pt idx="284">
                  <c:v>37.163983363341522</c:v>
                </c:pt>
                <c:pt idx="285">
                  <c:v>36.834535376286887</c:v>
                </c:pt>
                <c:pt idx="286">
                  <c:v>36.506689089701993</c:v>
                </c:pt>
                <c:pt idx="287">
                  <c:v>36.181035437647147</c:v>
                </c:pt>
                <c:pt idx="288">
                  <c:v>35.855621353613444</c:v>
                </c:pt>
                <c:pt idx="289">
                  <c:v>35.528447963913848</c:v>
                </c:pt>
                <c:pt idx="290">
                  <c:v>35.200040362953068</c:v>
                </c:pt>
                <c:pt idx="291">
                  <c:v>34.870889974003596</c:v>
                </c:pt>
                <c:pt idx="292">
                  <c:v>34.541488018367431</c:v>
                </c:pt>
                <c:pt idx="293">
                  <c:v>34.212325519746969</c:v>
                </c:pt>
                <c:pt idx="294">
                  <c:v>33.883893310494479</c:v>
                </c:pt>
                <c:pt idx="295">
                  <c:v>33.556712422486235</c:v>
                </c:pt>
                <c:pt idx="296">
                  <c:v>33.231288053157563</c:v>
                </c:pt>
                <c:pt idx="297">
                  <c:v>32.908109003824002</c:v>
                </c:pt>
                <c:pt idx="298">
                  <c:v>32.587664175684303</c:v>
                </c:pt>
                <c:pt idx="299">
                  <c:v>32.270442290535989</c:v>
                </c:pt>
                <c:pt idx="300">
                  <c:v>31.956931906282978</c:v>
                </c:pt>
                <c:pt idx="301">
                  <c:v>31.647621429578738</c:v>
                </c:pt>
                <c:pt idx="302">
                  <c:v>31.341129253018888</c:v>
                </c:pt>
                <c:pt idx="303">
                  <c:v>31.035920276128234</c:v>
                </c:pt>
                <c:pt idx="304">
                  <c:v>30.732269517112709</c:v>
                </c:pt>
                <c:pt idx="305">
                  <c:v>30.430469677468658</c:v>
                </c:pt>
                <c:pt idx="306">
                  <c:v>30.130813401510864</c:v>
                </c:pt>
                <c:pt idx="307">
                  <c:v>29.833593288319587</c:v>
                </c:pt>
                <c:pt idx="308">
                  <c:v>29.539101903179255</c:v>
                </c:pt>
                <c:pt idx="309">
                  <c:v>29.247624242319041</c:v>
                </c:pt>
                <c:pt idx="310">
                  <c:v>28.959426528100106</c:v>
                </c:pt>
                <c:pt idx="311">
                  <c:v>28.674802268211604</c:v>
                </c:pt>
                <c:pt idx="312">
                  <c:v>28.394044953029915</c:v>
                </c:pt>
                <c:pt idx="313">
                  <c:v>28.11744806000495</c:v>
                </c:pt>
                <c:pt idx="314">
                  <c:v>27.845305053830337</c:v>
                </c:pt>
                <c:pt idx="315">
                  <c:v>27.577909390914112</c:v>
                </c:pt>
                <c:pt idx="316">
                  <c:v>27.313751226537782</c:v>
                </c:pt>
                <c:pt idx="317">
                  <c:v>27.051518863105702</c:v>
                </c:pt>
                <c:pt idx="318">
                  <c:v>26.791720377593258</c:v>
                </c:pt>
                <c:pt idx="319">
                  <c:v>26.534843934027229</c:v>
                </c:pt>
                <c:pt idx="320">
                  <c:v>26.281377773401001</c:v>
                </c:pt>
                <c:pt idx="321">
                  <c:v>26.03181023047685</c:v>
                </c:pt>
                <c:pt idx="322">
                  <c:v>25.786629733455747</c:v>
                </c:pt>
                <c:pt idx="323">
                  <c:v>25.5462988976684</c:v>
                </c:pt>
                <c:pt idx="324">
                  <c:v>25.311313567739749</c:v>
                </c:pt>
                <c:pt idx="325">
                  <c:v>25.082162965855332</c:v>
                </c:pt>
                <c:pt idx="326">
                  <c:v>24.859336667153837</c:v>
                </c:pt>
                <c:pt idx="327">
                  <c:v>24.643324139530904</c:v>
                </c:pt>
                <c:pt idx="328">
                  <c:v>24.434614696447845</c:v>
                </c:pt>
                <c:pt idx="329">
                  <c:v>24.233697724115284</c:v>
                </c:pt>
                <c:pt idx="330">
                  <c:v>24.038555999896605</c:v>
                </c:pt>
                <c:pt idx="331">
                  <c:v>23.847160918819288</c:v>
                </c:pt>
                <c:pt idx="332">
                  <c:v>23.660044012125393</c:v>
                </c:pt>
                <c:pt idx="333">
                  <c:v>23.477796642255679</c:v>
                </c:pt>
                <c:pt idx="334">
                  <c:v>23.30100995946572</c:v>
                </c:pt>
                <c:pt idx="335">
                  <c:v>23.130274895730061</c:v>
                </c:pt>
                <c:pt idx="336">
                  <c:v>22.966182157016547</c:v>
                </c:pt>
                <c:pt idx="337">
                  <c:v>22.809348079219646</c:v>
                </c:pt>
                <c:pt idx="338">
                  <c:v>22.660385733976121</c:v>
                </c:pt>
                <c:pt idx="339">
                  <c:v>22.519884358683932</c:v>
                </c:pt>
                <c:pt idx="340">
                  <c:v>22.388433039800518</c:v>
                </c:pt>
                <c:pt idx="341">
                  <c:v>22.266620693222798</c:v>
                </c:pt>
                <c:pt idx="342">
                  <c:v>22.15503605650467</c:v>
                </c:pt>
                <c:pt idx="343">
                  <c:v>22.054267697558434</c:v>
                </c:pt>
                <c:pt idx="344">
                  <c:v>21.962419344410709</c:v>
                </c:pt>
                <c:pt idx="345">
                  <c:v>21.877513399693974</c:v>
                </c:pt>
                <c:pt idx="346">
                  <c:v>21.800148081013333</c:v>
                </c:pt>
                <c:pt idx="347">
                  <c:v>21.730788325529772</c:v>
                </c:pt>
                <c:pt idx="348">
                  <c:v>21.669899114967297</c:v>
                </c:pt>
                <c:pt idx="349">
                  <c:v>21.61794546153963</c:v>
                </c:pt>
                <c:pt idx="350">
                  <c:v>21.575392373321744</c:v>
                </c:pt>
                <c:pt idx="351">
                  <c:v>21.54276428454088</c:v>
                </c:pt>
                <c:pt idx="352">
                  <c:v>21.520501317805905</c:v>
                </c:pt>
                <c:pt idx="353">
                  <c:v>21.509068244480559</c:v>
                </c:pt>
                <c:pt idx="354">
                  <c:v>21.508929815265063</c:v>
                </c:pt>
                <c:pt idx="355">
                  <c:v>21.520550748897907</c:v>
                </c:pt>
                <c:pt idx="356">
                  <c:v>21.544396138626603</c:v>
                </c:pt>
                <c:pt idx="357">
                  <c:v>21.580930209746914</c:v>
                </c:pt>
                <c:pt idx="358">
                  <c:v>21.630524946611164</c:v>
                </c:pt>
                <c:pt idx="359">
                  <c:v>21.692934824662078</c:v>
                </c:pt>
                <c:pt idx="360">
                  <c:v>21.767722680332849</c:v>
                </c:pt>
                <c:pt idx="361">
                  <c:v>21.854368559564239</c:v>
                </c:pt>
                <c:pt idx="362">
                  <c:v>21.952411366480757</c:v>
                </c:pt>
                <c:pt idx="363">
                  <c:v>22.061390068575776</c:v>
                </c:pt>
                <c:pt idx="364">
                  <c:v>22.180843707675763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23.380447486581428</c:v>
                </c:pt>
                <c:pt idx="1">
                  <c:v>16.123539835816654</c:v>
                </c:pt>
                <c:pt idx="2">
                  <c:v>17.408008734477011</c:v>
                </c:pt>
                <c:pt idx="3">
                  <c:v>18.496562261361742</c:v>
                </c:pt>
                <c:pt idx="4">
                  <c:v>14.625774341919739</c:v>
                </c:pt>
                <c:pt idx="5">
                  <c:v>20.986124196011421</c:v>
                </c:pt>
                <c:pt idx="6">
                  <c:v>10.29001053884404</c:v>
                </c:pt>
                <c:pt idx="7">
                  <c:v>7.3225575045930746</c:v>
                </c:pt>
                <c:pt idx="8">
                  <c:v>2.1859127331560049</c:v>
                </c:pt>
                <c:pt idx="9">
                  <c:v>1.7924299256203731</c:v>
                </c:pt>
                <c:pt idx="10">
                  <c:v>25.124090062057029</c:v>
                </c:pt>
                <c:pt idx="11">
                  <c:v>21.837843447969423</c:v>
                </c:pt>
                <c:pt idx="12">
                  <c:v>5.5975116841414021</c:v>
                </c:pt>
                <c:pt idx="13">
                  <c:v>26.561125274755661</c:v>
                </c:pt>
                <c:pt idx="14">
                  <c:v>26.870946167735966</c:v>
                </c:pt>
                <c:pt idx="15">
                  <c:v>26.28741867709919</c:v>
                </c:pt>
                <c:pt idx="16">
                  <c:v>12.137861015239155</c:v>
                </c:pt>
                <c:pt idx="17">
                  <c:v>3.8556850158164577</c:v>
                </c:pt>
                <c:pt idx="18">
                  <c:v>10.519564454130235</c:v>
                </c:pt>
                <c:pt idx="19">
                  <c:v>6.5874108800599291</c:v>
                </c:pt>
                <c:pt idx="20">
                  <c:v>21.001347063334794</c:v>
                </c:pt>
                <c:pt idx="21">
                  <c:v>28.031995673678512</c:v>
                </c:pt>
                <c:pt idx="22">
                  <c:v>28.154563654498496</c:v>
                </c:pt>
                <c:pt idx="23">
                  <c:v>28.698804411783978</c:v>
                </c:pt>
                <c:pt idx="24">
                  <c:v>27.74882405176615</c:v>
                </c:pt>
                <c:pt idx="25">
                  <c:v>28.422266959058213</c:v>
                </c:pt>
                <c:pt idx="26">
                  <c:v>27.15753604499303</c:v>
                </c:pt>
                <c:pt idx="27">
                  <c:v>4.2915398195206116</c:v>
                </c:pt>
                <c:pt idx="28">
                  <c:v>9.0573493560697518</c:v>
                </c:pt>
                <c:pt idx="29">
                  <c:v>4.6771958154211166</c:v>
                </c:pt>
                <c:pt idx="30">
                  <c:v>7.7553585733902786</c:v>
                </c:pt>
                <c:pt idx="31">
                  <c:v>12.868853689645359</c:v>
                </c:pt>
                <c:pt idx="32">
                  <c:v>5.4322934419556992</c:v>
                </c:pt>
                <c:pt idx="33">
                  <c:v>10.660644940709878</c:v>
                </c:pt>
                <c:pt idx="34">
                  <c:v>10.499494903060596</c:v>
                </c:pt>
                <c:pt idx="35">
                  <c:v>9.2255238172682823</c:v>
                </c:pt>
                <c:pt idx="36">
                  <c:v>21.491790984489452</c:v>
                </c:pt>
                <c:pt idx="37">
                  <c:v>9.057113295896583</c:v>
                </c:pt>
                <c:pt idx="38">
                  <c:v>33.587732354749484</c:v>
                </c:pt>
                <c:pt idx="39">
                  <c:v>33.873056524936032</c:v>
                </c:pt>
                <c:pt idx="40">
                  <c:v>31.586800340681663</c:v>
                </c:pt>
                <c:pt idx="41">
                  <c:v>17.496709779449517</c:v>
                </c:pt>
                <c:pt idx="42">
                  <c:v>26.809991402580348</c:v>
                </c:pt>
                <c:pt idx="43">
                  <c:v>32.799167613494923</c:v>
                </c:pt>
                <c:pt idx="44">
                  <c:v>15.397539143629514</c:v>
                </c:pt>
                <c:pt idx="45">
                  <c:v>18.5700441287179</c:v>
                </c:pt>
                <c:pt idx="46">
                  <c:v>9.1336283584681954</c:v>
                </c:pt>
                <c:pt idx="47">
                  <c:v>11.378818276197613</c:v>
                </c:pt>
                <c:pt idx="48">
                  <c:v>29.374032917704124</c:v>
                </c:pt>
                <c:pt idx="49">
                  <c:v>19.929886597106776</c:v>
                </c:pt>
                <c:pt idx="50">
                  <c:v>19.808184149178128</c:v>
                </c:pt>
                <c:pt idx="51">
                  <c:v>21.929614827244361</c:v>
                </c:pt>
                <c:pt idx="52">
                  <c:v>33.509689430854642</c:v>
                </c:pt>
                <c:pt idx="53">
                  <c:v>35.210313524524402</c:v>
                </c:pt>
                <c:pt idx="54">
                  <c:v>21.916521947066485</c:v>
                </c:pt>
                <c:pt idx="55">
                  <c:v>31.383024285439674</c:v>
                </c:pt>
                <c:pt idx="56">
                  <c:v>39.772334457706201</c:v>
                </c:pt>
                <c:pt idx="57">
                  <c:v>28.428305835984869</c:v>
                </c:pt>
                <c:pt idx="58">
                  <c:v>34.31825898632605</c:v>
                </c:pt>
                <c:pt idx="59">
                  <c:v>39.815206321310008</c:v>
                </c:pt>
                <c:pt idx="60">
                  <c:v>11.600683382757891</c:v>
                </c:pt>
                <c:pt idx="61">
                  <c:v>35.593955641375956</c:v>
                </c:pt>
                <c:pt idx="62">
                  <c:v>3.8246835713405476</c:v>
                </c:pt>
                <c:pt idx="63">
                  <c:v>13.168923200481625</c:v>
                </c:pt>
                <c:pt idx="64">
                  <c:v>15.876103964724699</c:v>
                </c:pt>
                <c:pt idx="65">
                  <c:v>39.106674984504714</c:v>
                </c:pt>
                <c:pt idx="66">
                  <c:v>31.870323935950605</c:v>
                </c:pt>
                <c:pt idx="67">
                  <c:v>31.071268976711274</c:v>
                </c:pt>
                <c:pt idx="68">
                  <c:v>24.733632686563254</c:v>
                </c:pt>
                <c:pt idx="69">
                  <c:v>15.338952637024459</c:v>
                </c:pt>
                <c:pt idx="70">
                  <c:v>15.964499890836157</c:v>
                </c:pt>
                <c:pt idx="71">
                  <c:v>8.9517338489599538</c:v>
                </c:pt>
                <c:pt idx="72">
                  <c:v>14.422992260045024</c:v>
                </c:pt>
                <c:pt idx="73">
                  <c:v>13.728063817961319</c:v>
                </c:pt>
                <c:pt idx="74">
                  <c:v>13.700529878543538</c:v>
                </c:pt>
                <c:pt idx="75">
                  <c:v>11.50608029632704</c:v>
                </c:pt>
                <c:pt idx="76">
                  <c:v>14.874437073309915</c:v>
                </c:pt>
                <c:pt idx="77">
                  <c:v>28.418139048312707</c:v>
                </c:pt>
                <c:pt idx="78">
                  <c:v>31.554530029390385</c:v>
                </c:pt>
                <c:pt idx="79">
                  <c:v>44.666881743298518</c:v>
                </c:pt>
                <c:pt idx="80">
                  <c:v>42.406382468391378</c:v>
                </c:pt>
                <c:pt idx="81">
                  <c:v>48.33541792897509</c:v>
                </c:pt>
                <c:pt idx="82">
                  <c:v>47.540946718802161</c:v>
                </c:pt>
                <c:pt idx="83">
                  <c:v>42.306856055179061</c:v>
                </c:pt>
                <c:pt idx="84">
                  <c:v>46.832079712303688</c:v>
                </c:pt>
                <c:pt idx="85">
                  <c:v>45.276723086120839</c:v>
                </c:pt>
                <c:pt idx="86">
                  <c:v>14.57956073747034</c:v>
                </c:pt>
                <c:pt idx="87">
                  <c:v>27.982188164044491</c:v>
                </c:pt>
                <c:pt idx="88">
                  <c:v>7.8458400406581505</c:v>
                </c:pt>
                <c:pt idx="89">
                  <c:v>27.945894546931452</c:v>
                </c:pt>
                <c:pt idx="90">
                  <c:v>32.724671645382841</c:v>
                </c:pt>
                <c:pt idx="91">
                  <c:v>20.428916878336789</c:v>
                </c:pt>
                <c:pt idx="92">
                  <c:v>22.727365933029716</c:v>
                </c:pt>
                <c:pt idx="93">
                  <c:v>45.750206021086314</c:v>
                </c:pt>
                <c:pt idx="94">
                  <c:v>52.498103936130391</c:v>
                </c:pt>
                <c:pt idx="95">
                  <c:v>11.363522553459452</c:v>
                </c:pt>
                <c:pt idx="96">
                  <c:v>38.14643802530842</c:v>
                </c:pt>
                <c:pt idx="97">
                  <c:v>30.991254616219877</c:v>
                </c:pt>
                <c:pt idx="98">
                  <c:v>36.358742816811628</c:v>
                </c:pt>
                <c:pt idx="99">
                  <c:v>53.165814863549393</c:v>
                </c:pt>
                <c:pt idx="100">
                  <c:v>44.064195433783304</c:v>
                </c:pt>
                <c:pt idx="101">
                  <c:v>37.634286208990737</c:v>
                </c:pt>
                <c:pt idx="102">
                  <c:v>8.0424556560241953</c:v>
                </c:pt>
                <c:pt idx="103">
                  <c:v>40.706477787523056</c:v>
                </c:pt>
                <c:pt idx="104">
                  <c:v>44.419247634272381</c:v>
                </c:pt>
                <c:pt idx="105">
                  <c:v>46.08788738300494</c:v>
                </c:pt>
                <c:pt idx="106">
                  <c:v>54.094194116782198</c:v>
                </c:pt>
                <c:pt idx="107">
                  <c:v>40.016625154089837</c:v>
                </c:pt>
                <c:pt idx="108">
                  <c:v>9.3541013127354891</c:v>
                </c:pt>
                <c:pt idx="109">
                  <c:v>9.7593368320605371</c:v>
                </c:pt>
                <c:pt idx="110">
                  <c:v>9.3942143175961217</c:v>
                </c:pt>
                <c:pt idx="111">
                  <c:v>27.3040190389464</c:v>
                </c:pt>
                <c:pt idx="112">
                  <c:v>9.0934230628476431</c:v>
                </c:pt>
                <c:pt idx="113">
                  <c:v>31.422220627858838</c:v>
                </c:pt>
                <c:pt idx="114">
                  <c:v>47.555943394694431</c:v>
                </c:pt>
                <c:pt idx="115">
                  <c:v>54.52416683179495</c:v>
                </c:pt>
                <c:pt idx="116">
                  <c:v>39.579740709443918</c:v>
                </c:pt>
                <c:pt idx="117">
                  <c:v>23.848695137829029</c:v>
                </c:pt>
                <c:pt idx="118">
                  <c:v>43.61704069414958</c:v>
                </c:pt>
                <c:pt idx="119">
                  <c:v>46.171361041917862</c:v>
                </c:pt>
                <c:pt idx="120">
                  <c:v>46.717436973410322</c:v>
                </c:pt>
                <c:pt idx="121">
                  <c:v>27.755680295714011</c:v>
                </c:pt>
                <c:pt idx="122">
                  <c:v>38.74065023611729</c:v>
                </c:pt>
                <c:pt idx="123">
                  <c:v>20.978534833671979</c:v>
                </c:pt>
                <c:pt idx="124">
                  <c:v>43.034085865927644</c:v>
                </c:pt>
                <c:pt idx="125">
                  <c:v>37.764244050144924</c:v>
                </c:pt>
                <c:pt idx="126">
                  <c:v>51.664799066798508</c:v>
                </c:pt>
                <c:pt idx="127">
                  <c:v>47.640990629913034</c:v>
                </c:pt>
                <c:pt idx="128">
                  <c:v>54.706675961201725</c:v>
                </c:pt>
                <c:pt idx="129">
                  <c:v>51.102250882884938</c:v>
                </c:pt>
                <c:pt idx="130">
                  <c:v>55.104986828528517</c:v>
                </c:pt>
                <c:pt idx="131">
                  <c:v>41.084167234772096</c:v>
                </c:pt>
                <c:pt idx="132">
                  <c:v>43.032939798201305</c:v>
                </c:pt>
                <c:pt idx="133">
                  <c:v>49.036939986570026</c:v>
                </c:pt>
                <c:pt idx="134">
                  <c:v>51.603620454354399</c:v>
                </c:pt>
                <c:pt idx="135">
                  <c:v>50.059574686656269</c:v>
                </c:pt>
                <c:pt idx="136">
                  <c:v>53.38991195644288</c:v>
                </c:pt>
                <c:pt idx="137">
                  <c:v>51.638939702615716</c:v>
                </c:pt>
                <c:pt idx="138">
                  <c:v>54.284625372786707</c:v>
                </c:pt>
                <c:pt idx="139">
                  <c:v>48.439768998559479</c:v>
                </c:pt>
                <c:pt idx="140">
                  <c:v>48.533948133299688</c:v>
                </c:pt>
                <c:pt idx="141">
                  <c:v>36.86656201840065</c:v>
                </c:pt>
                <c:pt idx="142">
                  <c:v>19.465030971845451</c:v>
                </c:pt>
                <c:pt idx="143">
                  <c:v>16.091584988056262</c:v>
                </c:pt>
                <c:pt idx="144">
                  <c:v>40.47829282735443</c:v>
                </c:pt>
                <c:pt idx="145">
                  <c:v>24.605862037379445</c:v>
                </c:pt>
                <c:pt idx="146">
                  <c:v>45.30225379305152</c:v>
                </c:pt>
                <c:pt idx="147">
                  <c:v>54.489063483941102</c:v>
                </c:pt>
                <c:pt idx="148">
                  <c:v>58.91610402062274</c:v>
                </c:pt>
                <c:pt idx="149">
                  <c:v>49.990050057192789</c:v>
                </c:pt>
                <c:pt idx="150">
                  <c:v>54.19139886190014</c:v>
                </c:pt>
                <c:pt idx="151">
                  <c:v>55.220479165794352</c:v>
                </c:pt>
                <c:pt idx="152">
                  <c:v>44.040913528193769</c:v>
                </c:pt>
                <c:pt idx="153">
                  <c:v>53.868420479392647</c:v>
                </c:pt>
                <c:pt idx="154">
                  <c:v>25.680615307480121</c:v>
                </c:pt>
                <c:pt idx="155">
                  <c:v>35.386822851067471</c:v>
                </c:pt>
                <c:pt idx="156">
                  <c:v>46.158731697598931</c:v>
                </c:pt>
                <c:pt idx="157">
                  <c:v>28.000289302613297</c:v>
                </c:pt>
                <c:pt idx="158">
                  <c:v>20.874999599550836</c:v>
                </c:pt>
                <c:pt idx="159">
                  <c:v>45.480379491670526</c:v>
                </c:pt>
                <c:pt idx="160">
                  <c:v>56.737943096242986</c:v>
                </c:pt>
                <c:pt idx="161">
                  <c:v>54.829934609250522</c:v>
                </c:pt>
                <c:pt idx="162">
                  <c:v>42.561766074739552</c:v>
                </c:pt>
                <c:pt idx="163">
                  <c:v>53.525196936163518</c:v>
                </c:pt>
                <c:pt idx="164">
                  <c:v>47.582180031381803</c:v>
                </c:pt>
                <c:pt idx="165">
                  <c:v>53.640783102163105</c:v>
                </c:pt>
                <c:pt idx="166">
                  <c:v>51.520234697969293</c:v>
                </c:pt>
                <c:pt idx="167">
                  <c:v>51.658966738226326</c:v>
                </c:pt>
                <c:pt idx="168">
                  <c:v>54.016595515624161</c:v>
                </c:pt>
                <c:pt idx="169">
                  <c:v>55.330227405405815</c:v>
                </c:pt>
                <c:pt idx="170">
                  <c:v>31.213411827740021</c:v>
                </c:pt>
                <c:pt idx="171">
                  <c:v>22.463107953566265</c:v>
                </c:pt>
                <c:pt idx="172">
                  <c:v>43.508256821560394</c:v>
                </c:pt>
                <c:pt idx="173">
                  <c:v>41.039581404221714</c:v>
                </c:pt>
                <c:pt idx="174">
                  <c:v>38.710083768459079</c:v>
                </c:pt>
                <c:pt idx="175">
                  <c:v>33.5933304477132</c:v>
                </c:pt>
                <c:pt idx="176">
                  <c:v>11.926962097880439</c:v>
                </c:pt>
                <c:pt idx="177">
                  <c:v>14.49242043145223</c:v>
                </c:pt>
                <c:pt idx="178">
                  <c:v>57.493596949997169</c:v>
                </c:pt>
                <c:pt idx="179">
                  <c:v>55.84538041675907</c:v>
                </c:pt>
                <c:pt idx="180">
                  <c:v>13.772476539072493</c:v>
                </c:pt>
                <c:pt idx="181">
                  <c:v>49.676741083257731</c:v>
                </c:pt>
                <c:pt idx="182">
                  <c:v>54.876293847116891</c:v>
                </c:pt>
                <c:pt idx="183">
                  <c:v>45.20591845070058</c:v>
                </c:pt>
                <c:pt idx="184">
                  <c:v>43.736239439573644</c:v>
                </c:pt>
                <c:pt idx="185">
                  <c:v>54.826529464628017</c:v>
                </c:pt>
                <c:pt idx="186">
                  <c:v>46.603652389320651</c:v>
                </c:pt>
                <c:pt idx="187">
                  <c:v>54.283834567126902</c:v>
                </c:pt>
                <c:pt idx="188">
                  <c:v>56.622969880335546</c:v>
                </c:pt>
                <c:pt idx="189">
                  <c:v>55.961699765990353</c:v>
                </c:pt>
                <c:pt idx="190">
                  <c:v>55.430270229079525</c:v>
                </c:pt>
                <c:pt idx="191">
                  <c:v>53.97484341018118</c:v>
                </c:pt>
                <c:pt idx="192">
                  <c:v>53.74167407859845</c:v>
                </c:pt>
                <c:pt idx="193">
                  <c:v>53.468991184371767</c:v>
                </c:pt>
                <c:pt idx="194">
                  <c:v>52.910250626937589</c:v>
                </c:pt>
                <c:pt idx="195">
                  <c:v>51.164881134710804</c:v>
                </c:pt>
                <c:pt idx="196">
                  <c:v>52.653790221224867</c:v>
                </c:pt>
                <c:pt idx="197">
                  <c:v>52.191026729160875</c:v>
                </c:pt>
                <c:pt idx="198">
                  <c:v>53.132343707190437</c:v>
                </c:pt>
                <c:pt idx="199">
                  <c:v>43.907013684286632</c:v>
                </c:pt>
                <c:pt idx="200">
                  <c:v>43.478874014700594</c:v>
                </c:pt>
                <c:pt idx="201">
                  <c:v>51.417488342356641</c:v>
                </c:pt>
                <c:pt idx="202">
                  <c:v>41.516691586576947</c:v>
                </c:pt>
                <c:pt idx="203">
                  <c:v>47.707863984770519</c:v>
                </c:pt>
                <c:pt idx="204">
                  <c:v>51.647022467784574</c:v>
                </c:pt>
                <c:pt idx="205">
                  <c:v>26.319688738858972</c:v>
                </c:pt>
                <c:pt idx="206">
                  <c:v>55.8145560863451</c:v>
                </c:pt>
                <c:pt idx="207">
                  <c:v>55.853554172685669</c:v>
                </c:pt>
                <c:pt idx="208">
                  <c:v>43.548339932571395</c:v>
                </c:pt>
                <c:pt idx="209">
                  <c:v>31.104157480283448</c:v>
                </c:pt>
                <c:pt idx="210">
                  <c:v>48.107516778443376</c:v>
                </c:pt>
                <c:pt idx="211">
                  <c:v>53.416137973338827</c:v>
                </c:pt>
                <c:pt idx="212">
                  <c:v>53.055019621574019</c:v>
                </c:pt>
                <c:pt idx="213">
                  <c:v>53.045040055441198</c:v>
                </c:pt>
                <c:pt idx="214">
                  <c:v>50.09306894802446</c:v>
                </c:pt>
                <c:pt idx="215">
                  <c:v>49.351513705893353</c:v>
                </c:pt>
                <c:pt idx="216">
                  <c:v>44.818559368471256</c:v>
                </c:pt>
                <c:pt idx="217">
                  <c:v>49.21467412915419</c:v>
                </c:pt>
                <c:pt idx="218">
                  <c:v>51.790091306882715</c:v>
                </c:pt>
                <c:pt idx="219">
                  <c:v>52.22737150058591</c:v>
                </c:pt>
                <c:pt idx="220">
                  <c:v>50.268355878672764</c:v>
                </c:pt>
                <c:pt idx="221">
                  <c:v>47.503233102207105</c:v>
                </c:pt>
                <c:pt idx="222">
                  <c:v>45.935734741397233</c:v>
                </c:pt>
                <c:pt idx="223">
                  <c:v>46.850378711776635</c:v>
                </c:pt>
                <c:pt idx="224">
                  <c:v>35.259508724664805</c:v>
                </c:pt>
                <c:pt idx="225">
                  <c:v>33.46934359942717</c:v>
                </c:pt>
                <c:pt idx="226">
                  <c:v>37.915269522720131</c:v>
                </c:pt>
                <c:pt idx="227">
                  <c:v>35.069379565197004</c:v>
                </c:pt>
                <c:pt idx="228">
                  <c:v>28.136912504180959</c:v>
                </c:pt>
                <c:pt idx="229">
                  <c:v>35.69955940285999</c:v>
                </c:pt>
                <c:pt idx="230">
                  <c:v>40.665985239583925</c:v>
                </c:pt>
                <c:pt idx="231">
                  <c:v>48.836953913862615</c:v>
                </c:pt>
                <c:pt idx="232">
                  <c:v>32.98999806391987</c:v>
                </c:pt>
                <c:pt idx="233">
                  <c:v>26.292935187490194</c:v>
                </c:pt>
                <c:pt idx="234">
                  <c:v>47.684564648940821</c:v>
                </c:pt>
                <c:pt idx="235">
                  <c:v>45.461033532057193</c:v>
                </c:pt>
                <c:pt idx="236">
                  <c:v>31.873895940714707</c:v>
                </c:pt>
                <c:pt idx="237">
                  <c:v>42.329629184987226</c:v>
                </c:pt>
                <c:pt idx="238">
                  <c:v>48.139728605053989</c:v>
                </c:pt>
                <c:pt idx="239">
                  <c:v>47.093611505378639</c:v>
                </c:pt>
                <c:pt idx="240">
                  <c:v>32.225483729997364</c:v>
                </c:pt>
                <c:pt idx="241">
                  <c:v>46.784723034803967</c:v>
                </c:pt>
                <c:pt idx="242">
                  <c:v>24.166172885948395</c:v>
                </c:pt>
                <c:pt idx="243">
                  <c:v>39.559025003196354</c:v>
                </c:pt>
                <c:pt idx="244">
                  <c:v>38.073441789604367</c:v>
                </c:pt>
                <c:pt idx="245">
                  <c:v>37.172928642866637</c:v>
                </c:pt>
                <c:pt idx="246">
                  <c:v>44.928434114486301</c:v>
                </c:pt>
                <c:pt idx="247">
                  <c:v>39.272120003367405</c:v>
                </c:pt>
                <c:pt idx="248">
                  <c:v>44.443324958803814</c:v>
                </c:pt>
                <c:pt idx="249">
                  <c:v>35.380789571935637</c:v>
                </c:pt>
                <c:pt idx="250">
                  <c:v>34.38681308771767</c:v>
                </c:pt>
                <c:pt idx="251">
                  <c:v>23.031228431689055</c:v>
                </c:pt>
                <c:pt idx="252">
                  <c:v>45.558934315938913</c:v>
                </c:pt>
                <c:pt idx="253">
                  <c:v>44.999798358768018</c:v>
                </c:pt>
                <c:pt idx="254">
                  <c:v>32.664085384230958</c:v>
                </c:pt>
                <c:pt idx="255">
                  <c:v>13.86584568285001</c:v>
                </c:pt>
                <c:pt idx="256">
                  <c:v>34.771536312460654</c:v>
                </c:pt>
                <c:pt idx="257">
                  <c:v>39.824771553746764</c:v>
                </c:pt>
                <c:pt idx="258">
                  <c:v>31.820749537012713</c:v>
                </c:pt>
                <c:pt idx="259">
                  <c:v>44.467814896048729</c:v>
                </c:pt>
                <c:pt idx="260">
                  <c:v>44.462596118729472</c:v>
                </c:pt>
                <c:pt idx="261">
                  <c:v>43.86106902963472</c:v>
                </c:pt>
                <c:pt idx="262">
                  <c:v>45.532815579169267</c:v>
                </c:pt>
                <c:pt idx="263">
                  <c:v>44.362763798058538</c:v>
                </c:pt>
                <c:pt idx="264">
                  <c:v>42.930496129046738</c:v>
                </c:pt>
                <c:pt idx="265">
                  <c:v>27.249239046903135</c:v>
                </c:pt>
                <c:pt idx="266">
                  <c:v>16.50722484285285</c:v>
                </c:pt>
                <c:pt idx="267">
                  <c:v>34.76455290204612</c:v>
                </c:pt>
                <c:pt idx="268">
                  <c:v>31.832165460123775</c:v>
                </c:pt>
                <c:pt idx="269">
                  <c:v>16.880385633887126</c:v>
                </c:pt>
                <c:pt idx="270">
                  <c:v>19.133769402850387</c:v>
                </c:pt>
                <c:pt idx="271">
                  <c:v>22.991045887886866</c:v>
                </c:pt>
                <c:pt idx="272">
                  <c:v>27.284633172124881</c:v>
                </c:pt>
                <c:pt idx="273">
                  <c:v>35.653365560522587</c:v>
                </c:pt>
                <c:pt idx="274">
                  <c:v>38.019891690005117</c:v>
                </c:pt>
                <c:pt idx="275">
                  <c:v>36.705176236647475</c:v>
                </c:pt>
                <c:pt idx="276">
                  <c:v>40.435779751864544</c:v>
                </c:pt>
                <c:pt idx="277">
                  <c:v>41.228454545073312</c:v>
                </c:pt>
                <c:pt idx="278">
                  <c:v>11.389848144954895</c:v>
                </c:pt>
                <c:pt idx="279">
                  <c:v>28.612209739295505</c:v>
                </c:pt>
                <c:pt idx="280">
                  <c:v>16.514002514660479</c:v>
                </c:pt>
                <c:pt idx="281">
                  <c:v>37.708905072873847</c:v>
                </c:pt>
                <c:pt idx="282">
                  <c:v>30.275919494053518</c:v>
                </c:pt>
                <c:pt idx="283">
                  <c:v>22.023195289334765</c:v>
                </c:pt>
                <c:pt idx="284">
                  <c:v>27.337087212570111</c:v>
                </c:pt>
                <c:pt idx="285">
                  <c:v>22.891009822731561</c:v>
                </c:pt>
                <c:pt idx="286">
                  <c:v>17.795411159509349</c:v>
                </c:pt>
                <c:pt idx="287">
                  <c:v>36.56962349317859</c:v>
                </c:pt>
                <c:pt idx="288">
                  <c:v>32.280089912845099</c:v>
                </c:pt>
                <c:pt idx="289">
                  <c:v>19.165229964559472</c:v>
                </c:pt>
                <c:pt idx="290">
                  <c:v>33.809808458261131</c:v>
                </c:pt>
                <c:pt idx="291">
                  <c:v>15.716489629643039</c:v>
                </c:pt>
                <c:pt idx="292">
                  <c:v>6.6188159433105636</c:v>
                </c:pt>
                <c:pt idx="293">
                  <c:v>16.109602256131932</c:v>
                </c:pt>
                <c:pt idx="294">
                  <c:v>32.550026056573785</c:v>
                </c:pt>
                <c:pt idx="295">
                  <c:v>16.730578019773553</c:v>
                </c:pt>
                <c:pt idx="296">
                  <c:v>24.75586761686224</c:v>
                </c:pt>
                <c:pt idx="297">
                  <c:v>21.889963034654677</c:v>
                </c:pt>
                <c:pt idx="298">
                  <c:v>12.203689945981507</c:v>
                </c:pt>
                <c:pt idx="299">
                  <c:v>14.119186801163039</c:v>
                </c:pt>
                <c:pt idx="300">
                  <c:v>16.986145612609519</c:v>
                </c:pt>
                <c:pt idx="301">
                  <c:v>26.382780003678391</c:v>
                </c:pt>
                <c:pt idx="302">
                  <c:v>22.684389831479567</c:v>
                </c:pt>
                <c:pt idx="303">
                  <c:v>21.577684067884885</c:v>
                </c:pt>
                <c:pt idx="304">
                  <c:v>19.129687344420457</c:v>
                </c:pt>
                <c:pt idx="305">
                  <c:v>28.381725589605679</c:v>
                </c:pt>
                <c:pt idx="306">
                  <c:v>9.9635903358833193</c:v>
                </c:pt>
                <c:pt idx="307">
                  <c:v>17.20892301974861</c:v>
                </c:pt>
                <c:pt idx="308">
                  <c:v>29.316372500717161</c:v>
                </c:pt>
                <c:pt idx="309">
                  <c:v>29.276985994581452</c:v>
                </c:pt>
                <c:pt idx="310">
                  <c:v>27.464365993055736</c:v>
                </c:pt>
                <c:pt idx="311">
                  <c:v>19.807098993399258</c:v>
                </c:pt>
                <c:pt idx="312">
                  <c:v>9.7571557541578304</c:v>
                </c:pt>
                <c:pt idx="313">
                  <c:v>19.70228132293947</c:v>
                </c:pt>
                <c:pt idx="314">
                  <c:v>26.953258283941363</c:v>
                </c:pt>
                <c:pt idx="315">
                  <c:v>26.544545462007306</c:v>
                </c:pt>
                <c:pt idx="316">
                  <c:v>25.530854183683626</c:v>
                </c:pt>
                <c:pt idx="317">
                  <c:v>9.4542095546560017</c:v>
                </c:pt>
                <c:pt idx="318">
                  <c:v>12.132482206209694</c:v>
                </c:pt>
                <c:pt idx="319">
                  <c:v>26.123435774403394</c:v>
                </c:pt>
                <c:pt idx="320">
                  <c:v>13.3745610934963</c:v>
                </c:pt>
                <c:pt idx="321">
                  <c:v>15.311005554574944</c:v>
                </c:pt>
                <c:pt idx="322">
                  <c:v>6.9977228673237741</c:v>
                </c:pt>
                <c:pt idx="323">
                  <c:v>15.399791173132463</c:v>
                </c:pt>
                <c:pt idx="324">
                  <c:v>3.0933837263097748</c:v>
                </c:pt>
                <c:pt idx="325">
                  <c:v>7.6533644179080698</c:v>
                </c:pt>
                <c:pt idx="326">
                  <c:v>12.836181719206499</c:v>
                </c:pt>
                <c:pt idx="327">
                  <c:v>13.471568579023998</c:v>
                </c:pt>
                <c:pt idx="328">
                  <c:v>4.6685527192138103</c:v>
                </c:pt>
                <c:pt idx="329">
                  <c:v>10.728400203753413</c:v>
                </c:pt>
                <c:pt idx="330">
                  <c:v>14.12371712581286</c:v>
                </c:pt>
                <c:pt idx="331">
                  <c:v>10.247305135339248</c:v>
                </c:pt>
                <c:pt idx="332">
                  <c:v>14.925114146830227</c:v>
                </c:pt>
                <c:pt idx="333">
                  <c:v>3.9004369515826212</c:v>
                </c:pt>
                <c:pt idx="334">
                  <c:v>3.6922166039821778</c:v>
                </c:pt>
                <c:pt idx="335">
                  <c:v>5.5472662431888073</c:v>
                </c:pt>
                <c:pt idx="336">
                  <c:v>9.2973545825145543</c:v>
                </c:pt>
                <c:pt idx="337">
                  <c:v>17.051085193860345</c:v>
                </c:pt>
                <c:pt idx="338">
                  <c:v>22.605698168305498</c:v>
                </c:pt>
                <c:pt idx="339">
                  <c:v>11.113121034355403</c:v>
                </c:pt>
                <c:pt idx="340">
                  <c:v>20.026264823402066</c:v>
                </c:pt>
                <c:pt idx="341">
                  <c:v>4.0222101482262262</c:v>
                </c:pt>
                <c:pt idx="342">
                  <c:v>4.9090782980786409</c:v>
                </c:pt>
                <c:pt idx="343">
                  <c:v>11.884155868365561</c:v>
                </c:pt>
                <c:pt idx="344">
                  <c:v>17.005021961190373</c:v>
                </c:pt>
                <c:pt idx="345">
                  <c:v>5.1972868033149968</c:v>
                </c:pt>
                <c:pt idx="346">
                  <c:v>5.2620373060787999</c:v>
                </c:pt>
                <c:pt idx="347">
                  <c:v>16.802651849006928</c:v>
                </c:pt>
                <c:pt idx="348">
                  <c:v>5.7424350967483226</c:v>
                </c:pt>
                <c:pt idx="349">
                  <c:v>5.0719927315644275</c:v>
                </c:pt>
                <c:pt idx="350">
                  <c:v>3.4386574294840564</c:v>
                </c:pt>
                <c:pt idx="351">
                  <c:v>20.511939047422416</c:v>
                </c:pt>
                <c:pt idx="352">
                  <c:v>17.454901097035208</c:v>
                </c:pt>
                <c:pt idx="353">
                  <c:v>4.4491812627005931</c:v>
                </c:pt>
                <c:pt idx="354">
                  <c:v>20.370726259921735</c:v>
                </c:pt>
                <c:pt idx="355">
                  <c:v>17.223260829633499</c:v>
                </c:pt>
                <c:pt idx="356">
                  <c:v>17.454903364140495</c:v>
                </c:pt>
                <c:pt idx="357">
                  <c:v>20.745087627451841</c:v>
                </c:pt>
                <c:pt idx="358">
                  <c:v>11.720205144298212</c:v>
                </c:pt>
                <c:pt idx="359">
                  <c:v>20.262287818734546</c:v>
                </c:pt>
                <c:pt idx="360">
                  <c:v>6.865686911404091</c:v>
                </c:pt>
                <c:pt idx="361">
                  <c:v>21.314030780270485</c:v>
                </c:pt>
                <c:pt idx="362">
                  <c:v>10.123212049309203</c:v>
                </c:pt>
                <c:pt idx="363">
                  <c:v>13.715506584897019</c:v>
                </c:pt>
                <c:pt idx="364">
                  <c:v>11.347381042067962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23.380447486581428</c:v>
                </c:pt>
                <c:pt idx="1">
                  <c:v>16.123539835816654</c:v>
                </c:pt>
                <c:pt idx="2">
                  <c:v>17.408008734477011</c:v>
                </c:pt>
                <c:pt idx="3">
                  <c:v>18.496562261361742</c:v>
                </c:pt>
                <c:pt idx="4">
                  <c:v>14.625774341919739</c:v>
                </c:pt>
                <c:pt idx="5">
                  <c:v>20.986124196011421</c:v>
                </c:pt>
                <c:pt idx="6">
                  <c:v>10.29001053884404</c:v>
                </c:pt>
                <c:pt idx="7">
                  <c:v>7.3225575045930746</c:v>
                </c:pt>
                <c:pt idx="8">
                  <c:v>2.1859127331560049</c:v>
                </c:pt>
                <c:pt idx="9">
                  <c:v>1.7924299256203731</c:v>
                </c:pt>
                <c:pt idx="10">
                  <c:v>25.124090062057029</c:v>
                </c:pt>
                <c:pt idx="11">
                  <c:v>21.837843447969423</c:v>
                </c:pt>
                <c:pt idx="12">
                  <c:v>5.5975116841414021</c:v>
                </c:pt>
                <c:pt idx="13">
                  <c:v>26.561125274755661</c:v>
                </c:pt>
                <c:pt idx="14">
                  <c:v>26.870946167735966</c:v>
                </c:pt>
                <c:pt idx="15">
                  <c:v>26.28741867709919</c:v>
                </c:pt>
                <c:pt idx="16">
                  <c:v>12.137861015239155</c:v>
                </c:pt>
                <c:pt idx="17">
                  <c:v>3.8556850158164577</c:v>
                </c:pt>
                <c:pt idx="18">
                  <c:v>10.519564454130235</c:v>
                </c:pt>
                <c:pt idx="19">
                  <c:v>6.5874108800599291</c:v>
                </c:pt>
                <c:pt idx="20">
                  <c:v>21.001347063334794</c:v>
                </c:pt>
                <c:pt idx="21">
                  <c:v>28.031995673678512</c:v>
                </c:pt>
                <c:pt idx="22">
                  <c:v>28.154563654498496</c:v>
                </c:pt>
                <c:pt idx="23">
                  <c:v>28.698804411783978</c:v>
                </c:pt>
                <c:pt idx="24">
                  <c:v>27.74882405176615</c:v>
                </c:pt>
                <c:pt idx="25">
                  <c:v>28.422266959058213</c:v>
                </c:pt>
                <c:pt idx="26">
                  <c:v>27.15753604499303</c:v>
                </c:pt>
                <c:pt idx="27">
                  <c:v>4.2915398195206116</c:v>
                </c:pt>
                <c:pt idx="28">
                  <c:v>9.0573493560697518</c:v>
                </c:pt>
                <c:pt idx="29">
                  <c:v>4.6771958154211166</c:v>
                </c:pt>
                <c:pt idx="30">
                  <c:v>7.7553585733902786</c:v>
                </c:pt>
                <c:pt idx="31">
                  <c:v>12.868853689645359</c:v>
                </c:pt>
                <c:pt idx="32">
                  <c:v>5.4322934419556992</c:v>
                </c:pt>
                <c:pt idx="33">
                  <c:v>10.660644940709878</c:v>
                </c:pt>
                <c:pt idx="34">
                  <c:v>10.499494903060596</c:v>
                </c:pt>
                <c:pt idx="35">
                  <c:v>9.2255238172682823</c:v>
                </c:pt>
                <c:pt idx="36">
                  <c:v>21.491790984489452</c:v>
                </c:pt>
                <c:pt idx="37">
                  <c:v>9.057113295896583</c:v>
                </c:pt>
                <c:pt idx="38">
                  <c:v>33.587732354749484</c:v>
                </c:pt>
                <c:pt idx="39">
                  <c:v>33.873056524936032</c:v>
                </c:pt>
                <c:pt idx="40">
                  <c:v>31.586800340681663</c:v>
                </c:pt>
                <c:pt idx="41">
                  <c:v>17.496709779449517</c:v>
                </c:pt>
                <c:pt idx="42">
                  <c:v>26.809991402580348</c:v>
                </c:pt>
                <c:pt idx="43">
                  <c:v>32.799167613494923</c:v>
                </c:pt>
                <c:pt idx="44">
                  <c:v>15.397539143629514</c:v>
                </c:pt>
                <c:pt idx="45">
                  <c:v>18.5700441287179</c:v>
                </c:pt>
                <c:pt idx="46">
                  <c:v>9.1336283584681954</c:v>
                </c:pt>
                <c:pt idx="47">
                  <c:v>11.378818276197613</c:v>
                </c:pt>
                <c:pt idx="48">
                  <c:v>29.374032917704124</c:v>
                </c:pt>
                <c:pt idx="49">
                  <c:v>19.929886597106776</c:v>
                </c:pt>
                <c:pt idx="50">
                  <c:v>19.808184149178128</c:v>
                </c:pt>
                <c:pt idx="51">
                  <c:v>21.929614827244361</c:v>
                </c:pt>
                <c:pt idx="52">
                  <c:v>33.509689430854642</c:v>
                </c:pt>
                <c:pt idx="53">
                  <c:v>35.210313524524402</c:v>
                </c:pt>
                <c:pt idx="54">
                  <c:v>21.916521947066485</c:v>
                </c:pt>
                <c:pt idx="55">
                  <c:v>31.383024285439674</c:v>
                </c:pt>
                <c:pt idx="56">
                  <c:v>39.772334457706201</c:v>
                </c:pt>
                <c:pt idx="57">
                  <c:v>28.428305835984869</c:v>
                </c:pt>
                <c:pt idx="58">
                  <c:v>34.31825898632605</c:v>
                </c:pt>
                <c:pt idx="59">
                  <c:v>39.815206321310008</c:v>
                </c:pt>
                <c:pt idx="60">
                  <c:v>11.600683382757891</c:v>
                </c:pt>
                <c:pt idx="61">
                  <c:v>35.593955641375956</c:v>
                </c:pt>
                <c:pt idx="62">
                  <c:v>3.8246835713405476</c:v>
                </c:pt>
                <c:pt idx="63">
                  <c:v>13.168923200481625</c:v>
                </c:pt>
                <c:pt idx="64">
                  <c:v>15.876103964724699</c:v>
                </c:pt>
                <c:pt idx="65">
                  <c:v>39.106674984504714</c:v>
                </c:pt>
                <c:pt idx="66">
                  <c:v>31.870323935950605</c:v>
                </c:pt>
                <c:pt idx="67">
                  <c:v>31.071268976711274</c:v>
                </c:pt>
                <c:pt idx="68">
                  <c:v>24.733632686563254</c:v>
                </c:pt>
                <c:pt idx="69">
                  <c:v>15.338952637024459</c:v>
                </c:pt>
                <c:pt idx="70">
                  <c:v>15.964499890836157</c:v>
                </c:pt>
                <c:pt idx="71">
                  <c:v>8.9517338489599538</c:v>
                </c:pt>
                <c:pt idx="72">
                  <c:v>14.422992260045024</c:v>
                </c:pt>
                <c:pt idx="73">
                  <c:v>13.728063817961319</c:v>
                </c:pt>
                <c:pt idx="74">
                  <c:v>13.700529878543538</c:v>
                </c:pt>
                <c:pt idx="75">
                  <c:v>11.50608029632704</c:v>
                </c:pt>
                <c:pt idx="76">
                  <c:v>14.874437073309915</c:v>
                </c:pt>
                <c:pt idx="77">
                  <c:v>28.418139048312707</c:v>
                </c:pt>
                <c:pt idx="78">
                  <c:v>31.554530029390385</c:v>
                </c:pt>
                <c:pt idx="79">
                  <c:v>44.666881743298518</c:v>
                </c:pt>
                <c:pt idx="80">
                  <c:v>42.406382468391378</c:v>
                </c:pt>
                <c:pt idx="81">
                  <c:v>48.33541792897509</c:v>
                </c:pt>
                <c:pt idx="82">
                  <c:v>47.540946718802161</c:v>
                </c:pt>
                <c:pt idx="83">
                  <c:v>42.306856055179061</c:v>
                </c:pt>
                <c:pt idx="84">
                  <c:v>46.832079712303688</c:v>
                </c:pt>
                <c:pt idx="85">
                  <c:v>45.276723086120839</c:v>
                </c:pt>
                <c:pt idx="86">
                  <c:v>14.57956073747034</c:v>
                </c:pt>
                <c:pt idx="87">
                  <c:v>27.982188164044491</c:v>
                </c:pt>
                <c:pt idx="88">
                  <c:v>7.8458400406581505</c:v>
                </c:pt>
                <c:pt idx="89">
                  <c:v>27.945894546931452</c:v>
                </c:pt>
                <c:pt idx="90">
                  <c:v>32.724671645382841</c:v>
                </c:pt>
                <c:pt idx="91">
                  <c:v>20.428916878336789</c:v>
                </c:pt>
                <c:pt idx="92">
                  <c:v>22.727365933029716</c:v>
                </c:pt>
                <c:pt idx="93">
                  <c:v>45.750206021086314</c:v>
                </c:pt>
                <c:pt idx="94">
                  <c:v>52.498103936130391</c:v>
                </c:pt>
                <c:pt idx="95">
                  <c:v>11.363522553459452</c:v>
                </c:pt>
                <c:pt idx="96">
                  <c:v>38.14643802530842</c:v>
                </c:pt>
                <c:pt idx="97">
                  <c:v>30.991254616219877</c:v>
                </c:pt>
                <c:pt idx="98">
                  <c:v>36.358742816811628</c:v>
                </c:pt>
                <c:pt idx="99">
                  <c:v>53.165814863549393</c:v>
                </c:pt>
                <c:pt idx="100">
                  <c:v>44.064195433783304</c:v>
                </c:pt>
                <c:pt idx="101">
                  <c:v>37.634286208990737</c:v>
                </c:pt>
                <c:pt idx="102">
                  <c:v>8.0424556560241953</c:v>
                </c:pt>
                <c:pt idx="103">
                  <c:v>40.706477787523056</c:v>
                </c:pt>
                <c:pt idx="104">
                  <c:v>44.419247634272381</c:v>
                </c:pt>
                <c:pt idx="105">
                  <c:v>46.08788738300494</c:v>
                </c:pt>
                <c:pt idx="106">
                  <c:v>54.094194116782198</c:v>
                </c:pt>
                <c:pt idx="107">
                  <c:v>40.016625154089837</c:v>
                </c:pt>
                <c:pt idx="108">
                  <c:v>9.3541013127354891</c:v>
                </c:pt>
                <c:pt idx="109">
                  <c:v>9.7593368320605371</c:v>
                </c:pt>
                <c:pt idx="110">
                  <c:v>9.3942143175961217</c:v>
                </c:pt>
                <c:pt idx="111">
                  <c:v>27.3040190389464</c:v>
                </c:pt>
                <c:pt idx="112">
                  <c:v>9.0934230628476431</c:v>
                </c:pt>
                <c:pt idx="113">
                  <c:v>31.422220627858838</c:v>
                </c:pt>
                <c:pt idx="114">
                  <c:v>47.555943394694431</c:v>
                </c:pt>
                <c:pt idx="115">
                  <c:v>54.52416683179495</c:v>
                </c:pt>
                <c:pt idx="116">
                  <c:v>39.579740709443918</c:v>
                </c:pt>
                <c:pt idx="117">
                  <c:v>23.848695137829029</c:v>
                </c:pt>
                <c:pt idx="118">
                  <c:v>43.61704069414958</c:v>
                </c:pt>
                <c:pt idx="119">
                  <c:v>46.171361041917862</c:v>
                </c:pt>
                <c:pt idx="120">
                  <c:v>46.717436973410322</c:v>
                </c:pt>
                <c:pt idx="121">
                  <c:v>27.755680295714011</c:v>
                </c:pt>
                <c:pt idx="122">
                  <c:v>38.74065023611729</c:v>
                </c:pt>
                <c:pt idx="123">
                  <c:v>20.978534833671979</c:v>
                </c:pt>
                <c:pt idx="124">
                  <c:v>43.034085865927644</c:v>
                </c:pt>
                <c:pt idx="125">
                  <c:v>37.764244050144924</c:v>
                </c:pt>
                <c:pt idx="126">
                  <c:v>51.664799066798508</c:v>
                </c:pt>
                <c:pt idx="127">
                  <c:v>47.640990629913034</c:v>
                </c:pt>
                <c:pt idx="128">
                  <c:v>54.706675961201725</c:v>
                </c:pt>
                <c:pt idx="129">
                  <c:v>51.102250882884938</c:v>
                </c:pt>
                <c:pt idx="130">
                  <c:v>55.104986828528517</c:v>
                </c:pt>
                <c:pt idx="131">
                  <c:v>41.084167234772096</c:v>
                </c:pt>
                <c:pt idx="132">
                  <c:v>43.032939798201305</c:v>
                </c:pt>
                <c:pt idx="133">
                  <c:v>49.036939986570026</c:v>
                </c:pt>
                <c:pt idx="134">
                  <c:v>51.603620454354399</c:v>
                </c:pt>
                <c:pt idx="135">
                  <c:v>50.059574686656269</c:v>
                </c:pt>
                <c:pt idx="136">
                  <c:v>53.38991195644288</c:v>
                </c:pt>
                <c:pt idx="137">
                  <c:v>51.638939702615716</c:v>
                </c:pt>
                <c:pt idx="138">
                  <c:v>54.284625372786707</c:v>
                </c:pt>
                <c:pt idx="139">
                  <c:v>48.439768998559479</c:v>
                </c:pt>
                <c:pt idx="140">
                  <c:v>48.533948133299688</c:v>
                </c:pt>
                <c:pt idx="141">
                  <c:v>36.86656201840065</c:v>
                </c:pt>
                <c:pt idx="142">
                  <c:v>19.465030971845451</c:v>
                </c:pt>
                <c:pt idx="143">
                  <c:v>16.091584988056262</c:v>
                </c:pt>
                <c:pt idx="144">
                  <c:v>40.47829282735443</c:v>
                </c:pt>
                <c:pt idx="145">
                  <c:v>24.605862037379445</c:v>
                </c:pt>
                <c:pt idx="146">
                  <c:v>45.30225379305152</c:v>
                </c:pt>
                <c:pt idx="147">
                  <c:v>54.489063483941102</c:v>
                </c:pt>
                <c:pt idx="148">
                  <c:v>58.91610402062274</c:v>
                </c:pt>
                <c:pt idx="149">
                  <c:v>49.990050057192789</c:v>
                </c:pt>
                <c:pt idx="150">
                  <c:v>54.19139886190014</c:v>
                </c:pt>
                <c:pt idx="151">
                  <c:v>55.220479165794352</c:v>
                </c:pt>
                <c:pt idx="152">
                  <c:v>44.040913528193769</c:v>
                </c:pt>
                <c:pt idx="153">
                  <c:v>53.868420479392647</c:v>
                </c:pt>
                <c:pt idx="154">
                  <c:v>25.680615307480121</c:v>
                </c:pt>
                <c:pt idx="155">
                  <c:v>35.386822851067471</c:v>
                </c:pt>
                <c:pt idx="156">
                  <c:v>46.158731697598931</c:v>
                </c:pt>
                <c:pt idx="157">
                  <c:v>28.000289302613297</c:v>
                </c:pt>
                <c:pt idx="158">
                  <c:v>20.874999599550836</c:v>
                </c:pt>
                <c:pt idx="159">
                  <c:v>45.480379491670526</c:v>
                </c:pt>
                <c:pt idx="160">
                  <c:v>56.737943096242986</c:v>
                </c:pt>
                <c:pt idx="161">
                  <c:v>54.829934609250522</c:v>
                </c:pt>
                <c:pt idx="162">
                  <c:v>42.561766074739552</c:v>
                </c:pt>
                <c:pt idx="163">
                  <c:v>53.525196936163518</c:v>
                </c:pt>
                <c:pt idx="164">
                  <c:v>47.582180031381803</c:v>
                </c:pt>
                <c:pt idx="165">
                  <c:v>53.640783102163105</c:v>
                </c:pt>
                <c:pt idx="166">
                  <c:v>51.520234697969293</c:v>
                </c:pt>
                <c:pt idx="167">
                  <c:v>51.658966738226326</c:v>
                </c:pt>
                <c:pt idx="168">
                  <c:v>54.016595515624161</c:v>
                </c:pt>
                <c:pt idx="169">
                  <c:v>55.330227405405815</c:v>
                </c:pt>
                <c:pt idx="170">
                  <c:v>31.213411827740021</c:v>
                </c:pt>
                <c:pt idx="171">
                  <c:v>22.463107953566265</c:v>
                </c:pt>
                <c:pt idx="172">
                  <c:v>43.508256821560394</c:v>
                </c:pt>
                <c:pt idx="173">
                  <c:v>41.039581404221714</c:v>
                </c:pt>
                <c:pt idx="174">
                  <c:v>38.710083768459079</c:v>
                </c:pt>
                <c:pt idx="175">
                  <c:v>33.5933304477132</c:v>
                </c:pt>
                <c:pt idx="176">
                  <c:v>11.926962097880439</c:v>
                </c:pt>
                <c:pt idx="177">
                  <c:v>14.49242043145223</c:v>
                </c:pt>
                <c:pt idx="178">
                  <c:v>57.493596949997169</c:v>
                </c:pt>
                <c:pt idx="179">
                  <c:v>55.84538041675907</c:v>
                </c:pt>
                <c:pt idx="180">
                  <c:v>13.772476539072493</c:v>
                </c:pt>
                <c:pt idx="181">
                  <c:v>49.676741083257731</c:v>
                </c:pt>
                <c:pt idx="182">
                  <c:v>54.876293847116891</c:v>
                </c:pt>
                <c:pt idx="183">
                  <c:v>45.20591845070058</c:v>
                </c:pt>
                <c:pt idx="184">
                  <c:v>43.736239439573644</c:v>
                </c:pt>
                <c:pt idx="185">
                  <c:v>54.826529464628017</c:v>
                </c:pt>
                <c:pt idx="186">
                  <c:v>46.603652389320651</c:v>
                </c:pt>
                <c:pt idx="187">
                  <c:v>54.283834567126902</c:v>
                </c:pt>
                <c:pt idx="188">
                  <c:v>56.622969880335546</c:v>
                </c:pt>
                <c:pt idx="189">
                  <c:v>55.961699765990353</c:v>
                </c:pt>
                <c:pt idx="190">
                  <c:v>55.430270229079525</c:v>
                </c:pt>
                <c:pt idx="191">
                  <c:v>53.97484341018118</c:v>
                </c:pt>
                <c:pt idx="192">
                  <c:v>53.74167407859845</c:v>
                </c:pt>
                <c:pt idx="193">
                  <c:v>53.468991184371767</c:v>
                </c:pt>
                <c:pt idx="194">
                  <c:v>52.910250626937589</c:v>
                </c:pt>
                <c:pt idx="195">
                  <c:v>51.164881134710804</c:v>
                </c:pt>
                <c:pt idx="196">
                  <c:v>52.653790221224867</c:v>
                </c:pt>
                <c:pt idx="197">
                  <c:v>52.191026729160875</c:v>
                </c:pt>
                <c:pt idx="198">
                  <c:v>53.132343707190437</c:v>
                </c:pt>
                <c:pt idx="199">
                  <c:v>43.907013684286632</c:v>
                </c:pt>
                <c:pt idx="200">
                  <c:v>43.478874014700594</c:v>
                </c:pt>
                <c:pt idx="201">
                  <c:v>51.417488342356641</c:v>
                </c:pt>
                <c:pt idx="202">
                  <c:v>41.516691586576947</c:v>
                </c:pt>
                <c:pt idx="203">
                  <c:v>47.707863984770519</c:v>
                </c:pt>
                <c:pt idx="204">
                  <c:v>51.647022467784574</c:v>
                </c:pt>
                <c:pt idx="205">
                  <c:v>26.319688738858972</c:v>
                </c:pt>
                <c:pt idx="206">
                  <c:v>55.8145560863451</c:v>
                </c:pt>
                <c:pt idx="207">
                  <c:v>55.853554172685669</c:v>
                </c:pt>
                <c:pt idx="208">
                  <c:v>43.548339932571395</c:v>
                </c:pt>
                <c:pt idx="209">
                  <c:v>31.104157480283448</c:v>
                </c:pt>
                <c:pt idx="210">
                  <c:v>48.107516778443376</c:v>
                </c:pt>
                <c:pt idx="211">
                  <c:v>53.416137973338827</c:v>
                </c:pt>
                <c:pt idx="212">
                  <c:v>53.055019621574019</c:v>
                </c:pt>
                <c:pt idx="213">
                  <c:v>53.045040055441198</c:v>
                </c:pt>
                <c:pt idx="214">
                  <c:v>50.09306894802446</c:v>
                </c:pt>
                <c:pt idx="215">
                  <c:v>49.351513705893353</c:v>
                </c:pt>
                <c:pt idx="216">
                  <c:v>44.818559368471256</c:v>
                </c:pt>
                <c:pt idx="217">
                  <c:v>49.21467412915419</c:v>
                </c:pt>
                <c:pt idx="218">
                  <c:v>51.790091306882715</c:v>
                </c:pt>
                <c:pt idx="219">
                  <c:v>52.22737150058591</c:v>
                </c:pt>
                <c:pt idx="220">
                  <c:v>50.268355878672764</c:v>
                </c:pt>
                <c:pt idx="221">
                  <c:v>47.503233102207105</c:v>
                </c:pt>
                <c:pt idx="222">
                  <c:v>45.935734741397233</c:v>
                </c:pt>
                <c:pt idx="223">
                  <c:v>46.850378711776635</c:v>
                </c:pt>
                <c:pt idx="224">
                  <c:v>35.259508724664805</c:v>
                </c:pt>
                <c:pt idx="225">
                  <c:v>33.46934359942717</c:v>
                </c:pt>
                <c:pt idx="226">
                  <c:v>37.915269522720131</c:v>
                </c:pt>
                <c:pt idx="227">
                  <c:v>35.069379565197004</c:v>
                </c:pt>
                <c:pt idx="228">
                  <c:v>28.136912504180959</c:v>
                </c:pt>
                <c:pt idx="229">
                  <c:v>35.69955940285999</c:v>
                </c:pt>
                <c:pt idx="230">
                  <c:v>40.665985239583925</c:v>
                </c:pt>
                <c:pt idx="231">
                  <c:v>48.836953913862615</c:v>
                </c:pt>
                <c:pt idx="232">
                  <c:v>32.98999806391987</c:v>
                </c:pt>
                <c:pt idx="233">
                  <c:v>26.292935187490194</c:v>
                </c:pt>
                <c:pt idx="234">
                  <c:v>47.684564648940821</c:v>
                </c:pt>
                <c:pt idx="235">
                  <c:v>45.461033532057193</c:v>
                </c:pt>
                <c:pt idx="236">
                  <c:v>31.873895940714707</c:v>
                </c:pt>
                <c:pt idx="237">
                  <c:v>42.329629184987226</c:v>
                </c:pt>
                <c:pt idx="238">
                  <c:v>48.139728605053989</c:v>
                </c:pt>
                <c:pt idx="239">
                  <c:v>47.093611505378639</c:v>
                </c:pt>
                <c:pt idx="240">
                  <c:v>32.225483729997364</c:v>
                </c:pt>
                <c:pt idx="241">
                  <c:v>46.784723034803967</c:v>
                </c:pt>
                <c:pt idx="242">
                  <c:v>24.166172885948395</c:v>
                </c:pt>
                <c:pt idx="243">
                  <c:v>39.559025003196354</c:v>
                </c:pt>
                <c:pt idx="244">
                  <c:v>38.073441789604367</c:v>
                </c:pt>
                <c:pt idx="245">
                  <c:v>37.172928642866637</c:v>
                </c:pt>
                <c:pt idx="246">
                  <c:v>44.928434114486301</c:v>
                </c:pt>
                <c:pt idx="247">
                  <c:v>39.272120003367405</c:v>
                </c:pt>
                <c:pt idx="248">
                  <c:v>44.443324958803814</c:v>
                </c:pt>
                <c:pt idx="249">
                  <c:v>35.380789571935637</c:v>
                </c:pt>
                <c:pt idx="250">
                  <c:v>34.38681308771767</c:v>
                </c:pt>
                <c:pt idx="251">
                  <c:v>23.031228431689055</c:v>
                </c:pt>
                <c:pt idx="252">
                  <c:v>45.558934315938913</c:v>
                </c:pt>
                <c:pt idx="253">
                  <c:v>44.999798358768018</c:v>
                </c:pt>
                <c:pt idx="254">
                  <c:v>32.664085384230958</c:v>
                </c:pt>
                <c:pt idx="255">
                  <c:v>13.86584568285001</c:v>
                </c:pt>
                <c:pt idx="256">
                  <c:v>34.771536312460654</c:v>
                </c:pt>
                <c:pt idx="257">
                  <c:v>39.824771553746764</c:v>
                </c:pt>
                <c:pt idx="258">
                  <c:v>31.820749537012713</c:v>
                </c:pt>
                <c:pt idx="259">
                  <c:v>44.467814896048729</c:v>
                </c:pt>
                <c:pt idx="260">
                  <c:v>44.462596118729472</c:v>
                </c:pt>
                <c:pt idx="261">
                  <c:v>43.86106902963472</c:v>
                </c:pt>
                <c:pt idx="262">
                  <c:v>45.532815579169267</c:v>
                </c:pt>
                <c:pt idx="263">
                  <c:v>44.362763798058538</c:v>
                </c:pt>
                <c:pt idx="264">
                  <c:v>42.930496129046738</c:v>
                </c:pt>
                <c:pt idx="265">
                  <c:v>27.249239046903135</c:v>
                </c:pt>
                <c:pt idx="266">
                  <c:v>16.50722484285285</c:v>
                </c:pt>
                <c:pt idx="267">
                  <c:v>34.76455290204612</c:v>
                </c:pt>
                <c:pt idx="268">
                  <c:v>31.832165460123775</c:v>
                </c:pt>
                <c:pt idx="269">
                  <c:v>16.880385633887126</c:v>
                </c:pt>
                <c:pt idx="270">
                  <c:v>19.133769402850387</c:v>
                </c:pt>
                <c:pt idx="271">
                  <c:v>22.991045887886866</c:v>
                </c:pt>
                <c:pt idx="272">
                  <c:v>27.284633172124881</c:v>
                </c:pt>
                <c:pt idx="273">
                  <c:v>35.653365560522587</c:v>
                </c:pt>
                <c:pt idx="274">
                  <c:v>38.019891690005117</c:v>
                </c:pt>
                <c:pt idx="275">
                  <c:v>36.705176236647475</c:v>
                </c:pt>
                <c:pt idx="276">
                  <c:v>40.435779751864544</c:v>
                </c:pt>
                <c:pt idx="277">
                  <c:v>41.228454545073312</c:v>
                </c:pt>
                <c:pt idx="278">
                  <c:v>11.389848144954895</c:v>
                </c:pt>
                <c:pt idx="279">
                  <c:v>28.612209739295505</c:v>
                </c:pt>
                <c:pt idx="280">
                  <c:v>16.514002514660479</c:v>
                </c:pt>
                <c:pt idx="281">
                  <c:v>37.708905072873847</c:v>
                </c:pt>
                <c:pt idx="282">
                  <c:v>30.275919494053518</c:v>
                </c:pt>
                <c:pt idx="283">
                  <c:v>22.023195289334765</c:v>
                </c:pt>
                <c:pt idx="284">
                  <c:v>27.337087212570111</c:v>
                </c:pt>
                <c:pt idx="285">
                  <c:v>22.891009822731561</c:v>
                </c:pt>
                <c:pt idx="286">
                  <c:v>17.795411159509349</c:v>
                </c:pt>
                <c:pt idx="287">
                  <c:v>36.56962349317859</c:v>
                </c:pt>
                <c:pt idx="288">
                  <c:v>32.280089912845099</c:v>
                </c:pt>
                <c:pt idx="289">
                  <c:v>19.165229964559472</c:v>
                </c:pt>
                <c:pt idx="290">
                  <c:v>33.809808458261131</c:v>
                </c:pt>
                <c:pt idx="291">
                  <c:v>15.716489629643039</c:v>
                </c:pt>
                <c:pt idx="292">
                  <c:v>6.6188159433105636</c:v>
                </c:pt>
                <c:pt idx="293">
                  <c:v>16.109602256131932</c:v>
                </c:pt>
                <c:pt idx="294">
                  <c:v>32.550026056573785</c:v>
                </c:pt>
                <c:pt idx="295">
                  <c:v>16.730578019773553</c:v>
                </c:pt>
                <c:pt idx="296">
                  <c:v>24.75586761686224</c:v>
                </c:pt>
                <c:pt idx="297">
                  <c:v>21.889963034654677</c:v>
                </c:pt>
                <c:pt idx="298">
                  <c:v>12.203689945981507</c:v>
                </c:pt>
                <c:pt idx="299">
                  <c:v>14.119186801163039</c:v>
                </c:pt>
                <c:pt idx="300">
                  <c:v>16.986145612609519</c:v>
                </c:pt>
                <c:pt idx="301">
                  <c:v>26.382780003678391</c:v>
                </c:pt>
                <c:pt idx="302">
                  <c:v>22.684389831479567</c:v>
                </c:pt>
                <c:pt idx="303">
                  <c:v>21.577684067884885</c:v>
                </c:pt>
                <c:pt idx="304">
                  <c:v>19.129687344420457</c:v>
                </c:pt>
                <c:pt idx="305">
                  <c:v>28.381725589605679</c:v>
                </c:pt>
                <c:pt idx="306">
                  <c:v>9.9635903358833193</c:v>
                </c:pt>
                <c:pt idx="307">
                  <c:v>17.20892301974861</c:v>
                </c:pt>
                <c:pt idx="308">
                  <c:v>29.316372500717161</c:v>
                </c:pt>
                <c:pt idx="309">
                  <c:v>29.276985994581452</c:v>
                </c:pt>
                <c:pt idx="310">
                  <c:v>27.464365993055736</c:v>
                </c:pt>
                <c:pt idx="311">
                  <c:v>19.807098993399258</c:v>
                </c:pt>
                <c:pt idx="312">
                  <c:v>9.7571557541578304</c:v>
                </c:pt>
                <c:pt idx="313">
                  <c:v>19.70228132293947</c:v>
                </c:pt>
                <c:pt idx="314">
                  <c:v>26.953258283941363</c:v>
                </c:pt>
                <c:pt idx="315">
                  <c:v>26.544545462007306</c:v>
                </c:pt>
                <c:pt idx="316">
                  <c:v>25.530854183683626</c:v>
                </c:pt>
                <c:pt idx="317">
                  <c:v>9.4542095546560017</c:v>
                </c:pt>
                <c:pt idx="318">
                  <c:v>12.132482206209694</c:v>
                </c:pt>
                <c:pt idx="319">
                  <c:v>26.123435774403394</c:v>
                </c:pt>
                <c:pt idx="320">
                  <c:v>13.3745610934963</c:v>
                </c:pt>
                <c:pt idx="321">
                  <c:v>15.311005554574944</c:v>
                </c:pt>
                <c:pt idx="322">
                  <c:v>6.9977228673237741</c:v>
                </c:pt>
                <c:pt idx="323">
                  <c:v>15.399791173132463</c:v>
                </c:pt>
                <c:pt idx="324">
                  <c:v>3.0933837263097748</c:v>
                </c:pt>
                <c:pt idx="325">
                  <c:v>7.6533644179080698</c:v>
                </c:pt>
                <c:pt idx="326">
                  <c:v>12.836181719206499</c:v>
                </c:pt>
                <c:pt idx="327">
                  <c:v>13.471568579023998</c:v>
                </c:pt>
                <c:pt idx="328">
                  <c:v>4.6685527192138103</c:v>
                </c:pt>
                <c:pt idx="329">
                  <c:v>10.728400203753413</c:v>
                </c:pt>
                <c:pt idx="330">
                  <c:v>14.12371712581286</c:v>
                </c:pt>
                <c:pt idx="331">
                  <c:v>10.247305135339248</c:v>
                </c:pt>
                <c:pt idx="332">
                  <c:v>14.925114146830227</c:v>
                </c:pt>
                <c:pt idx="333">
                  <c:v>3.9004369515826212</c:v>
                </c:pt>
                <c:pt idx="334">
                  <c:v>3.6922166039821778</c:v>
                </c:pt>
                <c:pt idx="335">
                  <c:v>5.5472662431888073</c:v>
                </c:pt>
                <c:pt idx="336">
                  <c:v>9.2973545825145543</c:v>
                </c:pt>
                <c:pt idx="337">
                  <c:v>17.051085193860345</c:v>
                </c:pt>
                <c:pt idx="338">
                  <c:v>22.605698168305498</c:v>
                </c:pt>
                <c:pt idx="339">
                  <c:v>11.113121034355403</c:v>
                </c:pt>
                <c:pt idx="340">
                  <c:v>20.026264823402066</c:v>
                </c:pt>
                <c:pt idx="341">
                  <c:v>4.0222101482262262</c:v>
                </c:pt>
                <c:pt idx="342">
                  <c:v>4.9090782980786409</c:v>
                </c:pt>
                <c:pt idx="343">
                  <c:v>11.884155868365561</c:v>
                </c:pt>
                <c:pt idx="344">
                  <c:v>17.005021961190373</c:v>
                </c:pt>
                <c:pt idx="345">
                  <c:v>5.1972868033149968</c:v>
                </c:pt>
                <c:pt idx="346">
                  <c:v>5.2620373060787999</c:v>
                </c:pt>
                <c:pt idx="347">
                  <c:v>16.802651849006928</c:v>
                </c:pt>
                <c:pt idx="348">
                  <c:v>5.7424350967483226</c:v>
                </c:pt>
                <c:pt idx="349">
                  <c:v>5.0719927315644275</c:v>
                </c:pt>
                <c:pt idx="350">
                  <c:v>3.4386574294840564</c:v>
                </c:pt>
                <c:pt idx="351">
                  <c:v>20.511939047422416</c:v>
                </c:pt>
                <c:pt idx="352">
                  <c:v>17.454901097035208</c:v>
                </c:pt>
                <c:pt idx="353">
                  <c:v>4.4491812627005931</c:v>
                </c:pt>
                <c:pt idx="354">
                  <c:v>20.370726259921735</c:v>
                </c:pt>
                <c:pt idx="355">
                  <c:v>17.223260829633499</c:v>
                </c:pt>
                <c:pt idx="356">
                  <c:v>17.454903364140495</c:v>
                </c:pt>
                <c:pt idx="357">
                  <c:v>20.745087627451841</c:v>
                </c:pt>
                <c:pt idx="358">
                  <c:v>11.720205144298212</c:v>
                </c:pt>
                <c:pt idx="359">
                  <c:v>20.262287818734546</c:v>
                </c:pt>
                <c:pt idx="360">
                  <c:v>6.865686911404091</c:v>
                </c:pt>
                <c:pt idx="361">
                  <c:v>21.314030780270485</c:v>
                </c:pt>
                <c:pt idx="362">
                  <c:v>10.123212049309203</c:v>
                </c:pt>
                <c:pt idx="363">
                  <c:v>13.715506584897019</c:v>
                </c:pt>
                <c:pt idx="364">
                  <c:v>11.347381042067962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3592"/>
        <c:axId val="701983984"/>
      </c:lineChart>
      <c:dateAx>
        <c:axId val="701983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3984"/>
        <c:crosses val="autoZero"/>
        <c:auto val="1"/>
        <c:lblOffset val="100"/>
        <c:baseTimeUnit val="days"/>
        <c:majorUnit val="1"/>
        <c:majorTimeUnit val="months"/>
      </c:dateAx>
      <c:valAx>
        <c:axId val="7019839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35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5.4189006803393669E-2</c:v>
                </c:pt>
                <c:pt idx="1">
                  <c:v>5.4207133055304113E-2</c:v>
                </c:pt>
                <c:pt idx="2">
                  <c:v>5.4225258959829103E-2</c:v>
                </c:pt>
                <c:pt idx="3">
                  <c:v>5.424338451697519E-2</c:v>
                </c:pt>
                <c:pt idx="4">
                  <c:v>5.4261509726749146E-2</c:v>
                </c:pt>
                <c:pt idx="5">
                  <c:v>5.4279634589157633E-2</c:v>
                </c:pt>
                <c:pt idx="6">
                  <c:v>5.429775910420731E-2</c:v>
                </c:pt>
                <c:pt idx="7">
                  <c:v>5.4315883271904619E-2</c:v>
                </c:pt>
                <c:pt idx="8">
                  <c:v>5.4334007092256553E-2</c:v>
                </c:pt>
                <c:pt idx="9">
                  <c:v>5.4352130565269552E-2</c:v>
                </c:pt>
                <c:pt idx="10">
                  <c:v>5.4370253690950276E-2</c:v>
                </c:pt>
                <c:pt idx="11">
                  <c:v>5.4388376469305499E-2</c:v>
                </c:pt>
                <c:pt idx="12">
                  <c:v>5.4406498900341771E-2</c:v>
                </c:pt>
                <c:pt idx="13">
                  <c:v>5.4424620984065863E-2</c:v>
                </c:pt>
                <c:pt idx="14">
                  <c:v>5.4442742720484216E-2</c:v>
                </c:pt>
                <c:pt idx="15">
                  <c:v>5.4460864109603713E-2</c:v>
                </c:pt>
                <c:pt idx="16">
                  <c:v>5.4478985151430903E-2</c:v>
                </c:pt>
                <c:pt idx="17">
                  <c:v>5.4497105845972449E-2</c:v>
                </c:pt>
                <c:pt idx="18">
                  <c:v>5.4515226193235122E-2</c:v>
                </c:pt>
                <c:pt idx="19">
                  <c:v>5.4533346193225363E-2</c:v>
                </c:pt>
                <c:pt idx="20">
                  <c:v>5.4551465845949942E-2</c:v>
                </c:pt>
                <c:pt idx="21">
                  <c:v>5.4569585151415523E-2</c:v>
                </c:pt>
                <c:pt idx="22">
                  <c:v>5.4587704109628765E-2</c:v>
                </c:pt>
                <c:pt idx="23">
                  <c:v>5.4605822720596331E-2</c:v>
                </c:pt>
                <c:pt idx="24">
                  <c:v>5.462394098432477E-2</c:v>
                </c:pt>
                <c:pt idx="25">
                  <c:v>5.4642058900820856E-2</c:v>
                </c:pt>
                <c:pt idx="26">
                  <c:v>5.4660176470091248E-2</c:v>
                </c:pt>
                <c:pt idx="27">
                  <c:v>5.4678293692142499E-2</c:v>
                </c:pt>
                <c:pt idx="28">
                  <c:v>5.4696410566981379E-2</c:v>
                </c:pt>
                <c:pt idx="29">
                  <c:v>5.471452709461444E-2</c:v>
                </c:pt>
                <c:pt idx="30">
                  <c:v>5.4732643275048454E-2</c:v>
                </c:pt>
                <c:pt idx="31">
                  <c:v>5.475075910828997E-2</c:v>
                </c:pt>
                <c:pt idx="32">
                  <c:v>5.4768874594345651E-2</c:v>
                </c:pt>
                <c:pt idx="33">
                  <c:v>5.4786989733222158E-2</c:v>
                </c:pt>
                <c:pt idx="34">
                  <c:v>5.4805104524926151E-2</c:v>
                </c:pt>
                <c:pt idx="35">
                  <c:v>5.4823218969464294E-2</c:v>
                </c:pt>
                <c:pt idx="36">
                  <c:v>5.4841333066843245E-2</c:v>
                </c:pt>
                <c:pt idx="37">
                  <c:v>5.4859446817069779E-2</c:v>
                </c:pt>
                <c:pt idx="38">
                  <c:v>5.4877560220150223E-2</c:v>
                </c:pt>
                <c:pt idx="39">
                  <c:v>5.4895673276091572E-2</c:v>
                </c:pt>
                <c:pt idx="40">
                  <c:v>5.4913785984900265E-2</c:v>
                </c:pt>
                <c:pt idx="41">
                  <c:v>5.4931898346583075E-2</c:v>
                </c:pt>
                <c:pt idx="42">
                  <c:v>5.4950010361146551E-2</c:v>
                </c:pt>
                <c:pt idx="43">
                  <c:v>5.4968122028597466E-2</c:v>
                </c:pt>
                <c:pt idx="44">
                  <c:v>5.498623334894237E-2</c:v>
                </c:pt>
                <c:pt idx="45">
                  <c:v>5.5004344322187926E-2</c:v>
                </c:pt>
                <c:pt idx="46">
                  <c:v>5.5022454948340904E-2</c:v>
                </c:pt>
                <c:pt idx="47">
                  <c:v>5.5040565227407745E-2</c:v>
                </c:pt>
                <c:pt idx="48">
                  <c:v>5.5058675159395221E-2</c:v>
                </c:pt>
                <c:pt idx="49">
                  <c:v>5.5076784744310103E-2</c:v>
                </c:pt>
                <c:pt idx="50">
                  <c:v>5.5094893982158832E-2</c:v>
                </c:pt>
                <c:pt idx="51">
                  <c:v>5.511300287294818E-2</c:v>
                </c:pt>
                <c:pt idx="52">
                  <c:v>5.5131111416684697E-2</c:v>
                </c:pt>
                <c:pt idx="53">
                  <c:v>5.5149219613375156E-2</c:v>
                </c:pt>
                <c:pt idx="54">
                  <c:v>5.5167327463026217E-2</c:v>
                </c:pt>
                <c:pt idx="55">
                  <c:v>5.5185434965644431E-2</c:v>
                </c:pt>
                <c:pt idx="56">
                  <c:v>5.520354212123646E-2</c:v>
                </c:pt>
                <c:pt idx="57">
                  <c:v>5.5221648929808964E-2</c:v>
                </c:pt>
                <c:pt idx="58">
                  <c:v>5.5239755391368717E-2</c:v>
                </c:pt>
                <c:pt idx="59">
                  <c:v>5.5257861505922157E-2</c:v>
                </c:pt>
                <c:pt idx="60">
                  <c:v>5.5275967273476057E-2</c:v>
                </c:pt>
                <c:pt idx="61">
                  <c:v>5.5294072694037077E-2</c:v>
                </c:pt>
                <c:pt idx="62">
                  <c:v>5.5312177767611881E-2</c:v>
                </c:pt>
                <c:pt idx="63">
                  <c:v>5.5330282494207017E-2</c:v>
                </c:pt>
                <c:pt idx="64">
                  <c:v>5.5348386873829258E-2</c:v>
                </c:pt>
                <c:pt idx="65">
                  <c:v>5.5366490906485155E-2</c:v>
                </c:pt>
                <c:pt idx="66">
                  <c:v>5.5384594592181369E-2</c:v>
                </c:pt>
                <c:pt idx="67">
                  <c:v>5.540269793092456E-2</c:v>
                </c:pt>
                <c:pt idx="68">
                  <c:v>5.5420800922721503E-2</c:v>
                </c:pt>
                <c:pt idx="69">
                  <c:v>5.5438903567578635E-2</c:v>
                </c:pt>
                <c:pt idx="70">
                  <c:v>5.5457005865502729E-2</c:v>
                </c:pt>
                <c:pt idx="71">
                  <c:v>5.5475107816500446E-2</c:v>
                </c:pt>
                <c:pt idx="72">
                  <c:v>5.5493209420578338E-2</c:v>
                </c:pt>
                <c:pt idx="73">
                  <c:v>5.5511310677743175E-2</c:v>
                </c:pt>
                <c:pt idx="74">
                  <c:v>5.552941158800162E-2</c:v>
                </c:pt>
                <c:pt idx="75">
                  <c:v>5.5547512151360112E-2</c:v>
                </c:pt>
                <c:pt idx="76">
                  <c:v>5.5565612367825534E-2</c:v>
                </c:pt>
                <c:pt idx="77">
                  <c:v>5.5583712237404326E-2</c:v>
                </c:pt>
                <c:pt idx="78">
                  <c:v>5.560181176010337E-2</c:v>
                </c:pt>
                <c:pt idx="79">
                  <c:v>5.5619910935929107E-2</c:v>
                </c:pt>
                <c:pt idx="80">
                  <c:v>5.5638009764888308E-2</c:v>
                </c:pt>
                <c:pt idx="81">
                  <c:v>5.5656108246987523E-2</c:v>
                </c:pt>
                <c:pt idx="82">
                  <c:v>5.5674206382233526E-2</c:v>
                </c:pt>
                <c:pt idx="83">
                  <c:v>5.5692304170632867E-2</c:v>
                </c:pt>
                <c:pt idx="84">
                  <c:v>5.5710401612192317E-2</c:v>
                </c:pt>
                <c:pt idx="85">
                  <c:v>5.5728498706918317E-2</c:v>
                </c:pt>
                <c:pt idx="86">
                  <c:v>5.5746595454817638E-2</c:v>
                </c:pt>
                <c:pt idx="87">
                  <c:v>5.5764691855896942E-2</c:v>
                </c:pt>
                <c:pt idx="88">
                  <c:v>5.5782787910162779E-2</c:v>
                </c:pt>
                <c:pt idx="89">
                  <c:v>5.5800883617621921E-2</c:v>
                </c:pt>
                <c:pt idx="90">
                  <c:v>5.5818978978281031E-2</c:v>
                </c:pt>
                <c:pt idx="91">
                  <c:v>5.5837073992146546E-2</c:v>
                </c:pt>
                <c:pt idx="92">
                  <c:v>5.5855168659225352E-2</c:v>
                </c:pt>
                <c:pt idx="93">
                  <c:v>5.5873262979523886E-2</c:v>
                </c:pt>
                <c:pt idx="94">
                  <c:v>5.5891356953049032E-2</c:v>
                </c:pt>
                <c:pt idx="95">
                  <c:v>5.5909450579807229E-2</c:v>
                </c:pt>
                <c:pt idx="96">
                  <c:v>5.592754385980514E-2</c:v>
                </c:pt>
                <c:pt idx="97">
                  <c:v>5.5945636793049536E-2</c:v>
                </c:pt>
                <c:pt idx="98">
                  <c:v>5.5963729379546967E-2</c:v>
                </c:pt>
                <c:pt idx="99">
                  <c:v>5.5981821619304206E-2</c:v>
                </c:pt>
                <c:pt idx="100">
                  <c:v>5.5999913512327693E-2</c:v>
                </c:pt>
                <c:pt idx="101">
                  <c:v>5.6018005058624198E-2</c:v>
                </c:pt>
                <c:pt idx="102">
                  <c:v>5.6036096258200385E-2</c:v>
                </c:pt>
                <c:pt idx="103">
                  <c:v>5.6054187111062803E-2</c:v>
                </c:pt>
                <c:pt idx="104">
                  <c:v>5.6072277617218114E-2</c:v>
                </c:pt>
                <c:pt idx="105">
                  <c:v>5.6090367776673089E-2</c:v>
                </c:pt>
                <c:pt idx="106">
                  <c:v>5.610845758943428E-2</c:v>
                </c:pt>
                <c:pt idx="107">
                  <c:v>5.6126547055508236E-2</c:v>
                </c:pt>
                <c:pt idx="108">
                  <c:v>5.6144636174901841E-2</c:v>
                </c:pt>
                <c:pt idx="109">
                  <c:v>5.6162724947621534E-2</c:v>
                </c:pt>
                <c:pt idx="110">
                  <c:v>5.6180813373673977E-2</c:v>
                </c:pt>
                <c:pt idx="111">
                  <c:v>5.6198901453065941E-2</c:v>
                </c:pt>
                <c:pt idx="112">
                  <c:v>5.6216989185803978E-2</c:v>
                </c:pt>
                <c:pt idx="113">
                  <c:v>5.6235076571894749E-2</c:v>
                </c:pt>
                <c:pt idx="114">
                  <c:v>5.6253163611344803E-2</c:v>
                </c:pt>
                <c:pt idx="115">
                  <c:v>5.6271250304161025E-2</c:v>
                </c:pt>
                <c:pt idx="116">
                  <c:v>5.6289336650349742E-2</c:v>
                </c:pt>
                <c:pt idx="117">
                  <c:v>5.6307422649917838E-2</c:v>
                </c:pt>
                <c:pt idx="118">
                  <c:v>5.6325508302871863E-2</c:v>
                </c:pt>
                <c:pt idx="119">
                  <c:v>5.6343593609218479E-2</c:v>
                </c:pt>
                <c:pt idx="120">
                  <c:v>5.6361678568964346E-2</c:v>
                </c:pt>
                <c:pt idx="121">
                  <c:v>5.6379763182116127E-2</c:v>
                </c:pt>
                <c:pt idx="122">
                  <c:v>5.6397847448680372E-2</c:v>
                </c:pt>
                <c:pt idx="123">
                  <c:v>5.6415931368663741E-2</c:v>
                </c:pt>
                <c:pt idx="124">
                  <c:v>5.6434014942073008E-2</c:v>
                </c:pt>
                <c:pt idx="125">
                  <c:v>5.6452098168914611E-2</c:v>
                </c:pt>
                <c:pt idx="126">
                  <c:v>5.6470181049195323E-2</c:v>
                </c:pt>
                <c:pt idx="127">
                  <c:v>5.6488263582921805E-2</c:v>
                </c:pt>
                <c:pt idx="128">
                  <c:v>5.6506345770100608E-2</c:v>
                </c:pt>
                <c:pt idx="129">
                  <c:v>5.6524427610738393E-2</c:v>
                </c:pt>
                <c:pt idx="130">
                  <c:v>5.6542509104841931E-2</c:v>
                </c:pt>
                <c:pt idx="131">
                  <c:v>5.6560590252417664E-2</c:v>
                </c:pt>
                <c:pt idx="132">
                  <c:v>5.6578671053472362E-2</c:v>
                </c:pt>
                <c:pt idx="133">
                  <c:v>5.6596751508012577E-2</c:v>
                </c:pt>
                <c:pt idx="134">
                  <c:v>5.661483161604508E-2</c:v>
                </c:pt>
                <c:pt idx="135">
                  <c:v>5.6632911377576423E-2</c:v>
                </c:pt>
                <c:pt idx="136">
                  <c:v>5.6650990792613265E-2</c:v>
                </c:pt>
                <c:pt idx="137">
                  <c:v>5.6669069861162269E-2</c:v>
                </c:pt>
                <c:pt idx="138">
                  <c:v>5.6687148583229985E-2</c:v>
                </c:pt>
                <c:pt idx="139">
                  <c:v>5.6705226958823074E-2</c:v>
                </c:pt>
                <c:pt idx="140">
                  <c:v>5.6723304987948309E-2</c:v>
                </c:pt>
                <c:pt idx="141">
                  <c:v>5.6741382670612239E-2</c:v>
                </c:pt>
                <c:pt idx="142">
                  <c:v>5.6759460006821527E-2</c:v>
                </c:pt>
                <c:pt idx="143">
                  <c:v>5.6777536996582723E-2</c:v>
                </c:pt>
                <c:pt idx="144">
                  <c:v>5.6795613639902598E-2</c:v>
                </c:pt>
                <c:pt idx="145">
                  <c:v>5.6813689936787592E-2</c:v>
                </c:pt>
                <c:pt idx="146">
                  <c:v>5.683176588724459E-2</c:v>
                </c:pt>
                <c:pt idx="147">
                  <c:v>5.684984149128014E-2</c:v>
                </c:pt>
                <c:pt idx="148">
                  <c:v>5.6867916748900793E-2</c:v>
                </c:pt>
                <c:pt idx="149">
                  <c:v>5.6885991660113322E-2</c:v>
                </c:pt>
                <c:pt idx="150">
                  <c:v>5.6904066224924277E-2</c:v>
                </c:pt>
                <c:pt idx="151">
                  <c:v>5.6922140443340319E-2</c:v>
                </c:pt>
                <c:pt idx="152">
                  <c:v>5.694021431536811E-2</c:v>
                </c:pt>
                <c:pt idx="153">
                  <c:v>5.6958287841014199E-2</c:v>
                </c:pt>
                <c:pt idx="154">
                  <c:v>5.697636102028536E-2</c:v>
                </c:pt>
                <c:pt idx="155">
                  <c:v>5.6994433853188142E-2</c:v>
                </c:pt>
                <c:pt idx="156">
                  <c:v>5.7012506339729208E-2</c:v>
                </c:pt>
                <c:pt idx="157">
                  <c:v>5.7030578479915217E-2</c:v>
                </c:pt>
                <c:pt idx="158">
                  <c:v>5.7048650273752721E-2</c:v>
                </c:pt>
                <c:pt idx="159">
                  <c:v>5.7066721721248492E-2</c:v>
                </c:pt>
                <c:pt idx="160">
                  <c:v>5.708479282240897E-2</c:v>
                </c:pt>
                <c:pt idx="161">
                  <c:v>5.7102863577241036E-2</c:v>
                </c:pt>
                <c:pt idx="162">
                  <c:v>5.7120933985751132E-2</c:v>
                </c:pt>
                <c:pt idx="163">
                  <c:v>5.7139004047946029E-2</c:v>
                </c:pt>
                <c:pt idx="164">
                  <c:v>5.7157073763832278E-2</c:v>
                </c:pt>
                <c:pt idx="165">
                  <c:v>5.717514313341665E-2</c:v>
                </c:pt>
                <c:pt idx="166">
                  <c:v>5.7193212156705586E-2</c:v>
                </c:pt>
                <c:pt idx="167">
                  <c:v>5.7211280833705747E-2</c:v>
                </c:pt>
                <c:pt idx="168">
                  <c:v>5.7229349164423904E-2</c:v>
                </c:pt>
                <c:pt idx="169">
                  <c:v>5.7247417148866608E-2</c:v>
                </c:pt>
                <c:pt idx="170">
                  <c:v>5.7265484787040521E-2</c:v>
                </c:pt>
                <c:pt idx="171">
                  <c:v>5.7283552078952304E-2</c:v>
                </c:pt>
                <c:pt idx="172">
                  <c:v>5.7301619024608508E-2</c:v>
                </c:pt>
                <c:pt idx="173">
                  <c:v>5.7319685624015904E-2</c:v>
                </c:pt>
                <c:pt idx="174">
                  <c:v>5.7337751877180931E-2</c:v>
                </c:pt>
                <c:pt idx="175">
                  <c:v>5.7355817784110363E-2</c:v>
                </c:pt>
                <c:pt idx="176">
                  <c:v>5.7373883344810861E-2</c:v>
                </c:pt>
                <c:pt idx="177">
                  <c:v>5.7391948559288974E-2</c:v>
                </c:pt>
                <c:pt idx="178">
                  <c:v>5.7410013427551365E-2</c:v>
                </c:pt>
                <c:pt idx="179">
                  <c:v>5.7428077949604694E-2</c:v>
                </c:pt>
                <c:pt idx="180">
                  <c:v>5.7446142125455624E-2</c:v>
                </c:pt>
                <c:pt idx="181">
                  <c:v>5.7464205955110703E-2</c:v>
                </c:pt>
                <c:pt idx="182">
                  <c:v>5.7482269438576594E-2</c:v>
                </c:pt>
                <c:pt idx="183">
                  <c:v>5.7500332575859958E-2</c:v>
                </c:pt>
                <c:pt idx="184">
                  <c:v>5.7518395366967345E-2</c:v>
                </c:pt>
                <c:pt idx="185">
                  <c:v>5.7536457811905528E-2</c:v>
                </c:pt>
                <c:pt idx="186">
                  <c:v>5.7554519910681168E-2</c:v>
                </c:pt>
                <c:pt idx="187">
                  <c:v>5.7572581663300704E-2</c:v>
                </c:pt>
                <c:pt idx="188">
                  <c:v>5.7590643069770797E-2</c:v>
                </c:pt>
                <c:pt idx="189">
                  <c:v>5.7608704130098332E-2</c:v>
                </c:pt>
                <c:pt idx="190">
                  <c:v>5.7626764844289635E-2</c:v>
                </c:pt>
                <c:pt idx="191">
                  <c:v>5.764482521235148E-2</c:v>
                </c:pt>
                <c:pt idx="192">
                  <c:v>5.7662885234290528E-2</c:v>
                </c:pt>
                <c:pt idx="193">
                  <c:v>5.768094491011333E-2</c:v>
                </c:pt>
                <c:pt idx="194">
                  <c:v>5.7699004239826657E-2</c:v>
                </c:pt>
                <c:pt idx="195">
                  <c:v>5.7717063223436949E-2</c:v>
                </c:pt>
                <c:pt idx="196">
                  <c:v>5.7735121860951089E-2</c:v>
                </c:pt>
                <c:pt idx="197">
                  <c:v>5.7753180152375405E-2</c:v>
                </c:pt>
                <c:pt idx="198">
                  <c:v>5.7771238097716782E-2</c:v>
                </c:pt>
                <c:pt idx="199">
                  <c:v>5.7789295696981657E-2</c:v>
                </c:pt>
                <c:pt idx="200">
                  <c:v>5.7807352950176805E-2</c:v>
                </c:pt>
                <c:pt idx="201">
                  <c:v>5.7825409857308885E-2</c:v>
                </c:pt>
                <c:pt idx="202">
                  <c:v>5.7843466418384337E-2</c:v>
                </c:pt>
                <c:pt idx="203">
                  <c:v>5.7861522633410045E-2</c:v>
                </c:pt>
                <c:pt idx="204">
                  <c:v>5.7879578502392448E-2</c:v>
                </c:pt>
                <c:pt idx="205">
                  <c:v>5.7897634025338207E-2</c:v>
                </c:pt>
                <c:pt idx="206">
                  <c:v>5.7915689202254095E-2</c:v>
                </c:pt>
                <c:pt idx="207">
                  <c:v>5.793374403314655E-2</c:v>
                </c:pt>
                <c:pt idx="208">
                  <c:v>5.7951798518022235E-2</c:v>
                </c:pt>
                <c:pt idx="209">
                  <c:v>5.7969852656887921E-2</c:v>
                </c:pt>
                <c:pt idx="210">
                  <c:v>5.798790644975016E-2</c:v>
                </c:pt>
                <c:pt idx="211">
                  <c:v>5.80059598966155E-2</c:v>
                </c:pt>
                <c:pt idx="212">
                  <c:v>5.8024012997490715E-2</c:v>
                </c:pt>
                <c:pt idx="213">
                  <c:v>5.8042065752382355E-2</c:v>
                </c:pt>
                <c:pt idx="214">
                  <c:v>5.8060118161297081E-2</c:v>
                </c:pt>
                <c:pt idx="215">
                  <c:v>5.8078170224241554E-2</c:v>
                </c:pt>
                <c:pt idx="216">
                  <c:v>5.8096221941222326E-2</c:v>
                </c:pt>
                <c:pt idx="217">
                  <c:v>5.8114273312245945E-2</c:v>
                </c:pt>
                <c:pt idx="218">
                  <c:v>5.8132324337319297E-2</c:v>
                </c:pt>
                <c:pt idx="219">
                  <c:v>5.8150375016448819E-2</c:v>
                </c:pt>
                <c:pt idx="220">
                  <c:v>5.8168425349641173E-2</c:v>
                </c:pt>
                <c:pt idx="221">
                  <c:v>5.8186475336903021E-2</c:v>
                </c:pt>
                <c:pt idx="222">
                  <c:v>5.8204524978241023E-2</c:v>
                </c:pt>
                <c:pt idx="223">
                  <c:v>5.8222574273661731E-2</c:v>
                </c:pt>
                <c:pt idx="224">
                  <c:v>5.8240623223171806E-2</c:v>
                </c:pt>
                <c:pt idx="225">
                  <c:v>5.8258671826777908E-2</c:v>
                </c:pt>
                <c:pt idx="226">
                  <c:v>5.8276720084486699E-2</c:v>
                </c:pt>
                <c:pt idx="227">
                  <c:v>5.8294767996304619E-2</c:v>
                </c:pt>
                <c:pt idx="228">
                  <c:v>5.831281556223844E-2</c:v>
                </c:pt>
                <c:pt idx="229">
                  <c:v>5.8330862782294823E-2</c:v>
                </c:pt>
                <c:pt idx="230">
                  <c:v>5.834890965648043E-2</c:v>
                </c:pt>
                <c:pt idx="231">
                  <c:v>5.8366956184801699E-2</c:v>
                </c:pt>
                <c:pt idx="232">
                  <c:v>5.8385002367265404E-2</c:v>
                </c:pt>
                <c:pt idx="233">
                  <c:v>5.8403048203878094E-2</c:v>
                </c:pt>
                <c:pt idx="234">
                  <c:v>5.8421093694646542E-2</c:v>
                </c:pt>
                <c:pt idx="235">
                  <c:v>5.8439138839577187E-2</c:v>
                </c:pt>
                <c:pt idx="236">
                  <c:v>5.8457183638676802E-2</c:v>
                </c:pt>
                <c:pt idx="237">
                  <c:v>5.8475228091951936E-2</c:v>
                </c:pt>
                <c:pt idx="238">
                  <c:v>5.8493272199409141E-2</c:v>
                </c:pt>
                <c:pt idx="239">
                  <c:v>5.8511315961055299E-2</c:v>
                </c:pt>
                <c:pt idx="240">
                  <c:v>5.852935937689685E-2</c:v>
                </c:pt>
                <c:pt idx="241">
                  <c:v>5.8547402446940344E-2</c:v>
                </c:pt>
                <c:pt idx="242">
                  <c:v>5.8565445171192665E-2</c:v>
                </c:pt>
                <c:pt idx="243">
                  <c:v>5.858348754966014E-2</c:v>
                </c:pt>
                <c:pt idx="244">
                  <c:v>5.8601529582349654E-2</c:v>
                </c:pt>
                <c:pt idx="245">
                  <c:v>5.8619571269267756E-2</c:v>
                </c:pt>
                <c:pt idx="246">
                  <c:v>5.8637612610420997E-2</c:v>
                </c:pt>
                <c:pt idx="247">
                  <c:v>5.8655653605816038E-2</c:v>
                </c:pt>
                <c:pt idx="248">
                  <c:v>5.8673694255459541E-2</c:v>
                </c:pt>
                <c:pt idx="249">
                  <c:v>5.8691734559358055E-2</c:v>
                </c:pt>
                <c:pt idx="250">
                  <c:v>5.8709774517518354E-2</c:v>
                </c:pt>
                <c:pt idx="251">
                  <c:v>5.8727814129946876E-2</c:v>
                </c:pt>
                <c:pt idx="252">
                  <c:v>5.8745853396650394E-2</c:v>
                </c:pt>
                <c:pt idx="253">
                  <c:v>5.8763892317635458E-2</c:v>
                </c:pt>
                <c:pt idx="254">
                  <c:v>5.8781930892908729E-2</c:v>
                </c:pt>
                <c:pt idx="255">
                  <c:v>5.8799969122476758E-2</c:v>
                </c:pt>
                <c:pt idx="256">
                  <c:v>5.8818007006346318E-2</c:v>
                </c:pt>
                <c:pt idx="257">
                  <c:v>5.8836044544523958E-2</c:v>
                </c:pt>
                <c:pt idx="258">
                  <c:v>5.8854081737016228E-2</c:v>
                </c:pt>
                <c:pt idx="259">
                  <c:v>5.8872118583829902E-2</c:v>
                </c:pt>
                <c:pt idx="260">
                  <c:v>5.8890155084971418E-2</c:v>
                </c:pt>
                <c:pt idx="261">
                  <c:v>5.8908191240447549E-2</c:v>
                </c:pt>
                <c:pt idx="262">
                  <c:v>5.8926227050264846E-2</c:v>
                </c:pt>
                <c:pt idx="263">
                  <c:v>5.8944262514430079E-2</c:v>
                </c:pt>
                <c:pt idx="264">
                  <c:v>5.896229763294969E-2</c:v>
                </c:pt>
                <c:pt idx="265">
                  <c:v>5.8980332405830338E-2</c:v>
                </c:pt>
                <c:pt idx="266">
                  <c:v>5.8998366833078686E-2</c:v>
                </c:pt>
                <c:pt idx="267">
                  <c:v>5.9016400914701395E-2</c:v>
                </c:pt>
                <c:pt idx="268">
                  <c:v>5.9034434650704903E-2</c:v>
                </c:pt>
                <c:pt idx="269">
                  <c:v>5.9052468041096096E-2</c:v>
                </c:pt>
                <c:pt idx="270">
                  <c:v>5.9070501085881522E-2</c:v>
                </c:pt>
                <c:pt idx="271">
                  <c:v>5.9088533785067621E-2</c:v>
                </c:pt>
                <c:pt idx="272">
                  <c:v>5.9106566138661276E-2</c:v>
                </c:pt>
                <c:pt idx="273">
                  <c:v>5.9124598146668927E-2</c:v>
                </c:pt>
                <c:pt idx="274">
                  <c:v>5.9142629809097236E-2</c:v>
                </c:pt>
                <c:pt idx="275">
                  <c:v>5.9160661125952974E-2</c:v>
                </c:pt>
                <c:pt idx="276">
                  <c:v>5.9178692097242469E-2</c:v>
                </c:pt>
                <c:pt idx="277">
                  <c:v>5.9196722722972606E-2</c:v>
                </c:pt>
                <c:pt idx="278">
                  <c:v>5.9214753003149934E-2</c:v>
                </c:pt>
                <c:pt idx="279">
                  <c:v>5.9232782937781003E-2</c:v>
                </c:pt>
                <c:pt idx="280">
                  <c:v>5.9250812526872476E-2</c:v>
                </c:pt>
                <c:pt idx="281">
                  <c:v>5.9268841770431013E-2</c:v>
                </c:pt>
                <c:pt idx="282">
                  <c:v>5.9286870668463276E-2</c:v>
                </c:pt>
                <c:pt idx="283">
                  <c:v>5.9304899220975704E-2</c:v>
                </c:pt>
                <c:pt idx="284">
                  <c:v>5.9322927427975181E-2</c:v>
                </c:pt>
                <c:pt idx="285">
                  <c:v>5.9340955289468034E-2</c:v>
                </c:pt>
                <c:pt idx="286">
                  <c:v>5.9358982805461147E-2</c:v>
                </c:pt>
                <c:pt idx="287">
                  <c:v>5.9377009975960959E-2</c:v>
                </c:pt>
                <c:pt idx="288">
                  <c:v>5.9395036800974133E-2</c:v>
                </c:pt>
                <c:pt idx="289">
                  <c:v>5.9413063280507439E-2</c:v>
                </c:pt>
                <c:pt idx="290">
                  <c:v>5.9431089414567317E-2</c:v>
                </c:pt>
                <c:pt idx="291">
                  <c:v>5.944911520316043E-2</c:v>
                </c:pt>
                <c:pt idx="292">
                  <c:v>5.9467140646293437E-2</c:v>
                </c:pt>
                <c:pt idx="293">
                  <c:v>5.948516574397289E-2</c:v>
                </c:pt>
                <c:pt idx="294">
                  <c:v>5.9503190496205449E-2</c:v>
                </c:pt>
                <c:pt idx="295">
                  <c:v>5.9521214902997777E-2</c:v>
                </c:pt>
                <c:pt idx="296">
                  <c:v>5.9539238964356533E-2</c:v>
                </c:pt>
                <c:pt idx="297">
                  <c:v>5.9557262680288159E-2</c:v>
                </c:pt>
                <c:pt idx="298">
                  <c:v>5.9575286050799425E-2</c:v>
                </c:pt>
                <c:pt idx="299">
                  <c:v>5.9593309075896883E-2</c:v>
                </c:pt>
                <c:pt idx="300">
                  <c:v>5.9611331755587194E-2</c:v>
                </c:pt>
                <c:pt idx="301">
                  <c:v>5.9629354089877018E-2</c:v>
                </c:pt>
                <c:pt idx="302">
                  <c:v>5.9647376078772907E-2</c:v>
                </c:pt>
                <c:pt idx="303">
                  <c:v>5.966539772228141E-2</c:v>
                </c:pt>
                <c:pt idx="304">
                  <c:v>5.9683419020409301E-2</c:v>
                </c:pt>
                <c:pt idx="305">
                  <c:v>5.9701439973163017E-2</c:v>
                </c:pt>
                <c:pt idx="306">
                  <c:v>5.9719460580549333E-2</c:v>
                </c:pt>
                <c:pt idx="307">
                  <c:v>5.9737480842574908E-2</c:v>
                </c:pt>
                <c:pt idx="308">
                  <c:v>5.9755500759246183E-2</c:v>
                </c:pt>
                <c:pt idx="309">
                  <c:v>5.9773520330569929E-2</c:v>
                </c:pt>
                <c:pt idx="310">
                  <c:v>5.9791539556552586E-2</c:v>
                </c:pt>
                <c:pt idx="311">
                  <c:v>5.9809558437201038E-2</c:v>
                </c:pt>
                <c:pt idx="312">
                  <c:v>5.9827576972521612E-2</c:v>
                </c:pt>
                <c:pt idx="313">
                  <c:v>5.9845595162521192E-2</c:v>
                </c:pt>
                <c:pt idx="314">
                  <c:v>5.9863613007206218E-2</c:v>
                </c:pt>
                <c:pt idx="315">
                  <c:v>5.988163050658335E-2</c:v>
                </c:pt>
                <c:pt idx="316">
                  <c:v>5.989964766065925E-2</c:v>
                </c:pt>
                <c:pt idx="317">
                  <c:v>5.9917664469440468E-2</c:v>
                </c:pt>
                <c:pt idx="318">
                  <c:v>5.9935680932933666E-2</c:v>
                </c:pt>
                <c:pt idx="319">
                  <c:v>5.9953697051145394E-2</c:v>
                </c:pt>
                <c:pt idx="320">
                  <c:v>5.9971712824082424E-2</c:v>
                </c:pt>
                <c:pt idx="321">
                  <c:v>5.9989728251751195E-2</c:v>
                </c:pt>
                <c:pt idx="322">
                  <c:v>6.0007743334158481E-2</c:v>
                </c:pt>
                <c:pt idx="323">
                  <c:v>6.0025758071310831E-2</c:v>
                </c:pt>
                <c:pt idx="324">
                  <c:v>6.0043772463214795E-2</c:v>
                </c:pt>
                <c:pt idx="325">
                  <c:v>6.0061786509877035E-2</c:v>
                </c:pt>
                <c:pt idx="326">
                  <c:v>6.0079800211304213E-2</c:v>
                </c:pt>
                <c:pt idx="327">
                  <c:v>6.0097813567502878E-2</c:v>
                </c:pt>
                <c:pt idx="328">
                  <c:v>6.0115826578479692E-2</c:v>
                </c:pt>
                <c:pt idx="329">
                  <c:v>6.0133839244241316E-2</c:v>
                </c:pt>
                <c:pt idx="330">
                  <c:v>6.0151851564794301E-2</c:v>
                </c:pt>
                <c:pt idx="331">
                  <c:v>6.0169863540145196E-2</c:v>
                </c:pt>
                <c:pt idx="332">
                  <c:v>6.0187875170300775E-2</c:v>
                </c:pt>
                <c:pt idx="333">
                  <c:v>6.0205886455267477E-2</c:v>
                </c:pt>
                <c:pt idx="334">
                  <c:v>6.0223897395052073E-2</c:v>
                </c:pt>
                <c:pt idx="335">
                  <c:v>6.0241907989661114E-2</c:v>
                </c:pt>
                <c:pt idx="336">
                  <c:v>6.0259918239101262E-2</c:v>
                </c:pt>
                <c:pt idx="337">
                  <c:v>6.0277928143379067E-2</c:v>
                </c:pt>
                <c:pt idx="338">
                  <c:v>6.0295937702501079E-2</c:v>
                </c:pt>
                <c:pt idx="339">
                  <c:v>6.031394691647407E-2</c:v>
                </c:pt>
                <c:pt idx="340">
                  <c:v>6.0331955785304592E-2</c:v>
                </c:pt>
                <c:pt idx="341">
                  <c:v>6.0349964308999193E-2</c:v>
                </c:pt>
                <c:pt idx="342">
                  <c:v>6.0367972487564647E-2</c:v>
                </c:pt>
                <c:pt idx="343">
                  <c:v>6.0385980321007393E-2</c:v>
                </c:pt>
                <c:pt idx="344">
                  <c:v>6.0403987809334092E-2</c:v>
                </c:pt>
                <c:pt idx="345">
                  <c:v>6.0421994952551517E-2</c:v>
                </c:pt>
                <c:pt idx="346">
                  <c:v>6.0440001750665995E-2</c:v>
                </c:pt>
                <c:pt idx="347">
                  <c:v>6.045800820368441E-2</c:v>
                </c:pt>
                <c:pt idx="348">
                  <c:v>6.0476014311613202E-2</c:v>
                </c:pt>
                <c:pt idx="349">
                  <c:v>6.0494020074459032E-2</c:v>
                </c:pt>
                <c:pt idx="350">
                  <c:v>6.0512025492228561E-2</c:v>
                </c:pt>
                <c:pt idx="351">
                  <c:v>6.0530030564928339E-2</c:v>
                </c:pt>
                <c:pt idx="352">
                  <c:v>6.0548035292565028E-2</c:v>
                </c:pt>
                <c:pt idx="353">
                  <c:v>6.0566039675145178E-2</c:v>
                </c:pt>
                <c:pt idx="354">
                  <c:v>6.0584043712675451E-2</c:v>
                </c:pt>
                <c:pt idx="355">
                  <c:v>6.0602047405162507E-2</c:v>
                </c:pt>
                <c:pt idx="356">
                  <c:v>6.0620050752612897E-2</c:v>
                </c:pt>
                <c:pt idx="357">
                  <c:v>6.0638053755033172E-2</c:v>
                </c:pt>
                <c:pt idx="358">
                  <c:v>6.0656056412430104E-2</c:v>
                </c:pt>
                <c:pt idx="359">
                  <c:v>6.0674058724810132E-2</c:v>
                </c:pt>
                <c:pt idx="360">
                  <c:v>6.0692060692180028E-2</c:v>
                </c:pt>
                <c:pt idx="361">
                  <c:v>6.0710062314546231E-2</c:v>
                </c:pt>
                <c:pt idx="362">
                  <c:v>6.0728063591915515E-2</c:v>
                </c:pt>
                <c:pt idx="363">
                  <c:v>6.074606452429443E-2</c:v>
                </c:pt>
                <c:pt idx="364">
                  <c:v>6.0764065111689525E-2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2.8125010679567443E-2</c:v>
                </c:pt>
                <c:pt idx="1">
                  <c:v>2.818954506923951E-2</c:v>
                </c:pt>
                <c:pt idx="2">
                  <c:v>2.8254077846520294E-2</c:v>
                </c:pt>
                <c:pt idx="3">
                  <c:v>2.831860288852572E-2</c:v>
                </c:pt>
                <c:pt idx="4">
                  <c:v>2.8383114867064269E-2</c:v>
                </c:pt>
                <c:pt idx="5">
                  <c:v>2.8447609230817628E-2</c:v>
                </c:pt>
                <c:pt idx="6">
                  <c:v>2.8512082180838009E-2</c:v>
                </c:pt>
                <c:pt idx="7">
                  <c:v>2.8576530639809312E-2</c:v>
                </c:pt>
                <c:pt idx="8">
                  <c:v>2.8640952215569542E-2</c:v>
                </c:pt>
                <c:pt idx="9">
                  <c:v>2.870534515943798E-2</c:v>
                </c:pt>
                <c:pt idx="10">
                  <c:v>2.8769708319929765E-2</c:v>
                </c:pt>
                <c:pt idx="11">
                  <c:v>2.8834041092473492E-2</c:v>
                </c:pt>
                <c:pt idx="12">
                  <c:v>2.8898343365774955E-2</c:v>
                </c:pt>
                <c:pt idx="13">
                  <c:v>2.89626154654893E-2</c:v>
                </c:pt>
                <c:pt idx="14">
                  <c:v>2.9026858095877864E-2</c:v>
                </c:pt>
                <c:pt idx="15">
                  <c:v>2.9091072280131868E-2</c:v>
                </c:pt>
                <c:pt idx="16">
                  <c:v>2.9155259300045075E-2</c:v>
                </c:pt>
                <c:pt idx="17">
                  <c:v>2.9219420635709953E-2</c:v>
                </c:pt>
                <c:pt idx="18">
                  <c:v>2.9283557905898667E-2</c:v>
                </c:pt>
                <c:pt idx="19">
                  <c:v>2.9347672809769521E-2</c:v>
                </c:pt>
                <c:pt idx="20">
                  <c:v>2.9411767070513663E-2</c:v>
                </c:pt>
                <c:pt idx="21">
                  <c:v>2.9475842381524814E-2</c:v>
                </c:pt>
                <c:pt idx="22">
                  <c:v>2.9539900355637413E-2</c:v>
                </c:pt>
                <c:pt idx="23">
                  <c:v>2.9603942477936716E-2</c:v>
                </c:pt>
                <c:pt idx="24">
                  <c:v>2.9667970062597231E-2</c:v>
                </c:pt>
                <c:pt idx="25">
                  <c:v>2.9731984214156224E-2</c:v>
                </c:pt>
                <c:pt idx="26">
                  <c:v>2.9795985793574686E-2</c:v>
                </c:pt>
                <c:pt idx="27">
                  <c:v>2.9859975389381961E-2</c:v>
                </c:pt>
                <c:pt idx="28">
                  <c:v>2.9923953294141954E-2</c:v>
                </c:pt>
                <c:pt idx="29">
                  <c:v>2.998791948641848E-2</c:v>
                </c:pt>
                <c:pt idx="30">
                  <c:v>3.0051873618356959E-2</c:v>
                </c:pt>
                <c:pt idx="31">
                  <c:v>3.0115815008938399E-2</c:v>
                </c:pt>
                <c:pt idx="32">
                  <c:v>3.0179742642901568E-2</c:v>
                </c:pt>
                <c:pt idx="33">
                  <c:v>3.0243655175269311E-2</c:v>
                </c:pt>
                <c:pt idx="34">
                  <c:v>3.0307550941357789E-2</c:v>
                </c:pt>
                <c:pt idx="35">
                  <c:v>3.0371427972091816E-2</c:v>
                </c:pt>
                <c:pt idx="36">
                  <c:v>3.0435284014396598E-2</c:v>
                </c:pt>
                <c:pt idx="37">
                  <c:v>3.0499116556387186E-2</c:v>
                </c:pt>
                <c:pt idx="38">
                  <c:v>3.0562922857031376E-2</c:v>
                </c:pt>
                <c:pt idx="39">
                  <c:v>3.0626699979920048E-2</c:v>
                </c:pt>
                <c:pt idx="40">
                  <c:v>3.0690444830742902E-2</c:v>
                </c:pt>
                <c:pt idx="41">
                  <c:v>3.0754154198034726E-2</c:v>
                </c:pt>
                <c:pt idx="42">
                  <c:v>3.0817824796731376E-2</c:v>
                </c:pt>
                <c:pt idx="43">
                  <c:v>3.088145331405286E-2</c:v>
                </c:pt>
                <c:pt idx="44">
                  <c:v>3.0945036457214713E-2</c:v>
                </c:pt>
                <c:pt idx="45">
                  <c:v>3.1008571002459111E-2</c:v>
                </c:pt>
                <c:pt idx="46">
                  <c:v>3.1072053844891572E-2</c:v>
                </c:pt>
                <c:pt idx="47">
                  <c:v>3.1135482048610347E-2</c:v>
                </c:pt>
                <c:pt idx="48">
                  <c:v>3.1198852896621349E-2</c:v>
                </c:pt>
                <c:pt idx="49">
                  <c:v>3.1262163940042727E-2</c:v>
                </c:pt>
                <c:pt idx="50">
                  <c:v>3.1325413046120028E-2</c:v>
                </c:pt>
                <c:pt idx="51">
                  <c:v>3.1388598444593033E-2</c:v>
                </c:pt>
                <c:pt idx="52">
                  <c:v>3.1451718771982003E-2</c:v>
                </c:pt>
                <c:pt idx="53">
                  <c:v>3.1514773113389537E-2</c:v>
                </c:pt>
                <c:pt idx="54">
                  <c:v>3.1577761041448049E-2</c:v>
                </c:pt>
                <c:pt idx="55">
                  <c:v>3.1640682652079158E-2</c:v>
                </c:pt>
                <c:pt idx="56">
                  <c:v>3.1703538596770185E-2</c:v>
                </c:pt>
                <c:pt idx="57">
                  <c:v>3.1766330111114502E-2</c:v>
                </c:pt>
                <c:pt idx="58">
                  <c:v>3.1829059039405326E-2</c:v>
                </c:pt>
                <c:pt idx="59">
                  <c:v>3.1891727855116785E-2</c:v>
                </c:pt>
                <c:pt idx="60">
                  <c:v>3.1954339677151319E-2</c:v>
                </c:pt>
                <c:pt idx="61">
                  <c:v>3.2016898281776632E-2</c:v>
                </c:pt>
                <c:pt idx="62">
                  <c:v>3.2079408110220926E-2</c:v>
                </c:pt>
                <c:pt idx="63">
                  <c:v>3.2141874271937952E-2</c:v>
                </c:pt>
                <c:pt idx="64">
                  <c:v>3.2204302543596242E-2</c:v>
                </c:pt>
                <c:pt idx="65">
                  <c:v>3.2266699363886805E-2</c:v>
                </c:pt>
                <c:pt idx="66">
                  <c:v>3.2329071824281699E-2</c:v>
                </c:pt>
                <c:pt idx="67">
                  <c:v>3.2391427655911138E-2</c:v>
                </c:pt>
                <c:pt idx="68">
                  <c:v>3.2453775212758808E-2</c:v>
                </c:pt>
                <c:pt idx="69">
                  <c:v>3.2516123451404005E-2</c:v>
                </c:pt>
                <c:pt idx="70">
                  <c:v>3.2578481907563898E-2</c:v>
                </c:pt>
                <c:pt idx="71">
                  <c:v>3.2640860669710427E-2</c:v>
                </c:pt>
                <c:pt idx="72">
                  <c:v>3.2703270350053423E-2</c:v>
                </c:pt>
                <c:pt idx="73">
                  <c:v>3.2765722053193877E-2</c:v>
                </c:pt>
                <c:pt idx="74">
                  <c:v>3.2828227342760009E-2</c:v>
                </c:pt>
                <c:pt idx="75">
                  <c:v>3.2890798206342775E-2</c:v>
                </c:pt>
                <c:pt idx="76">
                  <c:v>3.2953447019047268E-2</c:v>
                </c:pt>
                <c:pt idx="77">
                  <c:v>3.3016186505971962E-2</c:v>
                </c:pt>
                <c:pt idx="78">
                  <c:v>3.3079029703919793E-2</c:v>
                </c:pt>
                <c:pt idx="79">
                  <c:v>3.3141989922632197E-2</c:v>
                </c:pt>
                <c:pt idx="80">
                  <c:v>3.320508070582219E-2</c:v>
                </c:pt>
                <c:pt idx="81">
                  <c:v>3.3268315792262824E-2</c:v>
                </c:pt>
                <c:pt idx="82">
                  <c:v>3.3331709077165927E-2</c:v>
                </c:pt>
                <c:pt idx="83">
                  <c:v>3.3395274574060801E-2</c:v>
                </c:pt>
                <c:pt idx="84">
                  <c:v>3.3459026377356392E-2</c:v>
                </c:pt>
                <c:pt idx="85">
                  <c:v>3.3522978625741509E-2</c:v>
                </c:pt>
                <c:pt idx="86">
                  <c:v>3.3587145466547584E-2</c:v>
                </c:pt>
                <c:pt idx="87">
                  <c:v>3.3651541021168463E-2</c:v>
                </c:pt>
                <c:pt idx="88">
                  <c:v>3.3716179351599901E-2</c:v>
                </c:pt>
                <c:pt idx="89">
                  <c:v>3.3781074428130706E-2</c:v>
                </c:pt>
                <c:pt idx="90">
                  <c:v>3.3846240098187021E-2</c:v>
                </c:pt>
                <c:pt idx="91">
                  <c:v>3.3911690056301909E-2</c:v>
                </c:pt>
                <c:pt idx="92">
                  <c:v>3.3977437815153999E-2</c:v>
                </c:pt>
                <c:pt idx="93">
                  <c:v>3.404349667759371E-2</c:v>
                </c:pt>
                <c:pt idx="94">
                  <c:v>3.4109879709550837E-2</c:v>
                </c:pt>
                <c:pt idx="95">
                  <c:v>3.4176599713697048E-2</c:v>
                </c:pt>
                <c:pt idx="96">
                  <c:v>3.4243669203718255E-2</c:v>
                </c:pt>
                <c:pt idx="97">
                  <c:v>3.4311100379037236E-2</c:v>
                </c:pt>
                <c:pt idx="98">
                  <c:v>3.4378905099815699E-2</c:v>
                </c:pt>
                <c:pt idx="99">
                  <c:v>3.444709486205743E-2</c:v>
                </c:pt>
                <c:pt idx="100">
                  <c:v>3.4515680772630584E-2</c:v>
                </c:pt>
                <c:pt idx="101">
                  <c:v>3.4584673524027831E-2</c:v>
                </c:pt>
                <c:pt idx="102">
                  <c:v>3.4654083368687263E-2</c:v>
                </c:pt>
                <c:pt idx="103">
                  <c:v>3.47239200927058E-2</c:v>
                </c:pt>
                <c:pt idx="104">
                  <c:v>3.4794192988789163E-2</c:v>
                </c:pt>
                <c:pt idx="105">
                  <c:v>3.4864910828298977E-2</c:v>
                </c:pt>
                <c:pt idx="106">
                  <c:v>3.493608183227747E-2</c:v>
                </c:pt>
                <c:pt idx="107">
                  <c:v>3.5007713641354112E-2</c:v>
                </c:pt>
                <c:pt idx="108">
                  <c:v>3.5079813284464578E-2</c:v>
                </c:pt>
                <c:pt idx="109">
                  <c:v>3.5152387146342889E-2</c:v>
                </c:pt>
                <c:pt idx="110">
                  <c:v>3.5225440933778579E-2</c:v>
                </c:pt>
                <c:pt idx="111">
                  <c:v>3.5298979640665848E-2</c:v>
                </c:pt>
                <c:pt idx="112">
                  <c:v>3.5373007511906772E-2</c:v>
                </c:pt>
                <c:pt idx="113">
                  <c:v>3.5447528006267846E-2</c:v>
                </c:pt>
                <c:pt idx="114">
                  <c:v>3.5522543758326697E-2</c:v>
                </c:pt>
                <c:pt idx="115">
                  <c:v>3.5598056539683641E-2</c:v>
                </c:pt>
                <c:pt idx="116">
                  <c:v>3.5674067219650198E-2</c:v>
                </c:pt>
                <c:pt idx="117">
                  <c:v>3.575057572566321E-2</c:v>
                </c:pt>
                <c:pt idx="118">
                  <c:v>3.5827581003708156E-2</c:v>
                </c:pt>
                <c:pt idx="119">
                  <c:v>3.5905080979068998E-2</c:v>
                </c:pt>
                <c:pt idx="120">
                  <c:v>3.5983072517751818E-2</c:v>
                </c:pt>
                <c:pt idx="121">
                  <c:v>3.6061551388958092E-2</c:v>
                </c:pt>
                <c:pt idx="122">
                  <c:v>3.6140512229007445E-2</c:v>
                </c:pt>
                <c:pt idx="123">
                  <c:v>3.6219948507130229E-2</c:v>
                </c:pt>
                <c:pt idx="124">
                  <c:v>3.6299852493567153E-2</c:v>
                </c:pt>
                <c:pt idx="125">
                  <c:v>3.6380215230424007E-2</c:v>
                </c:pt>
                <c:pt idx="126">
                  <c:v>3.6461026505737598E-2</c:v>
                </c:pt>
                <c:pt idx="127">
                  <c:v>3.6542274831209885E-2</c:v>
                </c:pt>
                <c:pt idx="128">
                  <c:v>3.662394742406392E-2</c:v>
                </c:pt>
                <c:pt idx="129">
                  <c:v>3.6706030193466695E-2</c:v>
                </c:pt>
                <c:pt idx="130">
                  <c:v>3.6788507731948646E-2</c:v>
                </c:pt>
                <c:pt idx="131">
                  <c:v>3.687136331223001E-2</c:v>
                </c:pt>
                <c:pt idx="132">
                  <c:v>3.6954578889838718E-2</c:v>
                </c:pt>
                <c:pt idx="133">
                  <c:v>3.7038135111872809E-2</c:v>
                </c:pt>
                <c:pt idx="134">
                  <c:v>3.7122011332225105E-2</c:v>
                </c:pt>
                <c:pt idx="135">
                  <c:v>3.7206185633546066E-2</c:v>
                </c:pt>
                <c:pt idx="136">
                  <c:v>3.7290634856175384E-2</c:v>
                </c:pt>
                <c:pt idx="137">
                  <c:v>3.7375334634222546E-2</c:v>
                </c:pt>
                <c:pt idx="138">
                  <c:v>3.746025943892297E-2</c:v>
                </c:pt>
                <c:pt idx="139">
                  <c:v>3.754538262933875E-2</c:v>
                </c:pt>
                <c:pt idx="140">
                  <c:v>3.7630676510413234E-2</c:v>
                </c:pt>
                <c:pt idx="141">
                  <c:v>3.7716112398325827E-2</c:v>
                </c:pt>
                <c:pt idx="142">
                  <c:v>3.7801660693029697E-2</c:v>
                </c:pt>
                <c:pt idx="143">
                  <c:v>3.7887290957789366E-2</c:v>
                </c:pt>
                <c:pt idx="144">
                  <c:v>3.7972972005470187E-2</c:v>
                </c:pt>
                <c:pt idx="145">
                  <c:v>3.8058671991265544E-2</c:v>
                </c:pt>
                <c:pt idx="146">
                  <c:v>3.8144358511483921E-2</c:v>
                </c:pt>
                <c:pt idx="147">
                  <c:v>3.82299987079548E-2</c:v>
                </c:pt>
                <c:pt idx="148">
                  <c:v>3.8315559377551822E-2</c:v>
                </c:pt>
                <c:pt idx="149">
                  <c:v>3.8401007086274253E-2</c:v>
                </c:pt>
                <c:pt idx="150">
                  <c:v>3.8486308287273889E-2</c:v>
                </c:pt>
                <c:pt idx="151">
                  <c:v>3.8571429442164712E-2</c:v>
                </c:pt>
                <c:pt idx="152">
                  <c:v>3.8656337144907849E-2</c:v>
                </c:pt>
                <c:pt idx="153">
                  <c:v>3.8740998247524777E-2</c:v>
                </c:pt>
                <c:pt idx="154">
                  <c:v>3.8825379986858428E-2</c:v>
                </c:pt>
                <c:pt idx="155">
                  <c:v>3.8909450111573846E-2</c:v>
                </c:pt>
                <c:pt idx="156">
                  <c:v>3.8993177008570239E-2</c:v>
                </c:pt>
                <c:pt idx="157">
                  <c:v>3.9076529827962059E-2</c:v>
                </c:pt>
                <c:pt idx="158">
                  <c:v>3.9159478605780673E-2</c:v>
                </c:pt>
                <c:pt idx="159">
                  <c:v>3.9241994383549181E-2</c:v>
                </c:pt>
                <c:pt idx="160">
                  <c:v>3.9324049323891802E-2</c:v>
                </c:pt>
                <c:pt idx="161">
                  <c:v>3.9405616821355398E-2</c:v>
                </c:pt>
                <c:pt idx="162">
                  <c:v>3.9486671607644581E-2</c:v>
                </c:pt>
                <c:pt idx="163">
                  <c:v>3.9567189850503136E-2</c:v>
                </c:pt>
                <c:pt idx="164">
                  <c:v>3.9647149245513123E-2</c:v>
                </c:pt>
                <c:pt idx="165">
                  <c:v>3.9726529100128367E-2</c:v>
                </c:pt>
                <c:pt idx="166">
                  <c:v>3.9805310409311116E-2</c:v>
                </c:pt>
                <c:pt idx="167">
                  <c:v>3.988347592219927E-2</c:v>
                </c:pt>
                <c:pt idx="168">
                  <c:v>3.9961010199295113E-2</c:v>
                </c:pt>
                <c:pt idx="169">
                  <c:v>4.0037899659736219E-2</c:v>
                </c:pt>
                <c:pt idx="170">
                  <c:v>4.0114132618282249E-2</c:v>
                </c:pt>
                <c:pt idx="171">
                  <c:v>4.0189699311729707E-2</c:v>
                </c:pt>
                <c:pt idx="172">
                  <c:v>4.0264591914547072E-2</c:v>
                </c:pt>
                <c:pt idx="173">
                  <c:v>4.0338804543605937E-2</c:v>
                </c:pt>
                <c:pt idx="174">
                  <c:v>4.0412333251969294E-2</c:v>
                </c:pt>
                <c:pt idx="175">
                  <c:v>4.0485176011783044E-2</c:v>
                </c:pt>
                <c:pt idx="176">
                  <c:v>4.0557332686403484E-2</c:v>
                </c:pt>
                <c:pt idx="177">
                  <c:v>4.0628804991978268E-2</c:v>
                </c:pt>
                <c:pt idx="178">
                  <c:v>4.069959644878178E-2</c:v>
                </c:pt>
                <c:pt idx="179">
                  <c:v>4.07697123226873E-2</c:v>
                </c:pt>
                <c:pt idx="180">
                  <c:v>4.0839159557236167E-2</c:v>
                </c:pt>
                <c:pt idx="181">
                  <c:v>4.090794669683815E-2</c:v>
                </c:pt>
                <c:pt idx="182">
                  <c:v>4.0976083801706836E-2</c:v>
                </c:pt>
                <c:pt idx="183">
                  <c:v>4.1043582355197394E-2</c:v>
                </c:pt>
                <c:pt idx="184">
                  <c:v>4.1110455164273009E-2</c:v>
                </c:pt>
                <c:pt idx="185">
                  <c:v>4.1176716253876658E-2</c:v>
                </c:pt>
                <c:pt idx="186">
                  <c:v>4.1242380756030241E-2</c:v>
                </c:pt>
                <c:pt idx="187">
                  <c:v>4.1307464794519438E-2</c:v>
                </c:pt>
                <c:pt idx="188">
                  <c:v>4.1371985366051946E-2</c:v>
                </c:pt>
                <c:pt idx="189">
                  <c:v>4.1435960218797419E-2</c:v>
                </c:pt>
                <c:pt idx="190">
                  <c:v>4.1499407729229817E-2</c:v>
                </c:pt>
                <c:pt idx="191">
                  <c:v>4.1562346778197069E-2</c:v>
                </c:pt>
                <c:pt idx="192">
                  <c:v>4.1624796627137819E-2</c:v>
                </c:pt>
                <c:pt idx="193">
                  <c:v>4.1686776795352536E-2</c:v>
                </c:pt>
                <c:pt idx="194">
                  <c:v>4.1748306939213921E-2</c:v>
                </c:pt>
                <c:pt idx="195">
                  <c:v>4.1809406734172612E-2</c:v>
                </c:pt>
                <c:pt idx="196">
                  <c:v>4.1870095760376189E-2</c:v>
                </c:pt>
                <c:pt idx="197">
                  <c:v>4.1930393392674722E-2</c:v>
                </c:pt>
                <c:pt idx="198">
                  <c:v>4.199031869573399E-2</c:v>
                </c:pt>
                <c:pt idx="199">
                  <c:v>4.2049890324919154E-2</c:v>
                </c:pt>
                <c:pt idx="200">
                  <c:v>4.2109126433547292E-2</c:v>
                </c:pt>
                <c:pt idx="201">
                  <c:v>4.2168044587037892E-2</c:v>
                </c:pt>
                <c:pt idx="202">
                  <c:v>4.2226661684416356E-2</c:v>
                </c:pt>
                <c:pt idx="203">
                  <c:v>4.2284993887547889E-2</c:v>
                </c:pt>
                <c:pt idx="204">
                  <c:v>4.2343056558398921E-2</c:v>
                </c:pt>
                <c:pt idx="205">
                  <c:v>4.2400864204540305E-2</c:v>
                </c:pt>
                <c:pt idx="206">
                  <c:v>4.2458430433023296E-2</c:v>
                </c:pt>
                <c:pt idx="207">
                  <c:v>4.2515767912674952E-2</c:v>
                </c:pt>
                <c:pt idx="208">
                  <c:v>4.2572888344776169E-2</c:v>
                </c:pt>
                <c:pt idx="209">
                  <c:v>4.2629802442004178E-2</c:v>
                </c:pt>
                <c:pt idx="210">
                  <c:v>4.2686519915440847E-2</c:v>
                </c:pt>
                <c:pt idx="211">
                  <c:v>4.2743049469372428E-2</c:v>
                </c:pt>
                <c:pt idx="212">
                  <c:v>4.2799398803533513E-2</c:v>
                </c:pt>
                <c:pt idx="213">
                  <c:v>4.2855574622380148E-2</c:v>
                </c:pt>
                <c:pt idx="214">
                  <c:v>4.2911582650915048E-2</c:v>
                </c:pt>
                <c:pt idx="215">
                  <c:v>4.29674276565312E-2</c:v>
                </c:pt>
                <c:pt idx="216">
                  <c:v>4.3023113476291022E-2</c:v>
                </c:pt>
                <c:pt idx="217">
                  <c:v>4.3078643049015576E-2</c:v>
                </c:pt>
                <c:pt idx="218">
                  <c:v>4.3134018451523731E-2</c:v>
                </c:pt>
                <c:pt idx="219">
                  <c:v>4.318924093833465E-2</c:v>
                </c:pt>
                <c:pt idx="220">
                  <c:v>4.3244310984128211E-2</c:v>
                </c:pt>
                <c:pt idx="221">
                  <c:v>4.3299228328248597E-2</c:v>
                </c:pt>
                <c:pt idx="222">
                  <c:v>4.3353992020534034E-2</c:v>
                </c:pt>
                <c:pt idx="223">
                  <c:v>4.3408600467763812E-2</c:v>
                </c:pt>
                <c:pt idx="224">
                  <c:v>4.3463051480028554E-2</c:v>
                </c:pt>
                <c:pt idx="225">
                  <c:v>4.3517342316353833E-2</c:v>
                </c:pt>
                <c:pt idx="226">
                  <c:v>4.3571469728939174E-2</c:v>
                </c:pt>
                <c:pt idx="227">
                  <c:v>4.3625430005413912E-2</c:v>
                </c:pt>
                <c:pt idx="228">
                  <c:v>4.3679219008557542E-2</c:v>
                </c:pt>
                <c:pt idx="229">
                  <c:v>4.3732832212986253E-2</c:v>
                </c:pt>
                <c:pt idx="230">
                  <c:v>4.37862647383657E-2</c:v>
                </c:pt>
                <c:pt idx="231">
                  <c:v>4.3839511378775037E-2</c:v>
                </c:pt>
                <c:pt idx="232">
                  <c:v>4.3892566627916317E-2</c:v>
                </c:pt>
                <c:pt idx="233">
                  <c:v>4.3945424699936106E-2</c:v>
                </c:pt>
                <c:pt idx="234">
                  <c:v>4.3998079545702055E-2</c:v>
                </c:pt>
                <c:pt idx="235">
                  <c:v>4.4050524864454842E-2</c:v>
                </c:pt>
                <c:pt idx="236">
                  <c:v>4.4102754110835155E-2</c:v>
                </c:pt>
                <c:pt idx="237">
                  <c:v>4.4154760497364505E-2</c:v>
                </c:pt>
                <c:pt idx="238">
                  <c:v>4.4206536992536682E-2</c:v>
                </c:pt>
                <c:pt idx="239">
                  <c:v>4.4258076314754272E-2</c:v>
                </c:pt>
                <c:pt idx="240">
                  <c:v>4.4309370922418198E-2</c:v>
                </c:pt>
                <c:pt idx="241">
                  <c:v>4.4360413000549132E-2</c:v>
                </c:pt>
                <c:pt idx="242">
                  <c:v>4.4411194444386438E-2</c:v>
                </c:pt>
                <c:pt idx="243">
                  <c:v>4.4461706840470891E-2</c:v>
                </c:pt>
                <c:pt idx="244">
                  <c:v>4.4511941445773209E-2</c:v>
                </c:pt>
                <c:pt idx="245">
                  <c:v>4.4561889165478832E-2</c:v>
                </c:pt>
                <c:pt idx="246">
                  <c:v>4.4611540530080762E-2</c:v>
                </c:pt>
                <c:pt idx="247">
                  <c:v>4.4660885672465817E-2</c:v>
                </c:pt>
                <c:pt idx="248">
                  <c:v>4.4709914305704569E-2</c:v>
                </c:pt>
                <c:pt idx="249">
                  <c:v>4.4758615702271985E-2</c:v>
                </c:pt>
                <c:pt idx="250">
                  <c:v>4.4806978675432554E-2</c:v>
                </c:pt>
                <c:pt idx="251">
                  <c:v>4.4854991563522288E-2</c:v>
                </c:pt>
                <c:pt idx="252">
                  <c:v>4.4902642217848364E-2</c:v>
                </c:pt>
                <c:pt idx="253">
                  <c:v>4.4949917994906462E-2</c:v>
                </c:pt>
                <c:pt idx="254">
                  <c:v>4.4996805753586146E-2</c:v>
                </c:pt>
                <c:pt idx="255">
                  <c:v>4.5043291857995237E-2</c:v>
                </c:pt>
                <c:pt idx="256">
                  <c:v>4.5089362186486827E-2</c:v>
                </c:pt>
                <c:pt idx="257">
                  <c:v>4.5135002147415955E-2</c:v>
                </c:pt>
                <c:pt idx="258">
                  <c:v>4.5180196702089288E-2</c:v>
                </c:pt>
                <c:pt idx="259">
                  <c:v>4.5224930395299678E-2</c:v>
                </c:pt>
                <c:pt idx="260">
                  <c:v>4.5269187393759833E-2</c:v>
                </c:pt>
                <c:pt idx="261">
                  <c:v>4.5312951532665291E-2</c:v>
                </c:pt>
                <c:pt idx="262">
                  <c:v>4.5356206370528736E-2</c:v>
                </c:pt>
                <c:pt idx="263">
                  <c:v>4.5398935252334058E-2</c:v>
                </c:pt>
                <c:pt idx="264">
                  <c:v>4.5441121380963623E-2</c:v>
                </c:pt>
                <c:pt idx="265">
                  <c:v>4.5482747896753203E-2</c:v>
                </c:pt>
                <c:pt idx="266">
                  <c:v>4.5523797964930175E-2</c:v>
                </c:pt>
                <c:pt idx="267">
                  <c:v>4.5564254870591236E-2</c:v>
                </c:pt>
                <c:pt idx="268">
                  <c:v>4.5604102120777291E-2</c:v>
                </c:pt>
                <c:pt idx="269">
                  <c:v>4.5643323553107393E-2</c:v>
                </c:pt>
                <c:pt idx="270">
                  <c:v>4.5681903450339414E-2</c:v>
                </c:pt>
                <c:pt idx="271">
                  <c:v>4.5719826660137582E-2</c:v>
                </c:pt>
                <c:pt idx="272">
                  <c:v>4.5757078719241784E-2</c:v>
                </c:pt>
                <c:pt idx="273">
                  <c:v>4.5793645981156643E-2</c:v>
                </c:pt>
                <c:pt idx="274">
                  <c:v>4.5829515746407881E-2</c:v>
                </c:pt>
                <c:pt idx="275">
                  <c:v>4.5864676394350289E-2</c:v>
                </c:pt>
                <c:pt idx="276">
                  <c:v>4.5899117515457943E-2</c:v>
                </c:pt>
                <c:pt idx="277">
                  <c:v>4.593283004298334E-2</c:v>
                </c:pt>
                <c:pt idx="278">
                  <c:v>4.5965806382836615E-2</c:v>
                </c:pt>
                <c:pt idx="279">
                  <c:v>4.5998040540513263E-2</c:v>
                </c:pt>
                <c:pt idx="280">
                  <c:v>4.6029528243885093E-2</c:v>
                </c:pt>
                <c:pt idx="281">
                  <c:v>4.6060267060668174E-2</c:v>
                </c:pt>
                <c:pt idx="282">
                  <c:v>4.609025650939113E-2</c:v>
                </c:pt>
                <c:pt idx="283">
                  <c:v>4.6119498162708987E-2</c:v>
                </c:pt>
                <c:pt idx="284">
                  <c:v>4.6147995741940805E-2</c:v>
                </c:pt>
                <c:pt idx="285">
                  <c:v>4.6175755201754015E-2</c:v>
                </c:pt>
                <c:pt idx="286">
                  <c:v>4.6202784803974169E-2</c:v>
                </c:pt>
                <c:pt idx="287">
                  <c:v>4.6229095179565527E-2</c:v>
                </c:pt>
                <c:pt idx="288">
                  <c:v>4.6254699377904593E-2</c:v>
                </c:pt>
                <c:pt idx="289">
                  <c:v>4.6279612902555715E-2</c:v>
                </c:pt>
                <c:pt idx="290">
                  <c:v>4.6303853732853277E-2</c:v>
                </c:pt>
                <c:pt idx="291">
                  <c:v>4.6327442330699208E-2</c:v>
                </c:pt>
                <c:pt idx="292">
                  <c:v>4.6350401632095604E-2</c:v>
                </c:pt>
                <c:pt idx="293">
                  <c:v>4.6372757023050076E-2</c:v>
                </c:pt>
                <c:pt idx="294">
                  <c:v>4.6394536299614701E-2</c:v>
                </c:pt>
                <c:pt idx="295">
                  <c:v>4.6415769611946184E-2</c:v>
                </c:pt>
                <c:pt idx="296">
                  <c:v>4.643648939240589E-2</c:v>
                </c:pt>
                <c:pt idx="297">
                  <c:v>4.64567302678505E-2</c:v>
                </c:pt>
                <c:pt idx="298">
                  <c:v>4.6476528956396701E-2</c:v>
                </c:pt>
                <c:pt idx="299">
                  <c:v>4.649592414907662E-2</c:v>
                </c:pt>
                <c:pt idx="300">
                  <c:v>4.6514956376930455E-2</c:v>
                </c:pt>
                <c:pt idx="301">
                  <c:v>4.6533667864211141E-2</c:v>
                </c:pt>
                <c:pt idx="302">
                  <c:v>4.6552102368498854E-2</c:v>
                </c:pt>
                <c:pt idx="303">
                  <c:v>4.6570305008641399E-2</c:v>
                </c:pt>
                <c:pt idx="304">
                  <c:v>4.6588322081547694E-2</c:v>
                </c:pt>
                <c:pt idx="305">
                  <c:v>4.6606200868965386E-2</c:v>
                </c:pt>
                <c:pt idx="306">
                  <c:v>4.6623989435468645E-2</c:v>
                </c:pt>
                <c:pt idx="307">
                  <c:v>4.6641736418967676E-2</c:v>
                </c:pt>
                <c:pt idx="308">
                  <c:v>4.665949081512593E-2</c:v>
                </c:pt>
                <c:pt idx="309">
                  <c:v>4.6677301757135352E-2</c:v>
                </c:pt>
                <c:pt idx="310">
                  <c:v>4.6695218292350717E-2</c:v>
                </c:pt>
                <c:pt idx="311">
                  <c:v>4.6713289157324207E-2</c:v>
                </c:pt>
                <c:pt idx="312">
                  <c:v>4.6731562552806943E-2</c:v>
                </c:pt>
                <c:pt idx="313">
                  <c:v>4.6750085920297377E-2</c:v>
                </c:pt>
                <c:pt idx="314">
                  <c:v>4.6768905721716172E-2</c:v>
                </c:pt>
                <c:pt idx="315">
                  <c:v>4.6788067223772913E-2</c:v>
                </c:pt>
                <c:pt idx="316">
                  <c:v>4.6807614288562588E-2</c:v>
                </c:pt>
                <c:pt idx="317">
                  <c:v>4.6827589171889304E-2</c:v>
                </c:pt>
                <c:pt idx="318">
                  <c:v>4.684803233076059E-2</c:v>
                </c:pt>
                <c:pt idx="319">
                  <c:v>4.6868982241429727E-2</c:v>
                </c:pt>
                <c:pt idx="320">
                  <c:v>4.6890475229285029E-2</c:v>
                </c:pt>
                <c:pt idx="321">
                  <c:v>4.691254531179586E-2</c:v>
                </c:pt>
                <c:pt idx="322">
                  <c:v>4.6935224055624454E-2</c:v>
                </c:pt>
                <c:pt idx="323">
                  <c:v>4.6958540448903477E-2</c:v>
                </c:pt>
                <c:pt idx="324">
                  <c:v>4.6982520789560472E-2</c:v>
                </c:pt>
                <c:pt idx="325">
                  <c:v>4.7007188590444136E-2</c:v>
                </c:pt>
                <c:pt idx="326">
                  <c:v>4.703256450187495E-2</c:v>
                </c:pt>
                <c:pt idx="327">
                  <c:v>4.7058666252104579E-2</c:v>
                </c:pt>
                <c:pt idx="328">
                  <c:v>4.7085508606026519E-2</c:v>
                </c:pt>
                <c:pt idx="329">
                  <c:v>4.7113103342335254E-2</c:v>
                </c:pt>
                <c:pt idx="330">
                  <c:v>4.7141459249185003E-2</c:v>
                </c:pt>
                <c:pt idx="331">
                  <c:v>4.7170582138252634E-2</c:v>
                </c:pt>
                <c:pt idx="332">
                  <c:v>4.7200474876963376E-2</c:v>
                </c:pt>
                <c:pt idx="333">
                  <c:v>4.7231137438495378E-2</c:v>
                </c:pt>
                <c:pt idx="334">
                  <c:v>4.7262566969039299E-2</c:v>
                </c:pt>
                <c:pt idx="335">
                  <c:v>4.7294757871655269E-2</c:v>
                </c:pt>
                <c:pt idx="336">
                  <c:v>4.7327701905940815E-2</c:v>
                </c:pt>
                <c:pt idx="337">
                  <c:v>4.7361388302602635E-2</c:v>
                </c:pt>
                <c:pt idx="338">
                  <c:v>4.739580389191269E-2</c:v>
                </c:pt>
                <c:pt idx="339">
                  <c:v>4.7430933244925533E-2</c:v>
                </c:pt>
                <c:pt idx="340">
                  <c:v>4.7466758826241164E-2</c:v>
                </c:pt>
                <c:pt idx="341">
                  <c:v>4.7503261157015891E-2</c:v>
                </c:pt>
                <c:pt idx="342">
                  <c:v>4.7540418986853114E-2</c:v>
                </c:pt>
                <c:pt idx="343">
                  <c:v>4.7578209473148822E-2</c:v>
                </c:pt>
                <c:pt idx="344">
                  <c:v>4.7616608366421238E-2</c:v>
                </c:pt>
                <c:pt idx="345">
                  <c:v>4.765559020012234E-2</c:v>
                </c:pt>
                <c:pt idx="346">
                  <c:v>4.7695128483410489E-2</c:v>
                </c:pt>
                <c:pt idx="347">
                  <c:v>4.7735195895358684E-2</c:v>
                </c:pt>
                <c:pt idx="348">
                  <c:v>4.7775764479081072E-2</c:v>
                </c:pt>
                <c:pt idx="349">
                  <c:v>4.7816805834282036E-2</c:v>
                </c:pt>
                <c:pt idx="350">
                  <c:v>4.7858291306767109E-2</c:v>
                </c:pt>
                <c:pt idx="351">
                  <c:v>4.7900192173501874E-2</c:v>
                </c:pt>
                <c:pt idx="352">
                  <c:v>4.7942479821864288E-2</c:v>
                </c:pt>
                <c:pt idx="353">
                  <c:v>4.7985125921806357E-2</c:v>
                </c:pt>
                <c:pt idx="354">
                  <c:v>4.8028102589722628E-2</c:v>
                </c:pt>
                <c:pt idx="355">
                  <c:v>4.8071382542913557E-2</c:v>
                </c:pt>
                <c:pt idx="356">
                  <c:v>4.8114939243631909E-2</c:v>
                </c:pt>
                <c:pt idx="357">
                  <c:v>4.8158747031808197E-2</c:v>
                </c:pt>
                <c:pt idx="358">
                  <c:v>4.8202781245665481E-2</c:v>
                </c:pt>
                <c:pt idx="359">
                  <c:v>4.8247018329554074E-2</c:v>
                </c:pt>
                <c:pt idx="360">
                  <c:v>4.8291435928461662E-2</c:v>
                </c:pt>
                <c:pt idx="361">
                  <c:v>4.8336012968781913E-2</c:v>
                </c:pt>
                <c:pt idx="362">
                  <c:v>4.838072972505468E-2</c:v>
                </c:pt>
                <c:pt idx="363">
                  <c:v>4.8425567872522071E-2</c:v>
                </c:pt>
                <c:pt idx="364">
                  <c:v>4.8470510525474311E-2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7.3572698759047546E-4</c:v>
                </c:pt>
                <c:pt idx="1">
                  <c:v>7.1312319000702592E-4</c:v>
                </c:pt>
                <c:pt idx="2">
                  <c:v>6.9273949351100902E-4</c:v>
                </c:pt>
                <c:pt idx="3">
                  <c:v>6.7456187112744032E-4</c:v>
                </c:pt>
                <c:pt idx="4">
                  <c:v>6.5857156314969001E-4</c:v>
                </c:pt>
                <c:pt idx="5">
                  <c:v>6.4474555345846369E-4</c:v>
                </c:pt>
                <c:pt idx="6">
                  <c:v>6.3305705679304186E-4</c:v>
                </c:pt>
                <c:pt idx="7">
                  <c:v>6.2347601040921492E-4</c:v>
                </c:pt>
                <c:pt idx="8">
                  <c:v>6.1589501024045821E-4</c:v>
                </c:pt>
                <c:pt idx="9">
                  <c:v>6.096036785570465E-4</c:v>
                </c:pt>
                <c:pt idx="10">
                  <c:v>6.0388731266207906E-4</c:v>
                </c:pt>
                <c:pt idx="11">
                  <c:v>5.9875483325235444E-4</c:v>
                </c:pt>
                <c:pt idx="12">
                  <c:v>5.9421301317968533E-4</c:v>
                </c:pt>
                <c:pt idx="13">
                  <c:v>5.902666864941908E-4</c:v>
                </c:pt>
                <c:pt idx="14">
                  <c:v>5.8691896285830586E-4</c:v>
                </c:pt>
                <c:pt idx="15">
                  <c:v>5.8333718242502524E-4</c:v>
                </c:pt>
                <c:pt idx="16">
                  <c:v>5.7829428304612053E-4</c:v>
                </c:pt>
                <c:pt idx="17">
                  <c:v>5.7185453755922999E-4</c:v>
                </c:pt>
                <c:pt idx="18">
                  <c:v>5.640806928213346E-4</c:v>
                </c:pt>
                <c:pt idx="19">
                  <c:v>5.5503663125570501E-4</c:v>
                </c:pt>
                <c:pt idx="20">
                  <c:v>5.4478505104732749E-4</c:v>
                </c:pt>
                <c:pt idx="21">
                  <c:v>5.3338330531957649E-4</c:v>
                </c:pt>
                <c:pt idx="22">
                  <c:v>5.2081290702702071E-4</c:v>
                </c:pt>
                <c:pt idx="23">
                  <c:v>5.073410694004432E-4</c:v>
                </c:pt>
                <c:pt idx="24">
                  <c:v>4.935486729023312E-4</c:v>
                </c:pt>
                <c:pt idx="25">
                  <c:v>4.7947244489774207E-4</c:v>
                </c:pt>
                <c:pt idx="26">
                  <c:v>4.6514599681753946E-4</c:v>
                </c:pt>
                <c:pt idx="27">
                  <c:v>4.5059982997172908E-4</c:v>
                </c:pt>
                <c:pt idx="28">
                  <c:v>4.358613733576824E-4</c:v>
                </c:pt>
                <c:pt idx="29">
                  <c:v>4.2101499414524393E-4</c:v>
                </c:pt>
                <c:pt idx="30">
                  <c:v>4.0678989084046418E-4</c:v>
                </c:pt>
                <c:pt idx="31">
                  <c:v>3.9317989882958868E-4</c:v>
                </c:pt>
                <c:pt idx="32">
                  <c:v>3.801773017056535E-4</c:v>
                </c:pt>
                <c:pt idx="33">
                  <c:v>3.6777310523289608E-4</c:v>
                </c:pt>
                <c:pt idx="34">
                  <c:v>3.5595728921079649E-4</c:v>
                </c:pt>
                <c:pt idx="35">
                  <c:v>3.4471903775409933E-4</c:v>
                </c:pt>
                <c:pt idx="36">
                  <c:v>3.340215473316687E-4</c:v>
                </c:pt>
                <c:pt idx="37">
                  <c:v>3.238165584880138E-4</c:v>
                </c:pt>
                <c:pt idx="38">
                  <c:v>3.1385480514722105E-4</c:v>
                </c:pt>
                <c:pt idx="39">
                  <c:v>3.0413032272977927E-4</c:v>
                </c:pt>
                <c:pt idx="40">
                  <c:v>2.9463721909544387E-4</c:v>
                </c:pt>
                <c:pt idx="41">
                  <c:v>2.8536968961796223E-4</c:v>
                </c:pt>
                <c:pt idx="42">
                  <c:v>2.7632203028889342E-4</c:v>
                </c:pt>
                <c:pt idx="43">
                  <c:v>2.6736608044813671E-4</c:v>
                </c:pt>
                <c:pt idx="44">
                  <c:v>2.5844812236536273E-4</c:v>
                </c:pt>
                <c:pt idx="45">
                  <c:v>2.4956743654979167E-4</c:v>
                </c:pt>
                <c:pt idx="46">
                  <c:v>2.4072324595179076E-4</c:v>
                </c:pt>
                <c:pt idx="47">
                  <c:v>2.3191472364860049E-4</c:v>
                </c:pt>
                <c:pt idx="48">
                  <c:v>2.2314099842815567E-4</c:v>
                </c:pt>
                <c:pt idx="49">
                  <c:v>2.1440115831487583E-4</c:v>
                </c:pt>
                <c:pt idx="50">
                  <c:v>2.0569286983701282E-4</c:v>
                </c:pt>
                <c:pt idx="51">
                  <c:v>1.971013760269492E-4</c:v>
                </c:pt>
                <c:pt idx="52">
                  <c:v>1.8863100374501513E-4</c:v>
                </c:pt>
                <c:pt idx="53">
                  <c:v>1.8027736928060613E-4</c:v>
                </c:pt>
                <c:pt idx="54">
                  <c:v>1.7203728008402189E-4</c:v>
                </c:pt>
                <c:pt idx="55">
                  <c:v>1.6390770014876194E-4</c:v>
                </c:pt>
                <c:pt idx="56">
                  <c:v>1.5588573433353005E-4</c:v>
                </c:pt>
                <c:pt idx="57">
                  <c:v>1.4823053253607438E-4</c:v>
                </c:pt>
                <c:pt idx="58">
                  <c:v>1.4104122637225163E-4</c:v>
                </c:pt>
                <c:pt idx="59">
                  <c:v>1.3430683564375092E-4</c:v>
                </c:pt>
                <c:pt idx="60">
                  <c:v>1.2801677661523247E-4</c:v>
                </c:pt>
                <c:pt idx="61">
                  <c:v>1.2216084389193171E-4</c:v>
                </c:pt>
                <c:pt idx="62">
                  <c:v>1.16729194802913E-4</c:v>
                </c:pt>
                <c:pt idx="63">
                  <c:v>1.1171233627726766E-4</c:v>
                </c:pt>
                <c:pt idx="64">
                  <c:v>1.0709835554678599E-4</c:v>
                </c:pt>
                <c:pt idx="65">
                  <c:v>1.0289099983846557E-4</c:v>
                </c:pt>
                <c:pt idx="66">
                  <c:v>9.900513863257343E-5</c:v>
                </c:pt>
                <c:pt idx="67">
                  <c:v>9.5435372594137845E-5</c:v>
                </c:pt>
                <c:pt idx="68">
                  <c:v>9.2176307224896097E-5</c:v>
                </c:pt>
                <c:pt idx="69">
                  <c:v>8.9222597974404917E-5</c:v>
                </c:pt>
                <c:pt idx="70">
                  <c:v>8.6568993482908708E-5</c:v>
                </c:pt>
                <c:pt idx="71">
                  <c:v>8.421017122526893E-5</c:v>
                </c:pt>
                <c:pt idx="72">
                  <c:v>8.1906094873925988E-5</c:v>
                </c:pt>
                <c:pt idx="73">
                  <c:v>7.9656383356569021E-5</c:v>
                </c:pt>
                <c:pt idx="74">
                  <c:v>7.7460558088594103E-5</c:v>
                </c:pt>
                <c:pt idx="75">
                  <c:v>7.5318049359886607E-5</c:v>
                </c:pt>
                <c:pt idx="76">
                  <c:v>7.3228202471657859E-5</c:v>
                </c:pt>
                <c:pt idx="77">
                  <c:v>7.1190283601295837E-5</c:v>
                </c:pt>
                <c:pt idx="78">
                  <c:v>6.9199093928368812E-5</c:v>
                </c:pt>
                <c:pt idx="79">
                  <c:v>6.7272971036371485E-5</c:v>
                </c:pt>
                <c:pt idx="80">
                  <c:v>6.5399294874896421E-5</c:v>
                </c:pt>
                <c:pt idx="81">
                  <c:v>6.357806488774075E-5</c:v>
                </c:pt>
                <c:pt idx="82">
                  <c:v>6.1809135752466415E-5</c:v>
                </c:pt>
                <c:pt idx="83">
                  <c:v>6.0092230879560634E-5</c:v>
                </c:pt>
                <c:pt idx="84">
                  <c:v>5.8426955461572354E-5</c:v>
                </c:pt>
                <c:pt idx="85">
                  <c:v>5.6836336203448832E-5</c:v>
                </c:pt>
                <c:pt idx="86">
                  <c:v>5.5319764132979904E-5</c:v>
                </c:pt>
                <c:pt idx="87">
                  <c:v>5.3876407468672109E-5</c:v>
                </c:pt>
                <c:pt idx="88">
                  <c:v>5.2505420236557602E-5</c:v>
                </c:pt>
                <c:pt idx="89">
                  <c:v>5.120595677716556E-5</c:v>
                </c:pt>
                <c:pt idx="90">
                  <c:v>4.9986408229945831E-5</c:v>
                </c:pt>
                <c:pt idx="91">
                  <c:v>4.8898795558116331E-5</c:v>
                </c:pt>
                <c:pt idx="92">
                  <c:v>4.7876887993333386E-5</c:v>
                </c:pt>
                <c:pt idx="93">
                  <c:v>4.6912360905129133E-5</c:v>
                </c:pt>
                <c:pt idx="94">
                  <c:v>4.5982772309548461E-5</c:v>
                </c:pt>
                <c:pt idx="95">
                  <c:v>4.5087420538408984E-5</c:v>
                </c:pt>
                <c:pt idx="96">
                  <c:v>4.4225638068058612E-5</c:v>
                </c:pt>
                <c:pt idx="97">
                  <c:v>4.3396793095841492E-5</c:v>
                </c:pt>
                <c:pt idx="98">
                  <c:v>4.260029122728814E-5</c:v>
                </c:pt>
                <c:pt idx="99">
                  <c:v>4.184342336738712E-5</c:v>
                </c:pt>
                <c:pt idx="100">
                  <c:v>4.1101666880868512E-5</c:v>
                </c:pt>
                <c:pt idx="101">
                  <c:v>4.0374165601316978E-5</c:v>
                </c:pt>
                <c:pt idx="102">
                  <c:v>3.9660048291776993E-5</c:v>
                </c:pt>
                <c:pt idx="103">
                  <c:v>3.8958428032265985E-5</c:v>
                </c:pt>
                <c:pt idx="104">
                  <c:v>3.8268401588948151E-5</c:v>
                </c:pt>
                <c:pt idx="105">
                  <c:v>3.75890487417819E-5</c:v>
                </c:pt>
                <c:pt idx="106">
                  <c:v>3.691926347010917E-5</c:v>
                </c:pt>
                <c:pt idx="107">
                  <c:v>3.6275808994595226E-5</c:v>
                </c:pt>
                <c:pt idx="108">
                  <c:v>3.5663254363552337E-5</c:v>
                </c:pt>
                <c:pt idx="109">
                  <c:v>3.5080913600056531E-5</c:v>
                </c:pt>
                <c:pt idx="110">
                  <c:v>3.4528237747952319E-5</c:v>
                </c:pt>
                <c:pt idx="111">
                  <c:v>3.4004712576533493E-5</c:v>
                </c:pt>
                <c:pt idx="112">
                  <c:v>3.3509762222940568E-5</c:v>
                </c:pt>
                <c:pt idx="113">
                  <c:v>3.3050340133747153E-5</c:v>
                </c:pt>
                <c:pt idx="114">
                  <c:v>3.2618105400291249E-5</c:v>
                </c:pt>
                <c:pt idx="115">
                  <c:v>3.2212879662751592E-5</c:v>
                </c:pt>
                <c:pt idx="116">
                  <c:v>3.18345438123016E-5</c:v>
                </c:pt>
                <c:pt idx="117">
                  <c:v>3.1483039551518476E-5</c:v>
                </c:pt>
                <c:pt idx="118">
                  <c:v>3.1158371034561665E-5</c:v>
                </c:pt>
                <c:pt idx="119">
                  <c:v>3.0860606594068154E-5</c:v>
                </c:pt>
                <c:pt idx="120">
                  <c:v>3.0590344815412778E-5</c:v>
                </c:pt>
                <c:pt idx="121">
                  <c:v>3.0365519106334871E-5</c:v>
                </c:pt>
                <c:pt idx="122">
                  <c:v>3.0166354217732944E-5</c:v>
                </c:pt>
                <c:pt idx="123">
                  <c:v>2.9993058565038922E-5</c:v>
                </c:pt>
                <c:pt idx="124">
                  <c:v>2.9845927988832272E-5</c:v>
                </c:pt>
                <c:pt idx="125">
                  <c:v>2.9725346384505826E-5</c:v>
                </c:pt>
                <c:pt idx="126">
                  <c:v>2.9631786311200645E-5</c:v>
                </c:pt>
                <c:pt idx="127">
                  <c:v>2.9558827076518306E-5</c:v>
                </c:pt>
                <c:pt idx="128">
                  <c:v>2.9496649478636366E-5</c:v>
                </c:pt>
                <c:pt idx="129">
                  <c:v>2.9444986656314259E-5</c:v>
                </c:pt>
                <c:pt idx="130">
                  <c:v>2.940359546239796E-5</c:v>
                </c:pt>
                <c:pt idx="131">
                  <c:v>2.9372256677734151E-5</c:v>
                </c:pt>
                <c:pt idx="132">
                  <c:v>2.9350775286544905E-5</c:v>
                </c:pt>
                <c:pt idx="133">
                  <c:v>2.9338980790292169E-5</c:v>
                </c:pt>
                <c:pt idx="134">
                  <c:v>2.9337450938675076E-5</c:v>
                </c:pt>
                <c:pt idx="135">
                  <c:v>2.9336201827624758E-5</c:v>
                </c:pt>
                <c:pt idx="136">
                  <c:v>2.9312210194587277E-5</c:v>
                </c:pt>
                <c:pt idx="137">
                  <c:v>2.9263728735400414E-5</c:v>
                </c:pt>
                <c:pt idx="138">
                  <c:v>2.9188951521184926E-5</c:v>
                </c:pt>
                <c:pt idx="139">
                  <c:v>2.9086017526373171E-5</c:v>
                </c:pt>
                <c:pt idx="140">
                  <c:v>2.8953014721196568E-5</c:v>
                </c:pt>
                <c:pt idx="141">
                  <c:v>2.88083081186379E-5</c:v>
                </c:pt>
                <c:pt idx="142">
                  <c:v>2.8659221069156577E-5</c:v>
                </c:pt>
                <c:pt idx="143">
                  <c:v>2.8504939248080177E-5</c:v>
                </c:pt>
                <c:pt idx="144">
                  <c:v>2.8344834051114776E-5</c:v>
                </c:pt>
                <c:pt idx="145">
                  <c:v>2.8178290761948586E-5</c:v>
                </c:pt>
                <c:pt idx="146">
                  <c:v>2.8004711165176737E-5</c:v>
                </c:pt>
                <c:pt idx="147">
                  <c:v>2.7823516246406756E-5</c:v>
                </c:pt>
                <c:pt idx="148">
                  <c:v>2.76347962026481E-5</c:v>
                </c:pt>
                <c:pt idx="149">
                  <c:v>2.7443038521442263E-5</c:v>
                </c:pt>
                <c:pt idx="150">
                  <c:v>2.7261126432679774E-5</c:v>
                </c:pt>
                <c:pt idx="151">
                  <c:v>2.7089271965135706E-5</c:v>
                </c:pt>
                <c:pt idx="152">
                  <c:v>2.692773463835878E-5</c:v>
                </c:pt>
                <c:pt idx="153">
                  <c:v>2.677682071865502E-5</c:v>
                </c:pt>
                <c:pt idx="154">
                  <c:v>2.6636882253965285E-5</c:v>
                </c:pt>
                <c:pt idx="155">
                  <c:v>2.6530434108438251E-5</c:v>
                </c:pt>
                <c:pt idx="156">
                  <c:v>2.6433619047695547E-5</c:v>
                </c:pt>
                <c:pt idx="157">
                  <c:v>2.6347037533169888E-5</c:v>
                </c:pt>
                <c:pt idx="158">
                  <c:v>2.627133544523825E-5</c:v>
                </c:pt>
                <c:pt idx="159">
                  <c:v>2.6207201438063494E-5</c:v>
                </c:pt>
                <c:pt idx="160">
                  <c:v>2.6155363949799734E-5</c:v>
                </c:pt>
                <c:pt idx="161">
                  <c:v>2.6116587873058686E-5</c:v>
                </c:pt>
                <c:pt idx="162">
                  <c:v>2.6092121120148274E-5</c:v>
                </c:pt>
                <c:pt idx="163">
                  <c:v>2.6103888878536315E-5</c:v>
                </c:pt>
                <c:pt idx="164">
                  <c:v>2.6148266663152495E-5</c:v>
                </c:pt>
                <c:pt idx="165">
                  <c:v>2.6226989105389081E-5</c:v>
                </c:pt>
                <c:pt idx="166">
                  <c:v>2.6341805108672646E-5</c:v>
                </c:pt>
                <c:pt idx="167">
                  <c:v>2.649447262334238E-5</c:v>
                </c:pt>
                <c:pt idx="168">
                  <c:v>2.6686753523989931E-5</c:v>
                </c:pt>
                <c:pt idx="169">
                  <c:v>2.6942714762191786E-5</c:v>
                </c:pt>
                <c:pt idx="170">
                  <c:v>2.7236812135701203E-5</c:v>
                </c:pt>
                <c:pt idx="171">
                  <c:v>2.7570474270883256E-5</c:v>
                </c:pt>
                <c:pt idx="172">
                  <c:v>2.7945118953535675E-5</c:v>
                </c:pt>
                <c:pt idx="173">
                  <c:v>2.8361860253946035E-5</c:v>
                </c:pt>
                <c:pt idx="174">
                  <c:v>2.8821761598745861E-5</c:v>
                </c:pt>
                <c:pt idx="175">
                  <c:v>2.9326135505638957E-5</c:v>
                </c:pt>
                <c:pt idx="176">
                  <c:v>2.9876266693393159E-5</c:v>
                </c:pt>
                <c:pt idx="177">
                  <c:v>3.0504196805967774E-5</c:v>
                </c:pt>
                <c:pt idx="178">
                  <c:v>3.1187431465556633E-5</c:v>
                </c:pt>
                <c:pt idx="179">
                  <c:v>3.1927423706557342E-5</c:v>
                </c:pt>
                <c:pt idx="180">
                  <c:v>3.2725583593233224E-5</c:v>
                </c:pt>
                <c:pt idx="181">
                  <c:v>3.3583277402363226E-5</c:v>
                </c:pt>
                <c:pt idx="182">
                  <c:v>3.4501827295327655E-5</c:v>
                </c:pt>
                <c:pt idx="183">
                  <c:v>3.5489323178642544E-5</c:v>
                </c:pt>
                <c:pt idx="184">
                  <c:v>3.6520941536411956E-5</c:v>
                </c:pt>
                <c:pt idx="185">
                  <c:v>3.7597360484658196E-5</c:v>
                </c:pt>
                <c:pt idx="186">
                  <c:v>3.8719239576221451E-5</c:v>
                </c:pt>
                <c:pt idx="187">
                  <c:v>3.9887221353142683E-5</c:v>
                </c:pt>
                <c:pt idx="188">
                  <c:v>4.1101933020574095E-5</c:v>
                </c:pt>
                <c:pt idx="189">
                  <c:v>4.2363988219568901E-5</c:v>
                </c:pt>
                <c:pt idx="190">
                  <c:v>4.3673653067628967E-5</c:v>
                </c:pt>
                <c:pt idx="191">
                  <c:v>4.5067683256997225E-5</c:v>
                </c:pt>
                <c:pt idx="192">
                  <c:v>4.6512016473927743E-5</c:v>
                </c:pt>
                <c:pt idx="193">
                  <c:v>4.8007205960059706E-5</c:v>
                </c:pt>
                <c:pt idx="194">
                  <c:v>4.9553826258613109E-5</c:v>
                </c:pt>
                <c:pt idx="195">
                  <c:v>5.1152477186921597E-5</c:v>
                </c:pt>
                <c:pt idx="196">
                  <c:v>5.2803787725313603E-5</c:v>
                </c:pt>
                <c:pt idx="197">
                  <c:v>5.4487316460404961E-5</c:v>
                </c:pt>
                <c:pt idx="198">
                  <c:v>5.6195945088738158E-5</c:v>
                </c:pt>
                <c:pt idx="199">
                  <c:v>5.7930000863386012E-5</c:v>
                </c:pt>
                <c:pt idx="200">
                  <c:v>5.9689867548247133E-5</c:v>
                </c:pt>
                <c:pt idx="201">
                  <c:v>6.1475986032288754E-5</c:v>
                </c:pt>
                <c:pt idx="202">
                  <c:v>6.3288854819988849E-5</c:v>
                </c:pt>
                <c:pt idx="203">
                  <c:v>6.5129030442645576E-5</c:v>
                </c:pt>
                <c:pt idx="204">
                  <c:v>6.6996412137309368E-5</c:v>
                </c:pt>
                <c:pt idx="205">
                  <c:v>6.8875395654510233E-5</c:v>
                </c:pt>
                <c:pt idx="206">
                  <c:v>7.0726788581503076E-5</c:v>
                </c:pt>
                <c:pt idx="207">
                  <c:v>7.2550184019475332E-5</c:v>
                </c:pt>
                <c:pt idx="208">
                  <c:v>7.4345201868417484E-5</c:v>
                </c:pt>
                <c:pt idx="209">
                  <c:v>7.6111484973805408E-5</c:v>
                </c:pt>
                <c:pt idx="210">
                  <c:v>7.7848695426495704E-5</c:v>
                </c:pt>
                <c:pt idx="211">
                  <c:v>7.9614447150950558E-5</c:v>
                </c:pt>
                <c:pt idx="212">
                  <c:v>8.1431765810485298E-5</c:v>
                </c:pt>
                <c:pt idx="213">
                  <c:v>8.33014254689391E-5</c:v>
                </c:pt>
                <c:pt idx="214">
                  <c:v>8.5224191221551447E-5</c:v>
                </c:pt>
                <c:pt idx="215">
                  <c:v>8.7200819035897567E-5</c:v>
                </c:pt>
                <c:pt idx="216">
                  <c:v>8.9232055609086836E-5</c:v>
                </c:pt>
                <c:pt idx="217">
                  <c:v>9.1318638253361264E-5</c:v>
                </c:pt>
                <c:pt idx="218">
                  <c:v>9.3460537293807905E-5</c:v>
                </c:pt>
                <c:pt idx="219">
                  <c:v>9.5699717370303453E-5</c:v>
                </c:pt>
                <c:pt idx="220">
                  <c:v>9.8053901505443963E-5</c:v>
                </c:pt>
                <c:pt idx="221">
                  <c:v>1.0052485288030822E-4</c:v>
                </c:pt>
                <c:pt idx="222">
                  <c:v>1.0311435197634317E-4</c:v>
                </c:pt>
                <c:pt idx="223">
                  <c:v>1.0582420263972483E-4</c:v>
                </c:pt>
                <c:pt idx="224">
                  <c:v>1.0865623827259238E-4</c:v>
                </c:pt>
                <c:pt idx="225">
                  <c:v>1.1167103652942846E-4</c:v>
                </c:pt>
                <c:pt idx="226">
                  <c:v>1.1480930276211263E-4</c:v>
                </c:pt>
                <c:pt idx="227">
                  <c:v>1.1807290581061859E-4</c:v>
                </c:pt>
                <c:pt idx="228">
                  <c:v>1.214637747957844E-4</c:v>
                </c:pt>
                <c:pt idx="229">
                  <c:v>1.2498390575133749E-4</c:v>
                </c:pt>
                <c:pt idx="230">
                  <c:v>1.2863536844963231E-4</c:v>
                </c:pt>
                <c:pt idx="231">
                  <c:v>1.3242031346860129E-4</c:v>
                </c:pt>
                <c:pt idx="232">
                  <c:v>1.3633965112804652E-4</c:v>
                </c:pt>
                <c:pt idx="233">
                  <c:v>1.4041163114178094E-4</c:v>
                </c:pt>
                <c:pt idx="234">
                  <c:v>1.445931713854608E-4</c:v>
                </c:pt>
                <c:pt idx="235">
                  <c:v>1.4888553829770678E-4</c:v>
                </c:pt>
                <c:pt idx="236">
                  <c:v>1.5329007395155093E-4</c:v>
                </c:pt>
                <c:pt idx="237">
                  <c:v>1.5780805008517134E-4</c:v>
                </c:pt>
                <c:pt idx="238">
                  <c:v>1.6244075771186967E-4</c:v>
                </c:pt>
                <c:pt idx="239">
                  <c:v>1.6719293581438316E-4</c:v>
                </c:pt>
                <c:pt idx="240">
                  <c:v>1.7200381321474598E-4</c:v>
                </c:pt>
                <c:pt idx="241">
                  <c:v>1.7687409034798958E-4</c:v>
                </c:pt>
                <c:pt idx="242">
                  <c:v>1.8180446681584207E-4</c:v>
                </c:pt>
                <c:pt idx="243">
                  <c:v>1.8679563894264699E-4</c:v>
                </c:pt>
                <c:pt idx="244">
                  <c:v>1.9184829701523077E-4</c:v>
                </c:pt>
                <c:pt idx="245">
                  <c:v>1.9696312225251977E-4</c:v>
                </c:pt>
                <c:pt idx="246">
                  <c:v>2.0214078346681943E-4</c:v>
                </c:pt>
                <c:pt idx="247">
                  <c:v>2.0750414503149911E-4</c:v>
                </c:pt>
                <c:pt idx="248">
                  <c:v>2.1303664352852582E-4</c:v>
                </c:pt>
                <c:pt idx="249">
                  <c:v>2.1874024075614187E-4</c:v>
                </c:pt>
                <c:pt idx="250">
                  <c:v>2.2461688299215993E-4</c:v>
                </c:pt>
                <c:pt idx="251">
                  <c:v>2.3066849636222623E-4</c:v>
                </c:pt>
                <c:pt idx="252">
                  <c:v>2.3689698184595928E-4</c:v>
                </c:pt>
                <c:pt idx="253">
                  <c:v>2.4342346120599567E-4</c:v>
                </c:pt>
                <c:pt idx="254">
                  <c:v>2.5024740536911723E-4</c:v>
                </c:pt>
                <c:pt idx="255">
                  <c:v>2.5737205820166052E-4</c:v>
                </c:pt>
                <c:pt idx="256">
                  <c:v>2.6480063063719788E-4</c:v>
                </c:pt>
                <c:pt idx="257">
                  <c:v>2.7253629336076036E-4</c:v>
                </c:pt>
                <c:pt idx="258">
                  <c:v>2.8058216934479679E-4</c:v>
                </c:pt>
                <c:pt idx="259">
                  <c:v>2.8894132631421862E-4</c:v>
                </c:pt>
                <c:pt idx="260">
                  <c:v>2.9761819911134713E-4</c:v>
                </c:pt>
                <c:pt idx="261">
                  <c:v>3.0665645402167885E-4</c:v>
                </c:pt>
                <c:pt idx="262">
                  <c:v>3.1592884924670913E-4</c:v>
                </c:pt>
                <c:pt idx="263">
                  <c:v>3.2543653543059777E-4</c:v>
                </c:pt>
                <c:pt idx="264">
                  <c:v>3.3518049449240571E-4</c:v>
                </c:pt>
                <c:pt idx="265">
                  <c:v>3.4516336395402913E-4</c:v>
                </c:pt>
                <c:pt idx="266">
                  <c:v>3.5538686149514791E-4</c:v>
                </c:pt>
                <c:pt idx="267">
                  <c:v>3.6624284816025326E-4</c:v>
                </c:pt>
                <c:pt idx="268">
                  <c:v>3.7760922009244822E-4</c:v>
                </c:pt>
                <c:pt idx="269">
                  <c:v>3.8948902435046178E-4</c:v>
                </c:pt>
                <c:pt idx="270">
                  <c:v>4.0188497566499701E-4</c:v>
                </c:pt>
                <c:pt idx="271">
                  <c:v>4.1479943406413672E-4</c:v>
                </c:pt>
                <c:pt idx="272">
                  <c:v>4.282343844430238E-4</c:v>
                </c:pt>
                <c:pt idx="273">
                  <c:v>4.4219141826399796E-4</c:v>
                </c:pt>
                <c:pt idx="274">
                  <c:v>4.566889684340361E-4</c:v>
                </c:pt>
                <c:pt idx="275">
                  <c:v>4.7263114348400327E-4</c:v>
                </c:pt>
                <c:pt idx="276">
                  <c:v>4.8998441311587121E-4</c:v>
                </c:pt>
                <c:pt idx="277">
                  <c:v>5.0875578324439551E-4</c:v>
                </c:pt>
                <c:pt idx="278">
                  <c:v>5.2895089746742973E-4</c:v>
                </c:pt>
                <c:pt idx="279">
                  <c:v>5.5057378787848788E-4</c:v>
                </c:pt>
                <c:pt idx="280">
                  <c:v>5.7362662124351815E-4</c:v>
                </c:pt>
                <c:pt idx="281">
                  <c:v>5.9856990206138768E-4</c:v>
                </c:pt>
                <c:pt idx="282">
                  <c:v>6.2499013118236908E-4</c:v>
                </c:pt>
                <c:pt idx="283">
                  <c:v>6.5288253749740902E-4</c:v>
                </c:pt>
                <c:pt idx="284">
                  <c:v>6.8223937577079996E-4</c:v>
                </c:pt>
                <c:pt idx="285">
                  <c:v>7.1304965573383669E-4</c:v>
                </c:pt>
                <c:pt idx="286">
                  <c:v>7.4529887426763889E-4</c:v>
                </c:pt>
                <c:pt idx="287">
                  <c:v>7.7896875261960802E-4</c:v>
                </c:pt>
                <c:pt idx="288">
                  <c:v>8.1409468735909229E-4</c:v>
                </c:pt>
                <c:pt idx="289">
                  <c:v>8.5017269801451398E-4</c:v>
                </c:pt>
                <c:pt idx="290">
                  <c:v>8.8625978707283879E-4</c:v>
                </c:pt>
                <c:pt idx="291">
                  <c:v>9.2233576193697124E-4</c:v>
                </c:pt>
                <c:pt idx="292">
                  <c:v>9.5837906117972717E-4</c:v>
                </c:pt>
                <c:pt idx="293">
                  <c:v>9.9436679670655251E-4</c:v>
                </c:pt>
                <c:pt idx="294">
                  <c:v>1.0302747975067877E-3</c:v>
                </c:pt>
                <c:pt idx="295">
                  <c:v>1.0651731455598107E-3</c:v>
                </c:pt>
                <c:pt idx="296">
                  <c:v>1.0985659408883387E-3</c:v>
                </c:pt>
                <c:pt idx="297">
                  <c:v>1.1304305911739719E-3</c:v>
                </c:pt>
                <c:pt idx="298">
                  <c:v>1.1607362039143898E-3</c:v>
                </c:pt>
                <c:pt idx="299">
                  <c:v>1.1894522855996291E-3</c:v>
                </c:pt>
                <c:pt idx="300">
                  <c:v>1.2165489104158887E-3</c:v>
                </c:pt>
                <c:pt idx="301">
                  <c:v>1.2419968842703889E-3</c:v>
                </c:pt>
                <c:pt idx="302">
                  <c:v>1.2658433265155188E-3</c:v>
                </c:pt>
                <c:pt idx="303">
                  <c:v>1.2888722794474974E-3</c:v>
                </c:pt>
                <c:pt idx="304">
                  <c:v>1.3116402606909185E-3</c:v>
                </c:pt>
                <c:pt idx="305">
                  <c:v>1.3341444664508738E-3</c:v>
                </c:pt>
                <c:pt idx="306">
                  <c:v>1.3563827483660995E-3</c:v>
                </c:pt>
                <c:pt idx="307">
                  <c:v>1.3783535830328734E-3</c:v>
                </c:pt>
                <c:pt idx="308">
                  <c:v>1.4000560275250664E-3</c:v>
                </c:pt>
                <c:pt idx="309">
                  <c:v>1.4217471079913167E-3</c:v>
                </c:pt>
                <c:pt idx="310">
                  <c:v>1.4443413533266063E-3</c:v>
                </c:pt>
                <c:pt idx="311">
                  <c:v>1.4678392452905846E-3</c:v>
                </c:pt>
                <c:pt idx="312">
                  <c:v>1.4922411537292852E-3</c:v>
                </c:pt>
                <c:pt idx="313">
                  <c:v>1.5175472488549435E-3</c:v>
                </c:pt>
                <c:pt idx="314">
                  <c:v>1.5437573958668753E-3</c:v>
                </c:pt>
                <c:pt idx="315">
                  <c:v>1.5708710301497748E-3</c:v>
                </c:pt>
                <c:pt idx="316">
                  <c:v>1.5989924043121084E-3</c:v>
                </c:pt>
                <c:pt idx="317">
                  <c:v>1.625766383997893E-3</c:v>
                </c:pt>
                <c:pt idx="318">
                  <c:v>1.6504722136461152E-3</c:v>
                </c:pt>
                <c:pt idx="319">
                  <c:v>1.6731098644391731E-3</c:v>
                </c:pt>
                <c:pt idx="320">
                  <c:v>1.6936762542565562E-3</c:v>
                </c:pt>
                <c:pt idx="321">
                  <c:v>1.7121650475609136E-3</c:v>
                </c:pt>
                <c:pt idx="322">
                  <c:v>1.7285664820885862E-3</c:v>
                </c:pt>
                <c:pt idx="323">
                  <c:v>1.74388005183031E-3</c:v>
                </c:pt>
                <c:pt idx="324">
                  <c:v>1.7578327507298988E-3</c:v>
                </c:pt>
                <c:pt idx="325">
                  <c:v>1.7704051387542219E-3</c:v>
                </c:pt>
                <c:pt idx="326">
                  <c:v>1.7815630354348587E-3</c:v>
                </c:pt>
                <c:pt idx="327">
                  <c:v>1.7912757596908189E-3</c:v>
                </c:pt>
                <c:pt idx="328">
                  <c:v>1.7995181809898225E-3</c:v>
                </c:pt>
                <c:pt idx="329">
                  <c:v>1.8062617523137419E-3</c:v>
                </c:pt>
                <c:pt idx="330">
                  <c:v>1.8116631861817964E-3</c:v>
                </c:pt>
                <c:pt idx="331">
                  <c:v>1.8191217487725413E-3</c:v>
                </c:pt>
                <c:pt idx="332">
                  <c:v>1.8310865774236516E-3</c:v>
                </c:pt>
                <c:pt idx="333">
                  <c:v>1.8475331539838042E-3</c:v>
                </c:pt>
                <c:pt idx="334">
                  <c:v>1.8684348073843052E-3</c:v>
                </c:pt>
                <c:pt idx="335">
                  <c:v>1.8937615697961461E-3</c:v>
                </c:pt>
                <c:pt idx="336">
                  <c:v>1.9234789491515763E-3</c:v>
                </c:pt>
                <c:pt idx="337">
                  <c:v>1.9564145564922976E-3</c:v>
                </c:pt>
                <c:pt idx="338">
                  <c:v>1.9914928877420158E-3</c:v>
                </c:pt>
                <c:pt idx="339">
                  <c:v>2.028651592868835E-3</c:v>
                </c:pt>
                <c:pt idx="340">
                  <c:v>2.0678196988386604E-3</c:v>
                </c:pt>
                <c:pt idx="341">
                  <c:v>2.1089169672458014E-3</c:v>
                </c:pt>
                <c:pt idx="342">
                  <c:v>2.1518533222920971E-3</c:v>
                </c:pt>
                <c:pt idx="343">
                  <c:v>2.1965283682246319E-3</c:v>
                </c:pt>
                <c:pt idx="344">
                  <c:v>2.2430841874459479E-3</c:v>
                </c:pt>
                <c:pt idx="345">
                  <c:v>2.291685960078576E-3</c:v>
                </c:pt>
                <c:pt idx="346">
                  <c:v>2.3362184843846502E-3</c:v>
                </c:pt>
                <c:pt idx="347">
                  <c:v>2.3765932528453416E-3</c:v>
                </c:pt>
                <c:pt idx="348">
                  <c:v>2.4127180329648703E-3</c:v>
                </c:pt>
                <c:pt idx="349">
                  <c:v>2.4444986069352657E-3</c:v>
                </c:pt>
                <c:pt idx="350">
                  <c:v>2.4718406174249678E-3</c:v>
                </c:pt>
                <c:pt idx="351">
                  <c:v>2.4918997350512171E-3</c:v>
                </c:pt>
                <c:pt idx="352">
                  <c:v>2.5057309948088901E-3</c:v>
                </c:pt>
                <c:pt idx="353">
                  <c:v>2.5132606786702249E-3</c:v>
                </c:pt>
                <c:pt idx="354">
                  <c:v>2.5144264528502978E-3</c:v>
                </c:pt>
                <c:pt idx="355">
                  <c:v>2.5091797847707261E-3</c:v>
                </c:pt>
                <c:pt idx="356">
                  <c:v>2.4974683487628555E-3</c:v>
                </c:pt>
                <c:pt idx="357">
                  <c:v>2.4792951265874747E-3</c:v>
                </c:pt>
                <c:pt idx="358">
                  <c:v>2.4546654191944747E-3</c:v>
                </c:pt>
                <c:pt idx="359">
                  <c:v>2.4236752314640703E-3</c:v>
                </c:pt>
                <c:pt idx="360">
                  <c:v>2.3853520273116107E-3</c:v>
                </c:pt>
                <c:pt idx="361">
                  <c:v>2.3425402695163278E-3</c:v>
                </c:pt>
                <c:pt idx="362">
                  <c:v>2.2953832336101388E-3</c:v>
                </c:pt>
                <c:pt idx="363">
                  <c:v>2.2440320967565442E-3</c:v>
                </c:pt>
                <c:pt idx="364">
                  <c:v>2.1886444213267279E-3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4768"/>
        <c:axId val="701985160"/>
      </c:lineChart>
      <c:dateAx>
        <c:axId val="7019847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5160"/>
        <c:crosses val="autoZero"/>
        <c:auto val="1"/>
        <c:lblOffset val="100"/>
        <c:baseTimeUnit val="days"/>
        <c:majorUnit val="1"/>
        <c:majorTimeUnit val="months"/>
      </c:dateAx>
      <c:valAx>
        <c:axId val="7019851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4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22.310311303415816</c:v>
                </c:pt>
                <c:pt idx="1">
                  <c:v>22.449202340655656</c:v>
                </c:pt>
                <c:pt idx="2">
                  <c:v>22.597057903732832</c:v>
                </c:pt>
                <c:pt idx="3">
                  <c:v>22.753417359340023</c:v>
                </c:pt>
                <c:pt idx="4">
                  <c:v>22.917820106499466</c:v>
                </c:pt>
                <c:pt idx="5">
                  <c:v>23.089805574304165</c:v>
                </c:pt>
                <c:pt idx="6">
                  <c:v>23.2689132359905</c:v>
                </c:pt>
                <c:pt idx="7">
                  <c:v>23.454682616628279</c:v>
                </c:pt>
                <c:pt idx="8">
                  <c:v>23.649520654122696</c:v>
                </c:pt>
                <c:pt idx="9">
                  <c:v>23.855612754052963</c:v>
                </c:pt>
                <c:pt idx="10">
                  <c:v>24.072174888969531</c:v>
                </c:pt>
                <c:pt idx="11">
                  <c:v>24.298447316299526</c:v>
                </c:pt>
                <c:pt idx="12">
                  <c:v>24.533670446139649</c:v>
                </c:pt>
                <c:pt idx="13">
                  <c:v>24.77708485812326</c:v>
                </c:pt>
                <c:pt idx="14">
                  <c:v>25.027931299145553</c:v>
                </c:pt>
                <c:pt idx="15">
                  <c:v>25.285503664234341</c:v>
                </c:pt>
                <c:pt idx="16">
                  <c:v>25.549112431269879</c:v>
                </c:pt>
                <c:pt idx="17">
                  <c:v>25.817998855978153</c:v>
                </c:pt>
                <c:pt idx="18">
                  <c:v>26.091404386841113</c:v>
                </c:pt>
                <c:pt idx="19">
                  <c:v>26.368570450570104</c:v>
                </c:pt>
                <c:pt idx="20">
                  <c:v>26.648738574412423</c:v>
                </c:pt>
                <c:pt idx="21">
                  <c:v>26.931150663958451</c:v>
                </c:pt>
                <c:pt idx="22">
                  <c:v>27.218851951519749</c:v>
                </c:pt>
                <c:pt idx="23">
                  <c:v>27.514798496155894</c:v>
                </c:pt>
                <c:pt idx="24">
                  <c:v>27.818128875463213</c:v>
                </c:pt>
                <c:pt idx="25">
                  <c:v>28.127960104092406</c:v>
                </c:pt>
                <c:pt idx="26">
                  <c:v>28.443409454453079</c:v>
                </c:pt>
                <c:pt idx="27">
                  <c:v>28.763594465382958</c:v>
                </c:pt>
                <c:pt idx="28">
                  <c:v>29.087632937568667</c:v>
                </c:pt>
                <c:pt idx="29">
                  <c:v>29.41462737018016</c:v>
                </c:pt>
                <c:pt idx="30">
                  <c:v>29.743643169187397</c:v>
                </c:pt>
                <c:pt idx="31">
                  <c:v>30.073798924537037</c:v>
                </c:pt>
                <c:pt idx="32">
                  <c:v>30.404213492703494</c:v>
                </c:pt>
                <c:pt idx="33">
                  <c:v>30.734005989618819</c:v>
                </c:pt>
                <c:pt idx="34">
                  <c:v>31.062295794577231</c:v>
                </c:pt>
                <c:pt idx="35">
                  <c:v>31.38820254824158</c:v>
                </c:pt>
                <c:pt idx="36">
                  <c:v>31.713259946225776</c:v>
                </c:pt>
                <c:pt idx="37">
                  <c:v>32.039542879735677</c:v>
                </c:pt>
                <c:pt idx="38">
                  <c:v>32.366958942175451</c:v>
                </c:pt>
                <c:pt idx="39">
                  <c:v>32.695410276263168</c:v>
                </c:pt>
                <c:pt idx="40">
                  <c:v>33.024799067843162</c:v>
                </c:pt>
                <c:pt idx="41">
                  <c:v>33.355027543446042</c:v>
                </c:pt>
                <c:pt idx="42">
                  <c:v>33.685997966878652</c:v>
                </c:pt>
                <c:pt idx="43">
                  <c:v>34.017624743879971</c:v>
                </c:pt>
                <c:pt idx="44">
                  <c:v>34.349825857789384</c:v>
                </c:pt>
                <c:pt idx="45">
                  <c:v>34.682503701329196</c:v>
                </c:pt>
                <c:pt idx="46">
                  <c:v>35.015560694261517</c:v>
                </c:pt>
                <c:pt idx="47">
                  <c:v>35.348899278164858</c:v>
                </c:pt>
                <c:pt idx="48">
                  <c:v>35.682421913600905</c:v>
                </c:pt>
                <c:pt idx="49">
                  <c:v>36.016031075166381</c:v>
                </c:pt>
                <c:pt idx="50">
                  <c:v>36.349873659064841</c:v>
                </c:pt>
                <c:pt idx="51">
                  <c:v>36.684151234139989</c:v>
                </c:pt>
                <c:pt idx="52">
                  <c:v>37.018844155514358</c:v>
                </c:pt>
                <c:pt idx="53">
                  <c:v>37.353952595217571</c:v>
                </c:pt>
                <c:pt idx="54">
                  <c:v>37.689476576257512</c:v>
                </c:pt>
                <c:pt idx="55">
                  <c:v>38.025416082338822</c:v>
                </c:pt>
                <c:pt idx="56">
                  <c:v>38.361771054718822</c:v>
                </c:pt>
                <c:pt idx="57">
                  <c:v>38.698520829687141</c:v>
                </c:pt>
                <c:pt idx="58">
                  <c:v>39.035653028002748</c:v>
                </c:pt>
                <c:pt idx="59">
                  <c:v>39.373167399027849</c:v>
                </c:pt>
                <c:pt idx="60">
                  <c:v>39.711063640459621</c:v>
                </c:pt>
                <c:pt idx="61">
                  <c:v>40.049341396323541</c:v>
                </c:pt>
                <c:pt idx="62">
                  <c:v>40.388000255874545</c:v>
                </c:pt>
                <c:pt idx="63">
                  <c:v>40.727039751002735</c:v>
                </c:pt>
                <c:pt idx="64">
                  <c:v>41.067517474118674</c:v>
                </c:pt>
                <c:pt idx="65">
                  <c:v>41.41015557430822</c:v>
                </c:pt>
                <c:pt idx="66">
                  <c:v>41.754475263956408</c:v>
                </c:pt>
                <c:pt idx="67">
                  <c:v>42.099987305447222</c:v>
                </c:pt>
                <c:pt idx="68">
                  <c:v>42.446202528323148</c:v>
                </c:pt>
                <c:pt idx="69">
                  <c:v>42.792631829038783</c:v>
                </c:pt>
                <c:pt idx="70">
                  <c:v>43.138786169978985</c:v>
                </c:pt>
                <c:pt idx="71">
                  <c:v>43.484175579504821</c:v>
                </c:pt>
                <c:pt idx="72">
                  <c:v>43.828331913762803</c:v>
                </c:pt>
                <c:pt idx="73">
                  <c:v>44.170766392396594</c:v>
                </c:pt>
                <c:pt idx="74">
                  <c:v>44.51099031020172</c:v>
                </c:pt>
                <c:pt idx="75">
                  <c:v>44.848515042723086</c:v>
                </c:pt>
                <c:pt idx="76">
                  <c:v>45.182852044790735</c:v>
                </c:pt>
                <c:pt idx="77">
                  <c:v>45.513512854985443</c:v>
                </c:pt>
                <c:pt idx="78">
                  <c:v>45.84292025281556</c:v>
                </c:pt>
                <c:pt idx="79">
                  <c:v>46.173298020731288</c:v>
                </c:pt>
                <c:pt idx="80">
                  <c:v>46.503873849776383</c:v>
                </c:pt>
                <c:pt idx="81">
                  <c:v>46.833865916275982</c:v>
                </c:pt>
                <c:pt idx="82">
                  <c:v>47.162492577456604</c:v>
                </c:pt>
                <c:pt idx="83">
                  <c:v>47.488972376534704</c:v>
                </c:pt>
                <c:pt idx="84">
                  <c:v>47.812524048477009</c:v>
                </c:pt>
                <c:pt idx="85">
                  <c:v>48.13236321132905</c:v>
                </c:pt>
                <c:pt idx="86">
                  <c:v>48.447710008670271</c:v>
                </c:pt>
                <c:pt idx="87">
                  <c:v>48.757783761985166</c:v>
                </c:pt>
                <c:pt idx="88">
                  <c:v>49.061804010331819</c:v>
                </c:pt>
                <c:pt idx="89">
                  <c:v>49.358990510005121</c:v>
                </c:pt>
                <c:pt idx="90">
                  <c:v>49.648563247698846</c:v>
                </c:pt>
                <c:pt idx="91">
                  <c:v>49.929742443821773</c:v>
                </c:pt>
                <c:pt idx="92">
                  <c:v>50.203909459129562</c:v>
                </c:pt>
                <c:pt idx="93">
                  <c:v>50.472900023304796</c:v>
                </c:pt>
                <c:pt idx="94">
                  <c:v>50.736619585494836</c:v>
                </c:pt>
                <c:pt idx="95">
                  <c:v>50.99497042310206</c:v>
                </c:pt>
                <c:pt idx="96">
                  <c:v>51.247854868009703</c:v>
                </c:pt>
                <c:pt idx="97">
                  <c:v>51.495175310131167</c:v>
                </c:pt>
                <c:pt idx="98">
                  <c:v>51.736834198843702</c:v>
                </c:pt>
                <c:pt idx="99">
                  <c:v>51.97273353961814</c:v>
                </c:pt>
                <c:pt idx="100">
                  <c:v>52.202779458901112</c:v>
                </c:pt>
                <c:pt idx="101">
                  <c:v>52.426874680394796</c:v>
                </c:pt>
                <c:pt idx="102">
                  <c:v>52.644922007991049</c:v>
                </c:pt>
                <c:pt idx="103">
                  <c:v>52.856824338323939</c:v>
                </c:pt>
                <c:pt idx="104">
                  <c:v>53.06248465789092</c:v>
                </c:pt>
                <c:pt idx="105">
                  <c:v>53.261806053180941</c:v>
                </c:pt>
                <c:pt idx="106">
                  <c:v>53.454935153026575</c:v>
                </c:pt>
                <c:pt idx="107">
                  <c:v>53.642081607523373</c:v>
                </c:pt>
                <c:pt idx="108">
                  <c:v>53.823246158529628</c:v>
                </c:pt>
                <c:pt idx="109">
                  <c:v>53.998429471967661</c:v>
                </c:pt>
                <c:pt idx="110">
                  <c:v>54.167632280049183</c:v>
                </c:pt>
                <c:pt idx="111">
                  <c:v>54.330855399471481</c:v>
                </c:pt>
                <c:pt idx="112">
                  <c:v>54.488099751089663</c:v>
                </c:pt>
                <c:pt idx="113">
                  <c:v>54.639364791498487</c:v>
                </c:pt>
                <c:pt idx="114">
                  <c:v>54.784652150692594</c:v>
                </c:pt>
                <c:pt idx="115">
                  <c:v>54.923963001845301</c:v>
                </c:pt>
                <c:pt idx="116">
                  <c:v>55.057298622787641</c:v>
                </c:pt>
                <c:pt idx="117">
                  <c:v>55.184660397531289</c:v>
                </c:pt>
                <c:pt idx="118">
                  <c:v>55.306049824162358</c:v>
                </c:pt>
                <c:pt idx="119">
                  <c:v>55.421468508270998</c:v>
                </c:pt>
                <c:pt idx="120">
                  <c:v>58.134228600072412</c:v>
                </c:pt>
                <c:pt idx="121">
                  <c:v>58.239374410222929</c:v>
                </c:pt>
                <c:pt idx="122">
                  <c:v>58.337222664111003</c:v>
                </c:pt>
                <c:pt idx="123">
                  <c:v>58.42818271645848</c:v>
                </c:pt>
                <c:pt idx="124">
                  <c:v>58.512663775381334</c:v>
                </c:pt>
                <c:pt idx="125">
                  <c:v>58.591074892468349</c:v>
                </c:pt>
                <c:pt idx="126">
                  <c:v>58.663824969831474</c:v>
                </c:pt>
                <c:pt idx="127">
                  <c:v>58.731323421009222</c:v>
                </c:pt>
                <c:pt idx="128">
                  <c:v>58.793980830535176</c:v>
                </c:pt>
                <c:pt idx="129">
                  <c:v>58.852205749411738</c:v>
                </c:pt>
                <c:pt idx="130">
                  <c:v>58.906406581447456</c:v>
                </c:pt>
                <c:pt idx="131">
                  <c:v>58.956991587041138</c:v>
                </c:pt>
                <c:pt idx="132">
                  <c:v>59.004368878769142</c:v>
                </c:pt>
                <c:pt idx="133">
                  <c:v>59.048946422581245</c:v>
                </c:pt>
                <c:pt idx="134">
                  <c:v>59.089674892024938</c:v>
                </c:pt>
                <c:pt idx="135">
                  <c:v>59.125370997320637</c:v>
                </c:pt>
                <c:pt idx="136">
                  <c:v>59.156243044936936</c:v>
                </c:pt>
                <c:pt idx="137">
                  <c:v>59.182496411050721</c:v>
                </c:pt>
                <c:pt idx="138">
                  <c:v>59.204336416391534</c:v>
                </c:pt>
                <c:pt idx="139">
                  <c:v>59.221968329223643</c:v>
                </c:pt>
                <c:pt idx="140">
                  <c:v>59.235597365915609</c:v>
                </c:pt>
                <c:pt idx="141">
                  <c:v>59.24542659197391</c:v>
                </c:pt>
                <c:pt idx="142">
                  <c:v>59.251660243389459</c:v>
                </c:pt>
                <c:pt idx="143">
                  <c:v>59.254503267150959</c:v>
                </c:pt>
                <c:pt idx="144">
                  <c:v>59.25416051940951</c:v>
                </c:pt>
                <c:pt idx="145">
                  <c:v>59.250836793155322</c:v>
                </c:pt>
                <c:pt idx="146">
                  <c:v>59.244736811455155</c:v>
                </c:pt>
                <c:pt idx="147">
                  <c:v>59.236065225619882</c:v>
                </c:pt>
                <c:pt idx="148">
                  <c:v>59.223639401447429</c:v>
                </c:pt>
                <c:pt idx="149">
                  <c:v>59.206412101900902</c:v>
                </c:pt>
                <c:pt idx="150">
                  <c:v>59.18479028459808</c:v>
                </c:pt>
                <c:pt idx="151">
                  <c:v>59.159181979259174</c:v>
                </c:pt>
                <c:pt idx="152">
                  <c:v>59.129995040294936</c:v>
                </c:pt>
                <c:pt idx="153">
                  <c:v>59.09763714316211</c:v>
                </c:pt>
                <c:pt idx="154">
                  <c:v>59.062515779149471</c:v>
                </c:pt>
                <c:pt idx="155">
                  <c:v>59.025035614218687</c:v>
                </c:pt>
                <c:pt idx="156">
                  <c:v>58.985606177499861</c:v>
                </c:pt>
                <c:pt idx="157">
                  <c:v>58.944634384809646</c:v>
                </c:pt>
                <c:pt idx="158">
                  <c:v>58.902526957202667</c:v>
                </c:pt>
                <c:pt idx="159">
                  <c:v>58.859690421147178</c:v>
                </c:pt>
                <c:pt idx="160">
                  <c:v>58.816531104536182</c:v>
                </c:pt>
                <c:pt idx="161">
                  <c:v>58.77345513517546</c:v>
                </c:pt>
                <c:pt idx="162">
                  <c:v>58.729854983238113</c:v>
                </c:pt>
                <c:pt idx="163">
                  <c:v>58.684850952053488</c:v>
                </c:pt>
                <c:pt idx="164">
                  <c:v>58.6384445080948</c:v>
                </c:pt>
                <c:pt idx="165">
                  <c:v>58.590636553045918</c:v>
                </c:pt>
                <c:pt idx="166">
                  <c:v>58.541427957804743</c:v>
                </c:pt>
                <c:pt idx="167">
                  <c:v>58.490819557945684</c:v>
                </c:pt>
                <c:pt idx="168">
                  <c:v>58.438812155154018</c:v>
                </c:pt>
                <c:pt idx="169">
                  <c:v>58.385404199149001</c:v>
                </c:pt>
                <c:pt idx="170">
                  <c:v>58.330599454174958</c:v>
                </c:pt>
                <c:pt idx="171">
                  <c:v>58.274398630702542</c:v>
                </c:pt>
                <c:pt idx="172">
                  <c:v>58.216802397288276</c:v>
                </c:pt>
                <c:pt idx="173">
                  <c:v>58.157811414959546</c:v>
                </c:pt>
                <c:pt idx="174">
                  <c:v>58.097426305069078</c:v>
                </c:pt>
                <c:pt idx="175">
                  <c:v>58.035647615073692</c:v>
                </c:pt>
                <c:pt idx="176">
                  <c:v>57.972475852678507</c:v>
                </c:pt>
                <c:pt idx="177">
                  <c:v>57.907908207755476</c:v>
                </c:pt>
                <c:pt idx="178">
                  <c:v>57.841947514968432</c:v>
                </c:pt>
                <c:pt idx="179">
                  <c:v>57.774594142321568</c:v>
                </c:pt>
                <c:pt idx="180">
                  <c:v>57.705848419538533</c:v>
                </c:pt>
                <c:pt idx="181">
                  <c:v>57.635710640908343</c:v>
                </c:pt>
                <c:pt idx="182">
                  <c:v>57.564181064420488</c:v>
                </c:pt>
                <c:pt idx="183">
                  <c:v>57.491259282764773</c:v>
                </c:pt>
                <c:pt idx="184">
                  <c:v>57.416948042053043</c:v>
                </c:pt>
                <c:pt idx="185">
                  <c:v>57.341247533688147</c:v>
                </c:pt>
                <c:pt idx="186">
                  <c:v>57.264157920181788</c:v>
                </c:pt>
                <c:pt idx="187">
                  <c:v>57.185679334600195</c:v>
                </c:pt>
                <c:pt idx="188">
                  <c:v>57.105811886082428</c:v>
                </c:pt>
                <c:pt idx="189">
                  <c:v>57.024555659661694</c:v>
                </c:pt>
                <c:pt idx="190">
                  <c:v>56.942348569990223</c:v>
                </c:pt>
                <c:pt idx="191">
                  <c:v>56.859490414971866</c:v>
                </c:pt>
                <c:pt idx="192">
                  <c:v>56.775782463968106</c:v>
                </c:pt>
                <c:pt idx="193">
                  <c:v>56.69102256013268</c:v>
                </c:pt>
                <c:pt idx="194">
                  <c:v>56.605008620682163</c:v>
                </c:pt>
                <c:pt idx="195">
                  <c:v>56.517538638786831</c:v>
                </c:pt>
                <c:pt idx="196">
                  <c:v>56.42841068587007</c:v>
                </c:pt>
                <c:pt idx="197">
                  <c:v>56.337424706081656</c:v>
                </c:pt>
                <c:pt idx="198">
                  <c:v>56.244379610382786</c:v>
                </c:pt>
                <c:pt idx="199">
                  <c:v>56.149073734375918</c:v>
                </c:pt>
                <c:pt idx="200">
                  <c:v>56.051305498504504</c:v>
                </c:pt>
                <c:pt idx="201">
                  <c:v>55.950873408788169</c:v>
                </c:pt>
                <c:pt idx="202">
                  <c:v>55.847576063012866</c:v>
                </c:pt>
                <c:pt idx="203">
                  <c:v>55.741212149341003</c:v>
                </c:pt>
                <c:pt idx="204">
                  <c:v>55.632084948603271</c:v>
                </c:pt>
                <c:pt idx="205">
                  <c:v>55.520633379898442</c:v>
                </c:pt>
                <c:pt idx="206">
                  <c:v>55.406861152779548</c:v>
                </c:pt>
                <c:pt idx="207">
                  <c:v>55.290768691926459</c:v>
                </c:pt>
                <c:pt idx="208">
                  <c:v>55.172356436672111</c:v>
                </c:pt>
                <c:pt idx="209">
                  <c:v>55.051624845595335</c:v>
                </c:pt>
                <c:pt idx="210">
                  <c:v>54.928574395066263</c:v>
                </c:pt>
                <c:pt idx="211">
                  <c:v>54.803200168004999</c:v>
                </c:pt>
                <c:pt idx="212">
                  <c:v>54.675500826985854</c:v>
                </c:pt>
                <c:pt idx="213">
                  <c:v>54.545476884991849</c:v>
                </c:pt>
                <c:pt idx="214">
                  <c:v>54.413128876202471</c:v>
                </c:pt>
                <c:pt idx="215">
                  <c:v>54.278457357254275</c:v>
                </c:pt>
                <c:pt idx="216">
                  <c:v>54.141462908346433</c:v>
                </c:pt>
                <c:pt idx="217">
                  <c:v>54.002146129760106</c:v>
                </c:pt>
                <c:pt idx="218">
                  <c:v>53.860944254959165</c:v>
                </c:pt>
                <c:pt idx="219">
                  <c:v>53.718155831946575</c:v>
                </c:pt>
                <c:pt idx="220">
                  <c:v>53.573578574126223</c:v>
                </c:pt>
                <c:pt idx="221">
                  <c:v>53.427011535681778</c:v>
                </c:pt>
                <c:pt idx="222">
                  <c:v>53.278253867559364</c:v>
                </c:pt>
                <c:pt idx="223">
                  <c:v>53.12710481965302</c:v>
                </c:pt>
                <c:pt idx="224">
                  <c:v>52.973363737293532</c:v>
                </c:pt>
                <c:pt idx="225">
                  <c:v>52.81682527421107</c:v>
                </c:pt>
                <c:pt idx="226">
                  <c:v>52.657294439143172</c:v>
                </c:pt>
                <c:pt idx="227">
                  <c:v>52.494570861206007</c:v>
                </c:pt>
                <c:pt idx="228">
                  <c:v>52.328454259171622</c:v>
                </c:pt>
                <c:pt idx="229">
                  <c:v>52.158744439950084</c:v>
                </c:pt>
                <c:pt idx="230">
                  <c:v>51.985241301436275</c:v>
                </c:pt>
                <c:pt idx="231">
                  <c:v>51.807744824360839</c:v>
                </c:pt>
                <c:pt idx="232">
                  <c:v>51.626558171810963</c:v>
                </c:pt>
                <c:pt idx="233">
                  <c:v>51.44211742937501</c:v>
                </c:pt>
                <c:pt idx="234">
                  <c:v>51.254427938592372</c:v>
                </c:pt>
                <c:pt idx="235">
                  <c:v>51.063490802397794</c:v>
                </c:pt>
                <c:pt idx="236">
                  <c:v>50.869307123918446</c:v>
                </c:pt>
                <c:pt idx="237">
                  <c:v>50.671878020046492</c:v>
                </c:pt>
                <c:pt idx="238">
                  <c:v>50.471204610643696</c:v>
                </c:pt>
                <c:pt idx="239">
                  <c:v>50.26728707754706</c:v>
                </c:pt>
                <c:pt idx="240">
                  <c:v>50.060131333597752</c:v>
                </c:pt>
                <c:pt idx="241">
                  <c:v>49.849738505077269</c:v>
                </c:pt>
                <c:pt idx="242">
                  <c:v>49.636109726019022</c:v>
                </c:pt>
                <c:pt idx="243">
                  <c:v>49.419246133608198</c:v>
                </c:pt>
                <c:pt idx="244">
                  <c:v>49.199148871428214</c:v>
                </c:pt>
                <c:pt idx="245">
                  <c:v>48.975819087572582</c:v>
                </c:pt>
                <c:pt idx="246">
                  <c:v>48.749257939980915</c:v>
                </c:pt>
                <c:pt idx="247">
                  <c:v>48.519456548403063</c:v>
                </c:pt>
                <c:pt idx="248">
                  <c:v>48.286417207184599</c:v>
                </c:pt>
                <c:pt idx="249">
                  <c:v>48.050141120433494</c:v>
                </c:pt>
                <c:pt idx="250">
                  <c:v>47.81062950733611</c:v>
                </c:pt>
                <c:pt idx="251">
                  <c:v>47.567883598409132</c:v>
                </c:pt>
                <c:pt idx="252">
                  <c:v>47.321904637601783</c:v>
                </c:pt>
                <c:pt idx="253">
                  <c:v>47.07268434521017</c:v>
                </c:pt>
                <c:pt idx="254">
                  <c:v>46.820224967919827</c:v>
                </c:pt>
                <c:pt idx="255">
                  <c:v>46.564527831287755</c:v>
                </c:pt>
                <c:pt idx="256">
                  <c:v>46.305594278324065</c:v>
                </c:pt>
                <c:pt idx="257">
                  <c:v>46.043425669522946</c:v>
                </c:pt>
                <c:pt idx="258">
                  <c:v>45.778023381346266</c:v>
                </c:pt>
                <c:pt idx="259">
                  <c:v>45.509388809958409</c:v>
                </c:pt>
                <c:pt idx="260">
                  <c:v>45.237305936506978</c:v>
                </c:pt>
                <c:pt idx="261">
                  <c:v>44.961622027810421</c:v>
                </c:pt>
                <c:pt idx="262">
                  <c:v>44.682448800050643</c:v>
                </c:pt>
                <c:pt idx="263">
                  <c:v>44.399888059649442</c:v>
                </c:pt>
                <c:pt idx="264">
                  <c:v>44.114041582438013</c:v>
                </c:pt>
                <c:pt idx="265">
                  <c:v>43.825010975630768</c:v>
                </c:pt>
                <c:pt idx="266">
                  <c:v>43.532897868464715</c:v>
                </c:pt>
                <c:pt idx="267">
                  <c:v>43.237770081016038</c:v>
                </c:pt>
                <c:pt idx="268">
                  <c:v>42.939738801265733</c:v>
                </c:pt>
                <c:pt idx="269">
                  <c:v>42.638905879573464</c:v>
                </c:pt>
                <c:pt idx="270">
                  <c:v>42.33537314255809</c:v>
                </c:pt>
                <c:pt idx="271">
                  <c:v>42.029242396469108</c:v>
                </c:pt>
                <c:pt idx="272">
                  <c:v>41.720615419994033</c:v>
                </c:pt>
                <c:pt idx="273">
                  <c:v>41.409593966412736</c:v>
                </c:pt>
                <c:pt idx="274">
                  <c:v>41.094726242446562</c:v>
                </c:pt>
                <c:pt idx="275">
                  <c:v>40.774840276596947</c:v>
                </c:pt>
                <c:pt idx="276">
                  <c:v>40.450543699236064</c:v>
                </c:pt>
                <c:pt idx="277">
                  <c:v>40.122440393937929</c:v>
                </c:pt>
                <c:pt idx="278">
                  <c:v>39.791134073246553</c:v>
                </c:pt>
                <c:pt idx="279">
                  <c:v>39.457228282846422</c:v>
                </c:pt>
                <c:pt idx="280">
                  <c:v>39.12132639753613</c:v>
                </c:pt>
                <c:pt idx="281">
                  <c:v>38.784000942556588</c:v>
                </c:pt>
                <c:pt idx="282">
                  <c:v>38.445887349164813</c:v>
                </c:pt>
                <c:pt idx="283">
                  <c:v>38.107588471192294</c:v>
                </c:pt>
                <c:pt idx="284">
                  <c:v>37.769706982128788</c:v>
                </c:pt>
                <c:pt idx="285">
                  <c:v>37.432845373818935</c:v>
                </c:pt>
                <c:pt idx="286">
                  <c:v>37.097605951348072</c:v>
                </c:pt>
                <c:pt idx="287">
                  <c:v>36.764590828810647</c:v>
                </c:pt>
                <c:pt idx="288">
                  <c:v>36.431815741912501</c:v>
                </c:pt>
                <c:pt idx="289">
                  <c:v>36.097263555857324</c:v>
                </c:pt>
                <c:pt idx="290">
                  <c:v>35.761486614794691</c:v>
                </c:pt>
                <c:pt idx="291">
                  <c:v>35.424985566519304</c:v>
                </c:pt>
                <c:pt idx="292">
                  <c:v>35.088260777613343</c:v>
                </c:pt>
                <c:pt idx="293">
                  <c:v>34.75181233121674</c:v>
                </c:pt>
                <c:pt idx="294">
                  <c:v>34.416140026778891</c:v>
                </c:pt>
                <c:pt idx="295">
                  <c:v>34.081806399517909</c:v>
                </c:pt>
                <c:pt idx="296">
                  <c:v>33.749336097949985</c:v>
                </c:pt>
                <c:pt idx="297">
                  <c:v>33.41922520056653</c:v>
                </c:pt>
                <c:pt idx="298">
                  <c:v>33.091969955365727</c:v>
                </c:pt>
                <c:pt idx="299">
                  <c:v>32.768066292738396</c:v>
                </c:pt>
                <c:pt idx="300">
                  <c:v>32.448009841167782</c:v>
                </c:pt>
                <c:pt idx="301">
                  <c:v>32.132295940802976</c:v>
                </c:pt>
                <c:pt idx="302">
                  <c:v>31.81951960829241</c:v>
                </c:pt>
                <c:pt idx="303">
                  <c:v>31.508098817998601</c:v>
                </c:pt>
                <c:pt idx="304">
                  <c:v>31.198300921437703</c:v>
                </c:pt>
                <c:pt idx="305">
                  <c:v>30.890423291946199</c:v>
                </c:pt>
                <c:pt idx="306">
                  <c:v>30.584763151210257</c:v>
                </c:pt>
                <c:pt idx="307">
                  <c:v>30.28161758097615</c:v>
                </c:pt>
                <c:pt idx="308">
                  <c:v>29.981283534751569</c:v>
                </c:pt>
                <c:pt idx="309">
                  <c:v>29.684053865070233</c:v>
                </c:pt>
                <c:pt idx="310">
                  <c:v>29.390170488748055</c:v>
                </c:pt>
                <c:pt idx="311">
                  <c:v>29.09993176486168</c:v>
                </c:pt>
                <c:pt idx="312">
                  <c:v>28.813635933802352</c:v>
                </c:pt>
                <c:pt idx="313">
                  <c:v>28.531581120836918</c:v>
                </c:pt>
                <c:pt idx="314">
                  <c:v>28.254065335939337</c:v>
                </c:pt>
                <c:pt idx="315">
                  <c:v>27.981386478549144</c:v>
                </c:pt>
                <c:pt idx="316">
                  <c:v>27.712010860093969</c:v>
                </c:pt>
                <c:pt idx="317">
                  <c:v>27.444647633500843</c:v>
                </c:pt>
                <c:pt idx="318">
                  <c:v>27.179829840284423</c:v>
                </c:pt>
                <c:pt idx="319">
                  <c:v>26.918051361685464</c:v>
                </c:pt>
                <c:pt idx="320">
                  <c:v>26.659806104342593</c:v>
                </c:pt>
                <c:pt idx="321">
                  <c:v>26.405588027109104</c:v>
                </c:pt>
                <c:pt idx="322">
                  <c:v>26.155891150265088</c:v>
                </c:pt>
                <c:pt idx="323">
                  <c:v>25.911135827379525</c:v>
                </c:pt>
                <c:pt idx="324">
                  <c:v>25.671821639584845</c:v>
                </c:pt>
                <c:pt idx="325">
                  <c:v>25.43844463503714</c:v>
                </c:pt>
                <c:pt idx="326">
                  <c:v>25.211501315389523</c:v>
                </c:pt>
                <c:pt idx="327">
                  <c:v>24.991487879705989</c:v>
                </c:pt>
                <c:pt idx="328">
                  <c:v>24.778900155828428</c:v>
                </c:pt>
                <c:pt idx="329">
                  <c:v>24.57423398123764</c:v>
                </c:pt>
                <c:pt idx="330">
                  <c:v>24.375440471609885</c:v>
                </c:pt>
                <c:pt idx="331">
                  <c:v>24.180416860239973</c:v>
                </c:pt>
                <c:pt idx="332">
                  <c:v>23.989666485350227</c:v>
                </c:pt>
                <c:pt idx="333">
                  <c:v>23.803790477653738</c:v>
                </c:pt>
                <c:pt idx="334">
                  <c:v>23.623389541681565</c:v>
                </c:pt>
                <c:pt idx="335">
                  <c:v>23.449063955383689</c:v>
                </c:pt>
                <c:pt idx="336">
                  <c:v>23.281413569161394</c:v>
                </c:pt>
                <c:pt idx="337">
                  <c:v>23.121112434679301</c:v>
                </c:pt>
                <c:pt idx="338">
                  <c:v>22.968824431467823</c:v>
                </c:pt>
                <c:pt idx="339">
                  <c:v>22.825145989597178</c:v>
                </c:pt>
                <c:pt idx="340">
                  <c:v>22.690673384407017</c:v>
                </c:pt>
                <c:pt idx="341">
                  <c:v>22.566002720635559</c:v>
                </c:pt>
                <c:pt idx="342">
                  <c:v>22.451729927847389</c:v>
                </c:pt>
                <c:pt idx="343">
                  <c:v>22.348450771876077</c:v>
                </c:pt>
                <c:pt idx="344">
                  <c:v>22.254239371570563</c:v>
                </c:pt>
                <c:pt idx="345">
                  <c:v>22.167087558843679</c:v>
                </c:pt>
                <c:pt idx="346">
                  <c:v>22.087662179568351</c:v>
                </c:pt>
                <c:pt idx="347">
                  <c:v>22.016433343480202</c:v>
                </c:pt>
                <c:pt idx="348">
                  <c:v>21.953871306986894</c:v>
                </c:pt>
                <c:pt idx="349">
                  <c:v>21.900446451919226</c:v>
                </c:pt>
                <c:pt idx="350">
                  <c:v>21.856629242916231</c:v>
                </c:pt>
                <c:pt idx="351">
                  <c:v>21.82297180978701</c:v>
                </c:pt>
                <c:pt idx="352">
                  <c:v>21.799873634830437</c:v>
                </c:pt>
                <c:pt idx="353">
                  <c:v>21.787805307666368</c:v>
                </c:pt>
                <c:pt idx="354">
                  <c:v>21.787237424221622</c:v>
                </c:pt>
                <c:pt idx="355">
                  <c:v>21.798640569658975</c:v>
                </c:pt>
                <c:pt idx="356">
                  <c:v>21.822485700752434</c:v>
                </c:pt>
                <c:pt idx="357">
                  <c:v>21.859243008347352</c:v>
                </c:pt>
                <c:pt idx="358">
                  <c:v>21.909289192817081</c:v>
                </c:pt>
                <c:pt idx="359">
                  <c:v>21.972374498466394</c:v>
                </c:pt>
                <c:pt idx="360">
                  <c:v>22.04810004834582</c:v>
                </c:pt>
                <c:pt idx="361">
                  <c:v>22.13591668884019</c:v>
                </c:pt>
                <c:pt idx="362">
                  <c:v>22.235356095430237</c:v>
                </c:pt>
                <c:pt idx="363">
                  <c:v>22.345950065363184</c:v>
                </c:pt>
                <c:pt idx="364">
                  <c:v>22.467230521972255</c:v>
                </c:pt>
                <c:pt idx="365">
                  <c:v>22.59872949085095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22.69864874110592</c:v>
                </c:pt>
                <c:pt idx="1">
                  <c:v>15.654200776003277</c:v>
                </c:pt>
                <c:pt idx="2">
                  <c:v>16.902189671945244</c:v>
                </c:pt>
                <c:pt idx="3">
                  <c:v>17.960081046125087</c:v>
                </c:pt>
                <c:pt idx="4">
                  <c:v>14.20232826968798</c:v>
                </c:pt>
                <c:pt idx="5">
                  <c:v>20.379630560814434</c:v>
                </c:pt>
                <c:pt idx="6">
                  <c:v>9.9931692620554706</c:v>
                </c:pt>
                <c:pt idx="7">
                  <c:v>7.1117014625036958</c:v>
                </c:pt>
                <c:pt idx="8">
                  <c:v>2.1230823361046012</c:v>
                </c:pt>
                <c:pt idx="9">
                  <c:v>1.7410003113092969</c:v>
                </c:pt>
                <c:pt idx="10">
                  <c:v>24.404406255450255</c:v>
                </c:pt>
                <c:pt idx="11">
                  <c:v>21.213264108616734</c:v>
                </c:pt>
                <c:pt idx="12">
                  <c:v>5.4376496547852433</c:v>
                </c:pt>
                <c:pt idx="13">
                  <c:v>25.8035690557879</c:v>
                </c:pt>
                <c:pt idx="14">
                  <c:v>26.105500045719531</c:v>
                </c:pt>
                <c:pt idx="15">
                  <c:v>25.539475113671635</c:v>
                </c:pt>
                <c:pt idx="16">
                  <c:v>11.792910813922726</c:v>
                </c:pt>
                <c:pt idx="17">
                  <c:v>3.7462355281801445</c:v>
                </c:pt>
                <c:pt idx="18">
                  <c:v>10.221292183643722</c:v>
                </c:pt>
                <c:pt idx="19">
                  <c:v>6.4008424143315956</c:v>
                </c:pt>
                <c:pt idx="20">
                  <c:v>20.407212443139912</c:v>
                </c:pt>
                <c:pt idx="21">
                  <c:v>27.239837108319016</c:v>
                </c:pt>
                <c:pt idx="22">
                  <c:v>27.359810964349506</c:v>
                </c:pt>
                <c:pt idx="23">
                  <c:v>27.88956995610706</c:v>
                </c:pt>
                <c:pt idx="24">
                  <c:v>26.96725798285382</c:v>
                </c:pt>
                <c:pt idx="25">
                  <c:v>27.622663530303175</c:v>
                </c:pt>
                <c:pt idx="26">
                  <c:v>26.39442735414211</c:v>
                </c:pt>
                <c:pt idx="27">
                  <c:v>4.1710984972401457</c:v>
                </c:pt>
                <c:pt idx="28">
                  <c:v>8.8034761097085017</c:v>
                </c:pt>
                <c:pt idx="29">
                  <c:v>4.5462626018245507</c:v>
                </c:pt>
                <c:pt idx="30">
                  <c:v>7.5385251059175289</c:v>
                </c:pt>
                <c:pt idx="31">
                  <c:v>12.509488370963671</c:v>
                </c:pt>
                <c:pt idx="32">
                  <c:v>5.2807758476100455</c:v>
                </c:pt>
                <c:pt idx="33">
                  <c:v>10.363643548568408</c:v>
                </c:pt>
                <c:pt idx="34">
                  <c:v>10.207315163932268</c:v>
                </c:pt>
                <c:pt idx="35">
                  <c:v>8.9690808372327595</c:v>
                </c:pt>
                <c:pt idx="36">
                  <c:v>20.895029152372921</c:v>
                </c:pt>
                <c:pt idx="37">
                  <c:v>8.8058972986669737</c:v>
                </c:pt>
                <c:pt idx="38">
                  <c:v>32.657120352313576</c:v>
                </c:pt>
                <c:pt idx="39">
                  <c:v>32.93555020895964</c:v>
                </c:pt>
                <c:pt idx="40">
                  <c:v>30.713510048633808</c:v>
                </c:pt>
                <c:pt idx="41">
                  <c:v>17.013490946671489</c:v>
                </c:pt>
                <c:pt idx="42">
                  <c:v>26.070352338193207</c:v>
                </c:pt>
                <c:pt idx="43">
                  <c:v>31.895269878662067</c:v>
                </c:pt>
                <c:pt idx="44">
                  <c:v>14.973669267436465</c:v>
                </c:pt>
                <c:pt idx="45">
                  <c:v>18.059409146835939</c:v>
                </c:pt>
                <c:pt idx="46">
                  <c:v>8.8827581107575728</c:v>
                </c:pt>
                <c:pt idx="47">
                  <c:v>11.066639665085006</c:v>
                </c:pt>
                <c:pt idx="48">
                  <c:v>28.569096009335237</c:v>
                </c:pt>
                <c:pt idx="49">
                  <c:v>19.384395529592791</c:v>
                </c:pt>
                <c:pt idx="50">
                  <c:v>19.266676741571263</c:v>
                </c:pt>
                <c:pt idx="51">
                  <c:v>21.330840502330265</c:v>
                </c:pt>
                <c:pt idx="52">
                  <c:v>32.595831421212203</c:v>
                </c:pt>
                <c:pt idx="53">
                  <c:v>34.251226641023429</c:v>
                </c:pt>
                <c:pt idx="54">
                  <c:v>21.320251997649805</c:v>
                </c:pt>
                <c:pt idx="55">
                  <c:v>30.530213446948149</c:v>
                </c:pt>
                <c:pt idx="56">
                  <c:v>38.692818770902427</c:v>
                </c:pt>
                <c:pt idx="57">
                  <c:v>27.657586477587177</c:v>
                </c:pt>
                <c:pt idx="58">
                  <c:v>33.388910811141024</c:v>
                </c:pt>
                <c:pt idx="59">
                  <c:v>38.738194707686191</c:v>
                </c:pt>
                <c:pt idx="60">
                  <c:v>11.287222529988291</c:v>
                </c:pt>
                <c:pt idx="61">
                  <c:v>34.63319711975312</c:v>
                </c:pt>
                <c:pt idx="62">
                  <c:v>3.721554401290057</c:v>
                </c:pt>
                <c:pt idx="63">
                  <c:v>12.814196469399958</c:v>
                </c:pt>
                <c:pt idx="64">
                  <c:v>15.448880972323423</c:v>
                </c:pt>
                <c:pt idx="65">
                  <c:v>38.055339716798905</c:v>
                </c:pt>
                <c:pt idx="66">
                  <c:v>31.014338776153313</c:v>
                </c:pt>
                <c:pt idx="67">
                  <c:v>30.237515120355649</c:v>
                </c:pt>
                <c:pt idx="68">
                  <c:v>24.070538064202175</c:v>
                </c:pt>
                <c:pt idx="69">
                  <c:v>14.928085312416133</c:v>
                </c:pt>
                <c:pt idx="70">
                  <c:v>15.53724305253205</c:v>
                </c:pt>
                <c:pt idx="71">
                  <c:v>8.7123590125959769</c:v>
                </c:pt>
                <c:pt idx="72">
                  <c:v>14.037628982799047</c:v>
                </c:pt>
                <c:pt idx="73">
                  <c:v>13.361563891659571</c:v>
                </c:pt>
                <c:pt idx="74">
                  <c:v>13.335054884696625</c:v>
                </c:pt>
                <c:pt idx="75">
                  <c:v>11.199383318680651</c:v>
                </c:pt>
                <c:pt idx="76">
                  <c:v>14.478258887594068</c:v>
                </c:pt>
                <c:pt idx="77">
                  <c:v>27.661794369063401</c:v>
                </c:pt>
                <c:pt idx="78">
                  <c:v>30.715328934026147</c:v>
                </c:pt>
                <c:pt idx="79">
                  <c:v>43.479810051663648</c:v>
                </c:pt>
                <c:pt idx="80">
                  <c:v>41.280188350431416</c:v>
                </c:pt>
                <c:pt idx="81">
                  <c:v>47.052667794194775</c:v>
                </c:pt>
                <c:pt idx="82">
                  <c:v>46.280156176839263</c:v>
                </c:pt>
                <c:pt idx="83">
                  <c:v>41.185642161561439</c:v>
                </c:pt>
                <c:pt idx="84">
                  <c:v>45.591776268206367</c:v>
                </c:pt>
                <c:pt idx="85">
                  <c:v>44.078407255733524</c:v>
                </c:pt>
                <c:pt idx="86">
                  <c:v>14.193942716672316</c:v>
                </c:pt>
                <c:pt idx="87">
                  <c:v>27.242555653781217</c:v>
                </c:pt>
                <c:pt idx="88">
                  <c:v>7.6385873548829935</c:v>
                </c:pt>
                <c:pt idx="89">
                  <c:v>27.20814290409216</c:v>
                </c:pt>
                <c:pt idx="90">
                  <c:v>31.861287805815476</c:v>
                </c:pt>
                <c:pt idx="91">
                  <c:v>19.890256977802856</c:v>
                </c:pt>
                <c:pt idx="92">
                  <c:v>22.128452045109011</c:v>
                </c:pt>
                <c:pt idx="93">
                  <c:v>44.545281762497098</c:v>
                </c:pt>
                <c:pt idx="94">
                  <c:v>51.116235942945167</c:v>
                </c:pt>
                <c:pt idx="95">
                  <c:v>11.064573578544486</c:v>
                </c:pt>
                <c:pt idx="96">
                  <c:v>37.143430456994103</c:v>
                </c:pt>
                <c:pt idx="97">
                  <c:v>30.176811884070826</c:v>
                </c:pt>
                <c:pt idx="98">
                  <c:v>35.403735846973682</c:v>
                </c:pt>
                <c:pt idx="99">
                  <c:v>51.770051942427614</c:v>
                </c:pt>
                <c:pt idx="100">
                  <c:v>42.907947181272398</c:v>
                </c:pt>
                <c:pt idx="101">
                  <c:v>36.647235172564791</c:v>
                </c:pt>
                <c:pt idx="102">
                  <c:v>7.8316219947263255</c:v>
                </c:pt>
                <c:pt idx="103">
                  <c:v>39.639845153778417</c:v>
                </c:pt>
                <c:pt idx="104">
                  <c:v>43.255852186017208</c:v>
                </c:pt>
                <c:pt idx="105">
                  <c:v>44.881317239137466</c:v>
                </c:pt>
                <c:pt idx="106">
                  <c:v>52.678625726927159</c:v>
                </c:pt>
                <c:pt idx="107">
                  <c:v>38.96988180559503</c:v>
                </c:pt>
                <c:pt idx="108">
                  <c:v>9.1095182507171355</c:v>
                </c:pt>
                <c:pt idx="109">
                  <c:v>9.5042581329106959</c:v>
                </c:pt>
                <c:pt idx="110">
                  <c:v>9.1487722753359169</c:v>
                </c:pt>
                <c:pt idx="111">
                  <c:v>26.5909120280282</c:v>
                </c:pt>
                <c:pt idx="112">
                  <c:v>8.8560124202711261</c:v>
                </c:pt>
                <c:pt idx="113">
                  <c:v>30.602134117147948</c:v>
                </c:pt>
                <c:pt idx="114">
                  <c:v>46.315197341155567</c:v>
                </c:pt>
                <c:pt idx="115">
                  <c:v>53.102074745827565</c:v>
                </c:pt>
                <c:pt idx="116">
                  <c:v>38.54774605006066</c:v>
                </c:pt>
                <c:pt idx="117">
                  <c:v>23.2270534161798</c:v>
                </c:pt>
                <c:pt idx="118">
                  <c:v>42.480440007092739</c:v>
                </c:pt>
                <c:pt idx="119">
                  <c:v>44.968527077288535</c:v>
                </c:pt>
                <c:pt idx="120">
                  <c:v>47.634508202257337</c:v>
                </c:pt>
                <c:pt idx="121">
                  <c:v>28.300323213756805</c:v>
                </c:pt>
                <c:pt idx="122">
                  <c:v>39.500573250035885</c:v>
                </c:pt>
                <c:pt idx="123">
                  <c:v>21.389899686225426</c:v>
                </c:pt>
                <c:pt idx="124">
                  <c:v>43.877654467790549</c:v>
                </c:pt>
                <c:pt idx="125">
                  <c:v>38.504276354832989</c:v>
                </c:pt>
                <c:pt idx="126">
                  <c:v>52.676920756426966</c:v>
                </c:pt>
                <c:pt idx="127">
                  <c:v>48.574014559720027</c:v>
                </c:pt>
                <c:pt idx="128">
                  <c:v>55.777782107958863</c:v>
                </c:pt>
                <c:pt idx="129">
                  <c:v>52.102523330029541</c:v>
                </c:pt>
                <c:pt idx="130">
                  <c:v>56.183339680397992</c:v>
                </c:pt>
                <c:pt idx="131">
                  <c:v>41.887955202138173</c:v>
                </c:pt>
                <c:pt idx="132">
                  <c:v>43.874664429338225</c:v>
                </c:pt>
                <c:pt idx="133">
                  <c:v>49.99589674755083</c:v>
                </c:pt>
                <c:pt idx="134">
                  <c:v>52.612563679177512</c:v>
                </c:pt>
                <c:pt idx="135">
                  <c:v>51.038137287696543</c:v>
                </c:pt>
                <c:pt idx="136">
                  <c:v>54.433381588291411</c:v>
                </c:pt>
                <c:pt idx="137">
                  <c:v>52.648008844662172</c:v>
                </c:pt>
                <c:pt idx="138">
                  <c:v>55.345213802690751</c:v>
                </c:pt>
                <c:pt idx="139">
                  <c:v>49.386009503734535</c:v>
                </c:pt>
                <c:pt idx="140">
                  <c:v>49.481879905233484</c:v>
                </c:pt>
                <c:pt idx="141">
                  <c:v>37.586504569191078</c:v>
                </c:pt>
                <c:pt idx="142">
                  <c:v>19.845093643878357</c:v>
                </c:pt>
                <c:pt idx="143">
                  <c:v>16.405733162153091</c:v>
                </c:pt>
                <c:pt idx="144">
                  <c:v>41.268413973061676</c:v>
                </c:pt>
                <c:pt idx="145">
                  <c:v>25.086087890250973</c:v>
                </c:pt>
                <c:pt idx="146">
                  <c:v>46.186272340612128</c:v>
                </c:pt>
                <c:pt idx="147">
                  <c:v>55.552188097743937</c:v>
                </c:pt>
                <c:pt idx="148">
                  <c:v>60.065422052407513</c:v>
                </c:pt>
                <c:pt idx="149">
                  <c:v>50.965081544457263</c:v>
                </c:pt>
                <c:pt idx="150">
                  <c:v>55.24819468755932</c:v>
                </c:pt>
                <c:pt idx="151">
                  <c:v>56.297149704162329</c:v>
                </c:pt>
                <c:pt idx="152">
                  <c:v>44.899445890940314</c:v>
                </c:pt>
                <c:pt idx="153">
                  <c:v>54.91831953658118</c:v>
                </c:pt>
                <c:pt idx="154">
                  <c:v>26.181025845819843</c:v>
                </c:pt>
                <c:pt idx="155">
                  <c:v>36.076211421558895</c:v>
                </c:pt>
                <c:pt idx="156">
                  <c:v>47.057756206503448</c:v>
                </c:pt>
                <c:pt idx="157">
                  <c:v>28.545505255753884</c:v>
                </c:pt>
                <c:pt idx="158">
                  <c:v>21.281362131982121</c:v>
                </c:pt>
                <c:pt idx="159">
                  <c:v>46.36546404150851</c:v>
                </c:pt>
                <c:pt idx="160">
                  <c:v>57.841766795390114</c:v>
                </c:pt>
                <c:pt idx="161">
                  <c:v>55.896287302657221</c:v>
                </c:pt>
                <c:pt idx="162">
                  <c:v>43.389233676351068</c:v>
                </c:pt>
                <c:pt idx="163">
                  <c:v>54.56542441116563</c:v>
                </c:pt>
                <c:pt idx="164">
                  <c:v>48.506544645360925</c:v>
                </c:pt>
                <c:pt idx="165">
                  <c:v>54.682411868341561</c:v>
                </c:pt>
                <c:pt idx="166">
                  <c:v>52.520244497194376</c:v>
                </c:pt>
                <c:pt idx="167">
                  <c:v>52.661203108656679</c:v>
                </c:pt>
                <c:pt idx="168">
                  <c:v>55.06405906948099</c:v>
                </c:pt>
                <c:pt idx="169">
                  <c:v>56.402610878972396</c:v>
                </c:pt>
                <c:pt idx="170">
                  <c:v>31.818047740718747</c:v>
                </c:pt>
                <c:pt idx="171">
                  <c:v>22.897995089201867</c:v>
                </c:pt>
                <c:pt idx="172">
                  <c:v>44.350080850900511</c:v>
                </c:pt>
                <c:pt idx="173">
                  <c:v>41.833149731105415</c:v>
                </c:pt>
                <c:pt idx="174">
                  <c:v>39.458125998278781</c:v>
                </c:pt>
                <c:pt idx="175">
                  <c:v>34.242061231592999</c:v>
                </c:pt>
                <c:pt idx="176">
                  <c:v>12.157127263140227</c:v>
                </c:pt>
                <c:pt idx="177">
                  <c:v>14.771891807386217</c:v>
                </c:pt>
                <c:pt idx="178">
                  <c:v>58.601473514320745</c:v>
                </c:pt>
                <c:pt idx="179">
                  <c:v>56.92066540046055</c:v>
                </c:pt>
                <c:pt idx="180">
                  <c:v>14.037449695869892</c:v>
                </c:pt>
                <c:pt idx="181">
                  <c:v>50.631702190020455</c:v>
                </c:pt>
                <c:pt idx="182">
                  <c:v>55.930315479270568</c:v>
                </c:pt>
                <c:pt idx="183">
                  <c:v>46.073442916207014</c:v>
                </c:pt>
                <c:pt idx="184">
                  <c:v>44.574810199945794</c:v>
                </c:pt>
                <c:pt idx="185">
                  <c:v>55.876776035693531</c:v>
                </c:pt>
                <c:pt idx="186">
                  <c:v>47.495546631481645</c:v>
                </c:pt>
                <c:pt idx="187">
                  <c:v>55.321715966484177</c:v>
                </c:pt>
                <c:pt idx="188">
                  <c:v>57.704515519493746</c:v>
                </c:pt>
                <c:pt idx="189">
                  <c:v>57.02954810360891</c:v>
                </c:pt>
                <c:pt idx="190">
                  <c:v>56.486902628493404</c:v>
                </c:pt>
                <c:pt idx="191">
                  <c:v>55.002666055787451</c:v>
                </c:pt>
                <c:pt idx="192">
                  <c:v>54.763978835390233</c:v>
                </c:pt>
                <c:pt idx="193">
                  <c:v>54.485020923373057</c:v>
                </c:pt>
                <c:pt idx="194">
                  <c:v>53.914571824074514</c:v>
                </c:pt>
                <c:pt idx="195">
                  <c:v>52.135003691763103</c:v>
                </c:pt>
                <c:pt idx="196">
                  <c:v>53.651030552904807</c:v>
                </c:pt>
                <c:pt idx="197">
                  <c:v>53.178387525986459</c:v>
                </c:pt>
                <c:pt idx="198">
                  <c:v>54.136366390996756</c:v>
                </c:pt>
                <c:pt idx="199">
                  <c:v>44.735752943422327</c:v>
                </c:pt>
                <c:pt idx="200">
                  <c:v>44.298577878244437</c:v>
                </c:pt>
                <c:pt idx="201">
                  <c:v>52.385720964086346</c:v>
                </c:pt>
                <c:pt idx="202">
                  <c:v>42.297559316148146</c:v>
                </c:pt>
                <c:pt idx="203">
                  <c:v>48.604108592652281</c:v>
                </c:pt>
                <c:pt idx="204">
                  <c:v>52.616103096674522</c:v>
                </c:pt>
                <c:pt idx="205">
                  <c:v>26.812942030856721</c:v>
                </c:pt>
                <c:pt idx="206">
                  <c:v>56.85929700564224</c:v>
                </c:pt>
                <c:pt idx="207">
                  <c:v>56.897748400643152</c:v>
                </c:pt>
                <c:pt idx="208">
                  <c:v>44.361486917188422</c:v>
                </c:pt>
                <c:pt idx="209">
                  <c:v>31.684227827586493</c:v>
                </c:pt>
                <c:pt idx="210">
                  <c:v>49.003578395389553</c:v>
                </c:pt>
                <c:pt idx="211">
                  <c:v>54.409842412859199</c:v>
                </c:pt>
                <c:pt idx="212">
                  <c:v>54.040772329206227</c:v>
                </c:pt>
                <c:pt idx="213">
                  <c:v>54.029368571830759</c:v>
                </c:pt>
                <c:pt idx="214">
                  <c:v>51.021444759712878</c:v>
                </c:pt>
                <c:pt idx="215">
                  <c:v>50.264984595301961</c:v>
                </c:pt>
                <c:pt idx="216">
                  <c:v>45.647068679684828</c:v>
                </c:pt>
                <c:pt idx="217">
                  <c:v>50.123282270892446</c:v>
                </c:pt>
                <c:pt idx="218">
                  <c:v>52.745014562492294</c:v>
                </c:pt>
                <c:pt idx="219">
                  <c:v>53.189108139361842</c:v>
                </c:pt>
                <c:pt idx="220">
                  <c:v>51.192809441580188</c:v>
                </c:pt>
                <c:pt idx="221">
                  <c:v>48.375686448416673</c:v>
                </c:pt>
                <c:pt idx="222">
                  <c:v>46.778282425733344</c:v>
                </c:pt>
                <c:pt idx="223">
                  <c:v>47.708557562521278</c:v>
                </c:pt>
                <c:pt idx="224">
                  <c:v>35.904505994865552</c:v>
                </c:pt>
                <c:pt idx="225">
                  <c:v>34.080765410050581</c:v>
                </c:pt>
                <c:pt idx="226">
                  <c:v>38.606966884341638</c:v>
                </c:pt>
                <c:pt idx="227">
                  <c:v>35.708281694897352</c:v>
                </c:pt>
                <c:pt idx="228">
                  <c:v>28.648809903685699</c:v>
                </c:pt>
                <c:pt idx="229">
                  <c:v>36.348142187765013</c:v>
                </c:pt>
                <c:pt idx="230">
                  <c:v>41.40376320110343</c:v>
                </c:pt>
                <c:pt idx="231">
                  <c:v>49.721723922791767</c:v>
                </c:pt>
                <c:pt idx="232">
                  <c:v>33.586823177886174</c:v>
                </c:pt>
                <c:pt idx="233">
                  <c:v>26.767922694818651</c:v>
                </c:pt>
                <c:pt idx="234">
                  <c:v>48.544756663681312</c:v>
                </c:pt>
                <c:pt idx="235">
                  <c:v>46.279926981697599</c:v>
                </c:pt>
                <c:pt idx="236">
                  <c:v>32.447206146787828</c:v>
                </c:pt>
                <c:pt idx="237">
                  <c:v>43.089887574574078</c:v>
                </c:pt>
                <c:pt idx="238">
                  <c:v>49.003061544817044</c:v>
                </c:pt>
                <c:pt idx="239">
                  <c:v>47.936926387219927</c:v>
                </c:pt>
                <c:pt idx="240">
                  <c:v>32.80168760071885</c:v>
                </c:pt>
                <c:pt idx="241">
                  <c:v>47.619990344892216</c:v>
                </c:pt>
                <c:pt idx="242">
                  <c:v>24.596966841137544</c:v>
                </c:pt>
                <c:pt idx="243">
                  <c:v>40.263139151553375</c:v>
                </c:pt>
                <c:pt idx="244">
                  <c:v>38.750070975815618</c:v>
                </c:pt>
                <c:pt idx="245">
                  <c:v>37.832530159413309</c:v>
                </c:pt>
                <c:pt idx="246">
                  <c:v>45.724405507201574</c:v>
                </c:pt>
                <c:pt idx="247">
                  <c:v>39.966783678820555</c:v>
                </c:pt>
                <c:pt idx="248">
                  <c:v>45.228205414806254</c:v>
                </c:pt>
                <c:pt idx="249">
                  <c:v>36.004615877828208</c:v>
                </c:pt>
                <c:pt idx="250">
                  <c:v>34.992125443924806</c:v>
                </c:pt>
                <c:pt idx="251">
                  <c:v>23.435979686424883</c:v>
                </c:pt>
                <c:pt idx="252">
                  <c:v>46.358253007247313</c:v>
                </c:pt>
                <c:pt idx="253">
                  <c:v>45.787971771525854</c:v>
                </c:pt>
                <c:pt idx="254">
                  <c:v>33.235216925529706</c:v>
                </c:pt>
                <c:pt idx="255">
                  <c:v>14.107868210866727</c:v>
                </c:pt>
                <c:pt idx="256">
                  <c:v>35.377387796976166</c:v>
                </c:pt>
                <c:pt idx="257">
                  <c:v>40.5174269929472</c:v>
                </c:pt>
                <c:pt idx="258">
                  <c:v>32.37318877697637</c:v>
                </c:pt>
                <c:pt idx="259">
                  <c:v>45.238395832451687</c:v>
                </c:pt>
                <c:pt idx="260">
                  <c:v>45.231644240520374</c:v>
                </c:pt>
                <c:pt idx="261">
                  <c:v>44.618268987887348</c:v>
                </c:pt>
                <c:pt idx="262">
                  <c:v>46.317358948487509</c:v>
                </c:pt>
                <c:pt idx="263">
                  <c:v>45.125650855951164</c:v>
                </c:pt>
                <c:pt idx="264">
                  <c:v>43.667287605829024</c:v>
                </c:pt>
                <c:pt idx="265">
                  <c:v>27.715960332337662</c:v>
                </c:pt>
                <c:pt idx="266">
                  <c:v>16.789380682002594</c:v>
                </c:pt>
                <c:pt idx="267">
                  <c:v>35.35753304940976</c:v>
                </c:pt>
                <c:pt idx="268">
                  <c:v>32.373962760183353</c:v>
                </c:pt>
                <c:pt idx="269">
                  <c:v>17.167066279124157</c:v>
                </c:pt>
                <c:pt idx="270">
                  <c:v>19.457989333384766</c:v>
                </c:pt>
                <c:pt idx="271">
                  <c:v>23.379731512838383</c:v>
                </c:pt>
                <c:pt idx="272">
                  <c:v>27.744821376211718</c:v>
                </c:pt>
                <c:pt idx="273">
                  <c:v>36.253256323673142</c:v>
                </c:pt>
                <c:pt idx="274">
                  <c:v>38.658027047431183</c:v>
                </c:pt>
                <c:pt idx="275">
                  <c:v>37.319677696571638</c:v>
                </c:pt>
                <c:pt idx="276">
                  <c:v>41.110959125075375</c:v>
                </c:pt>
                <c:pt idx="277">
                  <c:v>41.915003862758851</c:v>
                </c:pt>
                <c:pt idx="278">
                  <c:v>11.578985421866717</c:v>
                </c:pt>
                <c:pt idx="279">
                  <c:v>29.085969201603984</c:v>
                </c:pt>
                <c:pt idx="280">
                  <c:v>16.786629340881063</c:v>
                </c:pt>
                <c:pt idx="281">
                  <c:v>38.329521414772209</c:v>
                </c:pt>
                <c:pt idx="282">
                  <c:v>30.772630412064881</c:v>
                </c:pt>
                <c:pt idx="283">
                  <c:v>22.383340543300093</c:v>
                </c:pt>
                <c:pt idx="284">
                  <c:v>27.782645462653566</c:v>
                </c:pt>
                <c:pt idx="285">
                  <c:v>23.262832621380507</c:v>
                </c:pt>
                <c:pt idx="286">
                  <c:v>18.083457234798196</c:v>
                </c:pt>
                <c:pt idx="287">
                  <c:v>37.159446329483011</c:v>
                </c:pt>
                <c:pt idx="288">
                  <c:v>32.79882605405259</c:v>
                </c:pt>
                <c:pt idx="289">
                  <c:v>19.472068069001757</c:v>
                </c:pt>
                <c:pt idx="290">
                  <c:v>34.349080289731873</c:v>
                </c:pt>
                <c:pt idx="291">
                  <c:v>15.966223365721936</c:v>
                </c:pt>
                <c:pt idx="292">
                  <c:v>6.7235881596765852</c:v>
                </c:pt>
                <c:pt idx="293">
                  <c:v>16.363631113369088</c:v>
                </c:pt>
                <c:pt idx="294">
                  <c:v>33.061320444288597</c:v>
                </c:pt>
                <c:pt idx="295">
                  <c:v>16.992377377226539</c:v>
                </c:pt>
                <c:pt idx="296">
                  <c:v>25.141790930925204</c:v>
                </c:pt>
                <c:pt idx="297">
                  <c:v>22.229949590910678</c:v>
                </c:pt>
                <c:pt idx="298">
                  <c:v>12.392546420628461</c:v>
                </c:pt>
                <c:pt idx="299">
                  <c:v>14.336910691668832</c:v>
                </c:pt>
                <c:pt idx="300">
                  <c:v>17.247169459753394</c:v>
                </c:pt>
                <c:pt idx="301">
                  <c:v>26.786824934242059</c:v>
                </c:pt>
                <c:pt idx="302">
                  <c:v>23.030643893451483</c:v>
                </c:pt>
                <c:pt idx="303">
                  <c:v>21.905965598107464</c:v>
                </c:pt>
                <c:pt idx="304">
                  <c:v>19.419774448220398</c:v>
                </c:pt>
                <c:pt idx="305">
                  <c:v>28.810712634774898</c:v>
                </c:pt>
                <c:pt idx="306">
                  <c:v>10.113701429095784</c:v>
                </c:pt>
                <c:pt idx="307">
                  <c:v>17.467357043729312</c:v>
                </c:pt>
                <c:pt idx="308">
                  <c:v>29.75522001431586</c:v>
                </c:pt>
                <c:pt idx="309">
                  <c:v>29.713853749960339</c:v>
                </c:pt>
                <c:pt idx="310">
                  <c:v>27.872872348423464</c:v>
                </c:pt>
                <c:pt idx="311">
                  <c:v>20.100756886709195</c:v>
                </c:pt>
                <c:pt idx="312">
                  <c:v>9.9013414296827129</c:v>
                </c:pt>
                <c:pt idx="313">
                  <c:v>19.992470036091127</c:v>
                </c:pt>
                <c:pt idx="314">
                  <c:v>27.348923601257937</c:v>
                </c:pt>
                <c:pt idx="315">
                  <c:v>26.932903975475156</c:v>
                </c:pt>
                <c:pt idx="316">
                  <c:v>25.903117537304976</c:v>
                </c:pt>
                <c:pt idx="317">
                  <c:v>9.5916037540755763</c:v>
                </c:pt>
                <c:pt idx="318">
                  <c:v>12.308235427122682</c:v>
                </c:pt>
                <c:pt idx="319">
                  <c:v>26.500701781680224</c:v>
                </c:pt>
                <c:pt idx="320">
                  <c:v>13.567142809543572</c:v>
                </c:pt>
                <c:pt idx="321">
                  <c:v>15.530848656907992</c:v>
                </c:pt>
                <c:pt idx="322">
                  <c:v>7.0979294118445813</c:v>
                </c:pt>
                <c:pt idx="323">
                  <c:v>15.619721760819704</c:v>
                </c:pt>
                <c:pt idx="324">
                  <c:v>3.1374426725064781</c:v>
                </c:pt>
                <c:pt idx="325">
                  <c:v>7.7620772690836599</c:v>
                </c:pt>
                <c:pt idx="326">
                  <c:v>13.018022831073594</c:v>
                </c:pt>
                <c:pt idx="327">
                  <c:v>13.661896461575132</c:v>
                </c:pt>
                <c:pt idx="328">
                  <c:v>4.7343329591539414</c:v>
                </c:pt>
                <c:pt idx="329">
                  <c:v>10.879157603300463</c:v>
                </c:pt>
                <c:pt idx="330">
                  <c:v>14.321651684884451</c:v>
                </c:pt>
                <c:pt idx="331">
                  <c:v>10.390507730043405</c:v>
                </c:pt>
                <c:pt idx="332">
                  <c:v>15.13304499580582</c:v>
                </c:pt>
                <c:pt idx="333">
                  <c:v>3.9545952876884138</c:v>
                </c:pt>
                <c:pt idx="334">
                  <c:v>3.7433000226113617</c:v>
                </c:pt>
                <c:pt idx="335">
                  <c:v>5.6237204918860817</c:v>
                </c:pt>
                <c:pt idx="336">
                  <c:v>9.4249690982498997</c:v>
                </c:pt>
                <c:pt idx="337">
                  <c:v>17.284144050557551</c:v>
                </c:pt>
                <c:pt idx="338">
                  <c:v>22.913392493582073</c:v>
                </c:pt>
                <c:pt idx="339">
                  <c:v>11.263761659211697</c:v>
                </c:pt>
                <c:pt idx="340">
                  <c:v>20.296616266517624</c:v>
                </c:pt>
                <c:pt idx="341">
                  <c:v>4.0762900845329808</c:v>
                </c:pt>
                <c:pt idx="342">
                  <c:v>4.9748192628537282</c:v>
                </c:pt>
                <c:pt idx="343">
                  <c:v>12.042679268778121</c:v>
                </c:pt>
                <c:pt idx="344">
                  <c:v>17.230971839150033</c:v>
                </c:pt>
                <c:pt idx="345">
                  <c:v>5.2660788972076622</c:v>
                </c:pt>
                <c:pt idx="346">
                  <c:v>5.3314363719474294</c:v>
                </c:pt>
                <c:pt idx="347">
                  <c:v>17.02351791779035</c:v>
                </c:pt>
                <c:pt idx="348">
                  <c:v>5.817686572230623</c:v>
                </c:pt>
                <c:pt idx="349">
                  <c:v>5.1382729880492182</c:v>
                </c:pt>
                <c:pt idx="350">
                  <c:v>3.4834805888659326</c:v>
                </c:pt>
                <c:pt idx="351">
                  <c:v>20.77873859099827</c:v>
                </c:pt>
                <c:pt idx="352">
                  <c:v>17.681495082505151</c:v>
                </c:pt>
                <c:pt idx="353">
                  <c:v>4.5068384194240005</c:v>
                </c:pt>
                <c:pt idx="354">
                  <c:v>20.634306464367047</c:v>
                </c:pt>
                <c:pt idx="355">
                  <c:v>17.445820817661648</c:v>
                </c:pt>
                <c:pt idx="356">
                  <c:v>17.680206798140201</c:v>
                </c:pt>
                <c:pt idx="357">
                  <c:v>21.012621201708981</c:v>
                </c:pt>
                <c:pt idx="358">
                  <c:v>11.871249751883701</c:v>
                </c:pt>
                <c:pt idx="359">
                  <c:v>20.523298472404111</c:v>
                </c:pt>
                <c:pt idx="360">
                  <c:v>6.9541198289898984</c:v>
                </c:pt>
                <c:pt idx="361">
                  <c:v>21.588617779989082</c:v>
                </c:pt>
                <c:pt idx="362">
                  <c:v>10.253690174995361</c:v>
                </c:pt>
                <c:pt idx="363">
                  <c:v>13.892416765878554</c:v>
                </c:pt>
                <c:pt idx="364">
                  <c:v>11.493892164461455</c:v>
                </c:pt>
                <c:pt idx="365">
                  <c:v>15.451236593814818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22.69864874110592</c:v>
                </c:pt>
                <c:pt idx="1">
                  <c:v>15.654200776003277</c:v>
                </c:pt>
                <c:pt idx="2">
                  <c:v>16.902189671945244</c:v>
                </c:pt>
                <c:pt idx="3">
                  <c:v>17.960081046125087</c:v>
                </c:pt>
                <c:pt idx="4">
                  <c:v>14.20232826968798</c:v>
                </c:pt>
                <c:pt idx="5">
                  <c:v>20.379630560814434</c:v>
                </c:pt>
                <c:pt idx="6">
                  <c:v>9.9931692620554706</c:v>
                </c:pt>
                <c:pt idx="7">
                  <c:v>7.1117014625036958</c:v>
                </c:pt>
                <c:pt idx="8">
                  <c:v>2.1230823361046012</c:v>
                </c:pt>
                <c:pt idx="9">
                  <c:v>1.7410003113092969</c:v>
                </c:pt>
                <c:pt idx="10">
                  <c:v>24.404406255450255</c:v>
                </c:pt>
                <c:pt idx="11">
                  <c:v>21.213264108616734</c:v>
                </c:pt>
                <c:pt idx="12">
                  <c:v>5.4376496547852433</c:v>
                </c:pt>
                <c:pt idx="13">
                  <c:v>25.8035690557879</c:v>
                </c:pt>
                <c:pt idx="14">
                  <c:v>26.105500045719531</c:v>
                </c:pt>
                <c:pt idx="15">
                  <c:v>25.539475113671635</c:v>
                </c:pt>
                <c:pt idx="16">
                  <c:v>11.792910813922726</c:v>
                </c:pt>
                <c:pt idx="17">
                  <c:v>3.7462355281801445</c:v>
                </c:pt>
                <c:pt idx="18">
                  <c:v>10.221292183643722</c:v>
                </c:pt>
                <c:pt idx="19">
                  <c:v>6.4008424143315956</c:v>
                </c:pt>
                <c:pt idx="20">
                  <c:v>20.407212443139912</c:v>
                </c:pt>
                <c:pt idx="21">
                  <c:v>27.239837108319016</c:v>
                </c:pt>
                <c:pt idx="22">
                  <c:v>27.359810964349506</c:v>
                </c:pt>
                <c:pt idx="23">
                  <c:v>27.88956995610706</c:v>
                </c:pt>
                <c:pt idx="24">
                  <c:v>26.96725798285382</c:v>
                </c:pt>
                <c:pt idx="25">
                  <c:v>27.622663530303175</c:v>
                </c:pt>
                <c:pt idx="26">
                  <c:v>26.39442735414211</c:v>
                </c:pt>
                <c:pt idx="27">
                  <c:v>4.1710984972401457</c:v>
                </c:pt>
                <c:pt idx="28">
                  <c:v>8.8034761097085017</c:v>
                </c:pt>
                <c:pt idx="29">
                  <c:v>4.5462626018245507</c:v>
                </c:pt>
                <c:pt idx="30">
                  <c:v>7.5385251059175289</c:v>
                </c:pt>
                <c:pt idx="31">
                  <c:v>12.509488370963671</c:v>
                </c:pt>
                <c:pt idx="32">
                  <c:v>5.2807758476100455</c:v>
                </c:pt>
                <c:pt idx="33">
                  <c:v>10.363643548568408</c:v>
                </c:pt>
                <c:pt idx="34">
                  <c:v>10.207315163932268</c:v>
                </c:pt>
                <c:pt idx="35">
                  <c:v>8.9690808372327595</c:v>
                </c:pt>
                <c:pt idx="36">
                  <c:v>20.895029152372921</c:v>
                </c:pt>
                <c:pt idx="37">
                  <c:v>8.8058972986669737</c:v>
                </c:pt>
                <c:pt idx="38">
                  <c:v>32.657120352313576</c:v>
                </c:pt>
                <c:pt idx="39">
                  <c:v>32.93555020895964</c:v>
                </c:pt>
                <c:pt idx="40">
                  <c:v>30.713510048633808</c:v>
                </c:pt>
                <c:pt idx="41">
                  <c:v>17.013490946671489</c:v>
                </c:pt>
                <c:pt idx="42">
                  <c:v>26.070352338193207</c:v>
                </c:pt>
                <c:pt idx="43">
                  <c:v>31.895269878662067</c:v>
                </c:pt>
                <c:pt idx="44">
                  <c:v>14.973669267436465</c:v>
                </c:pt>
                <c:pt idx="45">
                  <c:v>18.059409146835939</c:v>
                </c:pt>
                <c:pt idx="46">
                  <c:v>8.8827581107575728</c:v>
                </c:pt>
                <c:pt idx="47">
                  <c:v>11.066639665085006</c:v>
                </c:pt>
                <c:pt idx="48">
                  <c:v>28.569096009335237</c:v>
                </c:pt>
                <c:pt idx="49">
                  <c:v>19.384395529592791</c:v>
                </c:pt>
                <c:pt idx="50">
                  <c:v>19.266676741571263</c:v>
                </c:pt>
                <c:pt idx="51">
                  <c:v>21.330840502330265</c:v>
                </c:pt>
                <c:pt idx="52">
                  <c:v>32.595831421212203</c:v>
                </c:pt>
                <c:pt idx="53">
                  <c:v>34.251226641023429</c:v>
                </c:pt>
                <c:pt idx="54">
                  <c:v>21.320251997649805</c:v>
                </c:pt>
                <c:pt idx="55">
                  <c:v>30.530213446948149</c:v>
                </c:pt>
                <c:pt idx="56">
                  <c:v>38.692818770902427</c:v>
                </c:pt>
                <c:pt idx="57">
                  <c:v>27.657586477587177</c:v>
                </c:pt>
                <c:pt idx="58">
                  <c:v>33.388910811141024</c:v>
                </c:pt>
                <c:pt idx="59">
                  <c:v>38.738194707686191</c:v>
                </c:pt>
                <c:pt idx="60">
                  <c:v>11.287222529988291</c:v>
                </c:pt>
                <c:pt idx="61">
                  <c:v>34.63319711975312</c:v>
                </c:pt>
                <c:pt idx="62">
                  <c:v>3.721554401290057</c:v>
                </c:pt>
                <c:pt idx="63">
                  <c:v>12.814196469399958</c:v>
                </c:pt>
                <c:pt idx="64">
                  <c:v>15.448880972323423</c:v>
                </c:pt>
                <c:pt idx="65">
                  <c:v>38.055339716798905</c:v>
                </c:pt>
                <c:pt idx="66">
                  <c:v>31.014338776153313</c:v>
                </c:pt>
                <c:pt idx="67">
                  <c:v>30.237515120355649</c:v>
                </c:pt>
                <c:pt idx="68">
                  <c:v>24.070538064202175</c:v>
                </c:pt>
                <c:pt idx="69">
                  <c:v>14.928085312416133</c:v>
                </c:pt>
                <c:pt idx="70">
                  <c:v>15.53724305253205</c:v>
                </c:pt>
                <c:pt idx="71">
                  <c:v>8.7123590125959769</c:v>
                </c:pt>
                <c:pt idx="72">
                  <c:v>14.037628982799047</c:v>
                </c:pt>
                <c:pt idx="73">
                  <c:v>13.361563891659571</c:v>
                </c:pt>
                <c:pt idx="74">
                  <c:v>13.335054884696625</c:v>
                </c:pt>
                <c:pt idx="75">
                  <c:v>11.199383318680651</c:v>
                </c:pt>
                <c:pt idx="76">
                  <c:v>14.478258887594068</c:v>
                </c:pt>
                <c:pt idx="77">
                  <c:v>27.661794369063401</c:v>
                </c:pt>
                <c:pt idx="78">
                  <c:v>30.715328934026147</c:v>
                </c:pt>
                <c:pt idx="79">
                  <c:v>43.479810051663648</c:v>
                </c:pt>
                <c:pt idx="80">
                  <c:v>41.280188350431416</c:v>
                </c:pt>
                <c:pt idx="81">
                  <c:v>47.052667794194775</c:v>
                </c:pt>
                <c:pt idx="82">
                  <c:v>46.280156176839263</c:v>
                </c:pt>
                <c:pt idx="83">
                  <c:v>41.185642161561439</c:v>
                </c:pt>
                <c:pt idx="84">
                  <c:v>45.591776268206367</c:v>
                </c:pt>
                <c:pt idx="85">
                  <c:v>44.078407255733524</c:v>
                </c:pt>
                <c:pt idx="86">
                  <c:v>14.193942716672316</c:v>
                </c:pt>
                <c:pt idx="87">
                  <c:v>27.242555653781217</c:v>
                </c:pt>
                <c:pt idx="88">
                  <c:v>7.6385873548829935</c:v>
                </c:pt>
                <c:pt idx="89">
                  <c:v>27.20814290409216</c:v>
                </c:pt>
                <c:pt idx="90">
                  <c:v>31.861287805815476</c:v>
                </c:pt>
                <c:pt idx="91">
                  <c:v>19.890256977802856</c:v>
                </c:pt>
                <c:pt idx="92">
                  <c:v>22.128452045109011</c:v>
                </c:pt>
                <c:pt idx="93">
                  <c:v>44.545281762497098</c:v>
                </c:pt>
                <c:pt idx="94">
                  <c:v>51.116235942945167</c:v>
                </c:pt>
                <c:pt idx="95">
                  <c:v>11.064573578544486</c:v>
                </c:pt>
                <c:pt idx="96">
                  <c:v>37.143430456994103</c:v>
                </c:pt>
                <c:pt idx="97">
                  <c:v>30.176811884070826</c:v>
                </c:pt>
                <c:pt idx="98">
                  <c:v>35.403735846973682</c:v>
                </c:pt>
                <c:pt idx="99">
                  <c:v>51.770051942427614</c:v>
                </c:pt>
                <c:pt idx="100">
                  <c:v>42.907947181272398</c:v>
                </c:pt>
                <c:pt idx="101">
                  <c:v>36.647235172564791</c:v>
                </c:pt>
                <c:pt idx="102">
                  <c:v>7.8316219947263255</c:v>
                </c:pt>
                <c:pt idx="103">
                  <c:v>39.639845153778417</c:v>
                </c:pt>
                <c:pt idx="104">
                  <c:v>43.255852186017208</c:v>
                </c:pt>
                <c:pt idx="105">
                  <c:v>44.881317239137466</c:v>
                </c:pt>
                <c:pt idx="106">
                  <c:v>52.678625726927159</c:v>
                </c:pt>
                <c:pt idx="107">
                  <c:v>38.96988180559503</c:v>
                </c:pt>
                <c:pt idx="108">
                  <c:v>9.1095182507171355</c:v>
                </c:pt>
                <c:pt idx="109">
                  <c:v>9.5042581329106959</c:v>
                </c:pt>
                <c:pt idx="110">
                  <c:v>9.1487722753359169</c:v>
                </c:pt>
                <c:pt idx="111">
                  <c:v>26.5909120280282</c:v>
                </c:pt>
                <c:pt idx="112">
                  <c:v>8.8560124202711261</c:v>
                </c:pt>
                <c:pt idx="113">
                  <c:v>30.602134117147948</c:v>
                </c:pt>
                <c:pt idx="114">
                  <c:v>46.315197341155567</c:v>
                </c:pt>
                <c:pt idx="115">
                  <c:v>53.102074745827565</c:v>
                </c:pt>
                <c:pt idx="116">
                  <c:v>38.54774605006066</c:v>
                </c:pt>
                <c:pt idx="117">
                  <c:v>23.2270534161798</c:v>
                </c:pt>
                <c:pt idx="118">
                  <c:v>42.480440007092739</c:v>
                </c:pt>
                <c:pt idx="119">
                  <c:v>44.968527077288535</c:v>
                </c:pt>
                <c:pt idx="120">
                  <c:v>47.634508202257337</c:v>
                </c:pt>
                <c:pt idx="121">
                  <c:v>28.300323213756805</c:v>
                </c:pt>
                <c:pt idx="122">
                  <c:v>39.500573250035885</c:v>
                </c:pt>
                <c:pt idx="123">
                  <c:v>21.389899686225426</c:v>
                </c:pt>
                <c:pt idx="124">
                  <c:v>43.877654467790549</c:v>
                </c:pt>
                <c:pt idx="125">
                  <c:v>38.504276354832989</c:v>
                </c:pt>
                <c:pt idx="126">
                  <c:v>52.676920756426966</c:v>
                </c:pt>
                <c:pt idx="127">
                  <c:v>48.574014559720027</c:v>
                </c:pt>
                <c:pt idx="128">
                  <c:v>55.777782107958863</c:v>
                </c:pt>
                <c:pt idx="129">
                  <c:v>52.102523330029541</c:v>
                </c:pt>
                <c:pt idx="130">
                  <c:v>56.183339680397992</c:v>
                </c:pt>
                <c:pt idx="131">
                  <c:v>41.887955202138173</c:v>
                </c:pt>
                <c:pt idx="132">
                  <c:v>43.874664429338225</c:v>
                </c:pt>
                <c:pt idx="133">
                  <c:v>49.99589674755083</c:v>
                </c:pt>
                <c:pt idx="134">
                  <c:v>52.612563679177512</c:v>
                </c:pt>
                <c:pt idx="135">
                  <c:v>51.038137287696543</c:v>
                </c:pt>
                <c:pt idx="136">
                  <c:v>54.433381588291411</c:v>
                </c:pt>
                <c:pt idx="137">
                  <c:v>52.648008844662172</c:v>
                </c:pt>
                <c:pt idx="138">
                  <c:v>55.345213802690751</c:v>
                </c:pt>
                <c:pt idx="139">
                  <c:v>49.386009503734535</c:v>
                </c:pt>
                <c:pt idx="140">
                  <c:v>49.481879905233484</c:v>
                </c:pt>
                <c:pt idx="141">
                  <c:v>37.586504569191078</c:v>
                </c:pt>
                <c:pt idx="142">
                  <c:v>19.845093643878357</c:v>
                </c:pt>
                <c:pt idx="143">
                  <c:v>16.405733162153091</c:v>
                </c:pt>
                <c:pt idx="144">
                  <c:v>41.268413973061676</c:v>
                </c:pt>
                <c:pt idx="145">
                  <c:v>25.086087890250973</c:v>
                </c:pt>
                <c:pt idx="146">
                  <c:v>46.186272340612128</c:v>
                </c:pt>
                <c:pt idx="147">
                  <c:v>55.552188097743937</c:v>
                </c:pt>
                <c:pt idx="148">
                  <c:v>60.065422052407513</c:v>
                </c:pt>
                <c:pt idx="149">
                  <c:v>50.965081544457263</c:v>
                </c:pt>
                <c:pt idx="150">
                  <c:v>55.24819468755932</c:v>
                </c:pt>
                <c:pt idx="151">
                  <c:v>56.297149704162329</c:v>
                </c:pt>
                <c:pt idx="152">
                  <c:v>44.899445890940314</c:v>
                </c:pt>
                <c:pt idx="153">
                  <c:v>54.91831953658118</c:v>
                </c:pt>
                <c:pt idx="154">
                  <c:v>26.181025845819843</c:v>
                </c:pt>
                <c:pt idx="155">
                  <c:v>36.076211421558895</c:v>
                </c:pt>
                <c:pt idx="156">
                  <c:v>47.057756206503448</c:v>
                </c:pt>
                <c:pt idx="157">
                  <c:v>28.545505255753884</c:v>
                </c:pt>
                <c:pt idx="158">
                  <c:v>21.281362131982121</c:v>
                </c:pt>
                <c:pt idx="159">
                  <c:v>46.36546404150851</c:v>
                </c:pt>
                <c:pt idx="160">
                  <c:v>57.841766795390114</c:v>
                </c:pt>
                <c:pt idx="161">
                  <c:v>55.896287302657221</c:v>
                </c:pt>
                <c:pt idx="162">
                  <c:v>43.389233676351068</c:v>
                </c:pt>
                <c:pt idx="163">
                  <c:v>54.56542441116563</c:v>
                </c:pt>
                <c:pt idx="164">
                  <c:v>48.506544645360925</c:v>
                </c:pt>
                <c:pt idx="165">
                  <c:v>54.682411868341561</c:v>
                </c:pt>
                <c:pt idx="166">
                  <c:v>52.520244497194376</c:v>
                </c:pt>
                <c:pt idx="167">
                  <c:v>52.661203108656679</c:v>
                </c:pt>
                <c:pt idx="168">
                  <c:v>55.06405906948099</c:v>
                </c:pt>
                <c:pt idx="169">
                  <c:v>56.402610878972396</c:v>
                </c:pt>
                <c:pt idx="170">
                  <c:v>31.818047740718747</c:v>
                </c:pt>
                <c:pt idx="171">
                  <c:v>22.897995089201867</c:v>
                </c:pt>
                <c:pt idx="172">
                  <c:v>44.350080850900511</c:v>
                </c:pt>
                <c:pt idx="173">
                  <c:v>41.833149731105415</c:v>
                </c:pt>
                <c:pt idx="174">
                  <c:v>39.458125998278781</c:v>
                </c:pt>
                <c:pt idx="175">
                  <c:v>34.242061231592999</c:v>
                </c:pt>
                <c:pt idx="176">
                  <c:v>12.157127263140227</c:v>
                </c:pt>
                <c:pt idx="177">
                  <c:v>14.771891807386217</c:v>
                </c:pt>
                <c:pt idx="178">
                  <c:v>58.601473514320745</c:v>
                </c:pt>
                <c:pt idx="179">
                  <c:v>56.92066540046055</c:v>
                </c:pt>
                <c:pt idx="180">
                  <c:v>14.037449695869892</c:v>
                </c:pt>
                <c:pt idx="181">
                  <c:v>50.631702190020455</c:v>
                </c:pt>
                <c:pt idx="182">
                  <c:v>55.930315479270568</c:v>
                </c:pt>
                <c:pt idx="183">
                  <c:v>46.073442916207014</c:v>
                </c:pt>
                <c:pt idx="184">
                  <c:v>44.574810199945794</c:v>
                </c:pt>
                <c:pt idx="185">
                  <c:v>55.876776035693531</c:v>
                </c:pt>
                <c:pt idx="186">
                  <c:v>47.495546631481645</c:v>
                </c:pt>
                <c:pt idx="187">
                  <c:v>55.321715966484177</c:v>
                </c:pt>
                <c:pt idx="188">
                  <c:v>57.704515519493746</c:v>
                </c:pt>
                <c:pt idx="189">
                  <c:v>57.02954810360891</c:v>
                </c:pt>
                <c:pt idx="190">
                  <c:v>56.486902628493404</c:v>
                </c:pt>
                <c:pt idx="191">
                  <c:v>55.002666055787451</c:v>
                </c:pt>
                <c:pt idx="192">
                  <c:v>54.763978835390233</c:v>
                </c:pt>
                <c:pt idx="193">
                  <c:v>54.485020923373057</c:v>
                </c:pt>
                <c:pt idx="194">
                  <c:v>53.914571824074514</c:v>
                </c:pt>
                <c:pt idx="195">
                  <c:v>52.135003691763103</c:v>
                </c:pt>
                <c:pt idx="196">
                  <c:v>53.651030552904807</c:v>
                </c:pt>
                <c:pt idx="197">
                  <c:v>53.178387525986459</c:v>
                </c:pt>
                <c:pt idx="198">
                  <c:v>54.136366390996756</c:v>
                </c:pt>
                <c:pt idx="199">
                  <c:v>44.735752943422327</c:v>
                </c:pt>
                <c:pt idx="200">
                  <c:v>44.298577878244437</c:v>
                </c:pt>
                <c:pt idx="201">
                  <c:v>52.385720964086346</c:v>
                </c:pt>
                <c:pt idx="202">
                  <c:v>42.297559316148146</c:v>
                </c:pt>
                <c:pt idx="203">
                  <c:v>48.604108592652281</c:v>
                </c:pt>
                <c:pt idx="204">
                  <c:v>52.616103096674522</c:v>
                </c:pt>
                <c:pt idx="205">
                  <c:v>26.812942030856721</c:v>
                </c:pt>
                <c:pt idx="206">
                  <c:v>56.85929700564224</c:v>
                </c:pt>
                <c:pt idx="207">
                  <c:v>56.897748400643152</c:v>
                </c:pt>
                <c:pt idx="208">
                  <c:v>44.361486917188422</c:v>
                </c:pt>
                <c:pt idx="209">
                  <c:v>31.684227827586493</c:v>
                </c:pt>
                <c:pt idx="210">
                  <c:v>49.003578395389553</c:v>
                </c:pt>
                <c:pt idx="211">
                  <c:v>54.409842412859199</c:v>
                </c:pt>
                <c:pt idx="212">
                  <c:v>54.040772329206227</c:v>
                </c:pt>
                <c:pt idx="213">
                  <c:v>54.029368571830759</c:v>
                </c:pt>
                <c:pt idx="214">
                  <c:v>51.021444759712878</c:v>
                </c:pt>
                <c:pt idx="215">
                  <c:v>50.264984595301961</c:v>
                </c:pt>
                <c:pt idx="216">
                  <c:v>45.647068679684828</c:v>
                </c:pt>
                <c:pt idx="217">
                  <c:v>50.123282270892446</c:v>
                </c:pt>
                <c:pt idx="218">
                  <c:v>52.745014562492294</c:v>
                </c:pt>
                <c:pt idx="219">
                  <c:v>53.189108139361842</c:v>
                </c:pt>
                <c:pt idx="220">
                  <c:v>51.192809441580188</c:v>
                </c:pt>
                <c:pt idx="221">
                  <c:v>48.375686448416673</c:v>
                </c:pt>
                <c:pt idx="222">
                  <c:v>46.778282425733344</c:v>
                </c:pt>
                <c:pt idx="223">
                  <c:v>47.708557562521278</c:v>
                </c:pt>
                <c:pt idx="224">
                  <c:v>35.904505994865552</c:v>
                </c:pt>
                <c:pt idx="225">
                  <c:v>34.080765410050581</c:v>
                </c:pt>
                <c:pt idx="226">
                  <c:v>38.606966884341638</c:v>
                </c:pt>
                <c:pt idx="227">
                  <c:v>35.708281694897352</c:v>
                </c:pt>
                <c:pt idx="228">
                  <c:v>28.648809903685699</c:v>
                </c:pt>
                <c:pt idx="229">
                  <c:v>36.348142187765013</c:v>
                </c:pt>
                <c:pt idx="230">
                  <c:v>41.40376320110343</c:v>
                </c:pt>
                <c:pt idx="231">
                  <c:v>49.721723922791767</c:v>
                </c:pt>
                <c:pt idx="232">
                  <c:v>33.586823177886174</c:v>
                </c:pt>
                <c:pt idx="233">
                  <c:v>26.767922694818651</c:v>
                </c:pt>
                <c:pt idx="234">
                  <c:v>48.544756663681312</c:v>
                </c:pt>
                <c:pt idx="235">
                  <c:v>46.279926981697599</c:v>
                </c:pt>
                <c:pt idx="236">
                  <c:v>32.447206146787828</c:v>
                </c:pt>
                <c:pt idx="237">
                  <c:v>43.089887574574078</c:v>
                </c:pt>
                <c:pt idx="238">
                  <c:v>49.003061544817044</c:v>
                </c:pt>
                <c:pt idx="239">
                  <c:v>47.936926387219927</c:v>
                </c:pt>
                <c:pt idx="240">
                  <c:v>32.80168760071885</c:v>
                </c:pt>
                <c:pt idx="241">
                  <c:v>47.619990344892216</c:v>
                </c:pt>
                <c:pt idx="242">
                  <c:v>24.596966841137544</c:v>
                </c:pt>
                <c:pt idx="243">
                  <c:v>40.263139151553375</c:v>
                </c:pt>
                <c:pt idx="244">
                  <c:v>38.750070975815618</c:v>
                </c:pt>
                <c:pt idx="245">
                  <c:v>37.832530159413309</c:v>
                </c:pt>
                <c:pt idx="246">
                  <c:v>45.724405507201574</c:v>
                </c:pt>
                <c:pt idx="247">
                  <c:v>39.966783678820555</c:v>
                </c:pt>
                <c:pt idx="248">
                  <c:v>45.228205414806254</c:v>
                </c:pt>
                <c:pt idx="249">
                  <c:v>36.004615877828208</c:v>
                </c:pt>
                <c:pt idx="250">
                  <c:v>34.992125443924806</c:v>
                </c:pt>
                <c:pt idx="251">
                  <c:v>23.435979686424883</c:v>
                </c:pt>
                <c:pt idx="252">
                  <c:v>46.358253007247313</c:v>
                </c:pt>
                <c:pt idx="253">
                  <c:v>45.787971771525854</c:v>
                </c:pt>
                <c:pt idx="254">
                  <c:v>33.235216925529706</c:v>
                </c:pt>
                <c:pt idx="255">
                  <c:v>14.107868210866727</c:v>
                </c:pt>
                <c:pt idx="256">
                  <c:v>35.377387796976166</c:v>
                </c:pt>
                <c:pt idx="257">
                  <c:v>40.5174269929472</c:v>
                </c:pt>
                <c:pt idx="258">
                  <c:v>32.37318877697637</c:v>
                </c:pt>
                <c:pt idx="259">
                  <c:v>45.238395832451687</c:v>
                </c:pt>
                <c:pt idx="260">
                  <c:v>45.231644240520374</c:v>
                </c:pt>
                <c:pt idx="261">
                  <c:v>44.618268987887348</c:v>
                </c:pt>
                <c:pt idx="262">
                  <c:v>46.317358948487509</c:v>
                </c:pt>
                <c:pt idx="263">
                  <c:v>45.125650855951164</c:v>
                </c:pt>
                <c:pt idx="264">
                  <c:v>43.667287605829024</c:v>
                </c:pt>
                <c:pt idx="265">
                  <c:v>27.715960332337662</c:v>
                </c:pt>
                <c:pt idx="266">
                  <c:v>16.789380682002594</c:v>
                </c:pt>
                <c:pt idx="267">
                  <c:v>35.35753304940976</c:v>
                </c:pt>
                <c:pt idx="268">
                  <c:v>32.373962760183353</c:v>
                </c:pt>
                <c:pt idx="269">
                  <c:v>17.167066279124157</c:v>
                </c:pt>
                <c:pt idx="270">
                  <c:v>19.457989333384766</c:v>
                </c:pt>
                <c:pt idx="271">
                  <c:v>23.379731512838383</c:v>
                </c:pt>
                <c:pt idx="272">
                  <c:v>27.744821376211718</c:v>
                </c:pt>
                <c:pt idx="273">
                  <c:v>36.253256323673142</c:v>
                </c:pt>
                <c:pt idx="274">
                  <c:v>38.658027047431183</c:v>
                </c:pt>
                <c:pt idx="275">
                  <c:v>37.319677696571638</c:v>
                </c:pt>
                <c:pt idx="276">
                  <c:v>41.110959125075375</c:v>
                </c:pt>
                <c:pt idx="277">
                  <c:v>41.915003862758851</c:v>
                </c:pt>
                <c:pt idx="278">
                  <c:v>11.578985421866717</c:v>
                </c:pt>
                <c:pt idx="279">
                  <c:v>29.085969201603984</c:v>
                </c:pt>
                <c:pt idx="280">
                  <c:v>16.786629340881063</c:v>
                </c:pt>
                <c:pt idx="281">
                  <c:v>38.329521414772209</c:v>
                </c:pt>
                <c:pt idx="282">
                  <c:v>30.772630412064881</c:v>
                </c:pt>
                <c:pt idx="283">
                  <c:v>22.383340543300093</c:v>
                </c:pt>
                <c:pt idx="284">
                  <c:v>27.782645462653566</c:v>
                </c:pt>
                <c:pt idx="285">
                  <c:v>23.262832621380507</c:v>
                </c:pt>
                <c:pt idx="286">
                  <c:v>18.083457234798196</c:v>
                </c:pt>
                <c:pt idx="287">
                  <c:v>37.159446329483011</c:v>
                </c:pt>
                <c:pt idx="288">
                  <c:v>32.79882605405259</c:v>
                </c:pt>
                <c:pt idx="289">
                  <c:v>19.472068069001757</c:v>
                </c:pt>
                <c:pt idx="290">
                  <c:v>34.349080289731873</c:v>
                </c:pt>
                <c:pt idx="291">
                  <c:v>15.966223365721936</c:v>
                </c:pt>
                <c:pt idx="292">
                  <c:v>6.7235881596765852</c:v>
                </c:pt>
                <c:pt idx="293">
                  <c:v>16.363631113369088</c:v>
                </c:pt>
                <c:pt idx="294">
                  <c:v>33.061320444288597</c:v>
                </c:pt>
                <c:pt idx="295">
                  <c:v>16.992377377226539</c:v>
                </c:pt>
                <c:pt idx="296">
                  <c:v>25.141790930925204</c:v>
                </c:pt>
                <c:pt idx="297">
                  <c:v>22.229949590910678</c:v>
                </c:pt>
                <c:pt idx="298">
                  <c:v>12.392546420628461</c:v>
                </c:pt>
                <c:pt idx="299">
                  <c:v>14.336910691668832</c:v>
                </c:pt>
                <c:pt idx="300">
                  <c:v>17.247169459753394</c:v>
                </c:pt>
                <c:pt idx="301">
                  <c:v>26.786824934242059</c:v>
                </c:pt>
                <c:pt idx="302">
                  <c:v>23.030643893451483</c:v>
                </c:pt>
                <c:pt idx="303">
                  <c:v>21.905965598107464</c:v>
                </c:pt>
                <c:pt idx="304">
                  <c:v>19.419774448220398</c:v>
                </c:pt>
                <c:pt idx="305">
                  <c:v>28.810712634774898</c:v>
                </c:pt>
                <c:pt idx="306">
                  <c:v>10.113701429095784</c:v>
                </c:pt>
                <c:pt idx="307">
                  <c:v>17.467357043729312</c:v>
                </c:pt>
                <c:pt idx="308">
                  <c:v>29.75522001431586</c:v>
                </c:pt>
                <c:pt idx="309">
                  <c:v>29.713853749960339</c:v>
                </c:pt>
                <c:pt idx="310">
                  <c:v>27.872872348423464</c:v>
                </c:pt>
                <c:pt idx="311">
                  <c:v>20.100756886709195</c:v>
                </c:pt>
                <c:pt idx="312">
                  <c:v>9.9013414296827129</c:v>
                </c:pt>
                <c:pt idx="313">
                  <c:v>19.992470036091127</c:v>
                </c:pt>
                <c:pt idx="314">
                  <c:v>27.348923601257937</c:v>
                </c:pt>
                <c:pt idx="315">
                  <c:v>26.932903975475156</c:v>
                </c:pt>
                <c:pt idx="316">
                  <c:v>25.903117537304976</c:v>
                </c:pt>
                <c:pt idx="317">
                  <c:v>9.5916037540755763</c:v>
                </c:pt>
                <c:pt idx="318">
                  <c:v>12.308235427122682</c:v>
                </c:pt>
                <c:pt idx="319">
                  <c:v>26.500701781680224</c:v>
                </c:pt>
                <c:pt idx="320">
                  <c:v>13.567142809543572</c:v>
                </c:pt>
                <c:pt idx="321">
                  <c:v>15.530848656907992</c:v>
                </c:pt>
                <c:pt idx="322">
                  <c:v>7.0979294118445813</c:v>
                </c:pt>
                <c:pt idx="323">
                  <c:v>15.619721760819704</c:v>
                </c:pt>
                <c:pt idx="324">
                  <c:v>3.1374426725064781</c:v>
                </c:pt>
                <c:pt idx="325">
                  <c:v>7.7620772690836599</c:v>
                </c:pt>
                <c:pt idx="326">
                  <c:v>13.018022831073594</c:v>
                </c:pt>
                <c:pt idx="327">
                  <c:v>13.661896461575132</c:v>
                </c:pt>
                <c:pt idx="328">
                  <c:v>4.7343329591539414</c:v>
                </c:pt>
                <c:pt idx="329">
                  <c:v>10.879157603300463</c:v>
                </c:pt>
                <c:pt idx="330">
                  <c:v>14.321651684884451</c:v>
                </c:pt>
                <c:pt idx="331">
                  <c:v>10.390507730043405</c:v>
                </c:pt>
                <c:pt idx="332">
                  <c:v>15.13304499580582</c:v>
                </c:pt>
                <c:pt idx="333">
                  <c:v>3.9545952876884138</c:v>
                </c:pt>
                <c:pt idx="334">
                  <c:v>3.7433000226113617</c:v>
                </c:pt>
                <c:pt idx="335">
                  <c:v>5.6237204918860817</c:v>
                </c:pt>
                <c:pt idx="336">
                  <c:v>9.4249690982498997</c:v>
                </c:pt>
                <c:pt idx="337">
                  <c:v>17.284144050557551</c:v>
                </c:pt>
                <c:pt idx="338">
                  <c:v>22.913392493582073</c:v>
                </c:pt>
                <c:pt idx="339">
                  <c:v>11.263761659211697</c:v>
                </c:pt>
                <c:pt idx="340">
                  <c:v>20.296616266517624</c:v>
                </c:pt>
                <c:pt idx="341">
                  <c:v>4.0762900845329808</c:v>
                </c:pt>
                <c:pt idx="342">
                  <c:v>4.9748192628537282</c:v>
                </c:pt>
                <c:pt idx="343">
                  <c:v>12.042679268778121</c:v>
                </c:pt>
                <c:pt idx="344">
                  <c:v>17.230971839150033</c:v>
                </c:pt>
                <c:pt idx="345">
                  <c:v>5.2660788972076622</c:v>
                </c:pt>
                <c:pt idx="346">
                  <c:v>5.3314363719474294</c:v>
                </c:pt>
                <c:pt idx="347">
                  <c:v>17.02351791779035</c:v>
                </c:pt>
                <c:pt idx="348">
                  <c:v>5.817686572230623</c:v>
                </c:pt>
                <c:pt idx="349">
                  <c:v>5.1382729880492182</c:v>
                </c:pt>
                <c:pt idx="350">
                  <c:v>3.4834805888659326</c:v>
                </c:pt>
                <c:pt idx="351">
                  <c:v>20.77873859099827</c:v>
                </c:pt>
                <c:pt idx="352">
                  <c:v>17.681495082505151</c:v>
                </c:pt>
                <c:pt idx="353">
                  <c:v>4.5068384194240005</c:v>
                </c:pt>
                <c:pt idx="354">
                  <c:v>20.634306464367047</c:v>
                </c:pt>
                <c:pt idx="355">
                  <c:v>17.445820817661648</c:v>
                </c:pt>
                <c:pt idx="356">
                  <c:v>17.680206798140201</c:v>
                </c:pt>
                <c:pt idx="357">
                  <c:v>21.012621201708981</c:v>
                </c:pt>
                <c:pt idx="358">
                  <c:v>11.871249751883701</c:v>
                </c:pt>
                <c:pt idx="359">
                  <c:v>20.523298472404111</c:v>
                </c:pt>
                <c:pt idx="360">
                  <c:v>6.9541198289898984</c:v>
                </c:pt>
                <c:pt idx="361">
                  <c:v>21.588617779989082</c:v>
                </c:pt>
                <c:pt idx="362">
                  <c:v>10.253690174995361</c:v>
                </c:pt>
                <c:pt idx="363">
                  <c:v>13.892416765878554</c:v>
                </c:pt>
                <c:pt idx="364">
                  <c:v>11.493892164461455</c:v>
                </c:pt>
                <c:pt idx="365">
                  <c:v>15.451236593814818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6336"/>
        <c:axId val="701986728"/>
      </c:lineChart>
      <c:dateAx>
        <c:axId val="70198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6728"/>
        <c:crosses val="autoZero"/>
        <c:auto val="1"/>
        <c:lblOffset val="100"/>
        <c:baseTimeUnit val="days"/>
        <c:majorUnit val="1"/>
        <c:majorTimeUnit val="months"/>
      </c:dateAx>
      <c:valAx>
        <c:axId val="7019867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6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6.0782065354107573E-2</c:v>
                </c:pt>
                <c:pt idx="1">
                  <c:v>6.0800065251555013E-2</c:v>
                </c:pt>
                <c:pt idx="2">
                  <c:v>6.0818064804038507E-2</c:v>
                </c:pt>
                <c:pt idx="3">
                  <c:v>6.0836064011564717E-2</c:v>
                </c:pt>
                <c:pt idx="4">
                  <c:v>6.0854062874140191E-2</c:v>
                </c:pt>
                <c:pt idx="5">
                  <c:v>6.0872061391771592E-2</c:v>
                </c:pt>
                <c:pt idx="6">
                  <c:v>6.0890059564465471E-2</c:v>
                </c:pt>
                <c:pt idx="7">
                  <c:v>6.0908057392228598E-2</c:v>
                </c:pt>
                <c:pt idx="8">
                  <c:v>6.0926054875067304E-2</c:v>
                </c:pt>
                <c:pt idx="9">
                  <c:v>6.094405201298847E-2</c:v>
                </c:pt>
                <c:pt idx="10">
                  <c:v>6.0962048805998537E-2</c:v>
                </c:pt>
                <c:pt idx="11">
                  <c:v>6.0980045254104165E-2</c:v>
                </c:pt>
                <c:pt idx="12">
                  <c:v>6.0998041357312016E-2</c:v>
                </c:pt>
                <c:pt idx="13">
                  <c:v>6.1016037115628641E-2</c:v>
                </c:pt>
                <c:pt idx="14">
                  <c:v>6.10340325290607E-2</c:v>
                </c:pt>
                <c:pt idx="15">
                  <c:v>6.1052027597614633E-2</c:v>
                </c:pt>
                <c:pt idx="16">
                  <c:v>6.1070022321297324E-2</c:v>
                </c:pt>
                <c:pt idx="17">
                  <c:v>6.1088016700115211E-2</c:v>
                </c:pt>
                <c:pt idx="18">
                  <c:v>6.1106010734074845E-2</c:v>
                </c:pt>
                <c:pt idx="19">
                  <c:v>6.1124004423182998E-2</c:v>
                </c:pt>
                <c:pt idx="20">
                  <c:v>6.1141997767446221E-2</c:v>
                </c:pt>
                <c:pt idx="21">
                  <c:v>6.1159990766871064E-2</c:v>
                </c:pt>
                <c:pt idx="22">
                  <c:v>6.1177983421464188E-2</c:v>
                </c:pt>
                <c:pt idx="23">
                  <c:v>6.1195975731232144E-2</c:v>
                </c:pt>
                <c:pt idx="24">
                  <c:v>6.1213967696181704E-2</c:v>
                </c:pt>
                <c:pt idx="25">
                  <c:v>6.1231959316319307E-2</c:v>
                </c:pt>
                <c:pt idx="26">
                  <c:v>6.1249950591651614E-2</c:v>
                </c:pt>
                <c:pt idx="27">
                  <c:v>6.1267941522185176E-2</c:v>
                </c:pt>
                <c:pt idx="28">
                  <c:v>6.1285932107926655E-2</c:v>
                </c:pt>
                <c:pt idx="29">
                  <c:v>6.1303922348882822E-2</c:v>
                </c:pt>
                <c:pt idx="30">
                  <c:v>6.1321912245060006E-2</c:v>
                </c:pt>
                <c:pt idx="31">
                  <c:v>6.1339901796464869E-2</c:v>
                </c:pt>
                <c:pt idx="32">
                  <c:v>6.1357891003104181E-2</c:v>
                </c:pt>
                <c:pt idx="33">
                  <c:v>6.1375879864984384E-2</c:v>
                </c:pt>
                <c:pt idx="34">
                  <c:v>6.1393868382112249E-2</c:v>
                </c:pt>
                <c:pt idx="35">
                  <c:v>6.1411856554494215E-2</c:v>
                </c:pt>
                <c:pt idx="36">
                  <c:v>6.1429844382136944E-2</c:v>
                </c:pt>
                <c:pt idx="37">
                  <c:v>6.1447831865047098E-2</c:v>
                </c:pt>
                <c:pt idx="38">
                  <c:v>6.1465819003231337E-2</c:v>
                </c:pt>
                <c:pt idx="39">
                  <c:v>6.14838057966961E-2</c:v>
                </c:pt>
                <c:pt idx="40">
                  <c:v>6.150179224544805E-2</c:v>
                </c:pt>
                <c:pt idx="41">
                  <c:v>6.1519778349493737E-2</c:v>
                </c:pt>
                <c:pt idx="42">
                  <c:v>6.1537764108839932E-2</c:v>
                </c:pt>
                <c:pt idx="43">
                  <c:v>6.1555749523493186E-2</c:v>
                </c:pt>
                <c:pt idx="44">
                  <c:v>6.157373459346005E-2</c:v>
                </c:pt>
                <c:pt idx="45">
                  <c:v>6.1591719318747074E-2</c:v>
                </c:pt>
                <c:pt idx="46">
                  <c:v>6.1609703699361029E-2</c:v>
                </c:pt>
                <c:pt idx="47">
                  <c:v>6.1627687735308356E-2</c:v>
                </c:pt>
                <c:pt idx="48">
                  <c:v>6.1645671426595827E-2</c:v>
                </c:pt>
                <c:pt idx="49">
                  <c:v>6.1663654773229881E-2</c:v>
                </c:pt>
                <c:pt idx="50">
                  <c:v>6.1681637775217291E-2</c:v>
                </c:pt>
                <c:pt idx="51">
                  <c:v>6.1699620432564495E-2</c:v>
                </c:pt>
                <c:pt idx="52">
                  <c:v>6.1717602745278155E-2</c:v>
                </c:pt>
                <c:pt idx="53">
                  <c:v>6.1735584713364933E-2</c:v>
                </c:pt>
                <c:pt idx="54">
                  <c:v>6.1753566336831378E-2</c:v>
                </c:pt>
                <c:pt idx="55">
                  <c:v>6.1771547615684153E-2</c:v>
                </c:pt>
                <c:pt idx="56">
                  <c:v>6.1789528549929806E-2</c:v>
                </c:pt>
                <c:pt idx="57">
                  <c:v>6.180750913957489E-2</c:v>
                </c:pt>
                <c:pt idx="58">
                  <c:v>6.1825489384626175E-2</c:v>
                </c:pt>
                <c:pt idx="59">
                  <c:v>6.1843469285090102E-2</c:v>
                </c:pt>
                <c:pt idx="60">
                  <c:v>6.1861448840973332E-2</c:v>
                </c:pt>
                <c:pt idx="61">
                  <c:v>6.1879428052282526E-2</c:v>
                </c:pt>
                <c:pt idx="62">
                  <c:v>6.1897406919024234E-2</c:v>
                </c:pt>
                <c:pt idx="63">
                  <c:v>6.1915385441205006E-2</c:v>
                </c:pt>
                <c:pt idx="64">
                  <c:v>6.1933363618831505E-2</c:v>
                </c:pt>
                <c:pt idx="65">
                  <c:v>6.1951341451910391E-2</c:v>
                </c:pt>
                <c:pt idx="66">
                  <c:v>6.1969318940448104E-2</c:v>
                </c:pt>
                <c:pt idx="67">
                  <c:v>6.1987296084451526E-2</c:v>
                </c:pt>
                <c:pt idx="68">
                  <c:v>6.2005272883926987E-2</c:v>
                </c:pt>
                <c:pt idx="69">
                  <c:v>6.2023249338881148E-2</c:v>
                </c:pt>
                <c:pt idx="70">
                  <c:v>6.2041225449320669E-2</c:v>
                </c:pt>
                <c:pt idx="71">
                  <c:v>6.2059201215252102E-2</c:v>
                </c:pt>
                <c:pt idx="72">
                  <c:v>6.2077176636682219E-2</c:v>
                </c:pt>
                <c:pt idx="73">
                  <c:v>6.2095151713617347E-2</c:v>
                </c:pt>
                <c:pt idx="74">
                  <c:v>6.211312644606426E-2</c:v>
                </c:pt>
                <c:pt idx="75">
                  <c:v>6.2131100834029507E-2</c:v>
                </c:pt>
                <c:pt idx="76">
                  <c:v>6.214907487751975E-2</c:v>
                </c:pt>
                <c:pt idx="77">
                  <c:v>6.2167048576541539E-2</c:v>
                </c:pt>
                <c:pt idx="78">
                  <c:v>6.2185021931101536E-2</c:v>
                </c:pt>
                <c:pt idx="79">
                  <c:v>6.2202994941206291E-2</c:v>
                </c:pt>
                <c:pt idx="80">
                  <c:v>6.2220967606862354E-2</c:v>
                </c:pt>
                <c:pt idx="81">
                  <c:v>6.2238939928076387E-2</c:v>
                </c:pt>
                <c:pt idx="82">
                  <c:v>6.2256911904854939E-2</c:v>
                </c:pt>
                <c:pt idx="83">
                  <c:v>6.2274883537204673E-2</c:v>
                </c:pt>
                <c:pt idx="84">
                  <c:v>6.2292854825132249E-2</c:v>
                </c:pt>
                <c:pt idx="85">
                  <c:v>6.2310825768644107E-2</c:v>
                </c:pt>
                <c:pt idx="86">
                  <c:v>6.2328796367747019E-2</c:v>
                </c:pt>
                <c:pt idx="87">
                  <c:v>6.2346766622447425E-2</c:v>
                </c:pt>
                <c:pt idx="88">
                  <c:v>6.2364736532752096E-2</c:v>
                </c:pt>
                <c:pt idx="89">
                  <c:v>6.2382706098667473E-2</c:v>
                </c:pt>
                <c:pt idx="90">
                  <c:v>6.2400675320200216E-2</c:v>
                </c:pt>
                <c:pt idx="91">
                  <c:v>6.2418644197356876E-2</c:v>
                </c:pt>
                <c:pt idx="92">
                  <c:v>6.2436612730144114E-2</c:v>
                </c:pt>
                <c:pt idx="93">
                  <c:v>6.2454580918568592E-2</c:v>
                </c:pt>
                <c:pt idx="94">
                  <c:v>6.2472548762636748E-2</c:v>
                </c:pt>
                <c:pt idx="95">
                  <c:v>6.2490516262355356E-2</c:v>
                </c:pt>
                <c:pt idx="96">
                  <c:v>6.2508483417730965E-2</c:v>
                </c:pt>
                <c:pt idx="97">
                  <c:v>6.2526450228770014E-2</c:v>
                </c:pt>
                <c:pt idx="98">
                  <c:v>6.2544416695479277E-2</c:v>
                </c:pt>
                <c:pt idx="99">
                  <c:v>6.2562382817865414E-2</c:v>
                </c:pt>
                <c:pt idx="100">
                  <c:v>6.2580348595934754E-2</c:v>
                </c:pt>
                <c:pt idx="101">
                  <c:v>6.259831402969418E-2</c:v>
                </c:pt>
                <c:pt idx="102">
                  <c:v>6.261627911915002E-2</c:v>
                </c:pt>
                <c:pt idx="103">
                  <c:v>6.2634243864309158E-2</c:v>
                </c:pt>
                <c:pt idx="104">
                  <c:v>6.2652208265178033E-2</c:v>
                </c:pt>
                <c:pt idx="105">
                  <c:v>6.2670172321763196E-2</c:v>
                </c:pt>
                <c:pt idx="106">
                  <c:v>6.2688136034071418E-2</c:v>
                </c:pt>
                <c:pt idx="107">
                  <c:v>6.2706099402109028E-2</c:v>
                </c:pt>
                <c:pt idx="108">
                  <c:v>6.2724062425882909E-2</c:v>
                </c:pt>
                <c:pt idx="109">
                  <c:v>6.2742025105399502E-2</c:v>
                </c:pt>
                <c:pt idx="110">
                  <c:v>6.2759987440665466E-2</c:v>
                </c:pt>
                <c:pt idx="111">
                  <c:v>6.2777949431687352E-2</c:v>
                </c:pt>
                <c:pt idx="112">
                  <c:v>6.2795911078471822E-2</c:v>
                </c:pt>
                <c:pt idx="113">
                  <c:v>6.2813872381025426E-2</c:v>
                </c:pt>
                <c:pt idx="114">
                  <c:v>6.2831833339354715E-2</c:v>
                </c:pt>
                <c:pt idx="115">
                  <c:v>6.2849793953466349E-2</c:v>
                </c:pt>
                <c:pt idx="116">
                  <c:v>6.2867754223366878E-2</c:v>
                </c:pt>
                <c:pt idx="117">
                  <c:v>6.2885714149062966E-2</c:v>
                </c:pt>
                <c:pt idx="118">
                  <c:v>6.290367373056116E-2</c:v>
                </c:pt>
                <c:pt idx="119">
                  <c:v>6.2921632967868124E-2</c:v>
                </c:pt>
                <c:pt idx="120">
                  <c:v>6.2939591860990296E-2</c:v>
                </c:pt>
                <c:pt idx="121">
                  <c:v>6.2957550409934449E-2</c:v>
                </c:pt>
                <c:pt idx="122">
                  <c:v>6.2975508614707132E-2</c:v>
                </c:pt>
                <c:pt idx="123">
                  <c:v>6.2993466475314897E-2</c:v>
                </c:pt>
                <c:pt idx="124">
                  <c:v>6.3011423991764404E-2</c:v>
                </c:pt>
                <c:pt idx="125">
                  <c:v>6.3029381164062093E-2</c:v>
                </c:pt>
                <c:pt idx="126">
                  <c:v>6.3047337992214736E-2</c:v>
                </c:pt>
                <c:pt idx="127">
                  <c:v>6.3065294476228884E-2</c:v>
                </c:pt>
                <c:pt idx="128">
                  <c:v>6.3083250616111086E-2</c:v>
                </c:pt>
                <c:pt idx="129">
                  <c:v>6.3101206411868005E-2</c:v>
                </c:pt>
                <c:pt idx="130">
                  <c:v>6.3119161863506079E-2</c:v>
                </c:pt>
                <c:pt idx="131">
                  <c:v>6.3137116971032192E-2</c:v>
                </c:pt>
                <c:pt idx="132">
                  <c:v>6.3155071734452672E-2</c:v>
                </c:pt>
                <c:pt idx="133">
                  <c:v>6.3173026153774181E-2</c:v>
                </c:pt>
                <c:pt idx="134">
                  <c:v>6.319098022900338E-2</c:v>
                </c:pt>
                <c:pt idx="135">
                  <c:v>6.3208933960146818E-2</c:v>
                </c:pt>
                <c:pt idx="136">
                  <c:v>6.3226887347211047E-2</c:v>
                </c:pt>
                <c:pt idx="137">
                  <c:v>6.3244840390202728E-2</c:v>
                </c:pt>
                <c:pt idx="138">
                  <c:v>6.3262793089128411E-2</c:v>
                </c:pt>
                <c:pt idx="139">
                  <c:v>6.3280745443994757E-2</c:v>
                </c:pt>
                <c:pt idx="140">
                  <c:v>6.3298697454808317E-2</c:v>
                </c:pt>
                <c:pt idx="141">
                  <c:v>6.3316649121575752E-2</c:v>
                </c:pt>
                <c:pt idx="142">
                  <c:v>6.3334600444303502E-2</c:v>
                </c:pt>
                <c:pt idx="143">
                  <c:v>6.3352551422998338E-2</c:v>
                </c:pt>
                <c:pt idx="144">
                  <c:v>6.3370502057666589E-2</c:v>
                </c:pt>
                <c:pt idx="145">
                  <c:v>6.3388452348315139E-2</c:v>
                </c:pt>
                <c:pt idx="146">
                  <c:v>6.3406402294950537E-2</c:v>
                </c:pt>
                <c:pt idx="147">
                  <c:v>6.3424351897579223E-2</c:v>
                </c:pt>
                <c:pt idx="148">
                  <c:v>6.3442301156207859E-2</c:v>
                </c:pt>
                <c:pt idx="149">
                  <c:v>6.3460250070842994E-2</c:v>
                </c:pt>
                <c:pt idx="150">
                  <c:v>6.347819864149129E-2</c:v>
                </c:pt>
                <c:pt idx="151">
                  <c:v>6.3496146868159409E-2</c:v>
                </c:pt>
                <c:pt idx="152">
                  <c:v>6.3514094750853789E-2</c:v>
                </c:pt>
                <c:pt idx="153">
                  <c:v>6.3532042289581203E-2</c:v>
                </c:pt>
                <c:pt idx="154">
                  <c:v>6.354998948434798E-2</c:v>
                </c:pt>
                <c:pt idx="155">
                  <c:v>6.3567936335161002E-2</c:v>
                </c:pt>
                <c:pt idx="156">
                  <c:v>6.3585882842026598E-2</c:v>
                </c:pt>
                <c:pt idx="157">
                  <c:v>6.360382900495154E-2</c:v>
                </c:pt>
                <c:pt idx="158">
                  <c:v>6.3621774823942379E-2</c:v>
                </c:pt>
                <c:pt idx="159">
                  <c:v>6.3639720299005664E-2</c:v>
                </c:pt>
                <c:pt idx="160">
                  <c:v>6.3657665430148058E-2</c:v>
                </c:pt>
                <c:pt idx="161">
                  <c:v>6.3675610217376E-2</c:v>
                </c:pt>
                <c:pt idx="162">
                  <c:v>6.3693554660696372E-2</c:v>
                </c:pt>
                <c:pt idx="163">
                  <c:v>6.3711498760115393E-2</c:v>
                </c:pt>
                <c:pt idx="164">
                  <c:v>6.3729442515639945E-2</c:v>
                </c:pt>
                <c:pt idx="165">
                  <c:v>6.3747385927276468E-2</c:v>
                </c:pt>
                <c:pt idx="166">
                  <c:v>6.3765328995031623E-2</c:v>
                </c:pt>
                <c:pt idx="167">
                  <c:v>6.378327171891196E-2</c:v>
                </c:pt>
                <c:pt idx="168">
                  <c:v>6.3801214098924142E-2</c:v>
                </c:pt>
                <c:pt idx="169">
                  <c:v>6.3819156135074717E-2</c:v>
                </c:pt>
                <c:pt idx="170">
                  <c:v>6.3837097827370126E-2</c:v>
                </c:pt>
                <c:pt idx="171">
                  <c:v>6.3855039175817252E-2</c:v>
                </c:pt>
                <c:pt idx="172">
                  <c:v>6.3872980180422423E-2</c:v>
                </c:pt>
                <c:pt idx="173">
                  <c:v>6.3890920841192411E-2</c:v>
                </c:pt>
                <c:pt idx="174">
                  <c:v>6.3908861158133656E-2</c:v>
                </c:pt>
                <c:pt idx="175">
                  <c:v>6.3926801131252931E-2</c:v>
                </c:pt>
                <c:pt idx="176">
                  <c:v>6.3944740760556562E-2</c:v>
                </c:pt>
                <c:pt idx="177">
                  <c:v>6.3962680046051434E-2</c:v>
                </c:pt>
                <c:pt idx="178">
                  <c:v>6.3980618987743876E-2</c:v>
                </c:pt>
                <c:pt idx="179">
                  <c:v>6.3998557585640659E-2</c:v>
                </c:pt>
                <c:pt idx="180">
                  <c:v>6.4016495839748222E-2</c:v>
                </c:pt>
                <c:pt idx="181">
                  <c:v>6.4034433750073338E-2</c:v>
                </c:pt>
                <c:pt idx="182">
                  <c:v>6.4052371316622447E-2</c:v>
                </c:pt>
                <c:pt idx="183">
                  <c:v>6.407030853940221E-2</c:v>
                </c:pt>
                <c:pt idx="184">
                  <c:v>6.4088245418419176E-2</c:v>
                </c:pt>
                <c:pt idx="185">
                  <c:v>6.4106181953679897E-2</c:v>
                </c:pt>
                <c:pt idx="186">
                  <c:v>6.4124118145191145E-2</c:v>
                </c:pt>
                <c:pt idx="187">
                  <c:v>6.4142053992959247E-2</c:v>
                </c:pt>
                <c:pt idx="188">
                  <c:v>6.4159989496990977E-2</c:v>
                </c:pt>
                <c:pt idx="189">
                  <c:v>6.4177924657292884E-2</c:v>
                </c:pt>
                <c:pt idx="190">
                  <c:v>6.4195859473871408E-2</c:v>
                </c:pt>
                <c:pt idx="191">
                  <c:v>6.4213793946733433E-2</c:v>
                </c:pt>
                <c:pt idx="192">
                  <c:v>6.4231728075885286E-2</c:v>
                </c:pt>
                <c:pt idx="193">
                  <c:v>6.4249661861333629E-2</c:v>
                </c:pt>
                <c:pt idx="194">
                  <c:v>6.4267595303085123E-2</c:v>
                </c:pt>
                <c:pt idx="195">
                  <c:v>6.4285528401146319E-2</c:v>
                </c:pt>
                <c:pt idx="196">
                  <c:v>6.4303461155523656E-2</c:v>
                </c:pt>
                <c:pt idx="197">
                  <c:v>6.4321393566224017E-2</c:v>
                </c:pt>
                <c:pt idx="198">
                  <c:v>6.4339325633253619E-2</c:v>
                </c:pt>
                <c:pt idx="199">
                  <c:v>6.4357257356619457E-2</c:v>
                </c:pt>
                <c:pt idx="200">
                  <c:v>6.4375188736327749E-2</c:v>
                </c:pt>
                <c:pt idx="201">
                  <c:v>6.4393119772385266E-2</c:v>
                </c:pt>
                <c:pt idx="202">
                  <c:v>6.4411050464798669E-2</c:v>
                </c:pt>
                <c:pt idx="203">
                  <c:v>6.4428980813574399E-2</c:v>
                </c:pt>
                <c:pt idx="204">
                  <c:v>6.4446910818719005E-2</c:v>
                </c:pt>
                <c:pt idx="205">
                  <c:v>6.4464840480239149E-2</c:v>
                </c:pt>
                <c:pt idx="206">
                  <c:v>6.4482769798141493E-2</c:v>
                </c:pt>
                <c:pt idx="207">
                  <c:v>6.4500698772432585E-2</c:v>
                </c:pt>
                <c:pt idx="208">
                  <c:v>6.4518627403118867E-2</c:v>
                </c:pt>
                <c:pt idx="209">
                  <c:v>6.4536555690207109E-2</c:v>
                </c:pt>
                <c:pt idx="210">
                  <c:v>6.4554483633703863E-2</c:v>
                </c:pt>
                <c:pt idx="211">
                  <c:v>6.4572411233615568E-2</c:v>
                </c:pt>
                <c:pt idx="212">
                  <c:v>6.4590338489948995E-2</c:v>
                </c:pt>
                <c:pt idx="213">
                  <c:v>6.4608265402710585E-2</c:v>
                </c:pt>
                <c:pt idx="214">
                  <c:v>6.4626191971906999E-2</c:v>
                </c:pt>
                <c:pt idx="215">
                  <c:v>6.4644118197544786E-2</c:v>
                </c:pt>
                <c:pt idx="216">
                  <c:v>6.4662044079630498E-2</c:v>
                </c:pt>
                <c:pt idx="217">
                  <c:v>6.4679969618170907E-2</c:v>
                </c:pt>
                <c:pt idx="218">
                  <c:v>6.4697894813172341E-2</c:v>
                </c:pt>
                <c:pt idx="219">
                  <c:v>6.4715819664641572E-2</c:v>
                </c:pt>
                <c:pt idx="220">
                  <c:v>6.4733744172585039E-2</c:v>
                </c:pt>
                <c:pt idx="221">
                  <c:v>6.4751668337009516E-2</c:v>
                </c:pt>
                <c:pt idx="222">
                  <c:v>6.476959215792133E-2</c:v>
                </c:pt>
                <c:pt idx="223">
                  <c:v>6.4787515635327364E-2</c:v>
                </c:pt>
                <c:pt idx="224">
                  <c:v>6.4805438769233947E-2</c:v>
                </c:pt>
                <c:pt idx="225">
                  <c:v>6.4823361559647741E-2</c:v>
                </c:pt>
                <c:pt idx="226">
                  <c:v>6.4841284006575406E-2</c:v>
                </c:pt>
                <c:pt idx="227">
                  <c:v>6.4859206110023382E-2</c:v>
                </c:pt>
                <c:pt idx="228">
                  <c:v>6.4877127869998441E-2</c:v>
                </c:pt>
                <c:pt idx="229">
                  <c:v>6.4895049286506912E-2</c:v>
                </c:pt>
                <c:pt idx="230">
                  <c:v>6.4912970359555677E-2</c:v>
                </c:pt>
                <c:pt idx="231">
                  <c:v>6.4930891089151066E-2</c:v>
                </c:pt>
                <c:pt idx="232">
                  <c:v>6.494881147529985E-2</c:v>
                </c:pt>
                <c:pt idx="233">
                  <c:v>6.4966731518008469E-2</c:v>
                </c:pt>
                <c:pt idx="234">
                  <c:v>6.4984651217283473E-2</c:v>
                </c:pt>
                <c:pt idx="235">
                  <c:v>6.5002570573131635E-2</c:v>
                </c:pt>
                <c:pt idx="236">
                  <c:v>6.5020489585559393E-2</c:v>
                </c:pt>
                <c:pt idx="237">
                  <c:v>6.503840825457341E-2</c:v>
                </c:pt>
                <c:pt idx="238">
                  <c:v>6.5056326580180235E-2</c:v>
                </c:pt>
                <c:pt idx="239">
                  <c:v>6.5074244562386419E-2</c:v>
                </c:pt>
                <c:pt idx="240">
                  <c:v>6.5092162201198511E-2</c:v>
                </c:pt>
                <c:pt idx="241">
                  <c:v>6.5110079496623174E-2</c:v>
                </c:pt>
                <c:pt idx="242">
                  <c:v>6.5127996448666958E-2</c:v>
                </c:pt>
                <c:pt idx="243">
                  <c:v>6.5145913057336413E-2</c:v>
                </c:pt>
                <c:pt idx="244">
                  <c:v>6.51638293226382E-2</c:v>
                </c:pt>
                <c:pt idx="245">
                  <c:v>6.5181745244578759E-2</c:v>
                </c:pt>
                <c:pt idx="246">
                  <c:v>6.5199660823164862E-2</c:v>
                </c:pt>
                <c:pt idx="247">
                  <c:v>6.5217576058402948E-2</c:v>
                </c:pt>
                <c:pt idx="248">
                  <c:v>6.5235490950299679E-2</c:v>
                </c:pt>
                <c:pt idx="249">
                  <c:v>6.5253405498861605E-2</c:v>
                </c:pt>
                <c:pt idx="250">
                  <c:v>6.5271319704095165E-2</c:v>
                </c:pt>
                <c:pt idx="251">
                  <c:v>6.5289233566007243E-2</c:v>
                </c:pt>
                <c:pt idx="252">
                  <c:v>6.5307147084604056E-2</c:v>
                </c:pt>
                <c:pt idx="253">
                  <c:v>6.5325060259892487E-2</c:v>
                </c:pt>
                <c:pt idx="254">
                  <c:v>6.5342973091878975E-2</c:v>
                </c:pt>
                <c:pt idx="255">
                  <c:v>6.5360885580570183E-2</c:v>
                </c:pt>
                <c:pt idx="256">
                  <c:v>6.5378797725972548E-2</c:v>
                </c:pt>
                <c:pt idx="257">
                  <c:v>6.5396709528092845E-2</c:v>
                </c:pt>
                <c:pt idx="258">
                  <c:v>6.54146209869374E-2</c:v>
                </c:pt>
                <c:pt idx="259">
                  <c:v>6.5432532102512986E-2</c:v>
                </c:pt>
                <c:pt idx="260">
                  <c:v>6.5450442874826154E-2</c:v>
                </c:pt>
                <c:pt idx="261">
                  <c:v>6.5468353303883453E-2</c:v>
                </c:pt>
                <c:pt idx="262">
                  <c:v>6.5486263389691435E-2</c:v>
                </c:pt>
                <c:pt idx="263">
                  <c:v>6.550417313225676E-2</c:v>
                </c:pt>
                <c:pt idx="264">
                  <c:v>6.5522082531585868E-2</c:v>
                </c:pt>
                <c:pt idx="265">
                  <c:v>6.5539991587685531E-2</c:v>
                </c:pt>
                <c:pt idx="266">
                  <c:v>6.5557900300562189E-2</c:v>
                </c:pt>
                <c:pt idx="267">
                  <c:v>6.5575808670222391E-2</c:v>
                </c:pt>
                <c:pt idx="268">
                  <c:v>6.5593716696672799E-2</c:v>
                </c:pt>
                <c:pt idx="269">
                  <c:v>6.5611624379919964E-2</c:v>
                </c:pt>
                <c:pt idx="270">
                  <c:v>6.5629531719970546E-2</c:v>
                </c:pt>
                <c:pt idx="271">
                  <c:v>6.5647438716830986E-2</c:v>
                </c:pt>
                <c:pt idx="272">
                  <c:v>6.5665345370507833E-2</c:v>
                </c:pt>
                <c:pt idx="273">
                  <c:v>6.5683251681007859E-2</c:v>
                </c:pt>
                <c:pt idx="274">
                  <c:v>6.5701157648337505E-2</c:v>
                </c:pt>
                <c:pt idx="275">
                  <c:v>6.571906327250332E-2</c:v>
                </c:pt>
                <c:pt idx="276">
                  <c:v>6.5736968553511965E-2</c:v>
                </c:pt>
                <c:pt idx="277">
                  <c:v>6.5754873491369992E-2</c:v>
                </c:pt>
                <c:pt idx="278">
                  <c:v>6.5772778086083949E-2</c:v>
                </c:pt>
                <c:pt idx="279">
                  <c:v>6.57906823376605E-2</c:v>
                </c:pt>
                <c:pt idx="280">
                  <c:v>6.5808586246106082E-2</c:v>
                </c:pt>
                <c:pt idx="281">
                  <c:v>6.5826489811427358E-2</c:v>
                </c:pt>
                <c:pt idx="282">
                  <c:v>6.5844393033630877E-2</c:v>
                </c:pt>
                <c:pt idx="283">
                  <c:v>6.5862295912723301E-2</c:v>
                </c:pt>
                <c:pt idx="284">
                  <c:v>6.5880198448711069E-2</c:v>
                </c:pt>
                <c:pt idx="285">
                  <c:v>6.5898100641600732E-2</c:v>
                </c:pt>
                <c:pt idx="286">
                  <c:v>6.5916002491399062E-2</c:v>
                </c:pt>
                <c:pt idx="287">
                  <c:v>6.5933903998112497E-2</c:v>
                </c:pt>
                <c:pt idx="288">
                  <c:v>6.5951805161747701E-2</c:v>
                </c:pt>
                <c:pt idx="289">
                  <c:v>6.5969705982311111E-2</c:v>
                </c:pt>
                <c:pt idx="290">
                  <c:v>6.5987606459809389E-2</c:v>
                </c:pt>
                <c:pt idx="291">
                  <c:v>6.6005506594249197E-2</c:v>
                </c:pt>
                <c:pt idx="292">
                  <c:v>6.6023406385636862E-2</c:v>
                </c:pt>
                <c:pt idx="293">
                  <c:v>6.6041305833979158E-2</c:v>
                </c:pt>
                <c:pt idx="294">
                  <c:v>6.6059204939282634E-2</c:v>
                </c:pt>
                <c:pt idx="295">
                  <c:v>6.6077103701553841E-2</c:v>
                </c:pt>
                <c:pt idx="296">
                  <c:v>6.609500212079944E-2</c:v>
                </c:pt>
                <c:pt idx="297">
                  <c:v>6.6112900197025759E-2</c:v>
                </c:pt>
                <c:pt idx="298">
                  <c:v>6.6130797930239571E-2</c:v>
                </c:pt>
                <c:pt idx="299">
                  <c:v>6.6148695320447537E-2</c:v>
                </c:pt>
                <c:pt idx="300">
                  <c:v>6.6166592367655985E-2</c:v>
                </c:pt>
                <c:pt idx="301">
                  <c:v>6.6184489071871577E-2</c:v>
                </c:pt>
                <c:pt idx="302">
                  <c:v>6.6202385433100974E-2</c:v>
                </c:pt>
                <c:pt idx="303">
                  <c:v>6.6220281451350727E-2</c:v>
                </c:pt>
                <c:pt idx="304">
                  <c:v>6.6238177126627273E-2</c:v>
                </c:pt>
                <c:pt idx="305">
                  <c:v>6.6256072458937387E-2</c:v>
                </c:pt>
                <c:pt idx="306">
                  <c:v>6.6273967448287396E-2</c:v>
                </c:pt>
                <c:pt idx="307">
                  <c:v>6.6291862094684184E-2</c:v>
                </c:pt>
                <c:pt idx="308">
                  <c:v>6.6309756398134079E-2</c:v>
                </c:pt>
                <c:pt idx="309">
                  <c:v>6.6327650358643742E-2</c:v>
                </c:pt>
                <c:pt idx="310">
                  <c:v>6.6345543976219723E-2</c:v>
                </c:pt>
                <c:pt idx="311">
                  <c:v>6.6363437250868573E-2</c:v>
                </c:pt>
                <c:pt idx="312">
                  <c:v>6.6381330182596954E-2</c:v>
                </c:pt>
                <c:pt idx="313">
                  <c:v>6.6399222771411304E-2</c:v>
                </c:pt>
                <c:pt idx="314">
                  <c:v>6.6417115017318396E-2</c:v>
                </c:pt>
                <c:pt idx="315">
                  <c:v>6.6435006920324557E-2</c:v>
                </c:pt>
                <c:pt idx="316">
                  <c:v>6.6452898480436562E-2</c:v>
                </c:pt>
                <c:pt idx="317">
                  <c:v>6.6470789697660848E-2</c:v>
                </c:pt>
                <c:pt idx="318">
                  <c:v>6.6488680572004077E-2</c:v>
                </c:pt>
                <c:pt idx="319">
                  <c:v>6.6506571103472689E-2</c:v>
                </c:pt>
                <c:pt idx="320">
                  <c:v>6.6524461292073456E-2</c:v>
                </c:pt>
                <c:pt idx="321">
                  <c:v>6.6542351137812816E-2</c:v>
                </c:pt>
                <c:pt idx="322">
                  <c:v>6.6560240640697321E-2</c:v>
                </c:pt>
                <c:pt idx="323">
                  <c:v>6.6578129800733632E-2</c:v>
                </c:pt>
                <c:pt idx="324">
                  <c:v>6.6596018617928299E-2</c:v>
                </c:pt>
                <c:pt idx="325">
                  <c:v>6.6613907092287761E-2</c:v>
                </c:pt>
                <c:pt idx="326">
                  <c:v>6.663179522381879E-2</c:v>
                </c:pt>
                <c:pt idx="327">
                  <c:v>6.6649683012527827E-2</c:v>
                </c:pt>
                <c:pt idx="328">
                  <c:v>6.6667570458421421E-2</c:v>
                </c:pt>
                <c:pt idx="329">
                  <c:v>6.6685457561506234E-2</c:v>
                </c:pt>
                <c:pt idx="330">
                  <c:v>6.6703344321788816E-2</c:v>
                </c:pt>
                <c:pt idx="331">
                  <c:v>6.6721230739275716E-2</c:v>
                </c:pt>
                <c:pt idx="332">
                  <c:v>6.6739116813973487E-2</c:v>
                </c:pt>
                <c:pt idx="333">
                  <c:v>6.6757002545888677E-2</c:v>
                </c:pt>
                <c:pt idx="334">
                  <c:v>6.6774887935027949E-2</c:v>
                </c:pt>
                <c:pt idx="335">
                  <c:v>6.6792772981397852E-2</c:v>
                </c:pt>
                <c:pt idx="336">
                  <c:v>6.6810657685004826E-2</c:v>
                </c:pt>
                <c:pt idx="337">
                  <c:v>6.6828542045855643E-2</c:v>
                </c:pt>
                <c:pt idx="338">
                  <c:v>6.6846426063956743E-2</c:v>
                </c:pt>
                <c:pt idx="339">
                  <c:v>6.6864309739314676E-2</c:v>
                </c:pt>
                <c:pt idx="340">
                  <c:v>6.6882193071935991E-2</c:v>
                </c:pt>
                <c:pt idx="341">
                  <c:v>6.6900076061827463E-2</c:v>
                </c:pt>
                <c:pt idx="342">
                  <c:v>6.6917958708995418E-2</c:v>
                </c:pt>
                <c:pt idx="343">
                  <c:v>6.6935841013446518E-2</c:v>
                </c:pt>
                <c:pt idx="344">
                  <c:v>6.6953722975187313E-2</c:v>
                </c:pt>
                <c:pt idx="345">
                  <c:v>6.6971604594224465E-2</c:v>
                </c:pt>
                <c:pt idx="346">
                  <c:v>6.6989485870564414E-2</c:v>
                </c:pt>
                <c:pt idx="347">
                  <c:v>6.7007366804213819E-2</c:v>
                </c:pt>
                <c:pt idx="348">
                  <c:v>6.7025247395179233E-2</c:v>
                </c:pt>
                <c:pt idx="349">
                  <c:v>6.7043127643467093E-2</c:v>
                </c:pt>
                <c:pt idx="350">
                  <c:v>6.7061007549084173E-2</c:v>
                </c:pt>
                <c:pt idx="351">
                  <c:v>6.7078887112036911E-2</c:v>
                </c:pt>
                <c:pt idx="352">
                  <c:v>6.7096766332331859E-2</c:v>
                </c:pt>
                <c:pt idx="353">
                  <c:v>6.7114645209975676E-2</c:v>
                </c:pt>
                <c:pt idx="354">
                  <c:v>6.7132523744974915E-2</c:v>
                </c:pt>
                <c:pt idx="355">
                  <c:v>6.7150401937336013E-2</c:v>
                </c:pt>
                <c:pt idx="356">
                  <c:v>6.7168279787065743E-2</c:v>
                </c:pt>
                <c:pt idx="357">
                  <c:v>6.7186157294170545E-2</c:v>
                </c:pt>
                <c:pt idx="358">
                  <c:v>6.7204034458656969E-2</c:v>
                </c:pt>
                <c:pt idx="359">
                  <c:v>6.7221911280531566E-2</c:v>
                </c:pt>
                <c:pt idx="360">
                  <c:v>6.7239787759800995E-2</c:v>
                </c:pt>
                <c:pt idx="361">
                  <c:v>6.7257663896471809E-2</c:v>
                </c:pt>
                <c:pt idx="362">
                  <c:v>6.7275539690550445E-2</c:v>
                </c:pt>
                <c:pt idx="363">
                  <c:v>6.7293415142043678E-2</c:v>
                </c:pt>
                <c:pt idx="364">
                  <c:v>6.7311290250957945E-2</c:v>
                </c:pt>
                <c:pt idx="365">
                  <c:v>6.7329165017299797E-2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4.8515542261488735E-2</c:v>
                </c:pt>
                <c:pt idx="1">
                  <c:v>4.8560649131790118E-2</c:v>
                </c:pt>
                <c:pt idx="2">
                  <c:v>4.860581865808334E-2</c:v>
                </c:pt>
                <c:pt idx="3">
                  <c:v>4.8651039816325001E-2</c:v>
                </c:pt>
                <c:pt idx="4">
                  <c:v>4.869630300801156E-2</c:v>
                </c:pt>
                <c:pt idx="5">
                  <c:v>4.8741600019664877E-2</c:v>
                </c:pt>
                <c:pt idx="6">
                  <c:v>4.8786923971290572E-2</c:v>
                </c:pt>
                <c:pt idx="7">
                  <c:v>4.8832269254671837E-2</c:v>
                </c:pt>
                <c:pt idx="8">
                  <c:v>4.8877631462437045E-2</c:v>
                </c:pt>
                <c:pt idx="9">
                  <c:v>4.8923007308906731E-2</c:v>
                </c:pt>
                <c:pt idx="10">
                  <c:v>4.8968394543780845E-2</c:v>
                </c:pt>
                <c:pt idx="11">
                  <c:v>4.9013791859771859E-2</c:v>
                </c:pt>
                <c:pt idx="12">
                  <c:v>4.9059198795322757E-2</c:v>
                </c:pt>
                <c:pt idx="13">
                  <c:v>4.9104615633570325E-2</c:v>
                </c:pt>
                <c:pt idx="14">
                  <c:v>4.9150043298724376E-2</c:v>
                </c:pt>
                <c:pt idx="15">
                  <c:v>4.9195483251031985E-2</c:v>
                </c:pt>
                <c:pt idx="16">
                  <c:v>4.9240937381483024E-2</c:v>
                </c:pt>
                <c:pt idx="17">
                  <c:v>4.928640790738914E-2</c:v>
                </c:pt>
                <c:pt idx="18">
                  <c:v>4.9331897269934116E-2</c:v>
                </c:pt>
                <c:pt idx="19">
                  <c:v>4.9377408034748181E-2</c:v>
                </c:pt>
                <c:pt idx="20">
                  <c:v>4.9422942796505193E-2</c:v>
                </c:pt>
                <c:pt idx="21">
                  <c:v>4.946850408847768E-2</c:v>
                </c:pt>
                <c:pt idx="22">
                  <c:v>4.9514094297913806E-2</c:v>
                </c:pt>
                <c:pt idx="23">
                  <c:v>4.9559715588021809E-2</c:v>
                </c:pt>
                <c:pt idx="24">
                  <c:v>4.9605369827261811E-2</c:v>
                </c:pt>
                <c:pt idx="25">
                  <c:v>4.9651058526555283E-2</c:v>
                </c:pt>
                <c:pt idx="26">
                  <c:v>4.9696782784927077E-2</c:v>
                </c:pt>
                <c:pt idx="27">
                  <c:v>4.9742543243996948E-2</c:v>
                </c:pt>
                <c:pt idx="28">
                  <c:v>4.9788340051636827E-2</c:v>
                </c:pt>
                <c:pt idx="29">
                  <c:v>4.9834172835008468E-2</c:v>
                </c:pt>
                <c:pt idx="30">
                  <c:v>4.988004068309395E-2</c:v>
                </c:pt>
                <c:pt idx="31">
                  <c:v>4.9925942138730119E-2</c:v>
                </c:pt>
                <c:pt idx="32">
                  <c:v>4.997187520005935E-2</c:v>
                </c:pt>
                <c:pt idx="33">
                  <c:v>5.0017837331211755E-2</c:v>
                </c:pt>
                <c:pt idx="34">
                  <c:v>5.0063825481941819E-2</c:v>
                </c:pt>
                <c:pt idx="35">
                  <c:v>5.0109836115854317E-2</c:v>
                </c:pt>
                <c:pt idx="36">
                  <c:v>5.0155865246771771E-2</c:v>
                </c:pt>
                <c:pt idx="37">
                  <c:v>5.0201908482719541E-2</c:v>
                </c:pt>
                <c:pt idx="38">
                  <c:v>5.0247961076935542E-2</c:v>
                </c:pt>
                <c:pt idx="39">
                  <c:v>5.0294017985249621E-2</c:v>
                </c:pt>
                <c:pt idx="40">
                  <c:v>5.0340073929124221E-2</c:v>
                </c:pt>
                <c:pt idx="41">
                  <c:v>5.0386123463602543E-2</c:v>
                </c:pt>
                <c:pt idx="42">
                  <c:v>5.043216104937423E-2</c:v>
                </c:pt>
                <c:pt idx="43">
                  <c:v>5.0478181128141397E-2</c:v>
                </c:pt>
                <c:pt idx="44">
                  <c:v>5.0524178200448647E-2</c:v>
                </c:pt>
                <c:pt idx="45">
                  <c:v>5.0570146905133215E-2</c:v>
                </c:pt>
                <c:pt idx="46">
                  <c:v>5.0616082099549618E-2</c:v>
                </c:pt>
                <c:pt idx="47">
                  <c:v>5.0661978939733128E-2</c:v>
                </c:pt>
                <c:pt idx="48">
                  <c:v>5.070783295968357E-2</c:v>
                </c:pt>
                <c:pt idx="49">
                  <c:v>5.0753640148976147E-2</c:v>
                </c:pt>
                <c:pt idx="50">
                  <c:v>5.0799397027940181E-2</c:v>
                </c:pt>
                <c:pt idx="51">
                  <c:v>5.0845100719686696E-2</c:v>
                </c:pt>
                <c:pt idx="52">
                  <c:v>5.0890749018313634E-2</c:v>
                </c:pt>
                <c:pt idx="53">
                  <c:v>5.0936340452670661E-2</c:v>
                </c:pt>
                <c:pt idx="54">
                  <c:v>5.0981874345124044E-2</c:v>
                </c:pt>
                <c:pt idx="55">
                  <c:v>5.1027350864825682E-2</c:v>
                </c:pt>
                <c:pt idx="56">
                  <c:v>5.1072771075056693E-2</c:v>
                </c:pt>
                <c:pt idx="57">
                  <c:v>5.111813697428625E-2</c:v>
                </c:pt>
                <c:pt idx="58">
                  <c:v>5.1163451530657773E-2</c:v>
                </c:pt>
                <c:pt idx="59">
                  <c:v>5.120871870968767E-2</c:v>
                </c:pt>
                <c:pt idx="60">
                  <c:v>5.1253943495035176E-2</c:v>
                </c:pt>
                <c:pt idx="61">
                  <c:v>5.1299131902274253E-2</c:v>
                </c:pt>
                <c:pt idx="62">
                  <c:v>5.1344290985670275E-2</c:v>
                </c:pt>
                <c:pt idx="63">
                  <c:v>5.1389428838032845E-2</c:v>
                </c:pt>
                <c:pt idx="64">
                  <c:v>5.1434554583783057E-2</c:v>
                </c:pt>
                <c:pt idx="65">
                  <c:v>5.1479678365435273E-2</c:v>
                </c:pt>
                <c:pt idx="66">
                  <c:v>5.1524811323752633E-2</c:v>
                </c:pt>
                <c:pt idx="67">
                  <c:v>5.1569965571888275E-2</c:v>
                </c:pt>
                <c:pt idx="68">
                  <c:v>5.1615154163872613E-2</c:v>
                </c:pt>
                <c:pt idx="69">
                  <c:v>5.1660391057849149E-2</c:v>
                </c:pt>
                <c:pt idx="70">
                  <c:v>5.17056910744969E-2</c:v>
                </c:pt>
                <c:pt idx="71">
                  <c:v>5.175106985110741E-2</c:v>
                </c:pt>
                <c:pt idx="72">
                  <c:v>5.1796543791806406E-2</c:v>
                </c:pt>
                <c:pt idx="73">
                  <c:v>5.1842130014426155E-2</c:v>
                </c:pt>
                <c:pt idx="74">
                  <c:v>5.1887846294543759E-2</c:v>
                </c:pt>
                <c:pt idx="75">
                  <c:v>5.1933711007201878E-2</c:v>
                </c:pt>
                <c:pt idx="76">
                  <c:v>5.1979743066824666E-2</c:v>
                </c:pt>
                <c:pt idx="77">
                  <c:v>5.202596186582982E-2</c:v>
                </c:pt>
                <c:pt idx="78">
                  <c:v>5.2072387212420419E-2</c:v>
                </c:pt>
                <c:pt idx="79">
                  <c:v>5.21190392680176E-2</c:v>
                </c:pt>
                <c:pt idx="80">
                  <c:v>5.2165938484765854E-2</c:v>
                </c:pt>
                <c:pt idx="81">
                  <c:v>5.2213105543509816E-2</c:v>
                </c:pt>
                <c:pt idx="82">
                  <c:v>5.2260561292603806E-2</c:v>
                </c:pt>
                <c:pt idx="83">
                  <c:v>5.2308326687873635E-2</c:v>
                </c:pt>
                <c:pt idx="84">
                  <c:v>5.2356422734006189E-2</c:v>
                </c:pt>
                <c:pt idx="85">
                  <c:v>5.2404870427595535E-2</c:v>
                </c:pt>
                <c:pt idx="86">
                  <c:v>5.2453690702025803E-2</c:v>
                </c:pt>
                <c:pt idx="87">
                  <c:v>5.2502904374322062E-2</c:v>
                </c:pt>
                <c:pt idx="88">
                  <c:v>5.2552532094051092E-2</c:v>
                </c:pt>
                <c:pt idx="89">
                  <c:v>5.2602594294305006E-2</c:v>
                </c:pt>
                <c:pt idx="90">
                  <c:v>5.2653111144753302E-2</c:v>
                </c:pt>
                <c:pt idx="91">
                  <c:v>5.2704102506703578E-2</c:v>
                </c:pt>
                <c:pt idx="92">
                  <c:v>5.2755587890068234E-2</c:v>
                </c:pt>
                <c:pt idx="93">
                  <c:v>5.2807586412094973E-2</c:v>
                </c:pt>
                <c:pt idx="94">
                  <c:v>5.2860116757683519E-2</c:v>
                </c:pt>
                <c:pt idx="95">
                  <c:v>5.2913197141079622E-2</c:v>
                </c:pt>
                <c:pt idx="96">
                  <c:v>5.296684526871144E-2</c:v>
                </c:pt>
                <c:pt idx="97">
                  <c:v>5.3021078302912028E-2</c:v>
                </c:pt>
                <c:pt idx="98">
                  <c:v>5.3075912826256885E-2</c:v>
                </c:pt>
                <c:pt idx="99">
                  <c:v>5.3131364806235634E-2</c:v>
                </c:pt>
                <c:pt idx="100">
                  <c:v>5.3187449559973905E-2</c:v>
                </c:pt>
                <c:pt idx="101">
                  <c:v>5.3244181718724179E-2</c:v>
                </c:pt>
                <c:pt idx="102">
                  <c:v>5.3301575191853454E-2</c:v>
                </c:pt>
                <c:pt idx="103">
                  <c:v>5.3359643130070591E-2</c:v>
                </c:pt>
                <c:pt idx="104">
                  <c:v>5.3418397887657613E-2</c:v>
                </c:pt>
                <c:pt idx="105">
                  <c:v>5.3477850983495639E-2</c:v>
                </c:pt>
                <c:pt idx="106">
                  <c:v>5.3538013060708621E-2</c:v>
                </c:pt>
                <c:pt idx="107">
                  <c:v>5.3598893844785341E-2</c:v>
                </c:pt>
                <c:pt idx="108">
                  <c:v>5.3660502100081636E-2</c:v>
                </c:pt>
                <c:pt idx="109">
                  <c:v>5.3722845584650909E-2</c:v>
                </c:pt>
                <c:pt idx="110">
                  <c:v>5.378593100339988E-2</c:v>
                </c:pt>
                <c:pt idx="111">
                  <c:v>5.3849763959618907E-2</c:v>
                </c:pt>
                <c:pt idx="112">
                  <c:v>5.3914348904990084E-2</c:v>
                </c:pt>
                <c:pt idx="113">
                  <c:v>5.3979689088231503E-2</c:v>
                </c:pt>
                <c:pt idx="114">
                  <c:v>5.4045786502592771E-2</c:v>
                </c:pt>
                <c:pt idx="115">
                  <c:v>5.4112641832471942E-2</c:v>
                </c:pt>
                <c:pt idx="116">
                  <c:v>5.4180254399479731E-2</c:v>
                </c:pt>
                <c:pt idx="117">
                  <c:v>5.4248622108329231E-2</c:v>
                </c:pt>
                <c:pt idx="118">
                  <c:v>5.4317741392980352E-2</c:v>
                </c:pt>
                <c:pt idx="119">
                  <c:v>5.4387607163515733E-2</c:v>
                </c:pt>
                <c:pt idx="120">
                  <c:v>1.0115831382539886E-2</c:v>
                </c:pt>
                <c:pt idx="121">
                  <c:v>1.0204309496594359E-2</c:v>
                </c:pt>
                <c:pt idx="122">
                  <c:v>1.0292934120071226E-2</c:v>
                </c:pt>
                <c:pt idx="123">
                  <c:v>1.0381705936010415E-2</c:v>
                </c:pt>
                <c:pt idx="124">
                  <c:v>1.0470625212692064E-2</c:v>
                </c:pt>
                <c:pt idx="125">
                  <c:v>1.0559691785036253E-2</c:v>
                </c:pt>
                <c:pt idx="126">
                  <c:v>1.0648905036752143E-2</c:v>
                </c:pt>
                <c:pt idx="127">
                  <c:v>1.0738263883414187E-2</c:v>
                </c:pt>
                <c:pt idx="128">
                  <c:v>1.0827766756647402E-2</c:v>
                </c:pt>
                <c:pt idx="129">
                  <c:v>1.0917411589607443E-2</c:v>
                </c:pt>
                <c:pt idx="130">
                  <c:v>1.1007195803941295E-2</c:v>
                </c:pt>
                <c:pt idx="131">
                  <c:v>1.1097116298414525E-2</c:v>
                </c:pt>
                <c:pt idx="132">
                  <c:v>1.1187169439387142E-2</c:v>
                </c:pt>
                <c:pt idx="133">
                  <c:v>1.1277351053315553E-2</c:v>
                </c:pt>
                <c:pt idx="134">
                  <c:v>1.1367656421450618E-2</c:v>
                </c:pt>
                <c:pt idx="135">
                  <c:v>1.1458080276892291E-2</c:v>
                </c:pt>
                <c:pt idx="136">
                  <c:v>1.1548616804149881E-2</c:v>
                </c:pt>
                <c:pt idx="137">
                  <c:v>1.1639259641343212E-2</c:v>
                </c:pt>
                <c:pt idx="138">
                  <c:v>1.1730001885164343E-2</c:v>
                </c:pt>
                <c:pt idx="139">
                  <c:v>1.1820836098701729E-2</c:v>
                </c:pt>
                <c:pt idx="140">
                  <c:v>1.1911754322209566E-2</c:v>
                </c:pt>
                <c:pt idx="141">
                  <c:v>1.2002748086883777E-2</c:v>
                </c:pt>
                <c:pt idx="142">
                  <c:v>1.2093808431683744E-2</c:v>
                </c:pt>
                <c:pt idx="143">
                  <c:v>1.2184925923214992E-2</c:v>
                </c:pt>
                <c:pt idx="144">
                  <c:v>1.2276090678663245E-2</c:v>
                </c:pt>
                <c:pt idx="145">
                  <c:v>1.2367292391744557E-2</c:v>
                </c:pt>
                <c:pt idx="146">
                  <c:v>1.2458520361609868E-2</c:v>
                </c:pt>
                <c:pt idx="147">
                  <c:v>1.25497635246159E-2</c:v>
                </c:pt>
                <c:pt idx="148">
                  <c:v>1.2641010488847327E-2</c:v>
                </c:pt>
                <c:pt idx="149">
                  <c:v>1.2732249571249054E-2</c:v>
                </c:pt>
                <c:pt idx="150">
                  <c:v>1.2823468837201061E-2</c:v>
                </c:pt>
                <c:pt idx="151">
                  <c:v>1.2914656142343352E-2</c:v>
                </c:pt>
                <c:pt idx="152">
                  <c:v>1.3005799176434303E-2</c:v>
                </c:pt>
                <c:pt idx="153">
                  <c:v>1.309688550900278E-2</c:v>
                </c:pt>
                <c:pt idx="154">
                  <c:v>1.3187902636533201E-2</c:v>
                </c:pt>
                <c:pt idx="155">
                  <c:v>1.3278838030903389E-2</c:v>
                </c:pt>
                <c:pt idx="156">
                  <c:v>1.3369679188777649E-2</c:v>
                </c:pt>
                <c:pt idx="157">
                  <c:v>1.346041368164236E-2</c:v>
                </c:pt>
                <c:pt idx="158">
                  <c:v>1.3551029206159155E-2</c:v>
                </c:pt>
                <c:pt idx="159">
                  <c:v>1.3641513634500727E-2</c:v>
                </c:pt>
                <c:pt idx="160">
                  <c:v>1.3731855064327243E-2</c:v>
                </c:pt>
                <c:pt idx="161">
                  <c:v>1.3822041868057451E-2</c:v>
                </c:pt>
                <c:pt idx="162">
                  <c:v>1.3912062741087671E-2</c:v>
                </c:pt>
                <c:pt idx="163">
                  <c:v>1.4001906748613756E-2</c:v>
                </c:pt>
                <c:pt idx="164">
                  <c:v>1.409156337071666E-2</c:v>
                </c:pt>
                <c:pt idx="165">
                  <c:v>1.4181022545380678E-2</c:v>
                </c:pt>
                <c:pt idx="166">
                  <c:v>1.4270274709125039E-2</c:v>
                </c:pt>
                <c:pt idx="167">
                  <c:v>1.4359310834944242E-2</c:v>
                </c:pt>
                <c:pt idx="168">
                  <c:v>1.4448122467270204E-2</c:v>
                </c:pt>
                <c:pt idx="169">
                  <c:v>1.4536701753689792E-2</c:v>
                </c:pt>
                <c:pt idx="170">
                  <c:v>1.4625041473174522E-2</c:v>
                </c:pt>
                <c:pt idx="171">
                  <c:v>1.4713135060604931E-2</c:v>
                </c:pt>
                <c:pt idx="172">
                  <c:v>1.4800976627399959E-2</c:v>
                </c:pt>
                <c:pt idx="173">
                  <c:v>1.4888560978091925E-2</c:v>
                </c:pt>
                <c:pt idx="174">
                  <c:v>1.4975883622719014E-2</c:v>
                </c:pt>
                <c:pt idx="175">
                  <c:v>1.5062940784940783E-2</c:v>
                </c:pt>
                <c:pt idx="176">
                  <c:v>1.5149729405816218E-2</c:v>
                </c:pt>
                <c:pt idx="177">
                  <c:v>1.5236247143219223E-2</c:v>
                </c:pt>
                <c:pt idx="178">
                  <c:v>1.5322492366901931E-2</c:v>
                </c:pt>
                <c:pt idx="179">
                  <c:v>1.5408464149251885E-2</c:v>
                </c:pt>
                <c:pt idx="180">
                  <c:v>1.54941622518251E-2</c:v>
                </c:pt>
                <c:pt idx="181">
                  <c:v>1.5579587107771173E-2</c:v>
                </c:pt>
                <c:pt idx="182">
                  <c:v>1.5664739800301572E-2</c:v>
                </c:pt>
                <c:pt idx="183">
                  <c:v>1.5749622037384003E-2</c:v>
                </c:pt>
                <c:pt idx="184">
                  <c:v>1.5834236122877741E-2</c:v>
                </c:pt>
                <c:pt idx="185">
                  <c:v>1.5918584924353288E-2</c:v>
                </c:pt>
                <c:pt idx="186">
                  <c:v>1.6002671837867091E-2</c:v>
                </c:pt>
                <c:pt idx="187">
                  <c:v>1.6086500749986261E-2</c:v>
                </c:pt>
                <c:pt idx="188">
                  <c:v>1.617007599737998E-2</c:v>
                </c:pt>
                <c:pt idx="189">
                  <c:v>1.6253402324312761E-2</c:v>
                </c:pt>
                <c:pt idx="190">
                  <c:v>1.6336484838390199E-2</c:v>
                </c:pt>
                <c:pt idx="191">
                  <c:v>1.6419328964920044E-2</c:v>
                </c:pt>
                <c:pt idx="192">
                  <c:v>1.6501940400259433E-2</c:v>
                </c:pt>
                <c:pt idx="193">
                  <c:v>1.6584325064524598E-2</c:v>
                </c:pt>
                <c:pt idx="194">
                  <c:v>1.6666489054040168E-2</c:v>
                </c:pt>
                <c:pt idx="195">
                  <c:v>1.6748438593902806E-2</c:v>
                </c:pt>
                <c:pt idx="196">
                  <c:v>1.6830179991027844E-2</c:v>
                </c:pt>
                <c:pt idx="197">
                  <c:v>1.6911719588037742E-2</c:v>
                </c:pt>
                <c:pt idx="198">
                  <c:v>1.6993063718337774E-2</c:v>
                </c:pt>
                <c:pt idx="199">
                  <c:v>1.7074218662707929E-2</c:v>
                </c:pt>
                <c:pt idx="200">
                  <c:v>1.7155190607719931E-2</c:v>
                </c:pt>
                <c:pt idx="201">
                  <c:v>1.7235985606265436E-2</c:v>
                </c:pt>
                <c:pt idx="202">
                  <c:v>1.7316609540455753E-2</c:v>
                </c:pt>
                <c:pt idx="203">
                  <c:v>1.7397068087125628E-2</c:v>
                </c:pt>
                <c:pt idx="204">
                  <c:v>1.7477366686142738E-2</c:v>
                </c:pt>
                <c:pt idx="205">
                  <c:v>1.7557510511692933E-2</c:v>
                </c:pt>
                <c:pt idx="206">
                  <c:v>1.7637504446677412E-2</c:v>
                </c:pt>
                <c:pt idx="207">
                  <c:v>1.7717353060322967E-2</c:v>
                </c:pt>
                <c:pt idx="208">
                  <c:v>1.7797060589071351E-2</c:v>
                </c:pt>
                <c:pt idx="209">
                  <c:v>1.7876630920777549E-2</c:v>
                </c:pt>
                <c:pt idx="210">
                  <c:v>1.7956067582210886E-2</c:v>
                </c:pt>
                <c:pt idx="211">
                  <c:v>1.8035373729817877E-2</c:v>
                </c:pt>
                <c:pt idx="212">
                  <c:v>1.8114552143670422E-2</c:v>
                </c:pt>
                <c:pt idx="213">
                  <c:v>1.8193605224490345E-2</c:v>
                </c:pt>
                <c:pt idx="214">
                  <c:v>1.827253499360899E-2</c:v>
                </c:pt>
                <c:pt idx="215">
                  <c:v>1.8351343095690951E-2</c:v>
                </c:pt>
                <c:pt idx="216">
                  <c:v>1.8430030804023709E-2</c:v>
                </c:pt>
                <c:pt idx="217">
                  <c:v>1.8508599028149778E-2</c:v>
                </c:pt>
                <c:pt idx="218">
                  <c:v>1.8587048323596318E-2</c:v>
                </c:pt>
                <c:pt idx="219">
                  <c:v>1.8665378903438234E-2</c:v>
                </c:pt>
                <c:pt idx="220">
                  <c:v>1.8743590651415447E-2</c:v>
                </c:pt>
                <c:pt idx="221">
                  <c:v>1.8821683136313497E-2</c:v>
                </c:pt>
                <c:pt idx="222">
                  <c:v>1.8899655627308064E-2</c:v>
                </c:pt>
                <c:pt idx="223">
                  <c:v>1.8977507109970454E-2</c:v>
                </c:pt>
                <c:pt idx="224">
                  <c:v>1.9055236302630264E-2</c:v>
                </c:pt>
                <c:pt idx="225">
                  <c:v>1.9132841672795324E-2</c:v>
                </c:pt>
                <c:pt idx="226">
                  <c:v>1.9210321453336596E-2</c:v>
                </c:pt>
                <c:pt idx="227">
                  <c:v>1.9287673658156642E-2</c:v>
                </c:pt>
                <c:pt idx="228">
                  <c:v>1.9364896097075875E-2</c:v>
                </c:pt>
                <c:pt idx="229">
                  <c:v>1.9441986389688852E-2</c:v>
                </c:pt>
                <c:pt idx="230">
                  <c:v>1.9518941977965099E-2</c:v>
                </c:pt>
                <c:pt idx="231">
                  <c:v>1.9595760137393746E-2</c:v>
                </c:pt>
                <c:pt idx="232">
                  <c:v>1.9672437986499286E-2</c:v>
                </c:pt>
                <c:pt idx="233">
                  <c:v>1.9748972494585751E-2</c:v>
                </c:pt>
                <c:pt idx="234">
                  <c:v>1.9825360487599364E-2</c:v>
                </c:pt>
                <c:pt idx="235">
                  <c:v>1.9901598652033666E-2</c:v>
                </c:pt>
                <c:pt idx="236">
                  <c:v>1.9977683536836949E-2</c:v>
                </c:pt>
                <c:pt idx="237">
                  <c:v>2.0053611553317932E-2</c:v>
                </c:pt>
                <c:pt idx="238">
                  <c:v>2.0129378973083135E-2</c:v>
                </c:pt>
                <c:pt idx="239">
                  <c:v>2.0204981924076111E-2</c:v>
                </c:pt>
                <c:pt idx="240">
                  <c:v>2.0280416384825466E-2</c:v>
                </c:pt>
                <c:pt idx="241">
                  <c:v>2.035567817704436E-2</c:v>
                </c:pt>
                <c:pt idx="242">
                  <c:v>2.043076295675892E-2</c:v>
                </c:pt>
                <c:pt idx="243">
                  <c:v>2.0505666204175356E-2</c:v>
                </c:pt>
                <c:pt idx="244">
                  <c:v>2.0580383212526508E-2</c:v>
                </c:pt>
                <c:pt idx="245">
                  <c:v>2.0654909076166281E-2</c:v>
                </c:pt>
                <c:pt idx="246">
                  <c:v>2.0729238678205673E-2</c:v>
                </c:pt>
                <c:pt idx="247">
                  <c:v>2.0803366678005586E-2</c:v>
                </c:pt>
                <c:pt idx="248">
                  <c:v>2.0877287498859785E-2</c:v>
                </c:pt>
                <c:pt idx="249">
                  <c:v>2.0950995316215432E-2</c:v>
                </c:pt>
                <c:pt idx="250">
                  <c:v>2.1024484046788628E-2</c:v>
                </c:pt>
                <c:pt idx="251">
                  <c:v>2.1097747338937756E-2</c:v>
                </c:pt>
                <c:pt idx="252">
                  <c:v>2.1170778564658696E-2</c:v>
                </c:pt>
                <c:pt idx="253">
                  <c:v>2.1243570813562273E-2</c:v>
                </c:pt>
                <c:pt idx="254">
                  <c:v>2.1316116889185721E-2</c:v>
                </c:pt>
                <c:pt idx="255">
                  <c:v>2.1388409307977568E-2</c:v>
                </c:pt>
                <c:pt idx="256">
                  <c:v>2.1460440301276841E-2</c:v>
                </c:pt>
                <c:pt idx="257">
                  <c:v>2.153220182058618E-2</c:v>
                </c:pt>
                <c:pt idx="258">
                  <c:v>2.1603685546411261E-2</c:v>
                </c:pt>
                <c:pt idx="259">
                  <c:v>2.167488290090824E-2</c:v>
                </c:pt>
                <c:pt idx="260">
                  <c:v>2.1745785064546764E-2</c:v>
                </c:pt>
                <c:pt idx="261">
                  <c:v>2.1816382996957019E-2</c:v>
                </c:pt>
                <c:pt idx="262">
                  <c:v>2.1886667462088453E-2</c:v>
                </c:pt>
                <c:pt idx="263">
                  <c:v>2.1956629057762793E-2</c:v>
                </c:pt>
                <c:pt idx="264">
                  <c:v>2.2026258249657652E-2</c:v>
                </c:pt>
                <c:pt idx="265">
                  <c:v>2.2095545409707696E-2</c:v>
                </c:pt>
                <c:pt idx="266">
                  <c:v>2.2164480858860261E-2</c:v>
                </c:pt>
                <c:pt idx="267">
                  <c:v>2.2233054914070984E-2</c:v>
                </c:pt>
                <c:pt idx="268">
                  <c:v>2.2301257939373091E-2</c:v>
                </c:pt>
                <c:pt idx="269">
                  <c:v>2.2369080400802769E-2</c:v>
                </c:pt>
                <c:pt idx="270">
                  <c:v>2.2436512924911431E-2</c:v>
                </c:pt>
                <c:pt idx="271">
                  <c:v>2.2503546360546901E-2</c:v>
                </c:pt>
                <c:pt idx="272">
                  <c:v>2.257017184353664E-2</c:v>
                </c:pt>
                <c:pt idx="273">
                  <c:v>2.2636380863861404E-2</c:v>
                </c:pt>
                <c:pt idx="274">
                  <c:v>2.2702165334864643E-2</c:v>
                </c:pt>
                <c:pt idx="275">
                  <c:v>2.2767517664003541E-2</c:v>
                </c:pt>
                <c:pt idx="276">
                  <c:v>2.2832430824612688E-2</c:v>
                </c:pt>
                <c:pt idx="277">
                  <c:v>2.2896898428119646E-2</c:v>
                </c:pt>
                <c:pt idx="278">
                  <c:v>2.2960914796125859E-2</c:v>
                </c:pt>
                <c:pt idx="279">
                  <c:v>2.3024475031744641E-2</c:v>
                </c:pt>
                <c:pt idx="280">
                  <c:v>2.3087575089572699E-2</c:v>
                </c:pt>
                <c:pt idx="281">
                  <c:v>2.3150211843660857E-2</c:v>
                </c:pt>
                <c:pt idx="282">
                  <c:v>2.3212383152846048E-2</c:v>
                </c:pt>
                <c:pt idx="283">
                  <c:v>2.3274087922808336E-2</c:v>
                </c:pt>
                <c:pt idx="284">
                  <c:v>2.3335326164224474E-2</c:v>
                </c:pt>
                <c:pt idx="285">
                  <c:v>2.3396099046404554E-2</c:v>
                </c:pt>
                <c:pt idx="286">
                  <c:v>2.345640894581786E-2</c:v>
                </c:pt>
                <c:pt idx="287">
                  <c:v>2.3516259488941569E-2</c:v>
                </c:pt>
                <c:pt idx="288">
                  <c:v>2.3575655588897845E-2</c:v>
                </c:pt>
                <c:pt idx="289">
                  <c:v>2.3634603475383657E-2</c:v>
                </c:pt>
                <c:pt idx="290">
                  <c:v>2.3693110717441089E-2</c:v>
                </c:pt>
                <c:pt idx="291">
                  <c:v>2.3751186238665411E-2</c:v>
                </c:pt>
                <c:pt idx="292">
                  <c:v>2.3808840324501337E-2</c:v>
                </c:pt>
                <c:pt idx="293">
                  <c:v>2.3866084621336409E-2</c:v>
                </c:pt>
                <c:pt idx="294">
                  <c:v>2.3922932127162261E-2</c:v>
                </c:pt>
                <c:pt idx="295">
                  <c:v>2.3979397173639509E-2</c:v>
                </c:pt>
                <c:pt idx="296">
                  <c:v>2.4035495399470329E-2</c:v>
                </c:pt>
                <c:pt idx="297">
                  <c:v>2.4091243715052696E-2</c:v>
                </c:pt>
                <c:pt idx="298">
                  <c:v>2.4146660258461659E-2</c:v>
                </c:pt>
                <c:pt idx="299">
                  <c:v>2.420176434287594E-2</c:v>
                </c:pt>
                <c:pt idx="300">
                  <c:v>2.4256576395640172E-2</c:v>
                </c:pt>
                <c:pt idx="301">
                  <c:v>2.4311117889225645E-2</c:v>
                </c:pt>
                <c:pt idx="302">
                  <c:v>2.436541126442299E-2</c:v>
                </c:pt>
                <c:pt idx="303">
                  <c:v>2.4419479846169333E-2</c:v>
                </c:pt>
                <c:pt idx="304">
                  <c:v>2.4473347752479214E-2</c:v>
                </c:pt>
                <c:pt idx="305">
                  <c:v>2.4527039797011117E-2</c:v>
                </c:pt>
                <c:pt idx="306">
                  <c:v>2.4580581385861749E-2</c:v>
                </c:pt>
                <c:pt idx="307">
                  <c:v>2.4633998409234751E-2</c:v>
                </c:pt>
                <c:pt idx="308">
                  <c:v>2.4687317128680473E-2</c:v>
                </c:pt>
                <c:pt idx="309">
                  <c:v>2.4740564060648576E-2</c:v>
                </c:pt>
                <c:pt idx="310">
                  <c:v>2.4793765857133242E-2</c:v>
                </c:pt>
                <c:pt idx="311">
                  <c:v>2.4846949184223442E-2</c:v>
                </c:pt>
                <c:pt idx="312">
                  <c:v>2.4900140599396017E-2</c:v>
                </c:pt>
                <c:pt idx="313">
                  <c:v>2.4953366428408005E-2</c:v>
                </c:pt>
                <c:pt idx="314">
                  <c:v>2.5006652642655832E-2</c:v>
                </c:pt>
                <c:pt idx="315">
                  <c:v>2.5060024737872846E-2</c:v>
                </c:pt>
                <c:pt idx="316">
                  <c:v>2.5113507615033139E-2</c:v>
                </c:pt>
                <c:pt idx="317">
                  <c:v>2.5167125464318419E-2</c:v>
                </c:pt>
                <c:pt idx="318">
                  <c:v>2.5220901652986016E-2</c:v>
                </c:pt>
                <c:pt idx="319">
                  <c:v>2.5274858617950331E-2</c:v>
                </c:pt>
                <c:pt idx="320">
                  <c:v>2.5329017763856709E-2</c:v>
                </c:pt>
                <c:pt idx="321">
                  <c:v>2.5383399367387045E-2</c:v>
                </c:pt>
                <c:pt idx="322">
                  <c:v>2.5438022488489569E-2</c:v>
                </c:pt>
                <c:pt idx="323">
                  <c:v>2.5492904889172736E-2</c:v>
                </c:pt>
                <c:pt idx="324">
                  <c:v>2.5548062960444737E-2</c:v>
                </c:pt>
                <c:pt idx="325">
                  <c:v>2.5603511657916512E-2</c:v>
                </c:pt>
                <c:pt idx="326">
                  <c:v>2.5659264446517688E-2</c:v>
                </c:pt>
                <c:pt idx="327">
                  <c:v>2.5715333254703043E-2</c:v>
                </c:pt>
                <c:pt idx="328">
                  <c:v>2.5771728438450773E-2</c:v>
                </c:pt>
                <c:pt idx="329">
                  <c:v>2.5828458755276184E-2</c:v>
                </c:pt>
                <c:pt idx="330">
                  <c:v>2.5885531348403257E-2</c:v>
                </c:pt>
                <c:pt idx="331">
                  <c:v>2.5942951741155601E-2</c:v>
                </c:pt>
                <c:pt idx="332">
                  <c:v>2.600072384154568E-2</c:v>
                </c:pt>
                <c:pt idx="333">
                  <c:v>2.6058849956959371E-2</c:v>
                </c:pt>
                <c:pt idx="334">
                  <c:v>2.6117330818751908E-2</c:v>
                </c:pt>
                <c:pt idx="335">
                  <c:v>2.6176165616492116E-2</c:v>
                </c:pt>
                <c:pt idx="336">
                  <c:v>2.6235352041514792E-2</c:v>
                </c:pt>
                <c:pt idx="337">
                  <c:v>2.6294886339367461E-2</c:v>
                </c:pt>
                <c:pt idx="338">
                  <c:v>2.6354763370668072E-2</c:v>
                </c:pt>
                <c:pt idx="339">
                  <c:v>2.6414976679824221E-2</c:v>
                </c:pt>
                <c:pt idx="340">
                  <c:v>2.6475518571004646E-2</c:v>
                </c:pt>
                <c:pt idx="341">
                  <c:v>2.6536380190698688E-2</c:v>
                </c:pt>
                <c:pt idx="342">
                  <c:v>2.6597551616150239E-2</c:v>
                </c:pt>
                <c:pt idx="343">
                  <c:v>2.6659021948911434E-2</c:v>
                </c:pt>
                <c:pt idx="344">
                  <c:v>2.6720779412724761E-2</c:v>
                </c:pt>
                <c:pt idx="345">
                  <c:v>2.6782811454915116E-2</c:v>
                </c:pt>
                <c:pt idx="346">
                  <c:v>2.6845104850451915E-2</c:v>
                </c:pt>
                <c:pt idx="347">
                  <c:v>2.6907645807828388E-2</c:v>
                </c:pt>
                <c:pt idx="348">
                  <c:v>2.6970420075899761E-2</c:v>
                </c:pt>
                <c:pt idx="349">
                  <c:v>2.7033413050823921E-2</c:v>
                </c:pt>
                <c:pt idx="350">
                  <c:v>2.7096609882258232E-2</c:v>
                </c:pt>
                <c:pt idx="351">
                  <c:v>2.7159995577983358E-2</c:v>
                </c:pt>
                <c:pt idx="352">
                  <c:v>2.722355510614952E-2</c:v>
                </c:pt>
                <c:pt idx="353">
                  <c:v>2.7287273494372058E-2</c:v>
                </c:pt>
                <c:pt idx="354">
                  <c:v>2.7351135924942056E-2</c:v>
                </c:pt>
                <c:pt idx="355">
                  <c:v>2.7415127825461735E-2</c:v>
                </c:pt>
                <c:pt idx="356">
                  <c:v>2.7479234954264978E-2</c:v>
                </c:pt>
                <c:pt idx="357">
                  <c:v>2.7543443480039401E-2</c:v>
                </c:pt>
                <c:pt idx="358">
                  <c:v>2.7607740055126371E-2</c:v>
                </c:pt>
                <c:pt idx="359">
                  <c:v>2.7672111882040371E-2</c:v>
                </c:pt>
                <c:pt idx="360">
                  <c:v>2.7736546772817179E-2</c:v>
                </c:pt>
                <c:pt idx="361">
                  <c:v>2.7801033200871191E-2</c:v>
                </c:pt>
                <c:pt idx="362">
                  <c:v>2.7865560345115385E-2</c:v>
                </c:pt>
                <c:pt idx="363">
                  <c:v>2.7930118126172118E-2</c:v>
                </c:pt>
                <c:pt idx="364">
                  <c:v>2.7994697234577665E-2</c:v>
                </c:pt>
                <c:pt idx="365">
                  <c:v>2.8059289150959264E-2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2.1293860658118452E-3</c:v>
                </c:pt>
                <c:pt idx="1">
                  <c:v>2.0721874026987364E-3</c:v>
                </c:pt>
                <c:pt idx="2">
                  <c:v>2.0170211217809477E-3</c:v>
                </c:pt>
                <c:pt idx="3">
                  <c:v>1.963930857141096E-3</c:v>
                </c:pt>
                <c:pt idx="4">
                  <c:v>1.9129528685673961E-3</c:v>
                </c:pt>
                <c:pt idx="5">
                  <c:v>1.8641162983717881E-3</c:v>
                </c:pt>
                <c:pt idx="6">
                  <c:v>1.8174434796683347E-3</c:v>
                </c:pt>
                <c:pt idx="7">
                  <c:v>1.7729502892125529E-3</c:v>
                </c:pt>
                <c:pt idx="8">
                  <c:v>1.7304370689113736E-3</c:v>
                </c:pt>
                <c:pt idx="9">
                  <c:v>1.6906517595672863E-3</c:v>
                </c:pt>
                <c:pt idx="10">
                  <c:v>1.6546257540502648E-3</c:v>
                </c:pt>
                <c:pt idx="11">
                  <c:v>1.6223500234174278E-3</c:v>
                </c:pt>
                <c:pt idx="12">
                  <c:v>1.5938036066477966E-3</c:v>
                </c:pt>
                <c:pt idx="13">
                  <c:v>1.5689551845513349E-3</c:v>
                </c:pt>
                <c:pt idx="14">
                  <c:v>1.5477646273145476E-3</c:v>
                </c:pt>
                <c:pt idx="15">
                  <c:v>1.5280927888760868E-3</c:v>
                </c:pt>
                <c:pt idx="16">
                  <c:v>1.5072399051951164E-3</c:v>
                </c:pt>
                <c:pt idx="17">
                  <c:v>1.4852985310491648E-3</c:v>
                </c:pt>
                <c:pt idx="18">
                  <c:v>1.4623565001718071E-3</c:v>
                </c:pt>
                <c:pt idx="19">
                  <c:v>1.4385046846605819E-3</c:v>
                </c:pt>
                <c:pt idx="20">
                  <c:v>1.4138317988150843E-3</c:v>
                </c:pt>
                <c:pt idx="21">
                  <c:v>1.3884144303373163E-3</c:v>
                </c:pt>
                <c:pt idx="22">
                  <c:v>1.3621332982423093E-3</c:v>
                </c:pt>
                <c:pt idx="23">
                  <c:v>1.3350901804337935E-3</c:v>
                </c:pt>
                <c:pt idx="24">
                  <c:v>1.3065940542756817E-3</c:v>
                </c:pt>
                <c:pt idx="25">
                  <c:v>1.2767562656962291E-3</c:v>
                </c:pt>
                <c:pt idx="26">
                  <c:v>1.2456811040366369E-3</c:v>
                </c:pt>
                <c:pt idx="27">
                  <c:v>1.2134655305770779E-3</c:v>
                </c:pt>
                <c:pt idx="28">
                  <c:v>1.1801990177474676E-3</c:v>
                </c:pt>
                <c:pt idx="29">
                  <c:v>1.1464922503185663E-3</c:v>
                </c:pt>
                <c:pt idx="30">
                  <c:v>1.1141798808752671E-3</c:v>
                </c:pt>
                <c:pt idx="31">
                  <c:v>1.0832542561878538E-3</c:v>
                </c:pt>
                <c:pt idx="32">
                  <c:v>1.0537038830215021E-3</c:v>
                </c:pt>
                <c:pt idx="33">
                  <c:v>1.0255140621873698E-3</c:v>
                </c:pt>
                <c:pt idx="34">
                  <c:v>9.9866747568300098E-4</c:v>
                </c:pt>
                <c:pt idx="35">
                  <c:v>9.7314472767621345E-4</c:v>
                </c:pt>
                <c:pt idx="36">
                  <c:v>9.4885268303180823E-4</c:v>
                </c:pt>
                <c:pt idx="37">
                  <c:v>9.2507684301477316E-4</c:v>
                </c:pt>
                <c:pt idx="38">
                  <c:v>9.0163588728257263E-4</c:v>
                </c:pt>
                <c:pt idx="39">
                  <c:v>8.7852326296576481E-4</c:v>
                </c:pt>
                <c:pt idx="40">
                  <c:v>8.5573228707758447E-4</c:v>
                </c:pt>
                <c:pt idx="41">
                  <c:v>8.3325619329010505E-4</c:v>
                </c:pt>
                <c:pt idx="42">
                  <c:v>8.1108817451545207E-4</c:v>
                </c:pt>
                <c:pt idx="43">
                  <c:v>7.8886575701260346E-4</c:v>
                </c:pt>
                <c:pt idx="44">
                  <c:v>7.6613705584223748E-4</c:v>
                </c:pt>
                <c:pt idx="45">
                  <c:v>7.4291724234937869E-4</c:v>
                </c:pt>
                <c:pt idx="46">
                  <c:v>7.1922068605556329E-4</c:v>
                </c:pt>
                <c:pt idx="47">
                  <c:v>6.950609932000444E-4</c:v>
                </c:pt>
                <c:pt idx="48">
                  <c:v>6.7045103858830678E-4</c:v>
                </c:pt>
                <c:pt idx="49">
                  <c:v>6.4540299050155361E-4</c:v>
                </c:pt>
                <c:pt idx="50">
                  <c:v>6.1992416260381431E-4</c:v>
                </c:pt>
                <c:pt idx="51">
                  <c:v>5.9430540906323928E-4</c:v>
                </c:pt>
                <c:pt idx="52">
                  <c:v>5.6908315900811479E-4</c:v>
                </c:pt>
                <c:pt idx="53">
                  <c:v>5.4424373899585087E-4</c:v>
                </c:pt>
                <c:pt idx="54">
                  <c:v>5.1977710322805232E-4</c:v>
                </c:pt>
                <c:pt idx="55">
                  <c:v>4.9567371548923619E-4</c:v>
                </c:pt>
                <c:pt idx="56">
                  <c:v>4.719245022639606E-4</c:v>
                </c:pt>
                <c:pt idx="57">
                  <c:v>4.4905187808250786E-4</c:v>
                </c:pt>
                <c:pt idx="58">
                  <c:v>4.2734700281004968E-4</c:v>
                </c:pt>
                <c:pt idx="59">
                  <c:v>4.0678194700078291E-4</c:v>
                </c:pt>
                <c:pt idx="60">
                  <c:v>3.8732974801469207E-4</c:v>
                </c:pt>
                <c:pt idx="61">
                  <c:v>3.6896435554157611E-4</c:v>
                </c:pt>
                <c:pt idx="62">
                  <c:v>3.5166058305132684E-4</c:v>
                </c:pt>
                <c:pt idx="63">
                  <c:v>3.3539406520194419E-4</c:v>
                </c:pt>
                <c:pt idx="64">
                  <c:v>3.2013297521714835E-4</c:v>
                </c:pt>
                <c:pt idx="65">
                  <c:v>3.0608086820953505E-4</c:v>
                </c:pt>
                <c:pt idx="66">
                  <c:v>2.9296361136408829E-4</c:v>
                </c:pt>
                <c:pt idx="67">
                  <c:v>2.8076496212558669E-4</c:v>
                </c:pt>
                <c:pt idx="68">
                  <c:v>2.6946853664038721E-4</c:v>
                </c:pt>
                <c:pt idx="69">
                  <c:v>2.5905793912365404E-4</c:v>
                </c:pt>
                <c:pt idx="70">
                  <c:v>2.4951688548733713E-4</c:v>
                </c:pt>
                <c:pt idx="71">
                  <c:v>2.408523043247178E-4</c:v>
                </c:pt>
                <c:pt idx="72">
                  <c:v>2.3257433710581279E-4</c:v>
                </c:pt>
                <c:pt idx="73">
                  <c:v>2.2467686061852275E-4</c:v>
                </c:pt>
                <c:pt idx="74">
                  <c:v>2.1715368152067893E-4</c:v>
                </c:pt>
                <c:pt idx="75">
                  <c:v>2.0999858295352815E-4</c:v>
                </c:pt>
                <c:pt idx="76">
                  <c:v>2.0320536936268633E-4</c:v>
                </c:pt>
                <c:pt idx="77">
                  <c:v>1.9676790957314069E-4</c:v>
                </c:pt>
                <c:pt idx="78">
                  <c:v>1.9066807818216377E-4</c:v>
                </c:pt>
                <c:pt idx="79">
                  <c:v>1.849585236101479E-4</c:v>
                </c:pt>
                <c:pt idx="80">
                  <c:v>1.7942618237903058E-4</c:v>
                </c:pt>
                <c:pt idx="81">
                  <c:v>1.7407041614410943E-4</c:v>
                </c:pt>
                <c:pt idx="82">
                  <c:v>1.6889020166657831E-4</c:v>
                </c:pt>
                <c:pt idx="83">
                  <c:v>1.6388417518900904E-4</c:v>
                </c:pt>
                <c:pt idx="84">
                  <c:v>1.5905067517920512E-4</c:v>
                </c:pt>
                <c:pt idx="85">
                  <c:v>1.5445662209969766E-4</c:v>
                </c:pt>
                <c:pt idx="86">
                  <c:v>1.500777553769218E-4</c:v>
                </c:pt>
                <c:pt idx="87">
                  <c:v>1.4591133894944146E-4</c:v>
                </c:pt>
                <c:pt idx="88">
                  <c:v>1.4195459959315249E-4</c:v>
                </c:pt>
                <c:pt idx="89">
                  <c:v>1.3820476811596206E-4</c:v>
                </c:pt>
                <c:pt idx="90">
                  <c:v>1.3465911853359236E-4</c:v>
                </c:pt>
                <c:pt idx="91">
                  <c:v>1.3131500544048087E-4</c:v>
                </c:pt>
                <c:pt idx="92">
                  <c:v>1.2816438365822075E-4</c:v>
                </c:pt>
                <c:pt idx="93">
                  <c:v>1.2520148085209777E-4</c:v>
                </c:pt>
                <c:pt idx="94">
                  <c:v>1.2235907911303741E-4</c:v>
                </c:pt>
                <c:pt idx="95">
                  <c:v>1.1963459024103266E-4</c:v>
                </c:pt>
                <c:pt idx="96">
                  <c:v>1.1702554533212441E-4</c:v>
                </c:pt>
                <c:pt idx="97">
                  <c:v>1.1452959756896054E-4</c:v>
                </c:pt>
                <c:pt idx="98">
                  <c:v>1.1214452512836763E-4</c:v>
                </c:pt>
                <c:pt idx="99">
                  <c:v>1.0987812448049955E-4</c:v>
                </c:pt>
                <c:pt idx="100">
                  <c:v>1.0766050412022226E-4</c:v>
                </c:pt>
                <c:pt idx="101">
                  <c:v>1.0548941642802515E-4</c:v>
                </c:pt>
                <c:pt idx="102">
                  <c:v>1.0336260599018233E-4</c:v>
                </c:pt>
                <c:pt idx="103">
                  <c:v>1.0127780950477923E-4</c:v>
                </c:pt>
                <c:pt idx="104">
                  <c:v>9.9232755686426752E-5</c:v>
                </c:pt>
                <c:pt idx="105">
                  <c:v>9.7225165106538242E-5</c:v>
                </c:pt>
                <c:pt idx="106">
                  <c:v>9.525231626432582E-5</c:v>
                </c:pt>
                <c:pt idx="107">
                  <c:v>9.3347148214319059E-5</c:v>
                </c:pt>
                <c:pt idx="108">
                  <c:v>9.1504728968397971E-5</c:v>
                </c:pt>
                <c:pt idx="109">
                  <c:v>8.9723107537234198E-5</c:v>
                </c:pt>
                <c:pt idx="110">
                  <c:v>8.8000659902728501E-5</c:v>
                </c:pt>
                <c:pt idx="111">
                  <c:v>8.6335825142891547E-5</c:v>
                </c:pt>
                <c:pt idx="112">
                  <c:v>8.4726861836789897E-5</c:v>
                </c:pt>
                <c:pt idx="113">
                  <c:v>8.3200645676897598E-5</c:v>
                </c:pt>
                <c:pt idx="114">
                  <c:v>8.1745916332459846E-5</c:v>
                </c:pt>
                <c:pt idx="115">
                  <c:v>8.0361739119896091E-5</c:v>
                </c:pt>
                <c:pt idx="116">
                  <c:v>7.9047312988950787E-5</c:v>
                </c:pt>
                <c:pt idx="117">
                  <c:v>7.780197184772855E-5</c:v>
                </c:pt>
                <c:pt idx="118">
                  <c:v>7.6625185933241235E-5</c:v>
                </c:pt>
                <c:pt idx="119">
                  <c:v>7.5516563244957144E-5</c:v>
                </c:pt>
                <c:pt idx="120">
                  <c:v>7.4476981357518492E-5</c:v>
                </c:pt>
                <c:pt idx="121">
                  <c:v>7.3549553966596306E-5</c:v>
                </c:pt>
                <c:pt idx="122">
                  <c:v>7.2695281321101649E-5</c:v>
                </c:pt>
                <c:pt idx="123">
                  <c:v>7.1914025943524486E-5</c:v>
                </c:pt>
                <c:pt idx="124">
                  <c:v>7.1205841973570136E-5</c:v>
                </c:pt>
                <c:pt idx="125">
                  <c:v>7.0570971013826593E-5</c:v>
                </c:pt>
                <c:pt idx="126">
                  <c:v>7.0009837911746105E-5</c:v>
                </c:pt>
                <c:pt idx="127">
                  <c:v>6.9511634344067717E-5</c:v>
                </c:pt>
                <c:pt idx="128">
                  <c:v>6.9043406995378313E-5</c:v>
                </c:pt>
                <c:pt idx="129">
                  <c:v>6.8604421727689346E-5</c:v>
                </c:pt>
                <c:pt idx="130">
                  <c:v>6.8194010552310075E-5</c:v>
                </c:pt>
                <c:pt idx="131">
                  <c:v>6.7811570248720103E-5</c:v>
                </c:pt>
                <c:pt idx="132">
                  <c:v>6.7456561066482255E-5</c:v>
                </c:pt>
                <c:pt idx="133">
                  <c:v>6.7128505461383468E-5</c:v>
                </c:pt>
                <c:pt idx="134">
                  <c:v>6.6828634677601129E-5</c:v>
                </c:pt>
                <c:pt idx="135">
                  <c:v>6.6540190812528955E-5</c:v>
                </c:pt>
                <c:pt idx="136">
                  <c:v>6.6211593025317959E-5</c:v>
                </c:pt>
                <c:pt idx="137">
                  <c:v>6.584005870118918E-5</c:v>
                </c:pt>
                <c:pt idx="138">
                  <c:v>6.5422752511801446E-5</c:v>
                </c:pt>
                <c:pt idx="139">
                  <c:v>6.4956793165531755E-5</c:v>
                </c:pt>
                <c:pt idx="140">
                  <c:v>6.44392608554807E-5</c:v>
                </c:pt>
                <c:pt idx="141">
                  <c:v>6.3902530183256549E-5</c:v>
                </c:pt>
                <c:pt idx="142">
                  <c:v>6.3358196154751783E-5</c:v>
                </c:pt>
                <c:pt idx="143">
                  <c:v>6.2804887004021343E-5</c:v>
                </c:pt>
                <c:pt idx="144">
                  <c:v>6.2241658998786492E-5</c:v>
                </c:pt>
                <c:pt idx="145">
                  <c:v>6.1667611798452181E-5</c:v>
                </c:pt>
                <c:pt idx="146">
                  <c:v>6.1081891858792825E-5</c:v>
                </c:pt>
                <c:pt idx="147">
                  <c:v>6.0483695836472613E-5</c:v>
                </c:pt>
                <c:pt idx="148">
                  <c:v>5.9873676285178968E-5</c:v>
                </c:pt>
                <c:pt idx="149">
                  <c:v>5.9260236009961416E-5</c:v>
                </c:pt>
                <c:pt idx="150">
                  <c:v>5.86646150286106E-5</c:v>
                </c:pt>
                <c:pt idx="151">
                  <c:v>5.8087069448969905E-5</c:v>
                </c:pt>
                <c:pt idx="152">
                  <c:v>5.7527938199055059E-5</c:v>
                </c:pt>
                <c:pt idx="153">
                  <c:v>5.6987640553518364E-5</c:v>
                </c:pt>
                <c:pt idx="154">
                  <c:v>5.6466673350482845E-5</c:v>
                </c:pt>
                <c:pt idx="155">
                  <c:v>5.6010387211151591E-5</c:v>
                </c:pt>
                <c:pt idx="156">
                  <c:v>5.5578644286066144E-5</c:v>
                </c:pt>
                <c:pt idx="157">
                  <c:v>5.5172398074893225E-5</c:v>
                </c:pt>
                <c:pt idx="158">
                  <c:v>5.4792665924240467E-5</c:v>
                </c:pt>
                <c:pt idx="159">
                  <c:v>5.4440523385390434E-5</c:v>
                </c:pt>
                <c:pt idx="160">
                  <c:v>5.4117098189756893E-5</c:v>
                </c:pt>
                <c:pt idx="161">
                  <c:v>5.3823563856174482E-5</c:v>
                </c:pt>
                <c:pt idx="162">
                  <c:v>5.3562057174306041E-5</c:v>
                </c:pt>
                <c:pt idx="163">
                  <c:v>5.3372235154818235E-5</c:v>
                </c:pt>
                <c:pt idx="164">
                  <c:v>5.3247534986722173E-5</c:v>
                </c:pt>
                <c:pt idx="165">
                  <c:v>5.3190502715767971E-5</c:v>
                </c:pt>
                <c:pt idx="166">
                  <c:v>5.3203683141764307E-5</c:v>
                </c:pt>
                <c:pt idx="167">
                  <c:v>5.3289613005887368E-5</c:v>
                </c:pt>
                <c:pt idx="168">
                  <c:v>5.3450814518363704E-5</c:v>
                </c:pt>
                <c:pt idx="169">
                  <c:v>5.372941534832902E-5</c:v>
                </c:pt>
                <c:pt idx="170">
                  <c:v>5.4075911086279046E-5</c:v>
                </c:pt>
                <c:pt idx="171">
                  <c:v>5.4492308469514234E-5</c:v>
                </c:pt>
                <c:pt idx="172">
                  <c:v>5.4980588499912815E-5</c:v>
                </c:pt>
                <c:pt idx="173">
                  <c:v>5.5542135551952053E-5</c:v>
                </c:pt>
                <c:pt idx="174">
                  <c:v>5.6178246487474335E-5</c:v>
                </c:pt>
                <c:pt idx="175">
                  <c:v>5.6890716232203706E-5</c:v>
                </c:pt>
                <c:pt idx="176">
                  <c:v>5.7681293060944136E-5</c:v>
                </c:pt>
                <c:pt idx="177">
                  <c:v>5.860821599155152E-5</c:v>
                </c:pt>
                <c:pt idx="178">
                  <c:v>5.9631676800992439E-5</c:v>
                </c:pt>
                <c:pt idx="179">
                  <c:v>6.0753613872261779E-5</c:v>
                </c:pt>
                <c:pt idx="180">
                  <c:v>6.1975900094496565E-5</c:v>
                </c:pt>
                <c:pt idx="181">
                  <c:v>6.3300343416481145E-5</c:v>
                </c:pt>
                <c:pt idx="182">
                  <c:v>6.4728688060679282E-5</c:v>
                </c:pt>
                <c:pt idx="183">
                  <c:v>6.6273609506937753E-5</c:v>
                </c:pt>
                <c:pt idx="184">
                  <c:v>6.7892308485893087E-5</c:v>
                </c:pt>
                <c:pt idx="185">
                  <c:v>6.958571383858608E-5</c:v>
                </c:pt>
                <c:pt idx="186">
                  <c:v>7.1354733157573112E-5</c:v>
                </c:pt>
                <c:pt idx="187">
                  <c:v>7.3200255623189815E-5</c:v>
                </c:pt>
                <c:pt idx="188">
                  <c:v>7.5123154945499335E-5</c:v>
                </c:pt>
                <c:pt idx="189">
                  <c:v>7.7124292380194141E-5</c:v>
                </c:pt>
                <c:pt idx="190">
                  <c:v>7.9203910785265682E-5</c:v>
                </c:pt>
                <c:pt idx="191">
                  <c:v>8.1418794655689205E-5</c:v>
                </c:pt>
                <c:pt idx="192">
                  <c:v>8.3708465583053521E-5</c:v>
                </c:pt>
                <c:pt idx="193">
                  <c:v>8.6073800715434821E-5</c:v>
                </c:pt>
                <c:pt idx="194">
                  <c:v>8.8515719887634871E-5</c:v>
                </c:pt>
                <c:pt idx="195">
                  <c:v>9.1035190993096554E-5</c:v>
                </c:pt>
                <c:pt idx="196">
                  <c:v>9.3633235209016749E-5</c:v>
                </c:pt>
                <c:pt idx="197">
                  <c:v>9.6279144500105611E-5</c:v>
                </c:pt>
                <c:pt idx="198">
                  <c:v>9.8961859716508788E-5</c:v>
                </c:pt>
                <c:pt idx="199">
                  <c:v>1.0168210002080194E-4</c:v>
                </c:pt>
                <c:pt idx="200">
                  <c:v>1.0444067027797452E-4</c:v>
                </c:pt>
                <c:pt idx="201">
                  <c:v>1.0723846140024938E-4</c:v>
                </c:pt>
                <c:pt idx="202">
                  <c:v>1.1007645057201874E-4</c:v>
                </c:pt>
                <c:pt idx="203">
                  <c:v>1.1295570142683683E-4</c:v>
                </c:pt>
                <c:pt idx="204">
                  <c:v>1.1587612638511376E-4</c:v>
                </c:pt>
                <c:pt idx="205">
                  <c:v>1.1881513591782178E-4</c:v>
                </c:pt>
                <c:pt idx="206">
                  <c:v>1.217132168597834E-4</c:v>
                </c:pt>
                <c:pt idx="207">
                  <c:v>1.2457008593226863E-4</c:v>
                </c:pt>
                <c:pt idx="208">
                  <c:v>1.2738548504207209E-4</c:v>
                </c:pt>
                <c:pt idx="209">
                  <c:v>1.3015917558456718E-4</c:v>
                </c:pt>
                <c:pt idx="210">
                  <c:v>1.3289093304575639E-4</c:v>
                </c:pt>
                <c:pt idx="211">
                  <c:v>1.356793061028847E-4</c:v>
                </c:pt>
                <c:pt idx="212">
                  <c:v>1.3855864472131716E-4</c:v>
                </c:pt>
                <c:pt idx="213">
                  <c:v>1.4153012861546819E-4</c:v>
                </c:pt>
                <c:pt idx="214">
                  <c:v>1.4459492959727164E-4</c:v>
                </c:pt>
                <c:pt idx="215">
                  <c:v>1.4775421121514969E-4</c:v>
                </c:pt>
                <c:pt idx="216">
                  <c:v>1.5100912840067981E-4</c:v>
                </c:pt>
                <c:pt idx="217">
                  <c:v>1.5436082714522827E-4</c:v>
                </c:pt>
                <c:pt idx="218">
                  <c:v>1.5780916513342773E-4</c:v>
                </c:pt>
                <c:pt idx="219">
                  <c:v>1.6143251625846939E-4</c:v>
                </c:pt>
                <c:pt idx="220">
                  <c:v>1.6525647633853312E-4</c:v>
                </c:pt>
                <c:pt idx="221">
                  <c:v>1.6928372021786999E-4</c:v>
                </c:pt>
                <c:pt idx="222">
                  <c:v>1.7351697185614517E-4</c:v>
                </c:pt>
                <c:pt idx="223">
                  <c:v>1.7795901382457744E-4</c:v>
                </c:pt>
                <c:pt idx="224">
                  <c:v>1.8261269699867855E-4</c:v>
                </c:pt>
                <c:pt idx="225">
                  <c:v>1.8757156101084491E-4</c:v>
                </c:pt>
                <c:pt idx="226">
                  <c:v>1.927354567626213E-4</c:v>
                </c:pt>
                <c:pt idx="227">
                  <c:v>1.981073375193626E-4</c:v>
                </c:pt>
                <c:pt idx="228">
                  <c:v>2.0369026731300636E-4</c:v>
                </c:pt>
                <c:pt idx="229">
                  <c:v>2.0948743125953105E-4</c:v>
                </c:pt>
                <c:pt idx="230">
                  <c:v>2.1550214621386793E-4</c:v>
                </c:pt>
                <c:pt idx="231">
                  <c:v>2.2173787184278588E-4</c:v>
                </c:pt>
                <c:pt idx="232">
                  <c:v>2.2819599877812227E-4</c:v>
                </c:pt>
                <c:pt idx="233">
                  <c:v>2.3489873680974067E-4</c:v>
                </c:pt>
                <c:pt idx="234">
                  <c:v>2.4176615915938514E-4</c:v>
                </c:pt>
                <c:pt idx="235">
                  <c:v>2.4880025980781705E-4</c:v>
                </c:pt>
                <c:pt idx="236">
                  <c:v>2.5600315251135091E-4</c:v>
                </c:pt>
                <c:pt idx="237">
                  <c:v>2.6337682683480419E-4</c:v>
                </c:pt>
                <c:pt idx="238">
                  <c:v>2.7092329806442965E-4</c:v>
                </c:pt>
                <c:pt idx="239">
                  <c:v>2.7866335925291551E-4</c:v>
                </c:pt>
                <c:pt idx="240">
                  <c:v>2.8650384104076027E-4</c:v>
                </c:pt>
                <c:pt idx="241">
                  <c:v>2.9444601293561852E-4</c:v>
                </c:pt>
                <c:pt idx="242">
                  <c:v>3.0249114027687681E-4</c:v>
                </c:pt>
                <c:pt idx="243">
                  <c:v>3.1064048036024485E-4</c:v>
                </c:pt>
                <c:pt idx="244">
                  <c:v>3.1889527803557419E-4</c:v>
                </c:pt>
                <c:pt idx="245">
                  <c:v>3.2725676085390635E-4</c:v>
                </c:pt>
                <c:pt idx="246">
                  <c:v>3.3572613369996457E-4</c:v>
                </c:pt>
                <c:pt idx="247">
                  <c:v>3.4451147554088671E-4</c:v>
                </c:pt>
                <c:pt idx="248">
                  <c:v>3.5359365787985647E-4</c:v>
                </c:pt>
                <c:pt idx="249">
                  <c:v>3.6297599759666139E-4</c:v>
                </c:pt>
                <c:pt idx="250">
                  <c:v>3.7266179787885396E-4</c:v>
                </c:pt>
                <c:pt idx="251">
                  <c:v>3.8265433993682073E-4</c:v>
                </c:pt>
                <c:pt idx="252">
                  <c:v>3.9295687412024908E-4</c:v>
                </c:pt>
                <c:pt idx="253">
                  <c:v>4.0377514543007547E-4</c:v>
                </c:pt>
                <c:pt idx="254">
                  <c:v>4.1509473334345857E-4</c:v>
                </c:pt>
                <c:pt idx="255">
                  <c:v>4.2692094282976181E-4</c:v>
                </c:pt>
                <c:pt idx="256">
                  <c:v>4.3925903731097224E-4</c:v>
                </c:pt>
                <c:pt idx="257">
                  <c:v>4.5211422565575752E-4</c:v>
                </c:pt>
                <c:pt idx="258">
                  <c:v>4.6549164895595305E-4</c:v>
                </c:pt>
                <c:pt idx="259">
                  <c:v>4.7939636721239042E-4</c:v>
                </c:pt>
                <c:pt idx="260">
                  <c:v>4.9383571866915118E-4</c:v>
                </c:pt>
                <c:pt idx="261">
                  <c:v>5.0889886756583377E-4</c:v>
                </c:pt>
                <c:pt idx="262">
                  <c:v>5.2437119910469945E-4</c:v>
                </c:pt>
                <c:pt idx="263">
                  <c:v>5.4025483626542854E-4</c:v>
                </c:pt>
                <c:pt idx="264">
                  <c:v>5.5655162634529471E-4</c:v>
                </c:pt>
                <c:pt idx="265">
                  <c:v>5.7326616966624298E-4</c:v>
                </c:pt>
                <c:pt idx="266">
                  <c:v>5.9040154377918981E-4</c:v>
                </c:pt>
                <c:pt idx="267">
                  <c:v>6.0874118161641168E-4</c:v>
                </c:pt>
                <c:pt idx="268">
                  <c:v>6.2807948471373435E-4</c:v>
                </c:pt>
                <c:pt idx="269">
                  <c:v>6.4842293501493435E-4</c:v>
                </c:pt>
                <c:pt idx="270">
                  <c:v>6.6977746689607419E-4</c:v>
                </c:pt>
                <c:pt idx="271">
                  <c:v>6.9214841892890314E-4</c:v>
                </c:pt>
                <c:pt idx="272">
                  <c:v>7.1554048890672215E-4</c:v>
                </c:pt>
                <c:pt idx="273">
                  <c:v>7.3995769252489145E-4</c:v>
                </c:pt>
                <c:pt idx="274">
                  <c:v>7.6543223936884465E-4</c:v>
                </c:pt>
                <c:pt idx="275">
                  <c:v>7.9333551815478258E-4</c:v>
                </c:pt>
                <c:pt idx="276">
                  <c:v>8.2359413671672602E-4</c:v>
                </c:pt>
                <c:pt idx="277">
                  <c:v>8.5621921686579146E-4</c:v>
                </c:pt>
                <c:pt idx="278">
                  <c:v>8.9121954772132604E-4</c:v>
                </c:pt>
                <c:pt idx="279">
                  <c:v>9.2860116743080548E-4</c:v>
                </c:pt>
                <c:pt idx="280">
                  <c:v>9.6836693748889729E-4</c:v>
                </c:pt>
                <c:pt idx="281">
                  <c:v>1.0113063742821309E-3</c:v>
                </c:pt>
                <c:pt idx="282">
                  <c:v>1.0565935879256773E-3</c:v>
                </c:pt>
                <c:pt idx="283">
                  <c:v>1.1042186181175425E-3</c:v>
                </c:pt>
                <c:pt idx="284">
                  <c:v>1.1541665554022252E-3</c:v>
                </c:pt>
                <c:pt idx="285">
                  <c:v>1.2064171105051252E-3</c:v>
                </c:pt>
                <c:pt idx="286">
                  <c:v>1.2609441896257324E-3</c:v>
                </c:pt>
                <c:pt idx="287">
                  <c:v>1.317715478865202E-3</c:v>
                </c:pt>
                <c:pt idx="288">
                  <c:v>1.3767896341003146E-3</c:v>
                </c:pt>
                <c:pt idx="289">
                  <c:v>1.437322411240359E-3</c:v>
                </c:pt>
                <c:pt idx="290">
                  <c:v>1.4978858438411441E-3</c:v>
                </c:pt>
                <c:pt idx="291">
                  <c:v>1.558446302951729E-3</c:v>
                </c:pt>
                <c:pt idx="292">
                  <c:v>1.618967840965331E-3</c:v>
                </c:pt>
                <c:pt idx="293">
                  <c:v>1.6794122610202635E-3</c:v>
                </c:pt>
                <c:pt idx="294">
                  <c:v>1.7397391890369665E-3</c:v>
                </c:pt>
                <c:pt idx="295">
                  <c:v>1.7980604020987733E-3</c:v>
                </c:pt>
                <c:pt idx="296">
                  <c:v>1.8535253787266412E-3</c:v>
                </c:pt>
                <c:pt idx="297">
                  <c:v>1.9060955472625352E-3</c:v>
                </c:pt>
                <c:pt idx="298">
                  <c:v>1.9557185853008546E-3</c:v>
                </c:pt>
                <c:pt idx="299">
                  <c:v>2.0023431408413544E-3</c:v>
                </c:pt>
                <c:pt idx="300">
                  <c:v>2.0459191477667348E-3</c:v>
                </c:pt>
                <c:pt idx="301">
                  <c:v>2.0863981324536103E-3</c:v>
                </c:pt>
                <c:pt idx="302">
                  <c:v>2.1238600568758191E-3</c:v>
                </c:pt>
                <c:pt idx="303">
                  <c:v>2.1598036441129974E-3</c:v>
                </c:pt>
                <c:pt idx="304">
                  <c:v>2.1951606673425482E-3</c:v>
                </c:pt>
                <c:pt idx="305">
                  <c:v>2.2299268865102317E-3</c:v>
                </c:pt>
                <c:pt idx="306">
                  <c:v>2.2640991916126159E-3</c:v>
                </c:pt>
                <c:pt idx="307">
                  <c:v>2.2976755451278486E-3</c:v>
                </c:pt>
                <c:pt idx="308">
                  <c:v>2.3306549012489098E-3</c:v>
                </c:pt>
                <c:pt idx="309">
                  <c:v>2.3631708163213676E-3</c:v>
                </c:pt>
                <c:pt idx="310">
                  <c:v>2.3970882223877999E-3</c:v>
                </c:pt>
                <c:pt idx="311">
                  <c:v>2.4324083901267023E-3</c:v>
                </c:pt>
                <c:pt idx="312">
                  <c:v>2.4691324029399368E-3</c:v>
                </c:pt>
                <c:pt idx="313">
                  <c:v>2.5072610097151764E-3</c:v>
                </c:pt>
                <c:pt idx="314">
                  <c:v>2.5467944501393436E-3</c:v>
                </c:pt>
                <c:pt idx="315">
                  <c:v>2.587732249883094E-3</c:v>
                </c:pt>
                <c:pt idx="316">
                  <c:v>2.630246348166972E-3</c:v>
                </c:pt>
                <c:pt idx="317">
                  <c:v>2.6705438665976153E-3</c:v>
                </c:pt>
                <c:pt idx="318">
                  <c:v>2.7072324096364137E-3</c:v>
                </c:pt>
                <c:pt idx="319">
                  <c:v>2.7403111383687184E-3</c:v>
                </c:pt>
                <c:pt idx="320">
                  <c:v>2.769774147972609E-3</c:v>
                </c:pt>
                <c:pt idx="321">
                  <c:v>2.7956101717778021E-3</c:v>
                </c:pt>
                <c:pt idx="322">
                  <c:v>2.8178023354505353E-3</c:v>
                </c:pt>
                <c:pt idx="323">
                  <c:v>2.8391661713871785E-3</c:v>
                </c:pt>
                <c:pt idx="324">
                  <c:v>2.859543096075676E-3</c:v>
                </c:pt>
                <c:pt idx="325">
                  <c:v>2.8789025690356554E-3</c:v>
                </c:pt>
                <c:pt idx="326">
                  <c:v>2.8971904277250017E-3</c:v>
                </c:pt>
                <c:pt idx="327">
                  <c:v>2.9143583730260238E-3</c:v>
                </c:pt>
                <c:pt idx="328">
                  <c:v>2.9303671086538486E-3</c:v>
                </c:pt>
                <c:pt idx="329">
                  <c:v>2.9451715829687452E-3</c:v>
                </c:pt>
                <c:pt idx="330">
                  <c:v>2.9590289539323153E-3</c:v>
                </c:pt>
                <c:pt idx="331">
                  <c:v>2.977195526903459E-3</c:v>
                </c:pt>
                <c:pt idx="332">
                  <c:v>3.0036214408574475E-3</c:v>
                </c:pt>
                <c:pt idx="333">
                  <c:v>3.0382706394919321E-3</c:v>
                </c:pt>
                <c:pt idx="334">
                  <c:v>3.0811034724858052E-3</c:v>
                </c:pt>
                <c:pt idx="335">
                  <c:v>3.1320745414299615E-3</c:v>
                </c:pt>
                <c:pt idx="336">
                  <c:v>3.1911303827860172E-3</c:v>
                </c:pt>
                <c:pt idx="337">
                  <c:v>3.254989393922179E-3</c:v>
                </c:pt>
                <c:pt idx="338">
                  <c:v>3.3206958100904242E-3</c:v>
                </c:pt>
                <c:pt idx="339">
                  <c:v>3.3881396671081553E-3</c:v>
                </c:pt>
                <c:pt idx="340">
                  <c:v>3.4571963982305458E-3</c:v>
                </c:pt>
                <c:pt idx="341">
                  <c:v>3.5277263173017297E-3</c:v>
                </c:pt>
                <c:pt idx="342">
                  <c:v>3.5995742630937069E-3</c:v>
                </c:pt>
                <c:pt idx="343">
                  <c:v>3.6725694297148454E-3</c:v>
                </c:pt>
                <c:pt idx="344">
                  <c:v>3.7469483162112997E-3</c:v>
                </c:pt>
                <c:pt idx="345">
                  <c:v>3.8229865937398863E-3</c:v>
                </c:pt>
                <c:pt idx="346">
                  <c:v>3.8917687394399792E-3</c:v>
                </c:pt>
                <c:pt idx="347">
                  <c:v>3.9531488199266327E-3</c:v>
                </c:pt>
                <c:pt idx="348">
                  <c:v>4.0069757403960928E-3</c:v>
                </c:pt>
                <c:pt idx="349">
                  <c:v>4.0530963051370501E-3</c:v>
                </c:pt>
                <c:pt idx="350">
                  <c:v>4.0913584471694723E-3</c:v>
                </c:pt>
                <c:pt idx="351">
                  <c:v>4.1178913245400323E-3</c:v>
                </c:pt>
                <c:pt idx="352">
                  <c:v>4.1357919169441107E-3</c:v>
                </c:pt>
                <c:pt idx="353">
                  <c:v>4.1449374744606986E-3</c:v>
                </c:pt>
                <c:pt idx="354">
                  <c:v>4.1452215182915756E-3</c:v>
                </c:pt>
                <c:pt idx="355">
                  <c:v>4.1365573231941198E-3</c:v>
                </c:pt>
                <c:pt idx="356">
                  <c:v>4.1188624675068189E-3</c:v>
                </c:pt>
                <c:pt idx="357">
                  <c:v>4.092113042487429E-3</c:v>
                </c:pt>
                <c:pt idx="358">
                  <c:v>4.0562993662672546E-3</c:v>
                </c:pt>
                <c:pt idx="359">
                  <c:v>4.0115571202941971E-3</c:v>
                </c:pt>
                <c:pt idx="360">
                  <c:v>3.9549327662137508E-3</c:v>
                </c:pt>
                <c:pt idx="361">
                  <c:v>3.8903135327497547E-3</c:v>
                </c:pt>
                <c:pt idx="362">
                  <c:v>3.8179364698001546E-3</c:v>
                </c:pt>
                <c:pt idx="363">
                  <c:v>3.7380534165540056E-3</c:v>
                </c:pt>
                <c:pt idx="364">
                  <c:v>3.6509283970503803E-3</c:v>
                </c:pt>
                <c:pt idx="365">
                  <c:v>3.5568350264609232E-3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87120"/>
        <c:axId val="701987512"/>
      </c:lineChart>
      <c:dateAx>
        <c:axId val="7019871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7512"/>
        <c:crosses val="autoZero"/>
        <c:auto val="1"/>
        <c:lblOffset val="100"/>
        <c:baseTimeUnit val="days"/>
        <c:majorUnit val="1"/>
        <c:majorTimeUnit val="months"/>
      </c:dateAx>
      <c:valAx>
        <c:axId val="7019875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1987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MdS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35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74.763756532073515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29.235398562617139</c:v>
                </c:pt>
                <c:pt idx="2">
                  <c:v>27.409937676557814</c:v>
                </c:pt>
                <c:pt idx="3">
                  <c:v>14.494619497832094</c:v>
                </c:pt>
                <c:pt idx="4">
                  <c:v>15.842791207801648</c:v>
                </c:pt>
                <c:pt idx="5">
                  <c:v>14.572201591223537</c:v>
                </c:pt>
                <c:pt idx="6">
                  <c:v>10.286217417999911</c:v>
                </c:pt>
                <c:pt idx="7">
                  <c:v>16.243219775958767</c:v>
                </c:pt>
                <c:pt idx="8">
                  <c:v>13.18413337685951</c:v>
                </c:pt>
                <c:pt idx="9">
                  <c:v>8.5295935498968518</c:v>
                </c:pt>
                <c:pt idx="10">
                  <c:v>18.592524934417035</c:v>
                </c:pt>
                <c:pt idx="11">
                  <c:v>8.9836149961715765</c:v>
                </c:pt>
                <c:pt idx="12">
                  <c:v>8.6078443237818387</c:v>
                </c:pt>
                <c:pt idx="13">
                  <c:v>6.4862223413349502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26.727612995043803</c:v>
                </c:pt>
                <c:pt idx="2">
                  <c:v>25.12813399552757</c:v>
                </c:pt>
                <c:pt idx="3">
                  <c:v>12.242160093635551</c:v>
                </c:pt>
                <c:pt idx="4">
                  <c:v>14.379186717455978</c:v>
                </c:pt>
                <c:pt idx="5">
                  <c:v>13.305297946106647</c:v>
                </c:pt>
                <c:pt idx="6">
                  <c:v>9.063736636615161</c:v>
                </c:pt>
                <c:pt idx="7">
                  <c:v>15.177589379210136</c:v>
                </c:pt>
                <c:pt idx="8">
                  <c:v>12.198273732069719</c:v>
                </c:pt>
                <c:pt idx="9">
                  <c:v>7.4842039257269892</c:v>
                </c:pt>
                <c:pt idx="10">
                  <c:v>17.559493201417762</c:v>
                </c:pt>
                <c:pt idx="11">
                  <c:v>8.0734430180152206</c:v>
                </c:pt>
                <c:pt idx="12">
                  <c:v>7.7718320021128653</c:v>
                </c:pt>
                <c:pt idx="13">
                  <c:v>5.7248682520681049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24.104267544664051</c:v>
                </c:pt>
                <c:pt idx="2">
                  <c:v>22.757827906674404</c:v>
                </c:pt>
                <c:pt idx="3">
                  <c:v>9.9506275369114316</c:v>
                </c:pt>
                <c:pt idx="4">
                  <c:v>12.896162213358712</c:v>
                </c:pt>
                <c:pt idx="5">
                  <c:v>12.025006891732028</c:v>
                </c:pt>
                <c:pt idx="6">
                  <c:v>7.8328782520511204</c:v>
                </c:pt>
                <c:pt idx="7">
                  <c:v>14.101097671014408</c:v>
                </c:pt>
                <c:pt idx="8">
                  <c:v>11.205025784979858</c:v>
                </c:pt>
                <c:pt idx="9">
                  <c:v>6.4337792377982321</c:v>
                </c:pt>
                <c:pt idx="10">
                  <c:v>16.514539086304591</c:v>
                </c:pt>
                <c:pt idx="11">
                  <c:v>7.1591509856834037</c:v>
                </c:pt>
                <c:pt idx="12">
                  <c:v>6.9324768782167627</c:v>
                </c:pt>
                <c:pt idx="13">
                  <c:v>4.9614803771211218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21.368936287867662</c:v>
                </c:pt>
                <c:pt idx="2">
                  <c:v>20.302345429391476</c:v>
                </c:pt>
                <c:pt idx="3">
                  <c:v>7.6264974923427529</c:v>
                </c:pt>
                <c:pt idx="4">
                  <c:v>11.395353164829478</c:v>
                </c:pt>
                <c:pt idx="5">
                  <c:v>10.732412840874471</c:v>
                </c:pt>
                <c:pt idx="6">
                  <c:v>6.5947026379824685</c:v>
                </c:pt>
                <c:pt idx="7">
                  <c:v>13.014348961138849</c:v>
                </c:pt>
                <c:pt idx="8">
                  <c:v>10.20490955001871</c:v>
                </c:pt>
                <c:pt idx="9">
                  <c:v>5.378993793432425</c:v>
                </c:pt>
                <c:pt idx="10">
                  <c:v>15.458161862633416</c:v>
                </c:pt>
                <c:pt idx="11">
                  <c:v>6.2411794276542878</c:v>
                </c:pt>
                <c:pt idx="12">
                  <c:v>6.0901211422970185</c:v>
                </c:pt>
                <c:pt idx="13">
                  <c:v>4.1963225809158153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18.52753717732752</c:v>
                </c:pt>
                <c:pt idx="2">
                  <c:v>17.766502169192133</c:v>
                </c:pt>
                <c:pt idx="3">
                  <c:v>5.2768576923973152</c:v>
                </c:pt>
                <c:pt idx="4">
                  <c:v>9.87853189000867</c:v>
                </c:pt>
                <c:pt idx="5">
                  <c:v>9.4286711511033925</c:v>
                </c:pt>
                <c:pt idx="6">
                  <c:v>5.3503101019173247</c:v>
                </c:pt>
                <c:pt idx="7">
                  <c:v>11.917988614828911</c:v>
                </c:pt>
                <c:pt idx="8">
                  <c:v>9.1984689813794116</c:v>
                </c:pt>
                <c:pt idx="9">
                  <c:v>4.3205393179722922</c:v>
                </c:pt>
                <c:pt idx="10">
                  <c:v>14.390902810963546</c:v>
                </c:pt>
                <c:pt idx="11">
                  <c:v>5.3199799739348199</c:v>
                </c:pt>
                <c:pt idx="12">
                  <c:v>5.2451146197583292</c:v>
                </c:pt>
                <c:pt idx="13">
                  <c:v>3.4296624763006438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15.588530155134666</c:v>
                </c:pt>
                <c:pt idx="2">
                  <c:v>15.15668690214536</c:v>
                </c:pt>
                <c:pt idx="3">
                  <c:v>2.9092933441902238</c:v>
                </c:pt>
                <c:pt idx="4">
                  <c:v>8.3475982790696062</c:v>
                </c:pt>
                <c:pt idx="5">
                  <c:v>8.115003282847157</c:v>
                </c:pt>
                <c:pt idx="6">
                  <c:v>4.1008354462587926</c:v>
                </c:pt>
                <c:pt idx="7">
                  <c:v>10.812701582405586</c:v>
                </c:pt>
                <c:pt idx="8">
                  <c:v>8.1862705280202093</c:v>
                </c:pt>
                <c:pt idx="9">
                  <c:v>3.2591223611509572</c:v>
                </c:pt>
                <c:pt idx="10">
                  <c:v>13.313344592336636</c:v>
                </c:pt>
                <c:pt idx="11">
                  <c:v>4.3960141049156878</c:v>
                </c:pt>
                <c:pt idx="12">
                  <c:v>4.3978139498266886</c:v>
                </c:pt>
                <c:pt idx="13">
                  <c:v>2.6617708783365406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12.563005633828151</c:v>
                </c:pt>
                <c:pt idx="2">
                  <c:v>12.48088688292923</c:v>
                </c:pt>
                <c:pt idx="3">
                  <c:v>1</c:v>
                </c:pt>
                <c:pt idx="4">
                  <c:v>6.8045681320773364</c:v>
                </c:pt>
                <c:pt idx="5">
                  <c:v>6.7926910298553551</c:v>
                </c:pt>
                <c:pt idx="6">
                  <c:v>2.8474420606450921</c:v>
                </c:pt>
                <c:pt idx="7">
                  <c:v>9.6992105541247948</c:v>
                </c:pt>
                <c:pt idx="8">
                  <c:v>7.1689014981018468</c:v>
                </c:pt>
                <c:pt idx="9">
                  <c:v>2.1954615557595156</c:v>
                </c:pt>
                <c:pt idx="10">
                  <c:v>12.226110275653891</c:v>
                </c:pt>
                <c:pt idx="11">
                  <c:v>3.4697518263924239</c:v>
                </c:pt>
                <c:pt idx="12">
                  <c:v>3.5485817211058195</c:v>
                </c:pt>
                <c:pt idx="13">
                  <c:v>1.8929212411571676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9.4646295706585235</c:v>
                </c:pt>
                <c:pt idx="2">
                  <c:v>9.7486416115272423</c:v>
                </c:pt>
                <c:pt idx="3">
                  <c:v>1</c:v>
                </c:pt>
                <c:pt idx="4">
                  <c:v>5.2515592256561723</c:v>
                </c:pt>
                <c:pt idx="5">
                  <c:v>5.4630698704110552</c:v>
                </c:pt>
                <c:pt idx="6">
                  <c:v>1.5913156179506658</c:v>
                </c:pt>
                <c:pt idx="7">
                  <c:v>8.5782737425869211</c:v>
                </c:pt>
                <c:pt idx="8">
                  <c:v>6.1469682417091773</c:v>
                </c:pt>
                <c:pt idx="9">
                  <c:v>1.1302847542569425</c:v>
                </c:pt>
                <c:pt idx="10">
                  <c:v>11.12986200891574</c:v>
                </c:pt>
                <c:pt idx="11">
                  <c:v>2.5416702797559783</c:v>
                </c:pt>
                <c:pt idx="12">
                  <c:v>2.6977855690427721</c:v>
                </c:pt>
                <c:pt idx="13">
                  <c:v>1.1233890807709623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6.3094212410263646</c:v>
                </c:pt>
                <c:pt idx="2">
                  <c:v>6.970916118876672</c:v>
                </c:pt>
                <c:pt idx="3">
                  <c:v>1</c:v>
                </c:pt>
                <c:pt idx="4">
                  <c:v>3.6907753013635962</c:v>
                </c:pt>
                <c:pt idx="5">
                  <c:v>4.1275215104574192</c:v>
                </c:pt>
                <c:pt idx="6">
                  <c:v>1</c:v>
                </c:pt>
                <c:pt idx="7">
                  <c:v>7.4506823012939725</c:v>
                </c:pt>
                <c:pt idx="8">
                  <c:v>5.1210941635331837</c:v>
                </c:pt>
                <c:pt idx="9">
                  <c:v>1</c:v>
                </c:pt>
                <c:pt idx="10">
                  <c:v>10.025299329344318</c:v>
                </c:pt>
                <c:pt idx="11">
                  <c:v>1.6122522972635236</c:v>
                </c:pt>
                <c:pt idx="12">
                  <c:v>1.8457972407247192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3.1153565609650027</c:v>
                </c:pt>
                <c:pt idx="2">
                  <c:v>4.159891369684682</c:v>
                </c:pt>
                <c:pt idx="3">
                  <c:v>1</c:v>
                </c:pt>
                <c:pt idx="4">
                  <c:v>2.1244882448346103</c:v>
                </c:pt>
                <c:pt idx="5">
                  <c:v>2.7874657117450767</c:v>
                </c:pt>
                <c:pt idx="6">
                  <c:v>1</c:v>
                </c:pt>
                <c:pt idx="7">
                  <c:v>6.3172573944711345</c:v>
                </c:pt>
                <c:pt idx="8">
                  <c:v>4.0919175799302465</c:v>
                </c:pt>
                <c:pt idx="9">
                  <c:v>1</c:v>
                </c:pt>
                <c:pt idx="10">
                  <c:v>8.9131571129603504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1.3286775130524502</c:v>
                </c:pt>
                <c:pt idx="3">
                  <c:v>1</c:v>
                </c:pt>
                <c:pt idx="4">
                  <c:v>1</c:v>
                </c:pt>
                <c:pt idx="5">
                  <c:v>1.4443515182571298</c:v>
                </c:pt>
                <c:pt idx="6">
                  <c:v>1</c:v>
                </c:pt>
                <c:pt idx="7">
                  <c:v>5.1788469398262409</c:v>
                </c:pt>
                <c:pt idx="8">
                  <c:v>3.0600894373597263</c:v>
                </c:pt>
                <c:pt idx="9">
                  <c:v>1</c:v>
                </c:pt>
                <c:pt idx="10">
                  <c:v>7.7942031701176582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-145</c:v>
                </c:pt>
                <c:pt idx="1">
                  <c:v>215</c:v>
                </c:pt>
                <c:pt idx="2">
                  <c:v>216</c:v>
                </c:pt>
                <c:pt idx="3">
                  <c:v>216</c:v>
                </c:pt>
                <c:pt idx="4">
                  <c:v>216</c:v>
                </c:pt>
                <c:pt idx="5">
                  <c:v>216</c:v>
                </c:pt>
                <c:pt idx="6">
                  <c:v>216</c:v>
                </c:pt>
                <c:pt idx="7">
                  <c:v>216</c:v>
                </c:pt>
                <c:pt idx="8">
                  <c:v>216</c:v>
                </c:pt>
                <c:pt idx="9">
                  <c:v>216</c:v>
                </c:pt>
                <c:pt idx="10">
                  <c:v>216</c:v>
                </c:pt>
                <c:pt idx="11">
                  <c:v>216</c:v>
                </c:pt>
                <c:pt idx="12">
                  <c:v>216</c:v>
                </c:pt>
                <c:pt idx="13">
                  <c:v>216</c:v>
                </c:pt>
                <c:pt idx="14">
                  <c:v>216</c:v>
                </c:pt>
                <c:pt idx="15">
                  <c:v>216</c:v>
                </c:pt>
                <c:pt idx="16">
                  <c:v>216</c:v>
                </c:pt>
                <c:pt idx="17">
                  <c:v>216</c:v>
                </c:pt>
                <c:pt idx="18">
                  <c:v>216</c:v>
                </c:pt>
                <c:pt idx="19">
                  <c:v>216</c:v>
                </c:pt>
                <c:pt idx="20">
                  <c:v>216</c:v>
                </c:pt>
                <c:pt idx="21">
                  <c:v>216</c:v>
                </c:pt>
                <c:pt idx="22">
                  <c:v>216</c:v>
                </c:pt>
                <c:pt idx="23">
                  <c:v>216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416344"/>
        <c:axId val="437417128"/>
      </c:scatterChart>
      <c:valAx>
        <c:axId val="43741634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37417128"/>
        <c:crosses val="autoZero"/>
        <c:crossBetween val="midCat"/>
        <c:majorUnit val="30"/>
      </c:valAx>
      <c:valAx>
        <c:axId val="43741712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41634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816272"/>
        <c:axId val="437818624"/>
      </c:lineChart>
      <c:dateAx>
        <c:axId val="437816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862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3781862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6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2.1816213513607811E-3</c:v>
                </c:pt>
                <c:pt idx="1">
                  <c:v>2.0481784304246286E-3</c:v>
                </c:pt>
                <c:pt idx="2">
                  <c:v>1.9313346128055509E-3</c:v>
                </c:pt>
                <c:pt idx="3">
                  <c:v>1.8311070502717473E-3</c:v>
                </c:pt>
                <c:pt idx="4">
                  <c:v>1.7475143578902183E-3</c:v>
                </c:pt>
                <c:pt idx="5">
                  <c:v>1.6805761876168999E-3</c:v>
                </c:pt>
                <c:pt idx="6">
                  <c:v>1.6303128019081014E-3</c:v>
                </c:pt>
                <c:pt idx="7">
                  <c:v>1.5967446472931171E-3</c:v>
                </c:pt>
                <c:pt idx="8">
                  <c:v>1.5798919279720342E-3</c:v>
                </c:pt>
                <c:pt idx="9">
                  <c:v>1.5835359634533352E-3</c:v>
                </c:pt>
                <c:pt idx="10">
                  <c:v>1.6005949803159392E-3</c:v>
                </c:pt>
                <c:pt idx="11">
                  <c:v>1.6310815444466726E-3</c:v>
                </c:pt>
                <c:pt idx="12">
                  <c:v>1.6750066251920712E-3</c:v>
                </c:pt>
                <c:pt idx="13">
                  <c:v>1.7323792538887217E-3</c:v>
                </c:pt>
                <c:pt idx="14">
                  <c:v>1.8032061823636599E-3</c:v>
                </c:pt>
                <c:pt idx="15">
                  <c:v>1.8813832955790937E-3</c:v>
                </c:pt>
                <c:pt idx="16">
                  <c:v>1.9572139035004808E-3</c:v>
                </c:pt>
                <c:pt idx="17">
                  <c:v>2.0306841380529801E-3</c:v>
                </c:pt>
                <c:pt idx="18">
                  <c:v>2.1017798293220757E-3</c:v>
                </c:pt>
                <c:pt idx="19">
                  <c:v>2.1704986716390173E-3</c:v>
                </c:pt>
                <c:pt idx="20">
                  <c:v>2.2368452921726588E-3</c:v>
                </c:pt>
                <c:pt idx="21">
                  <c:v>2.3008162505959405E-3</c:v>
                </c:pt>
                <c:pt idx="22">
                  <c:v>2.362408778067134E-3</c:v>
                </c:pt>
                <c:pt idx="23">
                  <c:v>2.4134462260325131E-3</c:v>
                </c:pt>
                <c:pt idx="24">
                  <c:v>2.4501488790861239E-3</c:v>
                </c:pt>
                <c:pt idx="25">
                  <c:v>2.4725142663558591E-3</c:v>
                </c:pt>
                <c:pt idx="26">
                  <c:v>2.4805417541164799E-3</c:v>
                </c:pt>
                <c:pt idx="27">
                  <c:v>2.4742323670643666E-3</c:v>
                </c:pt>
                <c:pt idx="28">
                  <c:v>2.4535886096455073E-3</c:v>
                </c:pt>
                <c:pt idx="29">
                  <c:v>2.4187375329779016E-3</c:v>
                </c:pt>
                <c:pt idx="30">
                  <c:v>2.3758024536699673E-3</c:v>
                </c:pt>
                <c:pt idx="31">
                  <c:v>2.3247885730536934E-3</c:v>
                </c:pt>
                <c:pt idx="32">
                  <c:v>2.2657014476869658E-3</c:v>
                </c:pt>
                <c:pt idx="33">
                  <c:v>2.1985468886790253E-3</c:v>
                </c:pt>
                <c:pt idx="34">
                  <c:v>2.1233308610265102E-3</c:v>
                </c:pt>
                <c:pt idx="35">
                  <c:v>2.0400593829468633E-3</c:v>
                </c:pt>
                <c:pt idx="36">
                  <c:v>1.948738425206791E-3</c:v>
                </c:pt>
                <c:pt idx="37">
                  <c:v>1.8483389857101068E-3</c:v>
                </c:pt>
                <c:pt idx="38">
                  <c:v>1.7470384988443224E-3</c:v>
                </c:pt>
                <c:pt idx="39">
                  <c:v>1.6448403065454475E-3</c:v>
                </c:pt>
                <c:pt idx="40">
                  <c:v>1.5417472544990423E-3</c:v>
                </c:pt>
                <c:pt idx="41">
                  <c:v>1.4377616807489061E-3</c:v>
                </c:pt>
                <c:pt idx="42">
                  <c:v>1.332885404292816E-3</c:v>
                </c:pt>
                <c:pt idx="43">
                  <c:v>1.2299566980778843E-3</c:v>
                </c:pt>
                <c:pt idx="44">
                  <c:v>1.1288525086155536E-3</c:v>
                </c:pt>
                <c:pt idx="45">
                  <c:v>1.0295724618243299E-3</c:v>
                </c:pt>
                <c:pt idx="46">
                  <c:v>9.3211573984749681E-4</c:v>
                </c:pt>
                <c:pt idx="47">
                  <c:v>8.3648110361926088E-4</c:v>
                </c:pt>
                <c:pt idx="48">
                  <c:v>7.4266691541694299E-4</c:v>
                </c:pt>
                <c:pt idx="49">
                  <c:v>6.5067116142231054E-4</c:v>
                </c:pt>
                <c:pt idx="50">
                  <c:v>5.6049147427761673E-4</c:v>
                </c:pt>
                <c:pt idx="51">
                  <c:v>4.7686757123503986E-4</c:v>
                </c:pt>
                <c:pt idx="52">
                  <c:v>4.0082803643436371E-4</c:v>
                </c:pt>
                <c:pt idx="53">
                  <c:v>3.3236894926335253E-4</c:v>
                </c:pt>
                <c:pt idx="54">
                  <c:v>2.7148942144306358E-4</c:v>
                </c:pt>
                <c:pt idx="55">
                  <c:v>2.1818879100410886E-4</c:v>
                </c:pt>
                <c:pt idx="56">
                  <c:v>1.7246659425045548E-4</c:v>
                </c:pt>
                <c:pt idx="57">
                  <c:v>1.3434132525875762E-4</c:v>
                </c:pt>
                <c:pt idx="58">
                  <c:v>1.0097707137500104E-4</c:v>
                </c:pt>
                <c:pt idx="59">
                  <c:v>7.2373742129453112E-5</c:v>
                </c:pt>
                <c:pt idx="60">
                  <c:v>4.8531322120571848E-5</c:v>
                </c:pt>
                <c:pt idx="61">
                  <c:v>2.9449853400569381E-5</c:v>
                </c:pt>
                <c:pt idx="62">
                  <c:v>1.5129417860922779E-5</c:v>
                </c:pt>
                <c:pt idx="63">
                  <c:v>5.5701196179925097E-6</c:v>
                </c:pt>
                <c:pt idx="64">
                  <c:v>7.7206739852696237E-7</c:v>
                </c:pt>
                <c:pt idx="65">
                  <c:v>7.3458444601994343E-7</c:v>
                </c:pt>
                <c:pt idx="66">
                  <c:v>7.1511610730572026E-7</c:v>
                </c:pt>
                <c:pt idx="67">
                  <c:v>7.1366237869103864E-7</c:v>
                </c:pt>
                <c:pt idx="68">
                  <c:v>7.3022306259899822E-7</c:v>
                </c:pt>
                <c:pt idx="69">
                  <c:v>7.6479770091781874E-7</c:v>
                </c:pt>
                <c:pt idx="70">
                  <c:v>8.173855083529536E-7</c:v>
                </c:pt>
                <c:pt idx="71">
                  <c:v>8.8280671021464422E-7</c:v>
                </c:pt>
                <c:pt idx="72">
                  <c:v>9.4227200120254647E-7</c:v>
                </c:pt>
                <c:pt idx="73">
                  <c:v>9.9578058803715886E-7</c:v>
                </c:pt>
                <c:pt idx="74">
                  <c:v>1.043331742242205E-6</c:v>
                </c:pt>
                <c:pt idx="75">
                  <c:v>1.0849248221620247E-6</c:v>
                </c:pt>
                <c:pt idx="76">
                  <c:v>1.1205592949758661E-6</c:v>
                </c:pt>
                <c:pt idx="77">
                  <c:v>1.1502347587155602E-6</c:v>
                </c:pt>
                <c:pt idx="78">
                  <c:v>1.1739510032559589E-6</c:v>
                </c:pt>
                <c:pt idx="79">
                  <c:v>1.1854504106742412E-6</c:v>
                </c:pt>
                <c:pt idx="80">
                  <c:v>1.1855096550887639E-6</c:v>
                </c:pt>
                <c:pt idx="81">
                  <c:v>1.1741299727963941E-6</c:v>
                </c:pt>
                <c:pt idx="82">
                  <c:v>1.1513126329950972E-6</c:v>
                </c:pt>
                <c:pt idx="83">
                  <c:v>1.1170589744280704E-6</c:v>
                </c:pt>
                <c:pt idx="84">
                  <c:v>1.0713704420316337E-6</c:v>
                </c:pt>
                <c:pt idx="85">
                  <c:v>1.0168365248920012E-6</c:v>
                </c:pt>
                <c:pt idx="86">
                  <c:v>9.5863409345510204E-7</c:v>
                </c:pt>
                <c:pt idx="87">
                  <c:v>8.9676380076707993E-7</c:v>
                </c:pt>
                <c:pt idx="88">
                  <c:v>8.3122642738344813E-7</c:v>
                </c:pt>
                <c:pt idx="89">
                  <c:v>7.6202289313732448E-7</c:v>
                </c:pt>
                <c:pt idx="90">
                  <c:v>6.891542689060303E-7</c:v>
                </c:pt>
                <c:pt idx="91">
                  <c:v>6.1262178838073137E-7</c:v>
                </c:pt>
                <c:pt idx="92">
                  <c:v>5.3242685983366391E-7</c:v>
                </c:pt>
                <c:pt idx="93">
                  <c:v>4.5312410608945884E-7</c:v>
                </c:pt>
                <c:pt idx="94">
                  <c:v>3.8097086122024524E-7</c:v>
                </c:pt>
                <c:pt idx="95">
                  <c:v>3.159662623046051E-7</c:v>
                </c:pt>
                <c:pt idx="96">
                  <c:v>2.5810932599586634E-7</c:v>
                </c:pt>
                <c:pt idx="97">
                  <c:v>2.0739892563497066E-7</c:v>
                </c:pt>
                <c:pt idx="98">
                  <c:v>1.6383376836005633E-7</c:v>
                </c:pt>
                <c:pt idx="99">
                  <c:v>1.2741237221703406E-7</c:v>
                </c:pt>
                <c:pt idx="100">
                  <c:v>9.5548241845898655E-8</c:v>
                </c:pt>
                <c:pt idx="101">
                  <c:v>6.8240396861432443E-8</c:v>
                </c:pt>
                <c:pt idx="102">
                  <c:v>4.54877094238087E-8</c:v>
                </c:pt>
                <c:pt idx="103">
                  <c:v>2.7288889641176414E-8</c:v>
                </c:pt>
                <c:pt idx="104">
                  <c:v>1.36424709736016E-8</c:v>
                </c:pt>
                <c:pt idx="105">
                  <c:v>4.5467956357114859E-9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4.327002988972297E-10</c:v>
                </c:pt>
                <c:pt idx="136">
                  <c:v>1.2976083127066588E-9</c:v>
                </c:pt>
                <c:pt idx="137">
                  <c:v>2.5942054941865392E-9</c:v>
                </c:pt>
                <c:pt idx="138">
                  <c:v>4.3219463808180894E-9</c:v>
                </c:pt>
                <c:pt idx="139">
                  <c:v>6.4802576428935485E-9</c:v>
                </c:pt>
                <c:pt idx="140">
                  <c:v>9.0685371314245895E-9</c:v>
                </c:pt>
                <c:pt idx="141">
                  <c:v>1.2572681772960947E-8</c:v>
                </c:pt>
                <c:pt idx="142">
                  <c:v>1.6991287552255346E-8</c:v>
                </c:pt>
                <c:pt idx="143">
                  <c:v>2.2322791310391425E-8</c:v>
                </c:pt>
                <c:pt idx="144">
                  <c:v>2.8565593335451347E-8</c:v>
                </c:pt>
                <c:pt idx="145">
                  <c:v>3.5718015091285565E-8</c:v>
                </c:pt>
                <c:pt idx="146">
                  <c:v>4.3778311549290847E-8</c:v>
                </c:pt>
                <c:pt idx="147">
                  <c:v>5.2744683521156445E-8</c:v>
                </c:pt>
                <c:pt idx="148">
                  <c:v>6.2615289990973741E-8</c:v>
                </c:pt>
                <c:pt idx="149">
                  <c:v>7.2528517388213261E-8</c:v>
                </c:pt>
                <c:pt idx="150">
                  <c:v>8.2054365737866906E-8</c:v>
                </c:pt>
                <c:pt idx="151">
                  <c:v>9.1193272811732567E-8</c:v>
                </c:pt>
                <c:pt idx="152">
                  <c:v>9.9945750903118857E-8</c:v>
                </c:pt>
                <c:pt idx="153">
                  <c:v>1.0831238176602682E-7</c:v>
                </c:pt>
                <c:pt idx="154">
                  <c:v>1.1629381155476768E-7</c:v>
                </c:pt>
                <c:pt idx="155">
                  <c:v>1.2292522079515149E-7</c:v>
                </c:pt>
                <c:pt idx="156">
                  <c:v>1.2772673696910245E-7</c:v>
                </c:pt>
                <c:pt idx="157">
                  <c:v>1.3070192618535757E-7</c:v>
                </c:pt>
                <c:pt idx="158">
                  <c:v>1.3185440367785097E-7</c:v>
                </c:pt>
                <c:pt idx="159">
                  <c:v>1.3118780914049023E-7</c:v>
                </c:pt>
                <c:pt idx="160">
                  <c:v>1.2870578206354578E-7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1.1130945897328216E-7</c:v>
                </c:pt>
                <c:pt idx="164">
                  <c:v>1.0426428705473088E-7</c:v>
                </c:pt>
                <c:pt idx="165">
                  <c:v>9.717440968405041E-8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6.9271392908478906E-8</c:v>
                </c:pt>
                <c:pt idx="170">
                  <c:v>6.4719613861710055E-8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6.4586801886220636E-8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8.2426612255457139E-8</c:v>
                </c:pt>
                <c:pt idx="178">
                  <c:v>8.9470690253994749E-8</c:v>
                </c:pt>
                <c:pt idx="179">
                  <c:v>9.645420573269426E-8</c:v>
                </c:pt>
                <c:pt idx="180">
                  <c:v>1.0337735614552728E-7</c:v>
                </c:pt>
                <c:pt idx="181">
                  <c:v>1.1024035435345361E-7</c:v>
                </c:pt>
                <c:pt idx="182">
                  <c:v>1.1704342830907265E-7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1.2935250430246949E-7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1.2067936558545058E-7</c:v>
                </c:pt>
                <c:pt idx="190">
                  <c:v>1.1404823519833493E-7</c:v>
                </c:pt>
                <c:pt idx="191">
                  <c:v>1.0611007401272711E-7</c:v>
                </c:pt>
                <c:pt idx="192">
                  <c:v>9.7813059182873546E-8</c:v>
                </c:pt>
                <c:pt idx="193">
                  <c:v>8.9157441237841141E-8</c:v>
                </c:pt>
                <c:pt idx="194">
                  <c:v>8.014342665035751E-8</c:v>
                </c:pt>
                <c:pt idx="195">
                  <c:v>7.077117567200929E-8</c:v>
                </c:pt>
                <c:pt idx="196">
                  <c:v>6.1040800164839348E-8</c:v>
                </c:pt>
                <c:pt idx="197">
                  <c:v>5.1371515550159327E-8</c:v>
                </c:pt>
                <c:pt idx="198">
                  <c:v>4.26009274268487E-8</c:v>
                </c:pt>
                <c:pt idx="199">
                  <c:v>3.4727782408584456E-8</c:v>
                </c:pt>
                <c:pt idx="200">
                  <c:v>2.7750885177974789E-8</c:v>
                </c:pt>
                <c:pt idx="201">
                  <c:v>2.166910376685927E-8</c:v>
                </c:pt>
                <c:pt idx="202">
                  <c:v>1.6481374837093876E-8</c:v>
                </c:pt>
                <c:pt idx="203">
                  <c:v>1.2186708961671581E-8</c:v>
                </c:pt>
                <c:pt idx="204">
                  <c:v>8.7841817200886729E-9</c:v>
                </c:pt>
                <c:pt idx="205">
                  <c:v>6.2729655960521622E-9</c:v>
                </c:pt>
                <c:pt idx="206">
                  <c:v>4.1810689451379523E-9</c:v>
                </c:pt>
                <c:pt idx="207">
                  <c:v>2.5081308134461674E-9</c:v>
                </c:pt>
                <c:pt idx="208">
                  <c:v>1.2538268996220248E-9</c:v>
                </c:pt>
                <c:pt idx="209">
                  <c:v>4.1786825769829718E-10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4.3537689615883029E-9</c:v>
                </c:pt>
                <c:pt idx="240">
                  <c:v>1.3062473769765242E-8</c:v>
                </c:pt>
                <c:pt idx="241">
                  <c:v>2.612747748390842E-8</c:v>
                </c:pt>
                <c:pt idx="242">
                  <c:v>4.3550347021079855E-8</c:v>
                </c:pt>
                <c:pt idx="243">
                  <c:v>6.533286083945612E-8</c:v>
                </c:pt>
                <c:pt idx="244">
                  <c:v>9.1477016622207226E-8</c:v>
                </c:pt>
                <c:pt idx="245">
                  <c:v>1.2198503896086072E-7</c:v>
                </c:pt>
                <c:pt idx="246">
                  <c:v>1.5685938703731817E-7</c:v>
                </c:pt>
                <c:pt idx="247">
                  <c:v>1.9857844498019713E-7</c:v>
                </c:pt>
                <c:pt idx="248">
                  <c:v>2.4714630956263104E-7</c:v>
                </c:pt>
                <c:pt idx="249">
                  <c:v>3.0256746759969833E-7</c:v>
                </c:pt>
                <c:pt idx="250">
                  <c:v>3.6484680799134746E-7</c:v>
                </c:pt>
                <c:pt idx="251">
                  <c:v>4.3398963377800747E-7</c:v>
                </c:pt>
                <c:pt idx="252">
                  <c:v>5.1000167418515698E-7</c:v>
                </c:pt>
                <c:pt idx="253">
                  <c:v>5.8689381550365686E-7</c:v>
                </c:pt>
                <c:pt idx="254">
                  <c:v>6.6030551033985178E-7</c:v>
                </c:pt>
                <c:pt idx="255">
                  <c:v>7.3023682114687918E-7</c:v>
                </c:pt>
                <c:pt idx="256">
                  <c:v>7.966876505776443E-7</c:v>
                </c:pt>
                <c:pt idx="257">
                  <c:v>8.5965773528435711E-7</c:v>
                </c:pt>
                <c:pt idx="258">
                  <c:v>9.1914663972370697E-7</c:v>
                </c:pt>
                <c:pt idx="259">
                  <c:v>9.7515374997612123E-7</c:v>
                </c:pt>
                <c:pt idx="260">
                  <c:v>1.0276782675385276E-6</c:v>
                </c:pt>
                <c:pt idx="261">
                  <c:v>1.0717528139373238E-6</c:v>
                </c:pt>
                <c:pt idx="262">
                  <c:v>1.1048878952777455E-6</c:v>
                </c:pt>
                <c:pt idx="263">
                  <c:v>1.1270751255718151E-6</c:v>
                </c:pt>
                <c:pt idx="264">
                  <c:v>1.1383054455842267E-6</c:v>
                </c:pt>
                <c:pt idx="265">
                  <c:v>1.1385751499942561E-6</c:v>
                </c:pt>
                <c:pt idx="266">
                  <c:v>1.1278765654627452E-6</c:v>
                </c:pt>
                <c:pt idx="267">
                  <c:v>1.1054538611452359E-6</c:v>
                </c:pt>
                <c:pt idx="268">
                  <c:v>1.0773127616936351E-6</c:v>
                </c:pt>
                <c:pt idx="269">
                  <c:v>1.0434438870413912E-6</c:v>
                </c:pt>
                <c:pt idx="270">
                  <c:v>1.0038374199696513E-6</c:v>
                </c:pt>
                <c:pt idx="271">
                  <c:v>9.584831690871716E-7</c:v>
                </c:pt>
                <c:pt idx="272">
                  <c:v>9.0737063184036115E-7</c:v>
                </c:pt>
                <c:pt idx="273">
                  <c:v>8.5048905751070958E-7</c:v>
                </c:pt>
                <c:pt idx="274">
                  <c:v>7.8782751022459253E-7</c:v>
                </c:pt>
                <c:pt idx="275">
                  <c:v>7.3749260825378865E-7</c:v>
                </c:pt>
                <c:pt idx="276">
                  <c:v>7.0449623431316374E-7</c:v>
                </c:pt>
                <c:pt idx="277">
                  <c:v>6.8886237893332272E-7</c:v>
                </c:pt>
                <c:pt idx="278">
                  <c:v>6.9061596806304806E-7</c:v>
                </c:pt>
                <c:pt idx="279">
                  <c:v>7.09782672338077E-7</c:v>
                </c:pt>
                <c:pt idx="280">
                  <c:v>7.4638871635663158E-7</c:v>
                </c:pt>
                <c:pt idx="281">
                  <c:v>5.3876887452349672E-6</c:v>
                </c:pt>
                <c:pt idx="282">
                  <c:v>1.4641636471938141E-5</c:v>
                </c:pt>
                <c:pt idx="283">
                  <c:v>2.8515476192412807E-5</c:v>
                </c:pt>
                <c:pt idx="284">
                  <c:v>4.7016438776507483E-5</c:v>
                </c:pt>
                <c:pt idx="285">
                  <c:v>7.0151691260670232E-5</c:v>
                </c:pt>
                <c:pt idx="286">
                  <c:v>9.7928286441059919E-5</c:v>
                </c:pt>
                <c:pt idx="287">
                  <c:v>1.3035311246638889E-4</c:v>
                </c:pt>
                <c:pt idx="288">
                  <c:v>1.6743284243084057E-4</c:v>
                </c:pt>
                <c:pt idx="289">
                  <c:v>2.1192824719493602E-4</c:v>
                </c:pt>
                <c:pt idx="290">
                  <c:v>2.6383129032928477E-4</c:v>
                </c:pt>
                <c:pt idx="291">
                  <c:v>3.2315167765457008E-4</c:v>
                </c:pt>
                <c:pt idx="292">
                  <c:v>3.8989854722318572E-4</c:v>
                </c:pt>
                <c:pt idx="293">
                  <c:v>4.6408038908935309E-4</c:v>
                </c:pt>
                <c:pt idx="294">
                  <c:v>5.4570496507861635E-4</c:v>
                </c:pt>
                <c:pt idx="295">
                  <c:v>6.3377225475930805E-4</c:v>
                </c:pt>
                <c:pt idx="296">
                  <c:v>7.2367430293378146E-4</c:v>
                </c:pt>
                <c:pt idx="297">
                  <c:v>8.1541931050451994E-4</c:v>
                </c:pt>
                <c:pt idx="298">
                  <c:v>9.0901069942173713E-4</c:v>
                </c:pt>
                <c:pt idx="299">
                  <c:v>1.0044516123408924E-3</c:v>
                </c:pt>
                <c:pt idx="300">
                  <c:v>1.1017448964035996E-3</c:v>
                </c:pt>
                <c:pt idx="301">
                  <c:v>1.2008930870159239E-3</c:v>
                </c:pt>
                <c:pt idx="302">
                  <c:v>1.3018983916288605E-3</c:v>
                </c:pt>
                <c:pt idx="303">
                  <c:v>1.4048830031591459E-3</c:v>
                </c:pt>
                <c:pt idx="304">
                  <c:v>1.5070746898605898E-3</c:v>
                </c:pt>
                <c:pt idx="305">
                  <c:v>1.6084707901144598E-3</c:v>
                </c:pt>
                <c:pt idx="306">
                  <c:v>1.7090682735558323E-3</c:v>
                </c:pt>
                <c:pt idx="307">
                  <c:v>1.8088637492757931E-3</c:v>
                </c:pt>
                <c:pt idx="308">
                  <c:v>1.9078534740087363E-3</c:v>
                </c:pt>
                <c:pt idx="309">
                  <c:v>1.998028153121435E-3</c:v>
                </c:pt>
                <c:pt idx="310">
                  <c:v>2.0803864994480689E-3</c:v>
                </c:pt>
                <c:pt idx="311">
                  <c:v>2.1549144350305159E-3</c:v>
                </c:pt>
                <c:pt idx="312">
                  <c:v>2.2215978873210253E-3</c:v>
                </c:pt>
                <c:pt idx="313">
                  <c:v>2.2804228615782894E-3</c:v>
                </c:pt>
                <c:pt idx="314">
                  <c:v>2.3313755132437657E-3</c:v>
                </c:pt>
                <c:pt idx="315">
                  <c:v>2.3744422203463506E-3</c:v>
                </c:pt>
                <c:pt idx="316">
                  <c:v>2.4096096558717506E-3</c:v>
                </c:pt>
                <c:pt idx="317">
                  <c:v>2.4308535611656406E-3</c:v>
                </c:pt>
                <c:pt idx="318">
                  <c:v>2.4380333997133458E-3</c:v>
                </c:pt>
                <c:pt idx="319">
                  <c:v>2.4311306293033075E-3</c:v>
                </c:pt>
                <c:pt idx="320">
                  <c:v>2.4101278419116092E-3</c:v>
                </c:pt>
                <c:pt idx="321">
                  <c:v>2.3750088922040607E-3</c:v>
                </c:pt>
                <c:pt idx="322">
                  <c:v>2.3257590260479131E-3</c:v>
                </c:pt>
                <c:pt idx="323">
                  <c:v>2.2660832470075007E-3</c:v>
                </c:pt>
                <c:pt idx="324">
                  <c:v>2.2040248552888204E-3</c:v>
                </c:pt>
                <c:pt idx="325">
                  <c:v>2.1395831677732216E-3</c:v>
                </c:pt>
                <c:pt idx="326">
                  <c:v>2.0727451195904226E-3</c:v>
                </c:pt>
                <c:pt idx="327">
                  <c:v>2.003508212025982E-3</c:v>
                </c:pt>
                <c:pt idx="328">
                  <c:v>1.9318810878658696E-3</c:v>
                </c:pt>
                <c:pt idx="329">
                  <c:v>1.8578721750378987E-3</c:v>
                </c:pt>
                <c:pt idx="330">
                  <c:v>1.7814896385625466E-3</c:v>
                </c:pt>
                <c:pt idx="331">
                  <c:v>1.7123123510838351E-3</c:v>
                </c:pt>
                <c:pt idx="332">
                  <c:v>1.6563846526207473E-3</c:v>
                </c:pt>
                <c:pt idx="333">
                  <c:v>1.6137169539707701E-3</c:v>
                </c:pt>
                <c:pt idx="334">
                  <c:v>1.5843179261284385E-3</c:v>
                </c:pt>
                <c:pt idx="335">
                  <c:v>1.5681947768517047E-3</c:v>
                </c:pt>
                <c:pt idx="336">
                  <c:v>1.5653535272064617E-3</c:v>
                </c:pt>
                <c:pt idx="337">
                  <c:v>1.5828330623634981E-3</c:v>
                </c:pt>
                <c:pt idx="338">
                  <c:v>1.6169127309087006E-3</c:v>
                </c:pt>
                <c:pt idx="339">
                  <c:v>1.6675968127266632E-3</c:v>
                </c:pt>
                <c:pt idx="340">
                  <c:v>1.7348895242067046E-3</c:v>
                </c:pt>
                <c:pt idx="341">
                  <c:v>1.8187953635873607E-3</c:v>
                </c:pt>
                <c:pt idx="342">
                  <c:v>1.919319456300958E-3</c:v>
                </c:pt>
                <c:pt idx="343">
                  <c:v>2.0364679002960497E-3</c:v>
                </c:pt>
                <c:pt idx="344">
                  <c:v>2.1702481113877771E-3</c:v>
                </c:pt>
                <c:pt idx="345">
                  <c:v>2.3206691685886366E-3</c:v>
                </c:pt>
                <c:pt idx="346">
                  <c:v>2.4653281489152011E-3</c:v>
                </c:pt>
                <c:pt idx="347">
                  <c:v>2.6042340278431483E-3</c:v>
                </c:pt>
                <c:pt idx="348">
                  <c:v>2.7373965248373849E-3</c:v>
                </c:pt>
                <c:pt idx="349">
                  <c:v>2.8648259827487674E-3</c:v>
                </c:pt>
                <c:pt idx="350">
                  <c:v>2.9865332472742961E-3</c:v>
                </c:pt>
                <c:pt idx="351">
                  <c:v>3.0896865283321744E-3</c:v>
                </c:pt>
                <c:pt idx="352">
                  <c:v>3.1672507373637264E-3</c:v>
                </c:pt>
                <c:pt idx="353">
                  <c:v>3.2192255258168272E-3</c:v>
                </c:pt>
                <c:pt idx="354">
                  <c:v>3.2456072383249515E-3</c:v>
                </c:pt>
                <c:pt idx="355">
                  <c:v>3.2463883788770094E-3</c:v>
                </c:pt>
                <c:pt idx="356">
                  <c:v>3.2215593034311484E-3</c:v>
                </c:pt>
                <c:pt idx="357">
                  <c:v>3.1710960627275003E-3</c:v>
                </c:pt>
                <c:pt idx="358">
                  <c:v>3.0949623940032382E-3</c:v>
                </c:pt>
                <c:pt idx="359">
                  <c:v>2.993118204596881E-3</c:v>
                </c:pt>
                <c:pt idx="360">
                  <c:v>2.8725767842786112E-3</c:v>
                </c:pt>
                <c:pt idx="361">
                  <c:v>2.7461806316361908E-3</c:v>
                </c:pt>
                <c:pt idx="362">
                  <c:v>2.6139078261299825E-3</c:v>
                </c:pt>
                <c:pt idx="363">
                  <c:v>2.4757371252697434E-3</c:v>
                </c:pt>
                <c:pt idx="364">
                  <c:v>2.3316481135526815E-3</c:v>
                </c:pt>
                <c:pt idx="365" formatCode="0.0000">
                  <c:v>2.1816213513607811E-3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4.8995464731651159E-3</c:v>
                </c:pt>
                <c:pt idx="1">
                  <c:v>4.799491295343147E-3</c:v>
                </c:pt>
                <c:pt idx="2">
                  <c:v>4.6950814604287986E-3</c:v>
                </c:pt>
                <c:pt idx="3">
                  <c:v>4.5862972119483343E-3</c:v>
                </c:pt>
                <c:pt idx="4">
                  <c:v>4.4731198153421282E-3</c:v>
                </c:pt>
                <c:pt idx="5">
                  <c:v>4.3555316673038547E-3</c:v>
                </c:pt>
                <c:pt idx="6">
                  <c:v>4.2335164051754927E-3</c:v>
                </c:pt>
                <c:pt idx="7">
                  <c:v>4.1070590162420881E-3</c:v>
                </c:pt>
                <c:pt idx="8">
                  <c:v>3.976145947091096E-3</c:v>
                </c:pt>
                <c:pt idx="9">
                  <c:v>3.8540069369215981E-3</c:v>
                </c:pt>
                <c:pt idx="10">
                  <c:v>3.7466011549163801E-3</c:v>
                </c:pt>
                <c:pt idx="11">
                  <c:v>3.6539433242501807E-3</c:v>
                </c:pt>
                <c:pt idx="12">
                  <c:v>3.5760476912618674E-3</c:v>
                </c:pt>
                <c:pt idx="13">
                  <c:v>3.5129276468200076E-3</c:v>
                </c:pt>
                <c:pt idx="14">
                  <c:v>3.4645953476288419E-3</c:v>
                </c:pt>
                <c:pt idx="15">
                  <c:v>3.4287944223707462E-3</c:v>
                </c:pt>
                <c:pt idx="16">
                  <c:v>3.4038778706684705E-3</c:v>
                </c:pt>
                <c:pt idx="17">
                  <c:v>3.3898490361277019E-3</c:v>
                </c:pt>
                <c:pt idx="18">
                  <c:v>3.3867093508979811E-3</c:v>
                </c:pt>
                <c:pt idx="19">
                  <c:v>3.3944769904658174E-3</c:v>
                </c:pt>
                <c:pt idx="20">
                  <c:v>3.4131766772564731E-3</c:v>
                </c:pt>
                <c:pt idx="21">
                  <c:v>3.4428168430577538E-3</c:v>
                </c:pt>
                <c:pt idx="22">
                  <c:v>3.4834044037884708E-3</c:v>
                </c:pt>
                <c:pt idx="23">
                  <c:v>3.5232440002128471E-3</c:v>
                </c:pt>
                <c:pt idx="24">
                  <c:v>3.5490443163783279E-3</c:v>
                </c:pt>
                <c:pt idx="25">
                  <c:v>3.5608050061107163E-3</c:v>
                </c:pt>
                <c:pt idx="26">
                  <c:v>3.5585274683143614E-3</c:v>
                </c:pt>
                <c:pt idx="27">
                  <c:v>3.5422146722458602E-3</c:v>
                </c:pt>
                <c:pt idx="28">
                  <c:v>3.5118709828644394E-3</c:v>
                </c:pt>
                <c:pt idx="29">
                  <c:v>3.4677294784745544E-3</c:v>
                </c:pt>
                <c:pt idx="30">
                  <c:v>3.4120674581723178E-3</c:v>
                </c:pt>
                <c:pt idx="31">
                  <c:v>3.3448921510859583E-3</c:v>
                </c:pt>
                <c:pt idx="32">
                  <c:v>3.2662113201732648E-3</c:v>
                </c:pt>
                <c:pt idx="33">
                  <c:v>3.1760331187559638E-3</c:v>
                </c:pt>
                <c:pt idx="34">
                  <c:v>3.0743659470693035E-3</c:v>
                </c:pt>
                <c:pt idx="35">
                  <c:v>2.9612183088079465E-3</c:v>
                </c:pt>
                <c:pt idx="36">
                  <c:v>2.8365986676647248E-3</c:v>
                </c:pt>
                <c:pt idx="37">
                  <c:v>2.6996079353593127E-3</c:v>
                </c:pt>
                <c:pt idx="38">
                  <c:v>2.5619510047102203E-3</c:v>
                </c:pt>
                <c:pt idx="39">
                  <c:v>2.4236325084235266E-3</c:v>
                </c:pt>
                <c:pt idx="40">
                  <c:v>2.2846563989315327E-3</c:v>
                </c:pt>
                <c:pt idx="41">
                  <c:v>2.1450259399036476E-3</c:v>
                </c:pt>
                <c:pt idx="42">
                  <c:v>2.0047436977383916E-3</c:v>
                </c:pt>
                <c:pt idx="43">
                  <c:v>1.8672174919536185E-3</c:v>
                </c:pt>
                <c:pt idx="44">
                  <c:v>1.7322203953009574E-3</c:v>
                </c:pt>
                <c:pt idx="45">
                  <c:v>1.5997521679208526E-3</c:v>
                </c:pt>
                <c:pt idx="46">
                  <c:v>1.4698119806604746E-3</c:v>
                </c:pt>
                <c:pt idx="47">
                  <c:v>1.3423984463581645E-3</c:v>
                </c:pt>
                <c:pt idx="48">
                  <c:v>1.2175096511063065E-3</c:v>
                </c:pt>
                <c:pt idx="49">
                  <c:v>1.095143185528449E-3</c:v>
                </c:pt>
                <c:pt idx="50">
                  <c:v>9.7529617604796826E-4</c:v>
                </c:pt>
                <c:pt idx="51">
                  <c:v>8.6378903796258089E-4</c:v>
                </c:pt>
                <c:pt idx="52">
                  <c:v>7.6152032640593636E-4</c:v>
                </c:pt>
                <c:pt idx="53">
                  <c:v>6.6848361368556503E-4</c:v>
                </c:pt>
                <c:pt idx="54">
                  <c:v>5.8467763004686985E-4</c:v>
                </c:pt>
                <c:pt idx="55">
                  <c:v>5.1010139563085046E-4</c:v>
                </c:pt>
                <c:pt idx="56">
                  <c:v>4.4475418633334985E-4</c:v>
                </c:pt>
                <c:pt idx="57">
                  <c:v>3.8890237140489192E-4</c:v>
                </c:pt>
                <c:pt idx="58">
                  <c:v>3.3914114909867362E-4</c:v>
                </c:pt>
                <c:pt idx="59">
                  <c:v>2.9547029903382325E-4</c:v>
                </c:pt>
                <c:pt idx="60">
                  <c:v>2.5788970733848252E-4</c:v>
                </c:pt>
                <c:pt idx="61">
                  <c:v>2.2639934411724282E-4</c:v>
                </c:pt>
                <c:pt idx="62">
                  <c:v>2.0099924091822869E-4</c:v>
                </c:pt>
                <c:pt idx="63">
                  <c:v>1.8168946820089102E-4</c:v>
                </c:pt>
                <c:pt idx="64">
                  <c:v>1.6847011280290869E-4</c:v>
                </c:pt>
                <c:pt idx="65">
                  <c:v>1.6179065986652349E-4</c:v>
                </c:pt>
                <c:pt idx="66">
                  <c:v>1.5582719308897752E-4</c:v>
                </c:pt>
                <c:pt idx="67">
                  <c:v>1.5057969151058357E-4</c:v>
                </c:pt>
                <c:pt idx="68">
                  <c:v>1.4604813414315144E-4</c:v>
                </c:pt>
                <c:pt idx="69">
                  <c:v>1.4223249731962391E-4</c:v>
                </c:pt>
                <c:pt idx="70">
                  <c:v>1.3913275204444273E-4</c:v>
                </c:pt>
                <c:pt idx="71">
                  <c:v>1.3667374969069987E-4</c:v>
                </c:pt>
                <c:pt idx="72">
                  <c:v>1.3458856912889627E-4</c:v>
                </c:pt>
                <c:pt idx="73">
                  <c:v>1.3287716909233884E-4</c:v>
                </c:pt>
                <c:pt idx="74">
                  <c:v>1.3153950178564818E-4</c:v>
                </c:pt>
                <c:pt idx="75">
                  <c:v>1.3057551150029396E-4</c:v>
                </c:pt>
                <c:pt idx="76">
                  <c:v>1.2998513322971678E-4</c:v>
                </c:pt>
                <c:pt idx="77">
                  <c:v>1.2976829128487905E-4</c:v>
                </c:pt>
                <c:pt idx="78">
                  <c:v>1.299249022230181E-4</c:v>
                </c:pt>
                <c:pt idx="79">
                  <c:v>1.3016742409099324E-4</c:v>
                </c:pt>
                <c:pt idx="80">
                  <c:v>1.3004688615642415E-4</c:v>
                </c:pt>
                <c:pt idx="81">
                  <c:v>1.2956329810353829E-4</c:v>
                </c:pt>
                <c:pt idx="82">
                  <c:v>1.2871667081204168E-4</c:v>
                </c:pt>
                <c:pt idx="83">
                  <c:v>1.2750701751998195E-4</c:v>
                </c:pt>
                <c:pt idx="84">
                  <c:v>1.2593435498703805E-4</c:v>
                </c:pt>
                <c:pt idx="85">
                  <c:v>1.2389030938777967E-4</c:v>
                </c:pt>
                <c:pt idx="86">
                  <c:v>1.2144999267656044E-4</c:v>
                </c:pt>
                <c:pt idx="87">
                  <c:v>1.1861344553559485E-4</c:v>
                </c:pt>
                <c:pt idx="88">
                  <c:v>1.153807174826813E-4</c:v>
                </c:pt>
                <c:pt idx="89">
                  <c:v>1.117518681410129E-4</c:v>
                </c:pt>
                <c:pt idx="90">
                  <c:v>1.0772696850875437E-4</c:v>
                </c:pt>
                <c:pt idx="91">
                  <c:v>1.033061022290519E-4</c:v>
                </c:pt>
                <c:pt idx="92">
                  <c:v>9.8489366859723682E-5</c:v>
                </c:pt>
                <c:pt idx="93">
                  <c:v>9.3358396328612178E-5</c:v>
                </c:pt>
                <c:pt idx="94">
                  <c:v>8.8200996887438147E-5</c:v>
                </c:pt>
                <c:pt idx="95">
                  <c:v>8.3017218658364467E-5</c:v>
                </c:pt>
                <c:pt idx="96">
                  <c:v>7.7807119167574228E-5</c:v>
                </c:pt>
                <c:pt idx="97">
                  <c:v>7.2570763431744435E-5</c:v>
                </c:pt>
                <c:pt idx="98">
                  <c:v>6.7308224043743803E-5</c:v>
                </c:pt>
                <c:pt idx="99">
                  <c:v>6.2214891389543962E-5</c:v>
                </c:pt>
                <c:pt idx="100">
                  <c:v>5.739905122541397E-5</c:v>
                </c:pt>
                <c:pt idx="101">
                  <c:v>5.2860684029735718E-5</c:v>
                </c:pt>
                <c:pt idx="102">
                  <c:v>4.8599764996707291E-5</c:v>
                </c:pt>
                <c:pt idx="103">
                  <c:v>4.4616263147964093E-5</c:v>
                </c:pt>
                <c:pt idx="104">
                  <c:v>4.0910140445391902E-5</c:v>
                </c:pt>
                <c:pt idx="105">
                  <c:v>3.748135090282761E-5</c:v>
                </c:pt>
                <c:pt idx="106">
                  <c:v>3.4329839698355983E-5</c:v>
                </c:pt>
                <c:pt idx="107">
                  <c:v>3.1573942904805135E-5</c:v>
                </c:pt>
                <c:pt idx="108">
                  <c:v>2.913215370992366E-5</c:v>
                </c:pt>
                <c:pt idx="109">
                  <c:v>2.7004361209289771E-5</c:v>
                </c:pt>
                <c:pt idx="110">
                  <c:v>2.5190511550665452E-5</c:v>
                </c:pt>
                <c:pt idx="111">
                  <c:v>2.3690519773665947E-5</c:v>
                </c:pt>
                <c:pt idx="112">
                  <c:v>2.2504212430797762E-5</c:v>
                </c:pt>
                <c:pt idx="113">
                  <c:v>2.1576055208912472E-5</c:v>
                </c:pt>
                <c:pt idx="114">
                  <c:v>2.0711076814668465E-5</c:v>
                </c:pt>
                <c:pt idx="115">
                  <c:v>1.9909245222645092E-5</c:v>
                </c:pt>
                <c:pt idx="116">
                  <c:v>1.9170527196835813E-5</c:v>
                </c:pt>
                <c:pt idx="117">
                  <c:v>1.8494888153257908E-5</c:v>
                </c:pt>
                <c:pt idx="118">
                  <c:v>1.788229202234962E-5</c:v>
                </c:pt>
                <c:pt idx="119">
                  <c:v>1.7332701111428513E-5</c:v>
                </c:pt>
                <c:pt idx="120">
                  <c:v>1.6846075967122442E-5</c:v>
                </c:pt>
                <c:pt idx="121">
                  <c:v>1.638127915058171E-5</c:v>
                </c:pt>
                <c:pt idx="122">
                  <c:v>1.5820289504954424E-5</c:v>
                </c:pt>
                <c:pt idx="123">
                  <c:v>1.5163190410042323E-5</c:v>
                </c:pt>
                <c:pt idx="124">
                  <c:v>1.4410069758721536E-5</c:v>
                </c:pt>
                <c:pt idx="125">
                  <c:v>1.3561020168118885E-5</c:v>
                </c:pt>
                <c:pt idx="126">
                  <c:v>1.261613919057152E-5</c:v>
                </c:pt>
                <c:pt idx="127">
                  <c:v>1.1629677868741174E-5</c:v>
                </c:pt>
                <c:pt idx="128">
                  <c:v>1.065683528116371E-5</c:v>
                </c:pt>
                <c:pt idx="129">
                  <c:v>9.6976204978087693E-6</c:v>
                </c:pt>
                <c:pt idx="130">
                  <c:v>8.7520427869594226E-6</c:v>
                </c:pt>
                <c:pt idx="131">
                  <c:v>7.8201115863011916E-6</c:v>
                </c:pt>
                <c:pt idx="132">
                  <c:v>6.9018364741370632E-6</c:v>
                </c:pt>
                <c:pt idx="133">
                  <c:v>5.9972271406441852E-6</c:v>
                </c:pt>
                <c:pt idx="134">
                  <c:v>5.1062933590745904E-6</c:v>
                </c:pt>
                <c:pt idx="135">
                  <c:v>4.2650015846098117E-6</c:v>
                </c:pt>
                <c:pt idx="136">
                  <c:v>3.5142218514610683E-6</c:v>
                </c:pt>
                <c:pt idx="137">
                  <c:v>2.8538731120878443E-6</c:v>
                </c:pt>
                <c:pt idx="138">
                  <c:v>2.2838695410910194E-6</c:v>
                </c:pt>
                <c:pt idx="139">
                  <c:v>1.8041203373566566E-6</c:v>
                </c:pt>
                <c:pt idx="140">
                  <c:v>1.4145295260520613E-6</c:v>
                </c:pt>
                <c:pt idx="141">
                  <c:v>1.1167118216140578E-6</c:v>
                </c:pt>
                <c:pt idx="142">
                  <c:v>8.5670608418618063E-7</c:v>
                </c:pt>
                <c:pt idx="143">
                  <c:v>6.3447162707616765E-7</c:v>
                </c:pt>
                <c:pt idx="144">
                  <c:v>4.4997018109117041E-7</c:v>
                </c:pt>
                <c:pt idx="145">
                  <c:v>3.0315788215358022E-7</c:v>
                </c:pt>
                <c:pt idx="146">
                  <c:v>1.939857761104291E-7</c:v>
                </c:pt>
                <c:pt idx="147">
                  <c:v>1.2240032355793908E-7</c:v>
                </c:pt>
                <c:pt idx="148">
                  <c:v>8.8343904654748603E-8</c:v>
                </c:pt>
                <c:pt idx="149">
                  <c:v>9.0895580880132686E-8</c:v>
                </c:pt>
                <c:pt idx="150">
                  <c:v>9.4291916033231334E-8</c:v>
                </c:pt>
                <c:pt idx="151">
                  <c:v>9.8531429822644664E-8</c:v>
                </c:pt>
                <c:pt idx="152">
                  <c:v>1.0361260880629013E-7</c:v>
                </c:pt>
                <c:pt idx="153">
                  <c:v>1.0953391784469156E-7</c:v>
                </c:pt>
                <c:pt idx="154">
                  <c:v>1.1629381155476771E-7</c:v>
                </c:pt>
                <c:pt idx="155">
                  <c:v>1.2292522079515149E-7</c:v>
                </c:pt>
                <c:pt idx="156">
                  <c:v>1.2772673696910248E-7</c:v>
                </c:pt>
                <c:pt idx="157">
                  <c:v>1.3070192618535757E-7</c:v>
                </c:pt>
                <c:pt idx="158">
                  <c:v>1.31854403677851E-7</c:v>
                </c:pt>
                <c:pt idx="159">
                  <c:v>1.3118780914049023E-7</c:v>
                </c:pt>
                <c:pt idx="160">
                  <c:v>1.2870578206354581E-7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1.1130945897328219E-7</c:v>
                </c:pt>
                <c:pt idx="164">
                  <c:v>1.0426428705473091E-7</c:v>
                </c:pt>
                <c:pt idx="165">
                  <c:v>9.7174409684050396E-8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6.9271392908478919E-8</c:v>
                </c:pt>
                <c:pt idx="170">
                  <c:v>6.4719613861710042E-8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6.4586801886220649E-8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8.2426612255457126E-8</c:v>
                </c:pt>
                <c:pt idx="178">
                  <c:v>8.9470690253994735E-8</c:v>
                </c:pt>
                <c:pt idx="179">
                  <c:v>9.6454205732694286E-8</c:v>
                </c:pt>
                <c:pt idx="180">
                  <c:v>1.0337735614552727E-7</c:v>
                </c:pt>
                <c:pt idx="181">
                  <c:v>1.102403543534536E-7</c:v>
                </c:pt>
                <c:pt idx="182">
                  <c:v>1.1704342830907266E-7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1.2935250430246952E-7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1.2067936558545056E-7</c:v>
                </c:pt>
                <c:pt idx="190">
                  <c:v>1.1404823519833493E-7</c:v>
                </c:pt>
                <c:pt idx="191">
                  <c:v>1.0730677268745787E-7</c:v>
                </c:pt>
                <c:pt idx="192">
                  <c:v>1.0140167186382434E-7</c:v>
                </c:pt>
                <c:pt idx="193">
                  <c:v>9.6331778580082832E-8</c:v>
                </c:pt>
                <c:pt idx="194">
                  <c:v>9.2095980370774511E-8</c:v>
                </c:pt>
                <c:pt idx="195">
                  <c:v>8.8693211359130902E-8</c:v>
                </c:pt>
                <c:pt idx="196">
                  <c:v>8.6122457160056138E-8</c:v>
                </c:pt>
                <c:pt idx="197">
                  <c:v>1.1921372364437568E-7</c:v>
                </c:pt>
                <c:pt idx="198">
                  <c:v>1.8876867739900711E-7</c:v>
                </c:pt>
                <c:pt idx="199">
                  <c:v>2.9475324818498754E-7</c:v>
                </c:pt>
                <c:pt idx="200">
                  <c:v>4.3713675687865035E-7</c:v>
                </c:pt>
                <c:pt idx="201">
                  <c:v>6.1589213163684918E-7</c:v>
                </c:pt>
                <c:pt idx="202">
                  <c:v>8.3099612405871927E-7</c:v>
                </c:pt>
                <c:pt idx="203">
                  <c:v>1.0824295253647879E-6</c:v>
                </c:pt>
                <c:pt idx="204">
                  <c:v>1.3701751699527171E-6</c:v>
                </c:pt>
                <c:pt idx="205">
                  <c:v>1.7464097002049133E-6</c:v>
                </c:pt>
                <c:pt idx="206">
                  <c:v>2.2094249145207164E-6</c:v>
                </c:pt>
                <c:pt idx="207">
                  <c:v>2.7591827656419005E-6</c:v>
                </c:pt>
                <c:pt idx="208">
                  <c:v>3.3956517120413116E-6</c:v>
                </c:pt>
                <c:pt idx="209">
                  <c:v>4.1188064482124816E-6</c:v>
                </c:pt>
                <c:pt idx="210">
                  <c:v>4.9286276350692112E-6</c:v>
                </c:pt>
                <c:pt idx="211">
                  <c:v>5.7856000277353977E-6</c:v>
                </c:pt>
                <c:pt idx="212">
                  <c:v>6.6550237215901556E-6</c:v>
                </c:pt>
                <c:pt idx="213">
                  <c:v>7.5369227703693182E-6</c:v>
                </c:pt>
                <c:pt idx="214">
                  <c:v>8.4313210355384354E-6</c:v>
                </c:pt>
                <c:pt idx="215">
                  <c:v>9.3382421470794427E-6</c:v>
                </c:pt>
                <c:pt idx="216">
                  <c:v>1.0257709464257518E-5</c:v>
                </c:pt>
                <c:pt idx="217">
                  <c:v>1.1189746036428722E-5</c:v>
                </c:pt>
                <c:pt idx="218">
                  <c:v>1.2134374563799142E-5</c:v>
                </c:pt>
                <c:pt idx="219">
                  <c:v>1.3038553442156307E-5</c:v>
                </c:pt>
                <c:pt idx="220">
                  <c:v>1.3850223118379783E-5</c:v>
                </c:pt>
                <c:pt idx="221">
                  <c:v>1.4569417607241895E-5</c:v>
                </c:pt>
                <c:pt idx="222">
                  <c:v>1.5196164778579165E-5</c:v>
                </c:pt>
                <c:pt idx="223">
                  <c:v>1.5730486645095098E-5</c:v>
                </c:pt>
                <c:pt idx="224">
                  <c:v>1.6172399649831587E-5</c:v>
                </c:pt>
                <c:pt idx="225">
                  <c:v>1.6635263037967935E-5</c:v>
                </c:pt>
                <c:pt idx="226">
                  <c:v>1.7158544299765796E-5</c:v>
                </c:pt>
                <c:pt idx="227">
                  <c:v>1.7742249704688632E-5</c:v>
                </c:pt>
                <c:pt idx="228">
                  <c:v>1.8386387543485048E-5</c:v>
                </c:pt>
                <c:pt idx="229">
                  <c:v>1.9090967940580876E-5</c:v>
                </c:pt>
                <c:pt idx="230">
                  <c:v>1.9856002666740009E-5</c:v>
                </c:pt>
                <c:pt idx="231">
                  <c:v>2.0681504951812125E-5</c:v>
                </c:pt>
                <c:pt idx="232">
                  <c:v>2.1567489297058317E-5</c:v>
                </c:pt>
                <c:pt idx="233">
                  <c:v>2.2700767329693759E-5</c:v>
                </c:pt>
                <c:pt idx="234">
                  <c:v>2.4134448331159832E-5</c:v>
                </c:pt>
                <c:pt idx="235">
                  <c:v>2.5868611777983619E-5</c:v>
                </c:pt>
                <c:pt idx="236">
                  <c:v>2.7903359813371393E-5</c:v>
                </c:pt>
                <c:pt idx="237">
                  <c:v>3.0238793217211926E-5</c:v>
                </c:pt>
                <c:pt idx="238">
                  <c:v>3.2875026568996751E-5</c:v>
                </c:pt>
                <c:pt idx="239">
                  <c:v>3.5890142261385184E-5</c:v>
                </c:pt>
                <c:pt idx="240">
                  <c:v>3.9170883157412747E-5</c:v>
                </c:pt>
                <c:pt idx="241">
                  <c:v>4.2717399870151406E-5</c:v>
                </c:pt>
                <c:pt idx="242">
                  <c:v>4.6529857351790902E-5</c:v>
                </c:pt>
                <c:pt idx="243">
                  <c:v>5.0608435361328105E-5</c:v>
                </c:pt>
                <c:pt idx="244">
                  <c:v>5.4953328932148223E-5</c:v>
                </c:pt>
                <c:pt idx="245">
                  <c:v>5.9564748839081816E-5</c:v>
                </c:pt>
                <c:pt idx="246">
                  <c:v>6.4442922065181645E-5</c:v>
                </c:pt>
                <c:pt idx="247">
                  <c:v>6.9484397323568632E-5</c:v>
                </c:pt>
                <c:pt idx="248">
                  <c:v>7.4502315194429624E-5</c:v>
                </c:pt>
                <c:pt idx="249">
                  <c:v>7.949680903721492E-5</c:v>
                </c:pt>
                <c:pt idx="250">
                  <c:v>8.4468014359326301E-5</c:v>
                </c:pt>
                <c:pt idx="251">
                  <c:v>8.9416068772905704E-5</c:v>
                </c:pt>
                <c:pt idx="252">
                  <c:v>9.4341111948385752E-5</c:v>
                </c:pt>
                <c:pt idx="253">
                  <c:v>9.8967607179421897E-5</c:v>
                </c:pt>
                <c:pt idx="254">
                  <c:v>1.0321739866961132E-4</c:v>
                </c:pt>
                <c:pt idx="255">
                  <c:v>1.0709039017521006E-4</c:v>
                </c:pt>
                <c:pt idx="256">
                  <c:v>1.105864656187551E-4</c:v>
                </c:pt>
                <c:pt idx="257">
                  <c:v>1.1370548841978538E-4</c:v>
                </c:pt>
                <c:pt idx="258">
                  <c:v>1.1644730082652494E-4</c:v>
                </c:pt>
                <c:pt idx="259">
                  <c:v>1.1881172324924767E-4</c:v>
                </c:pt>
                <c:pt idx="260">
                  <c:v>1.2079855359015015E-4</c:v>
                </c:pt>
                <c:pt idx="261">
                  <c:v>1.223355328162182E-4</c:v>
                </c:pt>
                <c:pt idx="262">
                  <c:v>1.2352638842388244E-4</c:v>
                </c:pt>
                <c:pt idx="263">
                  <c:v>1.2437087363654806E-4</c:v>
                </c:pt>
                <c:pt idx="264">
                  <c:v>1.2486872465163163E-4</c:v>
                </c:pt>
                <c:pt idx="265">
                  <c:v>1.2502032398341718E-4</c:v>
                </c:pt>
                <c:pt idx="266">
                  <c:v>1.2482569722326853E-4</c:v>
                </c:pt>
                <c:pt idx="267">
                  <c:v>1.2471615691328939E-4</c:v>
                </c:pt>
                <c:pt idx="268">
                  <c:v>1.2496852552710056E-4</c:v>
                </c:pt>
                <c:pt idx="269">
                  <c:v>1.2558309708572327E-4</c:v>
                </c:pt>
                <c:pt idx="270">
                  <c:v>1.2656020012659106E-4</c:v>
                </c:pt>
                <c:pt idx="271">
                  <c:v>1.2790019373846669E-4</c:v>
                </c:pt>
                <c:pt idx="272">
                  <c:v>1.2960346359981243E-4</c:v>
                </c:pt>
                <c:pt idx="273">
                  <c:v>1.3167041801555361E-4</c:v>
                </c:pt>
                <c:pt idx="274">
                  <c:v>1.34101483955521E-4</c:v>
                </c:pt>
                <c:pt idx="275">
                  <c:v>1.371544596705985E-4</c:v>
                </c:pt>
                <c:pt idx="276">
                  <c:v>1.4090264441403463E-4</c:v>
                </c:pt>
                <c:pt idx="277">
                  <c:v>1.4534699825886863E-4</c:v>
                </c:pt>
                <c:pt idx="278">
                  <c:v>1.5048849649205897E-4</c:v>
                </c:pt>
                <c:pt idx="279">
                  <c:v>1.563281220308934E-4</c:v>
                </c:pt>
                <c:pt idx="280">
                  <c:v>1.6286685784081673E-4</c:v>
                </c:pt>
                <c:pt idx="281">
                  <c:v>1.7573882969975813E-4</c:v>
                </c:pt>
                <c:pt idx="282">
                  <c:v>1.9451890639239178E-4</c:v>
                </c:pt>
                <c:pt idx="283">
                  <c:v>2.1921620523341191E-4</c:v>
                </c:pt>
                <c:pt idx="284">
                  <c:v>2.4983979637001335E-4</c:v>
                </c:pt>
                <c:pt idx="285">
                  <c:v>2.8639863829955746E-4</c:v>
                </c:pt>
                <c:pt idx="286">
                  <c:v>3.289015133895765E-4</c:v>
                </c:pt>
                <c:pt idx="287">
                  <c:v>3.7735696339561363E-4</c:v>
                </c:pt>
                <c:pt idx="288">
                  <c:v>4.3177322497983846E-4</c:v>
                </c:pt>
                <c:pt idx="289">
                  <c:v>4.9546493277787581E-4</c:v>
                </c:pt>
                <c:pt idx="290">
                  <c:v>5.6818513495666436E-4</c:v>
                </c:pt>
                <c:pt idx="291">
                  <c:v>6.4994519411593738E-4</c:v>
                </c:pt>
                <c:pt idx="292">
                  <c:v>7.4075574051123355E-4</c:v>
                </c:pt>
                <c:pt idx="293">
                  <c:v>8.4062657435603162E-4</c:v>
                </c:pt>
                <c:pt idx="294">
                  <c:v>9.4956656812222818E-4</c:v>
                </c:pt>
                <c:pt idx="295">
                  <c:v>1.0667006732855298E-3</c:v>
                </c:pt>
                <c:pt idx="296">
                  <c:v>1.1863736350566497E-3</c:v>
                </c:pt>
                <c:pt idx="297">
                  <c:v>1.3085981390560471E-3</c:v>
                </c:pt>
                <c:pt idx="298">
                  <c:v>1.4333786668780232E-3</c:v>
                </c:pt>
                <c:pt idx="299">
                  <c:v>1.5607193315628036E-3</c:v>
                </c:pt>
                <c:pt idx="300">
                  <c:v>1.6906238551125106E-3</c:v>
                </c:pt>
                <c:pt idx="301">
                  <c:v>1.8230955460029708E-3</c:v>
                </c:pt>
                <c:pt idx="302">
                  <c:v>1.9581372766989446E-3</c:v>
                </c:pt>
                <c:pt idx="303">
                  <c:v>2.0959735710416338E-3</c:v>
                </c:pt>
                <c:pt idx="304">
                  <c:v>2.2332764490484067E-3</c:v>
                </c:pt>
                <c:pt idx="305">
                  <c:v>2.3700429034101901E-3</c:v>
                </c:pt>
                <c:pt idx="306">
                  <c:v>2.506269428779712E-3</c:v>
                </c:pt>
                <c:pt idx="307">
                  <c:v>2.6419520278920376E-3</c:v>
                </c:pt>
                <c:pt idx="308">
                  <c:v>2.777086217663319E-3</c:v>
                </c:pt>
                <c:pt idx="309">
                  <c:v>2.9002084929461245E-3</c:v>
                </c:pt>
                <c:pt idx="310">
                  <c:v>3.0121869031535741E-3</c:v>
                </c:pt>
                <c:pt idx="311">
                  <c:v>3.1130014324390457E-3</c:v>
                </c:pt>
                <c:pt idx="312">
                  <c:v>3.2026320925242564E-3</c:v>
                </c:pt>
                <c:pt idx="313">
                  <c:v>3.2810590258669642E-3</c:v>
                </c:pt>
                <c:pt idx="314">
                  <c:v>3.3482626088001672E-3</c:v>
                </c:pt>
                <c:pt idx="315">
                  <c:v>3.404223554712101E-3</c:v>
                </c:pt>
                <c:pt idx="316">
                  <c:v>3.4489230171754789E-3</c:v>
                </c:pt>
                <c:pt idx="317">
                  <c:v>3.4801117571096854E-3</c:v>
                </c:pt>
                <c:pt idx="318">
                  <c:v>3.4975459724272784E-3</c:v>
                </c:pt>
                <c:pt idx="319">
                  <c:v>3.501206133823933E-3</c:v>
                </c:pt>
                <c:pt idx="320">
                  <c:v>3.4910737841661169E-3</c:v>
                </c:pt>
                <c:pt idx="321">
                  <c:v>3.4671316641124907E-3</c:v>
                </c:pt>
                <c:pt idx="322">
                  <c:v>3.4293638377497857E-3</c:v>
                </c:pt>
                <c:pt idx="323">
                  <c:v>3.39084425735766E-3</c:v>
                </c:pt>
                <c:pt idx="324">
                  <c:v>3.3630963475612188E-3</c:v>
                </c:pt>
                <c:pt idx="325">
                  <c:v>3.3461277480118456E-3</c:v>
                </c:pt>
                <c:pt idx="326">
                  <c:v>3.3399241826434574E-3</c:v>
                </c:pt>
                <c:pt idx="327">
                  <c:v>3.3444838880368594E-3</c:v>
                </c:pt>
                <c:pt idx="328">
                  <c:v>3.3598204427163405E-3</c:v>
                </c:pt>
                <c:pt idx="329">
                  <c:v>3.3859457380198397E-3</c:v>
                </c:pt>
                <c:pt idx="330">
                  <c:v>3.4228702041839087E-3</c:v>
                </c:pt>
                <c:pt idx="331">
                  <c:v>3.4722358771101716E-3</c:v>
                </c:pt>
                <c:pt idx="332">
                  <c:v>3.5362907965613539E-3</c:v>
                </c:pt>
                <c:pt idx="333">
                  <c:v>3.6150432277689305E-3</c:v>
                </c:pt>
                <c:pt idx="334">
                  <c:v>3.7085005543475292E-3</c:v>
                </c:pt>
                <c:pt idx="335">
                  <c:v>3.8166695849776895E-3</c:v>
                </c:pt>
                <c:pt idx="336">
                  <c:v>3.9395568600416927E-3</c:v>
                </c:pt>
                <c:pt idx="337">
                  <c:v>4.0712764003978654E-3</c:v>
                </c:pt>
                <c:pt idx="338">
                  <c:v>4.1987197573542401E-3</c:v>
                </c:pt>
                <c:pt idx="339">
                  <c:v>4.3218931576231977E-3</c:v>
                </c:pt>
                <c:pt idx="340">
                  <c:v>4.440803975726766E-3</c:v>
                </c:pt>
                <c:pt idx="341">
                  <c:v>4.5554606454534371E-3</c:v>
                </c:pt>
                <c:pt idx="342">
                  <c:v>4.6658725713140748E-3</c:v>
                </c:pt>
                <c:pt idx="343">
                  <c:v>4.7720500399422144E-3</c:v>
                </c:pt>
                <c:pt idx="344">
                  <c:v>4.8740041315651688E-3</c:v>
                </c:pt>
                <c:pt idx="345">
                  <c:v>4.9717466314269767E-3</c:v>
                </c:pt>
                <c:pt idx="346">
                  <c:v>5.0595113552722752E-3</c:v>
                </c:pt>
                <c:pt idx="347">
                  <c:v>5.1373100813381185E-3</c:v>
                </c:pt>
                <c:pt idx="348">
                  <c:v>5.2051545231471949E-3</c:v>
                </c:pt>
                <c:pt idx="349">
                  <c:v>5.2630561207862815E-3</c:v>
                </c:pt>
                <c:pt idx="350">
                  <c:v>5.3110258323060683E-3</c:v>
                </c:pt>
                <c:pt idx="351">
                  <c:v>5.3449272011691215E-3</c:v>
                </c:pt>
                <c:pt idx="352">
                  <c:v>5.3706657328233169E-3</c:v>
                </c:pt>
                <c:pt idx="353">
                  <c:v>5.3882503470033503E-3</c:v>
                </c:pt>
                <c:pt idx="354">
                  <c:v>5.3976888958491365E-3</c:v>
                </c:pt>
                <c:pt idx="355">
                  <c:v>5.3989879913262937E-3</c:v>
                </c:pt>
                <c:pt idx="356">
                  <c:v>5.3921565592085384E-3</c:v>
                </c:pt>
                <c:pt idx="357">
                  <c:v>5.3771862008491498E-3</c:v>
                </c:pt>
                <c:pt idx="358">
                  <c:v>5.3540540551966715E-3</c:v>
                </c:pt>
                <c:pt idx="359">
                  <c:v>5.3227360245421025E-3</c:v>
                </c:pt>
                <c:pt idx="360">
                  <c:v>5.2772953463721614E-3</c:v>
                </c:pt>
                <c:pt idx="361">
                  <c:v>5.2218574862805062E-3</c:v>
                </c:pt>
                <c:pt idx="362">
                  <c:v>5.1563933514791457E-3</c:v>
                </c:pt>
                <c:pt idx="363">
                  <c:v>5.0808733528975173E-3</c:v>
                </c:pt>
                <c:pt idx="364">
                  <c:v>4.9952676629382515E-3</c:v>
                </c:pt>
                <c:pt idx="365">
                  <c:v>4.8995464731651159E-3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8.3861086155112702E-3</c:v>
                </c:pt>
                <c:pt idx="1">
                  <c:v>8.3848945825296776E-3</c:v>
                </c:pt>
                <c:pt idx="2">
                  <c:v>8.3702328658795348E-3</c:v>
                </c:pt>
                <c:pt idx="3">
                  <c:v>8.3420825293156944E-3</c:v>
                </c:pt>
                <c:pt idx="4">
                  <c:v>8.3004026163909332E-3</c:v>
                </c:pt>
                <c:pt idx="5">
                  <c:v>8.2451524946637669E-3</c:v>
                </c:pt>
                <c:pt idx="6">
                  <c:v>8.1762922000118803E-3</c:v>
                </c:pt>
                <c:pt idx="7">
                  <c:v>8.0937827807587726E-3</c:v>
                </c:pt>
                <c:pt idx="8">
                  <c:v>7.9975866419177248E-3</c:v>
                </c:pt>
                <c:pt idx="9">
                  <c:v>7.8906725191928151E-3</c:v>
                </c:pt>
                <c:pt idx="10">
                  <c:v>7.7782658406590549E-3</c:v>
                </c:pt>
                <c:pt idx="11">
                  <c:v>7.6603452842328732E-3</c:v>
                </c:pt>
                <c:pt idx="12">
                  <c:v>7.5368912675496972E-3</c:v>
                </c:pt>
                <c:pt idx="13">
                  <c:v>7.4078860822296422E-3</c:v>
                </c:pt>
                <c:pt idx="14">
                  <c:v>7.273314028017233E-3</c:v>
                </c:pt>
                <c:pt idx="15">
                  <c:v>7.1428482338595804E-3</c:v>
                </c:pt>
                <c:pt idx="16">
                  <c:v>7.024791801634807E-3</c:v>
                </c:pt>
                <c:pt idx="17">
                  <c:v>6.9191489592750934E-3</c:v>
                </c:pt>
                <c:pt idx="18">
                  <c:v>6.8259226445784816E-3</c:v>
                </c:pt>
                <c:pt idx="19">
                  <c:v>6.7451518067189629E-3</c:v>
                </c:pt>
                <c:pt idx="20">
                  <c:v>6.6768887599544845E-3</c:v>
                </c:pt>
                <c:pt idx="21">
                  <c:v>6.6211535826210012E-3</c:v>
                </c:pt>
                <c:pt idx="22">
                  <c:v>6.5779641521822585E-3</c:v>
                </c:pt>
                <c:pt idx="23">
                  <c:v>6.5407165656227034E-3</c:v>
                </c:pt>
                <c:pt idx="24">
                  <c:v>6.5064070118107525E-3</c:v>
                </c:pt>
                <c:pt idx="25">
                  <c:v>6.4750464785831184E-3</c:v>
                </c:pt>
                <c:pt idx="26">
                  <c:v>6.4466454230041013E-3</c:v>
                </c:pt>
                <c:pt idx="27">
                  <c:v>6.4212138098289273E-3</c:v>
                </c:pt>
                <c:pt idx="28">
                  <c:v>6.398761150106673E-3</c:v>
                </c:pt>
                <c:pt idx="29">
                  <c:v>6.3672279496683219E-3</c:v>
                </c:pt>
                <c:pt idx="30">
                  <c:v>6.3169209874199212E-3</c:v>
                </c:pt>
                <c:pt idx="31">
                  <c:v>6.2478514079495522E-3</c:v>
                </c:pt>
                <c:pt idx="32">
                  <c:v>6.1600314270999976E-3</c:v>
                </c:pt>
                <c:pt idx="33">
                  <c:v>6.0534740983134473E-3</c:v>
                </c:pt>
                <c:pt idx="34">
                  <c:v>5.928193079004729E-3</c:v>
                </c:pt>
                <c:pt idx="35">
                  <c:v>5.784202396928298E-3</c:v>
                </c:pt>
                <c:pt idx="36">
                  <c:v>5.6215162165319894E-3</c:v>
                </c:pt>
                <c:pt idx="37">
                  <c:v>5.4391385615450809E-3</c:v>
                </c:pt>
                <c:pt idx="38">
                  <c:v>5.243700796526328E-3</c:v>
                </c:pt>
                <c:pt idx="39">
                  <c:v>5.0352146163844926E-3</c:v>
                </c:pt>
                <c:pt idx="40">
                  <c:v>4.8136908809090426E-3</c:v>
                </c:pt>
                <c:pt idx="41">
                  <c:v>4.5791394512966948E-3</c:v>
                </c:pt>
                <c:pt idx="42">
                  <c:v>4.3315690266397706E-3</c:v>
                </c:pt>
                <c:pt idx="43">
                  <c:v>4.0778502663634825E-3</c:v>
                </c:pt>
                <c:pt idx="44">
                  <c:v>3.8300431578408597E-3</c:v>
                </c:pt>
                <c:pt idx="45">
                  <c:v>3.5881477708681604E-3</c:v>
                </c:pt>
                <c:pt idx="46">
                  <c:v>3.3521631372096638E-3</c:v>
                </c:pt>
                <c:pt idx="47">
                  <c:v>3.1220873238764026E-3</c:v>
                </c:pt>
                <c:pt idx="48">
                  <c:v>2.8979175063567984E-3</c:v>
                </c:pt>
                <c:pt idx="49">
                  <c:v>2.6796500418793524E-3</c:v>
                </c:pt>
                <c:pt idx="50">
                  <c:v>2.4672805426557815E-3</c:v>
                </c:pt>
                <c:pt idx="51">
                  <c:v>2.2678563153152049E-3</c:v>
                </c:pt>
                <c:pt idx="52">
                  <c:v>2.0823692701868435E-3</c:v>
                </c:pt>
                <c:pt idx="53">
                  <c:v>1.9108041025096443E-3</c:v>
                </c:pt>
                <c:pt idx="54">
                  <c:v>1.7531582710479466E-3</c:v>
                </c:pt>
                <c:pt idx="55">
                  <c:v>1.6094297179333049E-3</c:v>
                </c:pt>
                <c:pt idx="56">
                  <c:v>1.4796168171926597E-3</c:v>
                </c:pt>
                <c:pt idx="57">
                  <c:v>1.3665658945937343E-3</c:v>
                </c:pt>
                <c:pt idx="58">
                  <c:v>1.2634157508560741E-3</c:v>
                </c:pt>
                <c:pt idx="59">
                  <c:v>1.1701656794865592E-3</c:v>
                </c:pt>
                <c:pt idx="60">
                  <c:v>1.0868151800726966E-3</c:v>
                </c:pt>
                <c:pt idx="61">
                  <c:v>1.0133639216572561E-3</c:v>
                </c:pt>
                <c:pt idx="62">
                  <c:v>9.4981170611135705E-4</c:v>
                </c:pt>
                <c:pt idx="63">
                  <c:v>8.9615843151066648E-4</c:v>
                </c:pt>
                <c:pt idx="64">
                  <c:v>8.5240405550758905E-4</c:v>
                </c:pt>
                <c:pt idx="65">
                  <c:v>8.1942587507214542E-4</c:v>
                </c:pt>
                <c:pt idx="66">
                  <c:v>7.901711955768647E-4</c:v>
                </c:pt>
                <c:pt idx="67">
                  <c:v>7.6463990658015362E-4</c:v>
                </c:pt>
                <c:pt idx="68">
                  <c:v>7.4283189489053917E-4</c:v>
                </c:pt>
                <c:pt idx="69">
                  <c:v>7.2474703078363679E-4</c:v>
                </c:pt>
                <c:pt idx="70">
                  <c:v>7.103851542228256E-4</c:v>
                </c:pt>
                <c:pt idx="71">
                  <c:v>6.9939773769584672E-4</c:v>
                </c:pt>
                <c:pt idx="72">
                  <c:v>6.88936909717474E-4</c:v>
                </c:pt>
                <c:pt idx="73">
                  <c:v>6.7900251551505279E-4</c:v>
                </c:pt>
                <c:pt idx="74">
                  <c:v>6.6959440219716872E-4</c:v>
                </c:pt>
                <c:pt idx="75">
                  <c:v>6.6071241679772181E-4</c:v>
                </c:pt>
                <c:pt idx="76">
                  <c:v>6.5235640431789707E-4</c:v>
                </c:pt>
                <c:pt idx="77">
                  <c:v>6.4452620577030452E-4</c:v>
                </c:pt>
                <c:pt idx="78">
                  <c:v>6.3722167737733282E-4</c:v>
                </c:pt>
                <c:pt idx="79">
                  <c:v>6.3006719328116245E-4</c:v>
                </c:pt>
                <c:pt idx="80">
                  <c:v>6.2218721158358275E-4</c:v>
                </c:pt>
                <c:pt idx="81">
                  <c:v>6.1358163935082042E-4</c:v>
                </c:pt>
                <c:pt idx="82">
                  <c:v>6.0425039580669262E-4</c:v>
                </c:pt>
                <c:pt idx="83">
                  <c:v>5.9419341465826684E-4</c:v>
                </c:pt>
                <c:pt idx="84">
                  <c:v>5.8341064642352617E-4</c:v>
                </c:pt>
                <c:pt idx="85">
                  <c:v>5.718215394273676E-4</c:v>
                </c:pt>
                <c:pt idx="86">
                  <c:v>5.5977421454761348E-4</c:v>
                </c:pt>
                <c:pt idx="87">
                  <c:v>5.4726864200125181E-4</c:v>
                </c:pt>
                <c:pt idx="88">
                  <c:v>5.343048140193415E-4</c:v>
                </c:pt>
                <c:pt idx="89">
                  <c:v>5.2088274631594748E-4</c:v>
                </c:pt>
                <c:pt idx="90">
                  <c:v>5.0700247955598368E-4</c:v>
                </c:pt>
                <c:pt idx="91">
                  <c:v>4.9266408082505994E-4</c:v>
                </c:pt>
                <c:pt idx="92">
                  <c:v>4.7786764509786866E-4</c:v>
                </c:pt>
                <c:pt idx="93">
                  <c:v>4.624117564193193E-4</c:v>
                </c:pt>
                <c:pt idx="94">
                  <c:v>4.4667421157238097E-4</c:v>
                </c:pt>
                <c:pt idx="95">
                  <c:v>4.3065515535791431E-4</c:v>
                </c:pt>
                <c:pt idx="96">
                  <c:v>4.1435476112045775E-4</c:v>
                </c:pt>
                <c:pt idx="97">
                  <c:v>3.9777323165489207E-4</c:v>
                </c:pt>
                <c:pt idx="98">
                  <c:v>3.809108001091573E-4</c:v>
                </c:pt>
                <c:pt idx="99">
                  <c:v>3.6439055124459627E-4</c:v>
                </c:pt>
                <c:pt idx="100">
                  <c:v>3.4829299069392538E-4</c:v>
                </c:pt>
                <c:pt idx="101">
                  <c:v>3.3261817739202925E-4</c:v>
                </c:pt>
                <c:pt idx="102">
                  <c:v>3.1736617343823119E-4</c:v>
                </c:pt>
                <c:pt idx="103">
                  <c:v>3.0253704274126953E-4</c:v>
                </c:pt>
                <c:pt idx="104">
                  <c:v>2.8813084967189826E-4</c:v>
                </c:pt>
                <c:pt idx="105">
                  <c:v>2.7414765770840063E-4</c:v>
                </c:pt>
                <c:pt idx="106">
                  <c:v>2.605875280859465E-4</c:v>
                </c:pt>
                <c:pt idx="107">
                  <c:v>2.4809664337394901E-4</c:v>
                </c:pt>
                <c:pt idx="108">
                  <c:v>2.3687587101816289E-4</c:v>
                </c:pt>
                <c:pt idx="109">
                  <c:v>2.2692476039647507E-4</c:v>
                </c:pt>
                <c:pt idx="110">
                  <c:v>2.1824342471450295E-4</c:v>
                </c:pt>
                <c:pt idx="111">
                  <c:v>2.108318458672842E-4</c:v>
                </c:pt>
                <c:pt idx="112">
                  <c:v>2.0468931415753376E-4</c:v>
                </c:pt>
                <c:pt idx="113">
                  <c:v>1.9945583191718043E-4</c:v>
                </c:pt>
                <c:pt idx="114">
                  <c:v>1.9450960923800571E-4</c:v>
                </c:pt>
                <c:pt idx="115">
                  <c:v>1.898504933404131E-4</c:v>
                </c:pt>
                <c:pt idx="116">
                  <c:v>1.8547832680512231E-4</c:v>
                </c:pt>
                <c:pt idx="117">
                  <c:v>1.8139294694905037E-4</c:v>
                </c:pt>
                <c:pt idx="118">
                  <c:v>1.7759418519920785E-4</c:v>
                </c:pt>
                <c:pt idx="119">
                  <c:v>1.740818664671608E-4</c:v>
                </c:pt>
                <c:pt idx="120">
                  <c:v>1.7085580852321811E-4</c:v>
                </c:pt>
                <c:pt idx="121">
                  <c:v>1.6777032845564972E-4</c:v>
                </c:pt>
                <c:pt idx="122">
                  <c:v>1.6418134870161791E-4</c:v>
                </c:pt>
                <c:pt idx="123">
                  <c:v>1.6008930046397304E-4</c:v>
                </c:pt>
                <c:pt idx="124">
                  <c:v>1.5549463911180886E-4</c:v>
                </c:pt>
                <c:pt idx="125">
                  <c:v>1.5039784528600005E-4</c:v>
                </c:pt>
                <c:pt idx="126">
                  <c:v>1.4479942600247359E-4</c:v>
                </c:pt>
                <c:pt idx="127">
                  <c:v>1.3891796305137168E-4</c:v>
                </c:pt>
                <c:pt idx="128">
                  <c:v>1.3311169763725181E-4</c:v>
                </c:pt>
                <c:pt idx="129">
                  <c:v>1.2738067319192599E-4</c:v>
                </c:pt>
                <c:pt idx="130">
                  <c:v>1.2172493458694599E-4</c:v>
                </c:pt>
                <c:pt idx="131">
                  <c:v>1.1614452797242049E-4</c:v>
                </c:pt>
                <c:pt idx="132">
                  <c:v>1.1063950061725437E-4</c:v>
                </c:pt>
                <c:pt idx="133">
                  <c:v>1.0520990075007178E-4</c:v>
                </c:pt>
                <c:pt idx="134">
                  <c:v>9.9855777399445746E-5</c:v>
                </c:pt>
                <c:pt idx="135">
                  <c:v>9.460144393855669E-5</c:v>
                </c:pt>
                <c:pt idx="136">
                  <c:v>8.9591725544285421E-5</c:v>
                </c:pt>
                <c:pt idx="137">
                  <c:v>8.4826474357021996E-5</c:v>
                </c:pt>
                <c:pt idx="138">
                  <c:v>8.0305532284899545E-5</c:v>
                </c:pt>
                <c:pt idx="139">
                  <c:v>7.6028730474013144E-5</c:v>
                </c:pt>
                <c:pt idx="140">
                  <c:v>7.1995888773963E-5</c:v>
                </c:pt>
                <c:pt idx="141">
                  <c:v>6.8298345943898408E-5</c:v>
                </c:pt>
                <c:pt idx="142">
                  <c:v>6.4718584766070093E-5</c:v>
                </c:pt>
                <c:pt idx="143">
                  <c:v>6.1256339381084133E-5</c:v>
                </c:pt>
                <c:pt idx="144">
                  <c:v>5.7911743869497258E-5</c:v>
                </c:pt>
                <c:pt idx="145">
                  <c:v>5.4684900303105409E-5</c:v>
                </c:pt>
                <c:pt idx="146">
                  <c:v>5.1575880298439788E-5</c:v>
                </c:pt>
                <c:pt idx="147">
                  <c:v>4.858472657222086E-5</c:v>
                </c:pt>
                <c:pt idx="148">
                  <c:v>4.5711454495403372E-5</c:v>
                </c:pt>
                <c:pt idx="149">
                  <c:v>4.3018716581118709E-5</c:v>
                </c:pt>
                <c:pt idx="150">
                  <c:v>4.0482277278334905E-5</c:v>
                </c:pt>
                <c:pt idx="151">
                  <c:v>3.8102008398863638E-5</c:v>
                </c:pt>
                <c:pt idx="152">
                  <c:v>3.587775882230427E-5</c:v>
                </c:pt>
                <c:pt idx="153">
                  <c:v>3.3809356570377941E-5</c:v>
                </c:pt>
                <c:pt idx="154">
                  <c:v>3.1896610881488434E-5</c:v>
                </c:pt>
                <c:pt idx="155">
                  <c:v>3.0181493736141684E-5</c:v>
                </c:pt>
                <c:pt idx="156">
                  <c:v>2.8572938345711242E-5</c:v>
                </c:pt>
                <c:pt idx="157">
                  <c:v>2.7070802081633499E-5</c:v>
                </c:pt>
                <c:pt idx="158">
                  <c:v>2.5674932400826526E-5</c:v>
                </c:pt>
                <c:pt idx="159">
                  <c:v>2.4385168261605205E-5</c:v>
                </c:pt>
                <c:pt idx="160">
                  <c:v>2.3201341539924635E-5</c:v>
                </c:pt>
                <c:pt idx="161">
                  <c:v>2.2123278445322641E-5</c:v>
                </c:pt>
                <c:pt idx="162">
                  <c:v>2.1150800937008057E-5</c:v>
                </c:pt>
                <c:pt idx="163">
                  <c:v>2.0323868635874453E-5</c:v>
                </c:pt>
                <c:pt idx="164">
                  <c:v>1.9580143041936076E-5</c:v>
                </c:pt>
                <c:pt idx="165">
                  <c:v>1.8919482918079362E-5</c:v>
                </c:pt>
                <c:pt idx="166">
                  <c:v>1.8341747379843509E-5</c:v>
                </c:pt>
                <c:pt idx="167">
                  <c:v>1.7846797012155141E-5</c:v>
                </c:pt>
                <c:pt idx="168">
                  <c:v>1.7434494986667505E-5</c:v>
                </c:pt>
                <c:pt idx="169">
                  <c:v>1.7144706486216419E-5</c:v>
                </c:pt>
                <c:pt idx="170">
                  <c:v>1.6935442124867126E-5</c:v>
                </c:pt>
                <c:pt idx="171">
                  <c:v>1.6806584421491993E-5</c:v>
                </c:pt>
                <c:pt idx="172">
                  <c:v>1.6758022972382305E-5</c:v>
                </c:pt>
                <c:pt idx="173">
                  <c:v>1.6789483852070116E-5</c:v>
                </c:pt>
                <c:pt idx="174">
                  <c:v>1.6900688680120107E-5</c:v>
                </c:pt>
                <c:pt idx="175">
                  <c:v>1.7091526447308296E-5</c:v>
                </c:pt>
                <c:pt idx="176">
                  <c:v>1.7361886670485235E-5</c:v>
                </c:pt>
                <c:pt idx="177">
                  <c:v>1.7753306464795914E-5</c:v>
                </c:pt>
                <c:pt idx="178">
                  <c:v>1.8225801062170481E-5</c:v>
                </c:pt>
                <c:pt idx="179">
                  <c:v>1.877926198543343E-5</c:v>
                </c:pt>
                <c:pt idx="180">
                  <c:v>1.9413583287286776E-5</c:v>
                </c:pt>
                <c:pt idx="181">
                  <c:v>2.0128662028531074E-5</c:v>
                </c:pt>
                <c:pt idx="182">
                  <c:v>2.0924398756446484E-5</c:v>
                </c:pt>
                <c:pt idx="183">
                  <c:v>2.1862161899892894E-5</c:v>
                </c:pt>
                <c:pt idx="184">
                  <c:v>2.2902074931100487E-5</c:v>
                </c:pt>
                <c:pt idx="185">
                  <c:v>2.4044022101914824E-5</c:v>
                </c:pt>
                <c:pt idx="186">
                  <c:v>2.5287894095218669E-5</c:v>
                </c:pt>
                <c:pt idx="187">
                  <c:v>2.6633588631382261E-5</c:v>
                </c:pt>
                <c:pt idx="188">
                  <c:v>2.8081011074904764E-5</c:v>
                </c:pt>
                <c:pt idx="189">
                  <c:v>2.9630075040243414E-5</c:v>
                </c:pt>
                <c:pt idx="190">
                  <c:v>3.1280702998788474E-5</c:v>
                </c:pt>
                <c:pt idx="191">
                  <c:v>3.3121913390798885E-5</c:v>
                </c:pt>
                <c:pt idx="192">
                  <c:v>3.5112181511714478E-5</c:v>
                </c:pt>
                <c:pt idx="193">
                  <c:v>3.7251405395644063E-5</c:v>
                </c:pt>
                <c:pt idx="194">
                  <c:v>3.953949787461985E-5</c:v>
                </c:pt>
                <c:pt idx="195">
                  <c:v>4.1976387467717598E-5</c:v>
                </c:pt>
                <c:pt idx="196">
                  <c:v>4.4562019268780762E-5</c:v>
                </c:pt>
                <c:pt idx="197">
                  <c:v>4.7319859936290286E-5</c:v>
                </c:pt>
                <c:pt idx="198">
                  <c:v>5.0188786543213814E-5</c:v>
                </c:pt>
                <c:pt idx="199">
                  <c:v>5.3168836899470219E-5</c:v>
                </c:pt>
                <c:pt idx="200">
                  <c:v>5.626006558681243E-5</c:v>
                </c:pt>
                <c:pt idx="201">
                  <c:v>5.9462544624012109E-5</c:v>
                </c:pt>
                <c:pt idx="202">
                  <c:v>6.2776364132231498E-5</c:v>
                </c:pt>
                <c:pt idx="203">
                  <c:v>6.6201633001789777E-5</c:v>
                </c:pt>
                <c:pt idx="204">
                  <c:v>6.9738366941045368E-5</c:v>
                </c:pt>
                <c:pt idx="205">
                  <c:v>7.3596705078233813E-5</c:v>
                </c:pt>
                <c:pt idx="206">
                  <c:v>7.768790669161681E-5</c:v>
                </c:pt>
                <c:pt idx="207">
                  <c:v>8.2011966518312309E-5</c:v>
                </c:pt>
                <c:pt idx="208">
                  <c:v>8.656889322531106E-5</c:v>
                </c:pt>
                <c:pt idx="209">
                  <c:v>9.1358708683806058E-5</c:v>
                </c:pt>
                <c:pt idx="210">
                  <c:v>9.6381447246387763E-5</c:v>
                </c:pt>
                <c:pt idx="211">
                  <c:v>1.014973070758615E-4</c:v>
                </c:pt>
                <c:pt idx="212">
                  <c:v>1.0668298269769961E-4</c:v>
                </c:pt>
                <c:pt idx="213">
                  <c:v>1.1193859932415259E-4</c:v>
                </c:pt>
                <c:pt idx="214">
                  <c:v>1.1726428063876148E-4</c:v>
                </c:pt>
                <c:pt idx="215">
                  <c:v>1.2266014857902229E-4</c:v>
                </c:pt>
                <c:pt idx="216">
                  <c:v>1.2812632311868862E-4</c:v>
                </c:pt>
                <c:pt idx="217">
                  <c:v>1.3366292205057404E-4</c:v>
                </c:pt>
                <c:pt idx="218">
                  <c:v>1.3927006076868881E-4</c:v>
                </c:pt>
                <c:pt idx="219">
                  <c:v>1.4460345306150258E-4</c:v>
                </c:pt>
                <c:pt idx="220">
                  <c:v>1.4945350587959729E-4</c:v>
                </c:pt>
                <c:pt idx="221">
                  <c:v>1.5382039068546774E-4</c:v>
                </c:pt>
                <c:pt idx="222">
                  <c:v>1.5770424603530909E-4</c:v>
                </c:pt>
                <c:pt idx="223">
                  <c:v>1.6110517908615819E-4</c:v>
                </c:pt>
                <c:pt idx="224">
                  <c:v>1.6402326709942831E-4</c:v>
                </c:pt>
                <c:pt idx="225">
                  <c:v>1.6707711165181219E-4</c:v>
                </c:pt>
                <c:pt idx="226">
                  <c:v>1.7040643840917594E-4</c:v>
                </c:pt>
                <c:pt idx="227">
                  <c:v>1.7401126910153694E-4</c:v>
                </c:pt>
                <c:pt idx="228">
                  <c:v>1.7789163347156316E-4</c:v>
                </c:pt>
                <c:pt idx="229">
                  <c:v>1.820475684202637E-4</c:v>
                </c:pt>
                <c:pt idx="230">
                  <c:v>1.8647911715536855E-4</c:v>
                </c:pt>
                <c:pt idx="231">
                  <c:v>1.9118632834045726E-4</c:v>
                </c:pt>
                <c:pt idx="232">
                  <c:v>1.9616925524010973E-4</c:v>
                </c:pt>
                <c:pt idx="233">
                  <c:v>2.0202362482747951E-4</c:v>
                </c:pt>
                <c:pt idx="234">
                  <c:v>2.0909399345835837E-4</c:v>
                </c:pt>
                <c:pt idx="235">
                  <c:v>2.1738075876014237E-4</c:v>
                </c:pt>
                <c:pt idx="236">
                  <c:v>2.2688444959955117E-4</c:v>
                </c:pt>
                <c:pt idx="237">
                  <c:v>2.376055191930904E-4</c:v>
                </c:pt>
                <c:pt idx="238">
                  <c:v>2.4954447747639602E-4</c:v>
                </c:pt>
                <c:pt idx="239">
                  <c:v>2.625091731962564E-4</c:v>
                </c:pt>
                <c:pt idx="240">
                  <c:v>2.7588122953548265E-4</c:v>
                </c:pt>
                <c:pt idx="241">
                  <c:v>2.8966109930480855E-4</c:v>
                </c:pt>
                <c:pt idx="242">
                  <c:v>3.0384926304407244E-4</c:v>
                </c:pt>
                <c:pt idx="243">
                  <c:v>3.1844622973622652E-4</c:v>
                </c:pt>
                <c:pt idx="244">
                  <c:v>3.33452537520177E-4</c:v>
                </c:pt>
                <c:pt idx="245">
                  <c:v>3.4886875440028075E-4</c:v>
                </c:pt>
                <c:pt idx="246">
                  <c:v>3.64695478954656E-4</c:v>
                </c:pt>
                <c:pt idx="247">
                  <c:v>3.8085631135717626E-4</c:v>
                </c:pt>
                <c:pt idx="248">
                  <c:v>3.9675532709060953E-4</c:v>
                </c:pt>
                <c:pt idx="249">
                  <c:v>4.1239288908567637E-4</c:v>
                </c:pt>
                <c:pt idx="250">
                  <c:v>4.2776935690632978E-4</c:v>
                </c:pt>
                <c:pt idx="251">
                  <c:v>4.4288508628460735E-4</c:v>
                </c:pt>
                <c:pt idx="252">
                  <c:v>4.5774042863834871E-4</c:v>
                </c:pt>
                <c:pt idx="253">
                  <c:v>4.7197391219348236E-4</c:v>
                </c:pt>
                <c:pt idx="254">
                  <c:v>4.8577879599906036E-4</c:v>
                </c:pt>
                <c:pt idx="255">
                  <c:v>4.9915529347681635E-4</c:v>
                </c:pt>
                <c:pt idx="256">
                  <c:v>5.1210360131756147E-4</c:v>
                </c:pt>
                <c:pt idx="257">
                  <c:v>5.2462389870388767E-4</c:v>
                </c:pt>
                <c:pt idx="258">
                  <c:v>5.3671634653740176E-4</c:v>
                </c:pt>
                <c:pt idx="259">
                  <c:v>5.4838108667363259E-4</c:v>
                </c:pt>
                <c:pt idx="260">
                  <c:v>5.5961824114087236E-4</c:v>
                </c:pt>
                <c:pt idx="261">
                  <c:v>5.7009386143563087E-4</c:v>
                </c:pt>
                <c:pt idx="262">
                  <c:v>5.7988501898636286E-4</c:v>
                </c:pt>
                <c:pt idx="263">
                  <c:v>5.8899152499517057E-4</c:v>
                </c:pt>
                <c:pt idx="264">
                  <c:v>5.9741317844048156E-4</c:v>
                </c:pt>
                <c:pt idx="265">
                  <c:v>6.0515298036679607E-4</c:v>
                </c:pt>
                <c:pt idx="266">
                  <c:v>6.1221243043825264E-4</c:v>
                </c:pt>
                <c:pt idx="267">
                  <c:v>6.1943353509304254E-4</c:v>
                </c:pt>
                <c:pt idx="268">
                  <c:v>6.2717955461641113E-4</c:v>
                </c:pt>
                <c:pt idx="269">
                  <c:v>6.3545078729608767E-4</c:v>
                </c:pt>
                <c:pt idx="270">
                  <c:v>6.4424754841944292E-4</c:v>
                </c:pt>
                <c:pt idx="271">
                  <c:v>6.5357016466035308E-4</c:v>
                </c:pt>
                <c:pt idx="272">
                  <c:v>6.6341896848330195E-4</c:v>
                </c:pt>
                <c:pt idx="273">
                  <c:v>6.7379429253934563E-4</c:v>
                </c:pt>
                <c:pt idx="274">
                  <c:v>6.8469646407067917E-4</c:v>
                </c:pt>
                <c:pt idx="275">
                  <c:v>6.9887184207716039E-4</c:v>
                </c:pt>
                <c:pt idx="276">
                  <c:v>7.16660838970898E-4</c:v>
                </c:pt>
                <c:pt idx="277">
                  <c:v>7.3806842114931359E-4</c:v>
                </c:pt>
                <c:pt idx="278">
                  <c:v>7.6309964157408872E-4</c:v>
                </c:pt>
                <c:pt idx="279">
                  <c:v>7.9175960033311737E-4</c:v>
                </c:pt>
                <c:pt idx="280">
                  <c:v>8.2405340520964648E-4</c:v>
                </c:pt>
                <c:pt idx="281">
                  <c:v>8.6680772165132565E-4</c:v>
                </c:pt>
                <c:pt idx="282">
                  <c:v>9.1918921438432913E-4</c:v>
                </c:pt>
                <c:pt idx="283">
                  <c:v>9.8121217750132784E-4</c:v>
                </c:pt>
                <c:pt idx="284">
                  <c:v>1.0528907341184307E-3</c:v>
                </c:pt>
                <c:pt idx="285">
                  <c:v>1.1342387315601673E-3</c:v>
                </c:pt>
                <c:pt idx="286">
                  <c:v>1.225269636554451E-3</c:v>
                </c:pt>
                <c:pt idx="287">
                  <c:v>1.3259964304177944E-3</c:v>
                </c:pt>
                <c:pt idx="288">
                  <c:v>1.4364315042441104E-3</c:v>
                </c:pt>
                <c:pt idx="289">
                  <c:v>1.5632499613539837E-3</c:v>
                </c:pt>
                <c:pt idx="290">
                  <c:v>1.7037054568958241E-3</c:v>
                </c:pt>
                <c:pt idx="291">
                  <c:v>1.8578135916841217E-3</c:v>
                </c:pt>
                <c:pt idx="292">
                  <c:v>2.0255887298966627E-3</c:v>
                </c:pt>
                <c:pt idx="293">
                  <c:v>2.2070438517856014E-3</c:v>
                </c:pt>
                <c:pt idx="294">
                  <c:v>2.4021904063829436E-3</c:v>
                </c:pt>
                <c:pt idx="295">
                  <c:v>2.6100555083699152E-3</c:v>
                </c:pt>
                <c:pt idx="296">
                  <c:v>2.8238075344920841E-3</c:v>
                </c:pt>
                <c:pt idx="297">
                  <c:v>3.0434761549962865E-3</c:v>
                </c:pt>
                <c:pt idx="298">
                  <c:v>3.2690705967793922E-3</c:v>
                </c:pt>
                <c:pt idx="299">
                  <c:v>3.5005994695892066E-3</c:v>
                </c:pt>
                <c:pt idx="300">
                  <c:v>3.7380707133581621E-3</c:v>
                </c:pt>
                <c:pt idx="301">
                  <c:v>3.9814915455274463E-3</c:v>
                </c:pt>
                <c:pt idx="302">
                  <c:v>4.23086840837882E-3</c:v>
                </c:pt>
                <c:pt idx="303">
                  <c:v>4.4744238703533267E-3</c:v>
                </c:pt>
                <c:pt idx="304">
                  <c:v>4.7054351290464732E-3</c:v>
                </c:pt>
                <c:pt idx="305">
                  <c:v>4.9238796010669531E-3</c:v>
                </c:pt>
                <c:pt idx="306">
                  <c:v>5.1297339316167959E-3</c:v>
                </c:pt>
                <c:pt idx="307">
                  <c:v>5.3229741120712762E-3</c:v>
                </c:pt>
                <c:pt idx="308">
                  <c:v>5.5035755975145354E-3</c:v>
                </c:pt>
                <c:pt idx="309">
                  <c:v>5.6650307971531462E-3</c:v>
                </c:pt>
                <c:pt idx="310">
                  <c:v>5.8082953881811146E-3</c:v>
                </c:pt>
                <c:pt idx="311">
                  <c:v>5.933336597781988E-3</c:v>
                </c:pt>
                <c:pt idx="312">
                  <c:v>6.0401218431702375E-3</c:v>
                </c:pt>
                <c:pt idx="313">
                  <c:v>6.1286188996177611E-3</c:v>
                </c:pt>
                <c:pt idx="314">
                  <c:v>6.1987960684260837E-3</c:v>
                </c:pt>
                <c:pt idx="315">
                  <c:v>6.2506223449751716E-3</c:v>
                </c:pt>
                <c:pt idx="316">
                  <c:v>6.2840675866773429E-3</c:v>
                </c:pt>
                <c:pt idx="317">
                  <c:v>6.3086356255004769E-3</c:v>
                </c:pt>
                <c:pt idx="318">
                  <c:v>6.3361710526784916E-3</c:v>
                </c:pt>
                <c:pt idx="319">
                  <c:v>6.3666705727231229E-3</c:v>
                </c:pt>
                <c:pt idx="320">
                  <c:v>6.4001305487293237E-3</c:v>
                </c:pt>
                <c:pt idx="321">
                  <c:v>6.4365469746874128E-3</c:v>
                </c:pt>
                <c:pt idx="322">
                  <c:v>6.4759154478229537E-3</c:v>
                </c:pt>
                <c:pt idx="323">
                  <c:v>6.5212009892380123E-3</c:v>
                </c:pt>
                <c:pt idx="324">
                  <c:v>6.5789211414994586E-3</c:v>
                </c:pt>
                <c:pt idx="325">
                  <c:v>6.6490772182012346E-3</c:v>
                </c:pt>
                <c:pt idx="326">
                  <c:v>6.7316270005385549E-3</c:v>
                </c:pt>
                <c:pt idx="327">
                  <c:v>6.8265524413019312E-3</c:v>
                </c:pt>
                <c:pt idx="328">
                  <c:v>6.9338677819024393E-3</c:v>
                </c:pt>
                <c:pt idx="329">
                  <c:v>7.0535860584015758E-3</c:v>
                </c:pt>
                <c:pt idx="330">
                  <c:v>7.1857193623525197E-3</c:v>
                </c:pt>
                <c:pt idx="331">
                  <c:v>7.3220773139313078E-3</c:v>
                </c:pt>
                <c:pt idx="332">
                  <c:v>7.4530994900447768E-3</c:v>
                </c:pt>
                <c:pt idx="333">
                  <c:v>7.5787927958133961E-3</c:v>
                </c:pt>
                <c:pt idx="334">
                  <c:v>7.6991657209347026E-3</c:v>
                </c:pt>
                <c:pt idx="335">
                  <c:v>7.8142282310155464E-3</c:v>
                </c:pt>
                <c:pt idx="336">
                  <c:v>7.9239916588059126E-3</c:v>
                </c:pt>
                <c:pt idx="337">
                  <c:v>8.0232659659710756E-3</c:v>
                </c:pt>
                <c:pt idx="338">
                  <c:v>8.1090885959772627E-3</c:v>
                </c:pt>
                <c:pt idx="339">
                  <c:v>8.1814737837288213E-3</c:v>
                </c:pt>
                <c:pt idx="340">
                  <c:v>8.2404367557014409E-3</c:v>
                </c:pt>
                <c:pt idx="341">
                  <c:v>8.2859934511916259E-3</c:v>
                </c:pt>
                <c:pt idx="342">
                  <c:v>8.318160243560949E-3</c:v>
                </c:pt>
                <c:pt idx="343">
                  <c:v>8.3369536613798964E-3</c:v>
                </c:pt>
                <c:pt idx="344">
                  <c:v>8.3423901097016365E-3</c:v>
                </c:pt>
                <c:pt idx="345">
                  <c:v>8.3344855912484573E-3</c:v>
                </c:pt>
                <c:pt idx="346">
                  <c:v>8.3240955568233445E-3</c:v>
                </c:pt>
                <c:pt idx="347">
                  <c:v>8.3112365280338385E-3</c:v>
                </c:pt>
                <c:pt idx="348">
                  <c:v>8.2959247334735576E-3</c:v>
                </c:pt>
                <c:pt idx="349">
                  <c:v>8.2781760552041051E-3</c:v>
                </c:pt>
                <c:pt idx="350">
                  <c:v>8.2580059754312173E-3</c:v>
                </c:pt>
                <c:pt idx="351">
                  <c:v>8.2380637173211559E-3</c:v>
                </c:pt>
                <c:pt idx="352">
                  <c:v>8.2235726112766302E-3</c:v>
                </c:pt>
                <c:pt idx="353">
                  <c:v>8.2145511613058511E-3</c:v>
                </c:pt>
                <c:pt idx="354">
                  <c:v>8.211018549875871E-3</c:v>
                </c:pt>
                <c:pt idx="355">
                  <c:v>8.2129947469607393E-3</c:v>
                </c:pt>
                <c:pt idx="356">
                  <c:v>8.2205063003472807E-3</c:v>
                </c:pt>
                <c:pt idx="357">
                  <c:v>8.2335567631374017E-3</c:v>
                </c:pt>
                <c:pt idx="358">
                  <c:v>8.2521308135018491E-3</c:v>
                </c:pt>
                <c:pt idx="359">
                  <c:v>8.2762139150104903E-3</c:v>
                </c:pt>
                <c:pt idx="360">
                  <c:v>8.3005727033842649E-3</c:v>
                </c:pt>
                <c:pt idx="361">
                  <c:v>8.3225457539185307E-3</c:v>
                </c:pt>
                <c:pt idx="362">
                  <c:v>8.3421098001079889E-3</c:v>
                </c:pt>
                <c:pt idx="363">
                  <c:v>8.3592411068638319E-3</c:v>
                </c:pt>
                <c:pt idx="364">
                  <c:v>8.3739155366488998E-3</c:v>
                </c:pt>
                <c:pt idx="365">
                  <c:v>8.3861086155112702E-3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1.4344351466631365E-2</c:v>
                </c:pt>
                <c:pt idx="1">
                  <c:v>1.4456424154434369E-2</c:v>
                </c:pt>
                <c:pt idx="2">
                  <c:v>1.4554801716448866E-2</c:v>
                </c:pt>
                <c:pt idx="3">
                  <c:v>1.463942858569646E-2</c:v>
                </c:pt>
                <c:pt idx="4">
                  <c:v>1.4710248045011391E-2</c:v>
                </c:pt>
                <c:pt idx="5">
                  <c:v>1.4767202581152002E-2</c:v>
                </c:pt>
                <c:pt idx="6">
                  <c:v>1.481023423910096E-2</c:v>
                </c:pt>
                <c:pt idx="7">
                  <c:v>1.4839284976034026E-2</c:v>
                </c:pt>
                <c:pt idx="8">
                  <c:v>1.4854297015493947E-2</c:v>
                </c:pt>
                <c:pt idx="9">
                  <c:v>1.484232641181771E-2</c:v>
                </c:pt>
                <c:pt idx="10">
                  <c:v>1.480144433327682E-2</c:v>
                </c:pt>
                <c:pt idx="11">
                  <c:v>1.4731578211426906E-2</c:v>
                </c:pt>
                <c:pt idx="12">
                  <c:v>1.4632659011678586E-2</c:v>
                </c:pt>
                <c:pt idx="13">
                  <c:v>1.4504621962315833E-2</c:v>
                </c:pt>
                <c:pt idx="14">
                  <c:v>1.4347407283266757E-2</c:v>
                </c:pt>
                <c:pt idx="15">
                  <c:v>1.4174742757457691E-2</c:v>
                </c:pt>
                <c:pt idx="16">
                  <c:v>1.4002416435865963E-2</c:v>
                </c:pt>
                <c:pt idx="17">
                  <c:v>1.3830409646796172E-2</c:v>
                </c:pt>
                <c:pt idx="18">
                  <c:v>1.3658705337533038E-2</c:v>
                </c:pt>
                <c:pt idx="19">
                  <c:v>1.3487363283290527E-2</c:v>
                </c:pt>
                <c:pt idx="20">
                  <c:v>1.331647457269639E-2</c:v>
                </c:pt>
                <c:pt idx="21">
                  <c:v>1.3146069573162123E-2</c:v>
                </c:pt>
                <c:pt idx="22">
                  <c:v>1.2976177659738596E-2</c:v>
                </c:pt>
                <c:pt idx="23">
                  <c:v>1.2806427708869526E-2</c:v>
                </c:pt>
                <c:pt idx="24">
                  <c:v>1.2649783684170588E-2</c:v>
                </c:pt>
                <c:pt idx="25">
                  <c:v>1.2506274194424927E-2</c:v>
                </c:pt>
                <c:pt idx="26">
                  <c:v>1.2375925508613016E-2</c:v>
                </c:pt>
                <c:pt idx="27">
                  <c:v>1.2258761723370143E-2</c:v>
                </c:pt>
                <c:pt idx="28">
                  <c:v>1.2154804930713442E-2</c:v>
                </c:pt>
                <c:pt idx="29">
                  <c:v>1.2046152354050899E-2</c:v>
                </c:pt>
                <c:pt idx="30">
                  <c:v>1.1919019087222961E-2</c:v>
                </c:pt>
                <c:pt idx="31">
                  <c:v>1.1773426253391688E-2</c:v>
                </c:pt>
                <c:pt idx="32">
                  <c:v>1.1609395637499471E-2</c:v>
                </c:pt>
                <c:pt idx="33">
                  <c:v>1.1426949457190026E-2</c:v>
                </c:pt>
                <c:pt idx="34">
                  <c:v>1.1226110133782963E-2</c:v>
                </c:pt>
                <c:pt idx="35">
                  <c:v>1.1006900063236664E-2</c:v>
                </c:pt>
                <c:pt idx="36">
                  <c:v>1.0769341387086601E-2</c:v>
                </c:pt>
                <c:pt idx="37">
                  <c:v>1.0512363310040643E-2</c:v>
                </c:pt>
                <c:pt idx="38">
                  <c:v>1.023638643306961E-2</c:v>
                </c:pt>
                <c:pt idx="39">
                  <c:v>9.9414309507258689E-3</c:v>
                </c:pt>
                <c:pt idx="40">
                  <c:v>9.6275158853732241E-3</c:v>
                </c:pt>
                <c:pt idx="41">
                  <c:v>9.294658849524946E-3</c:v>
                </c:pt>
                <c:pt idx="42">
                  <c:v>8.9428758081082863E-3</c:v>
                </c:pt>
                <c:pt idx="43">
                  <c:v>8.5756619305276446E-3</c:v>
                </c:pt>
                <c:pt idx="44">
                  <c:v>8.2109323120563432E-3</c:v>
                </c:pt>
                <c:pt idx="45">
                  <c:v>7.8486917759726417E-3</c:v>
                </c:pt>
                <c:pt idx="46">
                  <c:v>7.4889434051745975E-3</c:v>
                </c:pt>
                <c:pt idx="47">
                  <c:v>7.1316885721366477E-3</c:v>
                </c:pt>
                <c:pt idx="48">
                  <c:v>6.776926968761865E-3</c:v>
                </c:pt>
                <c:pt idx="49">
                  <c:v>6.424656636304509E-3</c:v>
                </c:pt>
                <c:pt idx="50">
                  <c:v>6.0748739952483505E-3</c:v>
                </c:pt>
                <c:pt idx="51">
                  <c:v>5.7360854784975291E-3</c:v>
                </c:pt>
                <c:pt idx="52">
                  <c:v>5.4093459517951274E-3</c:v>
                </c:pt>
                <c:pt idx="53">
                  <c:v>5.0946195711408038E-3</c:v>
                </c:pt>
                <c:pt idx="54">
                  <c:v>4.7919013095543694E-3</c:v>
                </c:pt>
                <c:pt idx="55">
                  <c:v>4.5011868035584003E-3</c:v>
                </c:pt>
                <c:pt idx="56">
                  <c:v>4.2224723088141666E-3</c:v>
                </c:pt>
                <c:pt idx="57">
                  <c:v>3.9657688296134913E-3</c:v>
                </c:pt>
                <c:pt idx="58">
                  <c:v>3.7275942965243176E-3</c:v>
                </c:pt>
                <c:pt idx="59">
                  <c:v>3.507946711134404E-3</c:v>
                </c:pt>
                <c:pt idx="60">
                  <c:v>3.3068245274958676E-3</c:v>
                </c:pt>
                <c:pt idx="61">
                  <c:v>3.1242265835883035E-3</c:v>
                </c:pt>
                <c:pt idx="62">
                  <c:v>2.960152032777118E-3</c:v>
                </c:pt>
                <c:pt idx="63">
                  <c:v>2.8146002752814235E-3</c:v>
                </c:pt>
                <c:pt idx="64">
                  <c:v>2.6875708896295816E-3</c:v>
                </c:pt>
                <c:pt idx="65">
                  <c:v>2.5806240979517887E-3</c:v>
                </c:pt>
                <c:pt idx="66">
                  <c:v>2.4852476747126177E-3</c:v>
                </c:pt>
                <c:pt idx="67">
                  <c:v>2.4014412883449519E-3</c:v>
                </c:pt>
                <c:pt idx="68">
                  <c:v>2.3292046053514964E-3</c:v>
                </c:pt>
                <c:pt idx="69">
                  <c:v>2.2685372474751026E-3</c:v>
                </c:pt>
                <c:pt idx="70">
                  <c:v>2.2194387488807463E-3</c:v>
                </c:pt>
                <c:pt idx="71">
                  <c:v>2.1812646345138642E-3</c:v>
                </c:pt>
                <c:pt idx="72">
                  <c:v>2.1439998023550146E-3</c:v>
                </c:pt>
                <c:pt idx="73">
                  <c:v>2.1076438570127531E-3</c:v>
                </c:pt>
                <c:pt idx="74">
                  <c:v>2.0721964346554649E-3</c:v>
                </c:pt>
                <c:pt idx="75">
                  <c:v>2.037657199623494E-3</c:v>
                </c:pt>
                <c:pt idx="76">
                  <c:v>2.004025841034734E-3</c:v>
                </c:pt>
                <c:pt idx="77">
                  <c:v>1.9713020693969412E-3</c:v>
                </c:pt>
                <c:pt idx="78">
                  <c:v>1.9394856776061727E-3</c:v>
                </c:pt>
                <c:pt idx="79">
                  <c:v>1.9082875413308428E-3</c:v>
                </c:pt>
                <c:pt idx="80">
                  <c:v>1.8761521850029484E-3</c:v>
                </c:pt>
                <c:pt idx="81">
                  <c:v>1.8430791558970889E-3</c:v>
                </c:pt>
                <c:pt idx="82">
                  <c:v>1.8090680450679455E-3</c:v>
                </c:pt>
                <c:pt idx="83">
                  <c:v>1.7741184903601482E-3</c:v>
                </c:pt>
                <c:pt idx="84">
                  <c:v>1.7382301794241423E-3</c:v>
                </c:pt>
                <c:pt idx="85">
                  <c:v>1.7016624910311804E-3</c:v>
                </c:pt>
                <c:pt idx="86">
                  <c:v>1.6650586761371761E-3</c:v>
                </c:pt>
                <c:pt idx="87">
                  <c:v>1.6284184353909346E-3</c:v>
                </c:pt>
                <c:pt idx="88">
                  <c:v>1.591741516769886E-3</c:v>
                </c:pt>
                <c:pt idx="89">
                  <c:v>1.5550277156982943E-3</c:v>
                </c:pt>
                <c:pt idx="90">
                  <c:v>1.518276875162209E-3</c:v>
                </c:pt>
                <c:pt idx="91">
                  <c:v>1.4814888858303938E-3</c:v>
                </c:pt>
                <c:pt idx="92">
                  <c:v>1.444663686170909E-3</c:v>
                </c:pt>
                <c:pt idx="93">
                  <c:v>1.4072838399489509E-3</c:v>
                </c:pt>
                <c:pt idx="94">
                  <c:v>1.3696456054299521E-3</c:v>
                </c:pt>
                <c:pt idx="95">
                  <c:v>1.3317491300359899E-3</c:v>
                </c:pt>
                <c:pt idx="96">
                  <c:v>1.2935946169997466E-3</c:v>
                </c:pt>
                <c:pt idx="97">
                  <c:v>1.2551823261991208E-3</c:v>
                </c:pt>
                <c:pt idx="98">
                  <c:v>1.2165125749797221E-3</c:v>
                </c:pt>
                <c:pt idx="99">
                  <c:v>1.178531018549023E-3</c:v>
                </c:pt>
                <c:pt idx="100">
                  <c:v>1.1409784368219919E-3</c:v>
                </c:pt>
                <c:pt idx="101">
                  <c:v>1.1038550536024325E-3</c:v>
                </c:pt>
                <c:pt idx="102">
                  <c:v>1.067161122993096E-3</c:v>
                </c:pt>
                <c:pt idx="103">
                  <c:v>1.0308969280113146E-3</c:v>
                </c:pt>
                <c:pt idx="104">
                  <c:v>9.950627792300762E-4</c:v>
                </c:pt>
                <c:pt idx="105">
                  <c:v>9.5965901339547816E-4</c:v>
                </c:pt>
                <c:pt idx="106">
                  <c:v>9.2468599205706721E-4</c:v>
                </c:pt>
                <c:pt idx="107">
                  <c:v>8.914660083540381E-4</c:v>
                </c:pt>
                <c:pt idx="108">
                  <c:v>8.6051521018100418E-4</c:v>
                </c:pt>
                <c:pt idx="109">
                  <c:v>8.3183294911527825E-4</c:v>
                </c:pt>
                <c:pt idx="110">
                  <c:v>8.0542078133839822E-4</c:v>
                </c:pt>
                <c:pt idx="111">
                  <c:v>7.8127994681432764E-4</c:v>
                </c:pt>
                <c:pt idx="112">
                  <c:v>7.5940922933142533E-4</c:v>
                </c:pt>
                <c:pt idx="113">
                  <c:v>7.3934820403789197E-4</c:v>
                </c:pt>
                <c:pt idx="114">
                  <c:v>7.2015296406488603E-4</c:v>
                </c:pt>
                <c:pt idx="115">
                  <c:v>7.018230840361195E-4</c:v>
                </c:pt>
                <c:pt idx="116">
                  <c:v>6.8435812835063463E-4</c:v>
                </c:pt>
                <c:pt idx="117">
                  <c:v>6.6775764930517923E-4</c:v>
                </c:pt>
                <c:pt idx="118">
                  <c:v>6.5202118520923079E-4</c:v>
                </c:pt>
                <c:pt idx="119">
                  <c:v>6.3714825850211623E-4</c:v>
                </c:pt>
                <c:pt idx="120">
                  <c:v>6.2313837386913289E-4</c:v>
                </c:pt>
                <c:pt idx="121">
                  <c:v>6.1006745107680053E-4</c:v>
                </c:pt>
                <c:pt idx="122">
                  <c:v>5.9661734670414187E-4</c:v>
                </c:pt>
                <c:pt idx="123">
                  <c:v>5.8278849856317836E-4</c:v>
                </c:pt>
                <c:pt idx="124">
                  <c:v>5.6858137206597609E-4</c:v>
                </c:pt>
                <c:pt idx="125">
                  <c:v>5.5399646106601952E-4</c:v>
                </c:pt>
                <c:pt idx="126">
                  <c:v>5.3903428869134099E-4</c:v>
                </c:pt>
                <c:pt idx="127">
                  <c:v>5.2395694211069502E-4</c:v>
                </c:pt>
                <c:pt idx="128">
                  <c:v>5.09222167554663E-4</c:v>
                </c:pt>
                <c:pt idx="129">
                  <c:v>4.9482989551230213E-4</c:v>
                </c:pt>
                <c:pt idx="130">
                  <c:v>4.8078005246532293E-4</c:v>
                </c:pt>
                <c:pt idx="131">
                  <c:v>4.6707256014132857E-4</c:v>
                </c:pt>
                <c:pt idx="132">
                  <c:v>4.5370733477230826E-4</c:v>
                </c:pt>
                <c:pt idx="133">
                  <c:v>4.4068428635594617E-4</c:v>
                </c:pt>
                <c:pt idx="134">
                  <c:v>4.280033179142882E-4</c:v>
                </c:pt>
                <c:pt idx="135">
                  <c:v>4.1534246034725426E-4</c:v>
                </c:pt>
                <c:pt idx="136">
                  <c:v>4.0262589482279511E-4</c:v>
                </c:pt>
                <c:pt idx="137">
                  <c:v>3.8985397362245117E-4</c:v>
                </c:pt>
                <c:pt idx="138">
                  <c:v>3.7702706377055442E-4</c:v>
                </c:pt>
                <c:pt idx="139">
                  <c:v>3.641455471779681E-4</c:v>
                </c:pt>
                <c:pt idx="140">
                  <c:v>3.5120982076415012E-4</c:v>
                </c:pt>
                <c:pt idx="141">
                  <c:v>3.3858942463719697E-4</c:v>
                </c:pt>
                <c:pt idx="142">
                  <c:v>3.2602242033489707E-4</c:v>
                </c:pt>
                <c:pt idx="143">
                  <c:v>3.1350789396118484E-4</c:v>
                </c:pt>
                <c:pt idx="144">
                  <c:v>3.0104697359075681E-4</c:v>
                </c:pt>
                <c:pt idx="145">
                  <c:v>2.8864071520247504E-4</c:v>
                </c:pt>
                <c:pt idx="146">
                  <c:v>2.7629010331961886E-4</c:v>
                </c:pt>
                <c:pt idx="147">
                  <c:v>2.63996051660312E-4</c:v>
                </c:pt>
                <c:pt idx="148">
                  <c:v>2.5175940378065084E-4</c:v>
                </c:pt>
                <c:pt idx="149">
                  <c:v>2.3984836464613401E-4</c:v>
                </c:pt>
                <c:pt idx="150">
                  <c:v>2.2858274365270762E-4</c:v>
                </c:pt>
                <c:pt idx="151">
                  <c:v>2.1796212066116727E-4</c:v>
                </c:pt>
                <c:pt idx="152">
                  <c:v>2.0798597676729554E-4</c:v>
                </c:pt>
                <c:pt idx="153">
                  <c:v>1.98653702865589E-4</c:v>
                </c:pt>
                <c:pt idx="154">
                  <c:v>1.8996460821426477E-4</c:v>
                </c:pt>
                <c:pt idx="155">
                  <c:v>1.8211987124928261E-4</c:v>
                </c:pt>
                <c:pt idx="156">
                  <c:v>1.7475224213468223E-4</c:v>
                </c:pt>
                <c:pt idx="157">
                  <c:v>1.6786114707978753E-4</c:v>
                </c:pt>
                <c:pt idx="158">
                  <c:v>1.6144596716665958E-4</c:v>
                </c:pt>
                <c:pt idx="159">
                  <c:v>1.5550604468945705E-4</c:v>
                </c:pt>
                <c:pt idx="160">
                  <c:v>1.5004068949584076E-4</c:v>
                </c:pt>
                <c:pt idx="161">
                  <c:v>1.4504918532650413E-4</c:v>
                </c:pt>
                <c:pt idx="162">
                  <c:v>1.405307961556066E-4</c:v>
                </c:pt>
                <c:pt idx="163">
                  <c:v>1.3666830667668763E-4</c:v>
                </c:pt>
                <c:pt idx="164">
                  <c:v>1.3319566943688336E-4</c:v>
                </c:pt>
                <c:pt idx="165">
                  <c:v>1.3011228041035153E-4</c:v>
                </c:pt>
                <c:pt idx="166">
                  <c:v>1.2741753741517039E-4</c:v>
                </c:pt>
                <c:pt idx="167">
                  <c:v>1.2511084534166508E-4</c:v>
                </c:pt>
                <c:pt idx="168">
                  <c:v>1.2319162138489084E-4</c:v>
                </c:pt>
                <c:pt idx="169">
                  <c:v>1.2184218429251688E-4</c:v>
                </c:pt>
                <c:pt idx="170">
                  <c:v>1.2086158770672848E-4</c:v>
                </c:pt>
                <c:pt idx="171">
                  <c:v>1.2024935379332371E-4</c:v>
                </c:pt>
                <c:pt idx="172">
                  <c:v>1.2000503707824148E-4</c:v>
                </c:pt>
                <c:pt idx="173">
                  <c:v>1.2012700100759955E-4</c:v>
                </c:pt>
                <c:pt idx="174">
                  <c:v>1.2061356604426278E-4</c:v>
                </c:pt>
                <c:pt idx="175">
                  <c:v>1.2146425002420289E-4</c:v>
                </c:pt>
                <c:pt idx="176">
                  <c:v>1.2267857318915245E-4</c:v>
                </c:pt>
                <c:pt idx="177">
                  <c:v>1.2445545146882612E-4</c:v>
                </c:pt>
                <c:pt idx="178">
                  <c:v>1.2661207466594022E-4</c:v>
                </c:pt>
                <c:pt idx="179">
                  <c:v>1.2914795884898399E-4</c:v>
                </c:pt>
                <c:pt idx="180">
                  <c:v>1.3206263185006677E-4</c:v>
                </c:pt>
                <c:pt idx="181">
                  <c:v>1.3535563550390556E-4</c:v>
                </c:pt>
                <c:pt idx="182">
                  <c:v>1.3902652788792068E-4</c:v>
                </c:pt>
                <c:pt idx="183">
                  <c:v>1.433371993618803E-4</c:v>
                </c:pt>
                <c:pt idx="184">
                  <c:v>1.4810536311595066E-4</c:v>
                </c:pt>
                <c:pt idx="185">
                  <c:v>1.5333053007396115E-4</c:v>
                </c:pt>
                <c:pt idx="186">
                  <c:v>1.5901224026900306E-4</c:v>
                </c:pt>
                <c:pt idx="187">
                  <c:v>1.6515006555894564E-4</c:v>
                </c:pt>
                <c:pt idx="188">
                  <c:v>1.7174361234307625E-4</c:v>
                </c:pt>
                <c:pt idx="189">
                  <c:v>1.787925242737026E-4</c:v>
                </c:pt>
                <c:pt idx="190">
                  <c:v>1.8629648497484316E-4</c:v>
                </c:pt>
                <c:pt idx="191">
                  <c:v>1.9461449162390808E-4</c:v>
                </c:pt>
                <c:pt idx="192">
                  <c:v>2.0354786942835811E-4</c:v>
                </c:pt>
                <c:pt idx="193">
                  <c:v>2.1309625552141725E-4</c:v>
                </c:pt>
                <c:pt idx="194">
                  <c:v>2.2325934988019902E-4</c:v>
                </c:pt>
                <c:pt idx="195">
                  <c:v>2.3403691899779862E-4</c:v>
                </c:pt>
                <c:pt idx="196">
                  <c:v>2.4542879954734875E-4</c:v>
                </c:pt>
                <c:pt idx="197">
                  <c:v>2.5712311398377375E-4</c:v>
                </c:pt>
                <c:pt idx="198">
                  <c:v>2.6885949283410126E-4</c:v>
                </c:pt>
                <c:pt idx="199">
                  <c:v>2.806385496560069E-4</c:v>
                </c:pt>
                <c:pt idx="200">
                  <c:v>2.9246093015424142E-4</c:v>
                </c:pt>
                <c:pt idx="201">
                  <c:v>3.0432731245451529E-4</c:v>
                </c:pt>
                <c:pt idx="202">
                  <c:v>3.162384073785385E-4</c:v>
                </c:pt>
                <c:pt idx="203">
                  <c:v>3.2819495872610347E-4</c:v>
                </c:pt>
                <c:pt idx="204">
                  <c:v>3.4019719418488219E-4</c:v>
                </c:pt>
                <c:pt idx="205">
                  <c:v>3.5249717145243234E-4</c:v>
                </c:pt>
                <c:pt idx="206">
                  <c:v>3.6473755315521127E-4</c:v>
                </c:pt>
                <c:pt idx="207">
                  <c:v>3.7691877770596876E-4</c:v>
                </c:pt>
                <c:pt idx="208">
                  <c:v>3.8904126343041585E-4</c:v>
                </c:pt>
                <c:pt idx="209">
                  <c:v>4.0110540874540245E-4</c:v>
                </c:pt>
                <c:pt idx="210">
                  <c:v>4.1311159235002723E-4</c:v>
                </c:pt>
                <c:pt idx="211">
                  <c:v>4.2513364252694469E-4</c:v>
                </c:pt>
                <c:pt idx="212">
                  <c:v>4.3748255799506996E-4</c:v>
                </c:pt>
                <c:pt idx="213">
                  <c:v>4.5015851437599772E-4</c:v>
                </c:pt>
                <c:pt idx="214">
                  <c:v>4.631616947597704E-4</c:v>
                </c:pt>
                <c:pt idx="215">
                  <c:v>4.7649228869618086E-4</c:v>
                </c:pt>
                <c:pt idx="216">
                  <c:v>4.9015049118454634E-4</c:v>
                </c:pt>
                <c:pt idx="217">
                  <c:v>5.0413650166537967E-4</c:v>
                </c:pt>
                <c:pt idx="218">
                  <c:v>5.184505230094457E-4</c:v>
                </c:pt>
                <c:pt idx="219">
                  <c:v>5.3265258622329343E-4</c:v>
                </c:pt>
                <c:pt idx="220">
                  <c:v>5.4649137692772327E-4</c:v>
                </c:pt>
                <c:pt idx="221">
                  <c:v>5.5996718254234081E-4</c:v>
                </c:pt>
                <c:pt idx="222">
                  <c:v>5.7308025288889668E-4</c:v>
                </c:pt>
                <c:pt idx="223">
                  <c:v>5.8583080134068973E-4</c:v>
                </c:pt>
                <c:pt idx="224">
                  <c:v>5.9821900595876244E-4</c:v>
                </c:pt>
                <c:pt idx="225">
                  <c:v>6.1151050873295431E-4</c:v>
                </c:pt>
                <c:pt idx="226">
                  <c:v>6.2563201500208962E-4</c:v>
                </c:pt>
                <c:pt idx="227">
                  <c:v>6.4058364981793244E-4</c:v>
                </c:pt>
                <c:pt idx="228">
                  <c:v>6.5636555725320431E-4</c:v>
                </c:pt>
                <c:pt idx="229">
                  <c:v>6.7297789782876907E-4</c:v>
                </c:pt>
                <c:pt idx="230">
                  <c:v>6.9042084595068848E-4</c:v>
                </c:pt>
                <c:pt idx="231">
                  <c:v>7.0869458735009364E-4</c:v>
                </c:pt>
                <c:pt idx="232">
                  <c:v>7.2779931650832769E-4</c:v>
                </c:pt>
                <c:pt idx="233">
                  <c:v>7.4863930641582116E-4</c:v>
                </c:pt>
                <c:pt idx="234">
                  <c:v>7.7165508103945E-4</c:v>
                </c:pt>
                <c:pt idx="235">
                  <c:v>7.9684771870833226E-4</c:v>
                </c:pt>
                <c:pt idx="236">
                  <c:v>8.2421868886337079E-4</c:v>
                </c:pt>
                <c:pt idx="237">
                  <c:v>8.5376908319830414E-4</c:v>
                </c:pt>
                <c:pt idx="238">
                  <c:v>8.855001020675017E-4</c:v>
                </c:pt>
                <c:pt idx="239">
                  <c:v>9.1891828025296516E-4</c:v>
                </c:pt>
                <c:pt idx="240">
                  <c:v>9.5275859322800627E-4</c:v>
                </c:pt>
                <c:pt idx="241">
                  <c:v>9.8702206755250151E-4</c:v>
                </c:pt>
                <c:pt idx="242">
                  <c:v>1.0217097722100075E-3</c:v>
                </c:pt>
                <c:pt idx="243">
                  <c:v>1.0568228193393932E-3</c:v>
                </c:pt>
                <c:pt idx="244">
                  <c:v>1.0923623649619829E-3</c:v>
                </c:pt>
                <c:pt idx="245">
                  <c:v>1.1283296096975537E-3</c:v>
                </c:pt>
                <c:pt idx="246">
                  <c:v>1.1647257994770769E-3</c:v>
                </c:pt>
                <c:pt idx="247">
                  <c:v>1.2018006059584926E-3</c:v>
                </c:pt>
                <c:pt idx="248">
                  <c:v>1.238650073677278E-3</c:v>
                </c:pt>
                <c:pt idx="249">
                  <c:v>1.2752752740564292E-3</c:v>
                </c:pt>
                <c:pt idx="250">
                  <c:v>1.3116772910661109E-3</c:v>
                </c:pt>
                <c:pt idx="251">
                  <c:v>1.3478572208219164E-3</c:v>
                </c:pt>
                <c:pt idx="252">
                  <c:v>1.3838161711297629E-3</c:v>
                </c:pt>
                <c:pt idx="253">
                  <c:v>1.4192715331419132E-3</c:v>
                </c:pt>
                <c:pt idx="254">
                  <c:v>1.4547201288945039E-3</c:v>
                </c:pt>
                <c:pt idx="255">
                  <c:v>1.490163230177626E-3</c:v>
                </c:pt>
                <c:pt idx="256">
                  <c:v>1.5256021314362124E-3</c:v>
                </c:pt>
                <c:pt idx="257">
                  <c:v>1.5610381496956344E-3</c:v>
                </c:pt>
                <c:pt idx="258">
                  <c:v>1.5964726245008803E-3</c:v>
                </c:pt>
                <c:pt idx="259">
                  <c:v>1.6319069178784736E-3</c:v>
                </c:pt>
                <c:pt idx="260">
                  <c:v>1.6673424142506276E-3</c:v>
                </c:pt>
                <c:pt idx="261">
                  <c:v>1.7021630261510976E-3</c:v>
                </c:pt>
                <c:pt idx="262">
                  <c:v>1.7361204311026259E-3</c:v>
                </c:pt>
                <c:pt idx="263">
                  <c:v>1.7692152650903585E-3</c:v>
                </c:pt>
                <c:pt idx="264">
                  <c:v>1.8014482123924144E-3</c:v>
                </c:pt>
                <c:pt idx="265">
                  <c:v>1.8328297447441641E-3</c:v>
                </c:pt>
                <c:pt idx="266">
                  <c:v>1.8633660508450443E-3</c:v>
                </c:pt>
                <c:pt idx="267">
                  <c:v>1.8945554093078229E-3</c:v>
                </c:pt>
                <c:pt idx="268">
                  <c:v>1.9266830617446593E-3</c:v>
                </c:pt>
                <c:pt idx="269">
                  <c:v>1.9597495655007571E-3</c:v>
                </c:pt>
                <c:pt idx="270">
                  <c:v>1.9937554264039194E-3</c:v>
                </c:pt>
                <c:pt idx="271">
                  <c:v>2.0287010890207356E-3</c:v>
                </c:pt>
                <c:pt idx="272">
                  <c:v>2.0645869269655857E-3</c:v>
                </c:pt>
                <c:pt idx="273">
                  <c:v>2.1014132331845124E-3</c:v>
                </c:pt>
                <c:pt idx="274">
                  <c:v>2.1391802102658166E-3</c:v>
                </c:pt>
                <c:pt idx="275">
                  <c:v>2.1875450848682127E-3</c:v>
                </c:pt>
                <c:pt idx="276">
                  <c:v>2.2471433147765651E-3</c:v>
                </c:pt>
                <c:pt idx="277">
                  <c:v>2.3179904225751218E-3</c:v>
                </c:pt>
                <c:pt idx="278">
                  <c:v>2.4001021809096717E-3</c:v>
                </c:pt>
                <c:pt idx="279">
                  <c:v>2.4934944899371466E-3</c:v>
                </c:pt>
                <c:pt idx="280">
                  <c:v>2.5981832547978265E-3</c:v>
                </c:pt>
                <c:pt idx="281">
                  <c:v>2.7224173384869238E-3</c:v>
                </c:pt>
                <c:pt idx="282">
                  <c:v>2.8647149787260746E-3</c:v>
                </c:pt>
                <c:pt idx="283">
                  <c:v>3.0251019437092688E-3</c:v>
                </c:pt>
                <c:pt idx="284">
                  <c:v>3.2036034904509383E-3</c:v>
                </c:pt>
                <c:pt idx="285">
                  <c:v>3.4002441686407769E-3</c:v>
                </c:pt>
                <c:pt idx="286">
                  <c:v>3.6150476245290185E-3</c:v>
                </c:pt>
                <c:pt idx="287">
                  <c:v>3.8480364047816123E-3</c:v>
                </c:pt>
                <c:pt idx="288">
                  <c:v>4.0992317603465557E-3</c:v>
                </c:pt>
                <c:pt idx="289">
                  <c:v>4.3720331607554706E-3</c:v>
                </c:pt>
                <c:pt idx="290">
                  <c:v>4.6567321073151145E-3</c:v>
                </c:pt>
                <c:pt idx="291">
                  <c:v>4.9533353373557272E-3</c:v>
                </c:pt>
                <c:pt idx="292">
                  <c:v>5.2618478158224097E-3</c:v>
                </c:pt>
                <c:pt idx="293">
                  <c:v>5.5822726083398664E-3</c:v>
                </c:pt>
                <c:pt idx="294">
                  <c:v>5.9146107542610042E-3</c:v>
                </c:pt>
                <c:pt idx="295">
                  <c:v>6.257798660608424E-3</c:v>
                </c:pt>
                <c:pt idx="296">
                  <c:v>6.6036170433128247E-3</c:v>
                </c:pt>
                <c:pt idx="297">
                  <c:v>6.952119483707519E-3</c:v>
                </c:pt>
                <c:pt idx="298">
                  <c:v>7.3033094407153202E-3</c:v>
                </c:pt>
                <c:pt idx="299">
                  <c:v>7.6571891745950416E-3</c:v>
                </c:pt>
                <c:pt idx="300">
                  <c:v>8.0137597254561679E-3</c:v>
                </c:pt>
                <c:pt idx="301">
                  <c:v>8.3730208917518791E-3</c:v>
                </c:pt>
                <c:pt idx="302">
                  <c:v>8.7349712087889889E-3</c:v>
                </c:pt>
                <c:pt idx="303">
                  <c:v>9.0821089563735535E-3</c:v>
                </c:pt>
                <c:pt idx="304">
                  <c:v>9.4110013653251282E-3</c:v>
                </c:pt>
                <c:pt idx="305">
                  <c:v>9.7216132365859909E-3</c:v>
                </c:pt>
                <c:pt idx="306">
                  <c:v>1.0013908279748537E-2</c:v>
                </c:pt>
                <c:pt idx="307">
                  <c:v>1.0287849284012116E-2</c:v>
                </c:pt>
                <c:pt idx="308">
                  <c:v>1.0543398289054082E-2</c:v>
                </c:pt>
                <c:pt idx="309">
                  <c:v>1.078012551437272E-2</c:v>
                </c:pt>
                <c:pt idx="310">
                  <c:v>1.0999062083216072E-2</c:v>
                </c:pt>
                <c:pt idx="311">
                  <c:v>1.1200169739594701E-2</c:v>
                </c:pt>
                <c:pt idx="312">
                  <c:v>1.13834101344963E-2</c:v>
                </c:pt>
                <c:pt idx="313">
                  <c:v>1.1548744990635478E-2</c:v>
                </c:pt>
                <c:pt idx="314">
                  <c:v>1.1696136267100929E-2</c:v>
                </c:pt>
                <c:pt idx="315">
                  <c:v>1.1825546324146924E-2</c:v>
                </c:pt>
                <c:pt idx="316">
                  <c:v>1.1936938087806102E-2</c:v>
                </c:pt>
                <c:pt idx="317">
                  <c:v>1.2043838318262591E-2</c:v>
                </c:pt>
                <c:pt idx="318">
                  <c:v>1.2163842713911464E-2</c:v>
                </c:pt>
                <c:pt idx="319">
                  <c:v>1.2296950786594979E-2</c:v>
                </c:pt>
                <c:pt idx="320">
                  <c:v>1.2443160540819976E-2</c:v>
                </c:pt>
                <c:pt idx="321">
                  <c:v>1.2602468353286553E-2</c:v>
                </c:pt>
                <c:pt idx="322">
                  <c:v>1.2774868852472872E-2</c:v>
                </c:pt>
                <c:pt idx="323">
                  <c:v>1.2947617184128337E-2</c:v>
                </c:pt>
                <c:pt idx="324">
                  <c:v>1.3121086668688104E-2</c:v>
                </c:pt>
                <c:pt idx="325">
                  <c:v>1.3295255986855702E-2</c:v>
                </c:pt>
                <c:pt idx="326">
                  <c:v>1.3470019282384555E-2</c:v>
                </c:pt>
                <c:pt idx="327">
                  <c:v>1.3645322176794671E-2</c:v>
                </c:pt>
                <c:pt idx="328">
                  <c:v>1.3821178895413988E-2</c:v>
                </c:pt>
                <c:pt idx="329">
                  <c:v>1.399760496400851E-2</c:v>
                </c:pt>
                <c:pt idx="330">
                  <c:v>1.4174617226451925E-2</c:v>
                </c:pt>
                <c:pt idx="331">
                  <c:v>1.433660861391879E-2</c:v>
                </c:pt>
                <c:pt idx="332">
                  <c:v>1.4469979670198503E-2</c:v>
                </c:pt>
                <c:pt idx="333">
                  <c:v>1.4574744959541926E-2</c:v>
                </c:pt>
                <c:pt idx="334">
                  <c:v>1.4650922861930924E-2</c:v>
                </c:pt>
                <c:pt idx="335">
                  <c:v>1.4698534982799929E-2</c:v>
                </c:pt>
                <c:pt idx="336">
                  <c:v>1.4717605562566967E-2</c:v>
                </c:pt>
                <c:pt idx="337">
                  <c:v>1.470999819646731E-2</c:v>
                </c:pt>
                <c:pt idx="338">
                  <c:v>1.4688504108484665E-2</c:v>
                </c:pt>
                <c:pt idx="339">
                  <c:v>1.4653152971385345E-2</c:v>
                </c:pt>
                <c:pt idx="340">
                  <c:v>1.460397456338134E-2</c:v>
                </c:pt>
                <c:pt idx="341">
                  <c:v>1.4540998481373068E-2</c:v>
                </c:pt>
                <c:pt idx="342">
                  <c:v>1.4464253854179465E-2</c:v>
                </c:pt>
                <c:pt idx="343">
                  <c:v>1.4373769055592756E-2</c:v>
                </c:pt>
                <c:pt idx="344">
                  <c:v>1.4269571417662113E-2</c:v>
                </c:pt>
                <c:pt idx="345">
                  <c:v>1.4151686943824087E-2</c:v>
                </c:pt>
                <c:pt idx="346">
                  <c:v>1.4042941383620514E-2</c:v>
                </c:pt>
                <c:pt idx="347">
                  <c:v>1.3943361765976827E-2</c:v>
                </c:pt>
                <c:pt idx="348">
                  <c:v>1.3852974919870002E-2</c:v>
                </c:pt>
                <c:pt idx="349">
                  <c:v>1.3771807661367945E-2</c:v>
                </c:pt>
                <c:pt idx="350">
                  <c:v>1.3699886980993883E-2</c:v>
                </c:pt>
                <c:pt idx="351">
                  <c:v>1.3644409514252458E-2</c:v>
                </c:pt>
                <c:pt idx="352">
                  <c:v>1.3603567552693116E-2</c:v>
                </c:pt>
                <c:pt idx="353">
                  <c:v>1.3577393222704391E-2</c:v>
                </c:pt>
                <c:pt idx="354">
                  <c:v>1.3565920496978447E-2</c:v>
                </c:pt>
                <c:pt idx="355">
                  <c:v>1.3569185491738451E-2</c:v>
                </c:pt>
                <c:pt idx="356">
                  <c:v>1.3587236154213811E-2</c:v>
                </c:pt>
                <c:pt idx="357">
                  <c:v>1.3620083499072436E-2</c:v>
                </c:pt>
                <c:pt idx="358">
                  <c:v>1.3667708341204015E-2</c:v>
                </c:pt>
                <c:pt idx="359">
                  <c:v>1.3730093633197204E-2</c:v>
                </c:pt>
                <c:pt idx="360">
                  <c:v>1.3809067358303541E-2</c:v>
                </c:pt>
                <c:pt idx="361">
                  <c:v>1.3897428111095027E-2</c:v>
                </c:pt>
                <c:pt idx="362">
                  <c:v>1.3995156369580914E-2</c:v>
                </c:pt>
                <c:pt idx="363">
                  <c:v>1.4102232737947785E-2</c:v>
                </c:pt>
                <c:pt idx="364">
                  <c:v>1.4218637715699574E-2</c:v>
                </c:pt>
                <c:pt idx="365">
                  <c:v>1.4344351466631365E-2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2.8533885933822417E-2</c:v>
                </c:pt>
                <c:pt idx="1">
                  <c:v>2.8305867036990187E-2</c:v>
                </c:pt>
                <c:pt idx="2">
                  <c:v>2.8106395841936069E-2</c:v>
                </c:pt>
                <c:pt idx="3">
                  <c:v>2.7935438258636827E-2</c:v>
                </c:pt>
                <c:pt idx="4">
                  <c:v>2.7792962817212774E-2</c:v>
                </c:pt>
                <c:pt idx="5">
                  <c:v>2.7678939938067887E-2</c:v>
                </c:pt>
                <c:pt idx="6">
                  <c:v>2.7593341202383454E-2</c:v>
                </c:pt>
                <c:pt idx="7">
                  <c:v>2.7536138621986946E-2</c:v>
                </c:pt>
                <c:pt idx="8">
                  <c:v>2.750730390961106E-2</c:v>
                </c:pt>
                <c:pt idx="9">
                  <c:v>2.7481253923241838E-2</c:v>
                </c:pt>
                <c:pt idx="10">
                  <c:v>2.744126459504562E-2</c:v>
                </c:pt>
                <c:pt idx="11">
                  <c:v>2.7387251065297036E-2</c:v>
                </c:pt>
                <c:pt idx="12">
                  <c:v>2.7319130439771067E-2</c:v>
                </c:pt>
                <c:pt idx="13">
                  <c:v>2.723682213319277E-2</c:v>
                </c:pt>
                <c:pt idx="14">
                  <c:v>2.714024821222108E-2</c:v>
                </c:pt>
                <c:pt idx="15">
                  <c:v>2.7024738152906413E-2</c:v>
                </c:pt>
                <c:pt idx="16">
                  <c:v>2.6878136634361866E-2</c:v>
                </c:pt>
                <c:pt idx="17">
                  <c:v>2.6700363181226618E-2</c:v>
                </c:pt>
                <c:pt idx="18">
                  <c:v>2.6491344853355036E-2</c:v>
                </c:pt>
                <c:pt idx="19">
                  <c:v>2.6251163438027664E-2</c:v>
                </c:pt>
                <c:pt idx="20">
                  <c:v>2.5979969196759725E-2</c:v>
                </c:pt>
                <c:pt idx="21">
                  <c:v>2.5677800512280014E-2</c:v>
                </c:pt>
                <c:pt idx="22">
                  <c:v>2.5344698799171114E-2</c:v>
                </c:pt>
                <c:pt idx="23">
                  <c:v>2.4986957688481113E-2</c:v>
                </c:pt>
                <c:pt idx="24">
                  <c:v>2.4630277612315413E-2</c:v>
                </c:pt>
                <c:pt idx="25">
                  <c:v>2.427471184243998E-2</c:v>
                </c:pt>
                <c:pt idx="26">
                  <c:v>2.3920311666760317E-2</c:v>
                </c:pt>
                <c:pt idx="27">
                  <c:v>2.356712640966804E-2</c:v>
                </c:pt>
                <c:pt idx="28">
                  <c:v>2.3215203452909977E-2</c:v>
                </c:pt>
                <c:pt idx="29">
                  <c:v>2.2848203293791728E-2</c:v>
                </c:pt>
                <c:pt idx="30">
                  <c:v>2.2470773861736192E-2</c:v>
                </c:pt>
                <c:pt idx="31">
                  <c:v>2.2082958690050256E-2</c:v>
                </c:pt>
                <c:pt idx="32">
                  <c:v>2.1684800144206217E-2</c:v>
                </c:pt>
                <c:pt idx="33">
                  <c:v>2.1276339295108138E-2</c:v>
                </c:pt>
                <c:pt idx="34">
                  <c:v>2.0857615792458012E-2</c:v>
                </c:pt>
                <c:pt idx="35">
                  <c:v>2.0428667738099249E-2</c:v>
                </c:pt>
                <c:pt idx="36">
                  <c:v>1.9989531559314679E-2</c:v>
                </c:pt>
                <c:pt idx="37">
                  <c:v>1.9538874229783103E-2</c:v>
                </c:pt>
                <c:pt idx="38">
                  <c:v>1.9070481475583528E-2</c:v>
                </c:pt>
                <c:pt idx="39">
                  <c:v>1.8584385964947856E-2</c:v>
                </c:pt>
                <c:pt idx="40">
                  <c:v>1.8080618221520652E-2</c:v>
                </c:pt>
                <c:pt idx="41">
                  <c:v>1.7559206402536092E-2</c:v>
                </c:pt>
                <c:pt idx="42">
                  <c:v>1.7020176076858667E-2</c:v>
                </c:pt>
                <c:pt idx="43">
                  <c:v>1.6463415116742562E-2</c:v>
                </c:pt>
                <c:pt idx="44">
                  <c:v>1.5905310826548287E-2</c:v>
                </c:pt>
                <c:pt idx="45">
                  <c:v>1.5345876011469617E-2</c:v>
                </c:pt>
                <c:pt idx="46">
                  <c:v>1.4785120637990729E-2</c:v>
                </c:pt>
                <c:pt idx="47">
                  <c:v>1.4223051815208195E-2</c:v>
                </c:pt>
                <c:pt idx="48">
                  <c:v>1.3659673775949559E-2</c:v>
                </c:pt>
                <c:pt idx="49">
                  <c:v>1.3094987858029804E-2</c:v>
                </c:pt>
                <c:pt idx="50">
                  <c:v>1.2528992485419714E-2</c:v>
                </c:pt>
                <c:pt idx="51">
                  <c:v>1.1972969355463428E-2</c:v>
                </c:pt>
                <c:pt idx="52">
                  <c:v>1.142821442971014E-2</c:v>
                </c:pt>
                <c:pt idx="53">
                  <c:v>1.0894655389088228E-2</c:v>
                </c:pt>
                <c:pt idx="54">
                  <c:v>1.0372283027199123E-2</c:v>
                </c:pt>
                <c:pt idx="55">
                  <c:v>9.8610891110865427E-3</c:v>
                </c:pt>
                <c:pt idx="56">
                  <c:v>9.3610663399774901E-3</c:v>
                </c:pt>
                <c:pt idx="57">
                  <c:v>8.8909251275828948E-3</c:v>
                </c:pt>
                <c:pt idx="58">
                  <c:v>8.4507950394342845E-3</c:v>
                </c:pt>
                <c:pt idx="59">
                  <c:v>8.0406717388102206E-3</c:v>
                </c:pt>
                <c:pt idx="60">
                  <c:v>7.6605517022904348E-3</c:v>
                </c:pt>
                <c:pt idx="61">
                  <c:v>7.3104321087590551E-3</c:v>
                </c:pt>
                <c:pt idx="62">
                  <c:v>6.9903107283966837E-3</c:v>
                </c:pt>
                <c:pt idx="63">
                  <c:v>6.7001858116947461E-3</c:v>
                </c:pt>
                <c:pt idx="64">
                  <c:v>6.4400559784409291E-3</c:v>
                </c:pt>
                <c:pt idx="65">
                  <c:v>6.2119746848571114E-3</c:v>
                </c:pt>
                <c:pt idx="66">
                  <c:v>6.004654283754649E-3</c:v>
                </c:pt>
                <c:pt idx="67">
                  <c:v>5.8180937920443146E-3</c:v>
                </c:pt>
                <c:pt idx="68">
                  <c:v>5.652292276695222E-3</c:v>
                </c:pt>
                <c:pt idx="69">
                  <c:v>5.507248777869643E-3</c:v>
                </c:pt>
                <c:pt idx="70">
                  <c:v>5.3829622320860646E-3</c:v>
                </c:pt>
                <c:pt idx="71">
                  <c:v>5.2787799456709373E-3</c:v>
                </c:pt>
                <c:pt idx="72">
                  <c:v>5.175983273867325E-3</c:v>
                </c:pt>
                <c:pt idx="73">
                  <c:v>5.0745714470886725E-3</c:v>
                </c:pt>
                <c:pt idx="74">
                  <c:v>4.9745438117248311E-3</c:v>
                </c:pt>
                <c:pt idx="75">
                  <c:v>4.8758998249589973E-3</c:v>
                </c:pt>
                <c:pt idx="76">
                  <c:v>4.7786390495689274E-3</c:v>
                </c:pt>
                <c:pt idx="77">
                  <c:v>4.6827611487442909E-3</c:v>
                </c:pt>
                <c:pt idx="78">
                  <c:v>4.5882660332229137E-3</c:v>
                </c:pt>
                <c:pt idx="79">
                  <c:v>4.4957380609150178E-3</c:v>
                </c:pt>
                <c:pt idx="80">
                  <c:v>4.4031340900069727E-3</c:v>
                </c:pt>
                <c:pt idx="81">
                  <c:v>4.310452766541884E-3</c:v>
                </c:pt>
                <c:pt idx="82">
                  <c:v>4.2176928552010683E-3</c:v>
                </c:pt>
                <c:pt idx="83">
                  <c:v>4.1248532395708774E-3</c:v>
                </c:pt>
                <c:pt idx="84">
                  <c:v>4.0319329224234382E-3</c:v>
                </c:pt>
                <c:pt idx="85">
                  <c:v>3.9401172639242261E-3</c:v>
                </c:pt>
                <c:pt idx="86">
                  <c:v>3.8500563768005393E-3</c:v>
                </c:pt>
                <c:pt idx="87">
                  <c:v>3.7617493041882479E-3</c:v>
                </c:pt>
                <c:pt idx="88">
                  <c:v>3.6751951791019811E-3</c:v>
                </c:pt>
                <c:pt idx="89">
                  <c:v>3.590393218820083E-3</c:v>
                </c:pt>
                <c:pt idx="90">
                  <c:v>3.5073427192620315E-3</c:v>
                </c:pt>
                <c:pt idx="91">
                  <c:v>3.4260430493796581E-3</c:v>
                </c:pt>
                <c:pt idx="92">
                  <c:v>3.3464936455383384E-3</c:v>
                </c:pt>
                <c:pt idx="93">
                  <c:v>3.2679499625442223E-3</c:v>
                </c:pt>
                <c:pt idx="94">
                  <c:v>3.1898453789318232E-3</c:v>
                </c:pt>
                <c:pt idx="95">
                  <c:v>3.1121798497800034E-3</c:v>
                </c:pt>
                <c:pt idx="96">
                  <c:v>3.0349534168155096E-3</c:v>
                </c:pt>
                <c:pt idx="97">
                  <c:v>2.9581662070153124E-3</c:v>
                </c:pt>
                <c:pt idx="98">
                  <c:v>2.8818184311806979E-3</c:v>
                </c:pt>
                <c:pt idx="99">
                  <c:v>2.8071707279086213E-3</c:v>
                </c:pt>
                <c:pt idx="100">
                  <c:v>2.733038217663812E-3</c:v>
                </c:pt>
                <c:pt idx="101">
                  <c:v>2.6594213008951785E-3</c:v>
                </c:pt>
                <c:pt idx="102">
                  <c:v>2.5863204513898869E-3</c:v>
                </c:pt>
                <c:pt idx="103">
                  <c:v>2.5137362145893822E-3</c:v>
                </c:pt>
                <c:pt idx="104">
                  <c:v>2.44166920596682E-3</c:v>
                </c:pt>
                <c:pt idx="105">
                  <c:v>2.3701201093475235E-3</c:v>
                </c:pt>
                <c:pt idx="106">
                  <c:v>2.2990896752605968E-3</c:v>
                </c:pt>
                <c:pt idx="107">
                  <c:v>2.2305822454043518E-3</c:v>
                </c:pt>
                <c:pt idx="108">
                  <c:v>2.1653402686312956E-3</c:v>
                </c:pt>
                <c:pt idx="109">
                  <c:v>2.1033630772633741E-3</c:v>
                </c:pt>
                <c:pt idx="110">
                  <c:v>2.0446557247235063E-3</c:v>
                </c:pt>
                <c:pt idx="111">
                  <c:v>1.9892226612027546E-3</c:v>
                </c:pt>
                <c:pt idx="112">
                  <c:v>1.9370622128247587E-3</c:v>
                </c:pt>
                <c:pt idx="113">
                  <c:v>1.8879459256447859E-3</c:v>
                </c:pt>
                <c:pt idx="114">
                  <c:v>1.840615011633093E-3</c:v>
                </c:pt>
                <c:pt idx="115">
                  <c:v>1.795068631450138E-3</c:v>
                </c:pt>
                <c:pt idx="116">
                  <c:v>1.7513059314247584E-3</c:v>
                </c:pt>
                <c:pt idx="117">
                  <c:v>1.7093260396880544E-3</c:v>
                </c:pt>
                <c:pt idx="118">
                  <c:v>1.6691280622884595E-3</c:v>
                </c:pt>
                <c:pt idx="119">
                  <c:v>1.6307110793121907E-3</c:v>
                </c:pt>
                <c:pt idx="120">
                  <c:v>1.5940741410011264E-3</c:v>
                </c:pt>
                <c:pt idx="121">
                  <c:v>1.5598365025915101E-3</c:v>
                </c:pt>
                <c:pt idx="122">
                  <c:v>1.5259997403593189E-3</c:v>
                </c:pt>
                <c:pt idx="123">
                  <c:v>1.4925638874505396E-3</c:v>
                </c:pt>
                <c:pt idx="124">
                  <c:v>1.4595289898452692E-3</c:v>
                </c:pt>
                <c:pt idx="125">
                  <c:v>1.4268951055072855E-3</c:v>
                </c:pt>
                <c:pt idx="126">
                  <c:v>1.3946623035125101E-3</c:v>
                </c:pt>
                <c:pt idx="127">
                  <c:v>1.3628668196305519E-3</c:v>
                </c:pt>
                <c:pt idx="128">
                  <c:v>1.3317345769299669E-3</c:v>
                </c:pt>
                <c:pt idx="129">
                  <c:v>1.3012654242583403E-3</c:v>
                </c:pt>
                <c:pt idx="130">
                  <c:v>1.271459204837266E-3</c:v>
                </c:pt>
                <c:pt idx="131">
                  <c:v>1.2423157548101204E-3</c:v>
                </c:pt>
                <c:pt idx="132">
                  <c:v>1.2138349018034071E-3</c:v>
                </c:pt>
                <c:pt idx="133">
                  <c:v>1.1860164634956488E-3</c:v>
                </c:pt>
                <c:pt idx="134">
                  <c:v>1.1588602461793695E-3</c:v>
                </c:pt>
                <c:pt idx="135">
                  <c:v>1.1317419004343149E-3</c:v>
                </c:pt>
                <c:pt idx="136">
                  <c:v>1.1040446198818414E-3</c:v>
                </c:pt>
                <c:pt idx="137">
                  <c:v>1.075769637510897E-3</c:v>
                </c:pt>
                <c:pt idx="138">
                  <c:v>1.0469182458536326E-3</c:v>
                </c:pt>
                <c:pt idx="139">
                  <c:v>1.0174917983054063E-3</c:v>
                </c:pt>
                <c:pt idx="140">
                  <c:v>9.8749171038483912E-4</c:v>
                </c:pt>
                <c:pt idx="141">
                  <c:v>9.5780592069479248E-4</c:v>
                </c:pt>
                <c:pt idx="142">
                  <c:v>9.2839372630660992E-4</c:v>
                </c:pt>
                <c:pt idx="143">
                  <c:v>8.9925200511499026E-4</c:v>
                </c:pt>
                <c:pt idx="144">
                  <c:v>8.703833921247583E-4</c:v>
                </c:pt>
                <c:pt idx="145">
                  <c:v>8.4179033708895118E-4</c:v>
                </c:pt>
                <c:pt idx="146">
                  <c:v>8.1347510803778621E-4</c:v>
                </c:pt>
                <c:pt idx="147">
                  <c:v>7.854397948370463E-4</c:v>
                </c:pt>
                <c:pt idx="148">
                  <c:v>7.576863127254132E-4</c:v>
                </c:pt>
                <c:pt idx="149">
                  <c:v>7.3058053163827788E-4</c:v>
                </c:pt>
                <c:pt idx="150">
                  <c:v>7.0474308959717297E-4</c:v>
                </c:pt>
                <c:pt idx="151">
                  <c:v>6.8017363012934547E-4</c:v>
                </c:pt>
                <c:pt idx="152">
                  <c:v>6.5687158358857835E-4</c:v>
                </c:pt>
                <c:pt idx="153">
                  <c:v>6.3483618396953617E-4</c:v>
                </c:pt>
                <c:pt idx="154">
                  <c:v>6.1406648572603321E-4</c:v>
                </c:pt>
                <c:pt idx="155">
                  <c:v>5.9512878191035959E-4</c:v>
                </c:pt>
                <c:pt idx="156">
                  <c:v>5.7714170250903346E-4</c:v>
                </c:pt>
                <c:pt idx="157">
                  <c:v>5.6010445270879413E-4</c:v>
                </c:pt>
                <c:pt idx="158">
                  <c:v>5.4401613069519829E-4</c:v>
                </c:pt>
                <c:pt idx="159">
                  <c:v>5.2887574024081487E-4</c:v>
                </c:pt>
                <c:pt idx="160">
                  <c:v>5.1468220330025936E-4</c:v>
                </c:pt>
                <c:pt idx="161">
                  <c:v>5.0143437259895379E-4</c:v>
                </c:pt>
                <c:pt idx="162">
                  <c:v>4.8913104422489866E-4</c:v>
                </c:pt>
                <c:pt idx="163">
                  <c:v>4.7828219667243616E-4</c:v>
                </c:pt>
                <c:pt idx="164">
                  <c:v>4.6852485575771225E-4</c:v>
                </c:pt>
                <c:pt idx="165">
                  <c:v>4.5985746219467401E-4</c:v>
                </c:pt>
                <c:pt idx="166">
                  <c:v>4.5227846195875968E-4</c:v>
                </c:pt>
                <c:pt idx="167">
                  <c:v>4.4578632091495053E-4</c:v>
                </c:pt>
                <c:pt idx="168">
                  <c:v>4.4037953946051859E-4</c:v>
                </c:pt>
                <c:pt idx="169">
                  <c:v>4.3656608270808349E-4</c:v>
                </c:pt>
                <c:pt idx="170">
                  <c:v>4.3378149245031734E-4</c:v>
                </c:pt>
                <c:pt idx="171">
                  <c:v>4.3202457037961158E-4</c:v>
                </c:pt>
                <c:pt idx="172">
                  <c:v>4.3129420832636374E-4</c:v>
                </c:pt>
                <c:pt idx="173">
                  <c:v>4.3158498872682306E-4</c:v>
                </c:pt>
                <c:pt idx="174">
                  <c:v>4.328913237131216E-4</c:v>
                </c:pt>
                <c:pt idx="175">
                  <c:v>4.3521192705175634E-4</c:v>
                </c:pt>
                <c:pt idx="176">
                  <c:v>4.3854551921124852E-4</c:v>
                </c:pt>
                <c:pt idx="177">
                  <c:v>4.4345106674473672E-4</c:v>
                </c:pt>
                <c:pt idx="178">
                  <c:v>4.4941940926650838E-4</c:v>
                </c:pt>
                <c:pt idx="179">
                  <c:v>4.5644924842306466E-4</c:v>
                </c:pt>
                <c:pt idx="180">
                  <c:v>4.6453931873405687E-4</c:v>
                </c:pt>
                <c:pt idx="181">
                  <c:v>4.7368839385674745E-4</c:v>
                </c:pt>
                <c:pt idx="182">
                  <c:v>4.8389529285440953E-4</c:v>
                </c:pt>
                <c:pt idx="183">
                  <c:v>4.9551604492177983E-4</c:v>
                </c:pt>
                <c:pt idx="184">
                  <c:v>5.0804348383919886E-4</c:v>
                </c:pt>
                <c:pt idx="185">
                  <c:v>5.2147681947877747E-4</c:v>
                </c:pt>
                <c:pt idx="186">
                  <c:v>5.3581532696335172E-4</c:v>
                </c:pt>
                <c:pt idx="187">
                  <c:v>5.5105835206015316E-4</c:v>
                </c:pt>
                <c:pt idx="188">
                  <c:v>5.6720531657809576E-4</c:v>
                </c:pt>
                <c:pt idx="189">
                  <c:v>5.8425572374824601E-4</c:v>
                </c:pt>
                <c:pt idx="190">
                  <c:v>6.0220916362790325E-4</c:v>
                </c:pt>
                <c:pt idx="191">
                  <c:v>6.2192810617422501E-4</c:v>
                </c:pt>
                <c:pt idx="192">
                  <c:v>6.4285493380682093E-4</c:v>
                </c:pt>
                <c:pt idx="193">
                  <c:v>6.6498918823740434E-4</c:v>
                </c:pt>
                <c:pt idx="194">
                  <c:v>6.8833054281245126E-4</c:v>
                </c:pt>
                <c:pt idx="195">
                  <c:v>7.1287880972905444E-4</c:v>
                </c:pt>
                <c:pt idx="196">
                  <c:v>7.3863394722555791E-4</c:v>
                </c:pt>
                <c:pt idx="197">
                  <c:v>7.6499146341452162E-4</c:v>
                </c:pt>
                <c:pt idx="198">
                  <c:v>7.9159731873275037E-4</c:v>
                </c:pt>
                <c:pt idx="199">
                  <c:v>8.1845286154230972E-4</c:v>
                </c:pt>
                <c:pt idx="200">
                  <c:v>8.4555952652641553E-4</c:v>
                </c:pt>
                <c:pt idx="201">
                  <c:v>8.7291883619958037E-4</c:v>
                </c:pt>
                <c:pt idx="202">
                  <c:v>9.0053240242141477E-4</c:v>
                </c:pt>
                <c:pt idx="203">
                  <c:v>9.2840192793047815E-4</c:v>
                </c:pt>
                <c:pt idx="204">
                  <c:v>9.5652766321517406E-4</c:v>
                </c:pt>
                <c:pt idx="205">
                  <c:v>9.8494402487754704E-4</c:v>
                </c:pt>
                <c:pt idx="206">
                  <c:v>1.0127930751904345E-3</c:v>
                </c:pt>
                <c:pt idx="207">
                  <c:v>1.0400760394877492E-3</c:v>
                </c:pt>
                <c:pt idx="208">
                  <c:v>1.0667940619950092E-3</c:v>
                </c:pt>
                <c:pt idx="209">
                  <c:v>1.092948207579051E-3</c:v>
                </c:pt>
                <c:pt idx="210">
                  <c:v>1.1185394635332619E-3</c:v>
                </c:pt>
                <c:pt idx="211">
                  <c:v>1.1441649154142273E-3</c:v>
                </c:pt>
                <c:pt idx="212">
                  <c:v>1.1704276239905751E-3</c:v>
                </c:pt>
                <c:pt idx="213">
                  <c:v>1.1973279149646548E-3</c:v>
                </c:pt>
                <c:pt idx="214">
                  <c:v>1.2248661256028563E-3</c:v>
                </c:pt>
                <c:pt idx="215">
                  <c:v>1.2530426027799453E-3</c:v>
                </c:pt>
                <c:pt idx="216">
                  <c:v>1.2818577010192647E-3</c:v>
                </c:pt>
                <c:pt idx="217">
                  <c:v>1.3113117805378988E-3</c:v>
                </c:pt>
                <c:pt idx="218">
                  <c:v>1.3414052052849205E-3</c:v>
                </c:pt>
                <c:pt idx="219">
                  <c:v>1.3719209807862675E-3</c:v>
                </c:pt>
                <c:pt idx="220">
                  <c:v>1.4028247257349778E-3</c:v>
                </c:pt>
                <c:pt idx="221">
                  <c:v>1.4341168312015293E-3</c:v>
                </c:pt>
                <c:pt idx="222">
                  <c:v>1.4657976707257512E-3</c:v>
                </c:pt>
                <c:pt idx="223">
                  <c:v>1.4978675991658599E-3</c:v>
                </c:pt>
                <c:pt idx="224">
                  <c:v>1.5303269515135514E-3</c:v>
                </c:pt>
                <c:pt idx="225">
                  <c:v>1.5650940709639419E-3</c:v>
                </c:pt>
                <c:pt idx="226">
                  <c:v>1.6015736552654552E-3</c:v>
                </c:pt>
                <c:pt idx="227">
                  <c:v>1.6397660354344867E-3</c:v>
                </c:pt>
                <c:pt idx="228">
                  <c:v>1.679671572500857E-3</c:v>
                </c:pt>
                <c:pt idx="229">
                  <c:v>1.7212906522030367E-3</c:v>
                </c:pt>
                <c:pt idx="230">
                  <c:v>1.7646236797086313E-3</c:v>
                </c:pt>
                <c:pt idx="231">
                  <c:v>1.8096710743420558E-3</c:v>
                </c:pt>
                <c:pt idx="232">
                  <c:v>1.8564332642745632E-3</c:v>
                </c:pt>
                <c:pt idx="233">
                  <c:v>1.9061160848447792E-3</c:v>
                </c:pt>
                <c:pt idx="234">
                  <c:v>1.9589375088353866E-3</c:v>
                </c:pt>
                <c:pt idx="235">
                  <c:v>2.0148998323705298E-3</c:v>
                </c:pt>
                <c:pt idx="236">
                  <c:v>2.0740062418872786E-3</c:v>
                </c:pt>
                <c:pt idx="237">
                  <c:v>2.1362588599126613E-3</c:v>
                </c:pt>
                <c:pt idx="238">
                  <c:v>2.2016599792721368E-3</c:v>
                </c:pt>
                <c:pt idx="239">
                  <c:v>2.2695005876811982E-3</c:v>
                </c:pt>
                <c:pt idx="240">
                  <c:v>2.3378638678506988E-3</c:v>
                </c:pt>
                <c:pt idx="241">
                  <c:v>2.4067518763412001E-3</c:v>
                </c:pt>
                <c:pt idx="242">
                  <c:v>2.4761667402577801E-3</c:v>
                </c:pt>
                <c:pt idx="243">
                  <c:v>2.5461106581440083E-3</c:v>
                </c:pt>
                <c:pt idx="244">
                  <c:v>2.6165859008643981E-3</c:v>
                </c:pt>
                <c:pt idx="245">
                  <c:v>2.687594812459981E-3</c:v>
                </c:pt>
                <c:pt idx="246">
                  <c:v>2.7591398109967449E-3</c:v>
                </c:pt>
                <c:pt idx="247">
                  <c:v>2.8323581888556287E-3</c:v>
                </c:pt>
                <c:pt idx="248">
                  <c:v>2.9060458538893059E-3</c:v>
                </c:pt>
                <c:pt idx="249">
                  <c:v>2.9802054466022674E-3</c:v>
                </c:pt>
                <c:pt idx="250">
                  <c:v>3.0548396818632592E-3</c:v>
                </c:pt>
                <c:pt idx="251">
                  <c:v>3.1299513497289378E-3</c:v>
                </c:pt>
                <c:pt idx="252">
                  <c:v>3.2055433161425006E-3</c:v>
                </c:pt>
                <c:pt idx="253">
                  <c:v>3.2821612215995651E-3</c:v>
                </c:pt>
                <c:pt idx="254">
                  <c:v>3.3605214807061819E-3</c:v>
                </c:pt>
                <c:pt idx="255">
                  <c:v>3.4406280367563799E-3</c:v>
                </c:pt>
                <c:pt idx="256">
                  <c:v>3.5224849886808904E-3</c:v>
                </c:pt>
                <c:pt idx="257">
                  <c:v>3.6060965939747028E-3</c:v>
                </c:pt>
                <c:pt idx="258">
                  <c:v>3.6914672716559138E-3</c:v>
                </c:pt>
                <c:pt idx="259">
                  <c:v>3.7786016052771599E-3</c:v>
                </c:pt>
                <c:pt idx="260">
                  <c:v>3.8675043458267495E-3</c:v>
                </c:pt>
                <c:pt idx="261">
                  <c:v>3.9575556598092912E-3</c:v>
                </c:pt>
                <c:pt idx="262">
                  <c:v>4.0476215131836748E-3</c:v>
                </c:pt>
                <c:pt idx="263">
                  <c:v>4.1377055400016044E-3</c:v>
                </c:pt>
                <c:pt idx="264">
                  <c:v>4.2278116342436781E-3</c:v>
                </c:pt>
                <c:pt idx="265">
                  <c:v>4.3179669018207608E-3</c:v>
                </c:pt>
                <c:pt idx="266">
                  <c:v>4.4081888602062183E-3</c:v>
                </c:pt>
                <c:pt idx="267">
                  <c:v>4.5004520629169974E-3</c:v>
                </c:pt>
                <c:pt idx="268">
                  <c:v>4.5942136705394284E-3</c:v>
                </c:pt>
                <c:pt idx="269">
                  <c:v>4.6894750329713108E-3</c:v>
                </c:pt>
                <c:pt idx="270">
                  <c:v>4.786237227630134E-3</c:v>
                </c:pt>
                <c:pt idx="271">
                  <c:v>4.8845010445045167E-3</c:v>
                </c:pt>
                <c:pt idx="272">
                  <c:v>4.9842669713313368E-3</c:v>
                </c:pt>
                <c:pt idx="273">
                  <c:v>5.0855351787125972E-3</c:v>
                </c:pt>
                <c:pt idx="274">
                  <c:v>5.1883055052967097E-3</c:v>
                </c:pt>
                <c:pt idx="275">
                  <c:v>5.3106269286889588E-3</c:v>
                </c:pt>
                <c:pt idx="276">
                  <c:v>5.4531537390731348E-3</c:v>
                </c:pt>
                <c:pt idx="277">
                  <c:v>5.6159131406027856E-3</c:v>
                </c:pt>
                <c:pt idx="278">
                  <c:v>5.798932633028068E-3</c:v>
                </c:pt>
                <c:pt idx="279">
                  <c:v>6.0022397917674662E-3</c:v>
                </c:pt>
                <c:pt idx="280">
                  <c:v>6.2258620480340268E-3</c:v>
                </c:pt>
                <c:pt idx="281">
                  <c:v>6.4807433528080742E-3</c:v>
                </c:pt>
                <c:pt idx="282">
                  <c:v>6.7649389720029094E-3</c:v>
                </c:pt>
                <c:pt idx="283">
                  <c:v>7.0784886402707409E-3</c:v>
                </c:pt>
                <c:pt idx="284">
                  <c:v>7.4214310339659187E-3</c:v>
                </c:pt>
                <c:pt idx="285">
                  <c:v>7.7938034534745905E-3</c:v>
                </c:pt>
                <c:pt idx="286">
                  <c:v>8.1956415056150221E-3</c:v>
                </c:pt>
                <c:pt idx="287">
                  <c:v>8.6269787859674565E-3</c:v>
                </c:pt>
                <c:pt idx="288">
                  <c:v>9.0878465612302603E-3</c:v>
                </c:pt>
                <c:pt idx="289">
                  <c:v>9.5781424936090594E-3</c:v>
                </c:pt>
                <c:pt idx="290">
                  <c:v>1.0079703290761133E-2</c:v>
                </c:pt>
                <c:pt idx="291">
                  <c:v>1.0592524284399071E-2</c:v>
                </c:pt>
                <c:pt idx="292">
                  <c:v>1.1116598138036398E-2</c:v>
                </c:pt>
                <c:pt idx="293">
                  <c:v>1.1651914728962987E-2</c:v>
                </c:pt>
                <c:pt idx="294">
                  <c:v>1.219846103018459E-2</c:v>
                </c:pt>
                <c:pt idx="295">
                  <c:v>1.2754891368918053E-2</c:v>
                </c:pt>
                <c:pt idx="296">
                  <c:v>1.331034773854642E-2</c:v>
                </c:pt>
                <c:pt idx="297">
                  <c:v>1.3864928991517358E-2</c:v>
                </c:pt>
                <c:pt idx="298">
                  <c:v>1.4418630946381834E-2</c:v>
                </c:pt>
                <c:pt idx="299">
                  <c:v>1.4971447347369044E-2</c:v>
                </c:pt>
                <c:pt idx="300">
                  <c:v>1.5523369877924765E-2</c:v>
                </c:pt>
                <c:pt idx="301">
                  <c:v>1.6074388174206814E-2</c:v>
                </c:pt>
                <c:pt idx="302">
                  <c:v>1.6624489838613594E-2</c:v>
                </c:pt>
                <c:pt idx="303">
                  <c:v>1.7157663160863156E-2</c:v>
                </c:pt>
                <c:pt idx="304">
                  <c:v>1.7674000728180244E-2</c:v>
                </c:pt>
                <c:pt idx="305">
                  <c:v>1.8173461495245652E-2</c:v>
                </c:pt>
                <c:pt idx="306">
                  <c:v>1.8656002642708974E-2</c:v>
                </c:pt>
                <c:pt idx="307">
                  <c:v>1.9121579736811785E-2</c:v>
                </c:pt>
                <c:pt idx="308">
                  <c:v>1.9570146888851357E-2</c:v>
                </c:pt>
                <c:pt idx="309">
                  <c:v>2.0007777034669303E-2</c:v>
                </c:pt>
                <c:pt idx="310">
                  <c:v>2.0435770563013884E-2</c:v>
                </c:pt>
                <c:pt idx="311">
                  <c:v>2.0854088174204574E-2</c:v>
                </c:pt>
                <c:pt idx="312">
                  <c:v>2.1262689414145237E-2</c:v>
                </c:pt>
                <c:pt idx="313">
                  <c:v>2.1661532765507304E-2</c:v>
                </c:pt>
                <c:pt idx="314">
                  <c:v>2.2050575738721431E-2</c:v>
                </c:pt>
                <c:pt idx="315">
                  <c:v>2.2429774963239585E-2</c:v>
                </c:pt>
                <c:pt idx="316">
                  <c:v>2.2799086278461816E-2</c:v>
                </c:pt>
                <c:pt idx="317">
                  <c:v>2.3153942176964509E-2</c:v>
                </c:pt>
                <c:pt idx="318">
                  <c:v>2.351039593602261E-2</c:v>
                </c:pt>
                <c:pt idx="319">
                  <c:v>2.3868414544943126E-2</c:v>
                </c:pt>
                <c:pt idx="320">
                  <c:v>2.4227963587908557E-2</c:v>
                </c:pt>
                <c:pt idx="321">
                  <c:v>2.4589007229229156E-2</c:v>
                </c:pt>
                <c:pt idx="322">
                  <c:v>2.4951508198706351E-2</c:v>
                </c:pt>
                <c:pt idx="323">
                  <c:v>2.5290169758583253E-2</c:v>
                </c:pt>
                <c:pt idx="324">
                  <c:v>2.5598774331719188E-2</c:v>
                </c:pt>
                <c:pt idx="325">
                  <c:v>2.5877254918591833E-2</c:v>
                </c:pt>
                <c:pt idx="326">
                  <c:v>2.6125384300547571E-2</c:v>
                </c:pt>
                <c:pt idx="327">
                  <c:v>2.6343041684933895E-2</c:v>
                </c:pt>
                <c:pt idx="328">
                  <c:v>2.6530244726000501E-2</c:v>
                </c:pt>
                <c:pt idx="329">
                  <c:v>2.668701756306156E-2</c:v>
                </c:pt>
                <c:pt idx="330">
                  <c:v>2.6813390199621989E-2</c:v>
                </c:pt>
                <c:pt idx="331">
                  <c:v>2.6921326169341963E-2</c:v>
                </c:pt>
                <c:pt idx="332">
                  <c:v>2.7015408597677759E-2</c:v>
                </c:pt>
                <c:pt idx="333">
                  <c:v>2.7095684772594653E-2</c:v>
                </c:pt>
                <c:pt idx="334">
                  <c:v>2.7162204023020765E-2</c:v>
                </c:pt>
                <c:pt idx="335">
                  <c:v>2.7215017440955804E-2</c:v>
                </c:pt>
                <c:pt idx="336">
                  <c:v>2.7254177603223979E-2</c:v>
                </c:pt>
                <c:pt idx="337">
                  <c:v>2.7296230924959159E-2</c:v>
                </c:pt>
                <c:pt idx="338">
                  <c:v>2.7366542559331731E-2</c:v>
                </c:pt>
                <c:pt idx="339">
                  <c:v>2.7465170791112426E-2</c:v>
                </c:pt>
                <c:pt idx="340">
                  <c:v>2.7592173890040237E-2</c:v>
                </c:pt>
                <c:pt idx="341">
                  <c:v>2.7747610701979054E-2</c:v>
                </c:pt>
                <c:pt idx="342">
                  <c:v>2.7931541240055174E-2</c:v>
                </c:pt>
                <c:pt idx="343">
                  <c:v>2.8144027275459515E-2</c:v>
                </c:pt>
                <c:pt idx="344">
                  <c:v>2.8385132928684619E-2</c:v>
                </c:pt>
                <c:pt idx="345">
                  <c:v>2.8654925260467961E-2</c:v>
                </c:pt>
                <c:pt idx="346">
                  <c:v>2.8917035039523493E-2</c:v>
                </c:pt>
                <c:pt idx="347">
                  <c:v>2.9171529719716451E-2</c:v>
                </c:pt>
                <c:pt idx="348">
                  <c:v>2.9418478289725835E-2</c:v>
                </c:pt>
                <c:pt idx="349">
                  <c:v>2.9657951106374831E-2</c:v>
                </c:pt>
                <c:pt idx="350">
                  <c:v>2.9890019728648853E-2</c:v>
                </c:pt>
                <c:pt idx="351">
                  <c:v>3.009024094307583E-2</c:v>
                </c:pt>
                <c:pt idx="352">
                  <c:v>3.024216824312892E-2</c:v>
                </c:pt>
                <c:pt idx="353">
                  <c:v>3.0345851226961634E-2</c:v>
                </c:pt>
                <c:pt idx="354">
                  <c:v>3.0401333180974859E-2</c:v>
                </c:pt>
                <c:pt idx="355">
                  <c:v>3.0408650059586619E-2</c:v>
                </c:pt>
                <c:pt idx="356">
                  <c:v>3.0367850452462639E-2</c:v>
                </c:pt>
                <c:pt idx="357">
                  <c:v>3.0278884937272817E-2</c:v>
                </c:pt>
                <c:pt idx="358">
                  <c:v>3.014162222974354E-2</c:v>
                </c:pt>
                <c:pt idx="359">
                  <c:v>2.9955923734393309E-2</c:v>
                </c:pt>
                <c:pt idx="360">
                  <c:v>2.9738190846656288E-2</c:v>
                </c:pt>
                <c:pt idx="361">
                  <c:v>2.9512880051695875E-2</c:v>
                </c:pt>
                <c:pt idx="362">
                  <c:v>2.9279891522538223E-2</c:v>
                </c:pt>
                <c:pt idx="363">
                  <c:v>2.9039126994747519E-2</c:v>
                </c:pt>
                <c:pt idx="364">
                  <c:v>2.8790489972423366E-2</c:v>
                </c:pt>
                <c:pt idx="365">
                  <c:v>2.8533885933822417E-2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5.4688520359780314E-2</c:v>
                </c:pt>
                <c:pt idx="1">
                  <c:v>5.3994519121528591E-2</c:v>
                </c:pt>
                <c:pt idx="2">
                  <c:v>5.3323156796465265E-2</c:v>
                </c:pt>
                <c:pt idx="3">
                  <c:v>5.267431945777909E-2</c:v>
                </c:pt>
                <c:pt idx="4">
                  <c:v>5.2047900651836676E-2</c:v>
                </c:pt>
                <c:pt idx="5">
                  <c:v>5.1443800811362135E-2</c:v>
                </c:pt>
                <c:pt idx="6">
                  <c:v>5.0861926669274297E-2</c:v>
                </c:pt>
                <c:pt idx="7">
                  <c:v>5.0302190671355336E-2</c:v>
                </c:pt>
                <c:pt idx="8">
                  <c:v>4.9764510389657041E-2</c:v>
                </c:pt>
                <c:pt idx="9">
                  <c:v>4.9255584955280103E-2</c:v>
                </c:pt>
                <c:pt idx="10">
                  <c:v>4.8795301113735416E-2</c:v>
                </c:pt>
                <c:pt idx="11">
                  <c:v>4.8383621247938276E-2</c:v>
                </c:pt>
                <c:pt idx="12">
                  <c:v>4.8020507334313033E-2</c:v>
                </c:pt>
                <c:pt idx="13">
                  <c:v>4.7705919676739601E-2</c:v>
                </c:pt>
                <c:pt idx="14">
                  <c:v>4.74398156396863E-2</c:v>
                </c:pt>
                <c:pt idx="15">
                  <c:v>4.7190780238837486E-2</c:v>
                </c:pt>
                <c:pt idx="16">
                  <c:v>4.6915605541636089E-2</c:v>
                </c:pt>
                <c:pt idx="17">
                  <c:v>4.6614177430626902E-2</c:v>
                </c:pt>
                <c:pt idx="18">
                  <c:v>4.6286389574552951E-2</c:v>
                </c:pt>
                <c:pt idx="19">
                  <c:v>4.5932400257266102E-2</c:v>
                </c:pt>
                <c:pt idx="20">
                  <c:v>4.5552483089625485E-2</c:v>
                </c:pt>
                <c:pt idx="21">
                  <c:v>4.5146712365456865E-2</c:v>
                </c:pt>
                <c:pt idx="22">
                  <c:v>4.4715164028151115E-2</c:v>
                </c:pt>
                <c:pt idx="23">
                  <c:v>4.426196447951835E-2</c:v>
                </c:pt>
                <c:pt idx="24">
                  <c:v>4.3780389730538723E-2</c:v>
                </c:pt>
                <c:pt idx="25">
                  <c:v>4.3270518117411061E-2</c:v>
                </c:pt>
                <c:pt idx="26">
                  <c:v>4.2732428719313903E-2</c:v>
                </c:pt>
                <c:pt idx="27">
                  <c:v>4.2166201015790682E-2</c:v>
                </c:pt>
                <c:pt idx="28">
                  <c:v>4.157191454506616E-2</c:v>
                </c:pt>
                <c:pt idx="29">
                  <c:v>4.0945236145118413E-2</c:v>
                </c:pt>
                <c:pt idx="30">
                  <c:v>4.031766502973403E-2</c:v>
                </c:pt>
                <c:pt idx="31">
                  <c:v>3.968927614083282E-2</c:v>
                </c:pt>
                <c:pt idx="32">
                  <c:v>3.9060141312506597E-2</c:v>
                </c:pt>
                <c:pt idx="33">
                  <c:v>3.8430329266409026E-2</c:v>
                </c:pt>
                <c:pt idx="34">
                  <c:v>3.779990560732506E-2</c:v>
                </c:pt>
                <c:pt idx="35">
                  <c:v>3.7168932818700449E-2</c:v>
                </c:pt>
                <c:pt idx="36">
                  <c:v>3.6537470258090156E-2</c:v>
                </c:pt>
                <c:pt idx="37">
                  <c:v>3.5887319808403276E-2</c:v>
                </c:pt>
                <c:pt idx="38">
                  <c:v>3.5214491605288722E-2</c:v>
                </c:pt>
                <c:pt idx="39">
                  <c:v>3.4519041625522343E-2</c:v>
                </c:pt>
                <c:pt idx="40">
                  <c:v>3.3801022738261542E-2</c:v>
                </c:pt>
                <c:pt idx="41">
                  <c:v>3.3060484421789403E-2</c:v>
                </c:pt>
                <c:pt idx="42">
                  <c:v>3.2297472480009005E-2</c:v>
                </c:pt>
                <c:pt idx="43">
                  <c:v>3.1505174892227358E-2</c:v>
                </c:pt>
                <c:pt idx="44">
                  <c:v>3.0688038645337312E-2</c:v>
                </c:pt>
                <c:pt idx="45">
                  <c:v>2.9846097262282083E-2</c:v>
                </c:pt>
                <c:pt idx="46">
                  <c:v>2.8979379327143284E-2</c:v>
                </c:pt>
                <c:pt idx="47">
                  <c:v>2.8087908171291007E-2</c:v>
                </c:pt>
                <c:pt idx="48">
                  <c:v>2.7171701559139599E-2</c:v>
                </c:pt>
                <c:pt idx="49">
                  <c:v>2.6230771374171662E-2</c:v>
                </c:pt>
                <c:pt idx="50">
                  <c:v>2.5265123304788917E-2</c:v>
                </c:pt>
                <c:pt idx="51">
                  <c:v>2.4292158576002493E-2</c:v>
                </c:pt>
                <c:pt idx="52">
                  <c:v>2.332997808167965E-2</c:v>
                </c:pt>
                <c:pt idx="53">
                  <c:v>2.2378437622398245E-2</c:v>
                </c:pt>
                <c:pt idx="54">
                  <c:v>2.1437519842367771E-2</c:v>
                </c:pt>
                <c:pt idx="55">
                  <c:v>2.0507208967795464E-2</c:v>
                </c:pt>
                <c:pt idx="56">
                  <c:v>1.9587490767844291E-2</c:v>
                </c:pt>
                <c:pt idx="57">
                  <c:v>1.8705677377258652E-2</c:v>
                </c:pt>
                <c:pt idx="58">
                  <c:v>1.786860888116058E-2</c:v>
                </c:pt>
                <c:pt idx="59">
                  <c:v>1.7076276175511183E-2</c:v>
                </c:pt>
                <c:pt idx="60">
                  <c:v>1.632867163651127E-2</c:v>
                </c:pt>
                <c:pt idx="61">
                  <c:v>1.5625788955134962E-2</c:v>
                </c:pt>
                <c:pt idx="62">
                  <c:v>1.4967622971639482E-2</c:v>
                </c:pt>
                <c:pt idx="63">
                  <c:v>1.4354169510122548E-2</c:v>
                </c:pt>
                <c:pt idx="64">
                  <c:v>1.3785425213017876E-2</c:v>
                </c:pt>
                <c:pt idx="65">
                  <c:v>1.327107971078415E-2</c:v>
                </c:pt>
                <c:pt idx="66">
                  <c:v>1.2793728082124631E-2</c:v>
                </c:pt>
                <c:pt idx="67">
                  <c:v>1.2353368347939693E-2</c:v>
                </c:pt>
                <c:pt idx="68">
                  <c:v>1.1949998777996936E-2</c:v>
                </c:pt>
                <c:pt idx="69">
                  <c:v>1.1583617753942413E-2</c:v>
                </c:pt>
                <c:pt idx="70">
                  <c:v>1.1254223632371876E-2</c:v>
                </c:pt>
                <c:pt idx="71">
                  <c:v>1.0962017886442778E-2</c:v>
                </c:pt>
                <c:pt idx="72">
                  <c:v>1.0679673034487141E-2</c:v>
                </c:pt>
                <c:pt idx="73">
                  <c:v>1.0407188014945596E-2</c:v>
                </c:pt>
                <c:pt idx="74">
                  <c:v>1.0144561929732889E-2</c:v>
                </c:pt>
                <c:pt idx="75">
                  <c:v>9.8917940076454752E-3</c:v>
                </c:pt>
                <c:pt idx="76">
                  <c:v>9.648883567736917E-3</c:v>
                </c:pt>
                <c:pt idx="77">
                  <c:v>9.4158299827261805E-3</c:v>
                </c:pt>
                <c:pt idx="78">
                  <c:v>9.1926329475778244E-3</c:v>
                </c:pt>
                <c:pt idx="79">
                  <c:v>8.9816072061913842E-3</c:v>
                </c:pt>
                <c:pt idx="80">
                  <c:v>8.7730839914054864E-3</c:v>
                </c:pt>
                <c:pt idx="81">
                  <c:v>8.5670602425162272E-3</c:v>
                </c:pt>
                <c:pt idx="82">
                  <c:v>8.3635331583110876E-3</c:v>
                </c:pt>
                <c:pt idx="83">
                  <c:v>8.1625001891065651E-3</c:v>
                </c:pt>
                <c:pt idx="84">
                  <c:v>7.9639590288134738E-3</c:v>
                </c:pt>
                <c:pt idx="85">
                  <c:v>7.7708729805529642E-3</c:v>
                </c:pt>
                <c:pt idx="86">
                  <c:v>7.583036562679845E-3</c:v>
                </c:pt>
                <c:pt idx="87">
                  <c:v>7.4004476646965149E-3</c:v>
                </c:pt>
                <c:pt idx="88">
                  <c:v>7.2231043406740273E-3</c:v>
                </c:pt>
                <c:pt idx="89">
                  <c:v>7.0510047924498007E-3</c:v>
                </c:pt>
                <c:pt idx="90">
                  <c:v>6.8841473528104928E-3</c:v>
                </c:pt>
                <c:pt idx="91">
                  <c:v>6.7225304687019731E-3</c:v>
                </c:pt>
                <c:pt idx="92">
                  <c:v>6.5661526844195788E-3</c:v>
                </c:pt>
                <c:pt idx="93">
                  <c:v>6.4145989197892392E-3</c:v>
                </c:pt>
                <c:pt idx="94">
                  <c:v>6.2655898687050187E-3</c:v>
                </c:pt>
                <c:pt idx="95">
                  <c:v>6.119124969756134E-3</c:v>
                </c:pt>
                <c:pt idx="96">
                  <c:v>5.9752037758951659E-3</c:v>
                </c:pt>
                <c:pt idx="97">
                  <c:v>5.8338259462978404E-3</c:v>
                </c:pt>
                <c:pt idx="98">
                  <c:v>5.6949912381673495E-3</c:v>
                </c:pt>
                <c:pt idx="99">
                  <c:v>5.5600425583576555E-3</c:v>
                </c:pt>
                <c:pt idx="100">
                  <c:v>5.4260175486802453E-3</c:v>
                </c:pt>
                <c:pt idx="101">
                  <c:v>5.2929167780301567E-3</c:v>
                </c:pt>
                <c:pt idx="102">
                  <c:v>5.1607409480116289E-3</c:v>
                </c:pt>
                <c:pt idx="103">
                  <c:v>5.0294908899034966E-3</c:v>
                </c:pt>
                <c:pt idx="104">
                  <c:v>4.8991675617469557E-3</c:v>
                </c:pt>
                <c:pt idx="105">
                  <c:v>4.7697720453198141E-3</c:v>
                </c:pt>
                <c:pt idx="106">
                  <c:v>4.6413055431729138E-3</c:v>
                </c:pt>
                <c:pt idx="107">
                  <c:v>4.5164867938115036E-3</c:v>
                </c:pt>
                <c:pt idx="108">
                  <c:v>4.3957287009929631E-3</c:v>
                </c:pt>
                <c:pt idx="109">
                  <c:v>4.2790309661642307E-3</c:v>
                </c:pt>
                <c:pt idx="110">
                  <c:v>4.1664050802145188E-3</c:v>
                </c:pt>
                <c:pt idx="111">
                  <c:v>4.0578614952472662E-3</c:v>
                </c:pt>
                <c:pt idx="112">
                  <c:v>3.9533982920092635E-3</c:v>
                </c:pt>
                <c:pt idx="113">
                  <c:v>3.8536118426757086E-3</c:v>
                </c:pt>
                <c:pt idx="114">
                  <c:v>3.7571601256114174E-3</c:v>
                </c:pt>
                <c:pt idx="115">
                  <c:v>3.6640416236635859E-3</c:v>
                </c:pt>
                <c:pt idx="116">
                  <c:v>3.5742547999419697E-3</c:v>
                </c:pt>
                <c:pt idx="117">
                  <c:v>3.4877980906039148E-3</c:v>
                </c:pt>
                <c:pt idx="118">
                  <c:v>3.4046698976010112E-3</c:v>
                </c:pt>
                <c:pt idx="119">
                  <c:v>3.324868581436722E-3</c:v>
                </c:pt>
                <c:pt idx="120">
                  <c:v>3.2483924539187651E-3</c:v>
                </c:pt>
                <c:pt idx="121">
                  <c:v>3.1767990527580372E-3</c:v>
                </c:pt>
                <c:pt idx="122">
                  <c:v>3.1073768947507251E-3</c:v>
                </c:pt>
                <c:pt idx="123">
                  <c:v>3.0401249955088598E-3</c:v>
                </c:pt>
                <c:pt idx="124">
                  <c:v>2.9750423406524657E-3</c:v>
                </c:pt>
                <c:pt idx="125">
                  <c:v>2.9121278811111494E-3</c:v>
                </c:pt>
                <c:pt idx="126">
                  <c:v>2.8513805283827153E-3</c:v>
                </c:pt>
                <c:pt idx="127">
                  <c:v>2.7926767816315741E-3</c:v>
                </c:pt>
                <c:pt idx="128">
                  <c:v>2.7354195643449933E-3</c:v>
                </c:pt>
                <c:pt idx="129">
                  <c:v>2.6796083229499762E-3</c:v>
                </c:pt>
                <c:pt idx="130">
                  <c:v>2.6252424820596958E-3</c:v>
                </c:pt>
                <c:pt idx="131">
                  <c:v>2.5723214412971601E-3</c:v>
                </c:pt>
                <c:pt idx="132">
                  <c:v>2.5208445721465835E-3</c:v>
                </c:pt>
                <c:pt idx="133">
                  <c:v>2.4708112148204391E-3</c:v>
                </c:pt>
                <c:pt idx="134">
                  <c:v>2.4222206751123329E-3</c:v>
                </c:pt>
                <c:pt idx="135">
                  <c:v>2.3741970502619146E-3</c:v>
                </c:pt>
                <c:pt idx="136">
                  <c:v>2.3251886799677498E-3</c:v>
                </c:pt>
                <c:pt idx="137">
                  <c:v>2.2751976105712447E-3</c:v>
                </c:pt>
                <c:pt idx="138">
                  <c:v>2.2242259910231926E-3</c:v>
                </c:pt>
                <c:pt idx="139">
                  <c:v>2.1722760751331591E-3</c:v>
                </c:pt>
                <c:pt idx="140">
                  <c:v>2.1193502236918535E-3</c:v>
                </c:pt>
                <c:pt idx="141">
                  <c:v>2.0668114225738266E-3</c:v>
                </c:pt>
                <c:pt idx="142">
                  <c:v>2.0147710378245758E-3</c:v>
                </c:pt>
                <c:pt idx="143">
                  <c:v>1.9632217657121953E-3</c:v>
                </c:pt>
                <c:pt idx="144">
                  <c:v>1.9121687278504705E-3</c:v>
                </c:pt>
                <c:pt idx="145">
                  <c:v>1.8616167166711607E-3</c:v>
                </c:pt>
                <c:pt idx="146">
                  <c:v>1.8115702019391616E-3</c:v>
                </c:pt>
                <c:pt idx="147">
                  <c:v>1.762033337332313E-3</c:v>
                </c:pt>
                <c:pt idx="148">
                  <c:v>1.7130099669750108E-3</c:v>
                </c:pt>
                <c:pt idx="149">
                  <c:v>1.6649685772898353E-3</c:v>
                </c:pt>
                <c:pt idx="150">
                  <c:v>1.6187805387140443E-3</c:v>
                </c:pt>
                <c:pt idx="151">
                  <c:v>1.5744464083173265E-3</c:v>
                </c:pt>
                <c:pt idx="152">
                  <c:v>1.5319663881711027E-3</c:v>
                </c:pt>
                <c:pt idx="153">
                  <c:v>1.4913403498861149E-3</c:v>
                </c:pt>
                <c:pt idx="154">
                  <c:v>1.4525678591590218E-3</c:v>
                </c:pt>
                <c:pt idx="155">
                  <c:v>1.4168472526022954E-3</c:v>
                </c:pt>
                <c:pt idx="156">
                  <c:v>1.3828261574855413E-3</c:v>
                </c:pt>
                <c:pt idx="157">
                  <c:v>1.3505036465085631E-3</c:v>
                </c:pt>
                <c:pt idx="158">
                  <c:v>1.3198785921914086E-3</c:v>
                </c:pt>
                <c:pt idx="159">
                  <c:v>1.290949689368042E-3</c:v>
                </c:pt>
                <c:pt idx="160">
                  <c:v>1.2637154776965404E-3</c:v>
                </c:pt>
                <c:pt idx="161">
                  <c:v>1.2381743641541305E-3</c:v>
                </c:pt>
                <c:pt idx="162">
                  <c:v>1.2143246455394853E-3</c:v>
                </c:pt>
                <c:pt idx="163">
                  <c:v>1.1931142833941045E-3</c:v>
                </c:pt>
                <c:pt idx="164">
                  <c:v>1.1740790318549017E-3</c:v>
                </c:pt>
                <c:pt idx="165">
                  <c:v>1.1572161251688065E-3</c:v>
                </c:pt>
                <c:pt idx="166">
                  <c:v>1.1425228110478458E-3</c:v>
                </c:pt>
                <c:pt idx="167">
                  <c:v>1.1299963798021082E-3</c:v>
                </c:pt>
                <c:pt idx="168">
                  <c:v>1.1196341935096707E-3</c:v>
                </c:pt>
                <c:pt idx="169">
                  <c:v>1.112380103301042E-3</c:v>
                </c:pt>
                <c:pt idx="170">
                  <c:v>1.1070420133603338E-3</c:v>
                </c:pt>
                <c:pt idx="171">
                  <c:v>1.1036181088861703E-3</c:v>
                </c:pt>
                <c:pt idx="172">
                  <c:v>1.1021067425355483E-3</c:v>
                </c:pt>
                <c:pt idx="173">
                  <c:v>1.1024951860118409E-3</c:v>
                </c:pt>
                <c:pt idx="174">
                  <c:v>1.1047702378046526E-3</c:v>
                </c:pt>
                <c:pt idx="175">
                  <c:v>1.1089296845247438E-3</c:v>
                </c:pt>
                <c:pt idx="176">
                  <c:v>1.114971325236572E-3</c:v>
                </c:pt>
                <c:pt idx="177">
                  <c:v>1.1240768873581875E-3</c:v>
                </c:pt>
                <c:pt idx="178">
                  <c:v>1.1353004177799065E-3</c:v>
                </c:pt>
                <c:pt idx="179">
                  <c:v>1.1486394677069356E-3</c:v>
                </c:pt>
                <c:pt idx="180">
                  <c:v>1.1640916525458838E-3</c:v>
                </c:pt>
                <c:pt idx="181">
                  <c:v>1.181654664381256E-3</c:v>
                </c:pt>
                <c:pt idx="182">
                  <c:v>1.2013262844618791E-3</c:v>
                </c:pt>
                <c:pt idx="183">
                  <c:v>1.2235604445487403E-3</c:v>
                </c:pt>
                <c:pt idx="184">
                  <c:v>1.2474152200205762E-3</c:v>
                </c:pt>
                <c:pt idx="185">
                  <c:v>1.2728894273203598E-3</c:v>
                </c:pt>
                <c:pt idx="186">
                  <c:v>1.2999820033336561E-3</c:v>
                </c:pt>
                <c:pt idx="187">
                  <c:v>1.3286920150287736E-3</c:v>
                </c:pt>
                <c:pt idx="188">
                  <c:v>1.3590186691054117E-3</c:v>
                </c:pt>
                <c:pt idx="189">
                  <c:v>1.3909613216027494E-3</c:v>
                </c:pt>
                <c:pt idx="190">
                  <c:v>1.4245194875644124E-3</c:v>
                </c:pt>
                <c:pt idx="191">
                  <c:v>1.4610170353969393E-3</c:v>
                </c:pt>
                <c:pt idx="192">
                  <c:v>1.4992765339029242E-3</c:v>
                </c:pt>
                <c:pt idx="193">
                  <c:v>1.5392978977899149E-3</c:v>
                </c:pt>
                <c:pt idx="194">
                  <c:v>1.581081252664958E-3</c:v>
                </c:pt>
                <c:pt idx="195">
                  <c:v>1.6246269455785589E-3</c:v>
                </c:pt>
                <c:pt idx="196">
                  <c:v>1.6699355555100518E-3</c:v>
                </c:pt>
                <c:pt idx="197">
                  <c:v>1.7161601311411455E-3</c:v>
                </c:pt>
                <c:pt idx="198">
                  <c:v>1.7628494103652107E-3</c:v>
                </c:pt>
                <c:pt idx="199">
                  <c:v>1.8100059619637898E-3</c:v>
                </c:pt>
                <c:pt idx="200">
                  <c:v>1.8576325086038716E-3</c:v>
                </c:pt>
                <c:pt idx="201">
                  <c:v>1.9057319296252606E-3</c:v>
                </c:pt>
                <c:pt idx="202">
                  <c:v>1.9543072638365101E-3</c:v>
                </c:pt>
                <c:pt idx="203">
                  <c:v>2.0033617123543716E-3</c:v>
                </c:pt>
                <c:pt idx="204">
                  <c:v>2.0528953262934136E-3</c:v>
                </c:pt>
                <c:pt idx="205">
                  <c:v>2.1027887833103198E-3</c:v>
                </c:pt>
                <c:pt idx="206">
                  <c:v>2.151725495556808E-3</c:v>
                </c:pt>
                <c:pt idx="207">
                  <c:v>2.1997074813621142E-3</c:v>
                </c:pt>
                <c:pt idx="208">
                  <c:v>2.2467366192800062E-3</c:v>
                </c:pt>
                <c:pt idx="209">
                  <c:v>2.2928146510502322E-3</c:v>
                </c:pt>
                <c:pt idx="210">
                  <c:v>2.3379431846348516E-3</c:v>
                </c:pt>
                <c:pt idx="211">
                  <c:v>2.3836224804816325E-3</c:v>
                </c:pt>
                <c:pt idx="212">
                  <c:v>2.4306980452148195E-3</c:v>
                </c:pt>
                <c:pt idx="213">
                  <c:v>2.4791702560336176E-3</c:v>
                </c:pt>
                <c:pt idx="214">
                  <c:v>2.5290395283897814E-3</c:v>
                </c:pt>
                <c:pt idx="215">
                  <c:v>2.5803063117071216E-3</c:v>
                </c:pt>
                <c:pt idx="216">
                  <c:v>2.6329710850924218E-3</c:v>
                </c:pt>
                <c:pt idx="217">
                  <c:v>2.6870343530564986E-3</c:v>
                </c:pt>
                <c:pt idx="218">
                  <c:v>2.7424966412210299E-3</c:v>
                </c:pt>
                <c:pt idx="219">
                  <c:v>2.7999320506525093E-3</c:v>
                </c:pt>
                <c:pt idx="220">
                  <c:v>2.8594587600607973E-3</c:v>
                </c:pt>
                <c:pt idx="221">
                  <c:v>2.921077256172197E-3</c:v>
                </c:pt>
                <c:pt idx="222">
                  <c:v>2.98478806642532E-3</c:v>
                </c:pt>
                <c:pt idx="223">
                  <c:v>3.050591752585236E-3</c:v>
                </c:pt>
                <c:pt idx="224">
                  <c:v>3.1184889042884349E-3</c:v>
                </c:pt>
                <c:pt idx="225">
                  <c:v>3.1910815898397887E-3</c:v>
                </c:pt>
                <c:pt idx="226">
                  <c:v>3.2668731273962329E-3</c:v>
                </c:pt>
                <c:pt idx="227">
                  <c:v>3.3458642263878937E-3</c:v>
                </c:pt>
                <c:pt idx="228">
                  <c:v>3.4280556427129295E-3</c:v>
                </c:pt>
                <c:pt idx="229">
                  <c:v>3.5134481688312864E-3</c:v>
                </c:pt>
                <c:pt idx="230">
                  <c:v>3.6020426239099777E-3</c:v>
                </c:pt>
                <c:pt idx="231">
                  <c:v>3.693839843983077E-3</c:v>
                </c:pt>
                <c:pt idx="232">
                  <c:v>3.7888406720348322E-3</c:v>
                </c:pt>
                <c:pt idx="233">
                  <c:v>3.8883304604454866E-3</c:v>
                </c:pt>
                <c:pt idx="234">
                  <c:v>3.9917366478594936E-3</c:v>
                </c:pt>
                <c:pt idx="235">
                  <c:v>4.0990634805904329E-3</c:v>
                </c:pt>
                <c:pt idx="236">
                  <c:v>4.2103169167334352E-3</c:v>
                </c:pt>
                <c:pt idx="237">
                  <c:v>4.3255006395020107E-3</c:v>
                </c:pt>
                <c:pt idx="238">
                  <c:v>4.4446185705303036E-3</c:v>
                </c:pt>
                <c:pt idx="239">
                  <c:v>4.5672792772256214E-3</c:v>
                </c:pt>
                <c:pt idx="240">
                  <c:v>4.6908839236554862E-3</c:v>
                </c:pt>
                <c:pt idx="241">
                  <c:v>4.8154363079395404E-3</c:v>
                </c:pt>
                <c:pt idx="242">
                  <c:v>4.940940355509872E-3</c:v>
                </c:pt>
                <c:pt idx="243">
                  <c:v>5.0674001207238585E-3</c:v>
                </c:pt>
                <c:pt idx="244">
                  <c:v>5.194819788453456E-3</c:v>
                </c:pt>
                <c:pt idx="245">
                  <c:v>5.3232036756209666E-3</c:v>
                </c:pt>
                <c:pt idx="246">
                  <c:v>5.4525562327212085E-3</c:v>
                </c:pt>
                <c:pt idx="247">
                  <c:v>5.5857188322175969E-3</c:v>
                </c:pt>
                <c:pt idx="248">
                  <c:v>5.7214110974077642E-3</c:v>
                </c:pt>
                <c:pt idx="249">
                  <c:v>5.8596387238341223E-3</c:v>
                </c:pt>
                <c:pt idx="250">
                  <c:v>6.0004076334289266E-3</c:v>
                </c:pt>
                <c:pt idx="251">
                  <c:v>6.143723978972164E-3</c:v>
                </c:pt>
                <c:pt idx="252">
                  <c:v>6.2895941483033652E-3</c:v>
                </c:pt>
                <c:pt idx="253">
                  <c:v>6.4402076965700402E-3</c:v>
                </c:pt>
                <c:pt idx="254">
                  <c:v>6.595969344089043E-3</c:v>
                </c:pt>
                <c:pt idx="255">
                  <c:v>6.7568879779075948E-3</c:v>
                </c:pt>
                <c:pt idx="256">
                  <c:v>6.9229728958005972E-3</c:v>
                </c:pt>
                <c:pt idx="257">
                  <c:v>7.0942338150598539E-3</c:v>
                </c:pt>
                <c:pt idx="258">
                  <c:v>7.2706808813446716E-3</c:v>
                </c:pt>
                <c:pt idx="259">
                  <c:v>7.4523246776360477E-3</c:v>
                </c:pt>
                <c:pt idx="260">
                  <c:v>7.6391762329739458E-3</c:v>
                </c:pt>
                <c:pt idx="261">
                  <c:v>7.8314419799706009E-3</c:v>
                </c:pt>
                <c:pt idx="262">
                  <c:v>8.0262878071028047E-3</c:v>
                </c:pt>
                <c:pt idx="263">
                  <c:v>8.2237237123063255E-3</c:v>
                </c:pt>
                <c:pt idx="264">
                  <c:v>8.4237603963140586E-3</c:v>
                </c:pt>
                <c:pt idx="265">
                  <c:v>8.6264551261680637E-3</c:v>
                </c:pt>
                <c:pt idx="266">
                  <c:v>8.8318466850129309E-3</c:v>
                </c:pt>
                <c:pt idx="267">
                  <c:v>9.0492532341093241E-3</c:v>
                </c:pt>
                <c:pt idx="268">
                  <c:v>9.2764974153758343E-3</c:v>
                </c:pt>
                <c:pt idx="269">
                  <c:v>9.5135918897880072E-3</c:v>
                </c:pt>
                <c:pt idx="270">
                  <c:v>9.7605492691905035E-3</c:v>
                </c:pt>
                <c:pt idx="271">
                  <c:v>1.0017382011346108E-2</c:v>
                </c:pt>
                <c:pt idx="272">
                  <c:v>1.0284102315238007E-2</c:v>
                </c:pt>
                <c:pt idx="273">
                  <c:v>1.0560722016249129E-2</c:v>
                </c:pt>
                <c:pt idx="274">
                  <c:v>1.0847252481473805E-2</c:v>
                </c:pt>
                <c:pt idx="275">
                  <c:v>1.1170055114074999E-2</c:v>
                </c:pt>
                <c:pt idx="276">
                  <c:v>1.1528982814075946E-2</c:v>
                </c:pt>
                <c:pt idx="277">
                  <c:v>1.1924084780270348E-2</c:v>
                </c:pt>
                <c:pt idx="278">
                  <c:v>1.235541028136093E-2</c:v>
                </c:pt>
                <c:pt idx="279">
                  <c:v>1.2823008264016897E-2</c:v>
                </c:pt>
                <c:pt idx="280">
                  <c:v>1.3326926961047468E-2</c:v>
                </c:pt>
                <c:pt idx="281">
                  <c:v>1.388404609248845E-2</c:v>
                </c:pt>
                <c:pt idx="282">
                  <c:v>1.4485057945673617E-2</c:v>
                </c:pt>
                <c:pt idx="283">
                  <c:v>1.5130018030215501E-2</c:v>
                </c:pt>
                <c:pt idx="284">
                  <c:v>1.5818979511672954E-2</c:v>
                </c:pt>
                <c:pt idx="285">
                  <c:v>1.6551992737969697E-2</c:v>
                </c:pt>
                <c:pt idx="286">
                  <c:v>1.732910476596344E-2</c:v>
                </c:pt>
                <c:pt idx="287">
                  <c:v>1.8150358887864475E-2</c:v>
                </c:pt>
                <c:pt idx="288">
                  <c:v>1.9015794157710368E-2</c:v>
                </c:pt>
                <c:pt idx="289">
                  <c:v>1.9918790655581036E-2</c:v>
                </c:pt>
                <c:pt idx="290">
                  <c:v>2.0832813637483395E-2</c:v>
                </c:pt>
                <c:pt idx="291">
                  <c:v>2.1757837719179232E-2</c:v>
                </c:pt>
                <c:pt idx="292">
                  <c:v>2.2693833100382949E-2</c:v>
                </c:pt>
                <c:pt idx="293">
                  <c:v>2.3640765453130343E-2</c:v>
                </c:pt>
                <c:pt idx="294">
                  <c:v>2.4598595810072555E-2</c:v>
                </c:pt>
                <c:pt idx="295">
                  <c:v>2.5549518871476256E-2</c:v>
                </c:pt>
                <c:pt idx="296">
                  <c:v>2.6476825313129459E-2</c:v>
                </c:pt>
                <c:pt idx="297">
                  <c:v>2.7380681542536423E-2</c:v>
                </c:pt>
                <c:pt idx="298">
                  <c:v>2.8261046074905097E-2</c:v>
                </c:pt>
                <c:pt idx="299">
                  <c:v>2.9117873320020356E-2</c:v>
                </c:pt>
                <c:pt idx="300">
                  <c:v>2.9951113808129402E-2</c:v>
                </c:pt>
                <c:pt idx="301">
                  <c:v>3.0760714415742556E-2</c:v>
                </c:pt>
                <c:pt idx="302">
                  <c:v>3.1546618591498772E-2</c:v>
                </c:pt>
                <c:pt idx="303">
                  <c:v>3.230445856380499E-2</c:v>
                </c:pt>
                <c:pt idx="304">
                  <c:v>3.3040866920037652E-2</c:v>
                </c:pt>
                <c:pt idx="305">
                  <c:v>3.3755781601685672E-2</c:v>
                </c:pt>
                <c:pt idx="306">
                  <c:v>3.4449138019459341E-2</c:v>
                </c:pt>
                <c:pt idx="307">
                  <c:v>3.5120869257187812E-2</c:v>
                </c:pt>
                <c:pt idx="308">
                  <c:v>3.5770906275423321E-2</c:v>
                </c:pt>
                <c:pt idx="309">
                  <c:v>3.6403143366330666E-2</c:v>
                </c:pt>
                <c:pt idx="310">
                  <c:v>3.7035402606955557E-2</c:v>
                </c:pt>
                <c:pt idx="311">
                  <c:v>3.7667639341964869E-2</c:v>
                </c:pt>
                <c:pt idx="312">
                  <c:v>3.8299806669989146E-2</c:v>
                </c:pt>
                <c:pt idx="313">
                  <c:v>3.893185544703661E-2</c:v>
                </c:pt>
                <c:pt idx="314">
                  <c:v>3.9563734289561329E-2</c:v>
                </c:pt>
                <c:pt idx="315">
                  <c:v>4.0195389578017895E-2</c:v>
                </c:pt>
                <c:pt idx="316">
                  <c:v>4.0826765459813369E-2</c:v>
                </c:pt>
                <c:pt idx="317">
                  <c:v>4.1426933567147252E-2</c:v>
                </c:pt>
                <c:pt idx="318">
                  <c:v>4.2000134968768171E-2</c:v>
                </c:pt>
                <c:pt idx="319">
                  <c:v>4.2546279053874335E-2</c:v>
                </c:pt>
                <c:pt idx="320">
                  <c:v>4.306527538794655E-2</c:v>
                </c:pt>
                <c:pt idx="321">
                  <c:v>4.3557033958899649E-2</c:v>
                </c:pt>
                <c:pt idx="322">
                  <c:v>4.4021465423428129E-2</c:v>
                </c:pt>
                <c:pt idx="323">
                  <c:v>4.446517992139945E-2</c:v>
                </c:pt>
                <c:pt idx="324">
                  <c:v>4.4884107676548525E-2</c:v>
                </c:pt>
                <c:pt idx="325">
                  <c:v>4.5278161986460584E-2</c:v>
                </c:pt>
                <c:pt idx="326">
                  <c:v>4.5646973462991521E-2</c:v>
                </c:pt>
                <c:pt idx="327">
                  <c:v>4.5990356416848427E-2</c:v>
                </c:pt>
                <c:pt idx="328">
                  <c:v>4.6308362570672744E-2</c:v>
                </c:pt>
                <c:pt idx="329">
                  <c:v>4.6601050264495993E-2</c:v>
                </c:pt>
                <c:pt idx="330">
                  <c:v>4.6868483950425151E-2</c:v>
                </c:pt>
                <c:pt idx="331">
                  <c:v>4.7153321248178448E-2</c:v>
                </c:pt>
                <c:pt idx="332">
                  <c:v>4.7486636866583921E-2</c:v>
                </c:pt>
                <c:pt idx="333">
                  <c:v>4.786852635794208E-2</c:v>
                </c:pt>
                <c:pt idx="334">
                  <c:v>4.8299083288432181E-2</c:v>
                </c:pt>
                <c:pt idx="335">
                  <c:v>4.8778400263924215E-2</c:v>
                </c:pt>
                <c:pt idx="336">
                  <c:v>4.9306569955164158E-2</c:v>
                </c:pt>
                <c:pt idx="337">
                  <c:v>4.9863934498800284E-2</c:v>
                </c:pt>
                <c:pt idx="338">
                  <c:v>5.0443875956713569E-2</c:v>
                </c:pt>
                <c:pt idx="339">
                  <c:v>5.1046491613820716E-2</c:v>
                </c:pt>
                <c:pt idx="340">
                  <c:v>5.1671883089326492E-2</c:v>
                </c:pt>
                <c:pt idx="341">
                  <c:v>5.2320156812082762E-2</c:v>
                </c:pt>
                <c:pt idx="342">
                  <c:v>5.2991424495920099E-2</c:v>
                </c:pt>
                <c:pt idx="343">
                  <c:v>5.3685803614345155E-2</c:v>
                </c:pt>
                <c:pt idx="344">
                  <c:v>5.4403417876055384E-2</c:v>
                </c:pt>
                <c:pt idx="345">
                  <c:v>5.5144397699900281E-2</c:v>
                </c:pt>
                <c:pt idx="346">
                  <c:v>5.5824924444662354E-2</c:v>
                </c:pt>
                <c:pt idx="347">
                  <c:v>5.6445126646965431E-2</c:v>
                </c:pt>
                <c:pt idx="348">
                  <c:v>5.7005133655658451E-2</c:v>
                </c:pt>
                <c:pt idx="349">
                  <c:v>5.7505074361307799E-2</c:v>
                </c:pt>
                <c:pt idx="350">
                  <c:v>5.7945075927020508E-2</c:v>
                </c:pt>
                <c:pt idx="351">
                  <c:v>5.8283901577034357E-2</c:v>
                </c:pt>
                <c:pt idx="352">
                  <c:v>5.8541421665157932E-2</c:v>
                </c:pt>
                <c:pt idx="353">
                  <c:v>5.8717735489456052E-2</c:v>
                </c:pt>
                <c:pt idx="354">
                  <c:v>5.8812931699528941E-2</c:v>
                </c:pt>
                <c:pt idx="355">
                  <c:v>5.8827086574891996E-2</c:v>
                </c:pt>
                <c:pt idx="356">
                  <c:v>5.8760302913064631E-2</c:v>
                </c:pt>
                <c:pt idx="357">
                  <c:v>5.8612496181268937E-2</c:v>
                </c:pt>
                <c:pt idx="358">
                  <c:v>5.8383425600810279E-2</c:v>
                </c:pt>
                <c:pt idx="359">
                  <c:v>5.8072838058040345E-2</c:v>
                </c:pt>
                <c:pt idx="360">
                  <c:v>5.7660654637742524E-2</c:v>
                </c:pt>
                <c:pt idx="361">
                  <c:v>5.7188058992769152E-2</c:v>
                </c:pt>
                <c:pt idx="362">
                  <c:v>5.6654800110878256E-2</c:v>
                </c:pt>
                <c:pt idx="363">
                  <c:v>5.6060625448114694E-2</c:v>
                </c:pt>
                <c:pt idx="364">
                  <c:v>5.5405282497965141E-2</c:v>
                </c:pt>
                <c:pt idx="365">
                  <c:v>5.4688520359780314E-2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9.2116916468655663E-2</c:v>
                </c:pt>
                <c:pt idx="1">
                  <c:v>9.1377718671103614E-2</c:v>
                </c:pt>
                <c:pt idx="2">
                  <c:v>9.062408093576485E-2</c:v>
                </c:pt>
                <c:pt idx="3">
                  <c:v>8.9855739372856069E-2</c:v>
                </c:pt>
                <c:pt idx="4">
                  <c:v>8.9072438006023949E-2</c:v>
                </c:pt>
                <c:pt idx="5">
                  <c:v>8.8273929135574483E-2</c:v>
                </c:pt>
                <c:pt idx="6">
                  <c:v>8.745997370283122E-2</c:v>
                </c:pt>
                <c:pt idx="7">
                  <c:v>8.6630341652492018E-2</c:v>
                </c:pt>
                <c:pt idx="8">
                  <c:v>8.5784812296245169E-2</c:v>
                </c:pt>
                <c:pt idx="9">
                  <c:v>8.4956815205179823E-2</c:v>
                </c:pt>
                <c:pt idx="10">
                  <c:v>8.4190591768373249E-2</c:v>
                </c:pt>
                <c:pt idx="11">
                  <c:v>8.3486047092747429E-2</c:v>
                </c:pt>
                <c:pt idx="12">
                  <c:v>8.2843087662286721E-2</c:v>
                </c:pt>
                <c:pt idx="13">
                  <c:v>8.2261619717757958E-2</c:v>
                </c:pt>
                <c:pt idx="14">
                  <c:v>8.1741547635026862E-2</c:v>
                </c:pt>
                <c:pt idx="15">
                  <c:v>8.1227493327885494E-2</c:v>
                </c:pt>
                <c:pt idx="16">
                  <c:v>8.0689139710330038E-2</c:v>
                </c:pt>
                <c:pt idx="17">
                  <c:v>8.0126314536970319E-2</c:v>
                </c:pt>
                <c:pt idx="18">
                  <c:v>7.9538855523301893E-2</c:v>
                </c:pt>
                <c:pt idx="19">
                  <c:v>7.8927051138373477E-2</c:v>
                </c:pt>
                <c:pt idx="20">
                  <c:v>7.8291383980146179E-2</c:v>
                </c:pt>
                <c:pt idx="21">
                  <c:v>7.7631990843944371E-2</c:v>
                </c:pt>
                <c:pt idx="22">
                  <c:v>7.6949008428125229E-2</c:v>
                </c:pt>
                <c:pt idx="23">
                  <c:v>7.6225866259871697E-2</c:v>
                </c:pt>
                <c:pt idx="24">
                  <c:v>7.5428925569949054E-2</c:v>
                </c:pt>
                <c:pt idx="25">
                  <c:v>7.4558313578696689E-2</c:v>
                </c:pt>
                <c:pt idx="26">
                  <c:v>7.3614161835228453E-2</c:v>
                </c:pt>
                <c:pt idx="27">
                  <c:v>7.2596605315556381E-2</c:v>
                </c:pt>
                <c:pt idx="28">
                  <c:v>7.1505781522318845E-2</c:v>
                </c:pt>
                <c:pt idx="29">
                  <c:v>7.0359116706215419E-2</c:v>
                </c:pt>
                <c:pt idx="30">
                  <c:v>6.9212120357457843E-2</c:v>
                </c:pt>
                <c:pt idx="31">
                  <c:v>6.806492376933039E-2</c:v>
                </c:pt>
                <c:pt idx="32">
                  <c:v>6.6917652466791183E-2</c:v>
                </c:pt>
                <c:pt idx="33">
                  <c:v>6.5770426213554958E-2</c:v>
                </c:pt>
                <c:pt idx="34">
                  <c:v>6.4623359019483378E-2</c:v>
                </c:pt>
                <c:pt idx="35">
                  <c:v>6.3476559147906439E-2</c:v>
                </c:pt>
                <c:pt idx="36">
                  <c:v>6.2330129122804341E-2</c:v>
                </c:pt>
                <c:pt idx="37">
                  <c:v>6.1163476473807148E-2</c:v>
                </c:pt>
                <c:pt idx="38">
                  <c:v>5.9993398423948276E-2</c:v>
                </c:pt>
                <c:pt idx="39">
                  <c:v>5.8819981514414449E-2</c:v>
                </c:pt>
                <c:pt idx="40">
                  <c:v>5.7643306494959336E-2</c:v>
                </c:pt>
                <c:pt idx="41">
                  <c:v>5.6463448281614342E-2</c:v>
                </c:pt>
                <c:pt idx="42">
                  <c:v>5.528047591397417E-2</c:v>
                </c:pt>
                <c:pt idx="43">
                  <c:v>5.4081845093843679E-2</c:v>
                </c:pt>
                <c:pt idx="44">
                  <c:v>5.2850347278585515E-2</c:v>
                </c:pt>
                <c:pt idx="45">
                  <c:v>5.1586040166514975E-2</c:v>
                </c:pt>
                <c:pt idx="46">
                  <c:v>5.0288974171024355E-2</c:v>
                </c:pt>
                <c:pt idx="47">
                  <c:v>4.8959192004443763E-2</c:v>
                </c:pt>
                <c:pt idx="48">
                  <c:v>4.759672826122141E-2</c:v>
                </c:pt>
                <c:pt idx="49">
                  <c:v>4.6201609001568202E-2</c:v>
                </c:pt>
                <c:pt idx="50">
                  <c:v>4.4773851334800524E-2</c:v>
                </c:pt>
                <c:pt idx="51">
                  <c:v>4.3324823769602942E-2</c:v>
                </c:pt>
                <c:pt idx="52">
                  <c:v>4.1874963511944113E-2</c:v>
                </c:pt>
                <c:pt idx="53">
                  <c:v>4.0424018015305006E-2</c:v>
                </c:pt>
                <c:pt idx="54">
                  <c:v>3.8971958769487933E-2</c:v>
                </c:pt>
                <c:pt idx="55">
                  <c:v>3.7518759390675865E-2</c:v>
                </c:pt>
                <c:pt idx="56">
                  <c:v>3.6064395626011068E-2</c:v>
                </c:pt>
                <c:pt idx="57">
                  <c:v>3.4644716469282431E-2</c:v>
                </c:pt>
                <c:pt idx="58">
                  <c:v>3.3272304498508022E-2</c:v>
                </c:pt>
                <c:pt idx="59">
                  <c:v>3.1947142910844162E-2</c:v>
                </c:pt>
                <c:pt idx="60">
                  <c:v>3.0669217189552411E-2</c:v>
                </c:pt>
                <c:pt idx="61">
                  <c:v>2.9438514929270312E-2</c:v>
                </c:pt>
                <c:pt idx="62">
                  <c:v>2.8255025661237162E-2</c:v>
                </c:pt>
                <c:pt idx="63">
                  <c:v>2.7118740678609528E-2</c:v>
                </c:pt>
                <c:pt idx="64">
                  <c:v>2.6029652861660067E-2</c:v>
                </c:pt>
                <c:pt idx="65">
                  <c:v>2.5013780271902503E-2</c:v>
                </c:pt>
                <c:pt idx="66">
                  <c:v>2.4059757427802319E-2</c:v>
                </c:pt>
                <c:pt idx="67">
                  <c:v>2.3167580823593058E-2</c:v>
                </c:pt>
                <c:pt idx="68">
                  <c:v>2.2337247600294735E-2</c:v>
                </c:pt>
                <c:pt idx="69">
                  <c:v>2.1568755316654118E-2</c:v>
                </c:pt>
                <c:pt idx="70">
                  <c:v>2.0862101720197646E-2</c:v>
                </c:pt>
                <c:pt idx="71">
                  <c:v>2.021994314477071E-2</c:v>
                </c:pt>
                <c:pt idx="72">
                  <c:v>1.9606405139687016E-2</c:v>
                </c:pt>
                <c:pt idx="73">
                  <c:v>1.9021486425628946E-2</c:v>
                </c:pt>
                <c:pt idx="74">
                  <c:v>1.8465185894232881E-2</c:v>
                </c:pt>
                <c:pt idx="75">
                  <c:v>1.7937502502009369E-2</c:v>
                </c:pt>
                <c:pt idx="76">
                  <c:v>1.7438435164204416E-2</c:v>
                </c:pt>
                <c:pt idx="77">
                  <c:v>1.6967982648720632E-2</c:v>
                </c:pt>
                <c:pt idx="78">
                  <c:v>1.6526144018663577E-2</c:v>
                </c:pt>
                <c:pt idx="79">
                  <c:v>1.611777459883516E-2</c:v>
                </c:pt>
                <c:pt idx="80">
                  <c:v>1.5716894126524262E-2</c:v>
                </c:pt>
                <c:pt idx="81">
                  <c:v>1.5323496707464057E-2</c:v>
                </c:pt>
                <c:pt idx="82">
                  <c:v>1.4937576938586203E-2</c:v>
                </c:pt>
                <c:pt idx="83">
                  <c:v>1.455912988413678E-2</c:v>
                </c:pt>
                <c:pt idx="84">
                  <c:v>1.4188151051841439E-2</c:v>
                </c:pt>
                <c:pt idx="85">
                  <c:v>1.3829724350933327E-2</c:v>
                </c:pt>
                <c:pt idx="86">
                  <c:v>1.3481188230259754E-2</c:v>
                </c:pt>
                <c:pt idx="87">
                  <c:v>1.3142538938650547E-2</c:v>
                </c:pt>
                <c:pt idx="88">
                  <c:v>1.2813773028195667E-2</c:v>
                </c:pt>
                <c:pt idx="89">
                  <c:v>1.2494887322591691E-2</c:v>
                </c:pt>
                <c:pt idx="90">
                  <c:v>1.2185878885462053E-2</c:v>
                </c:pt>
                <c:pt idx="91">
                  <c:v>1.1886744988725308E-2</c:v>
                </c:pt>
                <c:pt idx="92">
                  <c:v>1.159748308092841E-2</c:v>
                </c:pt>
                <c:pt idx="93">
                  <c:v>1.1319153052656161E-2</c:v>
                </c:pt>
                <c:pt idx="94">
                  <c:v>1.1046962696678158E-2</c:v>
                </c:pt>
                <c:pt idx="95">
                  <c:v>1.0780910751206478E-2</c:v>
                </c:pt>
                <c:pt idx="96">
                  <c:v>1.0520996118984554E-2</c:v>
                </c:pt>
                <c:pt idx="97">
                  <c:v>1.0267217847640491E-2</c:v>
                </c:pt>
                <c:pt idx="98">
                  <c:v>1.0019575109942594E-2</c:v>
                </c:pt>
                <c:pt idx="99">
                  <c:v>9.7801752811360367E-3</c:v>
                </c:pt>
                <c:pt idx="100">
                  <c:v>9.5439351073390594E-3</c:v>
                </c:pt>
                <c:pt idx="101">
                  <c:v>9.3108550667921532E-3</c:v>
                </c:pt>
                <c:pt idx="102">
                  <c:v>9.0809358082871525E-3</c:v>
                </c:pt>
                <c:pt idx="103">
                  <c:v>8.8541781409065771E-3</c:v>
                </c:pt>
                <c:pt idx="104">
                  <c:v>8.6305830239781986E-3</c:v>
                </c:pt>
                <c:pt idx="105">
                  <c:v>8.4101515568299635E-3</c:v>
                </c:pt>
                <c:pt idx="106">
                  <c:v>8.1928849686542949E-3</c:v>
                </c:pt>
                <c:pt idx="107">
                  <c:v>7.9822509208222325E-3</c:v>
                </c:pt>
                <c:pt idx="108">
                  <c:v>7.7771887083645545E-3</c:v>
                </c:pt>
                <c:pt idx="109">
                  <c:v>7.5776984319586259E-3</c:v>
                </c:pt>
                <c:pt idx="110">
                  <c:v>7.3838011664884018E-3</c:v>
                </c:pt>
                <c:pt idx="111">
                  <c:v>7.1955162785165465E-3</c:v>
                </c:pt>
                <c:pt idx="112">
                  <c:v>7.0128412834885639E-3</c:v>
                </c:pt>
                <c:pt idx="113">
                  <c:v>6.8376585165756225E-3</c:v>
                </c:pt>
                <c:pt idx="114">
                  <c:v>6.6678615079937475E-3</c:v>
                </c:pt>
                <c:pt idx="115">
                  <c:v>6.5034478857981535E-3</c:v>
                </c:pt>
                <c:pt idx="116">
                  <c:v>6.3444152584050603E-3</c:v>
                </c:pt>
                <c:pt idx="117">
                  <c:v>6.1907612029498274E-3</c:v>
                </c:pt>
                <c:pt idx="118">
                  <c:v>6.0424832535769558E-3</c:v>
                </c:pt>
                <c:pt idx="119">
                  <c:v>5.8995788897495882E-3</c:v>
                </c:pt>
                <c:pt idx="120">
                  <c:v>5.7620455245497E-3</c:v>
                </c:pt>
                <c:pt idx="121">
                  <c:v>5.6327214540679129E-3</c:v>
                </c:pt>
                <c:pt idx="122">
                  <c:v>5.5081468188915581E-3</c:v>
                </c:pt>
                <c:pt idx="123">
                  <c:v>5.3883191990149555E-3</c:v>
                </c:pt>
                <c:pt idx="124">
                  <c:v>5.273236085009971E-3</c:v>
                </c:pt>
                <c:pt idx="125">
                  <c:v>5.1628948677268282E-3</c:v>
                </c:pt>
                <c:pt idx="126">
                  <c:v>5.0572928279187593E-3</c:v>
                </c:pt>
                <c:pt idx="127">
                  <c:v>4.956224981710524E-3</c:v>
                </c:pt>
                <c:pt idx="128">
                  <c:v>4.8578109827920402E-3</c:v>
                </c:pt>
                <c:pt idx="129">
                  <c:v>4.762049688993829E-3</c:v>
                </c:pt>
                <c:pt idx="130">
                  <c:v>4.6689399122158441E-3</c:v>
                </c:pt>
                <c:pt idx="131">
                  <c:v>4.5784804125960192E-3</c:v>
                </c:pt>
                <c:pt idx="132">
                  <c:v>4.4906698927279342E-3</c:v>
                </c:pt>
                <c:pt idx="133">
                  <c:v>4.4055069919064086E-3</c:v>
                </c:pt>
                <c:pt idx="134">
                  <c:v>4.3229902803479459E-3</c:v>
                </c:pt>
                <c:pt idx="135">
                  <c:v>4.2423637700582479E-3</c:v>
                </c:pt>
                <c:pt idx="136">
                  <c:v>4.1607992520120186E-3</c:v>
                </c:pt>
                <c:pt idx="137">
                  <c:v>4.0782992635230737E-3</c:v>
                </c:pt>
                <c:pt idx="138">
                  <c:v>3.9948664700524507E-3</c:v>
                </c:pt>
                <c:pt idx="139">
                  <c:v>3.9105036674112895E-3</c:v>
                </c:pt>
                <c:pt idx="140">
                  <c:v>3.8252137837358948E-3</c:v>
                </c:pt>
                <c:pt idx="141">
                  <c:v>3.7410456825065987E-3</c:v>
                </c:pt>
                <c:pt idx="142">
                  <c:v>3.6581807203842566E-3</c:v>
                </c:pt>
                <c:pt idx="143">
                  <c:v>3.5766044498095947E-3</c:v>
                </c:pt>
                <c:pt idx="144">
                  <c:v>3.4963248574698823E-3</c:v>
                </c:pt>
                <c:pt idx="145">
                  <c:v>3.4173493492121727E-3</c:v>
                </c:pt>
                <c:pt idx="146">
                  <c:v>3.3396847673530512E-3</c:v>
                </c:pt>
                <c:pt idx="147">
                  <c:v>3.2633374081066039E-3</c:v>
                </c:pt>
                <c:pt idx="148">
                  <c:v>3.1883130389279879E-3</c:v>
                </c:pt>
                <c:pt idx="149">
                  <c:v>3.1152188242315362E-3</c:v>
                </c:pt>
                <c:pt idx="150">
                  <c:v>3.0448075830606298E-3</c:v>
                </c:pt>
                <c:pt idx="151">
                  <c:v>2.9770811682934342E-3</c:v>
                </c:pt>
                <c:pt idx="152">
                  <c:v>2.9120409016833077E-3</c:v>
                </c:pt>
                <c:pt idx="153">
                  <c:v>2.8496876094421092E-3</c:v>
                </c:pt>
                <c:pt idx="154">
                  <c:v>2.790021657840383E-3</c:v>
                </c:pt>
                <c:pt idx="155">
                  <c:v>2.7349289723425552E-3</c:v>
                </c:pt>
                <c:pt idx="156">
                  <c:v>2.6823768555101005E-3</c:v>
                </c:pt>
                <c:pt idx="157">
                  <c:v>2.6323647664420555E-3</c:v>
                </c:pt>
                <c:pt idx="158">
                  <c:v>2.584891857910067E-3</c:v>
                </c:pt>
                <c:pt idx="159">
                  <c:v>2.5399570099906028E-3</c:v>
                </c:pt>
                <c:pt idx="160">
                  <c:v>2.4975588637294209E-3</c:v>
                </c:pt>
                <c:pt idx="161">
                  <c:v>2.4576958547764334E-3</c:v>
                </c:pt>
                <c:pt idx="162">
                  <c:v>2.4203662470347366E-3</c:v>
                </c:pt>
                <c:pt idx="163">
                  <c:v>2.3870370213534501E-3</c:v>
                </c:pt>
                <c:pt idx="164">
                  <c:v>2.3571071569105308E-3</c:v>
                </c:pt>
                <c:pt idx="165">
                  <c:v>2.3305730516884602E-3</c:v>
                </c:pt>
                <c:pt idx="166">
                  <c:v>2.3074311253013075E-3</c:v>
                </c:pt>
                <c:pt idx="167">
                  <c:v>2.2876778644695169E-3</c:v>
                </c:pt>
                <c:pt idx="168">
                  <c:v>2.2713098685691441E-3</c:v>
                </c:pt>
                <c:pt idx="169">
                  <c:v>2.2597875470919161E-3</c:v>
                </c:pt>
                <c:pt idx="170">
                  <c:v>2.2512366462728883E-3</c:v>
                </c:pt>
                <c:pt idx="171">
                  <c:v>2.2456550958645139E-3</c:v>
                </c:pt>
                <c:pt idx="172">
                  <c:v>2.2430410846059783E-3</c:v>
                </c:pt>
                <c:pt idx="173">
                  <c:v>2.2433701592050868E-3</c:v>
                </c:pt>
                <c:pt idx="174">
                  <c:v>2.2466168537796168E-3</c:v>
                </c:pt>
                <c:pt idx="175">
                  <c:v>2.2527780605326067E-3</c:v>
                </c:pt>
                <c:pt idx="176">
                  <c:v>2.261850690932449E-3</c:v>
                </c:pt>
                <c:pt idx="177">
                  <c:v>2.2756938510028325E-3</c:v>
                </c:pt>
                <c:pt idx="178">
                  <c:v>2.2928448300742342E-3</c:v>
                </c:pt>
                <c:pt idx="179">
                  <c:v>2.3133001099108095E-3</c:v>
                </c:pt>
                <c:pt idx="180">
                  <c:v>2.3370562722517061E-3</c:v>
                </c:pt>
                <c:pt idx="181">
                  <c:v>2.3641100182867714E-3</c:v>
                </c:pt>
                <c:pt idx="182">
                  <c:v>2.3944581881523187E-3</c:v>
                </c:pt>
                <c:pt idx="183">
                  <c:v>2.428688171629367E-3</c:v>
                </c:pt>
                <c:pt idx="184">
                  <c:v>2.4653436588370306E-3</c:v>
                </c:pt>
                <c:pt idx="185">
                  <c:v>2.5044232556018218E-3</c:v>
                </c:pt>
                <c:pt idx="186">
                  <c:v>2.5459257508432059E-3</c:v>
                </c:pt>
                <c:pt idx="187">
                  <c:v>2.5898501309914567E-3</c:v>
                </c:pt>
                <c:pt idx="188">
                  <c:v>2.636195594421718E-3</c:v>
                </c:pt>
                <c:pt idx="189">
                  <c:v>2.6849615658090069E-3</c:v>
                </c:pt>
                <c:pt idx="190">
                  <c:v>2.7361477105940068E-3</c:v>
                </c:pt>
                <c:pt idx="191">
                  <c:v>2.7917451192629767E-3</c:v>
                </c:pt>
                <c:pt idx="192">
                  <c:v>2.8499023368727268E-3</c:v>
                </c:pt>
                <c:pt idx="193">
                  <c:v>2.9106197325583449E-3</c:v>
                </c:pt>
                <c:pt idx="194">
                  <c:v>2.9738979882804645E-3</c:v>
                </c:pt>
                <c:pt idx="195">
                  <c:v>3.0397381141320391E-3</c:v>
                </c:pt>
                <c:pt idx="196">
                  <c:v>3.108141463534064E-3</c:v>
                </c:pt>
                <c:pt idx="197">
                  <c:v>3.1783788851197079E-3</c:v>
                </c:pt>
                <c:pt idx="198">
                  <c:v>3.2498665062121166E-3</c:v>
                </c:pt>
                <c:pt idx="199">
                  <c:v>3.3226080539540581E-3</c:v>
                </c:pt>
                <c:pt idx="200">
                  <c:v>3.3966075384869198E-3</c:v>
                </c:pt>
                <c:pt idx="201">
                  <c:v>3.4718692603580028E-3</c:v>
                </c:pt>
                <c:pt idx="202">
                  <c:v>3.5483978179440671E-3</c:v>
                </c:pt>
                <c:pt idx="203">
                  <c:v>3.6261981149538765E-3</c:v>
                </c:pt>
                <c:pt idx="204">
                  <c:v>3.705269384417858E-3</c:v>
                </c:pt>
                <c:pt idx="205">
                  <c:v>3.7854135314832247E-3</c:v>
                </c:pt>
                <c:pt idx="206">
                  <c:v>3.8646504760078827E-3</c:v>
                </c:pt>
                <c:pt idx="207">
                  <c:v>3.9429829565234545E-3</c:v>
                </c:pt>
                <c:pt idx="208">
                  <c:v>4.0204135369771047E-3</c:v>
                </c:pt>
                <c:pt idx="209">
                  <c:v>4.096944609547553E-3</c:v>
                </c:pt>
                <c:pt idx="210">
                  <c:v>4.1725783975952004E-3</c:v>
                </c:pt>
                <c:pt idx="211">
                  <c:v>4.2500476931784823E-3</c:v>
                </c:pt>
                <c:pt idx="212">
                  <c:v>4.3300815332156508E-3</c:v>
                </c:pt>
                <c:pt idx="213">
                  <c:v>4.4126804195266621E-3</c:v>
                </c:pt>
                <c:pt idx="214">
                  <c:v>4.4978449321779962E-3</c:v>
                </c:pt>
                <c:pt idx="215">
                  <c:v>4.5855757216212772E-3</c:v>
                </c:pt>
                <c:pt idx="216">
                  <c:v>4.6758735008165268E-3</c:v>
                </c:pt>
                <c:pt idx="217">
                  <c:v>4.7687390373734699E-3</c:v>
                </c:pt>
                <c:pt idx="218">
                  <c:v>4.864173145667494E-3</c:v>
                </c:pt>
                <c:pt idx="219">
                  <c:v>4.9639835214866897E-3</c:v>
                </c:pt>
                <c:pt idx="220">
                  <c:v>5.0683652165580727E-3</c:v>
                </c:pt>
                <c:pt idx="221">
                  <c:v>5.1773189209294483E-3</c:v>
                </c:pt>
                <c:pt idx="222">
                  <c:v>5.2908454461765521E-3</c:v>
                </c:pt>
                <c:pt idx="223">
                  <c:v>5.4089457113982156E-3</c:v>
                </c:pt>
                <c:pt idx="224">
                  <c:v>5.531620729088923E-3</c:v>
                </c:pt>
                <c:pt idx="225">
                  <c:v>5.6621899848902845E-3</c:v>
                </c:pt>
                <c:pt idx="226">
                  <c:v>5.797926600097556E-3</c:v>
                </c:pt>
                <c:pt idx="227">
                  <c:v>5.9388318661168131E-3</c:v>
                </c:pt>
                <c:pt idx="228">
                  <c:v>6.0849071327098948E-3</c:v>
                </c:pt>
                <c:pt idx="229">
                  <c:v>6.2361537919977368E-3</c:v>
                </c:pt>
                <c:pt idx="230">
                  <c:v>6.3925732625552184E-3</c:v>
                </c:pt>
                <c:pt idx="231">
                  <c:v>6.5541669735320893E-3</c:v>
                </c:pt>
                <c:pt idx="232">
                  <c:v>6.7209363486374898E-3</c:v>
                </c:pt>
                <c:pt idx="233">
                  <c:v>6.8948989898144249E-3</c:v>
                </c:pt>
                <c:pt idx="234">
                  <c:v>7.0742496587158201E-3</c:v>
                </c:pt>
                <c:pt idx="235">
                  <c:v>7.2589955891842568E-3</c:v>
                </c:pt>
                <c:pt idx="236">
                  <c:v>7.4491469812636079E-3</c:v>
                </c:pt>
                <c:pt idx="237">
                  <c:v>7.644709934719906E-3</c:v>
                </c:pt>
                <c:pt idx="238">
                  <c:v>7.8456909029535147E-3</c:v>
                </c:pt>
                <c:pt idx="239">
                  <c:v>8.0531125091242786E-3</c:v>
                </c:pt>
                <c:pt idx="240">
                  <c:v>8.2636616626594883E-3</c:v>
                </c:pt>
                <c:pt idx="241">
                  <c:v>8.477345288024617E-3</c:v>
                </c:pt>
                <c:pt idx="242">
                  <c:v>8.6941705954544906E-3</c:v>
                </c:pt>
                <c:pt idx="243">
                  <c:v>8.9141450863817213E-3</c:v>
                </c:pt>
                <c:pt idx="244">
                  <c:v>9.1372765588234369E-3</c:v>
                </c:pt>
                <c:pt idx="245">
                  <c:v>9.3635731126739605E-3</c:v>
                </c:pt>
                <c:pt idx="246">
                  <c:v>9.5930431549735816E-3</c:v>
                </c:pt>
                <c:pt idx="247">
                  <c:v>9.8305627582942201E-3</c:v>
                </c:pt>
                <c:pt idx="248">
                  <c:v>1.0074124031347239E-2</c:v>
                </c:pt>
                <c:pt idx="249">
                  <c:v>1.0323737859285248E-2</c:v>
                </c:pt>
                <c:pt idx="250">
                  <c:v>1.0579415614551285E-2</c:v>
                </c:pt>
                <c:pt idx="251">
                  <c:v>1.0841169167525207E-2</c:v>
                </c:pt>
                <c:pt idx="252">
                  <c:v>1.1109010896736786E-2</c:v>
                </c:pt>
                <c:pt idx="253">
                  <c:v>1.1387543265138286E-2</c:v>
                </c:pt>
                <c:pt idx="254">
                  <c:v>1.167576454133786E-2</c:v>
                </c:pt>
                <c:pt idx="255">
                  <c:v>1.1973691185933326E-2</c:v>
                </c:pt>
                <c:pt idx="256">
                  <c:v>1.2281340429710781E-2</c:v>
                </c:pt>
                <c:pt idx="257">
                  <c:v>1.2598730290208608E-2</c:v>
                </c:pt>
                <c:pt idx="258">
                  <c:v>1.2925879588389984E-2</c:v>
                </c:pt>
                <c:pt idx="259">
                  <c:v>1.3262807965499753E-2</c:v>
                </c:pt>
                <c:pt idx="260">
                  <c:v>1.3609535899536071E-2</c:v>
                </c:pt>
                <c:pt idx="261">
                  <c:v>1.3968634404277218E-2</c:v>
                </c:pt>
                <c:pt idx="262">
                  <c:v>1.4335244373449152E-2</c:v>
                </c:pt>
                <c:pt idx="263">
                  <c:v>1.4709386844653243E-2</c:v>
                </c:pt>
                <c:pt idx="264">
                  <c:v>1.5091084324027525E-2</c:v>
                </c:pt>
                <c:pt idx="265">
                  <c:v>1.5480443100951645E-2</c:v>
                </c:pt>
                <c:pt idx="266">
                  <c:v>1.5877537055989863E-2</c:v>
                </c:pt>
                <c:pt idx="267">
                  <c:v>1.6307385768640357E-2</c:v>
                </c:pt>
                <c:pt idx="268">
                  <c:v>1.6765421366451715E-2</c:v>
                </c:pt>
                <c:pt idx="269">
                  <c:v>1.7251681362781227E-2</c:v>
                </c:pt>
                <c:pt idx="270">
                  <c:v>1.7766203995184946E-2</c:v>
                </c:pt>
                <c:pt idx="271">
                  <c:v>1.8309027921425101E-2</c:v>
                </c:pt>
                <c:pt idx="272">
                  <c:v>1.8880191915934673E-2</c:v>
                </c:pt>
                <c:pt idx="273">
                  <c:v>1.9479734566058025E-2</c:v>
                </c:pt>
                <c:pt idx="274">
                  <c:v>2.0107693968533655E-2</c:v>
                </c:pt>
                <c:pt idx="275">
                  <c:v>2.0798699572681222E-2</c:v>
                </c:pt>
                <c:pt idx="276">
                  <c:v>2.1550273642850004E-2</c:v>
                </c:pt>
                <c:pt idx="277">
                  <c:v>2.2362499855382578E-2</c:v>
                </c:pt>
                <c:pt idx="278">
                  <c:v>2.3235461343426651E-2</c:v>
                </c:pt>
                <c:pt idx="279">
                  <c:v>2.4169240041581847E-2</c:v>
                </c:pt>
                <c:pt idx="280">
                  <c:v>2.5163916030764382E-2</c:v>
                </c:pt>
                <c:pt idx="281">
                  <c:v>2.6230555887370291E-2</c:v>
                </c:pt>
                <c:pt idx="282">
                  <c:v>2.7344066905948077E-2</c:v>
                </c:pt>
                <c:pt idx="283">
                  <c:v>2.8504497465150935E-2</c:v>
                </c:pt>
                <c:pt idx="284">
                  <c:v>2.9711891399405613E-2</c:v>
                </c:pt>
                <c:pt idx="285">
                  <c:v>3.0966287498763956E-2</c:v>
                </c:pt>
                <c:pt idx="286">
                  <c:v>3.2267719009037535E-2</c:v>
                </c:pt>
                <c:pt idx="287">
                  <c:v>3.3616213131648635E-2</c:v>
                </c:pt>
                <c:pt idx="288">
                  <c:v>3.5011790523586918E-2</c:v>
                </c:pt>
                <c:pt idx="289">
                  <c:v>3.644222454326148E-2</c:v>
                </c:pt>
                <c:pt idx="290">
                  <c:v>3.7872643855370314E-2</c:v>
                </c:pt>
                <c:pt idx="291">
                  <c:v>3.9302977212934055E-2</c:v>
                </c:pt>
                <c:pt idx="292">
                  <c:v>4.0733147270761098E-2</c:v>
                </c:pt>
                <c:pt idx="293">
                  <c:v>4.2163070598723894E-2</c:v>
                </c:pt>
                <c:pt idx="294">
                  <c:v>4.3592657694897306E-2</c:v>
                </c:pt>
                <c:pt idx="295">
                  <c:v>4.5001683871197636E-2</c:v>
                </c:pt>
                <c:pt idx="296">
                  <c:v>4.6379512041451881E-2</c:v>
                </c:pt>
                <c:pt idx="297">
                  <c:v>4.7726446436611038E-2</c:v>
                </c:pt>
                <c:pt idx="298">
                  <c:v>4.9042424272208611E-2</c:v>
                </c:pt>
                <c:pt idx="299">
                  <c:v>5.0327376790677052E-2</c:v>
                </c:pt>
                <c:pt idx="300">
                  <c:v>5.1581229560937865E-2</c:v>
                </c:pt>
                <c:pt idx="301">
                  <c:v>5.2803902777844254E-2</c:v>
                </c:pt>
                <c:pt idx="302">
                  <c:v>5.3995311561735919E-2</c:v>
                </c:pt>
                <c:pt idx="303">
                  <c:v>5.5172244366171082E-2</c:v>
                </c:pt>
                <c:pt idx="304">
                  <c:v>5.634695830002126E-2</c:v>
                </c:pt>
                <c:pt idx="305">
                  <c:v>5.7519396724726383E-2</c:v>
                </c:pt>
                <c:pt idx="306">
                  <c:v>5.8689498792951968E-2</c:v>
                </c:pt>
                <c:pt idx="307">
                  <c:v>5.9857199479373395E-2</c:v>
                </c:pt>
                <c:pt idx="308">
                  <c:v>6.1022429610960487E-2</c:v>
                </c:pt>
                <c:pt idx="309">
                  <c:v>6.2168755135741292E-2</c:v>
                </c:pt>
                <c:pt idx="310">
                  <c:v>6.331635173810074E-2</c:v>
                </c:pt>
                <c:pt idx="311">
                  <c:v>6.4465143579837778E-2</c:v>
                </c:pt>
                <c:pt idx="312">
                  <c:v>6.561505069278907E-2</c:v>
                </c:pt>
                <c:pt idx="313">
                  <c:v>6.6765988973905566E-2</c:v>
                </c:pt>
                <c:pt idx="314">
                  <c:v>6.7917870179737036E-2</c:v>
                </c:pt>
                <c:pt idx="315">
                  <c:v>6.9070601921750754E-2</c:v>
                </c:pt>
                <c:pt idx="316">
                  <c:v>7.0224087660616108E-2</c:v>
                </c:pt>
                <c:pt idx="317">
                  <c:v>7.1323825081650374E-2</c:v>
                </c:pt>
                <c:pt idx="318">
                  <c:v>7.2352656409976651E-2</c:v>
                </c:pt>
                <c:pt idx="319">
                  <c:v>7.3310395930505062E-2</c:v>
                </c:pt>
                <c:pt idx="320">
                  <c:v>7.4196860098321646E-2</c:v>
                </c:pt>
                <c:pt idx="321">
                  <c:v>7.5011868186829839E-2</c:v>
                </c:pt>
                <c:pt idx="322">
                  <c:v>7.5755242936226305E-2</c:v>
                </c:pt>
                <c:pt idx="323">
                  <c:v>7.6460062309511412E-2</c:v>
                </c:pt>
                <c:pt idx="324">
                  <c:v>7.7142642296731442E-2</c:v>
                </c:pt>
                <c:pt idx="325">
                  <c:v>7.7802853465982549E-2</c:v>
                </c:pt>
                <c:pt idx="326">
                  <c:v>7.8440078405790079E-2</c:v>
                </c:pt>
                <c:pt idx="327">
                  <c:v>7.9054012470948135E-2</c:v>
                </c:pt>
                <c:pt idx="328">
                  <c:v>7.9644755600682487E-2</c:v>
                </c:pt>
                <c:pt idx="329">
                  <c:v>8.0212416075217938E-2</c:v>
                </c:pt>
                <c:pt idx="330">
                  <c:v>8.0757110072118804E-2</c:v>
                </c:pt>
                <c:pt idx="331">
                  <c:v>8.1308747577466894E-2</c:v>
                </c:pt>
                <c:pt idx="332">
                  <c:v>8.1922075361219565E-2</c:v>
                </c:pt>
                <c:pt idx="333">
                  <c:v>8.2597249703583647E-2</c:v>
                </c:pt>
                <c:pt idx="334">
                  <c:v>8.3334425879348029E-2</c:v>
                </c:pt>
                <c:pt idx="335">
                  <c:v>8.4133759470909897E-2</c:v>
                </c:pt>
                <c:pt idx="336">
                  <c:v>8.4995407680219889E-2</c:v>
                </c:pt>
                <c:pt idx="337">
                  <c:v>8.587557766601267E-2</c:v>
                </c:pt>
                <c:pt idx="338">
                  <c:v>8.6741111742198937E-2</c:v>
                </c:pt>
                <c:pt idx="339">
                  <c:v>8.7592174611306542E-2</c:v>
                </c:pt>
                <c:pt idx="340">
                  <c:v>8.8428938448762096E-2</c:v>
                </c:pt>
                <c:pt idx="341">
                  <c:v>8.9251582608898275E-2</c:v>
                </c:pt>
                <c:pt idx="342">
                  <c:v>9.0060293330909355E-2</c:v>
                </c:pt>
                <c:pt idx="343">
                  <c:v>9.0855263443725368E-2</c:v>
                </c:pt>
                <c:pt idx="344">
                  <c:v>9.163669207228288E-2</c:v>
                </c:pt>
                <c:pt idx="345">
                  <c:v>9.2404784342852375E-2</c:v>
                </c:pt>
                <c:pt idx="346">
                  <c:v>9.3096588468731478E-2</c:v>
                </c:pt>
                <c:pt idx="347">
                  <c:v>9.3712308111017648E-2</c:v>
                </c:pt>
                <c:pt idx="348">
                  <c:v>9.4252146539839085E-2</c:v>
                </c:pt>
                <c:pt idx="349">
                  <c:v>9.4716305026277814E-2</c:v>
                </c:pt>
                <c:pt idx="350">
                  <c:v>9.51049812364958E-2</c:v>
                </c:pt>
                <c:pt idx="351">
                  <c:v>9.5384994558828221E-2</c:v>
                </c:pt>
                <c:pt idx="352">
                  <c:v>9.5600509131033393E-2</c:v>
                </c:pt>
                <c:pt idx="353">
                  <c:v>9.5751705543882196E-2</c:v>
                </c:pt>
                <c:pt idx="354">
                  <c:v>9.5838755797309202E-2</c:v>
                </c:pt>
                <c:pt idx="355">
                  <c:v>9.5861821908860848E-2</c:v>
                </c:pt>
                <c:pt idx="356">
                  <c:v>9.5821120744879876E-2</c:v>
                </c:pt>
                <c:pt idx="357">
                  <c:v>9.5716576690262123E-2</c:v>
                </c:pt>
                <c:pt idx="358">
                  <c:v>9.5547871411775231E-2</c:v>
                </c:pt>
                <c:pt idx="359">
                  <c:v>9.5314676622669403E-2</c:v>
                </c:pt>
                <c:pt idx="360">
                  <c:v>9.4972560479949189E-2</c:v>
                </c:pt>
                <c:pt idx="361">
                  <c:v>9.4554594838326581E-2</c:v>
                </c:pt>
                <c:pt idx="362">
                  <c:v>9.4060415829435862E-2</c:v>
                </c:pt>
                <c:pt idx="363">
                  <c:v>9.3489655894050061E-2</c:v>
                </c:pt>
                <c:pt idx="364">
                  <c:v>9.2841945768292286E-2</c:v>
                </c:pt>
                <c:pt idx="365">
                  <c:v>9.2116916468655663E-2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0.12914029908778735</c:v>
                </c:pt>
                <c:pt idx="1">
                  <c:v>0.1292120664191091</c:v>
                </c:pt>
                <c:pt idx="2">
                  <c:v>0.12922480944512119</c:v>
                </c:pt>
                <c:pt idx="3">
                  <c:v>0.12917811221564748</c:v>
                </c:pt>
                <c:pt idx="4">
                  <c:v>0.12907155834636308</c:v>
                </c:pt>
                <c:pt idx="5">
                  <c:v>0.12890473254434756</c:v>
                </c:pt>
                <c:pt idx="6">
                  <c:v>0.12867722213528612</c:v>
                </c:pt>
                <c:pt idx="7">
                  <c:v>0.12838861858776546</c:v>
                </c:pt>
                <c:pt idx="8">
                  <c:v>0.12803851903937991</c:v>
                </c:pt>
                <c:pt idx="9">
                  <c:v>0.12761744540735623</c:v>
                </c:pt>
                <c:pt idx="10">
                  <c:v>0.12716285331568261</c:v>
                </c:pt>
                <c:pt idx="11">
                  <c:v>0.1266744023573512</c:v>
                </c:pt>
                <c:pt idx="12">
                  <c:v>0.12615176063594594</c:v>
                </c:pt>
                <c:pt idx="13">
                  <c:v>0.12559460556052079</c:v>
                </c:pt>
                <c:pt idx="14">
                  <c:v>0.12500262463833259</c:v>
                </c:pt>
                <c:pt idx="15">
                  <c:v>0.12432541535002038</c:v>
                </c:pt>
                <c:pt idx="16">
                  <c:v>0.12358487101544698</c:v>
                </c:pt>
                <c:pt idx="17">
                  <c:v>0.12278069729009787</c:v>
                </c:pt>
                <c:pt idx="18">
                  <c:v>0.12191261940579845</c:v>
                </c:pt>
                <c:pt idx="19">
                  <c:v>0.12098105849058095</c:v>
                </c:pt>
                <c:pt idx="20">
                  <c:v>0.11998673837698261</c:v>
                </c:pt>
                <c:pt idx="21">
                  <c:v>0.11892985705665264</c:v>
                </c:pt>
                <c:pt idx="22">
                  <c:v>0.11781061609107983</c:v>
                </c:pt>
                <c:pt idx="23">
                  <c:v>0.11661095684941351</c:v>
                </c:pt>
                <c:pt idx="24">
                  <c:v>0.11534019917361628</c:v>
                </c:pt>
                <c:pt idx="25">
                  <c:v>0.11399855040780148</c:v>
                </c:pt>
                <c:pt idx="26">
                  <c:v>0.11258621941988507</c:v>
                </c:pt>
                <c:pt idx="27">
                  <c:v>0.1111034157446899</c:v>
                </c:pt>
                <c:pt idx="28">
                  <c:v>0.10955034872950332</c:v>
                </c:pt>
                <c:pt idx="29">
                  <c:v>0.10794482945465511</c:v>
                </c:pt>
                <c:pt idx="30">
                  <c:v>0.10633724727857942</c:v>
                </c:pt>
                <c:pt idx="31">
                  <c:v>0.10472779797619175</c:v>
                </c:pt>
                <c:pt idx="32">
                  <c:v>0.10311666934302222</c:v>
                </c:pt>
                <c:pt idx="33">
                  <c:v>0.10150404118671391</c:v>
                </c:pt>
                <c:pt idx="34">
                  <c:v>9.9890085318994307E-2</c:v>
                </c:pt>
                <c:pt idx="35">
                  <c:v>9.8274965547542517E-2</c:v>
                </c:pt>
                <c:pt idx="36">
                  <c:v>9.6658837667641995E-2</c:v>
                </c:pt>
                <c:pt idx="37">
                  <c:v>9.5021575778193756E-2</c:v>
                </c:pt>
                <c:pt idx="38">
                  <c:v>9.3381581331322475E-2</c:v>
                </c:pt>
                <c:pt idx="39">
                  <c:v>9.1738986702530279E-2</c:v>
                </c:pt>
                <c:pt idx="40">
                  <c:v>9.0093916131393045E-2</c:v>
                </c:pt>
                <c:pt idx="41">
                  <c:v>8.8446485688615309E-2</c:v>
                </c:pt>
                <c:pt idx="42">
                  <c:v>8.6796803242424989E-2</c:v>
                </c:pt>
                <c:pt idx="43">
                  <c:v>8.5125686064377273E-2</c:v>
                </c:pt>
                <c:pt idx="44">
                  <c:v>8.3415646110030606E-2</c:v>
                </c:pt>
                <c:pt idx="45">
                  <c:v>8.1666774454801971E-2</c:v>
                </c:pt>
                <c:pt idx="46">
                  <c:v>7.9879152291358099E-2</c:v>
                </c:pt>
                <c:pt idx="47">
                  <c:v>7.8052850435369844E-2</c:v>
                </c:pt>
                <c:pt idx="48">
                  <c:v>7.6187928830191029E-2</c:v>
                </c:pt>
                <c:pt idx="49">
                  <c:v>7.4284436052272196E-2</c:v>
                </c:pt>
                <c:pt idx="50">
                  <c:v>7.2342408816094203E-2</c:v>
                </c:pt>
                <c:pt idx="51">
                  <c:v>7.035633111041735E-2</c:v>
                </c:pt>
                <c:pt idx="52">
                  <c:v>6.8346093141977246E-2</c:v>
                </c:pt>
                <c:pt idx="53">
                  <c:v>6.6311290685769242E-2</c:v>
                </c:pt>
                <c:pt idx="54">
                  <c:v>6.4251880580076456E-2</c:v>
                </c:pt>
                <c:pt idx="55">
                  <c:v>6.216782226453265E-2</c:v>
                </c:pt>
                <c:pt idx="56">
                  <c:v>6.0059077871903205E-2</c:v>
                </c:pt>
                <c:pt idx="57">
                  <c:v>5.7968994779919993E-2</c:v>
                </c:pt>
                <c:pt idx="58">
                  <c:v>5.5916815522661534E-2</c:v>
                </c:pt>
                <c:pt idx="59">
                  <c:v>5.3902512184805788E-2</c:v>
                </c:pt>
                <c:pt idx="60">
                  <c:v>5.1926060092594373E-2</c:v>
                </c:pt>
                <c:pt idx="61">
                  <c:v>4.9987437673848278E-2</c:v>
                </c:pt>
                <c:pt idx="62">
                  <c:v>4.8086626317907603E-2</c:v>
                </c:pt>
                <c:pt idx="63">
                  <c:v>4.6223610235723071E-2</c:v>
                </c:pt>
                <c:pt idx="64">
                  <c:v>4.4398376319749772E-2</c:v>
                </c:pt>
                <c:pt idx="65">
                  <c:v>4.2660234726833814E-2</c:v>
                </c:pt>
                <c:pt idx="66">
                  <c:v>4.1014718362308758E-2</c:v>
                </c:pt>
                <c:pt idx="67">
                  <c:v>3.9461821231922441E-2</c:v>
                </c:pt>
                <c:pt idx="68">
                  <c:v>3.8001538630746214E-2</c:v>
                </c:pt>
                <c:pt idx="69">
                  <c:v>3.6633866800085874E-2</c:v>
                </c:pt>
                <c:pt idx="70">
                  <c:v>3.5358802584585243E-2</c:v>
                </c:pt>
                <c:pt idx="71">
                  <c:v>3.4182792428340471E-2</c:v>
                </c:pt>
                <c:pt idx="72">
                  <c:v>3.3062449816903212E-2</c:v>
                </c:pt>
                <c:pt idx="73">
                  <c:v>3.1997773283828086E-2</c:v>
                </c:pt>
                <c:pt idx="74">
                  <c:v>3.0988761587716587E-2</c:v>
                </c:pt>
                <c:pt idx="75">
                  <c:v>3.003541350594786E-2</c:v>
                </c:pt>
                <c:pt idx="76">
                  <c:v>2.9137727628310277E-2</c:v>
                </c:pt>
                <c:pt idx="77">
                  <c:v>2.8295702150733681E-2</c:v>
                </c:pt>
                <c:pt idx="78">
                  <c:v>2.7509335582259608E-2</c:v>
                </c:pt>
                <c:pt idx="79">
                  <c:v>2.67874978669977E-2</c:v>
                </c:pt>
                <c:pt idx="80">
                  <c:v>2.6080941449995548E-2</c:v>
                </c:pt>
                <c:pt idx="81">
                  <c:v>2.5389656167531392E-2</c:v>
                </c:pt>
                <c:pt idx="82">
                  <c:v>2.4713632715709508E-2</c:v>
                </c:pt>
                <c:pt idx="83">
                  <c:v>2.4052862601696853E-2</c:v>
                </c:pt>
                <c:pt idx="84">
                  <c:v>2.3407338095041346E-2</c:v>
                </c:pt>
                <c:pt idx="85">
                  <c:v>2.2786127640312973E-2</c:v>
                </c:pt>
                <c:pt idx="86">
                  <c:v>2.2182777901337991E-2</c:v>
                </c:pt>
                <c:pt idx="87">
                  <c:v>2.1597282635089424E-2</c:v>
                </c:pt>
                <c:pt idx="88">
                  <c:v>2.102963611296409E-2</c:v>
                </c:pt>
                <c:pt idx="89">
                  <c:v>2.0479833063625705E-2</c:v>
                </c:pt>
                <c:pt idx="90">
                  <c:v>1.9947868615804918E-2</c:v>
                </c:pt>
                <c:pt idx="91">
                  <c:v>1.9433738241178132E-2</c:v>
                </c:pt>
                <c:pt idx="92">
                  <c:v>1.8937437697188756E-2</c:v>
                </c:pt>
                <c:pt idx="93">
                  <c:v>1.846241955737004E-2</c:v>
                </c:pt>
                <c:pt idx="94">
                  <c:v>1.7999918894298039E-2</c:v>
                </c:pt>
                <c:pt idx="95">
                  <c:v>1.7549933302758704E-2</c:v>
                </c:pt>
                <c:pt idx="96">
                  <c:v>1.7112460595119696E-2</c:v>
                </c:pt>
                <c:pt idx="97">
                  <c:v>1.6687498761269872E-2</c:v>
                </c:pt>
                <c:pt idx="98">
                  <c:v>1.6275045928399512E-2</c:v>
                </c:pt>
                <c:pt idx="99">
                  <c:v>1.5878300398250386E-2</c:v>
                </c:pt>
                <c:pt idx="100">
                  <c:v>1.5488194752809888E-2</c:v>
                </c:pt>
                <c:pt idx="101">
                  <c:v>1.5104729376984425E-2</c:v>
                </c:pt>
                <c:pt idx="102">
                  <c:v>1.4727904878568008E-2</c:v>
                </c:pt>
                <c:pt idx="103">
                  <c:v>1.4357722066745059E-2</c:v>
                </c:pt>
                <c:pt idx="104">
                  <c:v>1.3994181930942423E-2</c:v>
                </c:pt>
                <c:pt idx="105">
                  <c:v>1.3637285619357483E-2</c:v>
                </c:pt>
                <c:pt idx="106">
                  <c:v>1.3287034417663724E-2</c:v>
                </c:pt>
                <c:pt idx="107">
                  <c:v>1.2948054875960227E-2</c:v>
                </c:pt>
                <c:pt idx="108">
                  <c:v>1.2616895911720107E-2</c:v>
                </c:pt>
                <c:pt idx="109">
                  <c:v>1.2293558301169646E-2</c:v>
                </c:pt>
                <c:pt idx="110">
                  <c:v>1.1978076912390655E-2</c:v>
                </c:pt>
                <c:pt idx="111">
                  <c:v>1.1670483888696964E-2</c:v>
                </c:pt>
                <c:pt idx="112">
                  <c:v>1.1370775956823112E-2</c:v>
                </c:pt>
                <c:pt idx="113">
                  <c:v>1.1082858369620696E-2</c:v>
                </c:pt>
                <c:pt idx="114">
                  <c:v>1.0803533420302021E-2</c:v>
                </c:pt>
                <c:pt idx="115">
                  <c:v>1.0532797415532126E-2</c:v>
                </c:pt>
                <c:pt idx="116">
                  <c:v>1.0270646638063366E-2</c:v>
                </c:pt>
                <c:pt idx="117">
                  <c:v>1.0017077328168665E-2</c:v>
                </c:pt>
                <c:pt idx="118">
                  <c:v>9.7720856649643681E-3</c:v>
                </c:pt>
                <c:pt idx="119">
                  <c:v>9.5356677477646829E-3</c:v>
                </c:pt>
                <c:pt idx="120">
                  <c:v>9.3078195774210816E-3</c:v>
                </c:pt>
                <c:pt idx="121">
                  <c:v>9.0932848730774975E-3</c:v>
                </c:pt>
                <c:pt idx="122">
                  <c:v>8.8874457699447944E-3</c:v>
                </c:pt>
                <c:pt idx="123">
                  <c:v>8.6902976534882059E-3</c:v>
                </c:pt>
                <c:pt idx="124">
                  <c:v>8.501835726110997E-3</c:v>
                </c:pt>
                <c:pt idx="125">
                  <c:v>8.322054988281237E-3</c:v>
                </c:pt>
                <c:pt idx="126">
                  <c:v>8.1509502195356836E-3</c:v>
                </c:pt>
                <c:pt idx="127">
                  <c:v>7.9885447858236147E-3</c:v>
                </c:pt>
                <c:pt idx="128">
                  <c:v>7.8309394958212767E-3</c:v>
                </c:pt>
                <c:pt idx="129">
                  <c:v>7.6781320024447283E-3</c:v>
                </c:pt>
                <c:pt idx="130">
                  <c:v>7.5301198576602181E-3</c:v>
                </c:pt>
                <c:pt idx="131">
                  <c:v>7.3869005019371985E-3</c:v>
                </c:pt>
                <c:pt idx="132">
                  <c:v>7.2484712537804761E-3</c:v>
                </c:pt>
                <c:pt idx="133">
                  <c:v>7.1148292993074335E-3</c:v>
                </c:pt>
                <c:pt idx="134">
                  <c:v>6.985971681784703E-3</c:v>
                </c:pt>
                <c:pt idx="135">
                  <c:v>6.8613266124519122E-3</c:v>
                </c:pt>
                <c:pt idx="136">
                  <c:v>6.7361661547241545E-3</c:v>
                </c:pt>
                <c:pt idx="137">
                  <c:v>6.6104930651116707E-3</c:v>
                </c:pt>
                <c:pt idx="138">
                  <c:v>6.4843102406047818E-3</c:v>
                </c:pt>
                <c:pt idx="139">
                  <c:v>6.3576207200230087E-3</c:v>
                </c:pt>
                <c:pt idx="140">
                  <c:v>6.2304276849946992E-3</c:v>
                </c:pt>
                <c:pt idx="141">
                  <c:v>6.105499447601183E-3</c:v>
                </c:pt>
                <c:pt idx="142">
                  <c:v>5.9827741955744184E-3</c:v>
                </c:pt>
                <c:pt idx="143">
                  <c:v>5.862227490320681E-3</c:v>
                </c:pt>
                <c:pt idx="144">
                  <c:v>5.7438714880661797E-3</c:v>
                </c:pt>
                <c:pt idx="145">
                  <c:v>5.627717454596691E-3</c:v>
                </c:pt>
                <c:pt idx="146">
                  <c:v>5.5137757946785377E-3</c:v>
                </c:pt>
                <c:pt idx="147">
                  <c:v>5.4020560816737499E-3</c:v>
                </c:pt>
                <c:pt idx="148">
                  <c:v>5.2925670870167052E-3</c:v>
                </c:pt>
                <c:pt idx="149">
                  <c:v>5.1862568898319037E-3</c:v>
                </c:pt>
                <c:pt idx="150">
                  <c:v>5.0836957280848789E-3</c:v>
                </c:pt>
                <c:pt idx="151">
                  <c:v>4.9848874269986226E-3</c:v>
                </c:pt>
                <c:pt idx="152">
                  <c:v>4.8898350493938999E-3</c:v>
                </c:pt>
                <c:pt idx="153">
                  <c:v>4.798540945484776E-3</c:v>
                </c:pt>
                <c:pt idx="154">
                  <c:v>4.7110068027023154E-3</c:v>
                </c:pt>
                <c:pt idx="155">
                  <c:v>4.6299834851072355E-3</c:v>
                </c:pt>
                <c:pt idx="156">
                  <c:v>4.5527244516542853E-3</c:v>
                </c:pt>
                <c:pt idx="157">
                  <c:v>4.4792296677027494E-3</c:v>
                </c:pt>
                <c:pt idx="158">
                  <c:v>4.4094986499493656E-3</c:v>
                </c:pt>
                <c:pt idx="159">
                  <c:v>4.3435305163038321E-3</c:v>
                </c:pt>
                <c:pt idx="160">
                  <c:v>4.2813240358192629E-3</c:v>
                </c:pt>
                <c:pt idx="161">
                  <c:v>4.2228776785722E-3</c:v>
                </c:pt>
                <c:pt idx="162">
                  <c:v>4.1681896655667607E-3</c:v>
                </c:pt>
                <c:pt idx="163">
                  <c:v>4.1193861435955461E-3</c:v>
                </c:pt>
                <c:pt idx="164">
                  <c:v>4.0755296882269091E-3</c:v>
                </c:pt>
                <c:pt idx="165">
                  <c:v>4.0366159461179864E-3</c:v>
                </c:pt>
                <c:pt idx="166">
                  <c:v>4.0026405957114186E-3</c:v>
                </c:pt>
                <c:pt idx="167">
                  <c:v>3.9735994133445933E-3</c:v>
                </c:pt>
                <c:pt idx="168">
                  <c:v>3.9494883394878355E-3</c:v>
                </c:pt>
                <c:pt idx="169">
                  <c:v>3.9324241314551414E-3</c:v>
                </c:pt>
                <c:pt idx="170">
                  <c:v>3.919675021710655E-3</c:v>
                </c:pt>
                <c:pt idx="171">
                  <c:v>3.9112389096802079E-3</c:v>
                </c:pt>
                <c:pt idx="172">
                  <c:v>3.9071140700195732E-3</c:v>
                </c:pt>
                <c:pt idx="173">
                  <c:v>3.9072592543961159E-3</c:v>
                </c:pt>
                <c:pt idx="174">
                  <c:v>3.9116314047629025E-3</c:v>
                </c:pt>
                <c:pt idx="175">
                  <c:v>3.9202264033410929E-3</c:v>
                </c:pt>
                <c:pt idx="176">
                  <c:v>3.9330401602700816E-3</c:v>
                </c:pt>
                <c:pt idx="177">
                  <c:v>3.9527836902830899E-3</c:v>
                </c:pt>
                <c:pt idx="178">
                  <c:v>3.9773381297887158E-3</c:v>
                </c:pt>
                <c:pt idx="179">
                  <c:v>4.0066987409200982E-3</c:v>
                </c:pt>
                <c:pt idx="180">
                  <c:v>4.0408609310332985E-3</c:v>
                </c:pt>
                <c:pt idx="181">
                  <c:v>4.0798202810210741E-3</c:v>
                </c:pt>
                <c:pt idx="182">
                  <c:v>4.1235725736613969E-3</c:v>
                </c:pt>
                <c:pt idx="183">
                  <c:v>4.1730359142095434E-3</c:v>
                </c:pt>
                <c:pt idx="184">
                  <c:v>4.2261006202563229E-3</c:v>
                </c:pt>
                <c:pt idx="185">
                  <c:v>4.2827649419498459E-3</c:v>
                </c:pt>
                <c:pt idx="186">
                  <c:v>4.3430273985585908E-3</c:v>
                </c:pt>
                <c:pt idx="187">
                  <c:v>4.4068867998564819E-3</c:v>
                </c:pt>
                <c:pt idx="188">
                  <c:v>4.4743422675352197E-3</c:v>
                </c:pt>
                <c:pt idx="189">
                  <c:v>4.5453932564820995E-3</c:v>
                </c:pt>
                <c:pt idx="190">
                  <c:v>4.6200395762462454E-3</c:v>
                </c:pt>
                <c:pt idx="191">
                  <c:v>4.7009725626604047E-3</c:v>
                </c:pt>
                <c:pt idx="192">
                  <c:v>4.7854933377255724E-3</c:v>
                </c:pt>
                <c:pt idx="193">
                  <c:v>4.8736029988464546E-3</c:v>
                </c:pt>
                <c:pt idx="194">
                  <c:v>4.9653030893941283E-3</c:v>
                </c:pt>
                <c:pt idx="195">
                  <c:v>5.0605956201458238E-3</c:v>
                </c:pt>
                <c:pt idx="196">
                  <c:v>5.1594830905384824E-3</c:v>
                </c:pt>
                <c:pt idx="197">
                  <c:v>5.2614176344659078E-3</c:v>
                </c:pt>
                <c:pt idx="198">
                  <c:v>5.3654870223248767E-3</c:v>
                </c:pt>
                <c:pt idx="199">
                  <c:v>5.4716967536057037E-3</c:v>
                </c:pt>
                <c:pt idx="200">
                  <c:v>5.5800527673460698E-3</c:v>
                </c:pt>
                <c:pt idx="201">
                  <c:v>5.690561454720979E-3</c:v>
                </c:pt>
                <c:pt idx="202">
                  <c:v>5.8032296716599638E-3</c:v>
                </c:pt>
                <c:pt idx="203">
                  <c:v>5.918064751593499E-3</c:v>
                </c:pt>
                <c:pt idx="204">
                  <c:v>6.0350647723782687E-3</c:v>
                </c:pt>
                <c:pt idx="205">
                  <c:v>6.1542516126943799E-3</c:v>
                </c:pt>
                <c:pt idx="206">
                  <c:v>6.2729487570599663E-3</c:v>
                </c:pt>
                <c:pt idx="207">
                  <c:v>6.3911596000523234E-3</c:v>
                </c:pt>
                <c:pt idx="208">
                  <c:v>6.5088873448253927E-3</c:v>
                </c:pt>
                <c:pt idx="209">
                  <c:v>6.6261350046472002E-3</c:v>
                </c:pt>
                <c:pt idx="210">
                  <c:v>6.7429054046544189E-3</c:v>
                </c:pt>
                <c:pt idx="211">
                  <c:v>6.8637648076447831E-3</c:v>
                </c:pt>
                <c:pt idx="212">
                  <c:v>6.9892626868133237E-3</c:v>
                </c:pt>
                <c:pt idx="213">
                  <c:v>7.119399509980179E-3</c:v>
                </c:pt>
                <c:pt idx="214">
                  <c:v>7.2541759108644792E-3</c:v>
                </c:pt>
                <c:pt idx="215">
                  <c:v>7.3935926748494541E-3</c:v>
                </c:pt>
                <c:pt idx="216">
                  <c:v>7.5376507247226837E-3</c:v>
                </c:pt>
                <c:pt idx="217">
                  <c:v>7.6863511064454689E-3</c:v>
                </c:pt>
                <c:pt idx="218">
                  <c:v>7.839694974881321E-3</c:v>
                </c:pt>
                <c:pt idx="219">
                  <c:v>8.0014303767767404E-3</c:v>
                </c:pt>
                <c:pt idx="220">
                  <c:v>8.1715303044373831E-3</c:v>
                </c:pt>
                <c:pt idx="221">
                  <c:v>8.3499957608558859E-3</c:v>
                </c:pt>
                <c:pt idx="222">
                  <c:v>8.5368279978993069E-3</c:v>
                </c:pt>
                <c:pt idx="223">
                  <c:v>8.7320284906390409E-3</c:v>
                </c:pt>
                <c:pt idx="224">
                  <c:v>8.9355989114830604E-3</c:v>
                </c:pt>
                <c:pt idx="225">
                  <c:v>9.1519688828038161E-3</c:v>
                </c:pt>
                <c:pt idx="226">
                  <c:v>9.3765812891230278E-3</c:v>
                </c:pt>
                <c:pt idx="227">
                  <c:v>9.609438337492027E-3</c:v>
                </c:pt>
                <c:pt idx="228">
                  <c:v>9.8505423179386428E-3</c:v>
                </c:pt>
                <c:pt idx="229">
                  <c:v>1.0099895577952092E-2</c:v>
                </c:pt>
                <c:pt idx="230">
                  <c:v>1.0357500497115783E-2</c:v>
                </c:pt>
                <c:pt idx="231">
                  <c:v>1.0623359461782547E-2</c:v>
                </c:pt>
                <c:pt idx="232">
                  <c:v>1.0897474839528827E-2</c:v>
                </c:pt>
                <c:pt idx="233">
                  <c:v>1.1182909531463331E-2</c:v>
                </c:pt>
                <c:pt idx="234">
                  <c:v>1.1475919326501891E-2</c:v>
                </c:pt>
                <c:pt idx="235">
                  <c:v>1.1776515822694745E-2</c:v>
                </c:pt>
                <c:pt idx="236">
                  <c:v>1.2084715392417284E-2</c:v>
                </c:pt>
                <c:pt idx="237">
                  <c:v>1.2400527711719142E-2</c:v>
                </c:pt>
                <c:pt idx="238">
                  <c:v>1.2723962982116329E-2</c:v>
                </c:pt>
                <c:pt idx="239">
                  <c:v>1.3058337257021295E-2</c:v>
                </c:pt>
                <c:pt idx="240">
                  <c:v>1.3399232056712923E-2</c:v>
                </c:pt>
                <c:pt idx="241">
                  <c:v>1.3746658986559072E-2</c:v>
                </c:pt>
                <c:pt idx="242">
                  <c:v>1.4100630180762056E-2</c:v>
                </c:pt>
                <c:pt idx="243">
                  <c:v>1.4461158313718714E-2</c:v>
                </c:pt>
                <c:pt idx="244">
                  <c:v>1.4828256611312922E-2</c:v>
                </c:pt>
                <c:pt idx="245">
                  <c:v>1.5201938862055604E-2</c:v>
                </c:pt>
                <c:pt idx="246">
                  <c:v>1.5582219428185724E-2</c:v>
                </c:pt>
                <c:pt idx="247">
                  <c:v>1.5977795181322689E-2</c:v>
                </c:pt>
                <c:pt idx="248">
                  <c:v>1.6385620578806635E-2</c:v>
                </c:pt>
                <c:pt idx="249">
                  <c:v>1.6805714753305542E-2</c:v>
                </c:pt>
                <c:pt idx="250">
                  <c:v>1.7238097768561816E-2</c:v>
                </c:pt>
                <c:pt idx="251">
                  <c:v>1.7682790640975218E-2</c:v>
                </c:pt>
                <c:pt idx="252">
                  <c:v>1.8139815360481017E-2</c:v>
                </c:pt>
                <c:pt idx="253">
                  <c:v>1.8617589191548736E-2</c:v>
                </c:pt>
                <c:pt idx="254">
                  <c:v>1.9112828811842428E-2</c:v>
                </c:pt>
                <c:pt idx="255">
                  <c:v>1.9625562865216589E-2</c:v>
                </c:pt>
                <c:pt idx="256">
                  <c:v>2.015582136876819E-2</c:v>
                </c:pt>
                <c:pt idx="257">
                  <c:v>2.0703635742762818E-2</c:v>
                </c:pt>
                <c:pt idx="258">
                  <c:v>2.126903884073789E-2</c:v>
                </c:pt>
                <c:pt idx="259">
                  <c:v>2.1852064979909862E-2</c:v>
                </c:pt>
                <c:pt idx="260">
                  <c:v>2.245274997094834E-2</c:v>
                </c:pt>
                <c:pt idx="261">
                  <c:v>2.3077316208676462E-2</c:v>
                </c:pt>
                <c:pt idx="262">
                  <c:v>2.3717097210070995E-2</c:v>
                </c:pt>
                <c:pt idx="263">
                  <c:v>2.4372131345128323E-2</c:v>
                </c:pt>
                <c:pt idx="264">
                  <c:v>2.5042459629964337E-2</c:v>
                </c:pt>
                <c:pt idx="265">
                  <c:v>2.5728262546672587E-2</c:v>
                </c:pt>
                <c:pt idx="266">
                  <c:v>2.6429667719203898E-2</c:v>
                </c:pt>
                <c:pt idx="267">
                  <c:v>2.7194094909176011E-2</c:v>
                </c:pt>
                <c:pt idx="268">
                  <c:v>2.8013194805017388E-2</c:v>
                </c:pt>
                <c:pt idx="269">
                  <c:v>2.8887041735377789E-2</c:v>
                </c:pt>
                <c:pt idx="270">
                  <c:v>2.981571174420047E-2</c:v>
                </c:pt>
                <c:pt idx="271">
                  <c:v>3.0799281999732964E-2</c:v>
                </c:pt>
                <c:pt idx="272">
                  <c:v>3.1837830204301108E-2</c:v>
                </c:pt>
                <c:pt idx="273">
                  <c:v>3.2931434003707294E-2</c:v>
                </c:pt>
                <c:pt idx="274">
                  <c:v>3.4080170397036154E-2</c:v>
                </c:pt>
                <c:pt idx="275">
                  <c:v>3.5325950829081187E-2</c:v>
                </c:pt>
                <c:pt idx="276">
                  <c:v>3.6662688751818759E-2</c:v>
                </c:pt>
                <c:pt idx="277">
                  <c:v>3.8090510110288585E-2</c:v>
                </c:pt>
                <c:pt idx="278">
                  <c:v>3.9609539118533231E-2</c:v>
                </c:pt>
                <c:pt idx="279">
                  <c:v>4.1219897278031513E-2</c:v>
                </c:pt>
                <c:pt idx="280">
                  <c:v>4.2921702396503177E-2</c:v>
                </c:pt>
                <c:pt idx="281">
                  <c:v>4.4709708536005789E-2</c:v>
                </c:pt>
                <c:pt idx="282">
                  <c:v>4.6536285016441074E-2</c:v>
                </c:pt>
                <c:pt idx="283">
                  <c:v>4.8401449389923988E-2</c:v>
                </c:pt>
                <c:pt idx="284">
                  <c:v>5.030521153294195E-2</c:v>
                </c:pt>
                <c:pt idx="285">
                  <c:v>5.2247573245548101E-2</c:v>
                </c:pt>
                <c:pt idx="286">
                  <c:v>5.4228527851034138E-2</c:v>
                </c:pt>
                <c:pt idx="287">
                  <c:v>5.6248059795121187E-2</c:v>
                </c:pt>
                <c:pt idx="288">
                  <c:v>5.8306144245330503E-2</c:v>
                </c:pt>
                <c:pt idx="289">
                  <c:v>6.0384025887932152E-2</c:v>
                </c:pt>
                <c:pt idx="290">
                  <c:v>6.243947358766521E-2</c:v>
                </c:pt>
                <c:pt idx="291">
                  <c:v>6.4472342798686758E-2</c:v>
                </c:pt>
                <c:pt idx="292">
                  <c:v>6.6482481269249064E-2</c:v>
                </c:pt>
                <c:pt idx="293">
                  <c:v>6.846972930463481E-2</c:v>
                </c:pt>
                <c:pt idx="294">
                  <c:v>7.0433920029863026E-2</c:v>
                </c:pt>
                <c:pt idx="295">
                  <c:v>7.2355157753512075E-2</c:v>
                </c:pt>
                <c:pt idx="296">
                  <c:v>7.4239534768023682E-2</c:v>
                </c:pt>
                <c:pt idx="297">
                  <c:v>7.6087554410423641E-2</c:v>
                </c:pt>
                <c:pt idx="298">
                  <c:v>7.789912882005702E-2</c:v>
                </c:pt>
                <c:pt idx="299">
                  <c:v>7.9674162157031575E-2</c:v>
                </c:pt>
                <c:pt idx="300">
                  <c:v>8.1412550958181701E-2</c:v>
                </c:pt>
                <c:pt idx="301">
                  <c:v>8.3114184492798435E-2</c:v>
                </c:pt>
                <c:pt idx="302">
                  <c:v>8.4778945118537105E-2</c:v>
                </c:pt>
                <c:pt idx="303">
                  <c:v>8.6423894931161968E-2</c:v>
                </c:pt>
                <c:pt idx="304">
                  <c:v>8.8067781742970253E-2</c:v>
                </c:pt>
                <c:pt idx="305">
                  <c:v>8.9710520734762711E-2</c:v>
                </c:pt>
                <c:pt idx="306">
                  <c:v>9.1352021202400699E-2</c:v>
                </c:pt>
                <c:pt idx="307">
                  <c:v>9.2992186581079481E-2</c:v>
                </c:pt>
                <c:pt idx="308">
                  <c:v>9.4630914468825336E-2</c:v>
                </c:pt>
                <c:pt idx="309">
                  <c:v>9.6250211906769467E-2</c:v>
                </c:pt>
                <c:pt idx="310">
                  <c:v>9.7869808582675202E-2</c:v>
                </c:pt>
                <c:pt idx="311">
                  <c:v>9.9489587733380111E-2</c:v>
                </c:pt>
                <c:pt idx="312">
                  <c:v>0.10110942683728628</c:v>
                </c:pt>
                <c:pt idx="313">
                  <c:v>0.1027291976207353</c:v>
                </c:pt>
                <c:pt idx="314">
                  <c:v>0.10434876606347086</c:v>
                </c:pt>
                <c:pt idx="315">
                  <c:v>0.10596799240538395</c:v>
                </c:pt>
                <c:pt idx="316">
                  <c:v>0.10758673115166907</c:v>
                </c:pt>
                <c:pt idx="317">
                  <c:v>0.10915552533212015</c:v>
                </c:pt>
                <c:pt idx="318">
                  <c:v>0.11065686067876844</c:v>
                </c:pt>
                <c:pt idx="319">
                  <c:v>0.11209050291995155</c:v>
                </c:pt>
                <c:pt idx="320">
                  <c:v>0.11345621798445486</c:v>
                </c:pt>
                <c:pt idx="321">
                  <c:v>0.1147537726171199</c:v>
                </c:pt>
                <c:pt idx="322">
                  <c:v>0.11598293499496476</c:v>
                </c:pt>
                <c:pt idx="323">
                  <c:v>0.11713449806140415</c:v>
                </c:pt>
                <c:pt idx="324">
                  <c:v>0.11822621556050554</c:v>
                </c:pt>
                <c:pt idx="325">
                  <c:v>0.11925786444751375</c:v>
                </c:pt>
                <c:pt idx="326">
                  <c:v>0.12022847653427106</c:v>
                </c:pt>
                <c:pt idx="327">
                  <c:v>0.12113756673888465</c:v>
                </c:pt>
                <c:pt idx="328">
                  <c:v>0.12198527439135692</c:v>
                </c:pt>
                <c:pt idx="329">
                  <c:v>0.12277175542676226</c:v>
                </c:pt>
                <c:pt idx="330">
                  <c:v>0.12349718116782826</c:v>
                </c:pt>
                <c:pt idx="331">
                  <c:v>0.12413978858730684</c:v>
                </c:pt>
                <c:pt idx="332">
                  <c:v>0.12474926192874382</c:v>
                </c:pt>
                <c:pt idx="333">
                  <c:v>0.12532581918675242</c:v>
                </c:pt>
                <c:pt idx="334">
                  <c:v>0.12586968628747666</c:v>
                </c:pt>
                <c:pt idx="335">
                  <c:v>0.12638109644604303</c:v>
                </c:pt>
                <c:pt idx="336">
                  <c:v>0.12686028952236841</c:v>
                </c:pt>
                <c:pt idx="337">
                  <c:v>0.12727003699457956</c:v>
                </c:pt>
                <c:pt idx="338">
                  <c:v>0.12761958220839578</c:v>
                </c:pt>
                <c:pt idx="339">
                  <c:v>0.1279091794351539</c:v>
                </c:pt>
                <c:pt idx="340">
                  <c:v>0.12813908706220034</c:v>
                </c:pt>
                <c:pt idx="341">
                  <c:v>0.12830956635764126</c:v>
                </c:pt>
                <c:pt idx="342">
                  <c:v>0.12842088023499648</c:v>
                </c:pt>
                <c:pt idx="343">
                  <c:v>0.12847329201630323</c:v>
                </c:pt>
                <c:pt idx="344">
                  <c:v>0.12846706419723461</c:v>
                </c:pt>
                <c:pt idx="345">
                  <c:v>0.12840245721086388</c:v>
                </c:pt>
                <c:pt idx="346">
                  <c:v>0.12832136598743735</c:v>
                </c:pt>
                <c:pt idx="347">
                  <c:v>0.1282240514240971</c:v>
                </c:pt>
                <c:pt idx="348">
                  <c:v>0.12811077228106879</c:v>
                </c:pt>
                <c:pt idx="349">
                  <c:v>0.1279817848103588</c:v>
                </c:pt>
                <c:pt idx="350">
                  <c:v>0.12783734238745167</c:v>
                </c:pt>
                <c:pt idx="351">
                  <c:v>0.1276973796050567</c:v>
                </c:pt>
                <c:pt idx="352">
                  <c:v>0.12759966220214322</c:v>
                </c:pt>
                <c:pt idx="353">
                  <c:v>0.12754446586316684</c:v>
                </c:pt>
                <c:pt idx="354">
                  <c:v>0.12753207134403058</c:v>
                </c:pt>
                <c:pt idx="355">
                  <c:v>0.12756276528365409</c:v>
                </c:pt>
                <c:pt idx="356">
                  <c:v>0.12763692922644321</c:v>
                </c:pt>
                <c:pt idx="357">
                  <c:v>0.12775457959206962</c:v>
                </c:pt>
                <c:pt idx="358">
                  <c:v>0.12791543221821505</c:v>
                </c:pt>
                <c:pt idx="359">
                  <c:v>0.12811920881054348</c:v>
                </c:pt>
                <c:pt idx="360">
                  <c:v>0.12832804019182825</c:v>
                </c:pt>
                <c:pt idx="361">
                  <c:v>0.12852187045248237</c:v>
                </c:pt>
                <c:pt idx="362">
                  <c:v>0.12870035792947851</c:v>
                </c:pt>
                <c:pt idx="363">
                  <c:v>0.12886315758014416</c:v>
                </c:pt>
                <c:pt idx="364">
                  <c:v>0.12900992144146062</c:v>
                </c:pt>
                <c:pt idx="365">
                  <c:v>0.12914029908778735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0.16322266407705069</c:v>
                </c:pt>
                <c:pt idx="1">
                  <c:v>0.16407065652031322</c:v>
                </c:pt>
                <c:pt idx="2">
                  <c:v>0.16489943336533844</c:v>
                </c:pt>
                <c:pt idx="3">
                  <c:v>0.16570855560257652</c:v>
                </c:pt>
                <c:pt idx="4">
                  <c:v>0.16649757623807551</c:v>
                </c:pt>
                <c:pt idx="5">
                  <c:v>0.16726604082712884</c:v>
                </c:pt>
                <c:pt idx="6">
                  <c:v>0.16801348801006064</c:v>
                </c:pt>
                <c:pt idx="7">
                  <c:v>0.16873945004425872</c:v>
                </c:pt>
                <c:pt idx="8">
                  <c:v>0.16944345333852687</c:v>
                </c:pt>
                <c:pt idx="9">
                  <c:v>0.17007089041870813</c:v>
                </c:pt>
                <c:pt idx="10">
                  <c:v>0.17060858932816492</c:v>
                </c:pt>
                <c:pt idx="11">
                  <c:v>0.17105598171597949</c:v>
                </c:pt>
                <c:pt idx="12">
                  <c:v>0.17141250385588513</c:v>
                </c:pt>
                <c:pt idx="13">
                  <c:v>0.17167759887764622</c:v>
                </c:pt>
                <c:pt idx="14">
                  <c:v>0.17185071899549928</c:v>
                </c:pt>
                <c:pt idx="15">
                  <c:v>0.17185653390971167</c:v>
                </c:pt>
                <c:pt idx="16">
                  <c:v>0.17172815669607</c:v>
                </c:pt>
                <c:pt idx="17">
                  <c:v>0.17146505536205225</c:v>
                </c:pt>
                <c:pt idx="18">
                  <c:v>0.17106672522032171</c:v>
                </c:pt>
                <c:pt idx="19">
                  <c:v>0.17053364337878088</c:v>
                </c:pt>
                <c:pt idx="20">
                  <c:v>0.16986673390095311</c:v>
                </c:pt>
                <c:pt idx="21">
                  <c:v>0.16906619746494037</c:v>
                </c:pt>
                <c:pt idx="22">
                  <c:v>0.16813225011278457</c:v>
                </c:pt>
                <c:pt idx="23">
                  <c:v>0.16700626657908557</c:v>
                </c:pt>
                <c:pt idx="24">
                  <c:v>0.16574281325379928</c:v>
                </c:pt>
                <c:pt idx="25">
                  <c:v>0.16434214527606814</c:v>
                </c:pt>
                <c:pt idx="26">
                  <c:v>0.16280452688838368</c:v>
                </c:pt>
                <c:pt idx="27">
                  <c:v>0.16113022976242039</c:v>
                </c:pt>
                <c:pt idx="28">
                  <c:v>0.15931953132840712</c:v>
                </c:pt>
                <c:pt idx="29">
                  <c:v>0.15737977915714577</c:v>
                </c:pt>
                <c:pt idx="30">
                  <c:v>0.15538617481828668</c:v>
                </c:pt>
                <c:pt idx="31">
                  <c:v>0.15333899397833514</c:v>
                </c:pt>
                <c:pt idx="32">
                  <c:v>0.15123850601714692</c:v>
                </c:pt>
                <c:pt idx="33">
                  <c:v>0.1490849733800616</c:v>
                </c:pt>
                <c:pt idx="34">
                  <c:v>0.14687865093073021</c:v>
                </c:pt>
                <c:pt idx="35">
                  <c:v>0.14461978530379244</c:v>
                </c:pt>
                <c:pt idx="36">
                  <c:v>0.14230861425723887</c:v>
                </c:pt>
                <c:pt idx="37">
                  <c:v>0.13994993230729894</c:v>
                </c:pt>
                <c:pt idx="38">
                  <c:v>0.13760279030324832</c:v>
                </c:pt>
                <c:pt idx="39">
                  <c:v>0.13526737867323022</c:v>
                </c:pt>
                <c:pt idx="40">
                  <c:v>0.13294387603698668</c:v>
                </c:pt>
                <c:pt idx="41">
                  <c:v>0.13063244935212978</c:v>
                </c:pt>
                <c:pt idx="42">
                  <c:v>0.12833325405944093</c:v>
                </c:pt>
                <c:pt idx="43">
                  <c:v>0.12601371647162146</c:v>
                </c:pt>
                <c:pt idx="44">
                  <c:v>0.12366691879248511</c:v>
                </c:pt>
                <c:pt idx="45">
                  <c:v>0.12129299124350669</c:v>
                </c:pt>
                <c:pt idx="46">
                  <c:v>0.11889205138304428</c:v>
                </c:pt>
                <c:pt idx="47">
                  <c:v>0.11646420375493673</c:v>
                </c:pt>
                <c:pt idx="48">
                  <c:v>0.1140095395355034</c:v>
                </c:pt>
                <c:pt idx="49">
                  <c:v>0.11152813618163732</c:v>
                </c:pt>
                <c:pt idx="50">
                  <c:v>0.10902005707818101</c:v>
                </c:pt>
                <c:pt idx="51">
                  <c:v>0.10645770156688539</c:v>
                </c:pt>
                <c:pt idx="52">
                  <c:v>0.10383597136216249</c:v>
                </c:pt>
                <c:pt idx="53">
                  <c:v>0.10115426185527315</c:v>
                </c:pt>
                <c:pt idx="54">
                  <c:v>9.8412511527094085E-2</c:v>
                </c:pt>
                <c:pt idx="55">
                  <c:v>9.5610661830681162E-2</c:v>
                </c:pt>
                <c:pt idx="56">
                  <c:v>9.274865741451678E-2</c:v>
                </c:pt>
                <c:pt idx="57">
                  <c:v>8.9874610342871739E-2</c:v>
                </c:pt>
                <c:pt idx="58">
                  <c:v>8.7021176745916237E-2</c:v>
                </c:pt>
                <c:pt idx="59">
                  <c:v>8.4188313879955748E-2</c:v>
                </c:pt>
                <c:pt idx="60">
                  <c:v>8.137598333533011E-2</c:v>
                </c:pt>
                <c:pt idx="61">
                  <c:v>7.8584150960543817E-2</c:v>
                </c:pt>
                <c:pt idx="62">
                  <c:v>7.581278678627755E-2</c:v>
                </c:pt>
                <c:pt idx="63">
                  <c:v>7.3061864949637637E-2</c:v>
                </c:pt>
                <c:pt idx="64">
                  <c:v>7.033136361809475E-2</c:v>
                </c:pt>
                <c:pt idx="65">
                  <c:v>6.7687843926433566E-2</c:v>
                </c:pt>
                <c:pt idx="66">
                  <c:v>6.5158943308572928E-2</c:v>
                </c:pt>
                <c:pt idx="67">
                  <c:v>6.2744651516382741E-2</c:v>
                </c:pt>
                <c:pt idx="68">
                  <c:v>6.0444960625984895E-2</c:v>
                </c:pt>
                <c:pt idx="69">
                  <c:v>5.8259864613051097E-2</c:v>
                </c:pt>
                <c:pt idx="70">
                  <c:v>5.6189358928406208E-2</c:v>
                </c:pt>
                <c:pt idx="71">
                  <c:v>5.4253649180445528E-2</c:v>
                </c:pt>
                <c:pt idx="72">
                  <c:v>5.2404566754285453E-2</c:v>
                </c:pt>
                <c:pt idx="73">
                  <c:v>5.0642110253984109E-2</c:v>
                </c:pt>
                <c:pt idx="74">
                  <c:v>4.8966278790099078E-2</c:v>
                </c:pt>
                <c:pt idx="75">
                  <c:v>4.737707165869659E-2</c:v>
                </c:pt>
                <c:pt idx="76">
                  <c:v>4.5874488020203469E-2</c:v>
                </c:pt>
                <c:pt idx="77">
                  <c:v>4.4458526578418617E-2</c:v>
                </c:pt>
                <c:pt idx="78">
                  <c:v>4.3129186691299275E-2</c:v>
                </c:pt>
                <c:pt idx="79">
                  <c:v>4.1901344552744385E-2</c:v>
                </c:pt>
                <c:pt idx="80">
                  <c:v>4.070853272840453E-2</c:v>
                </c:pt>
                <c:pt idx="81">
                  <c:v>3.9550733819720921E-2</c:v>
                </c:pt>
                <c:pt idx="82">
                  <c:v>3.8427931853226141E-2</c:v>
                </c:pt>
                <c:pt idx="83">
                  <c:v>3.734011216865183E-2</c:v>
                </c:pt>
                <c:pt idx="84">
                  <c:v>3.6287261307163178E-2</c:v>
                </c:pt>
                <c:pt idx="85">
                  <c:v>3.5283774239188277E-2</c:v>
                </c:pt>
                <c:pt idx="86">
                  <c:v>3.4309440120672892E-2</c:v>
                </c:pt>
                <c:pt idx="87">
                  <c:v>3.3364249305347073E-2</c:v>
                </c:pt>
                <c:pt idx="88">
                  <c:v>3.2448192973345641E-2</c:v>
                </c:pt>
                <c:pt idx="89">
                  <c:v>3.1561263037922248E-2</c:v>
                </c:pt>
                <c:pt idx="90">
                  <c:v>3.0703452052096802E-2</c:v>
                </c:pt>
                <c:pt idx="91">
                  <c:v>2.9874753115424414E-2</c:v>
                </c:pt>
                <c:pt idx="92">
                  <c:v>2.9075159780675663E-2</c:v>
                </c:pt>
                <c:pt idx="93">
                  <c:v>2.8312068629002804E-2</c:v>
                </c:pt>
                <c:pt idx="94">
                  <c:v>2.7570770162623343E-2</c:v>
                </c:pt>
                <c:pt idx="95">
                  <c:v>2.685126051645173E-2</c:v>
                </c:pt>
                <c:pt idx="96">
                  <c:v>2.6153536122879833E-2</c:v>
                </c:pt>
                <c:pt idx="97">
                  <c:v>2.547759364203454E-2</c:v>
                </c:pt>
                <c:pt idx="98">
                  <c:v>2.4823429891791534E-2</c:v>
                </c:pt>
                <c:pt idx="99">
                  <c:v>2.4196531070015476E-2</c:v>
                </c:pt>
                <c:pt idx="100">
                  <c:v>2.3582502116246584E-2</c:v>
                </c:pt>
                <c:pt idx="101">
                  <c:v>2.2981343056553073E-2</c:v>
                </c:pt>
                <c:pt idx="102">
                  <c:v>2.2393054168071441E-2</c:v>
                </c:pt>
                <c:pt idx="103">
                  <c:v>2.1817635937436672E-2</c:v>
                </c:pt>
                <c:pt idx="104">
                  <c:v>2.1255089019743545E-2</c:v>
                </c:pt>
                <c:pt idx="105">
                  <c:v>2.0705414197015323E-2</c:v>
                </c:pt>
                <c:pt idx="106">
                  <c:v>2.016861233694224E-2</c:v>
                </c:pt>
                <c:pt idx="107">
                  <c:v>1.9651019049975699E-2</c:v>
                </c:pt>
                <c:pt idx="108">
                  <c:v>1.9145243084594154E-2</c:v>
                </c:pt>
                <c:pt idx="109">
                  <c:v>1.8651285735724485E-2</c:v>
                </c:pt>
                <c:pt idx="110">
                  <c:v>1.8169200018326913E-2</c:v>
                </c:pt>
                <c:pt idx="111">
                  <c:v>1.7699034780359359E-2</c:v>
                </c:pt>
                <c:pt idx="112">
                  <c:v>1.7240785131900027E-2</c:v>
                </c:pt>
                <c:pt idx="113">
                  <c:v>1.6801061322052505E-2</c:v>
                </c:pt>
                <c:pt idx="114">
                  <c:v>1.637437889836987E-2</c:v>
                </c:pt>
                <c:pt idx="115">
                  <c:v>1.596073230209968E-2</c:v>
                </c:pt>
                <c:pt idx="116">
                  <c:v>1.5560115940636055E-2</c:v>
                </c:pt>
                <c:pt idx="117">
                  <c:v>1.5172524159342796E-2</c:v>
                </c:pt>
                <c:pt idx="118">
                  <c:v>1.4797951213209133E-2</c:v>
                </c:pt>
                <c:pt idx="119">
                  <c:v>1.4436391238553366E-2</c:v>
                </c:pt>
                <c:pt idx="120">
                  <c:v>1.4087838224703768E-2</c:v>
                </c:pt>
                <c:pt idx="121">
                  <c:v>1.3759176971786351E-2</c:v>
                </c:pt>
                <c:pt idx="122">
                  <c:v>1.3444081886618676E-2</c:v>
                </c:pt>
                <c:pt idx="123">
                  <c:v>1.3142545742206378E-2</c:v>
                </c:pt>
                <c:pt idx="124">
                  <c:v>1.2854561020755627E-2</c:v>
                </c:pt>
                <c:pt idx="125">
                  <c:v>1.2580119884224772E-2</c:v>
                </c:pt>
                <c:pt idx="126">
                  <c:v>1.2319214144690062E-2</c:v>
                </c:pt>
                <c:pt idx="127">
                  <c:v>1.2072226902553962E-2</c:v>
                </c:pt>
                <c:pt idx="128">
                  <c:v>1.1832559200713674E-2</c:v>
                </c:pt>
                <c:pt idx="129">
                  <c:v>1.1600207469341843E-2</c:v>
                </c:pt>
                <c:pt idx="130">
                  <c:v>1.1375167984152328E-2</c:v>
                </c:pt>
                <c:pt idx="131">
                  <c:v>1.1157436850319712E-2</c:v>
                </c:pt>
                <c:pt idx="132">
                  <c:v>1.0947009986518534E-2</c:v>
                </c:pt>
                <c:pt idx="133">
                  <c:v>1.0743883109030494E-2</c:v>
                </c:pt>
                <c:pt idx="134">
                  <c:v>1.0548051715790452E-2</c:v>
                </c:pt>
                <c:pt idx="135">
                  <c:v>1.0359685212139117E-2</c:v>
                </c:pt>
                <c:pt idx="136">
                  <c:v>1.0171920120184721E-2</c:v>
                </c:pt>
                <c:pt idx="137">
                  <c:v>9.9847589945641496E-3</c:v>
                </c:pt>
                <c:pt idx="138">
                  <c:v>9.7982045175449787E-3</c:v>
                </c:pt>
                <c:pt idx="139">
                  <c:v>9.6122594980264514E-3</c:v>
                </c:pt>
                <c:pt idx="140">
                  <c:v>9.4269268699823106E-3</c:v>
                </c:pt>
                <c:pt idx="141">
                  <c:v>9.2460036280837179E-3</c:v>
                </c:pt>
                <c:pt idx="142">
                  <c:v>9.0690484858008576E-3</c:v>
                </c:pt>
                <c:pt idx="143">
                  <c:v>8.8960230414897069E-3</c:v>
                </c:pt>
                <c:pt idx="144">
                  <c:v>8.7269442297131065E-3</c:v>
                </c:pt>
                <c:pt idx="145">
                  <c:v>8.5618276129275171E-3</c:v>
                </c:pt>
                <c:pt idx="146">
                  <c:v>8.4006874346265904E-3</c:v>
                </c:pt>
                <c:pt idx="147">
                  <c:v>8.2435366727797634E-3</c:v>
                </c:pt>
                <c:pt idx="148">
                  <c:v>8.090387093060477E-3</c:v>
                </c:pt>
                <c:pt idx="149">
                  <c:v>7.9427009609462657E-3</c:v>
                </c:pt>
                <c:pt idx="150">
                  <c:v>7.8003123291333345E-3</c:v>
                </c:pt>
                <c:pt idx="151">
                  <c:v>7.6632273165946852E-3</c:v>
                </c:pt>
                <c:pt idx="152">
                  <c:v>7.5314509799691053E-3</c:v>
                </c:pt>
                <c:pt idx="153">
                  <c:v>7.4049873840653759E-3</c:v>
                </c:pt>
                <c:pt idx="154">
                  <c:v>7.2838396724097783E-3</c:v>
                </c:pt>
                <c:pt idx="155">
                  <c:v>7.1717621563049394E-3</c:v>
                </c:pt>
                <c:pt idx="156">
                  <c:v>7.0649870593299151E-3</c:v>
                </c:pt>
                <c:pt idx="157">
                  <c:v>6.9635151797795454E-3</c:v>
                </c:pt>
                <c:pt idx="158">
                  <c:v>6.8673466972304234E-3</c:v>
                </c:pt>
                <c:pt idx="159">
                  <c:v>6.7764812428685985E-3</c:v>
                </c:pt>
                <c:pt idx="160">
                  <c:v>6.690917969902792E-3</c:v>
                </c:pt>
                <c:pt idx="161">
                  <c:v>6.6106556238991511E-3</c:v>
                </c:pt>
                <c:pt idx="162">
                  <c:v>6.5356926131534647E-3</c:v>
                </c:pt>
                <c:pt idx="163">
                  <c:v>6.468907027161898E-3</c:v>
                </c:pt>
                <c:pt idx="164">
                  <c:v>6.4088532884957186E-3</c:v>
                </c:pt>
                <c:pt idx="165">
                  <c:v>6.3555266622527728E-3</c:v>
                </c:pt>
                <c:pt idx="166">
                  <c:v>6.3089224573348182E-3</c:v>
                </c:pt>
                <c:pt idx="167">
                  <c:v>6.2690361163143206E-3</c:v>
                </c:pt>
                <c:pt idx="168">
                  <c:v>6.2358633055042715E-3</c:v>
                </c:pt>
                <c:pt idx="169">
                  <c:v>6.2122697514279497E-3</c:v>
                </c:pt>
                <c:pt idx="170">
                  <c:v>6.1945292692134274E-3</c:v>
                </c:pt>
                <c:pt idx="171">
                  <c:v>6.1826402321259778E-3</c:v>
                </c:pt>
                <c:pt idx="172">
                  <c:v>6.176601521223981E-3</c:v>
                </c:pt>
                <c:pt idx="173">
                  <c:v>6.1763494435964099E-3</c:v>
                </c:pt>
                <c:pt idx="174">
                  <c:v>6.1818173937805906E-3</c:v>
                </c:pt>
                <c:pt idx="175">
                  <c:v>6.1930003199358284E-3</c:v>
                </c:pt>
                <c:pt idx="176">
                  <c:v>6.2098932080106731E-3</c:v>
                </c:pt>
                <c:pt idx="177">
                  <c:v>6.2361957350666464E-3</c:v>
                </c:pt>
                <c:pt idx="178">
                  <c:v>6.2690409611903183E-3</c:v>
                </c:pt>
                <c:pt idx="179">
                  <c:v>6.3084229501748079E-3</c:v>
                </c:pt>
                <c:pt idx="180">
                  <c:v>6.3543359630079017E-3</c:v>
                </c:pt>
                <c:pt idx="181">
                  <c:v>6.4067744963619755E-3</c:v>
                </c:pt>
                <c:pt idx="182">
                  <c:v>6.4657333211387107E-3</c:v>
                </c:pt>
                <c:pt idx="183">
                  <c:v>6.5326314032211662E-3</c:v>
                </c:pt>
                <c:pt idx="184">
                  <c:v>6.6046139806559762E-3</c:v>
                </c:pt>
                <c:pt idx="185">
                  <c:v>6.6816789217438131E-3</c:v>
                </c:pt>
                <c:pt idx="186">
                  <c:v>6.7638244683020975E-3</c:v>
                </c:pt>
                <c:pt idx="187">
                  <c:v>6.851049265823716E-3</c:v>
                </c:pt>
                <c:pt idx="188">
                  <c:v>6.9433523936777942E-3</c:v>
                </c:pt>
                <c:pt idx="189">
                  <c:v>7.0407333951012958E-3</c:v>
                </c:pt>
                <c:pt idx="190">
                  <c:v>7.1431923074835105E-3</c:v>
                </c:pt>
                <c:pt idx="191">
                  <c:v>7.2544223160361113E-3</c:v>
                </c:pt>
                <c:pt idx="192">
                  <c:v>7.3707411648816822E-3</c:v>
                </c:pt>
                <c:pt idx="193">
                  <c:v>7.4921506609598029E-3</c:v>
                </c:pt>
                <c:pt idx="194">
                  <c:v>7.6186532353059383E-3</c:v>
                </c:pt>
                <c:pt idx="195">
                  <c:v>7.7502519734219113E-3</c:v>
                </c:pt>
                <c:pt idx="196">
                  <c:v>7.8869506453597797E-3</c:v>
                </c:pt>
                <c:pt idx="197">
                  <c:v>8.0289224259758978E-3</c:v>
                </c:pt>
                <c:pt idx="198">
                  <c:v>8.1747573872333161E-3</c:v>
                </c:pt>
                <c:pt idx="199">
                  <c:v>8.3244627564452757E-3</c:v>
                </c:pt>
                <c:pt idx="200">
                  <c:v>8.4780464536264293E-3</c:v>
                </c:pt>
                <c:pt idx="201">
                  <c:v>8.6355171142363431E-3</c:v>
                </c:pt>
                <c:pt idx="202">
                  <c:v>8.7968841119649335E-3</c:v>
                </c:pt>
                <c:pt idx="203">
                  <c:v>8.9621575817137155E-3</c:v>
                </c:pt>
                <c:pt idx="204">
                  <c:v>9.1313336966954584E-3</c:v>
                </c:pt>
                <c:pt idx="205">
                  <c:v>9.3047802192817927E-3</c:v>
                </c:pt>
                <c:pt idx="206">
                  <c:v>9.4788238947710376E-3</c:v>
                </c:pt>
                <c:pt idx="207">
                  <c:v>9.6534687615226263E-3</c:v>
                </c:pt>
                <c:pt idx="208">
                  <c:v>9.828718683907868E-3</c:v>
                </c:pt>
                <c:pt idx="209">
                  <c:v>1.0004577350494414E-2</c:v>
                </c:pt>
                <c:pt idx="210">
                  <c:v>1.0181048272558642E-2</c:v>
                </c:pt>
                <c:pt idx="211">
                  <c:v>1.0364758405151196E-2</c:v>
                </c:pt>
                <c:pt idx="212">
                  <c:v>1.0555540023841833E-2</c:v>
                </c:pt>
                <c:pt idx="213">
                  <c:v>1.0753393852261782E-2</c:v>
                </c:pt>
                <c:pt idx="214">
                  <c:v>1.0958320867725841E-2</c:v>
                </c:pt>
                <c:pt idx="215">
                  <c:v>1.1170322279527285E-2</c:v>
                </c:pt>
                <c:pt idx="216">
                  <c:v>1.1389399507195357E-2</c:v>
                </c:pt>
                <c:pt idx="217">
                  <c:v>1.1615554158796606E-2</c:v>
                </c:pt>
                <c:pt idx="218">
                  <c:v>1.184878800917461E-2</c:v>
                </c:pt>
                <c:pt idx="219">
                  <c:v>1.2095444397672543E-2</c:v>
                </c:pt>
                <c:pt idx="220">
                  <c:v>1.2355147560513187E-2</c:v>
                </c:pt>
                <c:pt idx="221">
                  <c:v>1.2627899021413742E-2</c:v>
                </c:pt>
                <c:pt idx="222">
                  <c:v>1.2913700699458691E-2</c:v>
                </c:pt>
                <c:pt idx="223">
                  <c:v>1.3212554869043871E-2</c:v>
                </c:pt>
                <c:pt idx="224">
                  <c:v>1.352446411952163E-2</c:v>
                </c:pt>
                <c:pt idx="225">
                  <c:v>1.3855495691551693E-2</c:v>
                </c:pt>
                <c:pt idx="226">
                  <c:v>1.4199035622518572E-2</c:v>
                </c:pt>
                <c:pt idx="227">
                  <c:v>1.4555087333040275E-2</c:v>
                </c:pt>
                <c:pt idx="228">
                  <c:v>1.4923654366339764E-2</c:v>
                </c:pt>
                <c:pt idx="229">
                  <c:v>1.5304740349523713E-2</c:v>
                </c:pt>
                <c:pt idx="230">
                  <c:v>1.5698348955085366E-2</c:v>
                </c:pt>
                <c:pt idx="231">
                  <c:v>1.6104483862471635E-2</c:v>
                </c:pt>
                <c:pt idx="232">
                  <c:v>1.6523148719315317E-2</c:v>
                </c:pt>
                <c:pt idx="233">
                  <c:v>1.6959597102454042E-2</c:v>
                </c:pt>
                <c:pt idx="234">
                  <c:v>1.7407491633461294E-2</c:v>
                </c:pt>
                <c:pt idx="235">
                  <c:v>1.7866849955025823E-2</c:v>
                </c:pt>
                <c:pt idx="236">
                  <c:v>1.8337696959285023E-2</c:v>
                </c:pt>
                <c:pt idx="237">
                  <c:v>1.8820047383732823E-2</c:v>
                </c:pt>
                <c:pt idx="238">
                  <c:v>1.9313916763454161E-2</c:v>
                </c:pt>
                <c:pt idx="239">
                  <c:v>1.982640014865961E-2</c:v>
                </c:pt>
                <c:pt idx="240">
                  <c:v>2.0351448306664605E-2</c:v>
                </c:pt>
                <c:pt idx="241">
                  <c:v>2.0889079739153268E-2</c:v>
                </c:pt>
                <c:pt idx="242">
                  <c:v>2.1439313876968E-2</c:v>
                </c:pt>
                <c:pt idx="243">
                  <c:v>2.2002171102058071E-2</c:v>
                </c:pt>
                <c:pt idx="244">
                  <c:v>2.2577672769326044E-2</c:v>
                </c:pt>
                <c:pt idx="245">
                  <c:v>2.3165841228242248E-2</c:v>
                </c:pt>
                <c:pt idx="246">
                  <c:v>2.3766699844399056E-2</c:v>
                </c:pt>
                <c:pt idx="247">
                  <c:v>2.4394055619059104E-2</c:v>
                </c:pt>
                <c:pt idx="248">
                  <c:v>2.5042682630096944E-2</c:v>
                </c:pt>
                <c:pt idx="249">
                  <c:v>2.5712611963901316E-2</c:v>
                </c:pt>
                <c:pt idx="250">
                  <c:v>2.6403876284598268E-2</c:v>
                </c:pt>
                <c:pt idx="251">
                  <c:v>2.7116509871520558E-2</c:v>
                </c:pt>
                <c:pt idx="252">
                  <c:v>2.7850548655599525E-2</c:v>
                </c:pt>
                <c:pt idx="253">
                  <c:v>2.8620117951542106E-2</c:v>
                </c:pt>
                <c:pt idx="254">
                  <c:v>2.941817165064875E-2</c:v>
                </c:pt>
                <c:pt idx="255">
                  <c:v>3.0244755898743699E-2</c:v>
                </c:pt>
                <c:pt idx="256">
                  <c:v>3.1099919075960224E-2</c:v>
                </c:pt>
                <c:pt idx="257">
                  <c:v>3.1983711845597791E-2</c:v>
                </c:pt>
                <c:pt idx="258">
                  <c:v>3.2896187203251402E-2</c:v>
                </c:pt>
                <c:pt idx="259">
                  <c:v>3.3837400526411765E-2</c:v>
                </c:pt>
                <c:pt idx="260">
                  <c:v>3.4807409623087412E-2</c:v>
                </c:pt>
                <c:pt idx="261">
                  <c:v>3.5825655767169888E-2</c:v>
                </c:pt>
                <c:pt idx="262">
                  <c:v>3.6878390394043802E-2</c:v>
                </c:pt>
                <c:pt idx="263">
                  <c:v>3.7965684650867394E-2</c:v>
                </c:pt>
                <c:pt idx="264">
                  <c:v>3.9087614586333357E-2</c:v>
                </c:pt>
                <c:pt idx="265">
                  <c:v>4.0244475204970785E-2</c:v>
                </c:pt>
                <c:pt idx="266">
                  <c:v>4.1436481438891982E-2</c:v>
                </c:pt>
                <c:pt idx="267">
                  <c:v>4.2727668847203061E-2</c:v>
                </c:pt>
                <c:pt idx="268">
                  <c:v>4.4104021627335115E-2</c:v>
                </c:pt>
                <c:pt idx="269">
                  <c:v>4.5565660217520704E-2</c:v>
                </c:pt>
                <c:pt idx="270">
                  <c:v>4.7112707278062278E-2</c:v>
                </c:pt>
                <c:pt idx="271">
                  <c:v>4.8745286771636996E-2</c:v>
                </c:pt>
                <c:pt idx="272">
                  <c:v>5.0463523044801929E-2</c:v>
                </c:pt>
                <c:pt idx="273">
                  <c:v>5.2267539908905848E-2</c:v>
                </c:pt>
                <c:pt idx="274">
                  <c:v>5.4157459721646005E-2</c:v>
                </c:pt>
                <c:pt idx="275">
                  <c:v>5.6179849205128023E-2</c:v>
                </c:pt>
                <c:pt idx="276">
                  <c:v>5.8315396110131333E-2</c:v>
                </c:pt>
                <c:pt idx="277">
                  <c:v>6.0564254470291672E-2</c:v>
                </c:pt>
                <c:pt idx="278">
                  <c:v>6.2926574092362617E-2</c:v>
                </c:pt>
                <c:pt idx="279">
                  <c:v>6.5402499341243009E-2</c:v>
                </c:pt>
                <c:pt idx="280">
                  <c:v>6.7992167925593386E-2</c:v>
                </c:pt>
                <c:pt idx="281">
                  <c:v>7.0668964850149299E-2</c:v>
                </c:pt>
                <c:pt idx="282">
                  <c:v>7.3368537656446797E-2</c:v>
                </c:pt>
                <c:pt idx="283">
                  <c:v>7.609085367375841E-2</c:v>
                </c:pt>
                <c:pt idx="284">
                  <c:v>7.8835868696473077E-2</c:v>
                </c:pt>
                <c:pt idx="285">
                  <c:v>8.1603526766644535E-2</c:v>
                </c:pt>
                <c:pt idx="286">
                  <c:v>8.4393759957292105E-2</c:v>
                </c:pt>
                <c:pt idx="287">
                  <c:v>8.7206488154943376E-2</c:v>
                </c:pt>
                <c:pt idx="288">
                  <c:v>9.004161884246048E-2</c:v>
                </c:pt>
                <c:pt idx="289">
                  <c:v>9.2867281961072204E-2</c:v>
                </c:pt>
                <c:pt idx="290">
                  <c:v>9.5636506802840707E-2</c:v>
                </c:pt>
                <c:pt idx="291">
                  <c:v>9.8349047024066993E-2</c:v>
                </c:pt>
                <c:pt idx="292">
                  <c:v>0.10100464713936014</c:v>
                </c:pt>
                <c:pt idx="293">
                  <c:v>0.10360304316094406</c:v>
                </c:pt>
                <c:pt idx="294">
                  <c:v>0.10614396323761066</c:v>
                </c:pt>
                <c:pt idx="295">
                  <c:v>0.10863158309096044</c:v>
                </c:pt>
                <c:pt idx="296">
                  <c:v>0.11109391348722865</c:v>
                </c:pt>
                <c:pt idx="297">
                  <c:v>0.11353174663887496</c:v>
                </c:pt>
                <c:pt idx="298">
                  <c:v>0.11594498640380028</c:v>
                </c:pt>
                <c:pt idx="299">
                  <c:v>0.11833352691301657</c:v>
                </c:pt>
                <c:pt idx="300">
                  <c:v>0.12069725282417791</c:v>
                </c:pt>
                <c:pt idx="301">
                  <c:v>0.12303603957476257</c:v>
                </c:pt>
                <c:pt idx="302">
                  <c:v>0.12534975363551934</c:v>
                </c:pt>
                <c:pt idx="303">
                  <c:v>0.12764515163616053</c:v>
                </c:pt>
                <c:pt idx="304">
                  <c:v>0.12995408304612677</c:v>
                </c:pt>
                <c:pt idx="305">
                  <c:v>0.13227644445812389</c:v>
                </c:pt>
                <c:pt idx="306">
                  <c:v>0.13461212412640364</c:v>
                </c:pt>
                <c:pt idx="307">
                  <c:v>0.13696100186244639</c:v>
                </c:pt>
                <c:pt idx="308">
                  <c:v>0.13932294892950117</c:v>
                </c:pt>
                <c:pt idx="309">
                  <c:v>0.1416401919232177</c:v>
                </c:pt>
                <c:pt idx="310">
                  <c:v>0.14390803056746118</c:v>
                </c:pt>
                <c:pt idx="311">
                  <c:v>0.14612622675328246</c:v>
                </c:pt>
                <c:pt idx="312">
                  <c:v>0.14829453624275693</c:v>
                </c:pt>
                <c:pt idx="313">
                  <c:v>0.15041270913522117</c:v>
                </c:pt>
                <c:pt idx="314">
                  <c:v>0.15248049033216979</c:v>
                </c:pt>
                <c:pt idx="315">
                  <c:v>0.15449762000403272</c:v>
                </c:pt>
                <c:pt idx="316">
                  <c:v>0.15646383405462452</c:v>
                </c:pt>
                <c:pt idx="317">
                  <c:v>0.15830525784210944</c:v>
                </c:pt>
                <c:pt idx="318">
                  <c:v>0.16001459097381132</c:v>
                </c:pt>
                <c:pt idx="319">
                  <c:v>0.16159147330418649</c:v>
                </c:pt>
                <c:pt idx="320">
                  <c:v>0.16303554948413276</c:v>
                </c:pt>
                <c:pt idx="321">
                  <c:v>0.16434647016402462</c:v>
                </c:pt>
                <c:pt idx="322">
                  <c:v>0.16552389319747177</c:v>
                </c:pt>
                <c:pt idx="323">
                  <c:v>0.16651398285774924</c:v>
                </c:pt>
                <c:pt idx="324">
                  <c:v>0.1673743396177326</c:v>
                </c:pt>
                <c:pt idx="325">
                  <c:v>0.16810464695504948</c:v>
                </c:pt>
                <c:pt idx="326">
                  <c:v>0.16870355061838516</c:v>
                </c:pt>
                <c:pt idx="327">
                  <c:v>0.16917039930333011</c:v>
                </c:pt>
                <c:pt idx="328">
                  <c:v>0.16950542686308015</c:v>
                </c:pt>
                <c:pt idx="329">
                  <c:v>0.16970889089935978</c:v>
                </c:pt>
                <c:pt idx="330">
                  <c:v>0.16978107010963164</c:v>
                </c:pt>
                <c:pt idx="331">
                  <c:v>0.1696889825381693</c:v>
                </c:pt>
                <c:pt idx="332">
                  <c:v>0.16950681650087529</c:v>
                </c:pt>
                <c:pt idx="333">
                  <c:v>0.16923490962975282</c:v>
                </c:pt>
                <c:pt idx="334">
                  <c:v>0.16887360622032122</c:v>
                </c:pt>
                <c:pt idx="335">
                  <c:v>0.16842325542611278</c:v>
                </c:pt>
                <c:pt idx="336">
                  <c:v>0.1678842094509401</c:v>
                </c:pt>
                <c:pt idx="337">
                  <c:v>0.16726931316655103</c:v>
                </c:pt>
                <c:pt idx="338">
                  <c:v>0.16663253052413726</c:v>
                </c:pt>
                <c:pt idx="339">
                  <c:v>0.16597421682873012</c:v>
                </c:pt>
                <c:pt idx="340">
                  <c:v>0.16529472248226912</c:v>
                </c:pt>
                <c:pt idx="341">
                  <c:v>0.16459439255176075</c:v>
                </c:pt>
                <c:pt idx="342">
                  <c:v>0.16387356633729139</c:v>
                </c:pt>
                <c:pt idx="343">
                  <c:v>0.16313257693805813</c:v>
                </c:pt>
                <c:pt idx="344">
                  <c:v>0.16237175082098843</c:v>
                </c:pt>
                <c:pt idx="345">
                  <c:v>0.16159140738762431</c:v>
                </c:pt>
                <c:pt idx="346">
                  <c:v>0.16087265925001926</c:v>
                </c:pt>
                <c:pt idx="347">
                  <c:v>0.1602158264811768</c:v>
                </c:pt>
                <c:pt idx="348">
                  <c:v>0.15962122784064217</c:v>
                </c:pt>
                <c:pt idx="349">
                  <c:v>0.15908918202025948</c:v>
                </c:pt>
                <c:pt idx="350">
                  <c:v>0.1586200088936717</c:v>
                </c:pt>
                <c:pt idx="351">
                  <c:v>0.15826155388514507</c:v>
                </c:pt>
                <c:pt idx="352">
                  <c:v>0.15800166252630085</c:v>
                </c:pt>
                <c:pt idx="353">
                  <c:v>0.15784068867355475</c:v>
                </c:pt>
                <c:pt idx="354">
                  <c:v>0.15777899842352708</c:v>
                </c:pt>
                <c:pt idx="355">
                  <c:v>0.15781697207988213</c:v>
                </c:pt>
                <c:pt idx="356">
                  <c:v>0.15795511528421047</c:v>
                </c:pt>
                <c:pt idx="357">
                  <c:v>0.15819349066079724</c:v>
                </c:pt>
                <c:pt idx="358">
                  <c:v>0.15853179706079901</c:v>
                </c:pt>
                <c:pt idx="359">
                  <c:v>0.15896974750449283</c:v>
                </c:pt>
                <c:pt idx="360">
                  <c:v>0.15951959862594844</c:v>
                </c:pt>
                <c:pt idx="361">
                  <c:v>0.16013344077727254</c:v>
                </c:pt>
                <c:pt idx="362">
                  <c:v>0.16081097099244826</c:v>
                </c:pt>
                <c:pt idx="363">
                  <c:v>0.16155188716820226</c:v>
                </c:pt>
                <c:pt idx="364">
                  <c:v>0.16235588652682462</c:v>
                </c:pt>
                <c:pt idx="365">
                  <c:v>0.16322266407705069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0.19550282615128889</c:v>
                </c:pt>
                <c:pt idx="1">
                  <c:v>0.19656844863568221</c:v>
                </c:pt>
                <c:pt idx="2">
                  <c:v>0.1977064276546838</c:v>
                </c:pt>
                <c:pt idx="3">
                  <c:v>0.19891637543184984</c:v>
                </c:pt>
                <c:pt idx="4">
                  <c:v>0.20019789463326967</c:v>
                </c:pt>
                <c:pt idx="5">
                  <c:v>0.20155057657489997</c:v>
                </c:pt>
                <c:pt idx="6">
                  <c:v>0.20297399943247355</c:v>
                </c:pt>
                <c:pt idx="7">
                  <c:v>0.20446772644689612</c:v>
                </c:pt>
                <c:pt idx="8">
                  <c:v>0.20603130413242224</c:v>
                </c:pt>
                <c:pt idx="9">
                  <c:v>0.20758097383926874</c:v>
                </c:pt>
                <c:pt idx="10">
                  <c:v>0.20906122953133729</c:v>
                </c:pt>
                <c:pt idx="11">
                  <c:v>0.2104713888466021</c:v>
                </c:pt>
                <c:pt idx="12">
                  <c:v>0.21181076249406791</c:v>
                </c:pt>
                <c:pt idx="13">
                  <c:v>0.21307865597520689</c:v>
                </c:pt>
                <c:pt idx="14">
                  <c:v>0.21427437130173987</c:v>
                </c:pt>
                <c:pt idx="15">
                  <c:v>0.21529790069194168</c:v>
                </c:pt>
                <c:pt idx="16">
                  <c:v>0.21613281582732047</c:v>
                </c:pt>
                <c:pt idx="17">
                  <c:v>0.21677833850294928</c:v>
                </c:pt>
                <c:pt idx="18">
                  <c:v>0.21723371879220824</c:v>
                </c:pt>
                <c:pt idx="19">
                  <c:v>0.21749945286974726</c:v>
                </c:pt>
                <c:pt idx="20">
                  <c:v>0.2175766243730409</c:v>
                </c:pt>
                <c:pt idx="21">
                  <c:v>0.21746541009968748</c:v>
                </c:pt>
                <c:pt idx="22">
                  <c:v>0.21716601374120437</c:v>
                </c:pt>
                <c:pt idx="23">
                  <c:v>0.21661293450570776</c:v>
                </c:pt>
                <c:pt idx="24">
                  <c:v>0.21589001675381433</c:v>
                </c:pt>
                <c:pt idx="25">
                  <c:v>0.21499753802210289</c:v>
                </c:pt>
                <c:pt idx="26">
                  <c:v>0.21393579127298198</c:v>
                </c:pt>
                <c:pt idx="27">
                  <c:v>0.21270508282708347</c:v>
                </c:pt>
                <c:pt idx="28">
                  <c:v>0.21130573030029021</c:v>
                </c:pt>
                <c:pt idx="29">
                  <c:v>0.20970097334135651</c:v>
                </c:pt>
                <c:pt idx="30">
                  <c:v>0.20799062162833101</c:v>
                </c:pt>
                <c:pt idx="31">
                  <c:v>0.20617500897169216</c:v>
                </c:pt>
                <c:pt idx="32">
                  <c:v>0.20425446792750671</c:v>
                </c:pt>
                <c:pt idx="33">
                  <c:v>0.20222932851153363</c:v>
                </c:pt>
                <c:pt idx="34">
                  <c:v>0.20009991691426268</c:v>
                </c:pt>
                <c:pt idx="35">
                  <c:v>0.19786655421576127</c:v>
                </c:pt>
                <c:pt idx="36">
                  <c:v>0.19552955510009698</c:v>
                </c:pt>
                <c:pt idx="37">
                  <c:v>0.19307597714044275</c:v>
                </c:pt>
                <c:pt idx="38">
                  <c:v>0.19057182732641806</c:v>
                </c:pt>
                <c:pt idx="39">
                  <c:v>0.18801737964105544</c:v>
                </c:pt>
                <c:pt idx="40">
                  <c:v>0.18541289616131185</c:v>
                </c:pt>
                <c:pt idx="41">
                  <c:v>0.18275862642986648</c:v>
                </c:pt>
                <c:pt idx="42">
                  <c:v>0.18005480682557795</c:v>
                </c:pt>
                <c:pt idx="43">
                  <c:v>0.17724600071040972</c:v>
                </c:pt>
                <c:pt idx="44">
                  <c:v>0.17436947746899514</c:v>
                </c:pt>
                <c:pt idx="45">
                  <c:v>0.1714254335275065</c:v>
                </c:pt>
                <c:pt idx="46">
                  <c:v>0.16841404861989287</c:v>
                </c:pt>
                <c:pt idx="47">
                  <c:v>0.16533548492694974</c:v>
                </c:pt>
                <c:pt idx="48">
                  <c:v>0.16218988621313143</c:v>
                </c:pt>
                <c:pt idx="49">
                  <c:v>0.15897737696491046</c:v>
                </c:pt>
                <c:pt idx="50">
                  <c:v>0.15569806152811858</c:v>
                </c:pt>
                <c:pt idx="51">
                  <c:v>0.15231559901933978</c:v>
                </c:pt>
                <c:pt idx="52">
                  <c:v>0.14884246985683586</c:v>
                </c:pt>
                <c:pt idx="53">
                  <c:v>0.14527781335148218</c:v>
                </c:pt>
                <c:pt idx="54">
                  <c:v>0.14162154392191462</c:v>
                </c:pt>
                <c:pt idx="55">
                  <c:v>0.13787357974222553</c:v>
                </c:pt>
                <c:pt idx="56">
                  <c:v>0.13403384308249597</c:v>
                </c:pt>
                <c:pt idx="57">
                  <c:v>0.13016240033655388</c:v>
                </c:pt>
                <c:pt idx="58">
                  <c:v>0.12631481917890761</c:v>
                </c:pt>
                <c:pt idx="59">
                  <c:v>0.1224910385918878</c:v>
                </c:pt>
                <c:pt idx="60">
                  <c:v>0.11869100338062882</c:v>
                </c:pt>
                <c:pt idx="61">
                  <c:v>0.11491466408536843</c:v>
                </c:pt>
                <c:pt idx="62">
                  <c:v>0.11116197689357393</c:v>
                </c:pt>
                <c:pt idx="63">
                  <c:v>0.10743290355241558</c:v>
                </c:pt>
                <c:pt idx="64">
                  <c:v>0.10372741128078578</c:v>
                </c:pt>
                <c:pt idx="65">
                  <c:v>0.10011573565606707</c:v>
                </c:pt>
                <c:pt idx="66">
                  <c:v>9.6634281030966732E-2</c:v>
                </c:pt>
                <c:pt idx="67">
                  <c:v>9.3283030484825946E-2</c:v>
                </c:pt>
                <c:pt idx="68">
                  <c:v>9.0061970637431751E-2</c:v>
                </c:pt>
                <c:pt idx="69">
                  <c:v>8.6971091166279615E-2</c:v>
                </c:pt>
                <c:pt idx="70">
                  <c:v>8.4010384324289478E-2</c:v>
                </c:pt>
                <c:pt idx="71">
                  <c:v>8.1213562381239182E-2</c:v>
                </c:pt>
                <c:pt idx="72">
                  <c:v>7.8520479069459651E-2</c:v>
                </c:pt>
                <c:pt idx="73">
                  <c:v>7.5931132496137865E-2</c:v>
                </c:pt>
                <c:pt idx="74">
                  <c:v>7.3445522081850095E-2</c:v>
                </c:pt>
                <c:pt idx="75">
                  <c:v>7.1063648176005134E-2</c:v>
                </c:pt>
                <c:pt idx="76">
                  <c:v>6.8785511672052255E-2</c:v>
                </c:pt>
                <c:pt idx="77">
                  <c:v>6.6611113622927501E-2</c:v>
                </c:pt>
                <c:pt idx="78">
                  <c:v>6.4540456999072571E-2</c:v>
                </c:pt>
                <c:pt idx="79">
                  <c:v>6.2598770826960123E-2</c:v>
                </c:pt>
                <c:pt idx="80">
                  <c:v>6.0715953431355968E-2</c:v>
                </c:pt>
                <c:pt idx="81">
                  <c:v>5.8891977978748435E-2</c:v>
                </c:pt>
                <c:pt idx="82">
                  <c:v>5.7126819874976309E-2</c:v>
                </c:pt>
                <c:pt idx="83">
                  <c:v>5.5420456577163789E-2</c:v>
                </c:pt>
                <c:pt idx="84">
                  <c:v>5.3772867405844187E-2</c:v>
                </c:pt>
                <c:pt idx="85">
                  <c:v>5.2207037811567443E-2</c:v>
                </c:pt>
                <c:pt idx="86">
                  <c:v>5.0689248629328838E-2</c:v>
                </c:pt>
                <c:pt idx="87">
                  <c:v>4.9219485290954122E-2</c:v>
                </c:pt>
                <c:pt idx="88">
                  <c:v>4.7797734477998545E-2</c:v>
                </c:pt>
                <c:pt idx="89">
                  <c:v>4.6423983968028021E-2</c:v>
                </c:pt>
                <c:pt idx="90">
                  <c:v>4.5098222480802565E-2</c:v>
                </c:pt>
                <c:pt idx="91">
                  <c:v>4.3820439524638516E-2</c:v>
                </c:pt>
                <c:pt idx="92">
                  <c:v>4.2590625242639728E-2</c:v>
                </c:pt>
                <c:pt idx="93">
                  <c:v>4.1421831475055688E-2</c:v>
                </c:pt>
                <c:pt idx="94">
                  <c:v>4.0289084994574238E-2</c:v>
                </c:pt>
                <c:pt idx="95">
                  <c:v>3.9192379817415191E-2</c:v>
                </c:pt>
                <c:pt idx="96">
                  <c:v>3.8131710332901678E-2</c:v>
                </c:pt>
                <c:pt idx="97">
                  <c:v>3.7107071188100721E-2</c:v>
                </c:pt>
                <c:pt idx="98">
                  <c:v>3.6118457172107543E-2</c:v>
                </c:pt>
                <c:pt idx="99">
                  <c:v>3.5174622475303889E-2</c:v>
                </c:pt>
                <c:pt idx="100">
                  <c:v>3.42525818898365E-2</c:v>
                </c:pt>
                <c:pt idx="101">
                  <c:v>3.3352334976061188E-2</c:v>
                </c:pt>
                <c:pt idx="102">
                  <c:v>3.2473881569676642E-2</c:v>
                </c:pt>
                <c:pt idx="103">
                  <c:v>3.161722171142077E-2</c:v>
                </c:pt>
                <c:pt idx="104">
                  <c:v>3.0782355577537567E-2</c:v>
                </c:pt>
                <c:pt idx="105">
                  <c:v>2.9969283409529132E-2</c:v>
                </c:pt>
                <c:pt idx="106">
                  <c:v>2.9178005444299271E-2</c:v>
                </c:pt>
                <c:pt idx="107">
                  <c:v>2.8417755143190355E-2</c:v>
                </c:pt>
                <c:pt idx="108">
                  <c:v>2.7675490881255611E-2</c:v>
                </c:pt>
                <c:pt idx="109">
                  <c:v>2.6951214352860908E-2</c:v>
                </c:pt>
                <c:pt idx="110">
                  <c:v>2.624500192394286E-2</c:v>
                </c:pt>
                <c:pt idx="111">
                  <c:v>2.5556923799088142E-2</c:v>
                </c:pt>
                <c:pt idx="112">
                  <c:v>2.4886972486688613E-2</c:v>
                </c:pt>
                <c:pt idx="113">
                  <c:v>2.4245056704572759E-2</c:v>
                </c:pt>
                <c:pt idx="114">
                  <c:v>2.3622425464119686E-2</c:v>
                </c:pt>
                <c:pt idx="115">
                  <c:v>2.3019070551985366E-2</c:v>
                </c:pt>
                <c:pt idx="116">
                  <c:v>2.2434983697593738E-2</c:v>
                </c:pt>
                <c:pt idx="117">
                  <c:v>2.1870156531465471E-2</c:v>
                </c:pt>
                <c:pt idx="118">
                  <c:v>2.1324580543305386E-2</c:v>
                </c:pt>
                <c:pt idx="119">
                  <c:v>2.0798247040158941E-2</c:v>
                </c:pt>
                <c:pt idx="120">
                  <c:v>2.0291147104535931E-2</c:v>
                </c:pt>
                <c:pt idx="121">
                  <c:v>1.9812405583916233E-2</c:v>
                </c:pt>
                <c:pt idx="122">
                  <c:v>1.9352802985760659E-2</c:v>
                </c:pt>
                <c:pt idx="123">
                  <c:v>1.8912329336598054E-2</c:v>
                </c:pt>
                <c:pt idx="124">
                  <c:v>1.8490974266028953E-2</c:v>
                </c:pt>
                <c:pt idx="125">
                  <c:v>1.8088726965194594E-2</c:v>
                </c:pt>
                <c:pt idx="126">
                  <c:v>1.7705576144978235E-2</c:v>
                </c:pt>
                <c:pt idx="127">
                  <c:v>1.7343039264972951E-2</c:v>
                </c:pt>
                <c:pt idx="128">
                  <c:v>1.6991224565637189E-2</c:v>
                </c:pt>
                <c:pt idx="129">
                  <c:v>1.6650126915941903E-2</c:v>
                </c:pt>
                <c:pt idx="130">
                  <c:v>1.631974095948897E-2</c:v>
                </c:pt>
                <c:pt idx="131">
                  <c:v>1.6000061090965998E-2</c:v>
                </c:pt>
                <c:pt idx="132">
                  <c:v>1.5691081432773278E-2</c:v>
                </c:pt>
                <c:pt idx="133">
                  <c:v>1.5392795811748137E-2</c:v>
                </c:pt>
                <c:pt idx="134">
                  <c:v>1.5105197735801384E-2</c:v>
                </c:pt>
                <c:pt idx="135">
                  <c:v>1.4830042714280308E-2</c:v>
                </c:pt>
                <c:pt idx="136">
                  <c:v>1.455823084434045E-2</c:v>
                </c:pt>
                <c:pt idx="137">
                  <c:v>1.4289763050384124E-2</c:v>
                </c:pt>
                <c:pt idx="138">
                  <c:v>1.402464029234027E-2</c:v>
                </c:pt>
                <c:pt idx="139">
                  <c:v>1.3762863558780069E-2</c:v>
                </c:pt>
                <c:pt idx="140">
                  <c:v>1.3504433859233821E-2</c:v>
                </c:pt>
                <c:pt idx="141">
                  <c:v>1.3254167534823088E-2</c:v>
                </c:pt>
                <c:pt idx="142">
                  <c:v>1.3010466814073087E-2</c:v>
                </c:pt>
                <c:pt idx="143">
                  <c:v>1.2773274859274411E-2</c:v>
                </c:pt>
                <c:pt idx="144">
                  <c:v>1.2542614045264444E-2</c:v>
                </c:pt>
                <c:pt idx="145">
                  <c:v>1.2318504734544551E-2</c:v>
                </c:pt>
                <c:pt idx="146">
                  <c:v>1.2100965365357439E-2</c:v>
                </c:pt>
                <c:pt idx="147">
                  <c:v>1.1890012540188635E-2</c:v>
                </c:pt>
                <c:pt idx="148">
                  <c:v>1.1685661113965537E-2</c:v>
                </c:pt>
                <c:pt idx="149">
                  <c:v>1.1489794330562179E-2</c:v>
                </c:pt>
                <c:pt idx="150">
                  <c:v>1.1300670735822164E-2</c:v>
                </c:pt>
                <c:pt idx="151">
                  <c:v>1.1118300199290573E-2</c:v>
                </c:pt>
                <c:pt idx="152">
                  <c:v>1.0942691199597523E-2</c:v>
                </c:pt>
                <c:pt idx="153">
                  <c:v>1.0773850914309475E-2</c:v>
                </c:pt>
                <c:pt idx="154">
                  <c:v>1.0611785309843165E-2</c:v>
                </c:pt>
                <c:pt idx="155">
                  <c:v>1.0461480594292062E-2</c:v>
                </c:pt>
                <c:pt idx="156">
                  <c:v>1.0318156132450662E-2</c:v>
                </c:pt>
                <c:pt idx="157">
                  <c:v>1.0181814372896942E-2</c:v>
                </c:pt>
                <c:pt idx="158">
                  <c:v>1.0052456938213541E-2</c:v>
                </c:pt>
                <c:pt idx="159">
                  <c:v>9.9300847175810801E-3</c:v>
                </c:pt>
                <c:pt idx="160">
                  <c:v>9.8146979594965923E-3</c:v>
                </c:pt>
                <c:pt idx="161">
                  <c:v>9.7062963643771583E-3</c:v>
                </c:pt>
                <c:pt idx="162">
                  <c:v>9.6048791772183669E-3</c:v>
                </c:pt>
                <c:pt idx="163">
                  <c:v>9.5143598476003666E-3</c:v>
                </c:pt>
                <c:pt idx="164">
                  <c:v>9.4328770430819105E-3</c:v>
                </c:pt>
                <c:pt idx="165">
                  <c:v>9.3604255410494591E-3</c:v>
                </c:pt>
                <c:pt idx="166">
                  <c:v>9.2970001754174303E-3</c:v>
                </c:pt>
                <c:pt idx="167">
                  <c:v>9.2425959571631588E-3</c:v>
                </c:pt>
                <c:pt idx="168">
                  <c:v>9.1972081951609431E-3</c:v>
                </c:pt>
                <c:pt idx="169">
                  <c:v>9.1647333176949064E-3</c:v>
                </c:pt>
                <c:pt idx="170">
                  <c:v>9.1402251788627441E-3</c:v>
                </c:pt>
                <c:pt idx="171">
                  <c:v>9.1236825515062254E-3</c:v>
                </c:pt>
                <c:pt idx="172">
                  <c:v>9.1151048986862337E-3</c:v>
                </c:pt>
                <c:pt idx="173">
                  <c:v>9.1143992752055585E-3</c:v>
                </c:pt>
                <c:pt idx="174">
                  <c:v>9.1214684018983902E-3</c:v>
                </c:pt>
                <c:pt idx="175">
                  <c:v>9.1363058333976763E-3</c:v>
                </c:pt>
                <c:pt idx="176">
                  <c:v>9.1589051757078998E-3</c:v>
                </c:pt>
                <c:pt idx="177">
                  <c:v>9.1941785658258314E-3</c:v>
                </c:pt>
                <c:pt idx="178">
                  <c:v>9.2382297151433045E-3</c:v>
                </c:pt>
                <c:pt idx="179">
                  <c:v>9.2910511503744089E-3</c:v>
                </c:pt>
                <c:pt idx="180">
                  <c:v>9.3526356637126263E-3</c:v>
                </c:pt>
                <c:pt idx="181">
                  <c:v>9.422976364457011E-3</c:v>
                </c:pt>
                <c:pt idx="182">
                  <c:v>9.5020667307191067E-3</c:v>
                </c:pt>
                <c:pt idx="183">
                  <c:v>9.5917349271178749E-3</c:v>
                </c:pt>
                <c:pt idx="184">
                  <c:v>9.6881013413692534E-3</c:v>
                </c:pt>
                <c:pt idx="185">
                  <c:v>9.791163787019495E-3</c:v>
                </c:pt>
                <c:pt idx="186">
                  <c:v>9.9009205742682672E-3</c:v>
                </c:pt>
                <c:pt idx="187">
                  <c:v>1.0017370549682256E-2</c:v>
                </c:pt>
                <c:pt idx="188">
                  <c:v>1.014051313596992E-2</c:v>
                </c:pt>
                <c:pt idx="189">
                  <c:v>1.0270348371450432E-2</c:v>
                </c:pt>
                <c:pt idx="190">
                  <c:v>1.0406876949950759E-2</c:v>
                </c:pt>
                <c:pt idx="191">
                  <c:v>1.055478698999532E-2</c:v>
                </c:pt>
                <c:pt idx="192">
                  <c:v>1.0709190658476924E-2</c:v>
                </c:pt>
                <c:pt idx="193">
                  <c:v>1.0870091248171456E-2</c:v>
                </c:pt>
                <c:pt idx="194">
                  <c:v>1.10374928630793E-2</c:v>
                </c:pt>
                <c:pt idx="195">
                  <c:v>1.1211400457161668E-2</c:v>
                </c:pt>
                <c:pt idx="196">
                  <c:v>1.1391819872660969E-2</c:v>
                </c:pt>
                <c:pt idx="197">
                  <c:v>1.1580465050186306E-2</c:v>
                </c:pt>
                <c:pt idx="198">
                  <c:v>1.1775519180176164E-2</c:v>
                </c:pt>
                <c:pt idx="199">
                  <c:v>1.197699118853761E-2</c:v>
                </c:pt>
                <c:pt idx="200">
                  <c:v>1.2184891037072099E-2</c:v>
                </c:pt>
                <c:pt idx="201">
                  <c:v>1.2399229761171774E-2</c:v>
                </c:pt>
                <c:pt idx="202">
                  <c:v>1.2620019507576789E-2</c:v>
                </c:pt>
                <c:pt idx="203">
                  <c:v>1.2847273572413415E-2</c:v>
                </c:pt>
                <c:pt idx="204">
                  <c:v>1.3080985315190877E-2</c:v>
                </c:pt>
                <c:pt idx="205">
                  <c:v>1.3322613754726853E-2</c:v>
                </c:pt>
                <c:pt idx="206">
                  <c:v>1.3567495481499915E-2</c:v>
                </c:pt>
                <c:pt idx="207">
                  <c:v>1.3815634537753302E-2</c:v>
                </c:pt>
                <c:pt idx="208">
                  <c:v>1.4067034917082534E-2</c:v>
                </c:pt>
                <c:pt idx="209">
                  <c:v>1.432170055440494E-2</c:v>
                </c:pt>
                <c:pt idx="210">
                  <c:v>1.4579635316398602E-2</c:v>
                </c:pt>
                <c:pt idx="211">
                  <c:v>1.4849622631736678E-2</c:v>
                </c:pt>
                <c:pt idx="212">
                  <c:v>1.5129961357939188E-2</c:v>
                </c:pt>
                <c:pt idx="213">
                  <c:v>1.5420652689284685E-2</c:v>
                </c:pt>
                <c:pt idx="214">
                  <c:v>1.572169819042676E-2</c:v>
                </c:pt>
                <c:pt idx="215">
                  <c:v>1.6033099764607494E-2</c:v>
                </c:pt>
                <c:pt idx="216">
                  <c:v>1.6354859621817219E-2</c:v>
                </c:pt>
                <c:pt idx="217">
                  <c:v>1.6686980247017352E-2</c:v>
                </c:pt>
                <c:pt idx="218">
                  <c:v>1.7029464368274783E-2</c:v>
                </c:pt>
                <c:pt idx="219">
                  <c:v>1.7391820844772008E-2</c:v>
                </c:pt>
                <c:pt idx="220">
                  <c:v>1.777258011577048E-2</c:v>
                </c:pt>
                <c:pt idx="221">
                  <c:v>1.8171744638127256E-2</c:v>
                </c:pt>
                <c:pt idx="222">
                  <c:v>1.8589317408312826E-2</c:v>
                </c:pt>
                <c:pt idx="223">
                  <c:v>1.902530190592196E-2</c:v>
                </c:pt>
                <c:pt idx="224">
                  <c:v>1.9479702036754615E-2</c:v>
                </c:pt>
                <c:pt idx="225">
                  <c:v>1.9961361360668329E-2</c:v>
                </c:pt>
                <c:pt idx="226">
                  <c:v>2.0461513516775262E-2</c:v>
                </c:pt>
                <c:pt idx="227">
                  <c:v>2.0980163548247027E-2</c:v>
                </c:pt>
                <c:pt idx="228">
                  <c:v>2.151731668932989E-2</c:v>
                </c:pt>
                <c:pt idx="229">
                  <c:v>2.2072978308091625E-2</c:v>
                </c:pt>
                <c:pt idx="230">
                  <c:v>2.2647153849491227E-2</c:v>
                </c:pt>
                <c:pt idx="231">
                  <c:v>2.3239848778541437E-2</c:v>
                </c:pt>
                <c:pt idx="232">
                  <c:v>2.3851068522988253E-2</c:v>
                </c:pt>
                <c:pt idx="233">
                  <c:v>2.4489195947094113E-2</c:v>
                </c:pt>
                <c:pt idx="234">
                  <c:v>2.5144731245755777E-2</c:v>
                </c:pt>
                <c:pt idx="235">
                  <c:v>2.5817700172057322E-2</c:v>
                </c:pt>
                <c:pt idx="236">
                  <c:v>2.6508139005469281E-2</c:v>
                </c:pt>
                <c:pt idx="237">
                  <c:v>2.7216069404544251E-2</c:v>
                </c:pt>
                <c:pt idx="238">
                  <c:v>2.7941514223196531E-2</c:v>
                </c:pt>
                <c:pt idx="239">
                  <c:v>2.8696987145109227E-2</c:v>
                </c:pt>
                <c:pt idx="240">
                  <c:v>2.9473671820979427E-2</c:v>
                </c:pt>
                <c:pt idx="241">
                  <c:v>3.0271596214835012E-2</c:v>
                </c:pt>
                <c:pt idx="242">
                  <c:v>3.1090789784649745E-2</c:v>
                </c:pt>
                <c:pt idx="243">
                  <c:v>3.1931283519446269E-2</c:v>
                </c:pt>
                <c:pt idx="244">
                  <c:v>3.2793109976252101E-2</c:v>
                </c:pt>
                <c:pt idx="245">
                  <c:v>3.3676303316718781E-2</c:v>
                </c:pt>
                <c:pt idx="246">
                  <c:v>3.4580899343652688E-2</c:v>
                </c:pt>
                <c:pt idx="247">
                  <c:v>3.5528942455910435E-2</c:v>
                </c:pt>
                <c:pt idx="248">
                  <c:v>3.6512092113397031E-2</c:v>
                </c:pt>
                <c:pt idx="249">
                  <c:v>3.7530396517869026E-2</c:v>
                </c:pt>
                <c:pt idx="250">
                  <c:v>3.8583906417621223E-2</c:v>
                </c:pt>
                <c:pt idx="251">
                  <c:v>3.9672675169315968E-2</c:v>
                </c:pt>
                <c:pt idx="252">
                  <c:v>4.0796758798241017E-2</c:v>
                </c:pt>
                <c:pt idx="253">
                  <c:v>4.198013429727903E-2</c:v>
                </c:pt>
                <c:pt idx="254">
                  <c:v>4.3210361096474581E-2</c:v>
                </c:pt>
                <c:pt idx="255">
                  <c:v>4.4487511836048245E-2</c:v>
                </c:pt>
                <c:pt idx="256">
                  <c:v>4.58116627789125E-2</c:v>
                </c:pt>
                <c:pt idx="257">
                  <c:v>4.7182893891223432E-2</c:v>
                </c:pt>
                <c:pt idx="258">
                  <c:v>4.8601288923331216E-2</c:v>
                </c:pt>
                <c:pt idx="259">
                  <c:v>5.0066935491427496E-2</c:v>
                </c:pt>
                <c:pt idx="260">
                  <c:v>5.1579925157749722E-2</c:v>
                </c:pt>
                <c:pt idx="261">
                  <c:v>5.3172689755863235E-2</c:v>
                </c:pt>
                <c:pt idx="262">
                  <c:v>5.4823277332910363E-2</c:v>
                </c:pt>
                <c:pt idx="263">
                  <c:v>5.6531802282063615E-2</c:v>
                </c:pt>
                <c:pt idx="264">
                  <c:v>5.8298386797681574E-2</c:v>
                </c:pt>
                <c:pt idx="265">
                  <c:v>6.0123480697285757E-2</c:v>
                </c:pt>
                <c:pt idx="266">
                  <c:v>6.2007416639720363E-2</c:v>
                </c:pt>
                <c:pt idx="267">
                  <c:v>6.4017812182859304E-2</c:v>
                </c:pt>
                <c:pt idx="268">
                  <c:v>6.6130824023484067E-2</c:v>
                </c:pt>
                <c:pt idx="269">
                  <c:v>6.8346605926432394E-2</c:v>
                </c:pt>
                <c:pt idx="270">
                  <c:v>7.0665312297047825E-2</c:v>
                </c:pt>
                <c:pt idx="271">
                  <c:v>7.3087097079020655E-2</c:v>
                </c:pt>
                <c:pt idx="272">
                  <c:v>7.5612112654028077E-2</c:v>
                </c:pt>
                <c:pt idx="273">
                  <c:v>7.8240508740484591E-2</c:v>
                </c:pt>
                <c:pt idx="274">
                  <c:v>8.0972431293260219E-2</c:v>
                </c:pt>
                <c:pt idx="275">
                  <c:v>8.386601684330873E-2</c:v>
                </c:pt>
                <c:pt idx="276">
                  <c:v>8.6888955469400217E-2</c:v>
                </c:pt>
                <c:pt idx="277">
                  <c:v>9.0041414837850386E-2</c:v>
                </c:pt>
                <c:pt idx="278">
                  <c:v>9.3323555238767467E-2</c:v>
                </c:pt>
                <c:pt idx="279">
                  <c:v>9.6735528205189547E-2</c:v>
                </c:pt>
                <c:pt idx="280">
                  <c:v>0.10027747513309671</c:v>
                </c:pt>
                <c:pt idx="281">
                  <c:v>0.10391429359390847</c:v>
                </c:pt>
                <c:pt idx="282">
                  <c:v>0.1075780489467178</c:v>
                </c:pt>
                <c:pt idx="283">
                  <c:v>0.11126868182719322</c:v>
                </c:pt>
                <c:pt idx="284">
                  <c:v>0.11498611721113818</c:v>
                </c:pt>
                <c:pt idx="285">
                  <c:v>0.11873026416302969</c:v>
                </c:pt>
                <c:pt idx="286">
                  <c:v>0.12250101558565453</c:v>
                </c:pt>
                <c:pt idx="287">
                  <c:v>0.12629824796863742</c:v>
                </c:pt>
                <c:pt idx="288">
                  <c:v>0.13012182113738402</c:v>
                </c:pt>
                <c:pt idx="289">
                  <c:v>0.13391753973608503</c:v>
                </c:pt>
                <c:pt idx="290">
                  <c:v>0.13762670557379406</c:v>
                </c:pt>
                <c:pt idx="291">
                  <c:v>0.14124896207834592</c:v>
                </c:pt>
                <c:pt idx="292">
                  <c:v>0.14478394096016339</c:v>
                </c:pt>
                <c:pt idx="293">
                  <c:v>0.14823126318739091</c:v>
                </c:pt>
                <c:pt idx="294">
                  <c:v>0.15159053996051716</c:v>
                </c:pt>
                <c:pt idx="295">
                  <c:v>0.15484849587390526</c:v>
                </c:pt>
                <c:pt idx="296">
                  <c:v>0.15804211876370269</c:v>
                </c:pt>
                <c:pt idx="297">
                  <c:v>0.1611724957536261</c:v>
                </c:pt>
                <c:pt idx="298">
                  <c:v>0.16423944536486682</c:v>
                </c:pt>
                <c:pt idx="299">
                  <c:v>0.1672427725949803</c:v>
                </c:pt>
                <c:pt idx="300">
                  <c:v>0.17018226953814908</c:v>
                </c:pt>
                <c:pt idx="301">
                  <c:v>0.1730577160049516</c:v>
                </c:pt>
                <c:pt idx="302">
                  <c:v>0.17586888014250313</c:v>
                </c:pt>
                <c:pt idx="303">
                  <c:v>0.17857930934582436</c:v>
                </c:pt>
                <c:pt idx="304">
                  <c:v>0.18124312020860903</c:v>
                </c:pt>
                <c:pt idx="305">
                  <c:v>0.1838600756456735</c:v>
                </c:pt>
                <c:pt idx="306">
                  <c:v>0.18642992935335675</c:v>
                </c:pt>
                <c:pt idx="307">
                  <c:v>0.18895242626242184</c:v>
                </c:pt>
                <c:pt idx="308">
                  <c:v>0.19142730298937738</c:v>
                </c:pt>
                <c:pt idx="309">
                  <c:v>0.19378992062140232</c:v>
                </c:pt>
                <c:pt idx="310">
                  <c:v>0.19605289657395278</c:v>
                </c:pt>
                <c:pt idx="311">
                  <c:v>0.19821587678663075</c:v>
                </c:pt>
                <c:pt idx="312">
                  <c:v>0.20027850310414017</c:v>
                </c:pt>
                <c:pt idx="313">
                  <c:v>0.20224041420144082</c:v>
                </c:pt>
                <c:pt idx="314">
                  <c:v>0.2041012465070888</c:v>
                </c:pt>
                <c:pt idx="315">
                  <c:v>0.20586063512910746</c:v>
                </c:pt>
                <c:pt idx="316">
                  <c:v>0.20751821477773116</c:v>
                </c:pt>
                <c:pt idx="317">
                  <c:v>0.20897588882556131</c:v>
                </c:pt>
                <c:pt idx="318">
                  <c:v>0.21026963309610172</c:v>
                </c:pt>
                <c:pt idx="319">
                  <c:v>0.2113990228580985</c:v>
                </c:pt>
                <c:pt idx="320">
                  <c:v>0.21236364231189322</c:v>
                </c:pt>
                <c:pt idx="321">
                  <c:v>0.21316308607513235</c:v>
                </c:pt>
                <c:pt idx="322">
                  <c:v>0.21379696066939446</c:v>
                </c:pt>
                <c:pt idx="323">
                  <c:v>0.21418256347193196</c:v>
                </c:pt>
                <c:pt idx="324">
                  <c:v>0.21438419980410794</c:v>
                </c:pt>
                <c:pt idx="325">
                  <c:v>0.21440149880791606</c:v>
                </c:pt>
                <c:pt idx="326">
                  <c:v>0.21423277745617231</c:v>
                </c:pt>
                <c:pt idx="327">
                  <c:v>0.21387727083761554</c:v>
                </c:pt>
                <c:pt idx="328">
                  <c:v>0.21333534296748113</c:v>
                </c:pt>
                <c:pt idx="329">
                  <c:v>0.21260738307794505</c:v>
                </c:pt>
                <c:pt idx="330">
                  <c:v>0.21169380186085063</c:v>
                </c:pt>
                <c:pt idx="331">
                  <c:v>0.21061047317421097</c:v>
                </c:pt>
                <c:pt idx="332">
                  <c:v>0.20945594541444978</c:v>
                </c:pt>
                <c:pt idx="333">
                  <c:v>0.20823069800765606</c:v>
                </c:pt>
                <c:pt idx="334">
                  <c:v>0.20693520701881182</c:v>
                </c:pt>
                <c:pt idx="335">
                  <c:v>0.20556994375967921</c:v>
                </c:pt>
                <c:pt idx="336">
                  <c:v>0.20413537339393459</c:v>
                </c:pt>
                <c:pt idx="337">
                  <c:v>0.20268630814268937</c:v>
                </c:pt>
                <c:pt idx="338">
                  <c:v>0.20130569013609553</c:v>
                </c:pt>
                <c:pt idx="339">
                  <c:v>0.19999396729292598</c:v>
                </c:pt>
                <c:pt idx="340">
                  <c:v>0.19875157454318129</c:v>
                </c:pt>
                <c:pt idx="341">
                  <c:v>0.19757893528035941</c:v>
                </c:pt>
                <c:pt idx="342">
                  <c:v>0.19647646281353989</c:v>
                </c:pt>
                <c:pt idx="343">
                  <c:v>0.19544456181709155</c:v>
                </c:pt>
                <c:pt idx="344">
                  <c:v>0.19448362978349013</c:v>
                </c:pt>
                <c:pt idx="345">
                  <c:v>0.19359405847405131</c:v>
                </c:pt>
                <c:pt idx="346">
                  <c:v>0.19279890457285778</c:v>
                </c:pt>
                <c:pt idx="347">
                  <c:v>0.19209855725051986</c:v>
                </c:pt>
                <c:pt idx="348">
                  <c:v>0.19149340627954692</c:v>
                </c:pt>
                <c:pt idx="349">
                  <c:v>0.19098384395542764</c:v>
                </c:pt>
                <c:pt idx="350">
                  <c:v>0.1905702670222007</c:v>
                </c:pt>
                <c:pt idx="351">
                  <c:v>0.19029122252638372</c:v>
                </c:pt>
                <c:pt idx="352">
                  <c:v>0.19009273420091657</c:v>
                </c:pt>
                <c:pt idx="353">
                  <c:v>0.18997521750634971</c:v>
                </c:pt>
                <c:pt idx="354">
                  <c:v>0.18993909772918535</c:v>
                </c:pt>
                <c:pt idx="355">
                  <c:v>0.1899848115573731</c:v>
                </c:pt>
                <c:pt idx="356">
                  <c:v>0.19011294004437532</c:v>
                </c:pt>
                <c:pt idx="357">
                  <c:v>0.19032352376350747</c:v>
                </c:pt>
                <c:pt idx="358">
                  <c:v>0.19061615870331472</c:v>
                </c:pt>
                <c:pt idx="359">
                  <c:v>0.19099045222403632</c:v>
                </c:pt>
                <c:pt idx="360">
                  <c:v>0.19150055173412658</c:v>
                </c:pt>
                <c:pt idx="361">
                  <c:v>0.19210789472386414</c:v>
                </c:pt>
                <c:pt idx="362">
                  <c:v>0.19281213470714054</c:v>
                </c:pt>
                <c:pt idx="363">
                  <c:v>0.19361292977261202</c:v>
                </c:pt>
                <c:pt idx="364">
                  <c:v>0.19450994021287124</c:v>
                </c:pt>
                <c:pt idx="365">
                  <c:v>0.19550282615128889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0.2314746598494026</c:v>
                </c:pt>
                <c:pt idx="1">
                  <c:v>0.23216601060689981</c:v>
                </c:pt>
                <c:pt idx="2">
                  <c:v>0.23302155752247505</c:v>
                </c:pt>
                <c:pt idx="3">
                  <c:v>0.234040949646177</c:v>
                </c:pt>
                <c:pt idx="4">
                  <c:v>0.23522383096264049</c:v>
                </c:pt>
                <c:pt idx="5">
                  <c:v>0.23656983625138056</c:v>
                </c:pt>
                <c:pt idx="6">
                  <c:v>0.23807858695010742</c:v>
                </c:pt>
                <c:pt idx="7">
                  <c:v>0.23974968701274241</c:v>
                </c:pt>
                <c:pt idx="8">
                  <c:v>0.24158271877070125</c:v>
                </c:pt>
                <c:pt idx="9">
                  <c:v>0.24353844327164931</c:v>
                </c:pt>
                <c:pt idx="10">
                  <c:v>0.24555247640874972</c:v>
                </c:pt>
                <c:pt idx="11">
                  <c:v>0.24762418489807558</c:v>
                </c:pt>
                <c:pt idx="12">
                  <c:v>0.24975290964453137</c:v>
                </c:pt>
                <c:pt idx="13">
                  <c:v>0.25193796421270354</c:v>
                </c:pt>
                <c:pt idx="14">
                  <c:v>0.25417863329338508</c:v>
                </c:pt>
                <c:pt idx="15">
                  <c:v>0.25633326217044194</c:v>
                </c:pt>
                <c:pt idx="16">
                  <c:v>0.2583017434103414</c:v>
                </c:pt>
                <c:pt idx="17">
                  <c:v>0.26008309224157244</c:v>
                </c:pt>
                <c:pt idx="18">
                  <c:v>0.26167634020095043</c:v>
                </c:pt>
                <c:pt idx="19">
                  <c:v>0.26308200713460628</c:v>
                </c:pt>
                <c:pt idx="20">
                  <c:v>0.26430133143648438</c:v>
                </c:pt>
                <c:pt idx="21">
                  <c:v>0.26533446287884638</c:v>
                </c:pt>
                <c:pt idx="22">
                  <c:v>0.26618158336835523</c:v>
                </c:pt>
                <c:pt idx="23">
                  <c:v>0.26676696898717295</c:v>
                </c:pt>
                <c:pt idx="24">
                  <c:v>0.26712978736589205</c:v>
                </c:pt>
                <c:pt idx="25">
                  <c:v>0.26727030150975212</c:v>
                </c:pt>
                <c:pt idx="26">
                  <c:v>0.26718880126548711</c:v>
                </c:pt>
                <c:pt idx="27">
                  <c:v>0.26688560060462901</c:v>
                </c:pt>
                <c:pt idx="28">
                  <c:v>0.2663610349125749</c:v>
                </c:pt>
                <c:pt idx="29">
                  <c:v>0.26553081632206144</c:v>
                </c:pt>
                <c:pt idx="30">
                  <c:v>0.26453646401902231</c:v>
                </c:pt>
                <c:pt idx="31">
                  <c:v>0.26337835841581453</c:v>
                </c:pt>
                <c:pt idx="32">
                  <c:v>0.26205688634343877</c:v>
                </c:pt>
                <c:pt idx="33">
                  <c:v>0.26057243904340899</c:v>
                </c:pt>
                <c:pt idx="34">
                  <c:v>0.25892541016081971</c:v>
                </c:pt>
                <c:pt idx="35">
                  <c:v>0.25711619373718114</c:v>
                </c:pt>
                <c:pt idx="36">
                  <c:v>0.25514518220271104</c:v>
                </c:pt>
                <c:pt idx="37">
                  <c:v>0.25295076754241314</c:v>
                </c:pt>
                <c:pt idx="38">
                  <c:v>0.25060925743698359</c:v>
                </c:pt>
                <c:pt idx="39">
                  <c:v>0.24812102416190779</c:v>
                </c:pt>
                <c:pt idx="40">
                  <c:v>0.24548642995971465</c:v>
                </c:pt>
                <c:pt idx="41">
                  <c:v>0.24270582520795891</c:v>
                </c:pt>
                <c:pt idx="42">
                  <c:v>0.23977954658544678</c:v>
                </c:pt>
                <c:pt idx="43">
                  <c:v>0.23661519104836964</c:v>
                </c:pt>
                <c:pt idx="44">
                  <c:v>0.23329763676126755</c:v>
                </c:pt>
                <c:pt idx="45">
                  <c:v>0.22982716867331049</c:v>
                </c:pt>
                <c:pt idx="46">
                  <c:v>0.2262040499145043</c:v>
                </c:pt>
                <c:pt idx="47">
                  <c:v>0.22242851986169498</c:v>
                </c:pt>
                <c:pt idx="48">
                  <c:v>0.21850079220155075</c:v>
                </c:pt>
                <c:pt idx="49">
                  <c:v>0.21442105299561706</c:v>
                </c:pt>
                <c:pt idx="50">
                  <c:v>0.21018945874400422</c:v>
                </c:pt>
                <c:pt idx="51">
                  <c:v>0.2057722258161308</c:v>
                </c:pt>
                <c:pt idx="52">
                  <c:v>0.20123027765749141</c:v>
                </c:pt>
                <c:pt idx="53">
                  <c:v>0.19656245384082302</c:v>
                </c:pt>
                <c:pt idx="54">
                  <c:v>0.19176864005935604</c:v>
                </c:pt>
                <c:pt idx="55">
                  <c:v>0.18684872682425396</c:v>
                </c:pt>
                <c:pt idx="56">
                  <c:v>0.18180260993288733</c:v>
                </c:pt>
                <c:pt idx="57">
                  <c:v>0.17671331307575081</c:v>
                </c:pt>
                <c:pt idx="58">
                  <c:v>0.17167342957556728</c:v>
                </c:pt>
                <c:pt idx="59">
                  <c:v>0.16668287748846805</c:v>
                </c:pt>
                <c:pt idx="60">
                  <c:v>0.16174158259576801</c:v>
                </c:pt>
                <c:pt idx="61">
                  <c:v>0.15684947822194731</c:v>
                </c:pt>
                <c:pt idx="62">
                  <c:v>0.1520065050523946</c:v>
                </c:pt>
                <c:pt idx="63">
                  <c:v>0.14721261095162624</c:v>
                </c:pt>
                <c:pt idx="64">
                  <c:v>0.14246775078088361</c:v>
                </c:pt>
                <c:pt idx="65">
                  <c:v>0.13783407701412959</c:v>
                </c:pt>
                <c:pt idx="66">
                  <c:v>0.13334546863694791</c:v>
                </c:pt>
                <c:pt idx="67">
                  <c:v>0.12900190038938864</c:v>
                </c:pt>
                <c:pt idx="68">
                  <c:v>0.12480335185822776</c:v>
                </c:pt>
                <c:pt idx="69">
                  <c:v>0.1207498069389481</c:v>
                </c:pt>
                <c:pt idx="70">
                  <c:v>0.1168412532983454</c:v>
                </c:pt>
                <c:pt idx="71">
                  <c:v>0.11312470680133714</c:v>
                </c:pt>
                <c:pt idx="72">
                  <c:v>0.10951703538173162</c:v>
                </c:pt>
                <c:pt idx="73">
                  <c:v>0.10601823617975725</c:v>
                </c:pt>
                <c:pt idx="74">
                  <c:v>0.10262830886733934</c:v>
                </c:pt>
                <c:pt idx="75">
                  <c:v>9.9347255244221916E-2</c:v>
                </c:pt>
                <c:pt idx="76">
                  <c:v>9.6175078833761293E-2</c:v>
                </c:pt>
                <c:pt idx="77">
                  <c:v>9.3111784479052939E-2</c:v>
                </c:pt>
                <c:pt idx="78">
                  <c:v>9.0157380932044229E-2</c:v>
                </c:pt>
                <c:pt idx="79">
                  <c:v>8.7350783363294229E-2</c:v>
                </c:pt>
                <c:pt idx="80">
                  <c:v>8.4630019860632621E-2</c:v>
                </c:pt>
                <c:pt idx="81">
                  <c:v>8.1995052535729945E-2</c:v>
                </c:pt>
                <c:pt idx="82">
                  <c:v>7.9445846734202213E-2</c:v>
                </c:pt>
                <c:pt idx="83">
                  <c:v>7.6982370761398189E-2</c:v>
                </c:pt>
                <c:pt idx="84">
                  <c:v>7.4604595608448412E-2</c:v>
                </c:pt>
                <c:pt idx="85">
                  <c:v>7.2345718976683709E-2</c:v>
                </c:pt>
                <c:pt idx="86">
                  <c:v>7.0158713955771709E-2</c:v>
                </c:pt>
                <c:pt idx="87">
                  <c:v>6.8043560048589399E-2</c:v>
                </c:pt>
                <c:pt idx="88">
                  <c:v>6.6000238520832907E-2</c:v>
                </c:pt>
                <c:pt idx="89">
                  <c:v>6.4028732171049471E-2</c:v>
                </c:pt>
                <c:pt idx="90">
                  <c:v>6.2129025100534363E-2</c:v>
                </c:pt>
                <c:pt idx="91">
                  <c:v>6.0301102483474554E-2</c:v>
                </c:pt>
                <c:pt idx="92">
                  <c:v>5.8544950336911199E-2</c:v>
                </c:pt>
                <c:pt idx="93">
                  <c:v>5.6881042122910321E-2</c:v>
                </c:pt>
                <c:pt idx="94">
                  <c:v>5.5270827939928241E-2</c:v>
                </c:pt>
                <c:pt idx="95">
                  <c:v>5.3714299327940862E-2</c:v>
                </c:pt>
                <c:pt idx="96">
                  <c:v>5.2211448284656292E-2</c:v>
                </c:pt>
                <c:pt idx="97">
                  <c:v>5.076226709368644E-2</c:v>
                </c:pt>
                <c:pt idx="98">
                  <c:v>4.9366748152229661E-2</c:v>
                </c:pt>
                <c:pt idx="99">
                  <c:v>4.8037956536424863E-2</c:v>
                </c:pt>
                <c:pt idx="100">
                  <c:v>4.6742695323126568E-2</c:v>
                </c:pt>
                <c:pt idx="101">
                  <c:v>4.5480963331202148E-2</c:v>
                </c:pt>
                <c:pt idx="102">
                  <c:v>4.4252759646274363E-2</c:v>
                </c:pt>
                <c:pt idx="103">
                  <c:v>4.3058083512654492E-2</c:v>
                </c:pt>
                <c:pt idx="104">
                  <c:v>4.1896934226326177E-2</c:v>
                </c:pt>
                <c:pt idx="105">
                  <c:v>4.0769311026954455E-2</c:v>
                </c:pt>
                <c:pt idx="106">
                  <c:v>3.9675212990428609E-2</c:v>
                </c:pt>
                <c:pt idx="107">
                  <c:v>3.8627608755616417E-2</c:v>
                </c:pt>
                <c:pt idx="108">
                  <c:v>3.7606041429587657E-2</c:v>
                </c:pt>
                <c:pt idx="109">
                  <c:v>3.6610512814948863E-2</c:v>
                </c:pt>
                <c:pt idx="110">
                  <c:v>3.5641126045541191E-2</c:v>
                </c:pt>
                <c:pt idx="111">
                  <c:v>3.4697975708835337E-2</c:v>
                </c:pt>
                <c:pt idx="112">
                  <c:v>3.3781050784325306E-2</c:v>
                </c:pt>
                <c:pt idx="113">
                  <c:v>3.2903803285622639E-2</c:v>
                </c:pt>
                <c:pt idx="114">
                  <c:v>3.2053173908877068E-2</c:v>
                </c:pt>
                <c:pt idx="115">
                  <c:v>3.1229151308147893E-2</c:v>
                </c:pt>
                <c:pt idx="116">
                  <c:v>3.0431724050898862E-2</c:v>
                </c:pt>
                <c:pt idx="117">
                  <c:v>2.9660880560474154E-2</c:v>
                </c:pt>
                <c:pt idx="118">
                  <c:v>2.891660905824666E-2</c:v>
                </c:pt>
                <c:pt idx="119">
                  <c:v>2.8198897505860191E-2</c:v>
                </c:pt>
                <c:pt idx="120">
                  <c:v>2.7507733547427048E-2</c:v>
                </c:pt>
                <c:pt idx="121">
                  <c:v>2.6854344408182729E-2</c:v>
                </c:pt>
                <c:pt idx="122">
                  <c:v>2.6225781063856028E-2</c:v>
                </c:pt>
                <c:pt idx="123">
                  <c:v>2.5622030987990929E-2</c:v>
                </c:pt>
                <c:pt idx="124">
                  <c:v>2.5043081167754996E-2</c:v>
                </c:pt>
                <c:pt idx="125">
                  <c:v>2.4488918050096564E-2</c:v>
                </c:pt>
                <c:pt idx="126">
                  <c:v>2.3959527487539246E-2</c:v>
                </c:pt>
                <c:pt idx="127">
                  <c:v>2.3458198624671793E-2</c:v>
                </c:pt>
                <c:pt idx="128">
                  <c:v>2.2971501759863917E-2</c:v>
                </c:pt>
                <c:pt idx="129">
                  <c:v>2.2499430104892873E-2</c:v>
                </c:pt>
                <c:pt idx="130">
                  <c:v>2.2041976570113503E-2</c:v>
                </c:pt>
                <c:pt idx="131">
                  <c:v>2.1599133732342162E-2</c:v>
                </c:pt>
                <c:pt idx="132">
                  <c:v>2.1170893802973455E-2</c:v>
                </c:pt>
                <c:pt idx="133">
                  <c:v>2.0757248596228472E-2</c:v>
                </c:pt>
                <c:pt idx="134">
                  <c:v>2.0358189497284164E-2</c:v>
                </c:pt>
                <c:pt idx="135">
                  <c:v>1.9977796147738962E-2</c:v>
                </c:pt>
                <c:pt idx="136">
                  <c:v>1.9604867694043841E-2</c:v>
                </c:pt>
                <c:pt idx="137">
                  <c:v>1.9239402218317193E-2</c:v>
                </c:pt>
                <c:pt idx="138">
                  <c:v>1.8881397677876981E-2</c:v>
                </c:pt>
                <c:pt idx="139">
                  <c:v>1.8530851889464763E-2</c:v>
                </c:pt>
                <c:pt idx="140">
                  <c:v>1.8187762512394349E-2</c:v>
                </c:pt>
                <c:pt idx="141">
                  <c:v>1.7858080308778088E-2</c:v>
                </c:pt>
                <c:pt idx="142">
                  <c:v>1.753841253048977E-2</c:v>
                </c:pt>
                <c:pt idx="143">
                  <c:v>1.722868049217793E-2</c:v>
                </c:pt>
                <c:pt idx="144">
                  <c:v>1.6928912090269369E-2</c:v>
                </c:pt>
                <c:pt idx="145">
                  <c:v>1.6639132425187334E-2</c:v>
                </c:pt>
                <c:pt idx="146">
                  <c:v>1.6359363935809307E-2</c:v>
                </c:pt>
                <c:pt idx="147">
                  <c:v>1.6089626534497276E-2</c:v>
                </c:pt>
                <c:pt idx="148">
                  <c:v>1.5829937741719837E-2</c:v>
                </c:pt>
                <c:pt idx="149">
                  <c:v>1.5582592322385274E-2</c:v>
                </c:pt>
                <c:pt idx="150">
                  <c:v>1.53435398065951E-2</c:v>
                </c:pt>
                <c:pt idx="151">
                  <c:v>1.5112794458075698E-2</c:v>
                </c:pt>
                <c:pt idx="152">
                  <c:v>1.4890368799007748E-2</c:v>
                </c:pt>
                <c:pt idx="153">
                  <c:v>1.4676273720667678E-2</c:v>
                </c:pt>
                <c:pt idx="154">
                  <c:v>1.4470518594154127E-2</c:v>
                </c:pt>
                <c:pt idx="155">
                  <c:v>1.4279338530942369E-2</c:v>
                </c:pt>
                <c:pt idx="156">
                  <c:v>1.4096824951539796E-2</c:v>
                </c:pt>
                <c:pt idx="157">
                  <c:v>1.3922982676073316E-2</c:v>
                </c:pt>
                <c:pt idx="158">
                  <c:v>1.3757815478806508E-2</c:v>
                </c:pt>
                <c:pt idx="159">
                  <c:v>1.3601326203097825E-2</c:v>
                </c:pt>
                <c:pt idx="160">
                  <c:v>1.3453516876529853E-2</c:v>
                </c:pt>
                <c:pt idx="161">
                  <c:v>1.3314388825881551E-2</c:v>
                </c:pt>
                <c:pt idx="162">
                  <c:v>1.3183942792175501E-2</c:v>
                </c:pt>
                <c:pt idx="163">
                  <c:v>1.3067271298774856E-2</c:v>
                </c:pt>
                <c:pt idx="164">
                  <c:v>1.2962106482397354E-2</c:v>
                </c:pt>
                <c:pt idx="165">
                  <c:v>1.2868442982835526E-2</c:v>
                </c:pt>
                <c:pt idx="166">
                  <c:v>1.2786275506986411E-2</c:v>
                </c:pt>
                <c:pt idx="167">
                  <c:v>1.2715598982215666E-2</c:v>
                </c:pt>
                <c:pt idx="168">
                  <c:v>1.2656408710132771E-2</c:v>
                </c:pt>
                <c:pt idx="169">
                  <c:v>1.2613774734985308E-2</c:v>
                </c:pt>
                <c:pt idx="170">
                  <c:v>1.2581514784045055E-2</c:v>
                </c:pt>
                <c:pt idx="171">
                  <c:v>1.2559628205556724E-2</c:v>
                </c:pt>
                <c:pt idx="172">
                  <c:v>1.2548115245636076E-2</c:v>
                </c:pt>
                <c:pt idx="173">
                  <c:v>1.2546848881176725E-2</c:v>
                </c:pt>
                <c:pt idx="174">
                  <c:v>1.2555696091172611E-2</c:v>
                </c:pt>
                <c:pt idx="175">
                  <c:v>1.2574648895664346E-2</c:v>
                </c:pt>
                <c:pt idx="176">
                  <c:v>1.2603699381525314E-2</c:v>
                </c:pt>
                <c:pt idx="177">
                  <c:v>1.2648988244835837E-2</c:v>
                </c:pt>
                <c:pt idx="178">
                  <c:v>1.2705447790243509E-2</c:v>
                </c:pt>
                <c:pt idx="179">
                  <c:v>1.2773069072006812E-2</c:v>
                </c:pt>
                <c:pt idx="180">
                  <c:v>1.285184348427613E-2</c:v>
                </c:pt>
                <c:pt idx="181">
                  <c:v>1.2941762826782135E-2</c:v>
                </c:pt>
                <c:pt idx="182">
                  <c:v>1.304281937063524E-2</c:v>
                </c:pt>
                <c:pt idx="183">
                  <c:v>1.3157241808846297E-2</c:v>
                </c:pt>
                <c:pt idx="184">
                  <c:v>1.3279984308791503E-2</c:v>
                </c:pt>
                <c:pt idx="185">
                  <c:v>1.3411044957091871E-2</c:v>
                </c:pt>
                <c:pt idx="186">
                  <c:v>1.355042246570509E-2</c:v>
                </c:pt>
                <c:pt idx="187">
                  <c:v>1.3698116221239892E-2</c:v>
                </c:pt>
                <c:pt idx="188">
                  <c:v>1.3854126334353699E-2</c:v>
                </c:pt>
                <c:pt idx="189">
                  <c:v>1.4018453688732148E-2</c:v>
                </c:pt>
                <c:pt idx="190">
                  <c:v>1.4191099990653891E-2</c:v>
                </c:pt>
                <c:pt idx="191">
                  <c:v>1.4377862118249082E-2</c:v>
                </c:pt>
                <c:pt idx="192">
                  <c:v>1.457263076650424E-2</c:v>
                </c:pt>
                <c:pt idx="193">
                  <c:v>1.4775410973758819E-2</c:v>
                </c:pt>
                <c:pt idx="194">
                  <c:v>1.4986208789609998E-2</c:v>
                </c:pt>
                <c:pt idx="195">
                  <c:v>1.5205031322645631E-2</c:v>
                </c:pt>
                <c:pt idx="196">
                  <c:v>1.5431886787611475E-2</c:v>
                </c:pt>
                <c:pt idx="197">
                  <c:v>1.5670745268224914E-2</c:v>
                </c:pt>
                <c:pt idx="198">
                  <c:v>1.5919391386169341E-2</c:v>
                </c:pt>
                <c:pt idx="199">
                  <c:v>1.6177835438299835E-2</c:v>
                </c:pt>
                <c:pt idx="200">
                  <c:v>1.6446089184573614E-2</c:v>
                </c:pt>
                <c:pt idx="201">
                  <c:v>1.6724165905599796E-2</c:v>
                </c:pt>
                <c:pt idx="202">
                  <c:v>1.7012080460272E-2</c:v>
                </c:pt>
                <c:pt idx="203">
                  <c:v>1.7309849343779521E-2</c:v>
                </c:pt>
                <c:pt idx="204">
                  <c:v>1.7617462295772816E-2</c:v>
                </c:pt>
                <c:pt idx="205">
                  <c:v>1.793808252294208E-2</c:v>
                </c:pt>
                <c:pt idx="206">
                  <c:v>1.826594282199959E-2</c:v>
                </c:pt>
                <c:pt idx="207">
                  <c:v>1.8601046695869834E-2</c:v>
                </c:pt>
                <c:pt idx="208">
                  <c:v>1.8943397817057492E-2</c:v>
                </c:pt>
                <c:pt idx="209">
                  <c:v>1.9293000005276586E-2</c:v>
                </c:pt>
                <c:pt idx="210">
                  <c:v>1.9649857205711864E-2</c:v>
                </c:pt>
                <c:pt idx="211">
                  <c:v>2.0024777324200244E-2</c:v>
                </c:pt>
                <c:pt idx="212">
                  <c:v>2.0413813192186679E-2</c:v>
                </c:pt>
                <c:pt idx="213">
                  <c:v>2.0816966746703375E-2</c:v>
                </c:pt>
                <c:pt idx="214">
                  <c:v>2.1234240421830433E-2</c:v>
                </c:pt>
                <c:pt idx="215">
                  <c:v>2.1665637105334562E-2</c:v>
                </c:pt>
                <c:pt idx="216">
                  <c:v>2.211116009523546E-2</c:v>
                </c:pt>
                <c:pt idx="217">
                  <c:v>2.2570813056457566E-2</c:v>
                </c:pt>
                <c:pt idx="218">
                  <c:v>2.304459997736218E-2</c:v>
                </c:pt>
                <c:pt idx="219">
                  <c:v>2.3545431153286313E-2</c:v>
                </c:pt>
                <c:pt idx="220">
                  <c:v>2.4070130648408086E-2</c:v>
                </c:pt>
                <c:pt idx="221">
                  <c:v>2.4618702219982917E-2</c:v>
                </c:pt>
                <c:pt idx="222">
                  <c:v>2.5191150286376869E-2</c:v>
                </c:pt>
                <c:pt idx="223">
                  <c:v>2.5787479853836792E-2</c:v>
                </c:pt>
                <c:pt idx="224">
                  <c:v>2.6407696442678416E-2</c:v>
                </c:pt>
                <c:pt idx="225">
                  <c:v>2.706422238374482E-2</c:v>
                </c:pt>
                <c:pt idx="226">
                  <c:v>2.7746270830652786E-2</c:v>
                </c:pt>
                <c:pt idx="227">
                  <c:v>2.8453848706956213E-2</c:v>
                </c:pt>
                <c:pt idx="228">
                  <c:v>2.9186963210306199E-2</c:v>
                </c:pt>
                <c:pt idx="229">
                  <c:v>2.9945621733428612E-2</c:v>
                </c:pt>
                <c:pt idx="230">
                  <c:v>3.0729831785539265E-2</c:v>
                </c:pt>
                <c:pt idx="231">
                  <c:v>3.153960091388535E-2</c:v>
                </c:pt>
                <c:pt idx="232">
                  <c:v>3.2374936624631388E-2</c:v>
                </c:pt>
                <c:pt idx="233">
                  <c:v>3.3248349166792049E-2</c:v>
                </c:pt>
                <c:pt idx="234">
                  <c:v>3.4146941132195685E-2</c:v>
                </c:pt>
                <c:pt idx="235">
                  <c:v>3.5070747856720534E-2</c:v>
                </c:pt>
                <c:pt idx="236">
                  <c:v>3.6019819049934766E-2</c:v>
                </c:pt>
                <c:pt idx="237">
                  <c:v>3.6994184640103595E-2</c:v>
                </c:pt>
                <c:pt idx="238">
                  <c:v>3.7993876250270051E-2</c:v>
                </c:pt>
                <c:pt idx="239">
                  <c:v>3.9038517486990318E-2</c:v>
                </c:pt>
                <c:pt idx="240">
                  <c:v>4.011572430126157E-2</c:v>
                </c:pt>
                <c:pt idx="241">
                  <c:v>4.122553618962968E-2</c:v>
                </c:pt>
                <c:pt idx="242">
                  <c:v>4.2367994863838111E-2</c:v>
                </c:pt>
                <c:pt idx="243">
                  <c:v>4.3543144307843111E-2</c:v>
                </c:pt>
                <c:pt idx="244">
                  <c:v>4.4751030834629175E-2</c:v>
                </c:pt>
                <c:pt idx="245">
                  <c:v>4.5991703142565746E-2</c:v>
                </c:pt>
                <c:pt idx="246">
                  <c:v>4.7265212371641656E-2</c:v>
                </c:pt>
                <c:pt idx="247">
                  <c:v>4.8603395761438774E-2</c:v>
                </c:pt>
                <c:pt idx="248">
                  <c:v>4.999380286119387E-2</c:v>
                </c:pt>
                <c:pt idx="249">
                  <c:v>5.1436502755092962E-2</c:v>
                </c:pt>
                <c:pt idx="250">
                  <c:v>5.2931568268324534E-2</c:v>
                </c:pt>
                <c:pt idx="251">
                  <c:v>5.4479076059042494E-2</c:v>
                </c:pt>
                <c:pt idx="252">
                  <c:v>5.6079106708176896E-2</c:v>
                </c:pt>
                <c:pt idx="253">
                  <c:v>5.776866704193856E-2</c:v>
                </c:pt>
                <c:pt idx="254">
                  <c:v>5.9528235515464323E-2</c:v>
                </c:pt>
                <c:pt idx="255">
                  <c:v>6.1357917542545722E-2</c:v>
                </c:pt>
                <c:pt idx="256">
                  <c:v>6.3257823900334686E-2</c:v>
                </c:pt>
                <c:pt idx="257">
                  <c:v>6.5228070849894251E-2</c:v>
                </c:pt>
                <c:pt idx="258">
                  <c:v>6.7268780257296948E-2</c:v>
                </c:pt>
                <c:pt idx="259">
                  <c:v>6.9380079715689519E-2</c:v>
                </c:pt>
                <c:pt idx="260">
                  <c:v>7.1562102665362629E-2</c:v>
                </c:pt>
                <c:pt idx="261">
                  <c:v>7.3860086509163592E-2</c:v>
                </c:pt>
                <c:pt idx="262">
                  <c:v>7.6242327123917569E-2</c:v>
                </c:pt>
                <c:pt idx="263">
                  <c:v>7.8708989868365289E-2</c:v>
                </c:pt>
                <c:pt idx="264">
                  <c:v>8.1260251279899012E-2</c:v>
                </c:pt>
                <c:pt idx="265">
                  <c:v>8.3896745384239108E-2</c:v>
                </c:pt>
                <c:pt idx="266">
                  <c:v>8.6618944806659465E-2</c:v>
                </c:pt>
                <c:pt idx="267">
                  <c:v>8.94867598901571E-2</c:v>
                </c:pt>
                <c:pt idx="268">
                  <c:v>9.2463326348771149E-2</c:v>
                </c:pt>
                <c:pt idx="269">
                  <c:v>9.5548819661389256E-2</c:v>
                </c:pt>
                <c:pt idx="270">
                  <c:v>9.874341268275362E-2</c:v>
                </c:pt>
                <c:pt idx="271">
                  <c:v>0.10204727448534473</c:v>
                </c:pt>
                <c:pt idx="272">
                  <c:v>0.1054605692037795</c:v>
                </c:pt>
                <c:pt idx="273">
                  <c:v>0.10898345487796744</c:v>
                </c:pt>
                <c:pt idx="274">
                  <c:v>0.11261608229761781</c:v>
                </c:pt>
                <c:pt idx="275">
                  <c:v>0.116438752311463</c:v>
                </c:pt>
                <c:pt idx="276">
                  <c:v>0.12040634693301301</c:v>
                </c:pt>
                <c:pt idx="277">
                  <c:v>0.12451904239669245</c:v>
                </c:pt>
                <c:pt idx="278">
                  <c:v>0.12877700413781459</c:v>
                </c:pt>
                <c:pt idx="279">
                  <c:v>0.13318038525373999</c:v>
                </c:pt>
                <c:pt idx="280">
                  <c:v>0.13772932496624091</c:v>
                </c:pt>
                <c:pt idx="281">
                  <c:v>0.14239114804981143</c:v>
                </c:pt>
                <c:pt idx="282">
                  <c:v>0.14710572533629815</c:v>
                </c:pt>
                <c:pt idx="283">
                  <c:v>0.1518729992029039</c:v>
                </c:pt>
                <c:pt idx="284">
                  <c:v>0.15669289200151207</c:v>
                </c:pt>
                <c:pt idx="285">
                  <c:v>0.16156530553713808</c:v>
                </c:pt>
                <c:pt idx="286">
                  <c:v>0.16649012054787485</c:v>
                </c:pt>
                <c:pt idx="287">
                  <c:v>0.17146719618332701</c:v>
                </c:pt>
                <c:pt idx="288">
                  <c:v>0.17649636948361258</c:v>
                </c:pt>
                <c:pt idx="289">
                  <c:v>0.18148743106479684</c:v>
                </c:pt>
                <c:pt idx="290">
                  <c:v>0.18635926027107724</c:v>
                </c:pt>
                <c:pt idx="291">
                  <c:v>0.19111137446305573</c:v>
                </c:pt>
                <c:pt idx="292">
                  <c:v>0.1957432758794109</c:v>
                </c:pt>
                <c:pt idx="293">
                  <c:v>0.20025445297781513</c:v>
                </c:pt>
                <c:pt idx="294">
                  <c:v>0.2046443817751587</c:v>
                </c:pt>
                <c:pt idx="295">
                  <c:v>0.2088522164219552</c:v>
                </c:pt>
                <c:pt idx="296">
                  <c:v>0.21291295627214485</c:v>
                </c:pt>
                <c:pt idx="297">
                  <c:v>0.21682798274510592</c:v>
                </c:pt>
                <c:pt idx="298">
                  <c:v>0.22059696326816125</c:v>
                </c:pt>
                <c:pt idx="299">
                  <c:v>0.22421954616443271</c:v>
                </c:pt>
                <c:pt idx="300">
                  <c:v>0.22769536204510846</c:v>
                </c:pt>
                <c:pt idx="301">
                  <c:v>0.23102402520104498</c:v>
                </c:pt>
                <c:pt idx="302">
                  <c:v>0.23420513499486972</c:v>
                </c:pt>
                <c:pt idx="303">
                  <c:v>0.23715563793908367</c:v>
                </c:pt>
                <c:pt idx="304">
                  <c:v>0.23996565209823129</c:v>
                </c:pt>
                <c:pt idx="305">
                  <c:v>0.24263475195103115</c:v>
                </c:pt>
                <c:pt idx="306">
                  <c:v>0.24516250284596672</c:v>
                </c:pt>
                <c:pt idx="307">
                  <c:v>0.24754846232016967</c:v>
                </c:pt>
                <c:pt idx="308">
                  <c:v>0.24979218141623055</c:v>
                </c:pt>
                <c:pt idx="309">
                  <c:v>0.2518188431202612</c:v>
                </c:pt>
                <c:pt idx="310">
                  <c:v>0.25368864436049748</c:v>
                </c:pt>
                <c:pt idx="311">
                  <c:v>0.25540110750293327</c:v>
                </c:pt>
                <c:pt idx="312">
                  <c:v>0.25695575454253111</c:v>
                </c:pt>
                <c:pt idx="313">
                  <c:v>0.25835210854785645</c:v>
                </c:pt>
                <c:pt idx="314">
                  <c:v>0.25958969510337593</c:v>
                </c:pt>
                <c:pt idx="315">
                  <c:v>0.26066804375499586</c:v>
                </c:pt>
                <c:pt idx="316">
                  <c:v>0.26158668945160435</c:v>
                </c:pt>
                <c:pt idx="317">
                  <c:v>0.26220650141414786</c:v>
                </c:pt>
                <c:pt idx="318">
                  <c:v>0.26261006106170159</c:v>
                </c:pt>
                <c:pt idx="319">
                  <c:v>0.26279687245694139</c:v>
                </c:pt>
                <c:pt idx="320">
                  <c:v>0.26276645612433175</c:v>
                </c:pt>
                <c:pt idx="321">
                  <c:v>0.26251835100233362</c:v>
                </c:pt>
                <c:pt idx="322">
                  <c:v>0.26205211639671816</c:v>
                </c:pt>
                <c:pt idx="323">
                  <c:v>0.26132898749639427</c:v>
                </c:pt>
                <c:pt idx="324">
                  <c:v>0.26042333182825039</c:v>
                </c:pt>
                <c:pt idx="325">
                  <c:v>0.25933479783433544</c:v>
                </c:pt>
                <c:pt idx="326">
                  <c:v>0.25806145320118967</c:v>
                </c:pt>
                <c:pt idx="327">
                  <c:v>0.2566024924066781</c:v>
                </c:pt>
                <c:pt idx="328">
                  <c:v>0.25495846527798716</c:v>
                </c:pt>
                <c:pt idx="329">
                  <c:v>0.25312993712776255</c:v>
                </c:pt>
                <c:pt idx="330">
                  <c:v>0.25111748505797499</c:v>
                </c:pt>
                <c:pt idx="331">
                  <c:v>0.24901965713336804</c:v>
                </c:pt>
                <c:pt idx="332">
                  <c:v>0.24697626878648374</c:v>
                </c:pt>
                <c:pt idx="333">
                  <c:v>0.24498796319761929</c:v>
                </c:pt>
                <c:pt idx="334">
                  <c:v>0.24305536064021777</c:v>
                </c:pt>
                <c:pt idx="335">
                  <c:v>0.24117905972171516</c:v>
                </c:pt>
                <c:pt idx="336">
                  <c:v>0.23935963862114104</c:v>
                </c:pt>
                <c:pt idx="337">
                  <c:v>0.23766087579400336</c:v>
                </c:pt>
                <c:pt idx="338">
                  <c:v>0.23612174163500321</c:v>
                </c:pt>
                <c:pt idx="339">
                  <c:v>0.23474276728833485</c:v>
                </c:pt>
                <c:pt idx="340">
                  <c:v>0.23352446767506932</c:v>
                </c:pt>
                <c:pt idx="341">
                  <c:v>0.23246734484631984</c:v>
                </c:pt>
                <c:pt idx="342">
                  <c:v>0.23157189133619493</c:v>
                </c:pt>
                <c:pt idx="343">
                  <c:v>0.23083859351195454</c:v>
                </c:pt>
                <c:pt idx="344">
                  <c:v>0.23026793492782319</c:v>
                </c:pt>
                <c:pt idx="345">
                  <c:v>0.22986039967634786</c:v>
                </c:pt>
                <c:pt idx="346">
                  <c:v>0.22952099215366886</c:v>
                </c:pt>
                <c:pt idx="347">
                  <c:v>0.22925018856121288</c:v>
                </c:pt>
                <c:pt idx="348">
                  <c:v>0.22904846736748072</c:v>
                </c:pt>
                <c:pt idx="349">
                  <c:v>0.22891631067353366</c:v>
                </c:pt>
                <c:pt idx="350">
                  <c:v>0.22885420558384612</c:v>
                </c:pt>
                <c:pt idx="351">
                  <c:v>0.22886519131019745</c:v>
                </c:pt>
                <c:pt idx="352">
                  <c:v>0.22888649107800468</c:v>
                </c:pt>
                <c:pt idx="353">
                  <c:v>0.2289185817321846</c:v>
                </c:pt>
                <c:pt idx="354">
                  <c:v>0.22896194077850168</c:v>
                </c:pt>
                <c:pt idx="355">
                  <c:v>0.22901704647789373</c:v>
                </c:pt>
                <c:pt idx="356">
                  <c:v>0.22908453626294498</c:v>
                </c:pt>
                <c:pt idx="357">
                  <c:v>0.22916437972735731</c:v>
                </c:pt>
                <c:pt idx="358">
                  <c:v>0.22925599535943106</c:v>
                </c:pt>
                <c:pt idx="359">
                  <c:v>0.22935880240299722</c:v>
                </c:pt>
                <c:pt idx="360">
                  <c:v>0.22953564493734543</c:v>
                </c:pt>
                <c:pt idx="361">
                  <c:v>0.22978346727750593</c:v>
                </c:pt>
                <c:pt idx="362">
                  <c:v>0.23010177104483337</c:v>
                </c:pt>
                <c:pt idx="363">
                  <c:v>0.23049006338309111</c:v>
                </c:pt>
                <c:pt idx="364">
                  <c:v>0.23094785527390504</c:v>
                </c:pt>
                <c:pt idx="365">
                  <c:v>0.2314746598494026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817056"/>
        <c:axId val="437417520"/>
      </c:lineChart>
      <c:dateAx>
        <c:axId val="437817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417520"/>
        <c:crosses val="autoZero"/>
        <c:auto val="1"/>
        <c:lblOffset val="100"/>
        <c:baseTimeUnit val="days"/>
      </c:dateAx>
      <c:valAx>
        <c:axId val="437417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7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567720"/>
        <c:axId val="394568504"/>
      </c:scatterChart>
      <c:valAx>
        <c:axId val="394567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8504"/>
        <c:crosses val="autoZero"/>
        <c:crossBetween val="midCat"/>
      </c:valAx>
      <c:valAx>
        <c:axId val="39456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77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25.131078508933044</c:v>
                </c:pt>
                <c:pt idx="1">
                  <c:v>25.280457316583089</c:v>
                </c:pt>
                <c:pt idx="2">
                  <c:v>25.440048491055599</c:v>
                </c:pt>
                <c:pt idx="3">
                  <c:v>25.609554258322923</c:v>
                </c:pt>
                <c:pt idx="4">
                  <c:v>25.788676832025423</c:v>
                </c:pt>
                <c:pt idx="5">
                  <c:v>25.977118434423002</c:v>
                </c:pt>
                <c:pt idx="6">
                  <c:v>26.174581281378352</c:v>
                </c:pt>
                <c:pt idx="7">
                  <c:v>26.380767593982405</c:v>
                </c:pt>
                <c:pt idx="8">
                  <c:v>26.597210735862319</c:v>
                </c:pt>
                <c:pt idx="9">
                  <c:v>26.825199316077281</c:v>
                </c:pt>
                <c:pt idx="10">
                  <c:v>27.064068425898419</c:v>
                </c:pt>
                <c:pt idx="11">
                  <c:v>27.313153160446017</c:v>
                </c:pt>
                <c:pt idx="12">
                  <c:v>27.57178860925886</c:v>
                </c:pt>
                <c:pt idx="13">
                  <c:v>27.839309864999553</c:v>
                </c:pt>
                <c:pt idx="14">
                  <c:v>28.115052020785818</c:v>
                </c:pt>
                <c:pt idx="15">
                  <c:v>28.398350168823313</c:v>
                </c:pt>
                <c:pt idx="16">
                  <c:v>28.688539400705011</c:v>
                </c:pt>
                <c:pt idx="17">
                  <c:v>28.984954807148981</c:v>
                </c:pt>
                <c:pt idx="18">
                  <c:v>29.286931482137966</c:v>
                </c:pt>
                <c:pt idx="19">
                  <c:v>29.593804516907543</c:v>
                </c:pt>
                <c:pt idx="20">
                  <c:v>29.904909004657092</c:v>
                </c:pt>
                <c:pt idx="21">
                  <c:v>30.219580035656691</c:v>
                </c:pt>
                <c:pt idx="22">
                  <c:v>30.539729625078117</c:v>
                </c:pt>
                <c:pt idx="23">
                  <c:v>30.867280590321336</c:v>
                </c:pt>
                <c:pt idx="24">
                  <c:v>31.201584228542302</c:v>
                </c:pt>
                <c:pt idx="25">
                  <c:v>31.541991836504476</c:v>
                </c:pt>
                <c:pt idx="26">
                  <c:v>31.887854713495887</c:v>
                </c:pt>
                <c:pt idx="27">
                  <c:v>32.238524157949726</c:v>
                </c:pt>
                <c:pt idx="28">
                  <c:v>32.593351465486919</c:v>
                </c:pt>
                <c:pt idx="29">
                  <c:v>32.951687936298548</c:v>
                </c:pt>
                <c:pt idx="30">
                  <c:v>33.312884867099847</c:v>
                </c:pt>
                <c:pt idx="31">
                  <c:v>33.676293555919877</c:v>
                </c:pt>
                <c:pt idx="32">
                  <c:v>34.041265299997761</c:v>
                </c:pt>
                <c:pt idx="33">
                  <c:v>34.40715139793631</c:v>
                </c:pt>
                <c:pt idx="34">
                  <c:v>34.773303147611607</c:v>
                </c:pt>
                <c:pt idx="35">
                  <c:v>35.139071846450676</c:v>
                </c:pt>
                <c:pt idx="36">
                  <c:v>35.506199168434669</c:v>
                </c:pt>
                <c:pt idx="37">
                  <c:v>35.87660635363676</c:v>
                </c:pt>
                <c:pt idx="38">
                  <c:v>36.24991404932932</c:v>
                </c:pt>
                <c:pt idx="39">
                  <c:v>36.625742902116123</c:v>
                </c:pt>
                <c:pt idx="40">
                  <c:v>37.003713560092734</c:v>
                </c:pt>
                <c:pt idx="41">
                  <c:v>37.383446670332759</c:v>
                </c:pt>
                <c:pt idx="42">
                  <c:v>37.764562879776349</c:v>
                </c:pt>
                <c:pt idx="43">
                  <c:v>38.146682835949051</c:v>
                </c:pt>
                <c:pt idx="44">
                  <c:v>38.529427186107824</c:v>
                </c:pt>
                <c:pt idx="45">
                  <c:v>38.912416577558702</c:v>
                </c:pt>
                <c:pt idx="46">
                  <c:v>39.295271657133711</c:v>
                </c:pt>
                <c:pt idx="47">
                  <c:v>39.677613072654438</c:v>
                </c:pt>
                <c:pt idx="48">
                  <c:v>40.05906147121236</c:v>
                </c:pt>
                <c:pt idx="49">
                  <c:v>40.439237499760928</c:v>
                </c:pt>
                <c:pt idx="50">
                  <c:v>40.819772571732344</c:v>
                </c:pt>
                <c:pt idx="51">
                  <c:v>41.202363483800681</c:v>
                </c:pt>
                <c:pt idx="52">
                  <c:v>41.58672895853524</c:v>
                </c:pt>
                <c:pt idx="53">
                  <c:v>41.972587718430447</c:v>
                </c:pt>
                <c:pt idx="54">
                  <c:v>42.359658486541178</c:v>
                </c:pt>
                <c:pt idx="55">
                  <c:v>42.74765998533195</c:v>
                </c:pt>
                <c:pt idx="56">
                  <c:v>43.13631093751755</c:v>
                </c:pt>
                <c:pt idx="57">
                  <c:v>43.525330065401178</c:v>
                </c:pt>
                <c:pt idx="58">
                  <c:v>43.914436092258882</c:v>
                </c:pt>
                <c:pt idx="59">
                  <c:v>44.303347740432116</c:v>
                </c:pt>
                <c:pt idx="60">
                  <c:v>44.691783732609068</c:v>
                </c:pt>
                <c:pt idx="61">
                  <c:v>45.079462791457942</c:v>
                </c:pt>
                <c:pt idx="62">
                  <c:v>45.466103639709758</c:v>
                </c:pt>
                <c:pt idx="63">
                  <c:v>45.851424999907607</c:v>
                </c:pt>
                <c:pt idx="64">
                  <c:v>46.236944168972386</c:v>
                </c:pt>
                <c:pt idx="65">
                  <c:v>46.624073250496963</c:v>
                </c:pt>
                <c:pt idx="66">
                  <c:v>47.012373177772886</c:v>
                </c:pt>
                <c:pt idx="67">
                  <c:v>47.401404883293438</c:v>
                </c:pt>
                <c:pt idx="68">
                  <c:v>47.790729300223759</c:v>
                </c:pt>
                <c:pt idx="69">
                  <c:v>48.179907361373935</c:v>
                </c:pt>
                <c:pt idx="70">
                  <c:v>48.568499999708727</c:v>
                </c:pt>
                <c:pt idx="71">
                  <c:v>48.956068148716753</c:v>
                </c:pt>
                <c:pt idx="72">
                  <c:v>49.342172740249325</c:v>
                </c:pt>
                <c:pt idx="73">
                  <c:v>49.726374708389628</c:v>
                </c:pt>
                <c:pt idx="74">
                  <c:v>50.108234985312023</c:v>
                </c:pt>
                <c:pt idx="75">
                  <c:v>50.487314503929312</c:v>
                </c:pt>
                <c:pt idx="76">
                  <c:v>50.863174198249808</c:v>
                </c:pt>
                <c:pt idx="77">
                  <c:v>51.235374999634224</c:v>
                </c:pt>
                <c:pt idx="78">
                  <c:v>51.605261552543794</c:v>
                </c:pt>
                <c:pt idx="79">
                  <c:v>51.974141909280192</c:v>
                </c:pt>
                <c:pt idx="80">
                  <c:v>52.341522121051511</c:v>
                </c:pt>
                <c:pt idx="81">
                  <c:v>52.706908236196199</c:v>
                </c:pt>
                <c:pt idx="82">
                  <c:v>53.069806304154504</c:v>
                </c:pt>
                <c:pt idx="83">
                  <c:v>53.429722376107904</c:v>
                </c:pt>
                <c:pt idx="84">
                  <c:v>53.786162499955395</c:v>
                </c:pt>
                <c:pt idx="85">
                  <c:v>54.138632726335025</c:v>
                </c:pt>
                <c:pt idx="86">
                  <c:v>54.486639103062245</c:v>
                </c:pt>
                <c:pt idx="87">
                  <c:v>54.829687682103497</c:v>
                </c:pt>
                <c:pt idx="88">
                  <c:v>55.167284511721149</c:v>
                </c:pt>
                <c:pt idx="89">
                  <c:v>55.498935641424865</c:v>
                </c:pt>
                <c:pt idx="90">
                  <c:v>55.824147120373837</c:v>
                </c:pt>
                <c:pt idx="91">
                  <c:v>56.142424999084326</c:v>
                </c:pt>
                <c:pt idx="92">
                  <c:v>56.454817779555121</c:v>
                </c:pt>
                <c:pt idx="93">
                  <c:v>56.762524891139137</c:v>
                </c:pt>
                <c:pt idx="94">
                  <c:v>57.065278776096449</c:v>
                </c:pt>
                <c:pt idx="95">
                  <c:v>57.362811880691773</c:v>
                </c:pt>
                <c:pt idx="96">
                  <c:v>57.65485664612082</c:v>
                </c:pt>
                <c:pt idx="97">
                  <c:v>57.941145517011833</c:v>
                </c:pt>
                <c:pt idx="98">
                  <c:v>58.221410937095058</c:v>
                </c:pt>
                <c:pt idx="99">
                  <c:v>58.495385349528597</c:v>
                </c:pt>
                <c:pt idx="100">
                  <c:v>58.762801197756616</c:v>
                </c:pt>
                <c:pt idx="101">
                  <c:v>59.023390925515976</c:v>
                </c:pt>
                <c:pt idx="102">
                  <c:v>59.27688697562553</c:v>
                </c:pt>
                <c:pt idx="103">
                  <c:v>59.523021792660337</c:v>
                </c:pt>
                <c:pt idx="104">
                  <c:v>59.761527819252969</c:v>
                </c:pt>
                <c:pt idx="105">
                  <c:v>59.992137499712406</c:v>
                </c:pt>
                <c:pt idx="106">
                  <c:v>60.215243021159303</c:v>
                </c:pt>
                <c:pt idx="107">
                  <c:v>60.43144238330423</c:v>
                </c:pt>
                <c:pt idx="108">
                  <c:v>60.640776749114906</c:v>
                </c:pt>
                <c:pt idx="109">
                  <c:v>60.843287281851687</c:v>
                </c:pt>
                <c:pt idx="110">
                  <c:v>61.039015142034202</c:v>
                </c:pt>
                <c:pt idx="111">
                  <c:v>61.228001493721138</c:v>
                </c:pt>
                <c:pt idx="112">
                  <c:v>61.410287500172856</c:v>
                </c:pt>
                <c:pt idx="113">
                  <c:v>61.585914322201695</c:v>
                </c:pt>
                <c:pt idx="114">
                  <c:v>61.754923123254315</c:v>
                </c:pt>
                <c:pt idx="115">
                  <c:v>61.91735506589923</c:v>
                </c:pt>
                <c:pt idx="116">
                  <c:v>62.073251311813614</c:v>
                </c:pt>
                <c:pt idx="117">
                  <c:v>62.222653025255667</c:v>
                </c:pt>
                <c:pt idx="118">
                  <c:v>62.365601366412434</c:v>
                </c:pt>
                <c:pt idx="119">
                  <c:v>62.502137499675158</c:v>
                </c:pt>
                <c:pt idx="120">
                  <c:v>62.631855516368525</c:v>
                </c:pt>
                <c:pt idx="121">
                  <c:v>62.75448214297316</c:v>
                </c:pt>
                <c:pt idx="122">
                  <c:v>62.870257493441123</c:v>
                </c:pt>
                <c:pt idx="123">
                  <c:v>62.979421683933047</c:v>
                </c:pt>
                <c:pt idx="124">
                  <c:v>63.082214827662604</c:v>
                </c:pt>
                <c:pt idx="125">
                  <c:v>63.178877040850267</c:v>
                </c:pt>
                <c:pt idx="126">
                  <c:v>63.269648437900472</c:v>
                </c:pt>
                <c:pt idx="127">
                  <c:v>63.354769132818497</c:v>
                </c:pt>
                <c:pt idx="128">
                  <c:v>63.434479241725057</c:v>
                </c:pt>
                <c:pt idx="129">
                  <c:v>63.509018878266218</c:v>
                </c:pt>
                <c:pt idx="130">
                  <c:v>63.578628157092524</c:v>
                </c:pt>
                <c:pt idx="131">
                  <c:v>63.643547193439943</c:v>
                </c:pt>
                <c:pt idx="132">
                  <c:v>63.70401610334271</c:v>
                </c:pt>
                <c:pt idx="133">
                  <c:v>63.760275000054392</c:v>
                </c:pt>
                <c:pt idx="134">
                  <c:v>63.811453753882752</c:v>
                </c:pt>
                <c:pt idx="135">
                  <c:v>63.856723396360351</c:v>
                </c:pt>
                <c:pt idx="136">
                  <c:v>63.896385787001677</c:v>
                </c:pt>
                <c:pt idx="137">
                  <c:v>63.930742784216989</c:v>
                </c:pt>
                <c:pt idx="138">
                  <c:v>63.960096246589501</c:v>
                </c:pt>
                <c:pt idx="139">
                  <c:v>63.984748032090387</c:v>
                </c:pt>
                <c:pt idx="140">
                  <c:v>64.005000000167627</c:v>
                </c:pt>
                <c:pt idx="141">
                  <c:v>64.021154009058534</c:v>
                </c:pt>
                <c:pt idx="142">
                  <c:v>64.033511916893929</c:v>
                </c:pt>
                <c:pt idx="143">
                  <c:v>64.042375583547567</c:v>
                </c:pt>
                <c:pt idx="144">
                  <c:v>64.048046865932918</c:v>
                </c:pt>
                <c:pt idx="145">
                  <c:v>64.050827624475858</c:v>
                </c:pt>
                <c:pt idx="146">
                  <c:v>64.051019715624193</c:v>
                </c:pt>
                <c:pt idx="147">
                  <c:v>64.048924999963504</c:v>
                </c:pt>
                <c:pt idx="148">
                  <c:v>64.043683636893661</c:v>
                </c:pt>
                <c:pt idx="149">
                  <c:v>64.03439919834824</c:v>
                </c:pt>
                <c:pt idx="150">
                  <c:v>64.021318658877036</c:v>
                </c:pt>
                <c:pt idx="151">
                  <c:v>64.004688994227237</c:v>
                </c:pt>
                <c:pt idx="152">
                  <c:v>63.984757179391039</c:v>
                </c:pt>
                <c:pt idx="153">
                  <c:v>63.961770189779678</c:v>
                </c:pt>
                <c:pt idx="154">
                  <c:v>63.935975000122561</c:v>
                </c:pt>
                <c:pt idx="155">
                  <c:v>63.907618585973978</c:v>
                </c:pt>
                <c:pt idx="156">
                  <c:v>63.876947922884888</c:v>
                </c:pt>
                <c:pt idx="157">
                  <c:v>63.844209985614626</c:v>
                </c:pt>
                <c:pt idx="158">
                  <c:v>63.809651749537863</c:v>
                </c:pt>
                <c:pt idx="159">
                  <c:v>63.773520189683353</c:v>
                </c:pt>
                <c:pt idx="160">
                  <c:v>63.736062281395846</c:v>
                </c:pt>
                <c:pt idx="161">
                  <c:v>63.697525000199676</c:v>
                </c:pt>
                <c:pt idx="162">
                  <c:v>63.657364085569441</c:v>
                </c:pt>
                <c:pt idx="163">
                  <c:v>63.614943804532025</c:v>
                </c:pt>
                <c:pt idx="164">
                  <c:v>63.570373924971292</c:v>
                </c:pt>
                <c:pt idx="165">
                  <c:v>63.52376421303488</c:v>
                </c:pt>
                <c:pt idx="166">
                  <c:v>63.475224435405934</c:v>
                </c:pt>
                <c:pt idx="167">
                  <c:v>63.42486435891395</c:v>
                </c:pt>
                <c:pt idx="168">
                  <c:v>63.372793749999261</c:v>
                </c:pt>
                <c:pt idx="169">
                  <c:v>63.319122376233075</c:v>
                </c:pt>
                <c:pt idx="170">
                  <c:v>63.263960003929341</c:v>
                </c:pt>
                <c:pt idx="171">
                  <c:v>63.207416399734619</c:v>
                </c:pt>
                <c:pt idx="172">
                  <c:v>63.149601330524973</c:v>
                </c:pt>
                <c:pt idx="173">
                  <c:v>63.090624562797267</c:v>
                </c:pt>
                <c:pt idx="174">
                  <c:v>63.03059586403625</c:v>
                </c:pt>
                <c:pt idx="175">
                  <c:v>62.969625000422823</c:v>
                </c:pt>
                <c:pt idx="176">
                  <c:v>62.907542748157212</c:v>
                </c:pt>
                <c:pt idx="177">
                  <c:v>62.84408841134448</c:v>
                </c:pt>
                <c:pt idx="178">
                  <c:v>62.779234548119291</c:v>
                </c:pt>
                <c:pt idx="179">
                  <c:v>62.712953717467769</c:v>
                </c:pt>
                <c:pt idx="180">
                  <c:v>62.645218476826059</c:v>
                </c:pt>
                <c:pt idx="181">
                  <c:v>62.576001385107105</c:v>
                </c:pt>
                <c:pt idx="182">
                  <c:v>62.505275000282566</c:v>
                </c:pt>
                <c:pt idx="183">
                  <c:v>62.433011880643399</c:v>
                </c:pt>
                <c:pt idx="184">
                  <c:v>62.359184584753322</c:v>
                </c:pt>
                <c:pt idx="185">
                  <c:v>62.283765670909943</c:v>
                </c:pt>
                <c:pt idx="186">
                  <c:v>62.206727696911955</c:v>
                </c:pt>
                <c:pt idx="187">
                  <c:v>62.128043221595831</c:v>
                </c:pt>
                <c:pt idx="188">
                  <c:v>62.047684803375574</c:v>
                </c:pt>
                <c:pt idx="189">
                  <c:v>61.965625000139696</c:v>
                </c:pt>
                <c:pt idx="190">
                  <c:v>61.882017028029075</c:v>
                </c:pt>
                <c:pt idx="191">
                  <c:v>61.796968367489583</c:v>
                </c:pt>
                <c:pt idx="192">
                  <c:v>61.710382972042346</c:v>
                </c:pt>
                <c:pt idx="193">
                  <c:v>61.622164795886988</c:v>
                </c:pt>
                <c:pt idx="194">
                  <c:v>61.532217793469314</c:v>
                </c:pt>
                <c:pt idx="195">
                  <c:v>61.440445918543261</c:v>
                </c:pt>
                <c:pt idx="196">
                  <c:v>61.346753125172114</c:v>
                </c:pt>
                <c:pt idx="197">
                  <c:v>61.25104336745239</c:v>
                </c:pt>
                <c:pt idx="198">
                  <c:v>61.153220599623666</c:v>
                </c:pt>
                <c:pt idx="199">
                  <c:v>61.053188775353405</c:v>
                </c:pt>
                <c:pt idx="200">
                  <c:v>60.950851849340168</c:v>
                </c:pt>
                <c:pt idx="201">
                  <c:v>60.84611377577032</c:v>
                </c:pt>
                <c:pt idx="202">
                  <c:v>60.738878507822363</c:v>
                </c:pt>
                <c:pt idx="203">
                  <c:v>60.629050000058484</c:v>
                </c:pt>
                <c:pt idx="204">
                  <c:v>60.516978134417769</c:v>
                </c:pt>
                <c:pt idx="205">
                  <c:v>60.403003644357831</c:v>
                </c:pt>
                <c:pt idx="206">
                  <c:v>60.28701676389403</c:v>
                </c:pt>
                <c:pt idx="207">
                  <c:v>60.168907726309925</c:v>
                </c:pt>
                <c:pt idx="208">
                  <c:v>60.048566763891301</c:v>
                </c:pt>
                <c:pt idx="209">
                  <c:v>59.925884110759938</c:v>
                </c:pt>
                <c:pt idx="210">
                  <c:v>59.800750000285916</c:v>
                </c:pt>
                <c:pt idx="211">
                  <c:v>59.67305466490798</c:v>
                </c:pt>
                <c:pt idx="212">
                  <c:v>59.542688338056081</c:v>
                </c:pt>
                <c:pt idx="213">
                  <c:v>59.409541253572598</c:v>
                </c:pt>
                <c:pt idx="214">
                  <c:v>59.273503644528269</c:v>
                </c:pt>
                <c:pt idx="215">
                  <c:v>59.134465743461618</c:v>
                </c:pt>
                <c:pt idx="216">
                  <c:v>58.99231778398223</c:v>
                </c:pt>
                <c:pt idx="217">
                  <c:v>58.84695000024513</c:v>
                </c:pt>
                <c:pt idx="218">
                  <c:v>58.698703124992818</c:v>
                </c:pt>
                <c:pt idx="219">
                  <c:v>58.547927041045796</c:v>
                </c:pt>
                <c:pt idx="220">
                  <c:v>58.394525701486103</c:v>
                </c:pt>
                <c:pt idx="221">
                  <c:v>58.238403061497962</c:v>
                </c:pt>
                <c:pt idx="222">
                  <c:v>58.079463073923918</c:v>
                </c:pt>
                <c:pt idx="223">
                  <c:v>57.917609693881658</c:v>
                </c:pt>
                <c:pt idx="224">
                  <c:v>57.752746875211599</c:v>
                </c:pt>
                <c:pt idx="225">
                  <c:v>57.584778571621115</c:v>
                </c:pt>
                <c:pt idx="226">
                  <c:v>57.413608737369742</c:v>
                </c:pt>
                <c:pt idx="227">
                  <c:v>57.239141326730277</c:v>
                </c:pt>
                <c:pt idx="228">
                  <c:v>57.06128029345669</c:v>
                </c:pt>
                <c:pt idx="229">
                  <c:v>56.87992959155568</c:v>
                </c:pt>
                <c:pt idx="230">
                  <c:v>56.694993175872206</c:v>
                </c:pt>
                <c:pt idx="231">
                  <c:v>56.506374999787653</c:v>
                </c:pt>
                <c:pt idx="232">
                  <c:v>56.314275159487238</c:v>
                </c:pt>
                <c:pt idx="233">
                  <c:v>56.118925765156739</c:v>
                </c:pt>
                <c:pt idx="234">
                  <c:v>55.920278795043544</c:v>
                </c:pt>
                <c:pt idx="235">
                  <c:v>55.718286224201854</c:v>
                </c:pt>
                <c:pt idx="236">
                  <c:v>55.512900031617448</c:v>
                </c:pt>
                <c:pt idx="237">
                  <c:v>55.304072193615141</c:v>
                </c:pt>
                <c:pt idx="238">
                  <c:v>55.091754687624046</c:v>
                </c:pt>
                <c:pt idx="239">
                  <c:v>54.875899489782746</c:v>
                </c:pt>
                <c:pt idx="240">
                  <c:v>54.656458578039221</c:v>
                </c:pt>
                <c:pt idx="241">
                  <c:v>54.433383928904576</c:v>
                </c:pt>
                <c:pt idx="242">
                  <c:v>54.206627519222508</c:v>
                </c:pt>
                <c:pt idx="243">
                  <c:v>53.976141326408836</c:v>
                </c:pt>
                <c:pt idx="244">
                  <c:v>53.741877327673137</c:v>
                </c:pt>
                <c:pt idx="245">
                  <c:v>53.50378750003874</c:v>
                </c:pt>
                <c:pt idx="246">
                  <c:v>53.26174492567911</c:v>
                </c:pt>
                <c:pt idx="247">
                  <c:v>53.015691290529702</c:v>
                </c:pt>
                <c:pt idx="248">
                  <c:v>52.765681477875589</c:v>
                </c:pt>
                <c:pt idx="249">
                  <c:v>52.511770371414187</c:v>
                </c:pt>
                <c:pt idx="250">
                  <c:v>52.254012855242145</c:v>
                </c:pt>
                <c:pt idx="251">
                  <c:v>51.992463811806275</c:v>
                </c:pt>
                <c:pt idx="252">
                  <c:v>51.727178124990317</c:v>
                </c:pt>
                <c:pt idx="253">
                  <c:v>51.458210678039386</c:v>
                </c:pt>
                <c:pt idx="254">
                  <c:v>51.185616354318327</c:v>
                </c:pt>
                <c:pt idx="255">
                  <c:v>50.909450036460264</c:v>
                </c:pt>
                <c:pt idx="256">
                  <c:v>50.629766608515226</c:v>
                </c:pt>
                <c:pt idx="257">
                  <c:v>50.346620954666292</c:v>
                </c:pt>
                <c:pt idx="258">
                  <c:v>50.060067957513297</c:v>
                </c:pt>
                <c:pt idx="259">
                  <c:v>49.770162499882282</c:v>
                </c:pt>
                <c:pt idx="260">
                  <c:v>49.476189955421226</c:v>
                </c:pt>
                <c:pt idx="261">
                  <c:v>49.177559183815688</c:v>
                </c:pt>
                <c:pt idx="262">
                  <c:v>48.87451030006175</c:v>
                </c:pt>
                <c:pt idx="263">
                  <c:v>48.567283418167577</c:v>
                </c:pt>
                <c:pt idx="264">
                  <c:v>48.256118654248496</c:v>
                </c:pt>
                <c:pt idx="265">
                  <c:v>47.941256122523924</c:v>
                </c:pt>
                <c:pt idx="266">
                  <c:v>47.622935937490546</c:v>
                </c:pt>
                <c:pt idx="267">
                  <c:v>47.301398214534856</c:v>
                </c:pt>
                <c:pt idx="268">
                  <c:v>46.976883067850054</c:v>
                </c:pt>
                <c:pt idx="269">
                  <c:v>46.649630612411841</c:v>
                </c:pt>
                <c:pt idx="270">
                  <c:v>46.319880963152642</c:v>
                </c:pt>
                <c:pt idx="271">
                  <c:v>45.987874234925087</c:v>
                </c:pt>
                <c:pt idx="272">
                  <c:v>45.65385054225127</c:v>
                </c:pt>
                <c:pt idx="273">
                  <c:v>45.318050000135557</c:v>
                </c:pt>
                <c:pt idx="274">
                  <c:v>44.979272034848272</c:v>
                </c:pt>
                <c:pt idx="275">
                  <c:v>44.636444132761767</c:v>
                </c:pt>
                <c:pt idx="276">
                  <c:v>44.289998501404099</c:v>
                </c:pt>
                <c:pt idx="277">
                  <c:v>43.940367347197437</c:v>
                </c:pt>
                <c:pt idx="278">
                  <c:v>43.587982876618796</c:v>
                </c:pt>
                <c:pt idx="279">
                  <c:v>43.233277296274906</c:v>
                </c:pt>
                <c:pt idx="280">
                  <c:v>42.876682812409129</c:v>
                </c:pt>
                <c:pt idx="281">
                  <c:v>42.51863163271004</c:v>
                </c:pt>
                <c:pt idx="282">
                  <c:v>42.159555963141614</c:v>
                </c:pt>
                <c:pt idx="283">
                  <c:v>41.799888010339679</c:v>
                </c:pt>
                <c:pt idx="284">
                  <c:v>41.440059981051931</c:v>
                </c:pt>
                <c:pt idx="285">
                  <c:v>41.080504081752487</c:v>
                </c:pt>
                <c:pt idx="286">
                  <c:v>40.721652519124163</c:v>
                </c:pt>
                <c:pt idx="287">
                  <c:v>40.363937499886376</c:v>
                </c:pt>
                <c:pt idx="288">
                  <c:v>40.005848587767105</c:v>
                </c:pt>
                <c:pt idx="289">
                  <c:v>39.645916508996329</c:v>
                </c:pt>
                <c:pt idx="290">
                  <c:v>39.28463521340953</c:v>
                </c:pt>
                <c:pt idx="291">
                  <c:v>38.922498651660447</c:v>
                </c:pt>
                <c:pt idx="292">
                  <c:v>38.560000774398631</c:v>
                </c:pt>
                <c:pt idx="293">
                  <c:v>38.197635532232894</c:v>
                </c:pt>
                <c:pt idx="294">
                  <c:v>37.835896875231995</c:v>
                </c:pt>
                <c:pt idx="295">
                  <c:v>37.475278753747368</c:v>
                </c:pt>
                <c:pt idx="296">
                  <c:v>37.116275118474732</c:v>
                </c:pt>
                <c:pt idx="297">
                  <c:v>36.759379919778027</c:v>
                </c:pt>
                <c:pt idx="298">
                  <c:v>36.40508710814008</c:v>
                </c:pt>
                <c:pt idx="299">
                  <c:v>36.053890634281558</c:v>
                </c:pt>
                <c:pt idx="300">
                  <c:v>35.706284447943574</c:v>
                </c:pt>
                <c:pt idx="301">
                  <c:v>35.362762499821841</c:v>
                </c:pt>
                <c:pt idx="302">
                  <c:v>35.021511352065545</c:v>
                </c:pt>
                <c:pt idx="303">
                  <c:v>34.680708418259329</c:v>
                </c:pt>
                <c:pt idx="304">
                  <c:v>34.340833928451005</c:v>
                </c:pt>
                <c:pt idx="305">
                  <c:v>34.002368111913427</c:v>
                </c:pt>
                <c:pt idx="306">
                  <c:v>33.665791199017889</c:v>
                </c:pt>
                <c:pt idx="307">
                  <c:v>33.331583418603984</c:v>
                </c:pt>
                <c:pt idx="308">
                  <c:v>33.000225000159119</c:v>
                </c:pt>
                <c:pt idx="309">
                  <c:v>32.672196173389338</c:v>
                </c:pt>
                <c:pt idx="310">
                  <c:v>32.347977168161641</c:v>
                </c:pt>
                <c:pt idx="311">
                  <c:v>32.028048214175008</c:v>
                </c:pt>
                <c:pt idx="312">
                  <c:v>31.712889541545053</c:v>
                </c:pt>
                <c:pt idx="313">
                  <c:v>31.402981377694857</c:v>
                </c:pt>
                <c:pt idx="314">
                  <c:v>31.098803954253423</c:v>
                </c:pt>
                <c:pt idx="315">
                  <c:v>30.800837500020862</c:v>
                </c:pt>
                <c:pt idx="316">
                  <c:v>30.507132636043906</c:v>
                </c:pt>
                <c:pt idx="317">
                  <c:v>30.21576791536063</c:v>
                </c:pt>
                <c:pt idx="318">
                  <c:v>29.927265464541108</c:v>
                </c:pt>
                <c:pt idx="319">
                  <c:v>29.642147409397044</c:v>
                </c:pt>
                <c:pt idx="320">
                  <c:v>29.360935877948734</c:v>
                </c:pt>
                <c:pt idx="321">
                  <c:v>29.084152995874838</c:v>
                </c:pt>
                <c:pt idx="322">
                  <c:v>28.812320890463887</c:v>
                </c:pt>
                <c:pt idx="323">
                  <c:v>28.545961687993263</c:v>
                </c:pt>
                <c:pt idx="324">
                  <c:v>28.285597516416708</c:v>
                </c:pt>
                <c:pt idx="325">
                  <c:v>28.031750501825343</c:v>
                </c:pt>
                <c:pt idx="326">
                  <c:v>27.784942769598484</c:v>
                </c:pt>
                <c:pt idx="327">
                  <c:v>27.545696447536884</c:v>
                </c:pt>
                <c:pt idx="328">
                  <c:v>27.314533663634208</c:v>
                </c:pt>
                <c:pt idx="329">
                  <c:v>27.091976541839539</c:v>
                </c:pt>
                <c:pt idx="330">
                  <c:v>26.876386223001674</c:v>
                </c:pt>
                <c:pt idx="331">
                  <c:v>26.666111982826674</c:v>
                </c:pt>
                <c:pt idx="332">
                  <c:v>26.461658151328034</c:v>
                </c:pt>
                <c:pt idx="333">
                  <c:v>26.263529057135539</c:v>
                </c:pt>
                <c:pt idx="334">
                  <c:v>26.072229031300438</c:v>
                </c:pt>
                <c:pt idx="335">
                  <c:v>25.888262406922877</c:v>
                </c:pt>
                <c:pt idx="336">
                  <c:v>25.712133509945126</c:v>
                </c:pt>
                <c:pt idx="337">
                  <c:v>25.54434667274888</c:v>
                </c:pt>
                <c:pt idx="338">
                  <c:v>25.385406224575959</c:v>
                </c:pt>
                <c:pt idx="339">
                  <c:v>25.235816498952254</c:v>
                </c:pt>
                <c:pt idx="340">
                  <c:v>25.096081821620466</c:v>
                </c:pt>
                <c:pt idx="341">
                  <c:v>24.966706526252835</c:v>
                </c:pt>
                <c:pt idx="342">
                  <c:v>24.848194941585618</c:v>
                </c:pt>
                <c:pt idx="343">
                  <c:v>24.74105139877647</c:v>
                </c:pt>
                <c:pt idx="344">
                  <c:v>24.644505135522323</c:v>
                </c:pt>
                <c:pt idx="345">
                  <c:v>24.557584813965732</c:v>
                </c:pt>
                <c:pt idx="346">
                  <c:v>24.480493904987874</c:v>
                </c:pt>
                <c:pt idx="347">
                  <c:v>24.413435877421001</c:v>
                </c:pt>
                <c:pt idx="348">
                  <c:v>24.356614199196784</c:v>
                </c:pt>
                <c:pt idx="349">
                  <c:v>24.310232337575243</c:v>
                </c:pt>
                <c:pt idx="350">
                  <c:v>24.274493761485893</c:v>
                </c:pt>
                <c:pt idx="351">
                  <c:v>24.249601943071546</c:v>
                </c:pt>
                <c:pt idx="352">
                  <c:v>24.235760345186563</c:v>
                </c:pt>
                <c:pt idx="353">
                  <c:v>24.233172441380368</c:v>
                </c:pt>
                <c:pt idx="354">
                  <c:v>24.24204169819177</c:v>
                </c:pt>
                <c:pt idx="355">
                  <c:v>24.262571583782766</c:v>
                </c:pt>
                <c:pt idx="356">
                  <c:v>24.294965566577748</c:v>
                </c:pt>
                <c:pt idx="357">
                  <c:v>24.339427117155545</c:v>
                </c:pt>
                <c:pt idx="358">
                  <c:v>24.39638684349584</c:v>
                </c:pt>
                <c:pt idx="359">
                  <c:v>24.46594118912672</c:v>
                </c:pt>
                <c:pt idx="360">
                  <c:v>24.54779237194051</c:v>
                </c:pt>
                <c:pt idx="361">
                  <c:v>24.641642609906608</c:v>
                </c:pt>
                <c:pt idx="362">
                  <c:v>24.747194124745398</c:v>
                </c:pt>
                <c:pt idx="363">
                  <c:v>24.86414913285909</c:v>
                </c:pt>
                <c:pt idx="364">
                  <c:v>24.992209855325775</c:v>
                </c:pt>
                <c:pt idx="365">
                  <c:v>25.131078508599053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25.01861829787493</c:v>
                </c:pt>
                <c:pt idx="1">
                  <c:v>25.174602641761304</c:v>
                </c:pt>
                <c:pt idx="2">
                  <c:v>25.340696224570273</c:v>
                </c:pt>
                <c:pt idx="3">
                  <c:v>25.516384682456653</c:v>
                </c:pt>
                <c:pt idx="4">
                  <c:v>25.701153655350208</c:v>
                </c:pt>
                <c:pt idx="5">
                  <c:v>25.894488776226837</c:v>
                </c:pt>
                <c:pt idx="6">
                  <c:v>26.09587567895651</c:v>
                </c:pt>
                <c:pt idx="7">
                  <c:v>26.304799999296666</c:v>
                </c:pt>
                <c:pt idx="8">
                  <c:v>26.523957671757255</c:v>
                </c:pt>
                <c:pt idx="9">
                  <c:v>26.755821793313537</c:v>
                </c:pt>
                <c:pt idx="10">
                  <c:v>26.999543751244033</c:v>
                </c:pt>
                <c:pt idx="11">
                  <c:v>27.254274938361981</c:v>
                </c:pt>
                <c:pt idx="12">
                  <c:v>27.519166741307295</c:v>
                </c:pt>
                <c:pt idx="13">
                  <c:v>27.79337055214814</c:v>
                </c:pt>
                <c:pt idx="14">
                  <c:v>28.07603775896132</c:v>
                </c:pt>
                <c:pt idx="15">
                  <c:v>28.366319750675132</c:v>
                </c:pt>
                <c:pt idx="16">
                  <c:v>28.663367918133737</c:v>
                </c:pt>
                <c:pt idx="17">
                  <c:v>28.966333647817372</c:v>
                </c:pt>
                <c:pt idx="18">
                  <c:v>29.274368331687789</c:v>
                </c:pt>
                <c:pt idx="19">
                  <c:v>29.586623360216617</c:v>
                </c:pt>
                <c:pt idx="20">
                  <c:v>29.902250118127892</c:v>
                </c:pt>
                <c:pt idx="21">
                  <c:v>30.220399998873472</c:v>
                </c:pt>
                <c:pt idx="22">
                  <c:v>30.544486369884442</c:v>
                </c:pt>
                <c:pt idx="23">
                  <c:v>30.877829737163019</c:v>
                </c:pt>
                <c:pt idx="24">
                  <c:v>31.2194422006474</c:v>
                </c:pt>
                <c:pt idx="25">
                  <c:v>31.568335859903264</c:v>
                </c:pt>
                <c:pt idx="26">
                  <c:v>31.923522812540511</c:v>
                </c:pt>
                <c:pt idx="27">
                  <c:v>32.284015160160401</c:v>
                </c:pt>
                <c:pt idx="28">
                  <c:v>32.648824999947102</c:v>
                </c:pt>
                <c:pt idx="29">
                  <c:v>33.01696443089417</c:v>
                </c:pt>
                <c:pt idx="30">
                  <c:v>33.387445553950968</c:v>
                </c:pt>
                <c:pt idx="31">
                  <c:v>33.759280465889191</c:v>
                </c:pt>
                <c:pt idx="32">
                  <c:v>34.131481268004116</c:v>
                </c:pt>
                <c:pt idx="33">
                  <c:v>34.503060058185035</c:v>
                </c:pt>
                <c:pt idx="34">
                  <c:v>34.873028935718217</c:v>
                </c:pt>
                <c:pt idx="35">
                  <c:v>35.240399999916555</c:v>
                </c:pt>
                <c:pt idx="36">
                  <c:v>35.606892929844818</c:v>
                </c:pt>
                <c:pt idx="37">
                  <c:v>35.97481282777818</c:v>
                </c:pt>
                <c:pt idx="38">
                  <c:v>36.34404992690709</c:v>
                </c:pt>
                <c:pt idx="39">
                  <c:v>36.71449446050184</c:v>
                </c:pt>
                <c:pt idx="40">
                  <c:v>37.086036661626508</c:v>
                </c:pt>
                <c:pt idx="41">
                  <c:v>37.458566763637847</c:v>
                </c:pt>
                <c:pt idx="42">
                  <c:v>37.831974999886008</c:v>
                </c:pt>
                <c:pt idx="43">
                  <c:v>38.206151603295332</c:v>
                </c:pt>
                <c:pt idx="44">
                  <c:v>38.580986807575179</c:v>
                </c:pt>
                <c:pt idx="45">
                  <c:v>38.95637084543705</c:v>
                </c:pt>
                <c:pt idx="46">
                  <c:v>39.332193950450574</c:v>
                </c:pt>
                <c:pt idx="47">
                  <c:v>39.708346355600021</c:v>
                </c:pt>
                <c:pt idx="48">
                  <c:v>40.08471829447496</c:v>
                </c:pt>
                <c:pt idx="49">
                  <c:v>40.461199999973175</c:v>
                </c:pt>
                <c:pt idx="50">
                  <c:v>40.837956122488585</c:v>
                </c:pt>
                <c:pt idx="51">
                  <c:v>41.215224489769234</c:v>
                </c:pt>
                <c:pt idx="52">
                  <c:v>41.593005101961481</c:v>
                </c:pt>
                <c:pt idx="53">
                  <c:v>41.971297959171764</c:v>
                </c:pt>
                <c:pt idx="54">
                  <c:v>42.350103061180562</c:v>
                </c:pt>
                <c:pt idx="55">
                  <c:v>42.729420408180786</c:v>
                </c:pt>
                <c:pt idx="56">
                  <c:v>43.109249999979511</c:v>
                </c:pt>
                <c:pt idx="57">
                  <c:v>43.48959183668984</c:v>
                </c:pt>
                <c:pt idx="58">
                  <c:v>43.870445918351678</c:v>
                </c:pt>
                <c:pt idx="59">
                  <c:v>44.251812244885201</c:v>
                </c:pt>
                <c:pt idx="60">
                  <c:v>44.633690816330322</c:v>
                </c:pt>
                <c:pt idx="61">
                  <c:v>45.016081632567307</c:v>
                </c:pt>
                <c:pt idx="62">
                  <c:v>45.398984693915452</c:v>
                </c:pt>
                <c:pt idx="63">
                  <c:v>45.782399999909103</c:v>
                </c:pt>
                <c:pt idx="64">
                  <c:v>46.167516691058083</c:v>
                </c:pt>
                <c:pt idx="65">
                  <c:v>46.555158017549132</c:v>
                </c:pt>
                <c:pt idx="66">
                  <c:v>46.94477514588673</c:v>
                </c:pt>
                <c:pt idx="67">
                  <c:v>47.3358192421762</c:v>
                </c:pt>
                <c:pt idx="68">
                  <c:v>47.727741472389816</c:v>
                </c:pt>
                <c:pt idx="69">
                  <c:v>48.119993002925597</c:v>
                </c:pt>
                <c:pt idx="70">
                  <c:v>48.51202500006184</c:v>
                </c:pt>
                <c:pt idx="71">
                  <c:v>48.903288629863937</c:v>
                </c:pt>
                <c:pt idx="72">
                  <c:v>49.293235058550323</c:v>
                </c:pt>
                <c:pt idx="73">
                  <c:v>49.68131545239261</c:v>
                </c:pt>
                <c:pt idx="74">
                  <c:v>50.066980976551505</c:v>
                </c:pt>
                <c:pt idx="75">
                  <c:v>50.449682798795408</c:v>
                </c:pt>
                <c:pt idx="76">
                  <c:v>50.828872084890364</c:v>
                </c:pt>
                <c:pt idx="77">
                  <c:v>51.204000000283123</c:v>
                </c:pt>
                <c:pt idx="78">
                  <c:v>51.577792420264871</c:v>
                </c:pt>
                <c:pt idx="79">
                  <c:v>51.952755685044188</c:v>
                </c:pt>
                <c:pt idx="80">
                  <c:v>52.32801166163491</c:v>
                </c:pt>
                <c:pt idx="81">
                  <c:v>52.702682215720415</c:v>
                </c:pt>
                <c:pt idx="82">
                  <c:v>53.075889212984052</c:v>
                </c:pt>
                <c:pt idx="83">
                  <c:v>53.446754519109206</c:v>
                </c:pt>
                <c:pt idx="84">
                  <c:v>53.814400000125168</c:v>
                </c:pt>
                <c:pt idx="85">
                  <c:v>54.177947521741899</c:v>
                </c:pt>
                <c:pt idx="86">
                  <c:v>54.536518951132891</c:v>
                </c:pt>
                <c:pt idx="87">
                  <c:v>54.889236151959224</c:v>
                </c:pt>
                <c:pt idx="88">
                  <c:v>55.235220992166013</c:v>
                </c:pt>
                <c:pt idx="89">
                  <c:v>55.573595335866727</c:v>
                </c:pt>
                <c:pt idx="90">
                  <c:v>55.903481050101774</c:v>
                </c:pt>
                <c:pt idx="91">
                  <c:v>56.224000000208619</c:v>
                </c:pt>
                <c:pt idx="92">
                  <c:v>56.536707215969045</c:v>
                </c:pt>
                <c:pt idx="93">
                  <c:v>56.843669970865754</c:v>
                </c:pt>
                <c:pt idx="94">
                  <c:v>57.144778498475048</c:v>
                </c:pt>
                <c:pt idx="95">
                  <c:v>57.439923031947444</c:v>
                </c:pt>
                <c:pt idx="96">
                  <c:v>57.728993804859257</c:v>
                </c:pt>
                <c:pt idx="97">
                  <c:v>58.011881050786805</c:v>
                </c:pt>
                <c:pt idx="98">
                  <c:v>58.288475000485775</c:v>
                </c:pt>
                <c:pt idx="99">
                  <c:v>58.558665889501569</c:v>
                </c:pt>
                <c:pt idx="100">
                  <c:v>58.822343950399329</c:v>
                </c:pt>
                <c:pt idx="101">
                  <c:v>59.079399417766503</c:v>
                </c:pt>
                <c:pt idx="102">
                  <c:v>59.329722521986277</c:v>
                </c:pt>
                <c:pt idx="103">
                  <c:v>59.573203498444386</c:v>
                </c:pt>
                <c:pt idx="104">
                  <c:v>59.809732579280229</c:v>
                </c:pt>
                <c:pt idx="105">
                  <c:v>60.039199999719855</c:v>
                </c:pt>
                <c:pt idx="106">
                  <c:v>60.261770408547349</c:v>
                </c:pt>
                <c:pt idx="107">
                  <c:v>60.477681633085012</c:v>
                </c:pt>
                <c:pt idx="108">
                  <c:v>60.686933673173186</c:v>
                </c:pt>
                <c:pt idx="109">
                  <c:v>60.889526530355212</c:v>
                </c:pt>
                <c:pt idx="110">
                  <c:v>61.08546020463109</c:v>
                </c:pt>
                <c:pt idx="111">
                  <c:v>61.274734694510698</c:v>
                </c:pt>
                <c:pt idx="112">
                  <c:v>61.457349999621513</c:v>
                </c:pt>
                <c:pt idx="113">
                  <c:v>61.633306121719741</c:v>
                </c:pt>
                <c:pt idx="114">
                  <c:v>61.802603061231117</c:v>
                </c:pt>
                <c:pt idx="115">
                  <c:v>61.96524081645267</c:v>
                </c:pt>
                <c:pt idx="116">
                  <c:v>62.121219387650491</c:v>
                </c:pt>
                <c:pt idx="117">
                  <c:v>62.27053877434561</c:v>
                </c:pt>
                <c:pt idx="118">
                  <c:v>62.413198979890772</c:v>
                </c:pt>
                <c:pt idx="119">
                  <c:v>62.549199999868868</c:v>
                </c:pt>
                <c:pt idx="120">
                  <c:v>62.677590524990634</c:v>
                </c:pt>
                <c:pt idx="121">
                  <c:v>62.797711952456403</c:v>
                </c:pt>
                <c:pt idx="122">
                  <c:v>62.910003353495689</c:v>
                </c:pt>
                <c:pt idx="123">
                  <c:v>63.014903790184427</c:v>
                </c:pt>
                <c:pt idx="124">
                  <c:v>63.112852332315278</c:v>
                </c:pt>
                <c:pt idx="125">
                  <c:v>63.20428804606199</c:v>
                </c:pt>
                <c:pt idx="126">
                  <c:v>63.28965000100434</c:v>
                </c:pt>
                <c:pt idx="127">
                  <c:v>63.369377259484352</c:v>
                </c:pt>
                <c:pt idx="128">
                  <c:v>63.443908891986517</c:v>
                </c:pt>
                <c:pt idx="129">
                  <c:v>63.513683965376444</c:v>
                </c:pt>
                <c:pt idx="130">
                  <c:v>63.579141545295712</c:v>
                </c:pt>
                <c:pt idx="131">
                  <c:v>63.640720700153295</c:v>
                </c:pt>
                <c:pt idx="132">
                  <c:v>63.69886049638901</c:v>
                </c:pt>
                <c:pt idx="133">
                  <c:v>63.75399999991059</c:v>
                </c:pt>
                <c:pt idx="134">
                  <c:v>63.805004956147499</c:v>
                </c:pt>
                <c:pt idx="135">
                  <c:v>63.85059475270765</c:v>
                </c:pt>
                <c:pt idx="136">
                  <c:v>63.890988920708857</c:v>
                </c:pt>
                <c:pt idx="137">
                  <c:v>63.926406996803621</c:v>
                </c:pt>
                <c:pt idx="138">
                  <c:v>63.957068513253965</c:v>
                </c:pt>
                <c:pt idx="139">
                  <c:v>63.983193002587974</c:v>
                </c:pt>
                <c:pt idx="140">
                  <c:v>64.004999999888241</c:v>
                </c:pt>
                <c:pt idx="141">
                  <c:v>64.022709038215027</c:v>
                </c:pt>
                <c:pt idx="142">
                  <c:v>64.036539649910168</c:v>
                </c:pt>
                <c:pt idx="143">
                  <c:v>64.046711370508575</c:v>
                </c:pt>
                <c:pt idx="144">
                  <c:v>64.053443731527253</c:v>
                </c:pt>
                <c:pt idx="145">
                  <c:v>64.056956267889063</c:v>
                </c:pt>
                <c:pt idx="146">
                  <c:v>64.057468513133273</c:v>
                </c:pt>
                <c:pt idx="147">
                  <c:v>64.055200000107291</c:v>
                </c:pt>
                <c:pt idx="148">
                  <c:v>64.048870116964508</c:v>
                </c:pt>
                <c:pt idx="149">
                  <c:v>64.037344606167508</c:v>
                </c:pt>
                <c:pt idx="150">
                  <c:v>64.021062536457819</c:v>
                </c:pt>
                <c:pt idx="151">
                  <c:v>64.000462973809675</c:v>
                </c:pt>
                <c:pt idx="152">
                  <c:v>63.975984985394668</c:v>
                </c:pt>
                <c:pt idx="153">
                  <c:v>63.948067638836804</c:v>
                </c:pt>
                <c:pt idx="154">
                  <c:v>63.917149999737738</c:v>
                </c:pt>
                <c:pt idx="155">
                  <c:v>63.88367113705192</c:v>
                </c:pt>
                <c:pt idx="156">
                  <c:v>63.84807011651408</c:v>
                </c:pt>
                <c:pt idx="157">
                  <c:v>63.810786005961042</c:v>
                </c:pt>
                <c:pt idx="158">
                  <c:v>63.772257871699651</c:v>
                </c:pt>
                <c:pt idx="159">
                  <c:v>63.732924781313969</c:v>
                </c:pt>
                <c:pt idx="160">
                  <c:v>63.693225801802647</c:v>
                </c:pt>
                <c:pt idx="161">
                  <c:v>63.653600000217558</c:v>
                </c:pt>
                <c:pt idx="162">
                  <c:v>63.613388775475322</c:v>
                </c:pt>
                <c:pt idx="163">
                  <c:v>63.571640816517174</c:v>
                </c:pt>
                <c:pt idx="164">
                  <c:v>63.528356122784317</c:v>
                </c:pt>
                <c:pt idx="165">
                  <c:v>63.483534693904218</c:v>
                </c:pt>
                <c:pt idx="166">
                  <c:v>63.437176530741681</c:v>
                </c:pt>
                <c:pt idx="167">
                  <c:v>63.38928163248513</c:v>
                </c:pt>
                <c:pt idx="168">
                  <c:v>63.339850000012667</c:v>
                </c:pt>
                <c:pt idx="169">
                  <c:v>63.288881632765495</c:v>
                </c:pt>
                <c:pt idx="170">
                  <c:v>63.236376530557344</c:v>
                </c:pt>
                <c:pt idx="171">
                  <c:v>63.182334693893793</c:v>
                </c:pt>
                <c:pt idx="172">
                  <c:v>63.126756122229359</c:v>
                </c:pt>
                <c:pt idx="173">
                  <c:v>63.069640816189349</c:v>
                </c:pt>
                <c:pt idx="174">
                  <c:v>63.010988775627425</c:v>
                </c:pt>
                <c:pt idx="175">
                  <c:v>62.950799999758601</c:v>
                </c:pt>
                <c:pt idx="176">
                  <c:v>62.889074489833526</c:v>
                </c:pt>
                <c:pt idx="177">
                  <c:v>62.825812244654763</c:v>
                </c:pt>
                <c:pt idx="178">
                  <c:v>62.761013265140356</c:v>
                </c:pt>
                <c:pt idx="179">
                  <c:v>62.69467755109072</c:v>
                </c:pt>
                <c:pt idx="180">
                  <c:v>62.626805101893844</c:v>
                </c:pt>
                <c:pt idx="181">
                  <c:v>62.557395918294787</c:v>
                </c:pt>
                <c:pt idx="182">
                  <c:v>62.486449999921021</c:v>
                </c:pt>
                <c:pt idx="183">
                  <c:v>62.413967346852381</c:v>
                </c:pt>
                <c:pt idx="184">
                  <c:v>62.339947959221902</c:v>
                </c:pt>
                <c:pt idx="185">
                  <c:v>62.264391836524013</c:v>
                </c:pt>
                <c:pt idx="186">
                  <c:v>62.187298979610205</c:v>
                </c:pt>
                <c:pt idx="187">
                  <c:v>62.10866938760239</c:v>
                </c:pt>
                <c:pt idx="188">
                  <c:v>62.028503061258888</c:v>
                </c:pt>
                <c:pt idx="189">
                  <c:v>61.946800000034273</c:v>
                </c:pt>
                <c:pt idx="190">
                  <c:v>61.864035860209597</c:v>
                </c:pt>
                <c:pt idx="191">
                  <c:v>61.780539941681283</c:v>
                </c:pt>
                <c:pt idx="192">
                  <c:v>61.696092711468893</c:v>
                </c:pt>
                <c:pt idx="193">
                  <c:v>61.610474635740481</c:v>
                </c:pt>
                <c:pt idx="194">
                  <c:v>61.523466180983391</c:v>
                </c:pt>
                <c:pt idx="195">
                  <c:v>61.434847813578585</c:v>
                </c:pt>
                <c:pt idx="196">
                  <c:v>61.344399999827147</c:v>
                </c:pt>
                <c:pt idx="197">
                  <c:v>61.251903207280805</c:v>
                </c:pt>
                <c:pt idx="198">
                  <c:v>61.157137900817077</c:v>
                </c:pt>
                <c:pt idx="199">
                  <c:v>61.059884547921158</c:v>
                </c:pt>
                <c:pt idx="200">
                  <c:v>60.959923615519486</c:v>
                </c:pt>
                <c:pt idx="201">
                  <c:v>60.857035568516167</c:v>
                </c:pt>
                <c:pt idx="202">
                  <c:v>60.751000874396411</c:v>
                </c:pt>
                <c:pt idx="203">
                  <c:v>60.64159999974072</c:v>
                </c:pt>
                <c:pt idx="204">
                  <c:v>60.52916224516396</c:v>
                </c:pt>
                <c:pt idx="205">
                  <c:v>60.414163265324063</c:v>
                </c:pt>
                <c:pt idx="206">
                  <c:v>60.296603060886262</c:v>
                </c:pt>
                <c:pt idx="207">
                  <c:v>60.176481632675447</c:v>
                </c:pt>
                <c:pt idx="208">
                  <c:v>60.053798979494182</c:v>
                </c:pt>
                <c:pt idx="209">
                  <c:v>59.928555101901296</c:v>
                </c:pt>
                <c:pt idx="210">
                  <c:v>59.80074999965727</c:v>
                </c:pt>
                <c:pt idx="211">
                  <c:v>59.6703836732677</c:v>
                </c:pt>
                <c:pt idx="212">
                  <c:v>59.537456121934305</c:v>
                </c:pt>
                <c:pt idx="213">
                  <c:v>59.401967346668243</c:v>
                </c:pt>
                <c:pt idx="214">
                  <c:v>59.263917346830873</c:v>
                </c:pt>
                <c:pt idx="215">
                  <c:v>59.123306121836819</c:v>
                </c:pt>
                <c:pt idx="216">
                  <c:v>58.980133672856866</c:v>
                </c:pt>
                <c:pt idx="217">
                  <c:v>58.834399999678133</c:v>
                </c:pt>
                <c:pt idx="218">
                  <c:v>58.686580757583897</c:v>
                </c:pt>
                <c:pt idx="219">
                  <c:v>58.537005247175692</c:v>
                </c:pt>
                <c:pt idx="220">
                  <c:v>58.385453934967515</c:v>
                </c:pt>
                <c:pt idx="221">
                  <c:v>58.231707288218402</c:v>
                </c:pt>
                <c:pt idx="222">
                  <c:v>58.075545772138447</c:v>
                </c:pt>
                <c:pt idx="223">
                  <c:v>57.916749853747227</c:v>
                </c:pt>
                <c:pt idx="224">
                  <c:v>57.755099999532106</c:v>
                </c:pt>
                <c:pt idx="225">
                  <c:v>57.590376676512619</c:v>
                </c:pt>
                <c:pt idx="226">
                  <c:v>57.422360349845675</c:v>
                </c:pt>
                <c:pt idx="227">
                  <c:v>57.250831486816921</c:v>
                </c:pt>
                <c:pt idx="228">
                  <c:v>57.075570553966926</c:v>
                </c:pt>
                <c:pt idx="229">
                  <c:v>56.896358016718715</c:v>
                </c:pt>
                <c:pt idx="230">
                  <c:v>56.712974343688359</c:v>
                </c:pt>
                <c:pt idx="231">
                  <c:v>56.525199998915198</c:v>
                </c:pt>
                <c:pt idx="232">
                  <c:v>56.333364284836819</c:v>
                </c:pt>
                <c:pt idx="233">
                  <c:v>56.13794285665665</c:v>
                </c:pt>
                <c:pt idx="234">
                  <c:v>55.938935714215042</c:v>
                </c:pt>
                <c:pt idx="235">
                  <c:v>55.73634285724588</c:v>
                </c:pt>
                <c:pt idx="236">
                  <c:v>55.530164285483103</c:v>
                </c:pt>
                <c:pt idx="237">
                  <c:v>55.320400000044273</c:v>
                </c:pt>
                <c:pt idx="238">
                  <c:v>55.107050000131132</c:v>
                </c:pt>
                <c:pt idx="239">
                  <c:v>54.890114285051823</c:v>
                </c:pt>
                <c:pt idx="240">
                  <c:v>54.669592857094742</c:v>
                </c:pt>
                <c:pt idx="241">
                  <c:v>54.445485714077947</c:v>
                </c:pt>
                <c:pt idx="242">
                  <c:v>54.217792857278667</c:v>
                </c:pt>
                <c:pt idx="243">
                  <c:v>53.986514285951856</c:v>
                </c:pt>
                <c:pt idx="244">
                  <c:v>53.75165000036359</c:v>
                </c:pt>
                <c:pt idx="245">
                  <c:v>53.513199999183414</c:v>
                </c:pt>
                <c:pt idx="246">
                  <c:v>53.271164284752956</c:v>
                </c:pt>
                <c:pt idx="247">
                  <c:v>53.025542856220696</c:v>
                </c:pt>
                <c:pt idx="248">
                  <c:v>52.776335714172035</c:v>
                </c:pt>
                <c:pt idx="249">
                  <c:v>52.523542856850796</c:v>
                </c:pt>
                <c:pt idx="250">
                  <c:v>52.267164285480973</c:v>
                </c:pt>
                <c:pt idx="251">
                  <c:v>52.007199999690059</c:v>
                </c:pt>
                <c:pt idx="252">
                  <c:v>51.743649999424818</c:v>
                </c:pt>
                <c:pt idx="253">
                  <c:v>51.476514285377093</c:v>
                </c:pt>
                <c:pt idx="254">
                  <c:v>51.205792856695396</c:v>
                </c:pt>
                <c:pt idx="255">
                  <c:v>50.931485713805472</c:v>
                </c:pt>
                <c:pt idx="256">
                  <c:v>50.653592856813759</c:v>
                </c:pt>
                <c:pt idx="257">
                  <c:v>50.372114285720251</c:v>
                </c:pt>
                <c:pt idx="258">
                  <c:v>50.087049999141264</c:v>
                </c:pt>
                <c:pt idx="259">
                  <c:v>49.798399998992679</c:v>
                </c:pt>
                <c:pt idx="260">
                  <c:v>49.505926456834587</c:v>
                </c:pt>
                <c:pt idx="261">
                  <c:v>49.209464722499249</c:v>
                </c:pt>
                <c:pt idx="262">
                  <c:v>48.909124562436979</c:v>
                </c:pt>
                <c:pt idx="263">
                  <c:v>48.605015743204525</c:v>
                </c:pt>
                <c:pt idx="264">
                  <c:v>48.297248032316567</c:v>
                </c:pt>
                <c:pt idx="265">
                  <c:v>47.985931195425138</c:v>
                </c:pt>
                <c:pt idx="266">
                  <c:v>47.671174999326468</c:v>
                </c:pt>
                <c:pt idx="267">
                  <c:v>47.353089212732655</c:v>
                </c:pt>
                <c:pt idx="268">
                  <c:v>47.031783600257974</c:v>
                </c:pt>
                <c:pt idx="269">
                  <c:v>46.707367930135561</c:v>
                </c:pt>
                <c:pt idx="270">
                  <c:v>46.379951967671516</c:v>
                </c:pt>
                <c:pt idx="271">
                  <c:v>46.049645481045758</c:v>
                </c:pt>
                <c:pt idx="272">
                  <c:v>45.71655823580388</c:v>
                </c:pt>
                <c:pt idx="273">
                  <c:v>45.380799999833108</c:v>
                </c:pt>
                <c:pt idx="274">
                  <c:v>45.040779154084575</c:v>
                </c:pt>
                <c:pt idx="275">
                  <c:v>44.695269971005786</c:v>
                </c:pt>
                <c:pt idx="276">
                  <c:v>44.344931049218786</c:v>
                </c:pt>
                <c:pt idx="277">
                  <c:v>43.990420991178169</c:v>
                </c:pt>
                <c:pt idx="278">
                  <c:v>43.632398396302804</c:v>
                </c:pt>
                <c:pt idx="279">
                  <c:v>43.271521865930744</c:v>
                </c:pt>
                <c:pt idx="280">
                  <c:v>42.908449999772714</c:v>
                </c:pt>
                <c:pt idx="281">
                  <c:v>42.543841399405416</c:v>
                </c:pt>
                <c:pt idx="282">
                  <c:v>42.178354664543754</c:v>
                </c:pt>
                <c:pt idx="283">
                  <c:v>41.812648396493749</c:v>
                </c:pt>
                <c:pt idx="284">
                  <c:v>41.447381195238478</c:v>
                </c:pt>
                <c:pt idx="285">
                  <c:v>41.0832116617106</c:v>
                </c:pt>
                <c:pt idx="286">
                  <c:v>40.720798396479431</c:v>
                </c:pt>
                <c:pt idx="287">
                  <c:v>40.360799999997838</c:v>
                </c:pt>
                <c:pt idx="288">
                  <c:v>40.001039431464285</c:v>
                </c:pt>
                <c:pt idx="289">
                  <c:v>39.639266472363047</c:v>
                </c:pt>
                <c:pt idx="290">
                  <c:v>39.276029956297556</c:v>
                </c:pt>
                <c:pt idx="291">
                  <c:v>38.911878717200516</c:v>
                </c:pt>
                <c:pt idx="292">
                  <c:v>38.547361589048727</c:v>
                </c:pt>
                <c:pt idx="293">
                  <c:v>38.183027405293458</c:v>
                </c:pt>
                <c:pt idx="294">
                  <c:v>37.81942499981087</c:v>
                </c:pt>
                <c:pt idx="295">
                  <c:v>37.457103207218871</c:v>
                </c:pt>
                <c:pt idx="296">
                  <c:v>37.096610860168163</c:v>
                </c:pt>
                <c:pt idx="297">
                  <c:v>36.738496792798728</c:v>
                </c:pt>
                <c:pt idx="298">
                  <c:v>36.383309839758809</c:v>
                </c:pt>
                <c:pt idx="299">
                  <c:v>36.031598833777494</c:v>
                </c:pt>
                <c:pt idx="300">
                  <c:v>35.683912608889969</c:v>
                </c:pt>
                <c:pt idx="301">
                  <c:v>35.340799999982117</c:v>
                </c:pt>
                <c:pt idx="302">
                  <c:v>35.000724270993047</c:v>
                </c:pt>
                <c:pt idx="303">
                  <c:v>34.662002332934314</c:v>
                </c:pt>
                <c:pt idx="304">
                  <c:v>34.324963483879614</c:v>
                </c:pt>
                <c:pt idx="305">
                  <c:v>33.989937026106887</c:v>
                </c:pt>
                <c:pt idx="306">
                  <c:v>33.657252259472649</c:v>
                </c:pt>
                <c:pt idx="307">
                  <c:v>33.32723848372698</c:v>
                </c:pt>
                <c:pt idx="308">
                  <c:v>33.000225000455977</c:v>
                </c:pt>
                <c:pt idx="309">
                  <c:v>32.676541108318737</c:v>
                </c:pt>
                <c:pt idx="310">
                  <c:v>32.356516108103094</c:v>
                </c:pt>
                <c:pt idx="311">
                  <c:v>32.040479300384007</c:v>
                </c:pt>
                <c:pt idx="312">
                  <c:v>31.728759985204256</c:v>
                </c:pt>
                <c:pt idx="313">
                  <c:v>31.421687463617751</c:v>
                </c:pt>
                <c:pt idx="314">
                  <c:v>31.119591034948826</c:v>
                </c:pt>
                <c:pt idx="315">
                  <c:v>30.822799999266863</c:v>
                </c:pt>
                <c:pt idx="316">
                  <c:v>30.529631268392716</c:v>
                </c:pt>
                <c:pt idx="317">
                  <c:v>30.238548105635811</c:v>
                </c:pt>
                <c:pt idx="318">
                  <c:v>29.950099344019378</c:v>
                </c:pt>
                <c:pt idx="319">
                  <c:v>29.664833819546867</c:v>
                </c:pt>
                <c:pt idx="320">
                  <c:v>29.38330036396427</c:v>
                </c:pt>
                <c:pt idx="321">
                  <c:v>29.106047813381469</c:v>
                </c:pt>
                <c:pt idx="322">
                  <c:v>28.833624999597667</c:v>
                </c:pt>
                <c:pt idx="323">
                  <c:v>28.566580757924488</c:v>
                </c:pt>
                <c:pt idx="324">
                  <c:v>28.305463920852965</c:v>
                </c:pt>
                <c:pt idx="325">
                  <c:v>28.050823323747942</c:v>
                </c:pt>
                <c:pt idx="326">
                  <c:v>27.803207798834354</c:v>
                </c:pt>
                <c:pt idx="327">
                  <c:v>27.563166180572342</c:v>
                </c:pt>
                <c:pt idx="328">
                  <c:v>27.33124730267695</c:v>
                </c:pt>
                <c:pt idx="329">
                  <c:v>27.108000000566243</c:v>
                </c:pt>
                <c:pt idx="330">
                  <c:v>26.891174051484892</c:v>
                </c:pt>
                <c:pt idx="331">
                  <c:v>26.678592419198583</c:v>
                </c:pt>
                <c:pt idx="332">
                  <c:v>26.47091370208987</c:v>
                </c:pt>
                <c:pt idx="333">
                  <c:v>26.268796501627993</c:v>
                </c:pt>
                <c:pt idx="334">
                  <c:v>26.072899416993771</c:v>
                </c:pt>
                <c:pt idx="335">
                  <c:v>25.883881049071039</c:v>
                </c:pt>
                <c:pt idx="336">
                  <c:v>25.70240000113845</c:v>
                </c:pt>
                <c:pt idx="337">
                  <c:v>25.529114868279017</c:v>
                </c:pt>
                <c:pt idx="338">
                  <c:v>25.364684258933579</c:v>
                </c:pt>
                <c:pt idx="339">
                  <c:v>25.209766764938831</c:v>
                </c:pt>
                <c:pt idx="340">
                  <c:v>25.065020991276416</c:v>
                </c:pt>
                <c:pt idx="341">
                  <c:v>24.931105540267058</c:v>
                </c:pt>
                <c:pt idx="342">
                  <c:v>24.808679008430669</c:v>
                </c:pt>
                <c:pt idx="343">
                  <c:v>24.698400001227856</c:v>
                </c:pt>
                <c:pt idx="344">
                  <c:v>24.598150521836111</c:v>
                </c:pt>
                <c:pt idx="345">
                  <c:v>24.505721226547443</c:v>
                </c:pt>
                <c:pt idx="346">
                  <c:v>24.421633704751731</c:v>
                </c:pt>
                <c:pt idx="347">
                  <c:v>24.346409532214913</c:v>
                </c:pt>
                <c:pt idx="348">
                  <c:v>24.280570289386169</c:v>
                </c:pt>
                <c:pt idx="349">
                  <c:v>24.224637564165249</c:v>
                </c:pt>
                <c:pt idx="350">
                  <c:v>24.179132931679487</c:v>
                </c:pt>
                <c:pt idx="351">
                  <c:v>24.144577974506785</c:v>
                </c:pt>
                <c:pt idx="352">
                  <c:v>24.121494276928047</c:v>
                </c:pt>
                <c:pt idx="353">
                  <c:v>24.110403418966701</c:v>
                </c:pt>
                <c:pt idx="354">
                  <c:v>24.111826979368924</c:v>
                </c:pt>
                <c:pt idx="355">
                  <c:v>24.126286542202745</c:v>
                </c:pt>
                <c:pt idx="356">
                  <c:v>24.154303688768827</c:v>
                </c:pt>
                <c:pt idx="357">
                  <c:v>24.196399998664855</c:v>
                </c:pt>
                <c:pt idx="358">
                  <c:v>24.252993285655975</c:v>
                </c:pt>
                <c:pt idx="359">
                  <c:v>24.323810731669266</c:v>
                </c:pt>
                <c:pt idx="360">
                  <c:v>24.408337970077991</c:v>
                </c:pt>
                <c:pt idx="361">
                  <c:v>24.506060635646186</c:v>
                </c:pt>
                <c:pt idx="362">
                  <c:v>24.616464368005595</c:v>
                </c:pt>
                <c:pt idx="363">
                  <c:v>24.739034797549248</c:v>
                </c:pt>
                <c:pt idx="364">
                  <c:v>24.873257563809553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24.084283353934023</c:v>
                </c:pt>
                <c:pt idx="2">
                  <c:v>25.872417420672249</c:v>
                </c:pt>
                <c:pt idx="3">
                  <c:v>21.824345162432092</c:v>
                </c:pt>
                <c:pt idx="4">
                  <c:v>15.89891096179743</c:v>
                </c:pt>
                <c:pt idx="5">
                  <c:v>25.97684931198668</c:v>
                </c:pt>
                <c:pt idx="6">
                  <c:v>15.082360291680677</c:v>
                </c:pt>
                <c:pt idx="7">
                  <c:v>20.347217475948305</c:v>
                </c:pt>
                <c:pt idx="8">
                  <c:v>25.649292652260151</c:v>
                </c:pt>
                <c:pt idx="9">
                  <c:v>9.0351524420219071</c:v>
                </c:pt>
                <c:pt idx="10">
                  <c:v>27.372177107233075</c:v>
                </c:pt>
                <c:pt idx="11">
                  <c:v>27.37093962937724</c:v>
                </c:pt>
                <c:pt idx="12">
                  <c:v>16.17097757884445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29.066008249734857</c:v>
                </c:pt>
                <c:pt idx="18">
                  <c:v>30.468754573897851</c:v>
                </c:pt>
                <c:pt idx="19">
                  <c:v>12.26188245483894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18.471919028830147</c:v>
                </c:pt>
                <c:pt idx="28">
                  <c:v>19.775703807846384</c:v>
                </c:pt>
                <c:pt idx="29">
                  <c:v>11.80160840972839</c:v>
                </c:pt>
                <c:pt idx="30">
                  <c:v>23.12427848668732</c:v>
                </c:pt>
                <c:pt idx="31">
                  <c:v>14.021130827306354</c:v>
                </c:pt>
                <c:pt idx="32">
                  <c:v>29.977059055663016</c:v>
                </c:pt>
                <c:pt idx="33">
                  <c:v>27.588451395254136</c:v>
                </c:pt>
                <c:pt idx="34">
                  <c:v>19.347515119040757</c:v>
                </c:pt>
                <c:pt idx="35">
                  <c:v>35.681802082367859</c:v>
                </c:pt>
                <c:pt idx="36">
                  <c:v>37.076232391062831</c:v>
                </c:pt>
                <c:pt idx="37">
                  <c:v>24.451684563184926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31.561088268066062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38.116109222133424</c:v>
                </c:pt>
                <c:pt idx="45">
                  <c:v>37.957548920378891</c:v>
                </c:pt>
                <c:pt idx="46">
                  <c:v>33.411514000889703</c:v>
                </c:pt>
                <c:pt idx="47">
                  <c:v>36.826584894030596</c:v>
                </c:pt>
                <c:pt idx="48">
                  <c:v>32.083253619797951</c:v>
                </c:pt>
                <c:pt idx="49">
                  <c:v>39.436937045771522</c:v>
                </c:pt>
                <c:pt idx="50">
                  <c:v>41.467946828147284</c:v>
                </c:pt>
                <c:pt idx="51">
                  <c:v>23.950887388071926</c:v>
                </c:pt>
                <c:pt idx="52">
                  <c:v>39.949310572645629</c:v>
                </c:pt>
                <c:pt idx="53">
                  <c:v>41.571938803017574</c:v>
                </c:pt>
                <c:pt idx="54">
                  <c:v>41.52507944394246</c:v>
                </c:pt>
                <c:pt idx="55">
                  <c:v>36.519009293012743</c:v>
                </c:pt>
                <c:pt idx="56">
                  <c:v>43.481266681339839</c:v>
                </c:pt>
                <c:pt idx="57">
                  <c:v>42.979805880549684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30.966593074683484</c:v>
                </c:pt>
                <c:pt idx="61">
                  <c:v>38.923472241989082</c:v>
                </c:pt>
                <c:pt idx="62">
                  <c:v>32.038386239307918</c:v>
                </c:pt>
                <c:pt idx="63">
                  <c:v>38.035034481034316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45.223150143497143</c:v>
                </c:pt>
                <c:pt idx="68">
                  <c:v>44.941946667610743</c:v>
                </c:pt>
                <c:pt idx="69">
                  <c:v>33.644561072825525</c:v>
                </c:pt>
                <c:pt idx="70">
                  <c:v>43.401527185164618</c:v>
                </c:pt>
                <c:pt idx="71">
                  <c:v>43.4645843753053</c:v>
                </c:pt>
                <c:pt idx="72">
                  <c:v>41.9627960937136</c:v>
                </c:pt>
                <c:pt idx="73">
                  <c:v>33.906662518762403</c:v>
                </c:pt>
                <c:pt idx="74">
                  <c:v>50.695816320188271</c:v>
                </c:pt>
                <c:pt idx="75">
                  <c:v>27.308423529990701</c:v>
                </c:pt>
                <c:pt idx="76">
                  <c:v>34.112652515484889</c:v>
                </c:pt>
                <c:pt idx="77">
                  <c:v>46.811989092410982</c:v>
                </c:pt>
                <c:pt idx="78">
                  <c:v>50.974512464979433</c:v>
                </c:pt>
                <c:pt idx="79">
                  <c:v>52.150714918937091</c:v>
                </c:pt>
                <c:pt idx="80">
                  <c:v>50.892769880316351</c:v>
                </c:pt>
                <c:pt idx="81">
                  <c:v>53.286062169656844</c:v>
                </c:pt>
                <c:pt idx="82">
                  <c:v>52.432685420203406</c:v>
                </c:pt>
                <c:pt idx="83">
                  <c:v>46.350209045253081</c:v>
                </c:pt>
                <c:pt idx="84">
                  <c:v>54.664172365947202</c:v>
                </c:pt>
                <c:pt idx="85">
                  <c:v>53.82661692337178</c:v>
                </c:pt>
                <c:pt idx="86">
                  <c:v>53.283033319082513</c:v>
                </c:pt>
                <c:pt idx="87">
                  <c:v>55.473113479022246</c:v>
                </c:pt>
                <c:pt idx="88">
                  <c:v>54.228775027955102</c:v>
                </c:pt>
                <c:pt idx="89">
                  <c:v>49.948595361830613</c:v>
                </c:pt>
                <c:pt idx="90">
                  <c:v>50.703405728850484</c:v>
                </c:pt>
                <c:pt idx="91">
                  <c:v>45.942881049826532</c:v>
                </c:pt>
                <c:pt idx="92">
                  <c:v>55.561785950469968</c:v>
                </c:pt>
                <c:pt idx="93">
                  <c:v>57.558924699627966</c:v>
                </c:pt>
                <c:pt idx="94">
                  <c:v>59.132284614261103</c:v>
                </c:pt>
                <c:pt idx="95">
                  <c:v>59.680123270108488</c:v>
                </c:pt>
                <c:pt idx="96">
                  <c:v>57.850737846912956</c:v>
                </c:pt>
                <c:pt idx="97">
                  <c:v>57.096062387011123</c:v>
                </c:pt>
                <c:pt idx="98">
                  <c:v>45.048186570983958</c:v>
                </c:pt>
                <c:pt idx="99">
                  <c:v>58.33024090130305</c:v>
                </c:pt>
                <c:pt idx="100">
                  <c:v>59.403908056990687</c:v>
                </c:pt>
                <c:pt idx="101">
                  <c:v>58.857771528976158</c:v>
                </c:pt>
                <c:pt idx="102">
                  <c:v>58.816606841862637</c:v>
                </c:pt>
                <c:pt idx="103">
                  <c:v>59.036177217934771</c:v>
                </c:pt>
                <c:pt idx="104">
                  <c:v>59.816550107721071</c:v>
                </c:pt>
                <c:pt idx="105">
                  <c:v>51.884062779817704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59.533076172726751</c:v>
                </c:pt>
                <c:pt idx="109">
                  <c:v>52.580415314681325</c:v>
                </c:pt>
                <c:pt idx="110">
                  <c:v>55.246951602065522</c:v>
                </c:pt>
                <c:pt idx="111">
                  <c:v>61.484611749803321</c:v>
                </c:pt>
                <c:pt idx="112">
                  <c:v>61.411826255045938</c:v>
                </c:pt>
                <c:pt idx="113">
                  <c:v>58.10105142457774</c:v>
                </c:pt>
                <c:pt idx="114">
                  <c:v>57.415722541484826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46.721279625112096</c:v>
                </c:pt>
                <c:pt idx="118">
                  <c:v>51.783140656081144</c:v>
                </c:pt>
                <c:pt idx="119">
                  <c:v>61.648626642094747</c:v>
                </c:pt>
                <c:pt idx="120">
                  <c:v>57.098058064772587</c:v>
                </c:pt>
                <c:pt idx="121">
                  <c:v>49.564429764978506</c:v>
                </c:pt>
                <c:pt idx="122">
                  <c:v>61.404519088032231</c:v>
                </c:pt>
                <c:pt idx="123">
                  <c:v>54.000058250195806</c:v>
                </c:pt>
                <c:pt idx="124">
                  <c:v>59.96671405061354</c:v>
                </c:pt>
                <c:pt idx="125">
                  <c:v>63.959766591204975</c:v>
                </c:pt>
                <c:pt idx="126">
                  <c:v>60.392486037860046</c:v>
                </c:pt>
                <c:pt idx="127">
                  <c:v>59.443974291396984</c:v>
                </c:pt>
                <c:pt idx="128">
                  <c:v>60.188657093420851</c:v>
                </c:pt>
                <c:pt idx="129">
                  <c:v>56.228332022395691</c:v>
                </c:pt>
                <c:pt idx="130">
                  <c:v>60.639614204775107</c:v>
                </c:pt>
                <c:pt idx="131">
                  <c:v>56.127004376201441</c:v>
                </c:pt>
                <c:pt idx="132">
                  <c:v>64.735176440204555</c:v>
                </c:pt>
                <c:pt idx="133">
                  <c:v>63.17753058579234</c:v>
                </c:pt>
                <c:pt idx="134">
                  <c:v>63.749746861981109</c:v>
                </c:pt>
                <c:pt idx="135">
                  <c:v>55.11584961334696</c:v>
                </c:pt>
                <c:pt idx="136">
                  <c:v>58.789381900861969</c:v>
                </c:pt>
                <c:pt idx="137">
                  <c:v>65.112138934007149</c:v>
                </c:pt>
                <c:pt idx="138">
                  <c:v>63.796579298765408</c:v>
                </c:pt>
                <c:pt idx="139">
                  <c:v>63.305602398396879</c:v>
                </c:pt>
                <c:pt idx="140">
                  <c:v>61.653025263591708</c:v>
                </c:pt>
                <c:pt idx="141">
                  <c:v>60.757180610940942</c:v>
                </c:pt>
                <c:pt idx="142">
                  <c:v>57.940082195716684</c:v>
                </c:pt>
                <c:pt idx="143">
                  <c:v>27.39141049073487</c:v>
                </c:pt>
                <c:pt idx="144">
                  <c:v>59.825577923222795</c:v>
                </c:pt>
                <c:pt idx="145">
                  <c:v>62.596709791929555</c:v>
                </c:pt>
                <c:pt idx="146">
                  <c:v>62.270971233570506</c:v>
                </c:pt>
                <c:pt idx="147">
                  <c:v>61.405954695216622</c:v>
                </c:pt>
                <c:pt idx="148">
                  <c:v>64.959236791876052</c:v>
                </c:pt>
                <c:pt idx="149">
                  <c:v>59.25879141798292</c:v>
                </c:pt>
                <c:pt idx="150">
                  <c:v>62.682352866116169</c:v>
                </c:pt>
                <c:pt idx="151">
                  <c:v>63.124729427681508</c:v>
                </c:pt>
                <c:pt idx="152">
                  <c:v>62.353294055215706</c:v>
                </c:pt>
                <c:pt idx="153">
                  <c:v>59.425155204871523</c:v>
                </c:pt>
                <c:pt idx="154">
                  <c:v>57.206955445857666</c:v>
                </c:pt>
                <c:pt idx="155">
                  <c:v>45.501902889660293</c:v>
                </c:pt>
                <c:pt idx="156">
                  <c:v>58.87079114151684</c:v>
                </c:pt>
                <c:pt idx="157">
                  <c:v>52.613805955532094</c:v>
                </c:pt>
                <c:pt idx="158">
                  <c:v>63.747853574878313</c:v>
                </c:pt>
                <c:pt idx="159">
                  <c:v>60.451525350346095</c:v>
                </c:pt>
                <c:pt idx="160">
                  <c:v>62.637503037871667</c:v>
                </c:pt>
                <c:pt idx="161">
                  <c:v>60.537141760881475</c:v>
                </c:pt>
                <c:pt idx="162">
                  <c:v>56.41651381708197</c:v>
                </c:pt>
                <c:pt idx="163">
                  <c:v>64.279104061315721</c:v>
                </c:pt>
                <c:pt idx="164">
                  <c:v>56.161235442538548</c:v>
                </c:pt>
                <c:pt idx="165">
                  <c:v>59.248417323391159</c:v>
                </c:pt>
                <c:pt idx="166">
                  <c:v>63.760579589282713</c:v>
                </c:pt>
                <c:pt idx="167">
                  <c:v>62.238525909161851</c:v>
                </c:pt>
                <c:pt idx="168">
                  <c:v>59.681614719407001</c:v>
                </c:pt>
                <c:pt idx="169">
                  <c:v>61.139288627331723</c:v>
                </c:pt>
                <c:pt idx="170">
                  <c:v>56.990075158502776</c:v>
                </c:pt>
                <c:pt idx="171">
                  <c:v>52.195932812822107</c:v>
                </c:pt>
                <c:pt idx="172">
                  <c:v>63.676809848065162</c:v>
                </c:pt>
                <c:pt idx="173">
                  <c:v>54.409239843799597</c:v>
                </c:pt>
                <c:pt idx="174">
                  <c:v>62.441537989908561</c:v>
                </c:pt>
                <c:pt idx="175">
                  <c:v>58.359170518097258</c:v>
                </c:pt>
                <c:pt idx="176">
                  <c:v>60.460509614669505</c:v>
                </c:pt>
                <c:pt idx="177">
                  <c:v>59.284461981263078</c:v>
                </c:pt>
                <c:pt idx="178">
                  <c:v>63.585131804859891</c:v>
                </c:pt>
                <c:pt idx="179">
                  <c:v>61.767891978922982</c:v>
                </c:pt>
                <c:pt idx="180">
                  <c:v>52.702185547178217</c:v>
                </c:pt>
                <c:pt idx="181">
                  <c:v>60.959454139649438</c:v>
                </c:pt>
                <c:pt idx="182">
                  <c:v>60.712601293017094</c:v>
                </c:pt>
                <c:pt idx="183">
                  <c:v>50.016891761523738</c:v>
                </c:pt>
                <c:pt idx="184">
                  <c:v>58.082093863284776</c:v>
                </c:pt>
                <c:pt idx="185">
                  <c:v>61.390169549077257</c:v>
                </c:pt>
                <c:pt idx="186">
                  <c:v>60.936475957669771</c:v>
                </c:pt>
                <c:pt idx="187">
                  <c:v>60.083895316609272</c:v>
                </c:pt>
                <c:pt idx="188">
                  <c:v>63.179240618782657</c:v>
                </c:pt>
                <c:pt idx="189">
                  <c:v>61.952223381648238</c:v>
                </c:pt>
                <c:pt idx="190">
                  <c:v>61.369131281717756</c:v>
                </c:pt>
                <c:pt idx="191">
                  <c:v>60.983970970198122</c:v>
                </c:pt>
                <c:pt idx="192">
                  <c:v>61.397076269848142</c:v>
                </c:pt>
                <c:pt idx="193">
                  <c:v>59.212572300737307</c:v>
                </c:pt>
                <c:pt idx="194">
                  <c:v>61.162094530225126</c:v>
                </c:pt>
                <c:pt idx="195">
                  <c:v>62.506291921724774</c:v>
                </c:pt>
                <c:pt idx="196">
                  <c:v>60.8270261955942</c:v>
                </c:pt>
                <c:pt idx="197">
                  <c:v>61.26677577265081</c:v>
                </c:pt>
                <c:pt idx="198">
                  <c:v>58.86448423611867</c:v>
                </c:pt>
                <c:pt idx="199">
                  <c:v>60.996282625351171</c:v>
                </c:pt>
                <c:pt idx="200">
                  <c:v>59.776097909915435</c:v>
                </c:pt>
                <c:pt idx="201">
                  <c:v>56.978356977824554</c:v>
                </c:pt>
                <c:pt idx="202">
                  <c:v>55.348148280408218</c:v>
                </c:pt>
                <c:pt idx="203">
                  <c:v>56.109961045476417</c:v>
                </c:pt>
                <c:pt idx="204">
                  <c:v>57.246859486598268</c:v>
                </c:pt>
                <c:pt idx="205">
                  <c:v>59.315557328001788</c:v>
                </c:pt>
                <c:pt idx="206">
                  <c:v>61.877218642952464</c:v>
                </c:pt>
                <c:pt idx="207">
                  <c:v>61.925460480563899</c:v>
                </c:pt>
                <c:pt idx="208">
                  <c:v>56.218409152668862</c:v>
                </c:pt>
                <c:pt idx="209">
                  <c:v>59.204840320642759</c:v>
                </c:pt>
                <c:pt idx="210">
                  <c:v>53.348435713615878</c:v>
                </c:pt>
                <c:pt idx="211">
                  <c:v>59.241957497118648</c:v>
                </c:pt>
                <c:pt idx="212">
                  <c:v>58.846066079470248</c:v>
                </c:pt>
                <c:pt idx="213">
                  <c:v>58.839724664908012</c:v>
                </c:pt>
                <c:pt idx="214">
                  <c:v>56.932913500318811</c:v>
                </c:pt>
                <c:pt idx="215">
                  <c:v>54.750209948964994</c:v>
                </c:pt>
                <c:pt idx="216">
                  <c:v>57.498472641811972</c:v>
                </c:pt>
                <c:pt idx="217">
                  <c:v>58.413322100606401</c:v>
                </c:pt>
                <c:pt idx="218">
                  <c:v>57.470235138587057</c:v>
                </c:pt>
                <c:pt idx="219">
                  <c:v>57.960285399615913</c:v>
                </c:pt>
                <c:pt idx="220">
                  <c:v>56.144783633335642</c:v>
                </c:pt>
                <c:pt idx="221">
                  <c:v>53.37794367209424</c:v>
                </c:pt>
                <c:pt idx="222">
                  <c:v>51.914944304147305</c:v>
                </c:pt>
                <c:pt idx="223">
                  <c:v>52.007510007500251</c:v>
                </c:pt>
                <c:pt idx="224">
                  <c:v>49.870847104426645</c:v>
                </c:pt>
                <c:pt idx="225">
                  <c:v>56.99494858795164</c:v>
                </c:pt>
                <c:pt idx="226">
                  <c:v>50.673625731633024</c:v>
                </c:pt>
                <c:pt idx="227">
                  <c:v>55.891220971481495</c:v>
                </c:pt>
                <c:pt idx="228">
                  <c:v>54.973908818601828</c:v>
                </c:pt>
                <c:pt idx="229">
                  <c:v>54.287330596628593</c:v>
                </c:pt>
                <c:pt idx="230">
                  <c:v>46.197672752985881</c:v>
                </c:pt>
                <c:pt idx="231">
                  <c:v>54.248110681105196</c:v>
                </c:pt>
                <c:pt idx="232">
                  <c:v>54.553633144965026</c:v>
                </c:pt>
                <c:pt idx="233">
                  <c:v>56.59830554422004</c:v>
                </c:pt>
                <c:pt idx="234">
                  <c:v>53.920594526150673</c:v>
                </c:pt>
                <c:pt idx="235">
                  <c:v>53.710943273979339</c:v>
                </c:pt>
                <c:pt idx="236">
                  <c:v>50.59926404911738</c:v>
                </c:pt>
                <c:pt idx="237">
                  <c:v>53.844483293966427</c:v>
                </c:pt>
                <c:pt idx="238">
                  <c:v>53.503080570691075</c:v>
                </c:pt>
                <c:pt idx="239">
                  <c:v>54.734917062438733</c:v>
                </c:pt>
                <c:pt idx="240">
                  <c:v>54.247939934538053</c:v>
                </c:pt>
                <c:pt idx="241">
                  <c:v>52.905760781813107</c:v>
                </c:pt>
                <c:pt idx="242">
                  <c:v>52.429420207764473</c:v>
                </c:pt>
                <c:pt idx="243">
                  <c:v>47.872949450269061</c:v>
                </c:pt>
                <c:pt idx="244">
                  <c:v>52.448101483562709</c:v>
                </c:pt>
                <c:pt idx="245">
                  <c:v>55.043508007448153</c:v>
                </c:pt>
                <c:pt idx="246">
                  <c:v>53.392231312994895</c:v>
                </c:pt>
                <c:pt idx="247">
                  <c:v>53.427461866974461</c:v>
                </c:pt>
                <c:pt idx="248">
                  <c:v>54.427802265876565</c:v>
                </c:pt>
                <c:pt idx="249">
                  <c:v>49.351657913110358</c:v>
                </c:pt>
                <c:pt idx="250">
                  <c:v>48.219770599083176</c:v>
                </c:pt>
                <c:pt idx="251">
                  <c:v>50.375328728188094</c:v>
                </c:pt>
                <c:pt idx="252">
                  <c:v>50.689006934365501</c:v>
                </c:pt>
                <c:pt idx="253">
                  <c:v>50.070320857235181</c:v>
                </c:pt>
                <c:pt idx="254">
                  <c:v>50.716513586551613</c:v>
                </c:pt>
                <c:pt idx="255">
                  <c:v>48.946025733501244</c:v>
                </c:pt>
                <c:pt idx="256">
                  <c:v>48.424336454195235</c:v>
                </c:pt>
                <c:pt idx="257">
                  <c:v>49.537413864977964</c:v>
                </c:pt>
                <c:pt idx="258">
                  <c:v>43.865326468567289</c:v>
                </c:pt>
                <c:pt idx="259">
                  <c:v>49.501535281548286</c:v>
                </c:pt>
                <c:pt idx="260">
                  <c:v>49.499723325417328</c:v>
                </c:pt>
                <c:pt idx="261">
                  <c:v>48.833226198141027</c:v>
                </c:pt>
                <c:pt idx="262">
                  <c:v>50.698686823362124</c:v>
                </c:pt>
                <c:pt idx="263">
                  <c:v>49.399515767454261</c:v>
                </c:pt>
                <c:pt idx="264">
                  <c:v>47.807494573948958</c:v>
                </c:pt>
                <c:pt idx="265">
                  <c:v>41.863369362780062</c:v>
                </c:pt>
                <c:pt idx="266">
                  <c:v>40.4343470381435</c:v>
                </c:pt>
                <c:pt idx="267">
                  <c:v>38.712672418777252</c:v>
                </c:pt>
                <c:pt idx="268">
                  <c:v>39.693686966189702</c:v>
                </c:pt>
                <c:pt idx="269">
                  <c:v>37.960845399345402</c:v>
                </c:pt>
                <c:pt idx="270">
                  <c:v>38.326040675068562</c:v>
                </c:pt>
                <c:pt idx="271">
                  <c:v>44.025423023353014</c:v>
                </c:pt>
                <c:pt idx="272">
                  <c:v>36.159220038545989</c:v>
                </c:pt>
                <c:pt idx="273">
                  <c:v>44.503895100671492</c:v>
                </c:pt>
                <c:pt idx="274">
                  <c:v>42.365486176879408</c:v>
                </c:pt>
                <c:pt idx="275">
                  <c:v>40.901284481395429</c:v>
                </c:pt>
                <c:pt idx="276">
                  <c:v>45.068928153940959</c:v>
                </c:pt>
                <c:pt idx="277">
                  <c:v>45.955795501616812</c:v>
                </c:pt>
                <c:pt idx="278">
                  <c:v>29.938480404074163</c:v>
                </c:pt>
                <c:pt idx="279">
                  <c:v>43.826307821277801</c:v>
                </c:pt>
                <c:pt idx="280">
                  <c:v>40.63677888339361</c:v>
                </c:pt>
                <c:pt idx="281">
                  <c:v>42.044091992831149</c:v>
                </c:pt>
                <c:pt idx="282">
                  <c:v>33.742851830860907</c:v>
                </c:pt>
                <c:pt idx="283">
                  <c:v>42.372842429013986</c:v>
                </c:pt>
                <c:pt idx="284">
                  <c:v>40.061070375868503</c:v>
                </c:pt>
                <c:pt idx="285">
                  <c:v>39.39832701671196</c:v>
                </c:pt>
                <c:pt idx="286">
                  <c:v>42.332847154201126</c:v>
                </c:pt>
                <c:pt idx="287">
                  <c:v>40.794279158401721</c:v>
                </c:pt>
                <c:pt idx="288">
                  <c:v>38.803370286376357</c:v>
                </c:pt>
                <c:pt idx="289">
                  <c:v>35.6425652403491</c:v>
                </c:pt>
                <c:pt idx="290">
                  <c:v>38.775386152374139</c:v>
                </c:pt>
                <c:pt idx="291">
                  <c:v>38.555741543850147</c:v>
                </c:pt>
                <c:pt idx="292">
                  <c:v>31.702695928532638</c:v>
                </c:pt>
                <c:pt idx="293">
                  <c:v>24.418087613545492</c:v>
                </c:pt>
                <c:pt idx="294">
                  <c:v>36.324773470001581</c:v>
                </c:pt>
                <c:pt idx="295">
                  <c:v>37.404529448025627</c:v>
                </c:pt>
                <c:pt idx="296">
                  <c:v>38.420312161688102</c:v>
                </c:pt>
                <c:pt idx="297">
                  <c:v>35.228620832517834</c:v>
                </c:pt>
                <c:pt idx="298">
                  <c:v>35.899581400046522</c:v>
                </c:pt>
                <c:pt idx="299">
                  <c:v>30.879725572368368</c:v>
                </c:pt>
                <c:pt idx="300">
                  <c:v>35.461193234664123</c:v>
                </c:pt>
                <c:pt idx="301">
                  <c:v>29.777598995663187</c:v>
                </c:pt>
                <c:pt idx="302">
                  <c:v>28.491037803008169</c:v>
                </c:pt>
                <c:pt idx="303">
                  <c:v>34.120858369867321</c:v>
                </c:pt>
                <c:pt idx="304">
                  <c:v>32.848992554762482</c:v>
                </c:pt>
                <c:pt idx="305">
                  <c:v>31.690418579569595</c:v>
                </c:pt>
                <c:pt idx="306">
                  <c:v>29.614967506581426</c:v>
                </c:pt>
                <c:pt idx="307">
                  <c:v>19.180366016674423</c:v>
                </c:pt>
                <c:pt idx="308">
                  <c:v>32.750043405506759</c:v>
                </c:pt>
                <c:pt idx="309">
                  <c:v>32.709345157525121</c:v>
                </c:pt>
                <c:pt idx="310">
                  <c:v>30.677102433110111</c:v>
                </c:pt>
                <c:pt idx="311">
                  <c:v>24.301685975957074</c:v>
                </c:pt>
                <c:pt idx="312">
                  <c:v>24.305673600704964</c:v>
                </c:pt>
                <c:pt idx="313">
                  <c:v>21.978449121102202</c:v>
                </c:pt>
                <c:pt idx="314">
                  <c:v>30.116810356519398</c:v>
                </c:pt>
                <c:pt idx="315">
                  <c:v>29.661008081081796</c:v>
                </c:pt>
                <c:pt idx="316">
                  <c:v>29.071978311267806</c:v>
                </c:pt>
                <c:pt idx="317">
                  <c:v>19.875209801097167</c:v>
                </c:pt>
                <c:pt idx="318">
                  <c:v>26.911873928380832</c:v>
                </c:pt>
                <c:pt idx="319">
                  <c:v>29.201940874416742</c:v>
                </c:pt>
                <c:pt idx="320">
                  <c:v>23.200751935750731</c:v>
                </c:pt>
                <c:pt idx="321">
                  <c:v>27.250192771666942</c:v>
                </c:pt>
                <c:pt idx="322">
                  <c:v>28.562272949049884</c:v>
                </c:pt>
                <c:pt idx="323">
                  <c:v>28.66422438766487</c:v>
                </c:pt>
                <c:pt idx="324">
                  <c:v>27.981917732937102</c:v>
                </c:pt>
                <c:pt idx="325">
                  <c:v>29.203443370360098</c:v>
                </c:pt>
                <c:pt idx="326">
                  <c:v>29.107219927904186</c:v>
                </c:pt>
                <c:pt idx="327">
                  <c:v>27.112988230859333</c:v>
                </c:pt>
                <c:pt idx="328">
                  <c:v>25.709723482797013</c:v>
                </c:pt>
                <c:pt idx="329">
                  <c:v>26.915508219914461</c:v>
                </c:pt>
                <c:pt idx="330">
                  <c:v>23.300191289146664</c:v>
                </c:pt>
                <c:pt idx="331">
                  <c:v>16.384266753107251</c:v>
                </c:pt>
                <c:pt idx="332">
                  <c:v>16.653825364085652</c:v>
                </c:pt>
                <c:pt idx="333">
                  <c:v>25.310170680267795</c:v>
                </c:pt>
                <c:pt idx="334">
                  <c:v>26.146261330818092</c:v>
                </c:pt>
                <c:pt idx="335">
                  <c:v>9.9498204075695913</c:v>
                </c:pt>
                <c:pt idx="336">
                  <c:v>16.647333469246274</c:v>
                </c:pt>
                <c:pt idx="337">
                  <c:v>19.047013282161593</c:v>
                </c:pt>
                <c:pt idx="338">
                  <c:v>25.302989911833503</c:v>
                </c:pt>
                <c:pt idx="339">
                  <c:v>18.881092862283797</c:v>
                </c:pt>
                <c:pt idx="340">
                  <c:v>22.401278543576364</c:v>
                </c:pt>
                <c:pt idx="341">
                  <c:v>17.076709643331426</c:v>
                </c:pt>
                <c:pt idx="342">
                  <c:v>11.827516861952027</c:v>
                </c:pt>
                <c:pt idx="343">
                  <c:v>21.581579026303849</c:v>
                </c:pt>
                <c:pt idx="344">
                  <c:v>19.008979262712963</c:v>
                </c:pt>
                <c:pt idx="345">
                  <c:v>23.902821263615333</c:v>
                </c:pt>
                <c:pt idx="346">
                  <c:v>25.0294040728553</c:v>
                </c:pt>
                <c:pt idx="347">
                  <c:v>24.68921870882129</c:v>
                </c:pt>
                <c:pt idx="348">
                  <c:v>24.850474320764231</c:v>
                </c:pt>
                <c:pt idx="349">
                  <c:v>24.489416018785828</c:v>
                </c:pt>
                <c:pt idx="350">
                  <c:v>24.995973707121568</c:v>
                </c:pt>
                <c:pt idx="351">
                  <c:v>25.161787004742354</c:v>
                </c:pt>
                <c:pt idx="352">
                  <c:v>24.884744497458982</c:v>
                </c:pt>
                <c:pt idx="353">
                  <c:v>24.174700505084488</c:v>
                </c:pt>
                <c:pt idx="354">
                  <c:v>22.824855300763012</c:v>
                </c:pt>
                <c:pt idx="355">
                  <c:v>24.5370383220707</c:v>
                </c:pt>
                <c:pt idx="356">
                  <c:v>20.621523847427799</c:v>
                </c:pt>
                <c:pt idx="357">
                  <c:v>23.251123518369042</c:v>
                </c:pt>
                <c:pt idx="358">
                  <c:v>13.087340065687096</c:v>
                </c:pt>
                <c:pt idx="359">
                  <c:v>22.706326287460659</c:v>
                </c:pt>
                <c:pt idx="360">
                  <c:v>21.290446008401918</c:v>
                </c:pt>
                <c:pt idx="361">
                  <c:v>23.895018418941333</c:v>
                </c:pt>
                <c:pt idx="362">
                  <c:v>25.022994124609578</c:v>
                </c:pt>
                <c:pt idx="363">
                  <c:v>25.027651179472095</c:v>
                </c:pt>
                <c:pt idx="364">
                  <c:v>25.278911318099443</c:v>
                </c:pt>
                <c:pt idx="365">
                  <c:v>14.71093936617153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17.527788053234588</c:v>
                </c:pt>
                <c:pt idx="2">
                  <c:v>18.930844479535686</c:v>
                </c:pt>
                <c:pt idx="3">
                  <c:v>20.120630976461818</c:v>
                </c:pt>
                <c:pt idx="4">
                  <c:v>15.89891096179743</c:v>
                </c:pt>
                <c:pt idx="5">
                  <c:v>22.842912240368953</c:v>
                </c:pt>
                <c:pt idx="6">
                  <c:v>11.179002810984537</c:v>
                </c:pt>
                <c:pt idx="7">
                  <c:v>7.9520055867372204</c:v>
                </c:pt>
                <c:pt idx="8">
                  <c:v>2.3741585777032861</c:v>
                </c:pt>
                <c:pt idx="9">
                  <c:v>1.9470934516474292</c:v>
                </c:pt>
                <c:pt idx="10">
                  <c:v>27.372177107233075</c:v>
                </c:pt>
                <c:pt idx="11">
                  <c:v>23.782026822723253</c:v>
                </c:pt>
                <c:pt idx="12">
                  <c:v>6.0831045735877769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4.1927172339555536</c:v>
                </c:pt>
                <c:pt idx="18">
                  <c:v>11.444068508749462</c:v>
                </c:pt>
                <c:pt idx="19">
                  <c:v>7.164896172408433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4.6720990284646025</c:v>
                </c:pt>
                <c:pt idx="28">
                  <c:v>9.8618146925919881</c:v>
                </c:pt>
                <c:pt idx="29">
                  <c:v>5.0932135119408084</c:v>
                </c:pt>
                <c:pt idx="30">
                  <c:v>8.4462004602931362</c:v>
                </c:pt>
                <c:pt idx="31">
                  <c:v>14.021130827306354</c:v>
                </c:pt>
                <c:pt idx="32">
                  <c:v>5.9176188226894695</c:v>
                </c:pt>
                <c:pt idx="33">
                  <c:v>11.615510694827195</c:v>
                </c:pt>
                <c:pt idx="34">
                  <c:v>11.440991439026538</c:v>
                </c:pt>
                <c:pt idx="35">
                  <c:v>10.053240236440974</c:v>
                </c:pt>
                <c:pt idx="36">
                  <c:v>23.442028475237052</c:v>
                </c:pt>
                <c:pt idx="37">
                  <c:v>9.8719523218682781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19.087566705183981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16.800315009535005</c:v>
                </c:pt>
                <c:pt idx="45">
                  <c:v>20.267142675340899</c:v>
                </c:pt>
                <c:pt idx="46">
                  <c:v>9.9654896048229347</c:v>
                </c:pt>
                <c:pt idx="47">
                  <c:v>12.416887011895994</c:v>
                </c:pt>
                <c:pt idx="48">
                  <c:v>32.083253619797951</c:v>
                </c:pt>
                <c:pt idx="49">
                  <c:v>21.760912874834226</c:v>
                </c:pt>
                <c:pt idx="50">
                  <c:v>21.630019237107017</c:v>
                </c:pt>
                <c:pt idx="51">
                  <c:v>23.950887388071926</c:v>
                </c:pt>
                <c:pt idx="52">
                  <c:v>36.617348207984875</c:v>
                </c:pt>
                <c:pt idx="53">
                  <c:v>38.48076316050448</c:v>
                </c:pt>
                <c:pt idx="54">
                  <c:v>23.943385657937263</c:v>
                </c:pt>
                <c:pt idx="55">
                  <c:v>34.298763568107987</c:v>
                </c:pt>
                <c:pt idx="56">
                  <c:v>43.481266681339839</c:v>
                </c:pt>
                <c:pt idx="57">
                  <c:v>31.071933891955709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12.677937809259744</c:v>
                </c:pt>
                <c:pt idx="61">
                  <c:v>38.923472241989082</c:v>
                </c:pt>
                <c:pt idx="62">
                  <c:v>4.1807607484746159</c:v>
                </c:pt>
                <c:pt idx="63">
                  <c:v>14.396662266295969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33.991472888421292</c:v>
                </c:pt>
                <c:pt idx="68">
                  <c:v>27.05789988058347</c:v>
                </c:pt>
                <c:pt idx="69">
                  <c:v>16.779615641307064</c:v>
                </c:pt>
                <c:pt idx="70">
                  <c:v>17.465725897625184</c:v>
                </c:pt>
                <c:pt idx="71">
                  <c:v>9.7941025586642745</c:v>
                </c:pt>
                <c:pt idx="72">
                  <c:v>15.781910448247334</c:v>
                </c:pt>
                <c:pt idx="73">
                  <c:v>15.022789612536666</c:v>
                </c:pt>
                <c:pt idx="74">
                  <c:v>14.994061059415618</c:v>
                </c:pt>
                <c:pt idx="75">
                  <c:v>12.593610619286732</c:v>
                </c:pt>
                <c:pt idx="76">
                  <c:v>16.282026445583469</c:v>
                </c:pt>
                <c:pt idx="77">
                  <c:v>31.114517473333766</c:v>
                </c:pt>
                <c:pt idx="78">
                  <c:v>34.552526803610711</c:v>
                </c:pt>
                <c:pt idx="79">
                  <c:v>48.920855815846522</c:v>
                </c:pt>
                <c:pt idx="80">
                  <c:v>46.447859171278907</c:v>
                </c:pt>
                <c:pt idx="81">
                  <c:v>52.948902458584236</c:v>
                </c:pt>
                <c:pt idx="82">
                  <c:v>52.082526631852751</c:v>
                </c:pt>
                <c:pt idx="83">
                  <c:v>46.350209045253081</c:v>
                </c:pt>
                <c:pt idx="84">
                  <c:v>51.313972160403146</c:v>
                </c:pt>
                <c:pt idx="85">
                  <c:v>49.613250732252105</c:v>
                </c:pt>
                <c:pt idx="86">
                  <c:v>15.973778371358494</c:v>
                </c:pt>
                <c:pt idx="87">
                  <c:v>30.663657428213796</c:v>
                </c:pt>
                <c:pt idx="88">
                  <c:v>8.5976959437448226</c:v>
                </c:pt>
                <c:pt idx="89">
                  <c:v>30.629260664282391</c:v>
                </c:pt>
                <c:pt idx="90">
                  <c:v>35.871146062960712</c:v>
                </c:pt>
                <c:pt idx="91">
                  <c:v>22.393427396496172</c:v>
                </c:pt>
                <c:pt idx="92">
                  <c:v>24.91548969289402</c:v>
                </c:pt>
                <c:pt idx="93">
                  <c:v>50.166091368223242</c:v>
                </c:pt>
                <c:pt idx="94">
                  <c:v>57.572341328599016</c:v>
                </c:pt>
                <c:pt idx="95">
                  <c:v>12.460461545203525</c:v>
                </c:pt>
                <c:pt idx="96">
                  <c:v>41.837606681240267</c:v>
                </c:pt>
                <c:pt idx="97">
                  <c:v>33.991825986872563</c:v>
                </c:pt>
                <c:pt idx="98">
                  <c:v>39.88367357014603</c:v>
                </c:pt>
                <c:pt idx="99">
                  <c:v>58.33024090130305</c:v>
                </c:pt>
                <c:pt idx="100">
                  <c:v>48.346665699755086</c:v>
                </c:pt>
                <c:pt idx="101">
                  <c:v>41.294322689001859</c:v>
                </c:pt>
                <c:pt idx="102">
                  <c:v>8.8245471107797737</c:v>
                </c:pt>
                <c:pt idx="103">
                  <c:v>44.674072446314028</c:v>
                </c:pt>
                <c:pt idx="104">
                  <c:v>48.753984131244202</c:v>
                </c:pt>
                <c:pt idx="105">
                  <c:v>50.590470832793535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10.269616479894198</c:v>
                </c:pt>
                <c:pt idx="109">
                  <c:v>10.715550782501372</c:v>
                </c:pt>
                <c:pt idx="110">
                  <c:v>10.315656746982578</c:v>
                </c:pt>
                <c:pt idx="111">
                  <c:v>29.986265933860359</c:v>
                </c:pt>
                <c:pt idx="112">
                  <c:v>9.9873175274611263</c:v>
                </c:pt>
                <c:pt idx="113">
                  <c:v>34.516247619334536</c:v>
                </c:pt>
                <c:pt idx="114">
                  <c:v>52.246629003917974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26.206661580251836</c:v>
                </c:pt>
                <c:pt idx="118">
                  <c:v>47.937392751496574</c:v>
                </c:pt>
                <c:pt idx="119">
                  <c:v>50.750187494888173</c:v>
                </c:pt>
                <c:pt idx="120">
                  <c:v>51.355640216775114</c:v>
                </c:pt>
                <c:pt idx="121">
                  <c:v>30.512614022773661</c:v>
                </c:pt>
                <c:pt idx="122">
                  <c:v>42.594457743095766</c:v>
                </c:pt>
                <c:pt idx="123">
                  <c:v>23.066544709912105</c:v>
                </c:pt>
                <c:pt idx="124">
                  <c:v>47.325253239604251</c:v>
                </c:pt>
                <c:pt idx="125">
                  <c:v>41.533550948788822</c:v>
                </c:pt>
                <c:pt idx="126">
                  <c:v>56.829694717464399</c:v>
                </c:pt>
                <c:pt idx="127">
                  <c:v>52.40844154526733</c:v>
                </c:pt>
                <c:pt idx="128">
                  <c:v>60.188657093420851</c:v>
                </c:pt>
                <c:pt idx="129">
                  <c:v>56.228332022395691</c:v>
                </c:pt>
                <c:pt idx="130">
                  <c:v>60.639614204775107</c:v>
                </c:pt>
                <c:pt idx="131">
                  <c:v>45.213559121744069</c:v>
                </c:pt>
                <c:pt idx="132">
                  <c:v>47.363465689704839</c:v>
                </c:pt>
                <c:pt idx="133">
                  <c:v>53.978279920511433</c:v>
                </c:pt>
                <c:pt idx="134">
                  <c:v>56.81003573942639</c:v>
                </c:pt>
                <c:pt idx="135">
                  <c:v>55.11584961334696</c:v>
                </c:pt>
                <c:pt idx="136">
                  <c:v>58.789381900861969</c:v>
                </c:pt>
                <c:pt idx="137">
                  <c:v>56.867151466020537</c:v>
                </c:pt>
                <c:pt idx="138">
                  <c:v>59.78754292055698</c:v>
                </c:pt>
                <c:pt idx="139">
                  <c:v>53.355093170067242</c:v>
                </c:pt>
                <c:pt idx="140">
                  <c:v>53.464606327163153</c:v>
                </c:pt>
                <c:pt idx="141">
                  <c:v>40.615054295315637</c:v>
                </c:pt>
                <c:pt idx="142">
                  <c:v>21.445538374101854</c:v>
                </c:pt>
                <c:pt idx="143">
                  <c:v>17.7306910663699</c:v>
                </c:pt>
                <c:pt idx="144">
                  <c:v>44.608935678286976</c:v>
                </c:pt>
                <c:pt idx="145">
                  <c:v>27.11864066312717</c:v>
                </c:pt>
                <c:pt idx="146">
                  <c:v>49.93659743363169</c:v>
                </c:pt>
                <c:pt idx="147">
                  <c:v>60.071081769180793</c:v>
                </c:pt>
                <c:pt idx="148">
                  <c:v>64.959236791876052</c:v>
                </c:pt>
                <c:pt idx="149">
                  <c:v>55.122474474563816</c:v>
                </c:pt>
                <c:pt idx="150">
                  <c:v>59.762228885522106</c:v>
                </c:pt>
                <c:pt idx="151">
                  <c:v>60.903805145536381</c:v>
                </c:pt>
                <c:pt idx="152">
                  <c:v>48.577553029555524</c:v>
                </c:pt>
                <c:pt idx="153">
                  <c:v>59.425155204871523</c:v>
                </c:pt>
                <c:pt idx="154">
                  <c:v>28.330818446501109</c:v>
                </c:pt>
                <c:pt idx="155">
                  <c:v>39.043760004262097</c:v>
                </c:pt>
                <c:pt idx="156">
                  <c:v>50.935562521512104</c:v>
                </c:pt>
                <c:pt idx="157">
                  <c:v>30.89993272703305</c:v>
                </c:pt>
                <c:pt idx="158">
                  <c:v>23.038824049489772</c:v>
                </c:pt>
                <c:pt idx="159">
                  <c:v>50.202836253272487</c:v>
                </c:pt>
                <c:pt idx="160">
                  <c:v>62.637503037871667</c:v>
                </c:pt>
                <c:pt idx="161">
                  <c:v>60.537141760881475</c:v>
                </c:pt>
                <c:pt idx="162">
                  <c:v>46.995545798218714</c:v>
                </c:pt>
                <c:pt idx="163">
                  <c:v>59.108639074898896</c:v>
                </c:pt>
                <c:pt idx="164">
                  <c:v>52.550360144139717</c:v>
                </c:pt>
                <c:pt idx="165">
                  <c:v>59.248417323391159</c:v>
                </c:pt>
                <c:pt idx="166">
                  <c:v>56.911681613289026</c:v>
                </c:pt>
                <c:pt idx="167">
                  <c:v>57.070701691034301</c:v>
                </c:pt>
                <c:pt idx="168">
                  <c:v>59.681614719407001</c:v>
                </c:pt>
                <c:pt idx="169">
                  <c:v>61.139288627331723</c:v>
                </c:pt>
                <c:pt idx="170">
                  <c:v>34.491945926862336</c:v>
                </c:pt>
                <c:pt idx="171">
                  <c:v>24.824461097018684</c:v>
                </c:pt>
                <c:pt idx="172">
                  <c:v>48.088971367749373</c:v>
                </c:pt>
                <c:pt idx="173">
                  <c:v>45.364501236086156</c:v>
                </c:pt>
                <c:pt idx="174">
                  <c:v>42.79337360870867</c:v>
                </c:pt>
                <c:pt idx="175">
                  <c:v>37.139950151547318</c:v>
                </c:pt>
                <c:pt idx="176">
                  <c:v>13.186850151578067</c:v>
                </c:pt>
                <c:pt idx="177">
                  <c:v>16.024794100390988</c:v>
                </c:pt>
                <c:pt idx="178">
                  <c:v>63.585131804859891</c:v>
                </c:pt>
                <c:pt idx="179">
                  <c:v>61.767891978922982</c:v>
                </c:pt>
                <c:pt idx="180">
                  <c:v>15.232894281420348</c:v>
                </c:pt>
                <c:pt idx="181">
                  <c:v>54.954259342275122</c:v>
                </c:pt>
                <c:pt idx="182">
                  <c:v>60.712601293017094</c:v>
                </c:pt>
                <c:pt idx="183">
                  <c:v>50.016891761523738</c:v>
                </c:pt>
                <c:pt idx="184">
                  <c:v>48.39492191250617</c:v>
                </c:pt>
                <c:pt idx="185">
                  <c:v>60.673923632715685</c:v>
                </c:pt>
                <c:pt idx="186">
                  <c:v>51.577336284188995</c:v>
                </c:pt>
                <c:pt idx="187">
                  <c:v>60.083895316609272</c:v>
                </c:pt>
                <c:pt idx="188">
                  <c:v>62.678816732167263</c:v>
                </c:pt>
                <c:pt idx="189">
                  <c:v>61.952223381648238</c:v>
                </c:pt>
                <c:pt idx="190">
                  <c:v>61.369131281717756</c:v>
                </c:pt>
                <c:pt idx="191">
                  <c:v>59.762632226759955</c:v>
                </c:pt>
                <c:pt idx="192">
                  <c:v>59.509521166103632</c:v>
                </c:pt>
                <c:pt idx="193">
                  <c:v>59.212572300737307</c:v>
                </c:pt>
                <c:pt idx="194">
                  <c:v>58.598670519957373</c:v>
                </c:pt>
                <c:pt idx="195">
                  <c:v>56.670064375265056</c:v>
                </c:pt>
                <c:pt idx="196">
                  <c:v>58.324423191033375</c:v>
                </c:pt>
                <c:pt idx="197">
                  <c:v>57.816559556675998</c:v>
                </c:pt>
                <c:pt idx="198">
                  <c:v>58.86448423611867</c:v>
                </c:pt>
                <c:pt idx="199">
                  <c:v>48.645996654942195</c:v>
                </c:pt>
                <c:pt idx="200">
                  <c:v>48.175499813798076</c:v>
                </c:pt>
                <c:pt idx="201">
                  <c:v>56.978356977824554</c:v>
                </c:pt>
                <c:pt idx="202">
                  <c:v>46.008427407253599</c:v>
                </c:pt>
                <c:pt idx="203">
                  <c:v>52.87527146001154</c:v>
                </c:pt>
                <c:pt idx="204">
                  <c:v>57.246859486598268</c:v>
                </c:pt>
                <c:pt idx="205">
                  <c:v>29.172046545250673</c:v>
                </c:pt>
                <c:pt idx="206">
                  <c:v>61.877218642952464</c:v>
                </c:pt>
                <c:pt idx="207">
                  <c:v>61.925460480563899</c:v>
                </c:pt>
                <c:pt idx="208">
                  <c:v>48.283633315551434</c:v>
                </c:pt>
                <c:pt idx="209">
                  <c:v>34.486669181659352</c:v>
                </c:pt>
                <c:pt idx="210">
                  <c:v>53.348435713615878</c:v>
                </c:pt>
                <c:pt idx="211">
                  <c:v>59.241957497118648</c:v>
                </c:pt>
                <c:pt idx="212">
                  <c:v>58.846066079470248</c:v>
                </c:pt>
                <c:pt idx="213">
                  <c:v>58.839724664908012</c:v>
                </c:pt>
                <c:pt idx="214">
                  <c:v>55.568714437624145</c:v>
                </c:pt>
                <c:pt idx="215">
                  <c:v>54.750209948964994</c:v>
                </c:pt>
                <c:pt idx="216">
                  <c:v>49.72386147901684</c:v>
                </c:pt>
                <c:pt idx="217">
                  <c:v>54.607043941582731</c:v>
                </c:pt>
                <c:pt idx="218">
                  <c:v>57.470235138587057</c:v>
                </c:pt>
                <c:pt idx="219">
                  <c:v>57.960285399615913</c:v>
                </c:pt>
                <c:pt idx="220">
                  <c:v>55.789900138780723</c:v>
                </c:pt>
                <c:pt idx="221">
                  <c:v>52.724162106713898</c:v>
                </c:pt>
                <c:pt idx="222">
                  <c:v>50.987802818918063</c:v>
                </c:pt>
                <c:pt idx="223">
                  <c:v>52.007510007500251</c:v>
                </c:pt>
                <c:pt idx="224">
                  <c:v>39.140155828293096</c:v>
                </c:pt>
                <c:pt idx="225">
                  <c:v>37.15523583911348</c:v>
                </c:pt>
                <c:pt idx="226">
                  <c:v>42.095574342249023</c:v>
                </c:pt>
                <c:pt idx="227">
                  <c:v>38.937908790046109</c:v>
                </c:pt>
                <c:pt idx="228">
                  <c:v>31.241092252829237</c:v>
                </c:pt>
                <c:pt idx="229">
                  <c:v>39.643836398402165</c:v>
                </c:pt>
                <c:pt idx="230">
                  <c:v>45.164587929878692</c:v>
                </c:pt>
                <c:pt idx="231">
                  <c:v>54.248110681105196</c:v>
                </c:pt>
                <c:pt idx="232">
                  <c:v>36.642176597435551</c:v>
                </c:pt>
                <c:pt idx="233">
                  <c:v>29.203779054851665</c:v>
                </c:pt>
                <c:pt idx="234">
                  <c:v>52.980040696951633</c:v>
                </c:pt>
                <c:pt idx="235">
                  <c:v>50.512307174309534</c:v>
                </c:pt>
                <c:pt idx="236">
                  <c:v>35.412556037544391</c:v>
                </c:pt>
                <c:pt idx="237">
                  <c:v>47.038565743553455</c:v>
                </c:pt>
                <c:pt idx="238">
                  <c:v>53.503080570691075</c:v>
                </c:pt>
                <c:pt idx="239">
                  <c:v>52.343877675915977</c:v>
                </c:pt>
                <c:pt idx="240">
                  <c:v>35.813832097512929</c:v>
                </c:pt>
                <c:pt idx="241">
                  <c:v>52.008587108737885</c:v>
                </c:pt>
                <c:pt idx="242">
                  <c:v>26.857910074274546</c:v>
                </c:pt>
                <c:pt idx="243">
                  <c:v>43.978345827391962</c:v>
                </c:pt>
                <c:pt idx="244">
                  <c:v>42.329049170450361</c:v>
                </c:pt>
                <c:pt idx="245">
                  <c:v>41.330395416309621</c:v>
                </c:pt>
                <c:pt idx="246">
                  <c:v>49.96331342193281</c:v>
                </c:pt>
                <c:pt idx="247">
                  <c:v>43.67240136807775</c:v>
                </c:pt>
                <c:pt idx="248">
                  <c:v>49.431178979919885</c:v>
                </c:pt>
                <c:pt idx="249">
                  <c:v>39.348253177262727</c:v>
                </c:pt>
                <c:pt idx="250">
                  <c:v>38.244906004095483</c:v>
                </c:pt>
                <c:pt idx="251">
                  <c:v>25.61155485814599</c:v>
                </c:pt>
                <c:pt idx="252">
                  <c:v>50.689006934365501</c:v>
                </c:pt>
                <c:pt idx="253">
                  <c:v>50.070320857235181</c:v>
                </c:pt>
                <c:pt idx="254">
                  <c:v>36.338050586254901</c:v>
                </c:pt>
                <c:pt idx="255">
                  <c:v>15.420188909948552</c:v>
                </c:pt>
                <c:pt idx="256">
                  <c:v>38.689841269990453</c:v>
                </c:pt>
                <c:pt idx="257">
                  <c:v>44.3209530548461</c:v>
                </c:pt>
                <c:pt idx="258">
                  <c:v>35.409097594342221</c:v>
                </c:pt>
                <c:pt idx="259">
                  <c:v>49.501535281548286</c:v>
                </c:pt>
                <c:pt idx="260">
                  <c:v>49.499723325417328</c:v>
                </c:pt>
                <c:pt idx="261">
                  <c:v>48.833226198141027</c:v>
                </c:pt>
                <c:pt idx="262">
                  <c:v>50.698686823362124</c:v>
                </c:pt>
                <c:pt idx="263">
                  <c:v>49.399515767454261</c:v>
                </c:pt>
                <c:pt idx="264">
                  <c:v>47.807494573948958</c:v>
                </c:pt>
                <c:pt idx="265">
                  <c:v>30.332348510137358</c:v>
                </c:pt>
                <c:pt idx="266">
                  <c:v>18.369669011529624</c:v>
                </c:pt>
                <c:pt idx="267">
                  <c:v>38.712672418777252</c:v>
                </c:pt>
                <c:pt idx="268">
                  <c:v>35.446154603332609</c:v>
                </c:pt>
                <c:pt idx="269">
                  <c:v>18.787840150392764</c:v>
                </c:pt>
                <c:pt idx="270">
                  <c:v>21.298630897595604</c:v>
                </c:pt>
                <c:pt idx="271">
                  <c:v>25.59745863173066</c:v>
                </c:pt>
                <c:pt idx="272">
                  <c:v>30.38480168889858</c:v>
                </c:pt>
                <c:pt idx="273">
                  <c:v>39.721209115523891</c:v>
                </c:pt>
                <c:pt idx="274">
                  <c:v>42.365486176879408</c:v>
                </c:pt>
                <c:pt idx="275">
                  <c:v>40.901284481395429</c:v>
                </c:pt>
                <c:pt idx="276">
                  <c:v>45.068928153940959</c:v>
                </c:pt>
                <c:pt idx="277">
                  <c:v>45.955795501616812</c:v>
                </c:pt>
                <c:pt idx="278">
                  <c:v>12.677620398533991</c:v>
                </c:pt>
                <c:pt idx="279">
                  <c:v>31.878810499035797</c:v>
                </c:pt>
                <c:pt idx="280">
                  <c:v>18.386960322161926</c:v>
                </c:pt>
                <c:pt idx="281">
                  <c:v>42.044091992831149</c:v>
                </c:pt>
                <c:pt idx="282">
                  <c:v>33.742851830860907</c:v>
                </c:pt>
                <c:pt idx="283">
                  <c:v>24.532436572539261</c:v>
                </c:pt>
                <c:pt idx="284">
                  <c:v>30.465313547348234</c:v>
                </c:pt>
                <c:pt idx="285">
                  <c:v>25.503168851493246</c:v>
                </c:pt>
                <c:pt idx="286">
                  <c:v>19.818661941657137</c:v>
                </c:pt>
                <c:pt idx="287">
                  <c:v>40.794279158401721</c:v>
                </c:pt>
                <c:pt idx="288">
                  <c:v>36.000255441670085</c:v>
                </c:pt>
                <c:pt idx="289">
                  <c:v>21.348912643022334</c:v>
                </c:pt>
                <c:pt idx="290">
                  <c:v>37.71949203927565</c:v>
                </c:pt>
                <c:pt idx="291">
                  <c:v>17.502153193182522</c:v>
                </c:pt>
                <c:pt idx="292">
                  <c:v>7.3666294117222995</c:v>
                </c:pt>
                <c:pt idx="293">
                  <c:v>17.941621952930404</c:v>
                </c:pt>
                <c:pt idx="294">
                  <c:v>36.324773470001581</c:v>
                </c:pt>
                <c:pt idx="295">
                  <c:v>18.635765211495038</c:v>
                </c:pt>
                <c:pt idx="296">
                  <c:v>27.604793077231101</c:v>
                </c:pt>
                <c:pt idx="297">
                  <c:v>24.401459977976732</c:v>
                </c:pt>
                <c:pt idx="298">
                  <c:v>13.58629815797225</c:v>
                </c:pt>
                <c:pt idx="299">
                  <c:v>15.723473945230385</c:v>
                </c:pt>
                <c:pt idx="300">
                  <c:v>18.924855115611852</c:v>
                </c:pt>
                <c:pt idx="301">
                  <c:v>29.437742049271954</c:v>
                </c:pt>
                <c:pt idx="302">
                  <c:v>25.298551969587578</c:v>
                </c:pt>
                <c:pt idx="303">
                  <c:v>24.061747730333288</c:v>
                </c:pt>
                <c:pt idx="304">
                  <c:v>21.32471235416536</c:v>
                </c:pt>
                <c:pt idx="305">
                  <c:v>31.690418579569595</c:v>
                </c:pt>
                <c:pt idx="306">
                  <c:v>11.090315378463014</c:v>
                </c:pt>
                <c:pt idx="307">
                  <c:v>19.180366016674423</c:v>
                </c:pt>
                <c:pt idx="308">
                  <c:v>32.750043405506759</c:v>
                </c:pt>
                <c:pt idx="309">
                  <c:v>32.709345157525121</c:v>
                </c:pt>
                <c:pt idx="310">
                  <c:v>30.677102433110111</c:v>
                </c:pt>
                <c:pt idx="311">
                  <c:v>22.092583263847089</c:v>
                </c:pt>
                <c:pt idx="312">
                  <c:v>10.861332148498541</c:v>
                </c:pt>
                <c:pt idx="313">
                  <c:v>21.978449121102202</c:v>
                </c:pt>
                <c:pt idx="314">
                  <c:v>30.116810356519398</c:v>
                </c:pt>
                <c:pt idx="315">
                  <c:v>29.661008081081796</c:v>
                </c:pt>
                <c:pt idx="316">
                  <c:v>28.525166588821065</c:v>
                </c:pt>
                <c:pt idx="317">
                  <c:v>10.524519836129238</c:v>
                </c:pt>
                <c:pt idx="318">
                  <c:v>13.515060193237737</c:v>
                </c:pt>
                <c:pt idx="319">
                  <c:v>29.201940874416742</c:v>
                </c:pt>
                <c:pt idx="320">
                  <c:v>14.904802329492753</c:v>
                </c:pt>
                <c:pt idx="321">
                  <c:v>17.072297488586713</c:v>
                </c:pt>
                <c:pt idx="322">
                  <c:v>7.7879453656349158</c:v>
                </c:pt>
                <c:pt idx="323">
                  <c:v>17.174265793620449</c:v>
                </c:pt>
                <c:pt idx="324">
                  <c:v>3.4428585738962969</c:v>
                </c:pt>
                <c:pt idx="325">
                  <c:v>8.5184915184269112</c:v>
                </c:pt>
                <c:pt idx="326">
                  <c:v>14.308324990924007</c:v>
                </c:pt>
                <c:pt idx="327">
                  <c:v>15.020242817667762</c:v>
                </c:pt>
                <c:pt idx="328">
                  <c:v>5.1964512283620907</c:v>
                </c:pt>
                <c:pt idx="329">
                  <c:v>11.953792542015861</c:v>
                </c:pt>
                <c:pt idx="330">
                  <c:v>15.753549681472927</c:v>
                </c:pt>
                <c:pt idx="331">
                  <c:v>11.417360402825549</c:v>
                </c:pt>
                <c:pt idx="332">
                  <c:v>16.653825364085652</c:v>
                </c:pt>
                <c:pt idx="333">
                  <c:v>4.3419152810641801</c:v>
                </c:pt>
                <c:pt idx="334">
                  <c:v>4.1101660330628924</c:v>
                </c:pt>
                <c:pt idx="335">
                  <c:v>6.1752357054737335</c:v>
                </c:pt>
                <c:pt idx="336">
                  <c:v>10.358088575259893</c:v>
                </c:pt>
                <c:pt idx="337">
                  <c:v>19.047013282161593</c:v>
                </c:pt>
                <c:pt idx="338">
                  <c:v>25.302989911833503</c:v>
                </c:pt>
                <c:pt idx="339">
                  <c:v>12.390384461695765</c:v>
                </c:pt>
                <c:pt idx="340">
                  <c:v>22.401278543576364</c:v>
                </c:pt>
                <c:pt idx="341">
                  <c:v>4.4777155257891277</c:v>
                </c:pt>
                <c:pt idx="342">
                  <c:v>5.4651193027224299</c:v>
                </c:pt>
                <c:pt idx="343">
                  <c:v>13.257200766431112</c:v>
                </c:pt>
                <c:pt idx="344">
                  <c:v>19.008979262712963</c:v>
                </c:pt>
                <c:pt idx="345">
                  <c:v>5.7864175416182055</c:v>
                </c:pt>
                <c:pt idx="346">
                  <c:v>5.8587074936946744</c:v>
                </c:pt>
                <c:pt idx="347">
                  <c:v>18.78721896428242</c:v>
                </c:pt>
                <c:pt idx="348">
                  <c:v>6.3941145921176998</c:v>
                </c:pt>
                <c:pt idx="349">
                  <c:v>5.6478694854511691</c:v>
                </c:pt>
                <c:pt idx="350">
                  <c:v>3.8292969074027048</c:v>
                </c:pt>
                <c:pt idx="351">
                  <c:v>22.979236373165783</c:v>
                </c:pt>
                <c:pt idx="352">
                  <c:v>19.530830763489945</c:v>
                </c:pt>
                <c:pt idx="353">
                  <c:v>4.9555749277123331</c:v>
                </c:pt>
                <c:pt idx="354">
                  <c:v>22.824855300763012</c:v>
                </c:pt>
                <c:pt idx="355">
                  <c:v>19.273607668704752</c:v>
                </c:pt>
                <c:pt idx="356">
                  <c:v>19.535737774995251</c:v>
                </c:pt>
                <c:pt idx="357">
                  <c:v>23.251123518369042</c:v>
                </c:pt>
                <c:pt idx="358">
                  <c:v>13.087340065687096</c:v>
                </c:pt>
                <c:pt idx="359">
                  <c:v>22.706326287460659</c:v>
                </c:pt>
                <c:pt idx="360">
                  <c:v>7.6523965081620453</c:v>
                </c:pt>
                <c:pt idx="361">
                  <c:v>23.895018418941333</c:v>
                </c:pt>
                <c:pt idx="362">
                  <c:v>11.299451636138405</c:v>
                </c:pt>
                <c:pt idx="363">
                  <c:v>15.331174729406774</c:v>
                </c:pt>
                <c:pt idx="364">
                  <c:v>12.673372739015791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26.3048</c:v>
                </c:pt>
                <c:pt idx="21">
                  <c:v>30.220400000000001</c:v>
                </c:pt>
                <c:pt idx="35">
                  <c:v>35.240400000000001</c:v>
                </c:pt>
                <c:pt idx="49">
                  <c:v>40.461200000000005</c:v>
                </c:pt>
                <c:pt idx="63">
                  <c:v>45.782400000000003</c:v>
                </c:pt>
                <c:pt idx="77">
                  <c:v>51.203999999999994</c:v>
                </c:pt>
                <c:pt idx="91">
                  <c:v>56.224000000000004</c:v>
                </c:pt>
                <c:pt idx="105">
                  <c:v>60.039200000000008</c:v>
                </c:pt>
                <c:pt idx="119">
                  <c:v>62.549199999999999</c:v>
                </c:pt>
                <c:pt idx="133">
                  <c:v>63.753999999999998</c:v>
                </c:pt>
                <c:pt idx="147">
                  <c:v>64.055199999999999</c:v>
                </c:pt>
                <c:pt idx="161">
                  <c:v>63.653600000000004</c:v>
                </c:pt>
                <c:pt idx="175">
                  <c:v>62.950800000000001</c:v>
                </c:pt>
                <c:pt idx="189">
                  <c:v>61.946799999999996</c:v>
                </c:pt>
                <c:pt idx="203">
                  <c:v>60.641600000000004</c:v>
                </c:pt>
                <c:pt idx="217">
                  <c:v>58.834400000000002</c:v>
                </c:pt>
                <c:pt idx="231">
                  <c:v>56.525199999999998</c:v>
                </c:pt>
                <c:pt idx="245">
                  <c:v>53.513199999999998</c:v>
                </c:pt>
                <c:pt idx="259">
                  <c:v>49.798400000000001</c:v>
                </c:pt>
                <c:pt idx="273">
                  <c:v>45.380800000000001</c:v>
                </c:pt>
                <c:pt idx="287">
                  <c:v>40.360799999999998</c:v>
                </c:pt>
                <c:pt idx="301">
                  <c:v>35.340800000000002</c:v>
                </c:pt>
                <c:pt idx="315">
                  <c:v>30.822800000000001</c:v>
                </c:pt>
                <c:pt idx="329">
                  <c:v>27.107999999999997</c:v>
                </c:pt>
                <c:pt idx="343">
                  <c:v>24.698399999999999</c:v>
                </c:pt>
                <c:pt idx="357">
                  <c:v>24.196400000000001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567328"/>
        <c:axId val="394569680"/>
      </c:lineChart>
      <c:dateAx>
        <c:axId val="394567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9680"/>
        <c:crosses val="autoZero"/>
        <c:auto val="1"/>
        <c:lblOffset val="100"/>
        <c:baseTimeUnit val="days"/>
        <c:majorUnit val="1"/>
        <c:majorTimeUnit val="months"/>
      </c:dateAx>
      <c:valAx>
        <c:axId val="3945696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73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3.4371451234297856E-2</c:v>
                </c:pt>
                <c:pt idx="1">
                  <c:v>3.4944973922070188E-2</c:v>
                </c:pt>
                <c:pt idx="2">
                  <c:v>3.5462701624352722E-2</c:v>
                </c:pt>
                <c:pt idx="3">
                  <c:v>3.6035576177956385E-2</c:v>
                </c:pt>
                <c:pt idx="4">
                  <c:v>3.6589646940441534E-2</c:v>
                </c:pt>
                <c:pt idx="5">
                  <c:v>3.7161852159333209E-2</c:v>
                </c:pt>
                <c:pt idx="6">
                  <c:v>3.7715275557064776E-2</c:v>
                </c:pt>
                <c:pt idx="7">
                  <c:v>3.8286812223281008E-2</c:v>
                </c:pt>
                <c:pt idx="8">
                  <c:v>3.8858009432627072E-2</c:v>
                </c:pt>
                <c:pt idx="9">
                  <c:v>3.9410457907290475E-2</c:v>
                </c:pt>
                <c:pt idx="10">
                  <c:v>3.9980987741698559E-2</c:v>
                </c:pt>
                <c:pt idx="11">
                  <c:v>4.0532790747055625E-2</c:v>
                </c:pt>
                <c:pt idx="12">
                  <c:v>4.1121031035149525E-2</c:v>
                </c:pt>
                <c:pt idx="13">
                  <c:v>4.1690544896594517E-2</c:v>
                </c:pt>
                <c:pt idx="14">
                  <c:v>4.2204653770036349E-2</c:v>
                </c:pt>
                <c:pt idx="15">
                  <c:v>4.2773524027660659E-2</c:v>
                </c:pt>
                <c:pt idx="16">
                  <c:v>4.3323721929477532E-2</c:v>
                </c:pt>
                <c:pt idx="17">
                  <c:v>4.3891927530925856E-2</c:v>
                </c:pt>
                <c:pt idx="18">
                  <c:v>4.4441482592958992E-2</c:v>
                </c:pt>
                <c:pt idx="19">
                  <c:v>4.5009024314801804E-2</c:v>
                </c:pt>
                <c:pt idx="20">
                  <c:v>4.5576228952520337E-2</c:v>
                </c:pt>
                <c:pt idx="21">
                  <c:v>4.6124815906032124E-2</c:v>
                </c:pt>
                <c:pt idx="22">
                  <c:v>4.6691357833650415E-2</c:v>
                </c:pt>
                <c:pt idx="23">
                  <c:v>4.7239303829576862E-2</c:v>
                </c:pt>
                <c:pt idx="24">
                  <c:v>4.7805183821391539E-2</c:v>
                </c:pt>
                <c:pt idx="25">
                  <c:v>4.8370727716045225E-2</c:v>
                </c:pt>
                <c:pt idx="26">
                  <c:v>4.8881252839743761E-2</c:v>
                </c:pt>
                <c:pt idx="27">
                  <c:v>4.9446157617009545E-2</c:v>
                </c:pt>
                <c:pt idx="28">
                  <c:v>4.9992520199711787E-2</c:v>
                </c:pt>
                <c:pt idx="29">
                  <c:v>5.0556764953986422E-2</c:v>
                </c:pt>
                <c:pt idx="30">
                  <c:v>5.1102489178011856E-2</c:v>
                </c:pt>
                <c:pt idx="31">
                  <c:v>5.1666074680452478E-2</c:v>
                </c:pt>
                <c:pt idx="32">
                  <c:v>5.2229325448514663E-2</c:v>
                </c:pt>
                <c:pt idx="33">
                  <c:v>5.2774088312508849E-2</c:v>
                </c:pt>
                <c:pt idx="34">
                  <c:v>5.3336680990089813E-2</c:v>
                </c:pt>
                <c:pt idx="35">
                  <c:v>5.3880807364485306E-2</c:v>
                </c:pt>
                <c:pt idx="36">
                  <c:v>5.4442742720484216E-2</c:v>
                </c:pt>
                <c:pt idx="37">
                  <c:v>5.5004344322187926E-2</c:v>
                </c:pt>
                <c:pt idx="38">
                  <c:v>5.5511310677743175E-2</c:v>
                </c:pt>
                <c:pt idx="39">
                  <c:v>5.6072277617218114E-2</c:v>
                </c:pt>
                <c:pt idx="40">
                  <c:v>5.661483161604508E-2</c:v>
                </c:pt>
                <c:pt idx="41">
                  <c:v>5.717514313341665E-2</c:v>
                </c:pt>
                <c:pt idx="42">
                  <c:v>5.7717063223436949E-2</c:v>
                </c:pt>
                <c:pt idx="43">
                  <c:v>5.8276720084486699E-2</c:v>
                </c:pt>
                <c:pt idx="44">
                  <c:v>5.8836044544523958E-2</c:v>
                </c:pt>
                <c:pt idx="45">
                  <c:v>5.9377009975960959E-2</c:v>
                </c:pt>
                <c:pt idx="46">
                  <c:v>5.9935680932933666E-2</c:v>
                </c:pt>
                <c:pt idx="47">
                  <c:v>6.0476014311613202E-2</c:v>
                </c:pt>
                <c:pt idx="48">
                  <c:v>6.10340325290607E-2</c:v>
                </c:pt>
                <c:pt idx="49">
                  <c:v>6.1591719318747074E-2</c:v>
                </c:pt>
                <c:pt idx="50">
                  <c:v>6.2095151713617347E-2</c:v>
                </c:pt>
                <c:pt idx="51">
                  <c:v>6.2652208265178033E-2</c:v>
                </c:pt>
                <c:pt idx="52">
                  <c:v>6.319098022900338E-2</c:v>
                </c:pt>
                <c:pt idx="53">
                  <c:v>6.3747385927276468E-2</c:v>
                </c:pt>
                <c:pt idx="54">
                  <c:v>6.4285528401146319E-2</c:v>
                </c:pt>
                <c:pt idx="55">
                  <c:v>6.4841284006575406E-2</c:v>
                </c:pt>
                <c:pt idx="56">
                  <c:v>6.5396709528092845E-2</c:v>
                </c:pt>
                <c:pt idx="57">
                  <c:v>6.5933903998112497E-2</c:v>
                </c:pt>
                <c:pt idx="58">
                  <c:v>6.6488680572004077E-2</c:v>
                </c:pt>
                <c:pt idx="59">
                  <c:v>6.7025247395179233E-2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4.9057052633628133E-2</c:v>
                </c:pt>
                <c:pt idx="1">
                  <c:v>5.0479751476418325E-2</c:v>
                </c:pt>
                <c:pt idx="2">
                  <c:v>5.1753976581155985E-2</c:v>
                </c:pt>
                <c:pt idx="3">
                  <c:v>5.333233411678949E-2</c:v>
                </c:pt>
                <c:pt idx="4">
                  <c:v>1.1367656421450618E-2</c:v>
                </c:pt>
                <c:pt idx="5">
                  <c:v>1.4181022545380678E-2</c:v>
                </c:pt>
                <c:pt idx="6">
                  <c:v>1.6748438593902806E-2</c:v>
                </c:pt>
                <c:pt idx="7">
                  <c:v>1.9210321453336596E-2</c:v>
                </c:pt>
                <c:pt idx="8">
                  <c:v>2.153220182058618E-2</c:v>
                </c:pt>
                <c:pt idx="9">
                  <c:v>2.3516259488941569E-2</c:v>
                </c:pt>
                <c:pt idx="10">
                  <c:v>2.5220901652986016E-2</c:v>
                </c:pt>
                <c:pt idx="11">
                  <c:v>2.6970420075899761E-2</c:v>
                </c:pt>
                <c:pt idx="12">
                  <c:v>2.9026858095877864E-2</c:v>
                </c:pt>
                <c:pt idx="13">
                  <c:v>3.1008571002459111E-2</c:v>
                </c:pt>
                <c:pt idx="14">
                  <c:v>3.2765722053193877E-2</c:v>
                </c:pt>
                <c:pt idx="15">
                  <c:v>3.4794192988789163E-2</c:v>
                </c:pt>
                <c:pt idx="16">
                  <c:v>3.7122011332225105E-2</c:v>
                </c:pt>
                <c:pt idx="17">
                  <c:v>3.9726529100128367E-2</c:v>
                </c:pt>
                <c:pt idx="18">
                  <c:v>4.1809406734172612E-2</c:v>
                </c:pt>
                <c:pt idx="19">
                  <c:v>4.3571469728939174E-2</c:v>
                </c:pt>
                <c:pt idx="20">
                  <c:v>4.5135002147415955E-2</c:v>
                </c:pt>
                <c:pt idx="21">
                  <c:v>4.6229095179565527E-2</c:v>
                </c:pt>
                <c:pt idx="22">
                  <c:v>4.684803233076059E-2</c:v>
                </c:pt>
                <c:pt idx="23">
                  <c:v>4.7775764479081072E-2</c:v>
                </c:pt>
                <c:pt idx="24">
                  <c:v>4.9150043298724376E-2</c:v>
                </c:pt>
                <c:pt idx="25">
                  <c:v>5.0570146905133215E-2</c:v>
                </c:pt>
                <c:pt idx="26">
                  <c:v>5.1842130014426155E-2</c:v>
                </c:pt>
                <c:pt idx="27">
                  <c:v>5.3418397887657613E-2</c:v>
                </c:pt>
                <c:pt idx="28">
                  <c:v>1.1450399608284888E-2</c:v>
                </c:pt>
                <c:pt idx="29">
                  <c:v>1.4263094747497894E-2</c:v>
                </c:pt>
                <c:pt idx="30">
                  <c:v>1.6828954078614497E-2</c:v>
                </c:pt>
                <c:pt idx="31">
                  <c:v>1.9288588567781862E-2</c:v>
                </c:pt>
                <c:pt idx="32">
                  <c:v>2.1608032526655937E-2</c:v>
                </c:pt>
                <c:pt idx="33">
                  <c:v>2.3589230930610213E-2</c:v>
                </c:pt>
                <c:pt idx="34">
                  <c:v>2.5290384958646748E-2</c:v>
                </c:pt>
                <c:pt idx="35">
                  <c:v>2.7037263159528455E-2</c:v>
                </c:pt>
                <c:pt idx="36">
                  <c:v>2.9026858095877864E-2</c:v>
                </c:pt>
                <c:pt idx="37">
                  <c:v>3.1008571002459111E-2</c:v>
                </c:pt>
                <c:pt idx="38">
                  <c:v>3.2765722053193877E-2</c:v>
                </c:pt>
                <c:pt idx="39">
                  <c:v>3.4794192988789163E-2</c:v>
                </c:pt>
                <c:pt idx="40">
                  <c:v>3.7122011332225105E-2</c:v>
                </c:pt>
                <c:pt idx="41">
                  <c:v>3.9726529100128367E-2</c:v>
                </c:pt>
                <c:pt idx="42">
                  <c:v>4.1809406734172612E-2</c:v>
                </c:pt>
                <c:pt idx="43">
                  <c:v>4.3571469728939174E-2</c:v>
                </c:pt>
                <c:pt idx="44">
                  <c:v>4.5135002147415955E-2</c:v>
                </c:pt>
                <c:pt idx="45">
                  <c:v>4.6229095179565527E-2</c:v>
                </c:pt>
                <c:pt idx="46">
                  <c:v>4.684803233076059E-2</c:v>
                </c:pt>
                <c:pt idx="47">
                  <c:v>4.7775764479081072E-2</c:v>
                </c:pt>
                <c:pt idx="48">
                  <c:v>4.9150043298724376E-2</c:v>
                </c:pt>
                <c:pt idx="49">
                  <c:v>5.0570146905133215E-2</c:v>
                </c:pt>
                <c:pt idx="50">
                  <c:v>5.1842130014426155E-2</c:v>
                </c:pt>
                <c:pt idx="51">
                  <c:v>5.3418397887657613E-2</c:v>
                </c:pt>
                <c:pt idx="52">
                  <c:v>1.1367656421450618E-2</c:v>
                </c:pt>
                <c:pt idx="53">
                  <c:v>1.4181022545380678E-2</c:v>
                </c:pt>
                <c:pt idx="54">
                  <c:v>1.6748438593902806E-2</c:v>
                </c:pt>
                <c:pt idx="55">
                  <c:v>1.9210321453336596E-2</c:v>
                </c:pt>
                <c:pt idx="56">
                  <c:v>2.153220182058618E-2</c:v>
                </c:pt>
                <c:pt idx="57">
                  <c:v>2.3516259488941569E-2</c:v>
                </c:pt>
                <c:pt idx="58">
                  <c:v>2.5220901652986016E-2</c:v>
                </c:pt>
                <c:pt idx="59">
                  <c:v>2.6970420075899761E-2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5.8846586929520057E-3</c:v>
                </c:pt>
                <c:pt idx="1">
                  <c:v>2.7870285948310845E-3</c:v>
                </c:pt>
                <c:pt idx="2">
                  <c:v>8.5775173396458206E-4</c:v>
                </c:pt>
                <c:pt idx="3">
                  <c:v>3.5472202516900259E-4</c:v>
                </c:pt>
                <c:pt idx="4">
                  <c:v>2.2951381360634488E-4</c:v>
                </c:pt>
                <c:pt idx="5">
                  <c:v>1.9364816384223696E-4</c:v>
                </c:pt>
                <c:pt idx="6">
                  <c:v>2.9583831620036411E-4</c:v>
                </c:pt>
                <c:pt idx="7">
                  <c:v>5.9525402504974898E-4</c:v>
                </c:pt>
                <c:pt idx="8">
                  <c:v>1.4404359911264783E-3</c:v>
                </c:pt>
                <c:pt idx="9">
                  <c:v>4.3697121963424609E-3</c:v>
                </c:pt>
                <c:pt idx="10">
                  <c:v>8.4154570976751972E-3</c:v>
                </c:pt>
                <c:pt idx="11">
                  <c:v>1.0347764762820361E-2</c:v>
                </c:pt>
                <c:pt idx="12">
                  <c:v>7.9711488514366598E-3</c:v>
                </c:pt>
                <c:pt idx="13">
                  <c:v>3.8328824635280125E-3</c:v>
                </c:pt>
                <c:pt idx="14">
                  <c:v>1.2147361989174304E-3</c:v>
                </c:pt>
                <c:pt idx="15">
                  <c:v>4.8777942568848878E-4</c:v>
                </c:pt>
                <c:pt idx="16">
                  <c:v>3.0853981658075476E-4</c:v>
                </c:pt>
                <c:pt idx="17">
                  <c:v>2.5961265707396023E-4</c:v>
                </c:pt>
                <c:pt idx="18">
                  <c:v>3.8423694120036291E-4</c:v>
                </c:pt>
                <c:pt idx="19">
                  <c:v>7.6271387301020117E-4</c:v>
                </c:pt>
                <c:pt idx="20">
                  <c:v>1.8576965718794744E-3</c:v>
                </c:pt>
                <c:pt idx="21">
                  <c:v>5.6500174207878579E-3</c:v>
                </c:pt>
                <c:pt idx="22">
                  <c:v>1.0604690722803879E-2</c:v>
                </c:pt>
                <c:pt idx="23">
                  <c:v>1.2304485297983347E-2</c:v>
                </c:pt>
                <c:pt idx="24">
                  <c:v>1.0057937732391362E-2</c:v>
                </c:pt>
                <c:pt idx="25">
                  <c:v>4.8806049803694785E-3</c:v>
                </c:pt>
                <c:pt idx="26">
                  <c:v>1.5754819430308722E-3</c:v>
                </c:pt>
                <c:pt idx="27">
                  <c:v>1.4282114672234836E-6</c:v>
                </c:pt>
                <c:pt idx="28">
                  <c:v>4.4410263499838001E-6</c:v>
                </c:pt>
                <c:pt idx="29">
                  <c:v>6.38466679130438E-6</c:v>
                </c:pt>
                <c:pt idx="30">
                  <c:v>1.5881801295193388E-5</c:v>
                </c:pt>
                <c:pt idx="31">
                  <c:v>4.0553352488815157E-5</c:v>
                </c:pt>
                <c:pt idx="32">
                  <c:v>9.81352004140767E-5</c:v>
                </c:pt>
                <c:pt idx="33">
                  <c:v>2.5547018368631805E-4</c:v>
                </c:pt>
                <c:pt idx="34">
                  <c:v>6.1532290602033576E-4</c:v>
                </c:pt>
                <c:pt idx="35">
                  <c:v>8.5448933793932339E-4</c:v>
                </c:pt>
                <c:pt idx="36">
                  <c:v>5.8691896285830586E-4</c:v>
                </c:pt>
                <c:pt idx="37">
                  <c:v>2.4956743654979167E-4</c:v>
                </c:pt>
                <c:pt idx="38">
                  <c:v>7.9656383356569021E-5</c:v>
                </c:pt>
                <c:pt idx="39">
                  <c:v>3.8268401588948151E-5</c:v>
                </c:pt>
                <c:pt idx="40">
                  <c:v>2.9337450938675076E-5</c:v>
                </c:pt>
                <c:pt idx="41">
                  <c:v>2.6226989105389081E-5</c:v>
                </c:pt>
                <c:pt idx="42">
                  <c:v>5.1152477186921597E-5</c:v>
                </c:pt>
                <c:pt idx="43">
                  <c:v>1.1480930276211263E-4</c:v>
                </c:pt>
                <c:pt idx="44">
                  <c:v>2.7253629336076036E-4</c:v>
                </c:pt>
                <c:pt idx="45">
                  <c:v>7.7896875261960802E-4</c:v>
                </c:pt>
                <c:pt idx="46">
                  <c:v>1.6504722136461152E-3</c:v>
                </c:pt>
                <c:pt idx="47">
                  <c:v>2.4127180329648703E-3</c:v>
                </c:pt>
                <c:pt idx="48">
                  <c:v>1.5477646273145476E-3</c:v>
                </c:pt>
                <c:pt idx="49">
                  <c:v>7.4291724234937869E-4</c:v>
                </c:pt>
                <c:pt idx="50">
                  <c:v>2.2467686061852275E-4</c:v>
                </c:pt>
                <c:pt idx="51">
                  <c:v>9.9232755686426752E-5</c:v>
                </c:pt>
                <c:pt idx="52">
                  <c:v>6.6828634677601129E-5</c:v>
                </c:pt>
                <c:pt idx="53">
                  <c:v>5.3190502715767971E-5</c:v>
                </c:pt>
                <c:pt idx="54">
                  <c:v>9.1035190993096554E-5</c:v>
                </c:pt>
                <c:pt idx="55">
                  <c:v>1.927354567626213E-4</c:v>
                </c:pt>
                <c:pt idx="56">
                  <c:v>4.5211422565575752E-4</c:v>
                </c:pt>
                <c:pt idx="57">
                  <c:v>1.317715478865202E-3</c:v>
                </c:pt>
                <c:pt idx="58">
                  <c:v>2.7072324096364137E-3</c:v>
                </c:pt>
                <c:pt idx="59">
                  <c:v>4.0069757403960928E-3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568896"/>
        <c:axId val="393056800"/>
      </c:lineChart>
      <c:dateAx>
        <c:axId val="394568896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680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930568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889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5.7478341398575772E-4</c:v>
                </c:pt>
                <c:pt idx="2">
                  <c:v>1.1109498573533827E-3</c:v>
                </c:pt>
                <c:pt idx="3">
                  <c:v>1.7042271931948516E-3</c:v>
                </c:pt>
                <c:pt idx="4">
                  <c:v>2.2780310456562702E-3</c:v>
                </c:pt>
                <c:pt idx="5">
                  <c:v>2.8706152085993253E-3</c:v>
                </c:pt>
                <c:pt idx="6">
                  <c:v>3.4437486405752837E-3</c:v>
                </c:pt>
                <c:pt idx="7">
                  <c:v>4.0356404405086366E-3</c:v>
                </c:pt>
                <c:pt idx="8">
                  <c:v>4.6271806939013338E-3</c:v>
                </c:pt>
                <c:pt idx="9">
                  <c:v>5.1993044811706746E-3</c:v>
                </c:pt>
                <c:pt idx="10">
                  <c:v>5.7901535912359137E-3</c:v>
                </c:pt>
                <c:pt idx="11">
                  <c:v>6.3616089209730387E-3</c:v>
                </c:pt>
                <c:pt idx="12">
                  <c:v>6.9517676952283169E-3</c:v>
                </c:pt>
                <c:pt idx="13">
                  <c:v>7.5415759522511339E-3</c:v>
                </c:pt>
                <c:pt idx="14">
                  <c:v>8.0740048869839542E-3</c:v>
                </c:pt>
                <c:pt idx="15">
                  <c:v>8.6631466056247275E-3</c:v>
                </c:pt>
                <c:pt idx="16">
                  <c:v>9.2329505866286521E-3</c:v>
                </c:pt>
                <c:pt idx="17">
                  <c:v>9.8214039643401696E-3</c:v>
                </c:pt>
                <c:pt idx="18">
                  <c:v>1.0390542198225217E-2</c:v>
                </c:pt>
                <c:pt idx="19">
                  <c:v>1.0978308039250595E-2</c:v>
                </c:pt>
                <c:pt idx="20">
                  <c:v>1.1565724784295628E-2</c:v>
                </c:pt>
                <c:pt idx="21">
                  <c:v>1.213386041150466E-2</c:v>
                </c:pt>
                <c:pt idx="22">
                  <c:v>1.2720590831043599E-2</c:v>
                </c:pt>
                <c:pt idx="23">
                  <c:v>1.328806266040361E-2</c:v>
                </c:pt>
                <c:pt idx="24">
                  <c:v>1.38930064340822E-2</c:v>
                </c:pt>
                <c:pt idx="25">
                  <c:v>1.447869203141039E-2</c:v>
                </c:pt>
                <c:pt idx="26">
                  <c:v>1.5007399378180741E-2</c:v>
                </c:pt>
                <c:pt idx="27">
                  <c:v>1.5592423096117303E-2</c:v>
                </c:pt>
                <c:pt idx="28">
                  <c:v>1.6158244243923536E-2</c:v>
                </c:pt>
                <c:pt idx="29">
                  <c:v>1.674258443231702E-2</c:v>
                </c:pt>
                <c:pt idx="30">
                  <c:v>1.7307744486463772E-2</c:v>
                </c:pt>
                <c:pt idx="31">
                  <c:v>1.7891401943936125E-2</c:v>
                </c:pt>
                <c:pt idx="32">
                  <c:v>1.8474712745549682E-2</c:v>
                </c:pt>
                <c:pt idx="33">
                  <c:v>1.9038877201071114E-2</c:v>
                </c:pt>
                <c:pt idx="34">
                  <c:v>1.9621506474477468E-2</c:v>
                </c:pt>
                <c:pt idx="35">
                  <c:v>2.0185011771984285E-2</c:v>
                </c:pt>
                <c:pt idx="36">
                  <c:v>2.076696031346692E-2</c:v>
                </c:pt>
                <c:pt idx="37">
                  <c:v>2.134856321407963E-2</c:v>
                </c:pt>
                <c:pt idx="38">
                  <c:v>2.1873585048079902E-2</c:v>
                </c:pt>
                <c:pt idx="39">
                  <c:v>2.2454530683129192E-2</c:v>
                </c:pt>
                <c:pt idx="40">
                  <c:v>2.301640760530943E-2</c:v>
                </c:pt>
                <c:pt idx="41">
                  <c:v>2.3596674475562907E-2</c:v>
                </c:pt>
                <c:pt idx="42">
                  <c:v>2.4157894912434918E-2</c:v>
                </c:pt>
                <c:pt idx="43">
                  <c:v>2.4737483810947314E-2</c:v>
                </c:pt>
                <c:pt idx="44">
                  <c:v>2.5316728470069494E-2</c:v>
                </c:pt>
                <c:pt idx="45">
                  <c:v>2.5876960248434222E-2</c:v>
                </c:pt>
                <c:pt idx="46">
                  <c:v>2.6455528130145511E-2</c:v>
                </c:pt>
                <c:pt idx="47">
                  <c:v>2.7015105345353785E-2</c:v>
                </c:pt>
                <c:pt idx="48">
                  <c:v>2.7592997240386885E-2</c:v>
                </c:pt>
                <c:pt idx="49">
                  <c:v>2.8170545903943189E-2</c:v>
                </c:pt>
                <c:pt idx="50">
                  <c:v>2.8691907916143067E-2</c:v>
                </c:pt>
                <c:pt idx="51">
                  <c:v>2.9268803895802109E-2</c:v>
                </c:pt>
                <c:pt idx="52">
                  <c:v>2.9826764086761326E-2</c:v>
                </c:pt>
                <c:pt idx="53">
                  <c:v>3.0402986033157831E-2</c:v>
                </c:pt>
                <c:pt idx="54">
                  <c:v>3.0960294315036108E-2</c:v>
                </c:pt>
                <c:pt idx="55">
                  <c:v>3.1535843015696452E-2</c:v>
                </c:pt>
                <c:pt idx="56">
                  <c:v>3.2111049876590081E-2</c:v>
                </c:pt>
                <c:pt idx="57">
                  <c:v>3.2667376391701142E-2</c:v>
                </c:pt>
                <c:pt idx="58">
                  <c:v>3.3241911192863349E-2</c:v>
                </c:pt>
                <c:pt idx="59">
                  <c:v>3.3797587707646293E-2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2.7029807853834751E-3</c:v>
                </c:pt>
                <c:pt idx="2">
                  <c:v>5.1621695965339215E-3</c:v>
                </c:pt>
                <c:pt idx="3">
                  <c:v>7.8449781295631456E-3</c:v>
                </c:pt>
                <c:pt idx="4">
                  <c:v>1.0505159673692E-2</c:v>
                </c:pt>
                <c:pt idx="5">
                  <c:v>1.3325519994466515E-2</c:v>
                </c:pt>
                <c:pt idx="6">
                  <c:v>1.5909162922213498E-2</c:v>
                </c:pt>
                <c:pt idx="7">
                  <c:v>1.8394482297894095E-2</c:v>
                </c:pt>
                <c:pt idx="8">
                  <c:v>2.0741759249206924E-2</c:v>
                </c:pt>
                <c:pt idx="9">
                  <c:v>2.2755621259663166E-2</c:v>
                </c:pt>
                <c:pt idx="10">
                  <c:v>2.4496622984871232E-2</c:v>
                </c:pt>
                <c:pt idx="11">
                  <c:v>2.6273662500495131E-2</c:v>
                </c:pt>
                <c:pt idx="12">
                  <c:v>2.8285913644493815E-2</c:v>
                </c:pt>
                <c:pt idx="13">
                  <c:v>3.0288305250327382E-2</c:v>
                </c:pt>
                <c:pt idx="14">
                  <c:v>3.2063320396163247E-2</c:v>
                </c:pt>
                <c:pt idx="15">
                  <c:v>3.4108441645641745E-2</c:v>
                </c:pt>
                <c:pt idx="16">
                  <c:v>3.6444717323084588E-2</c:v>
                </c:pt>
                <c:pt idx="17">
                  <c:v>3.9054727433577886E-2</c:v>
                </c:pt>
                <c:pt idx="18">
                  <c:v>4.1150347571422427E-2</c:v>
                </c:pt>
                <c:pt idx="19">
                  <c:v>4.2930814591584265E-2</c:v>
                </c:pt>
                <c:pt idx="20">
                  <c:v>4.4514290220610368E-2</c:v>
                </c:pt>
                <c:pt idx="21">
                  <c:v>4.5631787749534844E-2</c:v>
                </c:pt>
                <c:pt idx="22">
                  <c:v>4.6279277023407582E-2</c:v>
                </c:pt>
                <c:pt idx="23">
                  <c:v>4.7228620698108924E-2</c:v>
                </c:pt>
                <c:pt idx="24">
                  <c:v>4.9301351142919371E-2</c:v>
                </c:pt>
                <c:pt idx="25">
                  <c:v>5.2113137451392053E-2</c:v>
                </c:pt>
                <c:pt idx="26">
                  <c:v>5.4609965362457623E-2</c:v>
                </c:pt>
                <c:pt idx="27">
                  <c:v>5.7523210611634304E-2</c:v>
                </c:pt>
                <c:pt idx="28">
                  <c:v>6.0949179833592979E-2</c:v>
                </c:pt>
                <c:pt idx="29">
                  <c:v>6.4813251884438719E-2</c:v>
                </c:pt>
                <c:pt idx="30">
                  <c:v>6.7838491569675891E-2</c:v>
                </c:pt>
                <c:pt idx="31">
                  <c:v>7.033848927778856E-2</c:v>
                </c:pt>
                <c:pt idx="32">
                  <c:v>7.2528723498033409E-2</c:v>
                </c:pt>
                <c:pt idx="33">
                  <c:v>7.3987886106508527E-2</c:v>
                </c:pt>
                <c:pt idx="34">
                  <c:v>7.4694290567553015E-2</c:v>
                </c:pt>
                <c:pt idx="35">
                  <c:v>7.5917852729616819E-2</c:v>
                </c:pt>
                <c:pt idx="36">
                  <c:v>7.7853047685662993E-2</c:v>
                </c:pt>
                <c:pt idx="37">
                  <c:v>7.9867997004739136E-2</c:v>
                </c:pt>
                <c:pt idx="38">
                  <c:v>8.167644642618295E-2</c:v>
                </c:pt>
                <c:pt idx="39">
                  <c:v>8.3948085265531172E-2</c:v>
                </c:pt>
                <c:pt idx="40">
                  <c:v>1.1284837635547294E-2</c:v>
                </c:pt>
                <c:pt idx="41">
                  <c:v>1.4098875357245725E-2</c:v>
                </c:pt>
                <c:pt idx="42">
                  <c:v>1.666784954548246E-2</c:v>
                </c:pt>
                <c:pt idx="43">
                  <c:v>1.9131982829426727E-2</c:v>
                </c:pt>
                <c:pt idx="44">
                  <c:v>2.1456301831098631E-2</c:v>
                </c:pt>
                <c:pt idx="45">
                  <c:v>2.3443221376248161E-2</c:v>
                </c:pt>
                <c:pt idx="46">
                  <c:v>2.5151354863267885E-2</c:v>
                </c:pt>
                <c:pt idx="47">
                  <c:v>2.690351592047667E-2</c:v>
                </c:pt>
                <c:pt idx="48">
                  <c:v>2.8897079168252522E-2</c:v>
                </c:pt>
                <c:pt idx="49">
                  <c:v>3.0882414018973615E-2</c:v>
                </c:pt>
                <c:pt idx="50">
                  <c:v>3.2642694026408035E-2</c:v>
                </c:pt>
                <c:pt idx="51">
                  <c:v>3.4674081320815849E-2</c:v>
                </c:pt>
                <c:pt idx="52">
                  <c:v>3.7003380994918247E-2</c:v>
                </c:pt>
                <c:pt idx="53">
                  <c:v>3.9608860765209357E-2</c:v>
                </c:pt>
                <c:pt idx="54">
                  <c:v>4.1693970291908133E-2</c:v>
                </c:pt>
                <c:pt idx="55">
                  <c:v>4.3459256813992202E-2</c:v>
                </c:pt>
                <c:pt idx="56">
                  <c:v>4.5026282353274015E-2</c:v>
                </c:pt>
                <c:pt idx="57">
                  <c:v>4.6124474762222187E-2</c:v>
                </c:pt>
                <c:pt idx="58">
                  <c:v>4.6748412914309576E-2</c:v>
                </c:pt>
                <c:pt idx="59">
                  <c:v>4.7679930394597683E-2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6.6922702677487345E-7</c:v>
                </c:pt>
                <c:pt idx="1">
                  <c:v>1.9306096186591396E-6</c:v>
                </c:pt>
                <c:pt idx="2">
                  <c:v>2.1137938231352497E-6</c:v>
                </c:pt>
                <c:pt idx="3">
                  <c:v>3.2216916749331E-6</c:v>
                </c:pt>
                <c:pt idx="4">
                  <c:v>5.5249475450964976E-6</c:v>
                </c:pt>
                <c:pt idx="5">
                  <c:v>7.0218468852208054E-6</c:v>
                </c:pt>
                <c:pt idx="6">
                  <c:v>1.6928605388400049E-5</c:v>
                </c:pt>
                <c:pt idx="7">
                  <c:v>4.2835681251954153E-5</c:v>
                </c:pt>
                <c:pt idx="8">
                  <c:v>1.0339693074486773E-4</c:v>
                </c:pt>
                <c:pt idx="9">
                  <c:v>2.6898122360666308E-4</c:v>
                </c:pt>
                <c:pt idx="10">
                  <c:v>6.477324616902721E-4</c:v>
                </c:pt>
                <c:pt idx="11">
                  <c:v>8.9944517648747331E-4</c:v>
                </c:pt>
                <c:pt idx="12">
                  <c:v>6.1775876930340835E-4</c:v>
                </c:pt>
                <c:pt idx="13">
                  <c:v>2.6396558962764869E-4</c:v>
                </c:pt>
                <c:pt idx="14">
                  <c:v>8.530544520425688E-5</c:v>
                </c:pt>
                <c:pt idx="15">
                  <c:v>4.1315169929050899E-5</c:v>
                </c:pt>
                <c:pt idx="16">
                  <c:v>3.1211118811315736E-5</c:v>
                </c:pt>
                <c:pt idx="17">
                  <c:v>2.7574523756124097E-5</c:v>
                </c:pt>
                <c:pt idx="18">
                  <c:v>5.3145664706758833E-5</c:v>
                </c:pt>
                <c:pt idx="19">
                  <c:v>1.1870375784803206E-4</c:v>
                </c:pt>
                <c:pt idx="20">
                  <c:v>2.8151092069500023E-4</c:v>
                </c:pt>
                <c:pt idx="21">
                  <c:v>8.0589328078297566E-4</c:v>
                </c:pt>
                <c:pt idx="22">
                  <c:v>1.7032851000596391E-3</c:v>
                </c:pt>
                <c:pt idx="23">
                  <c:v>2.4923930165003253E-3</c:v>
                </c:pt>
                <c:pt idx="24">
                  <c:v>1.5967009608356978E-3</c:v>
                </c:pt>
                <c:pt idx="25">
                  <c:v>7.6811260767529988E-4</c:v>
                </c:pt>
                <c:pt idx="26">
                  <c:v>2.32008526993194E-4</c:v>
                </c:pt>
                <c:pt idx="27">
                  <c:v>1.0227952402652951E-4</c:v>
                </c:pt>
                <c:pt idx="28">
                  <c:v>6.8702302550241771E-5</c:v>
                </c:pt>
                <c:pt idx="29">
                  <c:v>5.4538037366502991E-5</c:v>
                </c:pt>
                <c:pt idx="30">
                  <c:v>9.3028378512933769E-5</c:v>
                </c:pt>
                <c:pt idx="31">
                  <c:v>1.9662991184854077E-4</c:v>
                </c:pt>
                <c:pt idx="32">
                  <c:v>4.6108885298999717E-4</c:v>
                </c:pt>
                <c:pt idx="33">
                  <c:v>1.3446400070285694E-3</c:v>
                </c:pt>
                <c:pt idx="34">
                  <c:v>2.7600452960499368E-3</c:v>
                </c:pt>
                <c:pt idx="35">
                  <c:v>4.0866507239315482E-3</c:v>
                </c:pt>
                <c:pt idx="36">
                  <c:v>2.5758932170198835E-3</c:v>
                </c:pt>
                <c:pt idx="37">
                  <c:v>1.2736770483463881E-3</c:v>
                </c:pt>
                <c:pt idx="38">
                  <c:v>3.8088936633589752E-4</c:v>
                </c:pt>
                <c:pt idx="39">
                  <c:v>1.6602487176759273E-4</c:v>
                </c:pt>
                <c:pt idx="40">
                  <c:v>1.1097842855960867E-4</c:v>
                </c:pt>
                <c:pt idx="41">
                  <c:v>9.160514790676236E-5</c:v>
                </c:pt>
                <c:pt idx="42">
                  <c:v>1.5066750744315927E-4</c:v>
                </c:pt>
                <c:pt idx="43">
                  <c:v>3.1248350576878981E-4</c:v>
                </c:pt>
                <c:pt idx="44">
                  <c:v>7.4242840396851798E-4</c:v>
                </c:pt>
                <c:pt idx="45">
                  <c:v>2.217260129676899E-3</c:v>
                </c:pt>
                <c:pt idx="46">
                  <c:v>4.4928038338547501E-3</c:v>
                </c:pt>
                <c:pt idx="47">
                  <c:v>6.2381364097027778E-3</c:v>
                </c:pt>
                <c:pt idx="48">
                  <c:v>4.2300426296511505E-3</c:v>
                </c:pt>
                <c:pt idx="49">
                  <c:v>2.0295363692571702E-3</c:v>
                </c:pt>
                <c:pt idx="50">
                  <c:v>6.1787323873995924E-4</c:v>
                </c:pt>
                <c:pt idx="51">
                  <c:v>2.5859190563324002E-4</c:v>
                </c:pt>
                <c:pt idx="52">
                  <c:v>1.6738521547744994E-4</c:v>
                </c:pt>
                <c:pt idx="53">
                  <c:v>1.3697323055610432E-4</c:v>
                </c:pt>
                <c:pt idx="54">
                  <c:v>2.1256889393379873E-4</c:v>
                </c:pt>
                <c:pt idx="55">
                  <c:v>4.3092182031703144E-4</c:v>
                </c:pt>
                <c:pt idx="56">
                  <c:v>1.0258134982695955E-3</c:v>
                </c:pt>
                <c:pt idx="57">
                  <c:v>3.0921783050808713E-3</c:v>
                </c:pt>
                <c:pt idx="58">
                  <c:v>6.2275679887303466E-3</c:v>
                </c:pt>
                <c:pt idx="59">
                  <c:v>8.390674895492771E-3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059152"/>
        <c:axId val="393058760"/>
      </c:lineChart>
      <c:dateAx>
        <c:axId val="393059152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87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930587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915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19050</xdr:colOff>
      <xdr:row>23</xdr:row>
      <xdr:rowOff>19050</xdr:rowOff>
    </xdr:from>
    <xdr:to>
      <xdr:col>52</xdr:col>
      <xdr:colOff>221626</xdr:colOff>
      <xdr:row>58</xdr:row>
      <xdr:rowOff>58425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21564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8">
        <f>Tmaj</f>
        <v>44926</v>
      </c>
      <c r="D2" s="1218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9" t="str">
        <f>Station</f>
        <v>MdS Escalquens</v>
      </c>
      <c r="D3" s="1220"/>
      <c r="E3" s="1220"/>
      <c r="F3" s="1220"/>
      <c r="G3" s="1220"/>
      <c r="H3" s="1221"/>
      <c r="K3" s="21"/>
      <c r="L3" s="30"/>
      <c r="M3" s="30"/>
      <c r="N3" s="209" t="s">
        <v>164</v>
      </c>
      <c r="O3" s="706">
        <f>Salim_i</f>
        <v>0.1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2">
        <f>T0</f>
        <v>43481</v>
      </c>
      <c r="D4" s="1223"/>
      <c r="H4" s="33" t="s">
        <v>298</v>
      </c>
      <c r="I4" s="648">
        <f>Azi_pvG</f>
        <v>35</v>
      </c>
      <c r="J4" s="648">
        <f>Azi_pvD</f>
        <v>35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6">
        <f>Tservice</f>
        <v>43476</v>
      </c>
      <c r="D5" s="1217"/>
      <c r="E5" s="95"/>
      <c r="H5" s="33" t="s">
        <v>15</v>
      </c>
      <c r="I5" s="649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373</v>
      </c>
      <c r="K7" s="1224" t="s">
        <v>374</v>
      </c>
      <c r="L7" s="1225"/>
      <c r="M7" s="1206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MdS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[3]!Inter_net</f>
        <v>2</v>
      </c>
      <c r="L8" s="557">
        <f>[3]!Inter_tai</f>
        <v>7</v>
      </c>
      <c r="N8" s="15"/>
    </row>
    <row r="9" spans="1:29" ht="15.75" x14ac:dyDescent="0.25">
      <c r="A9" s="29" t="s">
        <v>278</v>
      </c>
      <c r="B9" s="149">
        <f>AVERAGE(B11:B30)</f>
        <v>11169.162086634336</v>
      </c>
      <c r="C9" s="866">
        <f t="shared" ref="C9:J9" si="0">AVERAGE(C11:C30)</f>
        <v>412.53977663083094</v>
      </c>
      <c r="D9" s="867">
        <f t="shared" si="0"/>
        <v>6.8722531585636277</v>
      </c>
      <c r="E9" s="149">
        <f t="shared" si="0"/>
        <v>419.41202978939452</v>
      </c>
      <c r="F9" s="149">
        <f t="shared" si="0"/>
        <v>11588.574116423733</v>
      </c>
      <c r="G9" s="149">
        <f t="shared" si="0"/>
        <v>12001.889374377815</v>
      </c>
      <c r="H9" s="873">
        <f t="shared" si="0"/>
        <v>328.99640758096001</v>
      </c>
      <c r="I9" s="874">
        <f t="shared" si="0"/>
        <v>6.2401253358584272</v>
      </c>
      <c r="J9" s="149">
        <f t="shared" si="0"/>
        <v>10832.788304370481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272</v>
      </c>
      <c r="N10" s="332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10258.270000000002</v>
      </c>
      <c r="C11" s="143">
        <f>'2019'!Wh_Psa</f>
        <v>160.22566753486308</v>
      </c>
      <c r="D11" s="328">
        <f>'2019'!Wh_Pvg</f>
        <v>0.60385858000374271</v>
      </c>
      <c r="E11" s="139">
        <f t="shared" ref="E11:E16" si="1">C11+D11</f>
        <v>160.82952611486681</v>
      </c>
      <c r="F11" s="139">
        <f t="shared" ref="F11:F16" si="2">B11+E11</f>
        <v>10419.099526114869</v>
      </c>
      <c r="G11" s="139">
        <f>'2019'!F$9</f>
        <v>10454.766750172004</v>
      </c>
      <c r="H11" s="145">
        <f>'2019'!Wh_gain_sa</f>
        <v>0</v>
      </c>
      <c r="I11" s="328">
        <f>'2019'!Wh_gain_vg</f>
        <v>0</v>
      </c>
      <c r="J11" s="139">
        <f>'2019'!Prod_an_s</f>
        <v>10258.270000000002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11377.776000000003</v>
      </c>
      <c r="C12" s="145">
        <f>'2020'!Wh_Psa</f>
        <v>461.22295909605776</v>
      </c>
      <c r="D12" s="329">
        <f>'2020'!Wh_Pvg</f>
        <v>2.2236812290549581</v>
      </c>
      <c r="E12" s="137">
        <f t="shared" si="1"/>
        <v>463.4466403251127</v>
      </c>
      <c r="F12" s="137">
        <f t="shared" si="2"/>
        <v>11841.222640325117</v>
      </c>
      <c r="G12" s="137">
        <f>'2020'!F$9</f>
        <v>11960.850030837801</v>
      </c>
      <c r="H12" s="145">
        <f>'2020'!Wh_gain_sa</f>
        <v>0</v>
      </c>
      <c r="I12" s="329">
        <f>'2020'!Wh_gain_vg</f>
        <v>0</v>
      </c>
      <c r="J12" s="137">
        <f>'2020'!Prod_an_s</f>
        <v>11377.776000000003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10779.494999999999</v>
      </c>
      <c r="C13" s="145">
        <f>'2021'!Wh_Psa</f>
        <v>744.45236324571476</v>
      </c>
      <c r="D13" s="329">
        <f>'2021'!Wh_Pvg</f>
        <v>4.0582267976677597</v>
      </c>
      <c r="E13" s="137">
        <f t="shared" si="1"/>
        <v>748.51059004338254</v>
      </c>
      <c r="F13" s="137">
        <f t="shared" si="2"/>
        <v>11528.005590043382</v>
      </c>
      <c r="G13" s="137">
        <f>'2021'!F$9</f>
        <v>11726.850945378214</v>
      </c>
      <c r="H13" s="145">
        <f>'2021'!Wh_gain_sa</f>
        <v>0</v>
      </c>
      <c r="I13" s="329">
        <f>'2021'!Wh_gain_vg</f>
        <v>0</v>
      </c>
      <c r="J13" s="137">
        <f>'2021'!Prod_an_s</f>
        <v>10779.494999999999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363">
        <f>'2022'!An</f>
        <v>2022</v>
      </c>
      <c r="B14" s="364">
        <f>'2022'!Prod_an</f>
        <v>11548.403999999986</v>
      </c>
      <c r="C14" s="365">
        <f>'2022'!Wh_Psa</f>
        <v>420.422114565426</v>
      </c>
      <c r="D14" s="366">
        <f>'2022'!Wh_Pvg</f>
        <v>7.0923332059072832</v>
      </c>
      <c r="E14" s="364">
        <f t="shared" si="1"/>
        <v>427.51444777133327</v>
      </c>
      <c r="F14" s="364">
        <f t="shared" si="2"/>
        <v>11975.918447771319</v>
      </c>
      <c r="G14" s="364">
        <f>'2022'!F$9</f>
        <v>12264.149573774655</v>
      </c>
      <c r="H14" s="365">
        <f>'2022'!Wh_gain_sa</f>
        <v>620.93310326220058</v>
      </c>
      <c r="I14" s="366">
        <f>'2022'!Wh_gain_vg</f>
        <v>-0.3839533258578065</v>
      </c>
      <c r="J14" s="364">
        <f>'2022'!Prod_an_s</f>
        <v>10923.215081851524</v>
      </c>
      <c r="K14" s="848">
        <f>IF('2022'!Acti_net,'2022'!Tnet,"")</f>
        <v>44683</v>
      </c>
      <c r="L14" s="849" t="str">
        <f>IF('2022'!Acti_tai,'2022'!Ttai,"")</f>
        <v/>
      </c>
      <c r="M14" s="860">
        <f t="shared" si="3"/>
        <v>-0.40329038973226261</v>
      </c>
      <c r="N14" s="861">
        <f>Q14+R13+(L13="")*N13</f>
        <v>0</v>
      </c>
      <c r="O14" s="369">
        <f>+'2022'!$AJ$3</f>
        <v>-0.40329038973226261</v>
      </c>
      <c r="P14" s="369">
        <f>+'2022'!$AJ$4</f>
        <v>620.6074558581995</v>
      </c>
      <c r="Q14" s="369">
        <f>+'2022'!$AK$3</f>
        <v>0</v>
      </c>
      <c r="R14" s="369">
        <f>+'2022'!$AK$4</f>
        <v>-0.38116540804640398</v>
      </c>
      <c r="S14" s="850"/>
      <c r="T14" s="850"/>
    </row>
    <row r="15" spans="1:29" s="19" customFormat="1" ht="12.75" x14ac:dyDescent="0.2">
      <c r="A15" s="361">
        <f>'2023'!An</f>
        <v>2023</v>
      </c>
      <c r="B15" s="362">
        <f>'2023'!Prod_an</f>
        <v>11404.720569920099</v>
      </c>
      <c r="C15" s="145">
        <f>'2023'!Wh_Psa</f>
        <v>471.61614147544458</v>
      </c>
      <c r="D15" s="329">
        <f>'2023'!Wh_Pvg</f>
        <v>10.085689591429711</v>
      </c>
      <c r="E15" s="362">
        <f t="shared" si="1"/>
        <v>481.70183106687426</v>
      </c>
      <c r="F15" s="362">
        <f t="shared" si="2"/>
        <v>11886.422400986972</v>
      </c>
      <c r="G15" s="362">
        <f>'2023'!F$9</f>
        <v>12262.427596441708</v>
      </c>
      <c r="H15" s="145">
        <f>'2023'!Wh_gain_sa</f>
        <v>620.62595436341815</v>
      </c>
      <c r="I15" s="329">
        <f>'2023'!Wh_gain_vg</f>
        <v>-0.54890714132683627</v>
      </c>
      <c r="J15" s="362">
        <f>'2023'!Prod_an_s</f>
        <v>10784.026019595474</v>
      </c>
      <c r="K15" s="846" t="str">
        <f>IF('2023'!Acti_net,'2023'!Tnet,"")</f>
        <v/>
      </c>
      <c r="L15" s="847" t="str">
        <f>IF('2023'!Acti_tai,'2023'!Ttai,"")</f>
        <v/>
      </c>
      <c r="M15" s="858">
        <f t="shared" si="3"/>
        <v>620.6074558581995</v>
      </c>
      <c r="N15" s="859">
        <f t="shared" ref="N15:N20" si="4">Q15+R14+(L14="")*N14</f>
        <v>-0.38116540804640398</v>
      </c>
      <c r="O15" s="369">
        <f>+'2023'!$AJ$3</f>
        <v>0</v>
      </c>
      <c r="P15" s="369">
        <f>+'2023'!$AJ$4</f>
        <v>620.62595436341815</v>
      </c>
      <c r="Q15" s="369">
        <f>+'2023'!$AK$3</f>
        <v>0</v>
      </c>
      <c r="R15" s="369">
        <f>+'2023'!$AK$4</f>
        <v>-0.54890714132683627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11485.508865146825</v>
      </c>
      <c r="C16" s="145">
        <f>'2024'!Wh_Psa</f>
        <v>318.36283647833534</v>
      </c>
      <c r="D16" s="329">
        <f>'2024'!Wh_Pvg</f>
        <v>13.854373674588581</v>
      </c>
      <c r="E16" s="362">
        <f t="shared" si="1"/>
        <v>332.21721015292394</v>
      </c>
      <c r="F16" s="362">
        <f t="shared" si="2"/>
        <v>11817.726075299748</v>
      </c>
      <c r="G16" s="362">
        <f>'2024'!F$9</f>
        <v>12277.453038748599</v>
      </c>
      <c r="H16" s="145">
        <f>'2024'!Wh_gain_sa</f>
        <v>486.8038679459429</v>
      </c>
      <c r="I16" s="329">
        <f>'2024'!Wh_gain_vg</f>
        <v>-0.58723881059800043</v>
      </c>
      <c r="J16" s="362">
        <f>'2024'!Prod_an_s</f>
        <v>10998.678011331132</v>
      </c>
      <c r="K16" s="846">
        <f>IF('2024'!Acti_net,'2024'!Tnet,"")</f>
        <v>45412</v>
      </c>
      <c r="L16" s="847" t="str">
        <f>IF('2024'!Acti_tai,'2024'!Ttai,"")</f>
        <v/>
      </c>
      <c r="M16" s="858">
        <f t="shared" si="3"/>
        <v>1366.7716013636857</v>
      </c>
      <c r="N16" s="859">
        <f t="shared" si="4"/>
        <v>-0.93007254937324024</v>
      </c>
      <c r="O16" s="369">
        <f>+'2024'!$AJ$3</f>
        <v>125.53819114206803</v>
      </c>
      <c r="P16" s="369">
        <f>+'2024'!$AJ$4</f>
        <v>361.26632519841087</v>
      </c>
      <c r="Q16" s="369">
        <f>+'2024'!$AK$3</f>
        <v>0</v>
      </c>
      <c r="R16" s="369">
        <f>+'2024'!$AK$4</f>
        <v>-0.58723881059800043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11233.429402278878</v>
      </c>
      <c r="C17" s="145">
        <f>'2025'!Wh_Psa</f>
        <v>465.92144393799981</v>
      </c>
      <c r="D17" s="329">
        <f>'2025'!Wh_Pvg</f>
        <v>17.392129885482568</v>
      </c>
      <c r="E17" s="362">
        <f>C17+D17</f>
        <v>483.31357382348239</v>
      </c>
      <c r="F17" s="362">
        <f>B17+E17</f>
        <v>11716.742976102361</v>
      </c>
      <c r="G17" s="362">
        <f>'2025'!F$9</f>
        <v>12258.228907318322</v>
      </c>
      <c r="H17" s="145">
        <f>'2025'!Wh_gain_sa</f>
        <v>358.11069391900639</v>
      </c>
      <c r="I17" s="329">
        <f>'2025'!Wh_gain_vg</f>
        <v>-0.55450378290463576</v>
      </c>
      <c r="J17" s="362">
        <f>'2025'!Prod_an_s</f>
        <v>10875.280104891488</v>
      </c>
      <c r="K17" s="846" t="str">
        <f>IF('2025'!Acti_net,'2025'!Tnet,"")</f>
        <v/>
      </c>
      <c r="L17" s="847" t="str">
        <f>IF('2025'!Acti_tai,'2025'!Ttai,"")</f>
        <v/>
      </c>
      <c r="M17" s="858">
        <f t="shared" si="3"/>
        <v>361.26632519841087</v>
      </c>
      <c r="N17" s="859">
        <f t="shared" si="4"/>
        <v>-1.5173113599712407</v>
      </c>
      <c r="O17" s="369">
        <f>+'2025'!$AJ$3</f>
        <v>0</v>
      </c>
      <c r="P17" s="369">
        <f>+'2025'!$AJ$4</f>
        <v>358.11069391900639</v>
      </c>
      <c r="Q17" s="369">
        <f>+'2025'!$AK$3</f>
        <v>0</v>
      </c>
      <c r="R17" s="369">
        <f>+'2025'!$AK$4</f>
        <v>-0.55450378290463576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11321.843707673532</v>
      </c>
      <c r="C18" s="145">
        <f>'2026'!Wh_Psa</f>
        <v>312.45462438789599</v>
      </c>
      <c r="D18" s="329">
        <f>'2026'!Wh_Pvg</f>
        <v>6.9837291165411166</v>
      </c>
      <c r="E18" s="362">
        <f>C18+D18</f>
        <v>319.43835350443709</v>
      </c>
      <c r="F18" s="362">
        <f>B18+E18</f>
        <v>11641.282061177968</v>
      </c>
      <c r="G18" s="362">
        <f>'2026'!F$9</f>
        <v>12264.558164881782</v>
      </c>
      <c r="H18" s="145">
        <f>'2026'!Wh_gain_sa</f>
        <v>428.84920350574788</v>
      </c>
      <c r="I18" s="329">
        <f>'2026'!Wh_gain_vg</f>
        <v>14.267553361673155</v>
      </c>
      <c r="J18" s="362">
        <f>'2026'!Prod_an_s</f>
        <v>10877.591261894519</v>
      </c>
      <c r="K18" s="846">
        <f>IF('2026'!Acti_net,'2026'!Tnet,"")</f>
        <v>46142</v>
      </c>
      <c r="L18" s="847">
        <f>IF('2026'!Acti_tai,'2026'!Ttai,"")</f>
        <v>46112</v>
      </c>
      <c r="M18" s="858">
        <f t="shared" si="3"/>
        <v>790.66952512518969</v>
      </c>
      <c r="N18" s="859">
        <f t="shared" si="4"/>
        <v>-2.2278218661292195</v>
      </c>
      <c r="O18" s="369">
        <f>+'2026'!$AJ$3</f>
        <v>71.292506007772431</v>
      </c>
      <c r="P18" s="369">
        <f>+'2026'!$AJ$4</f>
        <v>357.44327727710538</v>
      </c>
      <c r="Q18" s="369">
        <f>+'2026'!$AK$3</f>
        <v>-0.15600672325334308</v>
      </c>
      <c r="R18" s="369">
        <f>+'2026'!$AK$4</f>
        <v>14.53348334639943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11100.015027760486</v>
      </c>
      <c r="C19" s="145">
        <f>'2027'!Wh_Psa</f>
        <v>460.41996331761078</v>
      </c>
      <c r="D19" s="329">
        <f>'2027'!Wh_Pvg</f>
        <v>2.2252050869718207</v>
      </c>
      <c r="E19" s="362">
        <f>C19+D19</f>
        <v>462.64516840458259</v>
      </c>
      <c r="F19" s="362">
        <f>B19+E19</f>
        <v>11562.660196165069</v>
      </c>
      <c r="G19" s="362">
        <f>'2027'!F$9</f>
        <v>12266.816731988918</v>
      </c>
      <c r="H19" s="145">
        <f>'2027'!Wh_gain_sa</f>
        <v>352.39330271929128</v>
      </c>
      <c r="I19" s="329">
        <f>'2027'!Wh_gain_vg</f>
        <v>23.402720044289033</v>
      </c>
      <c r="J19" s="362">
        <f>'2027'!Prod_an_s</f>
        <v>10722.343095416216</v>
      </c>
      <c r="K19" s="846" t="str">
        <f>IF('2027'!Acti_net,'2027'!Tnet,"")</f>
        <v/>
      </c>
      <c r="L19" s="847" t="str">
        <f>IF('2027'!Acti_tai,'2027'!Ttai,"")</f>
        <v/>
      </c>
      <c r="M19" s="858">
        <f t="shared" si="3"/>
        <v>357.44327727710538</v>
      </c>
      <c r="N19" s="859">
        <f t="shared" si="4"/>
        <v>14.53348334639943</v>
      </c>
      <c r="O19" s="369">
        <f>+'2027'!$AJ$3</f>
        <v>0</v>
      </c>
      <c r="P19" s="369">
        <f>+'2027'!$AJ$4</f>
        <v>352.39330271929128</v>
      </c>
      <c r="Q19" s="369">
        <f>+'2027'!$AK$3</f>
        <v>0</v>
      </c>
      <c r="R19" s="369">
        <f>+'2027'!$AK$4</f>
        <v>23.402720044289033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11182.158293563554</v>
      </c>
      <c r="C20" s="145">
        <f>'2028'!Wh_Psa</f>
        <v>310.29965226896132</v>
      </c>
      <c r="D20" s="329">
        <f>'2028'!Wh_Pvg</f>
        <v>4.2033044179887362</v>
      </c>
      <c r="E20" s="362">
        <f>C20+D20</f>
        <v>314.50295668695009</v>
      </c>
      <c r="F20" s="362">
        <f>B20+E20</f>
        <v>11496.661250250505</v>
      </c>
      <c r="G20" s="362">
        <f>'2028'!F$9</f>
        <v>12282.792004236153</v>
      </c>
      <c r="H20" s="145">
        <f>'2028'!Wh_gain_sa</f>
        <v>422.24795009399332</v>
      </c>
      <c r="I20" s="329">
        <f>'2028'!Wh_gain_vg</f>
        <v>26.805583013309356</v>
      </c>
      <c r="J20" s="362">
        <f>'2028'!Prod_an_s</f>
        <v>10731.208468724446</v>
      </c>
      <c r="K20" s="846">
        <f>IF('2028'!Acti_net,'2028'!Tnet,"")</f>
        <v>46873</v>
      </c>
      <c r="L20" s="847" t="str">
        <f>IF('2028'!Acti_tai,'2028'!Ttai,"")</f>
        <v/>
      </c>
      <c r="M20" s="858">
        <f t="shared" si="3"/>
        <v>780.81814698994708</v>
      </c>
      <c r="N20" s="859">
        <f t="shared" si="4"/>
        <v>37.936203390688462</v>
      </c>
      <c r="O20" s="369">
        <f>+'2028'!$AJ$3</f>
        <v>70.981566993550416</v>
      </c>
      <c r="P20" s="369">
        <f>+'2028'!$AJ$4</f>
        <v>351.15246510033597</v>
      </c>
      <c r="Q20" s="369">
        <f>+'2028'!$AK$3</f>
        <v>0</v>
      </c>
      <c r="R20" s="369">
        <f>+'2028'!$AK$4</f>
        <v>26.805583013309356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369</v>
      </c>
      <c r="B31" s="869">
        <f>SUM(B11:B14)/1000</f>
        <v>43.963944999999995</v>
      </c>
      <c r="C31" s="870">
        <f t="shared" ref="C31:J31" si="5">SUM(C11:C14)/1000</f>
        <v>1.7863231044420618</v>
      </c>
      <c r="D31" s="871">
        <f t="shared" si="5"/>
        <v>1.3978099812633744E-2</v>
      </c>
      <c r="E31" s="869">
        <f t="shared" si="5"/>
        <v>1.8003012042546953</v>
      </c>
      <c r="F31" s="869">
        <f t="shared" si="5"/>
        <v>45.76424620425469</v>
      </c>
      <c r="G31" s="869">
        <f t="shared" si="5"/>
        <v>46.406617300162672</v>
      </c>
      <c r="H31" s="870">
        <f t="shared" si="5"/>
        <v>0.62093310326220053</v>
      </c>
      <c r="I31" s="871">
        <f t="shared" si="5"/>
        <v>-3.8395332585780648E-4</v>
      </c>
      <c r="J31" s="869">
        <f t="shared" si="5"/>
        <v>43.338756081851528</v>
      </c>
      <c r="K31" s="1203" t="s">
        <v>10</v>
      </c>
      <c r="L31" s="3"/>
      <c r="M31" s="1204" t="s">
        <v>370</v>
      </c>
      <c r="N31" s="1204" t="s">
        <v>371</v>
      </c>
      <c r="O31" s="1204" t="s">
        <v>371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7" t="s">
        <v>375</v>
      </c>
      <c r="B32" s="1208">
        <f>IF(K16&lt;&gt;"",B15-H16-C16+C15-D16+D15,B16)</f>
        <v>11067.401322888107</v>
      </c>
      <c r="J32" s="355" t="s">
        <v>252</v>
      </c>
      <c r="K32" s="68">
        <f>[1]!Inter_net</f>
        <v>2</v>
      </c>
      <c r="L32" s="68">
        <f>[1]!Inter_tai</f>
        <v>7</v>
      </c>
      <c r="M32" s="1205">
        <f>Inter_net</f>
        <v>2</v>
      </c>
      <c r="N32" s="1205">
        <f>CHOOSE(Inter_net,N33,N34,N35,N36)</f>
        <v>384.75895068749111</v>
      </c>
      <c r="O32" s="1209">
        <f>CHOOSE(Inter_net,O33,O34,O35,O36)</f>
        <v>3.4765067197101145E-2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55">
        <f t="shared" ref="B33:J33" si="6">AVERAGE(B35:B54)</f>
        <v>3.7275408454865079E-2</v>
      </c>
      <c r="C33" s="1156">
        <f t="shared" si="6"/>
        <v>4.0942954289295209E-2</v>
      </c>
      <c r="D33" s="1157">
        <f t="shared" si="6"/>
        <v>4.8638112415806695E-3</v>
      </c>
      <c r="E33" s="1155">
        <f t="shared" si="6"/>
        <v>3.5418355494515885E-2</v>
      </c>
      <c r="F33" s="1156">
        <f t="shared" si="6"/>
        <v>3.5682287182786793E-2</v>
      </c>
      <c r="G33" s="1157">
        <f t="shared" si="6"/>
        <v>5.6361348996170524E-4</v>
      </c>
      <c r="H33" s="1158">
        <f t="shared" si="6"/>
        <v>2.9058992046954259E-2</v>
      </c>
      <c r="I33" s="1159">
        <f t="shared" si="6"/>
        <v>5.0973078003181726E-4</v>
      </c>
      <c r="J33" s="1160">
        <f t="shared" si="6"/>
        <v>6.863315669799977E-2</v>
      </c>
      <c r="K33" s="341"/>
      <c r="L33" s="21"/>
      <c r="M33" s="369">
        <v>1</v>
      </c>
      <c r="N33" s="1210">
        <f>O33*$B$32</f>
        <v>384.75895068749111</v>
      </c>
      <c r="O33" s="1211">
        <f>AVERAGE(H19:H20)/AVERAGE(B19:B20)</f>
        <v>3.4765067197101145E-2</v>
      </c>
      <c r="P33" s="15"/>
    </row>
    <row r="34" spans="1:28" s="239" customFormat="1" ht="41.25" customHeight="1" x14ac:dyDescent="0.2">
      <c r="A34" s="174" t="s">
        <v>52</v>
      </c>
      <c r="B34" s="1161" t="s">
        <v>356</v>
      </c>
      <c r="C34" s="1162" t="s">
        <v>357</v>
      </c>
      <c r="D34" s="1163" t="s">
        <v>358</v>
      </c>
      <c r="E34" s="1161" t="s">
        <v>359</v>
      </c>
      <c r="F34" s="331" t="s">
        <v>360</v>
      </c>
      <c r="G34" s="332" t="s">
        <v>361</v>
      </c>
      <c r="H34" s="331" t="s">
        <v>362</v>
      </c>
      <c r="I34" s="332" t="s">
        <v>363</v>
      </c>
      <c r="J34" s="174" t="s">
        <v>364</v>
      </c>
      <c r="K34" s="331" t="s">
        <v>365</v>
      </c>
      <c r="L34" s="331" t="s">
        <v>366</v>
      </c>
      <c r="M34" s="369">
        <v>2</v>
      </c>
      <c r="N34" s="1212">
        <f>O34*$B$32</f>
        <v>384.75895068749111</v>
      </c>
      <c r="O34" s="1213">
        <f>AVERAGE(H19:H20)/AVERAGE(B19:B20)</f>
        <v>3.4765067197101145E-2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5">
        <f>'2019'!L$379</f>
        <v>6.6662507799323256E-3</v>
      </c>
      <c r="C35" s="1156">
        <f>'2019'!O$379</f>
        <v>2.7308975443746754E-2</v>
      </c>
      <c r="D35" s="1157">
        <f>'2019'!P$379</f>
        <v>8.0061439634258381E-4</v>
      </c>
      <c r="E35" s="1155">
        <f>'2019'!Wh_Ppv/Recap!B11</f>
        <v>3.4223456565418034E-3</v>
      </c>
      <c r="F35" s="1156">
        <f>'2019'!Wh_Psa/'2019'!D$9</f>
        <v>1.5565898553265435E-2</v>
      </c>
      <c r="G35" s="1157">
        <f>'2019'!Wh_Pvg/'2019'!E$9</f>
        <v>5.7762563325848303E-5</v>
      </c>
      <c r="H35" s="1164">
        <f>H11/'2019'!Z$9</f>
        <v>0</v>
      </c>
      <c r="I35" s="1165">
        <f>I11/'2019'!AA$9</f>
        <v>0</v>
      </c>
      <c r="J35" s="1166">
        <f>1-B11/G11</f>
        <v>1.8794943480567761E-2</v>
      </c>
      <c r="K35" s="846" t="str">
        <f>K11</f>
        <v/>
      </c>
      <c r="L35" s="1167">
        <f>(K35&lt;&gt;"")*('2019'!O$383-'2019'!O$381)</f>
        <v>0</v>
      </c>
      <c r="M35" s="369">
        <v>3</v>
      </c>
      <c r="N35" s="1212">
        <f>O35*$B$32</f>
        <v>396.3666563094169</v>
      </c>
      <c r="O35" s="1213">
        <f>AVERAGE(H18:H20)/AVERAGE(B18:B20)</f>
        <v>3.5813886633866331E-2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5">
        <f>'2020'!L$379</f>
        <v>1.3590580922124507E-2</v>
      </c>
      <c r="C36" s="1156">
        <f>'2020'!O$379</f>
        <v>4.7932032830255378E-2</v>
      </c>
      <c r="D36" s="1157">
        <f>'2020'!P$379</f>
        <v>2.2617238558164409E-3</v>
      </c>
      <c r="E36" s="1155">
        <f>'2020'!Wh_Ppv/Recap!B12</f>
        <v>1.0094932119871306E-2</v>
      </c>
      <c r="F36" s="1156">
        <f>'2020'!Wh_Psa/'2020'!D$9</f>
        <v>4.0132050151129466E-2</v>
      </c>
      <c r="G36" s="1157">
        <f>'2020'!Wh_Pvg/'2020'!E$9</f>
        <v>1.859496458260074E-4</v>
      </c>
      <c r="H36" s="1164">
        <f>H12/'2020'!Z$9</f>
        <v>0</v>
      </c>
      <c r="I36" s="1165">
        <f>I12/'2020'!AA$9</f>
        <v>0</v>
      </c>
      <c r="J36" s="1166">
        <f t="shared" ref="J36:J43" si="8">1-B12/G12</f>
        <v>4.8748544571205144E-2</v>
      </c>
      <c r="K36" s="846" t="str">
        <f t="shared" ref="K36:K43" si="9">K12</f>
        <v/>
      </c>
      <c r="L36" s="1167">
        <f>(K36&lt;&gt;"")*('2020'!O$383-'2020'!O$381)</f>
        <v>0</v>
      </c>
      <c r="M36" s="369">
        <v>4</v>
      </c>
      <c r="N36" s="1212">
        <f>O36*$B$32</f>
        <v>385.45608663191763</v>
      </c>
      <c r="O36" s="1213">
        <f>AVERAGE(H17:H20)/AVERAGE(B17:B20)</f>
        <v>3.4828057227379056E-2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5">
        <f>'2021'!L$379</f>
        <v>2.0485415482358049E-2</v>
      </c>
      <c r="C37" s="1156">
        <f>'2021'!O$379</f>
        <v>7.6892590398950827E-2</v>
      </c>
      <c r="D37" s="1157">
        <f>'2021'!P$379</f>
        <v>3.7240078315400943E-3</v>
      </c>
      <c r="E37" s="1155">
        <f>'2021'!Wh_Ppv/Recap!B13</f>
        <v>1.72241640195442E-2</v>
      </c>
      <c r="F37" s="1156">
        <f>'2021'!Wh_Psa/'2021'!D$9</f>
        <v>6.7892504425883932E-2</v>
      </c>
      <c r="G37" s="1157">
        <f>'2021'!Wh_Pvg/'2021'!E$9</f>
        <v>3.4619307806434271E-4</v>
      </c>
      <c r="H37" s="1164">
        <f>H13/'2021'!Z$9</f>
        <v>0</v>
      </c>
      <c r="I37" s="1165">
        <f>I13/'2021'!AA$9</f>
        <v>0</v>
      </c>
      <c r="J37" s="1166">
        <f t="shared" si="8"/>
        <v>8.0785195428068945E-2</v>
      </c>
      <c r="K37" s="846" t="str">
        <f t="shared" si="9"/>
        <v/>
      </c>
      <c r="L37" s="1167">
        <f>(K37&lt;&gt;"")*('2021'!O$383-'2021'!O$381)</f>
        <v>0</v>
      </c>
      <c r="M37" s="369"/>
      <c r="N37" s="1214" t="s">
        <v>372</v>
      </c>
      <c r="O37" s="1215"/>
      <c r="P37" s="369"/>
      <c r="Q37" s="369"/>
      <c r="R37" s="369"/>
      <c r="S37" s="850"/>
      <c r="T37" s="850"/>
    </row>
    <row r="38" spans="1:28" s="19" customFormat="1" ht="12.75" x14ac:dyDescent="0.2">
      <c r="A38" s="363">
        <f t="shared" si="7"/>
        <v>2022</v>
      </c>
      <c r="B38" s="1168">
        <f>'2022'!L$379</f>
        <v>2.7313415001772201E-2</v>
      </c>
      <c r="C38" s="1169">
        <f>'2022'!O$379</f>
        <v>2.7928852758837143E-2</v>
      </c>
      <c r="D38" s="1170">
        <f>'2022'!P$379</f>
        <v>5.7798171275246042E-3</v>
      </c>
      <c r="E38" s="1168">
        <f>'2022'!Wh_Ppv/Recap!B14</f>
        <v>2.404548100932373E-2</v>
      </c>
      <c r="F38" s="1169">
        <f>'2022'!Wh_Psa/'2022'!D$9</f>
        <v>3.555038745152693E-2</v>
      </c>
      <c r="G38" s="1170">
        <f>'2022'!Wh_Pvg/'2022'!E$9</f>
        <v>5.7865315866421473E-4</v>
      </c>
      <c r="H38" s="1171">
        <f>H14/'2022'!Z$9</f>
        <v>5.549075468615302E-2</v>
      </c>
      <c r="I38" s="1172">
        <f>I14/'2022'!AA$9</f>
        <v>-3.1326193840159335E-5</v>
      </c>
      <c r="J38" s="1173">
        <f t="shared" si="8"/>
        <v>5.8360799456099399E-2</v>
      </c>
      <c r="K38" s="848">
        <f t="shared" si="9"/>
        <v>44683</v>
      </c>
      <c r="L38" s="1174">
        <f>(K38&lt;&gt;"")*('2022'!O$383-'2022'!O$381)</f>
        <v>7.5356069233591422E-2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1175">
        <f t="shared" si="7"/>
        <v>2023</v>
      </c>
      <c r="B39" s="1176">
        <f>'2023'!L$379</f>
        <v>3.4093817907339008E-2</v>
      </c>
      <c r="C39" s="1177">
        <f>'2023'!O$379</f>
        <v>4.8376194335232062E-2</v>
      </c>
      <c r="D39" s="1178">
        <f>'2023'!P$379</f>
        <v>7.8366820364742275E-3</v>
      </c>
      <c r="E39" s="1176">
        <f>'2023'!Wh_Ppv/Recap!B15</f>
        <v>3.1596971231931885E-2</v>
      </c>
      <c r="F39" s="1177">
        <f>'2023'!Wh_Psa/'2023'!D$9</f>
        <v>4.0086113650051408E-2</v>
      </c>
      <c r="G39" s="1178">
        <f>'2023'!Wh_Pvg/'2023'!E$9</f>
        <v>8.2321454909825109E-4</v>
      </c>
      <c r="H39" s="1176">
        <f>H15/'2023'!Z$9</f>
        <v>5.5787440905822029E-2</v>
      </c>
      <c r="I39" s="1179">
        <f>I15/'2023'!AA$9</f>
        <v>-4.4802920092658363E-5</v>
      </c>
      <c r="J39" s="1178">
        <f t="shared" si="8"/>
        <v>6.9945940131014295E-2</v>
      </c>
      <c r="K39" s="846" t="str">
        <f t="shared" si="9"/>
        <v/>
      </c>
      <c r="L39" s="1167">
        <f>(K39&lt;&gt;"")*('2023'!O$383-'2023'!O$381)</f>
        <v>0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5">
        <f t="shared" si="7"/>
        <v>2024</v>
      </c>
      <c r="B40" s="1176">
        <f>'2024'!L$379</f>
        <v>4.0826955985498015E-2</v>
      </c>
      <c r="C40" s="1177">
        <f>'2024'!O$379</f>
        <v>2.7994697234577665E-2</v>
      </c>
      <c r="D40" s="1178">
        <f>'2024'!P$379</f>
        <v>9.8239658169652268E-3</v>
      </c>
      <c r="E40" s="1176">
        <f>'2024'!Wh_Ppv/Recap!B16</f>
        <v>3.8867715310512613E-2</v>
      </c>
      <c r="F40" s="1177">
        <f>'2024'!Wh_Psa/'2024'!D$9</f>
        <v>2.6681600304808421E-2</v>
      </c>
      <c r="G40" s="1178">
        <f>'2024'!Wh_Pvg/'2024'!E$9</f>
        <v>1.1298015511237436E-3</v>
      </c>
      <c r="H40" s="1176">
        <f>H16/'2024'!Z$9</f>
        <v>4.2604187688388896E-2</v>
      </c>
      <c r="I40" s="1179">
        <f>I16/'2024'!AA$9</f>
        <v>-4.7888366134558252E-5</v>
      </c>
      <c r="J40" s="1178">
        <f t="shared" si="8"/>
        <v>6.4503946470195195E-2</v>
      </c>
      <c r="K40" s="846">
        <f t="shared" si="9"/>
        <v>45412</v>
      </c>
      <c r="L40" s="1167">
        <f>(K40&lt;&gt;"")*('2024'!O$383-'2024'!O$381)</f>
        <v>4.4186366717488844E-2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5">
        <f t="shared" si="7"/>
        <v>2025</v>
      </c>
      <c r="B41" s="1176">
        <f>'2025'!L$379</f>
        <v>4.7531412902888204E-2</v>
      </c>
      <c r="C41" s="1177">
        <f>'2025'!O$379</f>
        <v>4.8470510525474311E-2</v>
      </c>
      <c r="D41" s="1178">
        <f>'2025'!P$379</f>
        <v>1.1811125822457712E-2</v>
      </c>
      <c r="E41" s="1176">
        <f>'2025'!Wh_Ppv/Recap!B17</f>
        <v>4.6150306403850538E-2</v>
      </c>
      <c r="F41" s="1177">
        <f>'2025'!Wh_Psa/'2025'!D$9</f>
        <v>3.9646627677721008E-2</v>
      </c>
      <c r="G41" s="1178">
        <f>'2025'!Wh_Pvg/'2025'!E$9</f>
        <v>1.4210092942616515E-3</v>
      </c>
      <c r="H41" s="1176">
        <f>H17/'2025'!Z$9</f>
        <v>3.1476129180638725E-2</v>
      </c>
      <c r="I41" s="1179">
        <f>I17/'2025'!AA$9</f>
        <v>-4.5305263610551147E-5</v>
      </c>
      <c r="J41" s="1178">
        <f t="shared" si="8"/>
        <v>8.3600943724229659E-2</v>
      </c>
      <c r="K41" s="846" t="str">
        <f t="shared" si="9"/>
        <v/>
      </c>
      <c r="L41" s="1167">
        <f>(K41&lt;&gt;"")*('2025'!O$383-'2025'!O$381)</f>
        <v>0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5">
        <f t="shared" si="7"/>
        <v>2026</v>
      </c>
      <c r="B42" s="1176">
        <f>'2026'!L$379</f>
        <v>5.4170880204090999E-2</v>
      </c>
      <c r="C42" s="1177">
        <f>'2026'!O$379</f>
        <v>2.8060481605826016E-2</v>
      </c>
      <c r="D42" s="1178">
        <f>'2026'!P$379</f>
        <v>7.6060271030869628E-4</v>
      </c>
      <c r="E42" s="1176">
        <f>'2026'!Wh_Ppv/Recap!B18</f>
        <v>5.3522717800201257E-2</v>
      </c>
      <c r="F42" s="1177">
        <f>'2026'!Wh_Psa/'2026'!D$9</f>
        <v>2.6195451984212619E-2</v>
      </c>
      <c r="G42" s="1178">
        <f>'2026'!Wh_Pvg/'2026'!E$9</f>
        <v>5.6977486210819733E-4</v>
      </c>
      <c r="H42" s="1176">
        <f>H18/'2026'!Z$9</f>
        <v>3.742246906008212E-2</v>
      </c>
      <c r="I42" s="1179">
        <f>I18/'2026'!AA$9</f>
        <v>1.1655884653596267E-3</v>
      </c>
      <c r="J42" s="1178">
        <f t="shared" si="8"/>
        <v>7.6864934271143159E-2</v>
      </c>
      <c r="K42" s="846">
        <f t="shared" si="9"/>
        <v>46142</v>
      </c>
      <c r="L42" s="1167">
        <f>(K42&lt;&gt;"")*('2026'!O$383-'2026'!O$381)</f>
        <v>4.4207103603904202E-2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5">
        <f t="shared" si="7"/>
        <v>2027</v>
      </c>
      <c r="B43" s="1176">
        <f>'2027'!L$379</f>
        <v>6.0764065111689525E-2</v>
      </c>
      <c r="C43" s="1177">
        <f>'2027'!O$379</f>
        <v>4.8470510525474311E-2</v>
      </c>
      <c r="D43" s="1178">
        <f>'2027'!P$379</f>
        <v>2.1886444213267279E-3</v>
      </c>
      <c r="E43" s="1176">
        <f>'2027'!Wh_Ppv/Recap!B19</f>
        <v>6.0890712336908209E-2</v>
      </c>
      <c r="F43" s="1177">
        <f>'2027'!Wh_Psa/'2027'!D$9</f>
        <v>3.9098485202545483E-2</v>
      </c>
      <c r="G43" s="1178">
        <f>'2027'!Wh_Pvg/'2027'!E$9</f>
        <v>1.8143673452294411E-4</v>
      </c>
      <c r="H43" s="1176">
        <f>H19/'2027'!Z$9</f>
        <v>3.0978924929972399E-2</v>
      </c>
      <c r="I43" s="1179">
        <f>I19/'2027'!AA$9</f>
        <v>1.9123670294017804E-3</v>
      </c>
      <c r="J43" s="1178">
        <f t="shared" si="8"/>
        <v>9.511854050820634E-2</v>
      </c>
      <c r="K43" s="846" t="str">
        <f t="shared" si="9"/>
        <v/>
      </c>
      <c r="L43" s="1167">
        <f>(K43&lt;&gt;"")*('2027'!O$383-'2027'!O$381)</f>
        <v>0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5">
        <f t="shared" si="7"/>
        <v>2028</v>
      </c>
      <c r="B44" s="1176">
        <f>'2028'!L$379</f>
        <v>6.7311290250957945E-2</v>
      </c>
      <c r="C44" s="1177">
        <f>'2028'!O$379</f>
        <v>2.7994697234577665E-2</v>
      </c>
      <c r="D44" s="1178">
        <f>'2028'!P$379</f>
        <v>3.6509283970503803E-3</v>
      </c>
      <c r="E44" s="1176">
        <f>'2028'!Wh_Ppv/Recap!B20</f>
        <v>6.8368209056473311E-2</v>
      </c>
      <c r="F44" s="1177">
        <f>'2028'!Wh_Psa/'2028'!D$9</f>
        <v>2.5973752426723177E-2</v>
      </c>
      <c r="G44" s="1178">
        <f>'2028'!Wh_Pvg/'2028'!E$9</f>
        <v>3.4233946262185124E-4</v>
      </c>
      <c r="H44" s="1176">
        <f>H20/'2028'!Z$9</f>
        <v>3.6830014018485423E-2</v>
      </c>
      <c r="I44" s="1179">
        <f>I20/'2028'!AA$9</f>
        <v>2.1886750492346929E-3</v>
      </c>
      <c r="J44" s="1178">
        <f>1-B20/G20</f>
        <v>8.9607778939267746E-2</v>
      </c>
      <c r="K44" s="846">
        <f>K20</f>
        <v>46873</v>
      </c>
      <c r="L44" s="1167">
        <f>(K44&lt;&gt;"")*('2028'!O$383-'2028'!O$381)</f>
        <v>4.4271775780975846E-2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80"/>
      <c r="D45" s="1181"/>
      <c r="E45" s="852"/>
      <c r="F45" s="1180"/>
      <c r="G45" s="1181"/>
      <c r="H45" s="1182"/>
      <c r="I45" s="700"/>
      <c r="J45" s="1181"/>
      <c r="K45" s="862"/>
      <c r="L45" s="1181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80"/>
      <c r="D46" s="1181"/>
      <c r="E46" s="852"/>
      <c r="F46" s="1180"/>
      <c r="G46" s="1181"/>
      <c r="H46" s="1182"/>
      <c r="I46" s="700"/>
      <c r="J46" s="1181"/>
      <c r="K46" s="862"/>
      <c r="L46" s="1181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80"/>
      <c r="D47" s="1181"/>
      <c r="E47" s="852"/>
      <c r="F47" s="1180"/>
      <c r="G47" s="1181"/>
      <c r="H47" s="1182"/>
      <c r="I47" s="700"/>
      <c r="J47" s="1181"/>
      <c r="K47" s="862"/>
      <c r="L47" s="1181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80"/>
      <c r="D48" s="1181"/>
      <c r="E48" s="852"/>
      <c r="F48" s="1180"/>
      <c r="G48" s="1181"/>
      <c r="H48" s="1182"/>
      <c r="I48" s="700"/>
      <c r="J48" s="1181"/>
      <c r="K48" s="862"/>
      <c r="L48" s="1181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80"/>
      <c r="D49" s="1181"/>
      <c r="E49" s="852"/>
      <c r="F49" s="1180"/>
      <c r="G49" s="1181"/>
      <c r="H49" s="1182"/>
      <c r="I49" s="700"/>
      <c r="J49" s="1181"/>
      <c r="K49" s="862"/>
      <c r="L49" s="1181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80"/>
      <c r="D50" s="1181"/>
      <c r="E50" s="852"/>
      <c r="F50" s="1180"/>
      <c r="G50" s="1181"/>
      <c r="H50" s="1182"/>
      <c r="I50" s="700"/>
      <c r="J50" s="1181"/>
      <c r="K50" s="862"/>
      <c r="L50" s="1181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80"/>
      <c r="D51" s="1181"/>
      <c r="E51" s="852"/>
      <c r="F51" s="1180"/>
      <c r="G51" s="1181"/>
      <c r="H51" s="1182"/>
      <c r="I51" s="700"/>
      <c r="J51" s="1181"/>
      <c r="K51" s="862"/>
      <c r="L51" s="1181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80"/>
      <c r="D52" s="1181"/>
      <c r="E52" s="852"/>
      <c r="F52" s="1180"/>
      <c r="G52" s="1181"/>
      <c r="H52" s="1182"/>
      <c r="I52" s="700"/>
      <c r="J52" s="1181"/>
      <c r="K52" s="862"/>
      <c r="L52" s="1181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80"/>
      <c r="D53" s="1181"/>
      <c r="E53" s="852"/>
      <c r="F53" s="1180"/>
      <c r="G53" s="1181"/>
      <c r="H53" s="1182"/>
      <c r="I53" s="700"/>
      <c r="J53" s="1181"/>
      <c r="K53" s="862"/>
      <c r="L53" s="1181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3"/>
      <c r="E54" s="854"/>
      <c r="F54" s="703"/>
      <c r="G54" s="1183"/>
      <c r="H54" s="1184"/>
      <c r="I54" s="703"/>
      <c r="J54" s="1183"/>
      <c r="K54" s="864"/>
      <c r="L54" s="1183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5"/>
      <c r="B55" s="700"/>
      <c r="C55" s="701"/>
      <c r="D55" s="698"/>
      <c r="E55" s="700"/>
      <c r="F55" s="700"/>
      <c r="G55" s="700"/>
      <c r="H55" s="701"/>
      <c r="I55" s="698"/>
      <c r="J55" s="700"/>
      <c r="K55" s="1186"/>
      <c r="L55" s="1186"/>
      <c r="M55" s="700"/>
      <c r="N55" s="1187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2.8382823602461933</v>
      </c>
      <c r="C57" s="368">
        <f t="shared" ref="C57:N57" si="10">MIN(C$61:C$80)</f>
        <v>3.8368017454419854</v>
      </c>
      <c r="D57" s="368">
        <f t="shared" si="10"/>
        <v>4.9393337321527371</v>
      </c>
      <c r="E57" s="368">
        <f t="shared" si="10"/>
        <v>5.8819175237566057</v>
      </c>
      <c r="F57" s="368">
        <f t="shared" si="10"/>
        <v>6.4254958648823965</v>
      </c>
      <c r="G57" s="368">
        <f t="shared" si="10"/>
        <v>6.3783907749648288</v>
      </c>
      <c r="H57" s="368">
        <f t="shared" si="10"/>
        <v>6.1452191046760412</v>
      </c>
      <c r="I57" s="368">
        <f t="shared" si="10"/>
        <v>5.7147909747539805</v>
      </c>
      <c r="J57" s="368">
        <f t="shared" si="10"/>
        <v>5.000699206951559</v>
      </c>
      <c r="K57" s="368">
        <f t="shared" si="10"/>
        <v>3.9846877627380568</v>
      </c>
      <c r="L57" s="368">
        <f t="shared" si="10"/>
        <v>2.979291728348914</v>
      </c>
      <c r="M57" s="368">
        <f t="shared" si="10"/>
        <v>2.4457092676878904</v>
      </c>
      <c r="N57" s="368">
        <f t="shared" si="10"/>
        <v>4.7546528571991482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2.930506274260821</v>
      </c>
      <c r="C58" s="368">
        <f t="shared" ref="C58:N58" si="11">AVERAGE(C$61:C$80)</f>
        <v>3.9662450425949083</v>
      </c>
      <c r="D58" s="368">
        <f t="shared" si="11"/>
        <v>5.1090180160415102</v>
      </c>
      <c r="E58" s="368">
        <f t="shared" si="11"/>
        <v>6.0816543856189735</v>
      </c>
      <c r="F58" s="368">
        <f t="shared" si="11"/>
        <v>6.6205351111029023</v>
      </c>
      <c r="G58" s="368">
        <f t="shared" si="11"/>
        <v>6.6074078894907675</v>
      </c>
      <c r="H58" s="368">
        <f t="shared" si="11"/>
        <v>6.3630679333985052</v>
      </c>
      <c r="I58" s="368">
        <f t="shared" si="11"/>
        <v>5.9134839573078208</v>
      </c>
      <c r="J58" s="368">
        <f t="shared" si="11"/>
        <v>5.1697250553940348</v>
      </c>
      <c r="K58" s="368">
        <f t="shared" si="11"/>
        <v>4.1126679697855142</v>
      </c>
      <c r="L58" s="368">
        <f t="shared" si="11"/>
        <v>3.069980793688786</v>
      </c>
      <c r="M58" s="368">
        <f t="shared" si="11"/>
        <v>2.5196023545050528</v>
      </c>
      <c r="N58" s="368">
        <f t="shared" si="11"/>
        <v>4.876991381119951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3.070426909927114</v>
      </c>
      <c r="C59" s="368">
        <f t="shared" ref="C59:N59" si="12">MAX(C$61:C$80)</f>
        <v>4.1464141105098493</v>
      </c>
      <c r="D59" s="368">
        <f t="shared" si="12"/>
        <v>5.3334430058244333</v>
      </c>
      <c r="E59" s="368">
        <f t="shared" si="12"/>
        <v>6.3479853871903362</v>
      </c>
      <c r="F59" s="368">
        <f t="shared" si="12"/>
        <v>6.8157947191769104</v>
      </c>
      <c r="G59" s="368">
        <f t="shared" si="12"/>
        <v>6.9312393969065518</v>
      </c>
      <c r="H59" s="368">
        <f t="shared" si="12"/>
        <v>6.6749068975496648</v>
      </c>
      <c r="I59" s="368">
        <f t="shared" si="12"/>
        <v>6.2034049318622841</v>
      </c>
      <c r="J59" s="368">
        <f t="shared" si="12"/>
        <v>5.4247462361335632</v>
      </c>
      <c r="K59" s="368">
        <f t="shared" si="12"/>
        <v>4.32011202477889</v>
      </c>
      <c r="L59" s="368">
        <f t="shared" si="12"/>
        <v>3.2280215515929003</v>
      </c>
      <c r="M59" s="368">
        <f t="shared" si="12"/>
        <v>2.648736386140448</v>
      </c>
      <c r="N59" s="368">
        <f t="shared" si="12"/>
        <v>5.0615953464234718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6.9312393969065518</v>
      </c>
      <c r="H61" s="344">
        <f>AVERAGE('2019'!$V$196:$V$226)/Pc</f>
        <v>6.6749068975496648</v>
      </c>
      <c r="I61" s="344">
        <f>AVERAGE('2019'!$V$227:$V$257)/Pc</f>
        <v>6.2034049318622841</v>
      </c>
      <c r="J61" s="346">
        <f>AVERAGE('2019'!$V$258:$V$287)/Pc</f>
        <v>5.4247462361335632</v>
      </c>
      <c r="K61" s="347">
        <f>AVERAGE('2019'!$V$288:$V$318)/Pc</f>
        <v>4.32011202477889</v>
      </c>
      <c r="L61" s="344">
        <f>AVERAGE('2019'!$V$319:$V$348)/Pc</f>
        <v>3.2280215515929003</v>
      </c>
      <c r="M61" s="348">
        <f>AVERAGE('2019'!$V$349:$V$379)/Pc</f>
        <v>2.648736386140448</v>
      </c>
      <c r="N61" s="352">
        <f t="shared" ref="N61:N66" si="13">AVERAGE(B61:M61)</f>
        <v>5.0615953464234718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3.070426909927114</v>
      </c>
      <c r="C62" s="349">
        <f>AVERAGE('2020'!$V$46:$V$73)/Pc</f>
        <v>4.1464141105098493</v>
      </c>
      <c r="D62" s="349">
        <f>AVERAGE('2020'!$V$74:$V$104)/Pc</f>
        <v>5.3334430058244333</v>
      </c>
      <c r="E62" s="350">
        <f>AVERAGE('2020'!$V$105:$V$134)/Pc</f>
        <v>6.3479853871903362</v>
      </c>
      <c r="F62" s="349">
        <f>AVERAGE('2020'!$V$135:$V$165)/Pc</f>
        <v>6.7529534386004508</v>
      </c>
      <c r="G62" s="349">
        <f>AVERAGE('2020'!$V$166:$V$195)/Pc</f>
        <v>6.7034214799798253</v>
      </c>
      <c r="H62" s="349">
        <f>AVERAGE('2020'!$V$196:$V$226)/Pc</f>
        <v>6.4582863180280903</v>
      </c>
      <c r="I62" s="349">
        <f>AVERAGE('2020'!$V$227:$V$257)/Pc</f>
        <v>6.0058108988083099</v>
      </c>
      <c r="J62" s="347">
        <f>AVERAGE('2020'!$V$258:$V$287)/Pc</f>
        <v>5.255224625846604</v>
      </c>
      <c r="K62" s="347">
        <f>AVERAGE('2020'!$V$288:$V$318)/Pc</f>
        <v>4.1873218015246989</v>
      </c>
      <c r="L62" s="349">
        <f>AVERAGE('2020'!$V$319:$V$348)/Pc</f>
        <v>3.1306340287514041</v>
      </c>
      <c r="M62" s="351">
        <f>AVERAGE('2020'!$V$349:$V$379)/Pc</f>
        <v>2.5698281531515299</v>
      </c>
      <c r="N62" s="353">
        <f t="shared" si="13"/>
        <v>4.9968125131785532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2.9799067222601106</v>
      </c>
      <c r="C63" s="349">
        <f>AVERAGE('2021'!$V$46:$V$74)/Pc</f>
        <v>4.0421124486868134</v>
      </c>
      <c r="D63" s="349">
        <f>AVERAGE('2021'!$V$75:$V$105)/Pc</f>
        <v>5.2100825706933103</v>
      </c>
      <c r="E63" s="350">
        <f>AVERAGE('2021'!$V$106:$V$135)/Pc</f>
        <v>6.1726724922776386</v>
      </c>
      <c r="F63" s="349">
        <f>AVERAGE('2021'!$V$136:$V$166)/Pc</f>
        <v>6.5380112598129001</v>
      </c>
      <c r="G63" s="349">
        <f>AVERAGE('2021'!$V$167:$V$196)/Pc</f>
        <v>6.472103286577207</v>
      </c>
      <c r="H63" s="349">
        <f>AVERAGE('2021'!$V$197:$V$227)/Pc</f>
        <v>6.2236644747693068</v>
      </c>
      <c r="I63" s="349">
        <f>AVERAGE('2021'!$V$228:$V$258)/Pc</f>
        <v>5.7737114984722719</v>
      </c>
      <c r="J63" s="347">
        <f>AVERAGE('2021'!$V$259:$V$288)/Pc</f>
        <v>5.0350849772225166</v>
      </c>
      <c r="K63" s="347">
        <f>AVERAGE('2021'!$V$289:$V$319)/Pc</f>
        <v>3.9959664461716846</v>
      </c>
      <c r="L63" s="349">
        <f>AVERAGE('2021'!$V$320:$V$349)/Pc</f>
        <v>2.9850745856133689</v>
      </c>
      <c r="M63" s="351">
        <f>AVERAGE('2021'!$V$350:$V$380)/Pc</f>
        <v>2.4663596141793152</v>
      </c>
      <c r="N63" s="354">
        <f t="shared" si="13"/>
        <v>4.8245625313947045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2.8675341085356125</v>
      </c>
      <c r="C64" s="349">
        <f>AVERAGE('2022'!$V$46:$V$73)/Pc</f>
        <v>3.8758390763918746</v>
      </c>
      <c r="D64" s="349">
        <f>AVERAGE('2022'!$V$74:$V$104)/Pc</f>
        <v>4.9880585981936472</v>
      </c>
      <c r="E64" s="350">
        <f>AVERAGE('2022'!$V$105:$V$134)/Pc</f>
        <v>5.935667615320714</v>
      </c>
      <c r="F64" s="349">
        <f>AVERAGE('2022'!$V$135:$V$165)/Pc</f>
        <v>6.8157947191769104</v>
      </c>
      <c r="G64" s="349">
        <f>AVERAGE('2022'!$V$166:$V$195)/Pc</f>
        <v>6.7812554024621257</v>
      </c>
      <c r="H64" s="349">
        <f>AVERAGE('2022'!$V$196:$V$226)/Pc</f>
        <v>6.5302197664740129</v>
      </c>
      <c r="I64" s="349">
        <f>AVERAGE('2022'!$V$227:$V$257)/Pc</f>
        <v>6.0681628302166706</v>
      </c>
      <c r="J64" s="347">
        <f>AVERAGE('2022'!$V$258:$V$287)/Pc</f>
        <v>5.3045638731784637</v>
      </c>
      <c r="K64" s="347">
        <f>AVERAGE('2022'!$V$288:$V$318)/Pc</f>
        <v>4.2189113682191133</v>
      </c>
      <c r="L64" s="349">
        <f>AVERAGE('2022'!$V$319:$V$348)/Pc</f>
        <v>3.1469166228296213</v>
      </c>
      <c r="M64" s="351">
        <f>AVERAGE('2022'!$V$349:$V$379)/Pc</f>
        <v>2.5787510049751856</v>
      </c>
      <c r="N64" s="353">
        <f t="shared" si="13"/>
        <v>4.9259729154978293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4">
        <f>'2023'!An</f>
        <v>2023</v>
      </c>
      <c r="B65" s="545">
        <f>AVERAGE('2023'!$V$15:$V$45)/Pc</f>
        <v>2.993923094437037</v>
      </c>
      <c r="C65" s="545">
        <f>AVERAGE('2023'!$V$46:$V$73)/Pc</f>
        <v>4.0506214220537258</v>
      </c>
      <c r="D65" s="545">
        <f>AVERAGE('2023'!$V$74:$V$104)/Pc</f>
        <v>5.2165737194931738</v>
      </c>
      <c r="E65" s="547">
        <f>AVERAGE('2023'!$V$105:$V$134)/Pc</f>
        <v>6.2110341947264169</v>
      </c>
      <c r="F65" s="545">
        <f>AVERAGE('2023'!$V$135:$V$165)/Pc</f>
        <v>6.6078559421467009</v>
      </c>
      <c r="G65" s="545">
        <f>AVERAGE('2023'!$V$166:$V$195)/Pc</f>
        <v>6.5595615294737302</v>
      </c>
      <c r="H65" s="545">
        <f>AVERAGE('2023'!$V$196:$V$226)/Pc</f>
        <v>6.319415855523089</v>
      </c>
      <c r="I65" s="545">
        <f>AVERAGE('2023'!$V$227:$V$257)/Pc</f>
        <v>5.875782754360813</v>
      </c>
      <c r="J65" s="545">
        <f>AVERAGE('2023'!$V$258:$V$287)/Pc</f>
        <v>5.1392261642962778</v>
      </c>
      <c r="K65" s="545">
        <f>AVERAGE('2023'!$V$288:$V$318)/Pc</f>
        <v>4.088666352636591</v>
      </c>
      <c r="L65" s="545">
        <f>AVERAGE('2023'!$V$319:$V$348)/Pc</f>
        <v>3.0505018295428261</v>
      </c>
      <c r="M65" s="546">
        <f>AVERAGE('2023'!$V$349:$V$379)/Pc</f>
        <v>2.5007992837407218</v>
      </c>
      <c r="N65" s="552">
        <f t="shared" si="13"/>
        <v>4.884496845202591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2.9067325741407446</v>
      </c>
      <c r="C66" s="545">
        <f>AVERAGE('2024'!$V$46:$V$73)/Pc</f>
        <v>3.9380238265585774</v>
      </c>
      <c r="D66" s="545">
        <f>AVERAGE('2024'!$V$74:$V$104)/Pc</f>
        <v>5.076713956882279</v>
      </c>
      <c r="E66" s="547">
        <f>AVERAGE('2024'!$V$105:$V$134)/Pc</f>
        <v>6.0479231944544614</v>
      </c>
      <c r="F66" s="545">
        <f>AVERAGE('2024'!$V$135:$V$165)/Pc</f>
        <v>6.7360680362858396</v>
      </c>
      <c r="G66" s="545">
        <f>AVERAGE('2024'!$V$166:$V$195)/Pc</f>
        <v>6.6857854676981958</v>
      </c>
      <c r="H66" s="545">
        <f>AVERAGE('2024'!$V$196:$V$226)/Pc</f>
        <v>6.4379967289140607</v>
      </c>
      <c r="I66" s="545">
        <f>AVERAGE('2024'!$V$227:$V$257)/Pc</f>
        <v>5.9815800821176008</v>
      </c>
      <c r="J66" s="545">
        <f>AVERAGE('2024'!$V$258:$V$287)/Pc</f>
        <v>5.2266264433944132</v>
      </c>
      <c r="K66" s="545">
        <f>AVERAGE('2024'!$V$288:$V$318)/Pc</f>
        <v>4.1510468606351489</v>
      </c>
      <c r="L66" s="545">
        <f>AVERAGE('2024'!$V$319:$V$348)/Pc</f>
        <v>3.0909453499855317</v>
      </c>
      <c r="M66" s="546">
        <f>AVERAGE('2024'!$V$349:$V$379)/Pc</f>
        <v>2.5321053094280814</v>
      </c>
      <c r="N66" s="552">
        <f t="shared" si="13"/>
        <v>4.9009623192079115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2.9414054525100406</v>
      </c>
      <c r="C67" s="545">
        <f>AVERAGE('2025'!$V$46:$V$73)/Pc</f>
        <v>3.9864743957999575</v>
      </c>
      <c r="D67" s="545">
        <f>AVERAGE('2025'!$V$74:$V$104)/Pc</f>
        <v>5.140160744404831</v>
      </c>
      <c r="E67" s="547">
        <f>AVERAGE('2025'!$V$105:$V$134)/Pc</f>
        <v>6.1224389505089567</v>
      </c>
      <c r="F67" s="545">
        <f>AVERAGE('2025'!$V$135:$V$165)/Pc</f>
        <v>6.5141999400163035</v>
      </c>
      <c r="G67" s="545">
        <f>AVERAGE('2025'!$V$166:$V$195)/Pc</f>
        <v>6.4666998244978116</v>
      </c>
      <c r="H67" s="545">
        <f>AVERAGE('2025'!$V$196:$V$226)/Pc</f>
        <v>6.2296411266775626</v>
      </c>
      <c r="I67" s="545">
        <f>AVERAGE('2025'!$V$227:$V$257)/Pc</f>
        <v>5.7913113545438959</v>
      </c>
      <c r="J67" s="545">
        <f>AVERAGE('2025'!$V$258:$V$287)/Pc</f>
        <v>5.0627148733967697</v>
      </c>
      <c r="K67" s="545">
        <f>AVERAGE('2025'!$V$288:$V$318)/Pc</f>
        <v>4.0211085016376948</v>
      </c>
      <c r="L67" s="545">
        <f>AVERAGE('2025'!$V$319:$V$348)/Pc</f>
        <v>2.9946128011282904</v>
      </c>
      <c r="M67" s="546">
        <f>AVERAGE('2025'!$V$349:$V$379)/Pc</f>
        <v>2.4555661710607199</v>
      </c>
      <c r="N67" s="552">
        <f>AVERAGE(B67:M67)</f>
        <v>4.8105278446819026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2.8548959301411037</v>
      </c>
      <c r="C68" s="545">
        <f>AVERAGE('2026'!$V$46:$V$73)/Pc</f>
        <v>3.874675333774702</v>
      </c>
      <c r="D68" s="545">
        <f>AVERAGE('2026'!$V$74:$V$104)/Pc</f>
        <v>5.0020682343242777</v>
      </c>
      <c r="E68" s="547">
        <f>AVERAGE('2026'!$V$105:$V$134)/Pc</f>
        <v>5.9751204336405364</v>
      </c>
      <c r="F68" s="545">
        <f>AVERAGE('2026'!$V$135:$V$165)/Pc</f>
        <v>6.6432944542150016</v>
      </c>
      <c r="G68" s="545">
        <f>AVERAGE('2026'!$V$166:$V$195)/Pc</f>
        <v>6.5935012858382462</v>
      </c>
      <c r="H68" s="545">
        <f>AVERAGE('2026'!$V$196:$V$226)/Pc</f>
        <v>6.3497623857180407</v>
      </c>
      <c r="I68" s="545">
        <f>AVERAGE('2026'!$V$227:$V$257)/Pc</f>
        <v>5.9013748868554048</v>
      </c>
      <c r="J68" s="545">
        <f>AVERAGE('2026'!$V$258:$V$287)/Pc</f>
        <v>5.1607766168277598</v>
      </c>
      <c r="K68" s="545">
        <f>AVERAGE('2026'!$V$288:$V$318)/Pc</f>
        <v>4.1100623357843222</v>
      </c>
      <c r="L68" s="545">
        <f>AVERAGE('2026'!$V$319:$V$348)/Pc</f>
        <v>3.0712395199304492</v>
      </c>
      <c r="M68" s="546">
        <f>AVERAGE('2026'!$V$349:$V$379)/Pc</f>
        <v>2.520194696089789</v>
      </c>
      <c r="N68" s="552">
        <f>AVERAGE(B68:M68)</f>
        <v>4.8380805094283028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2.9214493161494346</v>
      </c>
      <c r="C69" s="545">
        <f>AVERAGE('2027'!$V$46:$V$73)/Pc</f>
        <v>3.9452430241366909</v>
      </c>
      <c r="D69" s="545">
        <f>AVERAGE('2027'!$V$74:$V$104)/Pc</f>
        <v>5.0747275824048934</v>
      </c>
      <c r="E69" s="547">
        <f>AVERAGE('2027'!$V$105:$V$134)/Pc</f>
        <v>6.0401296786950995</v>
      </c>
      <c r="F69" s="545">
        <f>AVERAGE('2027'!$V$135:$V$165)/Pc</f>
        <v>6.4254958648823965</v>
      </c>
      <c r="G69" s="545">
        <f>AVERAGE('2027'!$V$166:$V$195)/Pc</f>
        <v>6.3783907749648288</v>
      </c>
      <c r="H69" s="545">
        <f>AVERAGE('2027'!$V$196:$V$226)/Pc</f>
        <v>6.1452191046760412</v>
      </c>
      <c r="I69" s="545">
        <f>AVERAGE('2027'!$V$227:$V$257)/Pc</f>
        <v>5.7147909747539805</v>
      </c>
      <c r="J69" s="545">
        <f>AVERAGE('2027'!$V$258:$V$287)/Pc</f>
        <v>5.000699206951559</v>
      </c>
      <c r="K69" s="545">
        <f>AVERAGE('2027'!$V$288:$V$318)/Pc</f>
        <v>3.9846877627380568</v>
      </c>
      <c r="L69" s="545">
        <f>AVERAGE('2027'!$V$319:$V$348)/Pc</f>
        <v>2.979291728348914</v>
      </c>
      <c r="M69" s="546">
        <f>AVERAGE('2027'!$V$349:$V$379)/Pc</f>
        <v>2.4457092676878904</v>
      </c>
      <c r="N69" s="552">
        <f>AVERAGE(B69:M69)</f>
        <v>4.7546528571991482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2.8382823602461933</v>
      </c>
      <c r="C70" s="545">
        <f>AVERAGE('2028'!$V$46:$V$73)/Pc</f>
        <v>3.8368017454419854</v>
      </c>
      <c r="D70" s="545">
        <f>AVERAGE('2028'!$V$74:$V$104)/Pc</f>
        <v>4.9393337321527371</v>
      </c>
      <c r="E70" s="547">
        <f>AVERAGE('2028'!$V$105:$V$134)/Pc</f>
        <v>5.8819175237566057</v>
      </c>
      <c r="F70" s="545">
        <f>AVERAGE('2028'!$V$135:$V$165)/Pc</f>
        <v>6.551142344789624</v>
      </c>
      <c r="G70" s="545">
        <f>AVERAGE('2028'!$V$166:$V$195)/Pc</f>
        <v>6.5021204465091555</v>
      </c>
      <c r="H70" s="545">
        <f>AVERAGE('2028'!$V$196:$V$226)/Pc</f>
        <v>6.2615666756551835</v>
      </c>
      <c r="I70" s="545">
        <f>AVERAGE('2028'!$V$227:$V$257)/Pc</f>
        <v>5.8189093610869742</v>
      </c>
      <c r="J70" s="545">
        <f>AVERAGE('2028'!$V$258:$V$287)/Pc</f>
        <v>5.0875875366924266</v>
      </c>
      <c r="K70" s="545">
        <f>AVERAGE('2028'!$V$288:$V$318)/Pc</f>
        <v>4.0487962437289342</v>
      </c>
      <c r="L70" s="545">
        <f>AVERAGE('2028'!$V$319:$V$348)/Pc</f>
        <v>3.0225699191645488</v>
      </c>
      <c r="M70" s="546">
        <f>AVERAGE('2028'!$V$349:$V$379)/Pc</f>
        <v>2.4779736585968513</v>
      </c>
      <c r="N70" s="552">
        <f>AVERAGE(B70:M70)</f>
        <v>4.7722501289851014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1" priority="7" stopIfTrue="1">
      <formula>K12&lt;&gt;""</formula>
    </cfRule>
  </conditionalFormatting>
  <conditionalFormatting sqref="N12:N30">
    <cfRule type="expression" dxfId="50" priority="6" stopIfTrue="1">
      <formula>$L12&lt;&gt;""</formula>
    </cfRule>
  </conditionalFormatting>
  <conditionalFormatting sqref="M55">
    <cfRule type="expression" dxfId="49" priority="5" stopIfTrue="1">
      <formula>K55&lt;&gt;""</formula>
    </cfRule>
  </conditionalFormatting>
  <conditionalFormatting sqref="N55">
    <cfRule type="expression" dxfId="48" priority="4" stopIfTrue="1">
      <formula>$L55&lt;&gt;""</formula>
    </cfRule>
  </conditionalFormatting>
  <conditionalFormatting sqref="L45:L54 L35:L42">
    <cfRule type="expression" dxfId="47" priority="3" stopIfTrue="1">
      <formula>K35&lt;&gt;""</formula>
    </cfRule>
  </conditionalFormatting>
  <conditionalFormatting sqref="L43">
    <cfRule type="expression" dxfId="46" priority="2" stopIfTrue="1">
      <formula>K43&lt;&gt;""</formula>
    </cfRule>
  </conditionalFormatting>
  <conditionalFormatting sqref="L44">
    <cfRule type="expression" dxfId="45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'2023'!An+1</f>
        <v>2024</v>
      </c>
      <c r="K1" s="1279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125.53819114206803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361.26632519841087</v>
      </c>
      <c r="AK4" s="822">
        <f>AM12-AK12</f>
        <v>-0.58723881059800043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486.8038679459429</v>
      </c>
      <c r="AA5" s="236">
        <f>Wh_Pvg_s-Wh_Pvg</f>
        <v>-0.58723881059800043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2958.087389654208</v>
      </c>
      <c r="AK5" s="514">
        <f>SUMIF(AK15:AK380,"VRAI",Wh)</f>
        <v>0</v>
      </c>
      <c r="AL5" s="514">
        <f>SUMIF(AJ15:AJ380,"VRAI",Wh_s)</f>
        <v>2832.5468160561636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8527.4214754926106</v>
      </c>
      <c r="AK6" s="514">
        <f>SUMIF(AK15:AK380,"FAUX",Wh)</f>
        <v>11485.508865146825</v>
      </c>
      <c r="AL6" s="514">
        <f>SUMIF(AJ15:AJ380,"FAUX",Wh_s)</f>
        <v>8166.1311952749747</v>
      </c>
      <c r="AM6" s="514">
        <f>SUMIF(AK15:AK380,"FAUX",Wh_s)</f>
        <v>10998.678011331132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3066.6073391667824</v>
      </c>
      <c r="AK7" s="514">
        <f>SUMIF(AK15:AK380,"VRAI",Wh_sa)</f>
        <v>0</v>
      </c>
      <c r="AL7" s="514">
        <f>SUMIF(AJ15:AJ380,"VRAI",Wh_pvt_s)</f>
        <v>2936.4634458531268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8865.3170147469355</v>
      </c>
      <c r="AK8" s="514">
        <f>SUMIF(AK15:AK380,"FAUX",Wh_sa)</f>
        <v>12262.661226485743</v>
      </c>
      <c r="AL8" s="514">
        <f>SUMIF(AJ15:AJ380,"FAUX",Wh_pvt_s)</f>
        <v>8489.7341736502258</v>
      </c>
      <c r="AM8" s="514">
        <f>SUMIF(AK15:AK380,"FAUX",Wh_sa_s)</f>
        <v>12262.661226485743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11931.924353913721</v>
      </c>
      <c r="E9" s="184">
        <f>SUM(E$15:E$380)</f>
        <v>12262.661226485743</v>
      </c>
      <c r="F9" s="184">
        <f>SUM(F$15:F$380)</f>
        <v>12277.453038748599</v>
      </c>
      <c r="H9" s="1280">
        <f>+SUM(Wh)</f>
        <v>11485.508865146825</v>
      </c>
      <c r="I9" s="1281"/>
      <c r="J9" s="1282"/>
      <c r="K9" s="191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10998.678011331132</v>
      </c>
      <c r="Y9" s="1275"/>
      <c r="Z9" s="514">
        <f>SUM(Z$15:Z$380)</f>
        <v>11426.197619503344</v>
      </c>
      <c r="AA9" s="514">
        <f>SUM(AA$15:AA$380)</f>
        <v>12262.661226485743</v>
      </c>
      <c r="AB9" s="514">
        <f>F9</f>
        <v>12277.453038748599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3233.5969247171952</v>
      </c>
      <c r="AK9" s="514">
        <f>SUMIF(AK15:AK380,"VRAI",Wh_hp)</f>
        <v>0</v>
      </c>
      <c r="AL9" s="514">
        <f>SUMIF(AJ15:AJ380,"VRAI",Wh_sa_s)</f>
        <v>3233.5969247171952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0.01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5.375024134508409E-2</v>
      </c>
      <c r="AD10" s="426"/>
      <c r="AE10" s="426"/>
      <c r="AF10" s="259"/>
      <c r="AG10" s="260"/>
      <c r="AH10" s="261"/>
      <c r="AI10" s="471"/>
      <c r="AJ10" s="514">
        <f>SUMIF(AJ15:AJ380,"FAUX",Wh_sa)</f>
        <v>9029.0643017685506</v>
      </c>
      <c r="AK10" s="514">
        <f>SUMIF(AK15:AK380,"FAUX",Wh_hp)</f>
        <v>12277.453038748599</v>
      </c>
      <c r="AL10" s="514">
        <f>SUMIF(AJ15:AJ380,"FAUX",Wh_sa_s)</f>
        <v>9029.0643017685506</v>
      </c>
      <c r="AM10" s="514">
        <f>SUMIF(AK15:AK380,"FAUX",Wh_hp)</f>
        <v>12277.453038748599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446.41548876689558</v>
      </c>
      <c r="E11" s="51">
        <f>(E$9-D$9)*Prod_an/D$9</f>
        <v>318.36283647833534</v>
      </c>
      <c r="F11" s="186">
        <f>(F$9-E$9)*Prod_an/E$9</f>
        <v>13.854373674588581</v>
      </c>
      <c r="G11" s="185" t="s">
        <v>6</v>
      </c>
      <c r="K11" s="194"/>
      <c r="L11" s="211">
        <f>Tvie_2024</f>
        <v>43481</v>
      </c>
      <c r="M11" s="831"/>
      <c r="N11" s="831"/>
      <c r="O11" s="202">
        <f>IF(An_Tnet,Salim_2024,'2023'!Salim)</f>
        <v>0.1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427.51960817221152</v>
      </c>
      <c r="Z11" s="51">
        <f>(AA$9-Z$9)*Prod_an_s/Z$9</f>
        <v>805.16670442427824</v>
      </c>
      <c r="AA11" s="186">
        <f>(AB$9-AA$9)*Prod_an_s/AA$9</f>
        <v>13.267134863990581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161.08022077403413</v>
      </c>
      <c r="AK11" s="822">
        <f>IF($AK7=0,0,($AK9-$AK7)*$AK5/$AK7)</f>
        <v>0</v>
      </c>
      <c r="AL11" s="821">
        <f>IF($AL7=0,0,($AL9-$AL7)*$AL5/$AL7)</f>
        <v>286.61841191610216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Pspv_2024</f>
        <v>0</v>
      </c>
      <c r="M12" s="212"/>
      <c r="N12" s="212"/>
      <c r="O12" s="205">
        <f>IF(An_Tnet,Tau_2024*365,'2023'!Tau_j)</f>
        <v>1095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157.5061703466487</v>
      </c>
      <c r="AK12" s="822">
        <f>IF($AK8=0,0,($AK10-$AK8)*$AK6/$AK8)</f>
        <v>13.854373674588581</v>
      </c>
      <c r="AL12" s="821">
        <f>IF($AL8=0,0,($AL10-$AL8)*$AL6/$AL8)</f>
        <v>518.77249554505954</v>
      </c>
      <c r="AM12" s="822">
        <f>IF($AM8=0,0,($AM10-$AM8)*$AM6/$AM8)</f>
        <v>13.267134863990581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318.58639112068283</v>
      </c>
      <c r="AK13" s="73">
        <f>+AK11+AK12</f>
        <v>13.854373674588581</v>
      </c>
      <c r="AL13" s="73">
        <f>+AL11+AL12</f>
        <v>805.39090746116176</v>
      </c>
      <c r="AM13" s="73">
        <f>+AM11+AM12</f>
        <v>13.267134863990581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'2023'!Wh/'2023'!Env_an*'2024'!Env_an</f>
        <v>23.214883560877631</v>
      </c>
      <c r="C15" s="829"/>
      <c r="D15" s="391">
        <f t="shared" ref="D15:D78" si="0">Wh/(1-Ppv)</f>
        <v>24.034765392074636</v>
      </c>
      <c r="E15" s="398">
        <f t="shared" ref="E15:E79" si="1">Wh_pvt/(1-Psa)</f>
        <v>25.257780360666491</v>
      </c>
      <c r="F15" s="398">
        <f t="shared" ref="F15:F78" si="2">Wh_sa/(1-Pvg*MEDIAN((-Sdif+Wh/Env_an)/Csdif,0,1))</f>
        <v>25.454097031999812</v>
      </c>
      <c r="G15" s="123">
        <f>+Wh_hp/MaxiM</f>
        <v>1.0174061864224482</v>
      </c>
      <c r="H15" s="412" t="b">
        <f>Wh_hp&gt;='2023'!Maxi_hp</f>
        <v>1</v>
      </c>
      <c r="I15" s="394">
        <f>IF(H15,Wh_hp,'2023'!Maxi_hp)</f>
        <v>25.454097031999812</v>
      </c>
      <c r="J15" s="84">
        <f>IF(H15,An,'2023'!An_max)</f>
        <v>2024</v>
      </c>
      <c r="K15" s="197">
        <f t="shared" ref="K15:K78" si="3">t</f>
        <v>45292</v>
      </c>
      <c r="L15" s="146">
        <f>IF(t&lt;Tvie,1-EXP((T0-t)*PertePVj)+'2023'!Pspv,1-EXP((T0-t)*PertePVj)+Pspv)</f>
        <v>3.411232927896013E-2</v>
      </c>
      <c r="M15" s="832"/>
      <c r="N15" s="832"/>
      <c r="O15" s="48">
        <f>IF(t&lt;Tnet,'2023'!Resal+('2023'!Salim-'2023'!Resal)*(1-EXP(('2023'!Tnet-t)/('2023'!Tau_j))),Resal+(Salim-Resal)*(1-EXP((Tnet-t)/(Tau_j))))*Salcycl</f>
        <v>4.8421316169826027E-2</v>
      </c>
      <c r="P15" s="301">
        <f>(INDEX(Models!$BJ15:$BT15,,T15)*(1-R15)+INDEX(Models!$BJ15:$BT15,,T15+1)*R15-ERP_i)*Q15*Ramure*Pc/MaxiM</f>
        <v>7.7125765288989989E-3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22.817714174226904</v>
      </c>
      <c r="W15" s="400">
        <f t="shared" ref="W15:W78" si="10">Wh*(A15&gt;Tmaj)</f>
        <v>23.214883560877631</v>
      </c>
      <c r="X15" s="156">
        <f t="shared" ref="X15:X78" si="11">t</f>
        <v>45292</v>
      </c>
      <c r="Y15" s="383">
        <f t="shared" ref="Y15:Y78" si="12">Wh_pvt_s*(1-Ppv)</f>
        <v>22.171300709223694</v>
      </c>
      <c r="Z15" s="383">
        <f>Wh_sa_s*(1-Psa_s)</f>
        <v>22.954326244451085</v>
      </c>
      <c r="AA15" s="384">
        <f t="shared" ref="AA15:AA78" si="13">Wh_hp*(1-Pvg_s*MEDIAN((-Sdif+Wh/Env_an)/Csdif,0,1))</f>
        <v>25.257780360666491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9.1197804530857865E-2</v>
      </c>
      <c r="AD15" s="230">
        <f>(INDEX(Models!$BJ15:$BT15,,AH15)*(1-AF15)+INDEX(Models!$BJ15:$BT15,,AH15+1)*AF15-ERP_i)*AE15*Ramure*Pc/MaxiM</f>
        <v>7.7125765288989989E-3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'2023'!Wh/'2023'!Env_an*'2024'!Env_an</f>
        <v>16.011363466648927</v>
      </c>
      <c r="C16" s="829"/>
      <c r="D16" s="391">
        <f t="shared" si="0"/>
        <v>16.577155721125521</v>
      </c>
      <c r="E16" s="383">
        <f t="shared" si="1"/>
        <v>17.421515841955024</v>
      </c>
      <c r="F16" s="383">
        <f t="shared" si="2"/>
        <v>17.496843162709329</v>
      </c>
      <c r="G16" s="110">
        <f t="shared" ref="G16:G79" si="21">+Wh_hp/MaxiM</f>
        <v>0.69501963592801275</v>
      </c>
      <c r="H16" s="412" t="b">
        <f>Wh_hp&gt;='2023'!Maxi_hp</f>
        <v>0</v>
      </c>
      <c r="I16" s="388">
        <f>IF(H16,Wh_hp,'2023'!Maxi_hp)</f>
        <v>24.084283353934023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3.4130840295815146E-2</v>
      </c>
      <c r="M16" s="832"/>
      <c r="N16" s="832"/>
      <c r="O16" s="48">
        <f>IF(t&lt;Tnet,'2023'!Resal+('2023'!Salim-'2023'!Resal)*(1-EXP(('2023'!Tnet-t)/('2023'!Tau_j))),Resal+(Salim-Resal)*(1-EXP((Tnet-t)/(Tau_j))))*Salcycl</f>
        <v>4.8466512816071387E-2</v>
      </c>
      <c r="P16" s="169">
        <f>(INDEX(Models!$BJ16:$BT16,,T16)*(1-R16)+INDEX(Models!$BJ16:$BT16,,T16+1)*R16-ERP_i)*Q16*Ramure*Pc/MaxiM</f>
        <v>7.5849755321650506E-3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22.96139824420688</v>
      </c>
      <c r="W16" s="400">
        <f t="shared" si="10"/>
        <v>16.011363466648927</v>
      </c>
      <c r="X16" s="157">
        <f t="shared" si="11"/>
        <v>45293</v>
      </c>
      <c r="Y16" s="383">
        <f t="shared" si="12"/>
        <v>15.292253367542168</v>
      </c>
      <c r="Z16" s="383">
        <f t="shared" ref="Z16:Z78" si="22">Wh_sa_s*(1-Psa_s)</f>
        <v>15.832634486668672</v>
      </c>
      <c r="AA16" s="384">
        <f t="shared" si="13"/>
        <v>17.421515841955024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9.1202244953906927E-2</v>
      </c>
      <c r="AD16" s="230">
        <f>(INDEX(Models!$BJ16:$BT16,,AH16)*(1-AF16)+INDEX(Models!$BJ16:$BT16,,AH16+1)*AF16-ERP_i)*AE16*Ramure*Pc/MaxiM</f>
        <v>7.5849755321650506E-3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'2023'!Wh/'2023'!Env_an*'2024'!Env_an</f>
        <v>17.289149120322683</v>
      </c>
      <c r="C17" s="829"/>
      <c r="D17" s="391">
        <f t="shared" si="0"/>
        <v>17.900437440788288</v>
      </c>
      <c r="E17" s="383">
        <f t="shared" si="1"/>
        <v>18.813093962342496</v>
      </c>
      <c r="F17" s="383">
        <f t="shared" si="2"/>
        <v>18.903270442405908</v>
      </c>
      <c r="G17" s="110">
        <f t="shared" si="21"/>
        <v>0.74596492041435492</v>
      </c>
      <c r="H17" s="412" t="b">
        <f>Wh_hp&gt;='2023'!Maxi_hp</f>
        <v>0</v>
      </c>
      <c r="I17" s="388">
        <f>IF(H17,Wh_hp,'2023'!Maxi_hp)</f>
        <v>25.872417420672249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3.4149350957910718E-2</v>
      </c>
      <c r="M17" s="832"/>
      <c r="N17" s="832"/>
      <c r="O17" s="48">
        <f>IF(t&lt;Tnet,'2023'!Resal+('2023'!Salim-'2023'!Resal)*(1-EXP(('2023'!Tnet-t)/('2023'!Tau_j))),Resal+(Salim-Resal)*(1-EXP((Tnet-t)/(Tau_j))))*Salcycl</f>
        <v>4.8511771821319848E-2</v>
      </c>
      <c r="P17" s="169">
        <f>(INDEX(Models!$BJ17:$BT17,,T17)*(1-R17)+INDEX(Models!$BJ17:$BT17,,T17+1)*R17-ERP_i)*Q17*Ramure*Pc/MaxiM</f>
        <v>7.4540779710793436E-3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23.114395907334533</v>
      </c>
      <c r="W17" s="400">
        <f t="shared" si="10"/>
        <v>17.289149120322683</v>
      </c>
      <c r="X17" s="157">
        <f t="shared" si="11"/>
        <v>45294</v>
      </c>
      <c r="Y17" s="383">
        <f t="shared" si="12"/>
        <v>16.51335167538927</v>
      </c>
      <c r="Z17" s="383">
        <f t="shared" si="22"/>
        <v>17.09721031069024</v>
      </c>
      <c r="AA17" s="384">
        <f t="shared" si="13"/>
        <v>18.813093962342496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9.1206882562053823E-2</v>
      </c>
      <c r="AD17" s="230">
        <f>(INDEX(Models!$BJ17:$BT17,,AH17)*(1-AF17)+INDEX(Models!$BJ17:$BT17,,AH17+1)*AF17-ERP_i)*AE17*Ramure*Pc/MaxiM</f>
        <v>7.4540779710793436E-3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'2023'!Wh/'2023'!Env_an*'2024'!Env_an</f>
        <v>18.372759063811099</v>
      </c>
      <c r="C18" s="829"/>
      <c r="D18" s="391">
        <f t="shared" si="0"/>
        <v>19.022724888695123</v>
      </c>
      <c r="E18" s="383">
        <f t="shared" si="1"/>
        <v>19.993553509615243</v>
      </c>
      <c r="F18" s="383">
        <f t="shared" si="2"/>
        <v>20.096390433155111</v>
      </c>
      <c r="G18" s="110">
        <f t="shared" si="21"/>
        <v>0.78758768858709183</v>
      </c>
      <c r="H18" s="412" t="b">
        <f>Wh_hp&gt;='2023'!Maxi_hp</f>
        <v>0</v>
      </c>
      <c r="I18" s="388">
        <f>IF(H18,Wh_hp,'2023'!Maxi_hp)</f>
        <v>21.824345162432092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3.4167861265253729E-2</v>
      </c>
      <c r="M18" s="832"/>
      <c r="N18" s="832"/>
      <c r="O18" s="48">
        <f>IF(t&lt;Tnet,'2023'!Resal+('2023'!Salim-'2023'!Resal)*(1-EXP(('2023'!Tnet-t)/('2023'!Tau_j))),Resal+(Salim-Resal)*(1-EXP((Tnet-t)/(Tau_j))))*Salcycl</f>
        <v>4.8557082184176578E-2</v>
      </c>
      <c r="P18" s="169">
        <f>(INDEX(Models!$BJ18:$BT18,,T18)*(1-R18)+INDEX(Models!$BJ18:$BT18,,T18+1)*R18-ERP_i)*Q18*Ramure*Pc/MaxiM</f>
        <v>7.3201890002401312E-3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23.276234330339204</v>
      </c>
      <c r="W18" s="400">
        <f t="shared" si="10"/>
        <v>18.372759063811099</v>
      </c>
      <c r="X18" s="157">
        <f t="shared" si="11"/>
        <v>45295</v>
      </c>
      <c r="Y18" s="383">
        <f t="shared" si="12"/>
        <v>17.549080701982398</v>
      </c>
      <c r="Z18" s="383">
        <f>Wh_sa_s*(1-Psa_s)</f>
        <v>18.169907583497832</v>
      </c>
      <c r="AA18" s="384">
        <f t="shared" si="13"/>
        <v>19.993553509615243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9.1211696071955728E-2</v>
      </c>
      <c r="AD18" s="230">
        <f>(INDEX(Models!$BJ18:$BT18,,AH18)*(1-AF18)+INDEX(Models!$BJ18:$BT18,,AH18+1)*AF18-ERP_i)*AE18*Ramure*Pc/MaxiM</f>
        <v>7.3201890002401312E-3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'2023'!Wh/'2023'!Env_an*'2024'!Env_an</f>
        <v>14.529917991879008</v>
      </c>
      <c r="C19" s="829"/>
      <c r="D19" s="391">
        <f t="shared" si="0"/>
        <v>15.044225468427724</v>
      </c>
      <c r="E19" s="383">
        <f t="shared" si="1"/>
        <v>15.812764307177819</v>
      </c>
      <c r="F19" s="383">
        <f t="shared" si="2"/>
        <v>15.864815589058868</v>
      </c>
      <c r="G19" s="110">
        <f t="shared" si="21"/>
        <v>0.61728029028596898</v>
      </c>
      <c r="H19" s="412" t="b">
        <f>Wh_hp&gt;='2023'!Maxi_hp</f>
        <v>0</v>
      </c>
      <c r="I19" s="388">
        <f>IF(H19,Wh_hp,'2023'!Maxi_hp)</f>
        <v>15.89891096179743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3.4186371217850842E-2</v>
      </c>
      <c r="M19" s="832"/>
      <c r="N19" s="832"/>
      <c r="O19" s="48">
        <f>IF(t&lt;Tnet,'2023'!Resal+('2023'!Salim-'2023'!Resal)*(1-EXP(('2023'!Tnet-t)/('2023'!Tau_j))),Resal+(Salim-Resal)*(1-EXP((Tnet-t)/(Tau_j))))*Salcycl</f>
        <v>4.8602434325871482E-2</v>
      </c>
      <c r="P19" s="169">
        <f>(INDEX(Models!$BJ19:$BT19,,T19)*(1-R19)+INDEX(Models!$BJ19:$BT19,,T19+1)*R19-ERP_i)*Q19*Ramure*Pc/MaxiM</f>
        <v>7.183607721681055E-3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23.446440638242539</v>
      </c>
      <c r="W19" s="400">
        <f t="shared" si="10"/>
        <v>14.529917991879008</v>
      </c>
      <c r="X19" s="157">
        <f t="shared" si="11"/>
        <v>45296</v>
      </c>
      <c r="Y19" s="383">
        <f t="shared" si="12"/>
        <v>13.879105621108117</v>
      </c>
      <c r="Z19" s="383">
        <f t="shared" si="22"/>
        <v>14.370376651869256</v>
      </c>
      <c r="AA19" s="384">
        <f t="shared" si="13"/>
        <v>15.812764307177819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9.1216666946324201E-2</v>
      </c>
      <c r="AD19" s="230">
        <f>(INDEX(Models!$BJ19:$BT19,,AH19)*(1-AF19)+INDEX(Models!$BJ19:$BT19,,AH19+1)*AF19-ERP_i)*AE19*Ramure*Pc/MaxiM</f>
        <v>7.183607721681055E-3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'2023'!Wh/'2023'!Env_an*'2024'!Env_an</f>
        <v>20.851602009444367</v>
      </c>
      <c r="C20" s="829"/>
      <c r="D20" s="391">
        <f t="shared" si="0"/>
        <v>21.590088410319982</v>
      </c>
      <c r="E20" s="383">
        <f t="shared" si="1"/>
        <v>22.694107256317288</v>
      </c>
      <c r="F20" s="383">
        <f t="shared" si="2"/>
        <v>22.827956440889704</v>
      </c>
      <c r="G20" s="110">
        <f t="shared" si="21"/>
        <v>0.88157586883304495</v>
      </c>
      <c r="H20" s="412" t="b">
        <f>Wh_hp&gt;='2023'!Maxi_hp</f>
        <v>0</v>
      </c>
      <c r="I20" s="388">
        <f>IF(H20,Wh_hp,'2023'!Maxi_hp)</f>
        <v>25.97684931198668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3.4204880815708938E-2</v>
      </c>
      <c r="M20" s="832"/>
      <c r="N20" s="832"/>
      <c r="O20" s="48">
        <f>IF(t&lt;Tnet,'2023'!Resal+('2023'!Salim-'2023'!Resal)*(1-EXP(('2023'!Tnet-t)/('2023'!Tau_j))),Resal+(Salim-Resal)*(1-EXP((Tnet-t)/(Tau_j))))*Salcycl</f>
        <v>4.8647820049849508E-2</v>
      </c>
      <c r="P20" s="169">
        <f>(INDEX(Models!$BJ20:$BT20,,T20)*(1-R20)+INDEX(Models!$BJ20:$BT20,,T20+1)*R20-ERP_i)*Q20*Ramure*Pc/MaxiM</f>
        <v>7.0446255230403026E-3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23.624541910812724</v>
      </c>
      <c r="W20" s="400">
        <f t="shared" si="10"/>
        <v>20.851602009444367</v>
      </c>
      <c r="X20" s="157">
        <f t="shared" si="11"/>
        <v>45297</v>
      </c>
      <c r="Y20" s="383">
        <f t="shared" si="12"/>
        <v>19.918472015018889</v>
      </c>
      <c r="Z20" s="383">
        <f t="shared" si="22"/>
        <v>20.623910412636995</v>
      </c>
      <c r="AA20" s="384">
        <f t="shared" si="13"/>
        <v>22.694107256317288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9.1221779305904124E-2</v>
      </c>
      <c r="AD20" s="230">
        <f>(INDEX(Models!$BJ20:$BT20,,AH20)*(1-AF20)+INDEX(Models!$BJ20:$BT20,,AH20+1)*AF20-ERP_i)*AE20*Ramure*Pc/MaxiM</f>
        <v>7.0446255230403026E-3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'2023'!Wh/'2023'!Env_an*'2024'!Env_an</f>
        <v>10.225574750392827</v>
      </c>
      <c r="C21" s="829"/>
      <c r="D21" s="391">
        <f t="shared" si="0"/>
        <v>10.587929594832252</v>
      </c>
      <c r="E21" s="383">
        <f t="shared" si="1"/>
        <v>11.129879400048411</v>
      </c>
      <c r="F21" s="383">
        <f t="shared" si="2"/>
        <v>11.144108205235515</v>
      </c>
      <c r="G21" s="110">
        <f t="shared" si="21"/>
        <v>0.42704480747591955</v>
      </c>
      <c r="H21" s="412" t="b">
        <f>Wh_hp&gt;='2023'!Maxi_hp</f>
        <v>0</v>
      </c>
      <c r="I21" s="388">
        <f>IF(H21,Wh_hp,'2023'!Maxi_hp)</f>
        <v>15.082360291680677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3.4223390058834791E-2</v>
      </c>
      <c r="M21" s="832"/>
      <c r="N21" s="832"/>
      <c r="O21" s="48">
        <f>IF(t&lt;Tnet,'2023'!Resal+('2023'!Salim-'2023'!Resal)*(1-EXP(('2023'!Tnet-t)/('2023'!Tau_j))),Resal+(Salim-Resal)*(1-EXP((Tnet-t)/(Tau_j))))*Salcycl</f>
        <v>4.869323249035401E-2</v>
      </c>
      <c r="P21" s="169">
        <f>(INDEX(Models!$BJ21:$BT21,,T21)*(1-R21)+INDEX(Models!$BJ21:$BT21,,T21+1)*R21-ERP_i)*Q21*Ramure*Pc/MaxiM</f>
        <v>6.9035245961862925E-3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23.810065197082928</v>
      </c>
      <c r="W21" s="400">
        <f t="shared" si="10"/>
        <v>10.225574750392827</v>
      </c>
      <c r="X21" s="157">
        <f t="shared" si="11"/>
        <v>45298</v>
      </c>
      <c r="Y21" s="383">
        <f t="shared" si="12"/>
        <v>9.7683800403112233</v>
      </c>
      <c r="Z21" s="383">
        <f t="shared" si="22"/>
        <v>10.114533671411145</v>
      </c>
      <c r="AA21" s="384">
        <f t="shared" si="13"/>
        <v>11.129879400048411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9.1227019821333258E-2</v>
      </c>
      <c r="AD21" s="230">
        <f>(INDEX(Models!$BJ21:$BT21,,AH21)*(1-AF21)+INDEX(Models!$BJ21:$BT21,,AH21+1)*AF21-ERP_i)*AE21*Ramure*Pc/MaxiM</f>
        <v>6.9035245961862925E-3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'2023'!Wh/'2023'!Env_an*'2024'!Env_an</f>
        <v>7.2778167160304967</v>
      </c>
      <c r="C22" s="829"/>
      <c r="D22" s="391">
        <f t="shared" si="0"/>
        <v>7.5358588326590379</v>
      </c>
      <c r="E22" s="383">
        <f t="shared" si="1"/>
        <v>7.9219648310250541</v>
      </c>
      <c r="F22" s="383">
        <f t="shared" si="2"/>
        <v>7.9222104592835141</v>
      </c>
      <c r="G22" s="110">
        <f t="shared" si="21"/>
        <v>0.30116976595508566</v>
      </c>
      <c r="H22" s="412" t="b">
        <f>Wh_hp&gt;='2023'!Maxi_hp</f>
        <v>0</v>
      </c>
      <c r="I22" s="388">
        <f>IF(H22,Wh_hp,'2023'!Maxi_hp)</f>
        <v>20.347217475948305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3.4241898947235283E-2</v>
      </c>
      <c r="M22" s="832"/>
      <c r="N22" s="832"/>
      <c r="O22" s="48">
        <f>IF(t&lt;Tnet,'2023'!Resal+('2023'!Salim-'2023'!Resal)*(1-EXP(('2023'!Tnet-t)/('2023'!Tau_j))),Resal+(Salim-Resal)*(1-EXP((Tnet-t)/(Tau_j))))*Salcycl</f>
        <v>4.8738666050863647E-2</v>
      </c>
      <c r="P22" s="169">
        <f>(INDEX(Models!$BJ22:$BT22,,T22)*(1-R22)+INDEX(Models!$BJ22:$BT22,,T22+1)*R22-ERP_i)*Q22*Ramure*Pc/MaxiM</f>
        <v>6.760576644698809E-3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24.002537524457914</v>
      </c>
      <c r="W22" s="400">
        <f t="shared" si="10"/>
        <v>7.2778167160304967</v>
      </c>
      <c r="X22" s="157">
        <f t="shared" si="11"/>
        <v>45299</v>
      </c>
      <c r="Y22" s="383">
        <f t="shared" si="12"/>
        <v>6.9527100044424506</v>
      </c>
      <c r="Z22" s="383">
        <f t="shared" si="22"/>
        <v>7.1992251443331003</v>
      </c>
      <c r="AA22" s="384">
        <f t="shared" si="13"/>
        <v>7.9219648310250541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9.1232377586613955E-2</v>
      </c>
      <c r="AD22" s="230">
        <f>(INDEX(Models!$BJ22:$BT22,,AH22)*(1-AF22)+INDEX(Models!$BJ22:$BT22,,AH22+1)*AF22-ERP_i)*AE22*Ramure*Pc/MaxiM</f>
        <v>6.760576644698809E-3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'2023'!Wh/'2023'!Env_an*'2024'!Env_an</f>
        <v>2.172898516512721</v>
      </c>
      <c r="C23" s="829"/>
      <c r="D23" s="391">
        <f t="shared" si="0"/>
        <v>2.2499838811048694</v>
      </c>
      <c r="E23" s="383">
        <f t="shared" si="1"/>
        <v>2.3653766928615489</v>
      </c>
      <c r="F23" s="383">
        <f t="shared" si="2"/>
        <v>2.3653766928615489</v>
      </c>
      <c r="G23" s="110">
        <f t="shared" si="21"/>
        <v>8.9178874515404807E-2</v>
      </c>
      <c r="H23" s="412" t="b">
        <f>Wh_hp&gt;='2023'!Maxi_hp</f>
        <v>0</v>
      </c>
      <c r="I23" s="388">
        <f>IF(H23,Wh_hp,'2023'!Maxi_hp)</f>
        <v>25.649292652260151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3.4260407480917188E-2</v>
      </c>
      <c r="M23" s="832"/>
      <c r="N23" s="832"/>
      <c r="O23" s="48">
        <f>IF(t&lt;Tnet,'2023'!Resal+('2023'!Salim-'2023'!Resal)*(1-EXP(('2023'!Tnet-t)/('2023'!Tau_j))),Resal+(Salim-Resal)*(1-EXP((Tnet-t)/(Tau_j))))*Salcycl</f>
        <v>4.8784116333319243E-2</v>
      </c>
      <c r="P23" s="169">
        <f>(INDEX(Models!$BJ23:$BT23,,T23)*(1-R23)+INDEX(Models!$BJ23:$BT23,,T23+1)*R23-ERP_i)*Q23*Ramure*Pc/MaxiM</f>
        <v>6.6152410117490843E-3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24.204434972534361</v>
      </c>
      <c r="W23" s="400">
        <f t="shared" si="10"/>
        <v>2.172898516512721</v>
      </c>
      <c r="X23" s="157">
        <f t="shared" si="11"/>
        <v>45300</v>
      </c>
      <c r="Y23" s="383">
        <f t="shared" si="12"/>
        <v>2.0759198564636963</v>
      </c>
      <c r="Z23" s="383">
        <f t="shared" si="22"/>
        <v>2.1495648232136415</v>
      </c>
      <c r="AA23" s="384">
        <f t="shared" si="13"/>
        <v>2.3653766928615489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9.1237843976058636E-2</v>
      </c>
      <c r="AD23" s="230">
        <f>(INDEX(Models!$BJ23:$BT23,,AH23)*(1-AF23)+INDEX(Models!$BJ23:$BT23,,AH23+1)*AF23-ERP_i)*AE23*Ramure*Pc/MaxiM</f>
        <v>6.6152410117490843E-3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'2023'!Wh/'2023'!Env_an*'2024'!Env_an</f>
        <v>1.7820361868664694</v>
      </c>
      <c r="C24" s="829"/>
      <c r="D24" s="391">
        <f t="shared" si="0"/>
        <v>1.8452907529549829</v>
      </c>
      <c r="E24" s="383">
        <f t="shared" si="1"/>
        <v>1.9400211720941902</v>
      </c>
      <c r="F24" s="383">
        <f t="shared" si="2"/>
        <v>1.9400211720941902</v>
      </c>
      <c r="G24" s="110">
        <f t="shared" si="21"/>
        <v>7.2508375451170587E-2</v>
      </c>
      <c r="H24" s="412" t="b">
        <f>Wh_hp&gt;='2023'!Maxi_hp</f>
        <v>0</v>
      </c>
      <c r="I24" s="388">
        <f>IF(H24,Wh_hp,'2023'!Maxi_hp)</f>
        <v>9.0351524420219071</v>
      </c>
      <c r="J24" s="85">
        <f>IF(H24,An,'2023'!An_max)</f>
        <v>2020</v>
      </c>
      <c r="K24" s="197">
        <f t="shared" si="3"/>
        <v>45301</v>
      </c>
      <c r="L24" s="147">
        <f>IF(t&lt;Tvie,1-EXP((T0-t)*PertePVj)+'2023'!Pspv,1-EXP((T0-t)*PertePVj)+Pspv)</f>
        <v>3.4278915659887166E-2</v>
      </c>
      <c r="M24" s="832"/>
      <c r="N24" s="832"/>
      <c r="O24" s="48">
        <f>IF(t&lt;Tnet,'2023'!Resal+('2023'!Salim-'2023'!Resal)*(1-EXP(('2023'!Tnet-t)/('2023'!Tau_j))),Resal+(Salim-Resal)*(1-EXP((Tnet-t)/(Tau_j))))*Salcycl</f>
        <v>4.8829580059143889E-2</v>
      </c>
      <c r="P24" s="169">
        <f>(INDEX(Models!$BJ24:$BT24,,T24)*(1-R24)+INDEX(Models!$BJ24:$BT24,,T24+1)*R24-ERP_i)*Q24*Ramure*Pc/MaxiM</f>
        <v>6.4724773726299416E-3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24.417896373393166</v>
      </c>
      <c r="W24" s="400">
        <f t="shared" si="10"/>
        <v>1.7820361868664694</v>
      </c>
      <c r="X24" s="157">
        <f t="shared" si="11"/>
        <v>45301</v>
      </c>
      <c r="Y24" s="383">
        <f t="shared" si="12"/>
        <v>1.7025730511076194</v>
      </c>
      <c r="Z24" s="383">
        <f t="shared" si="22"/>
        <v>1.7630070200559047</v>
      </c>
      <c r="AA24" s="384">
        <f t="shared" si="13"/>
        <v>1.9400211720941902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9.1243412486681524E-2</v>
      </c>
      <c r="AD24" s="230">
        <f>(INDEX(Models!$BJ24:$BT24,,AH24)*(1-AF24)+INDEX(Models!$BJ24:$BT24,,AH24+1)*AF24-ERP_i)*AE24*Ramure*Pc/MaxiM</f>
        <v>6.4724773726299416E-3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'2023'!Wh/'2023'!Env_an*'2024'!Env_an</f>
        <v>24.982102853950284</v>
      </c>
      <c r="C25" s="829"/>
      <c r="D25" s="391">
        <f t="shared" si="0"/>
        <v>25.86935508040483</v>
      </c>
      <c r="E25" s="383">
        <f t="shared" si="1"/>
        <v>27.198692680639965</v>
      </c>
      <c r="F25" s="383">
        <f t="shared" si="2"/>
        <v>27.372177107233075</v>
      </c>
      <c r="G25" s="110">
        <f t="shared" si="21"/>
        <v>1.0138014686256271</v>
      </c>
      <c r="H25" s="412" t="b">
        <f>Wh_hp&gt;='2023'!Maxi_hp</f>
        <v>1</v>
      </c>
      <c r="I25" s="388">
        <f>IF(H25,Wh_hp,'2023'!Maxi_hp)</f>
        <v>27.372177107233075</v>
      </c>
      <c r="J25" s="85">
        <f>IF(H25,An,'2023'!An_max)</f>
        <v>2024</v>
      </c>
      <c r="K25" s="197">
        <f t="shared" si="3"/>
        <v>45302</v>
      </c>
      <c r="L25" s="147">
        <f>IF(t&lt;Tvie,1-EXP((T0-t)*PertePVj)+'2023'!Pspv,1-EXP((T0-t)*PertePVj)+Pspv)</f>
        <v>3.4297423484152101E-2</v>
      </c>
      <c r="M25" s="832"/>
      <c r="N25" s="832"/>
      <c r="O25" s="48">
        <f>IF(t&lt;Tnet,'2023'!Resal+('2023'!Salim-'2023'!Resal)*(1-EXP(('2023'!Tnet-t)/('2023'!Tau_j))),Resal+(Salim-Resal)*(1-EXP((Tnet-t)/(Tau_j))))*Salcycl</f>
        <v>4.8875054983115236E-2</v>
      </c>
      <c r="P25" s="169">
        <f>(INDEX(Models!$BJ25:$BT25,,T25)*(1-R25)+INDEX(Models!$BJ25:$BT25,,T25+1)*R25-ERP_i)*Q25*Ramure*Pc/MaxiM</f>
        <v>6.3379842207460565E-3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24.642006967910188</v>
      </c>
      <c r="W25" s="400">
        <f t="shared" si="10"/>
        <v>24.982102853950284</v>
      </c>
      <c r="X25" s="157">
        <f t="shared" si="11"/>
        <v>45302</v>
      </c>
      <c r="Y25" s="383">
        <f t="shared" si="12"/>
        <v>23.869113208287068</v>
      </c>
      <c r="Z25" s="383">
        <f t="shared" si="22"/>
        <v>24.716837035274658</v>
      </c>
      <c r="AA25" s="384">
        <f t="shared" si="13"/>
        <v>27.198692680639965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9.1249078568099537E-2</v>
      </c>
      <c r="AD25" s="230">
        <f>(INDEX(Models!$BJ25:$BT25,,AH25)*(1-AF25)+INDEX(Models!$BJ25:$BT25,,AH25+1)*AF25-ERP_i)*AE25*Ramure*Pc/MaxiM</f>
        <v>6.3379842207460565E-3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'2023'!Wh/'2023'!Env_an*'2024'!Env_an</f>
        <v>21.717472321372782</v>
      </c>
      <c r="C26" s="829"/>
      <c r="D26" s="391">
        <f t="shared" si="0"/>
        <v>22.489210516666354</v>
      </c>
      <c r="E26" s="383">
        <f t="shared" si="1"/>
        <v>23.645984860156023</v>
      </c>
      <c r="F26" s="383">
        <f t="shared" si="2"/>
        <v>23.766842462534552</v>
      </c>
      <c r="G26" s="110">
        <f t="shared" si="21"/>
        <v>0.872040900603132</v>
      </c>
      <c r="H26" s="412" t="b">
        <f>Wh_hp&gt;='2023'!Maxi_hp</f>
        <v>0</v>
      </c>
      <c r="I26" s="388">
        <f>IF(H26,Wh_hp,'2023'!Maxi_hp)</f>
        <v>27.37093962937724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3.4315930953718876E-2</v>
      </c>
      <c r="M26" s="832"/>
      <c r="N26" s="832"/>
      <c r="O26" s="48">
        <f>IF(t&lt;Tnet,'2023'!Resal+('2023'!Salim-'2023'!Resal)*(1-EXP(('2023'!Tnet-t)/('2023'!Tau_j))),Resal+(Salim-Resal)*(1-EXP((Tnet-t)/(Tau_j))))*Salcycl</f>
        <v>4.8920539801193062E-2</v>
      </c>
      <c r="P26" s="169">
        <f>(INDEX(Models!$BJ26:$BT26,,T26)*(1-R26)+INDEX(Models!$BJ26:$BT26,,T26+1)*R26-ERP_i)*Q26*Ramure*Pc/MaxiM</f>
        <v>6.2118857456638261E-3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24.875985814447102</v>
      </c>
      <c r="W26" s="400">
        <f t="shared" si="10"/>
        <v>21.717472321372782</v>
      </c>
      <c r="X26" s="157">
        <f t="shared" si="11"/>
        <v>45303</v>
      </c>
      <c r="Y26" s="383">
        <f t="shared" si="12"/>
        <v>20.750787602407968</v>
      </c>
      <c r="Z26" s="383">
        <f t="shared" si="22"/>
        <v>21.48817430829282</v>
      </c>
      <c r="AA26" s="384">
        <f t="shared" si="13"/>
        <v>23.645984860156023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9.1254839442072022E-2</v>
      </c>
      <c r="AD26" s="230">
        <f>(INDEX(Models!$BJ26:$BT26,,AH26)*(1-AF26)+INDEX(Models!$BJ26:$BT26,,AH26+1)*AF26-ERP_i)*AE26*Ramure*Pc/MaxiM</f>
        <v>6.2118857456638261E-3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'2023'!Wh/'2023'!Env_an*'2024'!Env_an</f>
        <v>5.5673938035450643</v>
      </c>
      <c r="C27" s="829"/>
      <c r="D27" s="391">
        <f t="shared" si="0"/>
        <v>5.7653436376149179</v>
      </c>
      <c r="E27" s="383">
        <f t="shared" si="1"/>
        <v>6.0621847841961038</v>
      </c>
      <c r="F27" s="383">
        <f t="shared" si="2"/>
        <v>6.0621847841961038</v>
      </c>
      <c r="G27" s="110">
        <f t="shared" si="21"/>
        <v>0.22028954732472109</v>
      </c>
      <c r="H27" s="412" t="b">
        <f>Wh_hp&gt;='2023'!Maxi_hp</f>
        <v>0</v>
      </c>
      <c r="I27" s="388">
        <f>IF(H27,Wh_hp,'2023'!Maxi_hp)</f>
        <v>16.17097757884445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3.4334438068594264E-2</v>
      </c>
      <c r="M27" s="832"/>
      <c r="N27" s="832"/>
      <c r="O27" s="48">
        <f>IF(t&lt;Tnet,'2023'!Resal+('2023'!Salim-'2023'!Resal)*(1-EXP(('2023'!Tnet-t)/('2023'!Tau_j))),Resal+(Salim-Resal)*(1-EXP((Tnet-t)/(Tau_j))))*Salcycl</f>
        <v>4.8966034053438953E-2</v>
      </c>
      <c r="P27" s="169">
        <f>(INDEX(Models!$BJ27:$BT27,,T27)*(1-R27)+INDEX(Models!$BJ27:$BT27,,T27+1)*R27-ERP_i)*Q27*Ramure*Pc/MaxiM</f>
        <v>6.0942686813391708E-3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25.119052070567619</v>
      </c>
      <c r="W27" s="400">
        <f t="shared" si="10"/>
        <v>5.5673938035450643</v>
      </c>
      <c r="X27" s="157">
        <f t="shared" si="11"/>
        <v>45304</v>
      </c>
      <c r="Y27" s="383">
        <f t="shared" si="12"/>
        <v>5.3197990428305184</v>
      </c>
      <c r="Z27" s="383">
        <f t="shared" si="22"/>
        <v>5.5089455941563346</v>
      </c>
      <c r="AA27" s="384">
        <f t="shared" si="13"/>
        <v>6.0621847841961038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9.1260693913858187E-2</v>
      </c>
      <c r="AD27" s="230">
        <f>(INDEX(Models!$BJ27:$BT27,,AH27)*(1-AF27)+INDEX(Models!$BJ27:$BT27,,AH27+1)*AF27-ERP_i)*AE27*Ramure*Pc/MaxiM</f>
        <v>6.0942686813391708E-3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'2023'!Wh/'2023'!Env_an*'2024'!Env_an</f>
        <v>26.421490572590898</v>
      </c>
      <c r="C28" s="829"/>
      <c r="D28" s="391">
        <f t="shared" si="0"/>
        <v>27.361436490795498</v>
      </c>
      <c r="E28" s="383">
        <f t="shared" si="1"/>
        <v>28.771575665512753</v>
      </c>
      <c r="F28" s="383">
        <f t="shared" si="2"/>
        <v>28.9448157619047</v>
      </c>
      <c r="G28" s="110">
        <f t="shared" si="21"/>
        <v>1.0414287719294832</v>
      </c>
      <c r="H28" s="412" t="b">
        <f>Wh_hp&gt;='2023'!Maxi_hp</f>
        <v>1</v>
      </c>
      <c r="I28" s="388">
        <f>IF(H28,Wh_hp,'2023'!Maxi_hp)</f>
        <v>28.9448157619047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3.4352944828784926E-2</v>
      </c>
      <c r="M28" s="832"/>
      <c r="N28" s="832"/>
      <c r="O28" s="48">
        <f>IF(t&lt;Tnet,'2023'!Resal+('2023'!Salim-'2023'!Resal)*(1-EXP(('2023'!Tnet-t)/('2023'!Tau_j))),Resal+(Salim-Resal)*(1-EXP((Tnet-t)/(Tau_j))))*Salcycl</f>
        <v>4.9011538023186176E-2</v>
      </c>
      <c r="P28" s="169">
        <f>(INDEX(Models!$BJ28:$BT28,,T28)*(1-R28)+INDEX(Models!$BJ28:$BT28,,T28+1)*R28-ERP_i)*Q28*Ramure*Pc/MaxiM</f>
        <v>5.9851856656124355E-3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25.370425020656082</v>
      </c>
      <c r="W28" s="400">
        <f t="shared" si="10"/>
        <v>26.421490572590898</v>
      </c>
      <c r="X28" s="157">
        <f t="shared" si="11"/>
        <v>45305</v>
      </c>
      <c r="Y28" s="383">
        <f t="shared" si="12"/>
        <v>25.247509098894803</v>
      </c>
      <c r="Z28" s="383">
        <f t="shared" si="22"/>
        <v>26.145690564362841</v>
      </c>
      <c r="AA28" s="384">
        <f t="shared" si="13"/>
        <v>28.771575665512753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9.1266642177593671E-2</v>
      </c>
      <c r="AD28" s="230">
        <f>(INDEX(Models!$BJ28:$BT28,,AH28)*(1-AF28)+INDEX(Models!$BJ28:$BT28,,AH28+1)*AF28-ERP_i)*AE28*Ramure*Pc/MaxiM</f>
        <v>5.9851856656124355E-3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'2023'!Wh/'2023'!Env_an*'2024'!Env_an</f>
        <v>26.732785583703297</v>
      </c>
      <c r="C29" s="829"/>
      <c r="D29" s="391">
        <f t="shared" si="0"/>
        <v>27.684336402309164</v>
      </c>
      <c r="E29" s="383">
        <f t="shared" si="1"/>
        <v>29.112510355096159</v>
      </c>
      <c r="F29" s="383">
        <f t="shared" si="2"/>
        <v>29.284841653101807</v>
      </c>
      <c r="G29" s="110">
        <f t="shared" si="21"/>
        <v>1.0430546469739899</v>
      </c>
      <c r="H29" s="412" t="b">
        <f>Wh_hp&gt;='2023'!Maxi_hp</f>
        <v>1</v>
      </c>
      <c r="I29" s="388">
        <f>IF(H29,Wh_hp,'2023'!Maxi_hp)</f>
        <v>29.284841653101807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3.4371451234297856E-2</v>
      </c>
      <c r="M29" s="832"/>
      <c r="N29" s="832"/>
      <c r="O29" s="48">
        <f>IF(t&lt;Tnet,'2023'!Resal+('2023'!Salim-'2023'!Resal)*(1-EXP(('2023'!Tnet-t)/('2023'!Tau_j))),Resal+(Salim-Resal)*(1-EXP((Tnet-t)/(Tau_j))))*Salcycl</f>
        <v>4.9057052633628133E-2</v>
      </c>
      <c r="P29" s="169">
        <f>(INDEX(Models!$BJ29:$BT29,,T29)*(1-R29)+INDEX(Models!$BJ29:$BT29,,T29+1)*R29-ERP_i)*Q29*Ramure*Pc/MaxiM</f>
        <v>5.8846586929520057E-3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25.629324083122487</v>
      </c>
      <c r="W29" s="400">
        <f t="shared" si="10"/>
        <v>26.732785583703297</v>
      </c>
      <c r="X29" s="157">
        <f t="shared" si="11"/>
        <v>45306</v>
      </c>
      <c r="Y29" s="383">
        <f t="shared" si="12"/>
        <v>25.546025149784359</v>
      </c>
      <c r="Z29" s="383">
        <f t="shared" si="22"/>
        <v>26.455333349907811</v>
      </c>
      <c r="AA29" s="384">
        <f t="shared" si="13"/>
        <v>29.112510355096159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9.1272685617893048E-2</v>
      </c>
      <c r="AD29" s="230">
        <f>(INDEX(Models!$BJ29:$BT29,,AH29)*(1-AF29)+INDEX(Models!$BJ29:$BT29,,AH29+1)*AF29-ERP_i)*AE29*Ramure*Pc/MaxiM</f>
        <v>5.8846586929520057E-3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'2023'!Wh/'2023'!Env_an*'2024'!Env_an</f>
        <v>26.155212202801074</v>
      </c>
      <c r="C30" s="829"/>
      <c r="D30" s="391">
        <f t="shared" si="0"/>
        <v>27.086723465783766</v>
      </c>
      <c r="E30" s="383">
        <f t="shared" si="1"/>
        <v>28.485431632645103</v>
      </c>
      <c r="F30" s="383">
        <f t="shared" si="2"/>
        <v>28.651235386050462</v>
      </c>
      <c r="G30" s="110">
        <f t="shared" si="21"/>
        <v>1.0100441522862178</v>
      </c>
      <c r="H30" s="412" t="b">
        <f>Wh_hp&gt;='2023'!Maxi_hp</f>
        <v>1</v>
      </c>
      <c r="I30" s="388">
        <f>IF(H30,Wh_hp,'2023'!Maxi_hp)</f>
        <v>28.651235386050462</v>
      </c>
      <c r="J30" s="85">
        <f>IF(H30,An,'2023'!An_max)</f>
        <v>2024</v>
      </c>
      <c r="K30" s="197">
        <f t="shared" si="3"/>
        <v>45307</v>
      </c>
      <c r="L30" s="147">
        <f>IF(t&lt;Tvie,1-EXP((T0-t)*PertePVj)+'2023'!Pspv,1-EXP((T0-t)*PertePVj)+Pspv)</f>
        <v>3.4389957285139605E-2</v>
      </c>
      <c r="M30" s="832"/>
      <c r="N30" s="832"/>
      <c r="O30" s="48">
        <f>IF(t&lt;Tnet,'2023'!Resal+('2023'!Salim-'2023'!Resal)*(1-EXP(('2023'!Tnet-t)/('2023'!Tau_j))),Resal+(Salim-Resal)*(1-EXP((Tnet-t)/(Tau_j))))*Salcycl</f>
        <v>4.9102579342992225E-2</v>
      </c>
      <c r="P30" s="169">
        <f>(INDEX(Models!$BJ30:$BT30,,T30)*(1-R30)+INDEX(Models!$BJ30:$BT30,,T30+1)*R30-ERP_i)*Q30*Ramure*Pc/MaxiM</f>
        <v>5.786966990124493E-3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25.89511769718105</v>
      </c>
      <c r="W30" s="400">
        <f t="shared" si="10"/>
        <v>26.155212202801074</v>
      </c>
      <c r="X30" s="157">
        <f t="shared" si="11"/>
        <v>45307</v>
      </c>
      <c r="Y30" s="383">
        <f t="shared" si="12"/>
        <v>24.995119985471575</v>
      </c>
      <c r="Z30" s="383">
        <f t="shared" si="22"/>
        <v>25.885314857741701</v>
      </c>
      <c r="AA30" s="384">
        <f t="shared" si="13"/>
        <v>28.485431632645103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9.1278826609865915E-2</v>
      </c>
      <c r="AD30" s="230">
        <f>(INDEX(Models!$BJ30:$BT30,,AH30)*(1-AF30)+INDEX(Models!$BJ30:$BT30,,AH30+1)*AF30-ERP_i)*AE30*Ramure*Pc/MaxiM</f>
        <v>5.786966990124493E-3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'2023'!Wh/'2023'!Env_an*'2024'!Env_an</f>
        <v>12.078162752820143</v>
      </c>
      <c r="C31" s="829"/>
      <c r="D31" s="391">
        <f t="shared" si="0"/>
        <v>12.508563186160618</v>
      </c>
      <c r="E31" s="383">
        <f t="shared" si="1"/>
        <v>13.155112220716891</v>
      </c>
      <c r="F31" s="383">
        <f t="shared" si="2"/>
        <v>13.17241052070457</v>
      </c>
      <c r="G31" s="110">
        <f t="shared" si="21"/>
        <v>0.45955557484824072</v>
      </c>
      <c r="H31" s="412" t="b">
        <f>Wh_hp&gt;='2023'!Maxi_hp</f>
        <v>0</v>
      </c>
      <c r="I31" s="388">
        <f>IF(H31,Wh_hp,'2023'!Maxi_hp)</f>
        <v>13.20492175837156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3.4408462981317167E-2</v>
      </c>
      <c r="M31" s="832"/>
      <c r="N31" s="832"/>
      <c r="O31" s="48">
        <f>IF(t&lt;Tnet,'2023'!Resal+('2023'!Salim-'2023'!Resal)*(1-EXP(('2023'!Tnet-t)/('2023'!Tau_j))),Resal+(Salim-Resal)*(1-EXP((Tnet-t)/(Tau_j))))*Salcycl</f>
        <v>4.9148120039453201E-2</v>
      </c>
      <c r="P31" s="169">
        <f>(INDEX(Models!$BJ31:$BT31,,T31)*(1-R31)+INDEX(Models!$BJ31:$BT31,,T31+1)*R31-ERP_i)*Q31*Ramure*Pc/MaxiM</f>
        <v>5.6892328103966949E-3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26.167105221440366</v>
      </c>
      <c r="W31" s="400">
        <f t="shared" si="10"/>
        <v>12.078162752820143</v>
      </c>
      <c r="X31" s="157">
        <f t="shared" si="11"/>
        <v>45308</v>
      </c>
      <c r="Y31" s="383">
        <f t="shared" si="12"/>
        <v>11.542919640867684</v>
      </c>
      <c r="Z31" s="383">
        <f t="shared" si="22"/>
        <v>11.954246902895489</v>
      </c>
      <c r="AA31" s="384">
        <f t="shared" si="13"/>
        <v>13.155112220716891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9.128506831969542E-2</v>
      </c>
      <c r="AD31" s="230">
        <f>(INDEX(Models!$BJ31:$BT31,,AH31)*(1-AF31)+INDEX(Models!$BJ31:$BT31,,AH31+1)*AF31-ERP_i)*AE31*Ramure*Pc/MaxiM</f>
        <v>5.6892328103966949E-3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'2023'!Wh/'2023'!Env_an*'2024'!Env_an</f>
        <v>3.8371428470667226</v>
      </c>
      <c r="C32" s="829"/>
      <c r="D32" s="391">
        <f t="shared" si="0"/>
        <v>3.9739540368083346</v>
      </c>
      <c r="E32" s="383">
        <f t="shared" si="1"/>
        <v>4.179562062656446</v>
      </c>
      <c r="F32" s="383">
        <f t="shared" si="2"/>
        <v>4.179562062656446</v>
      </c>
      <c r="G32" s="110">
        <f t="shared" si="21"/>
        <v>0.14429033765449906</v>
      </c>
      <c r="H32" s="412" t="b">
        <f>Wh_hp&gt;='2023'!Maxi_hp</f>
        <v>0</v>
      </c>
      <c r="I32" s="388">
        <f>IF(H32,Wh_hp,'2023'!Maxi_hp)</f>
        <v>29.066008249734857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3.4426968322837315E-2</v>
      </c>
      <c r="M32" s="832"/>
      <c r="N32" s="832"/>
      <c r="O32" s="48">
        <f>IF(t&lt;Tnet,'2023'!Resal+('2023'!Salim-'2023'!Resal)*(1-EXP(('2023'!Tnet-t)/('2023'!Tau_j))),Resal+(Salim-Resal)*(1-EXP((Tnet-t)/(Tau_j))))*Salcycl</f>
        <v>4.9193676936915967E-2</v>
      </c>
      <c r="P32" s="169">
        <f>(INDEX(Models!$BJ32:$BT32,,T32)*(1-R32)+INDEX(Models!$BJ32:$BT32,,T32+1)*R32-ERP_i)*Q32*Ramure*Pc/MaxiM</f>
        <v>5.5916814439487678E-3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26.444506462709935</v>
      </c>
      <c r="W32" s="400">
        <f t="shared" si="10"/>
        <v>3.8371428470667226</v>
      </c>
      <c r="X32" s="157">
        <f t="shared" si="11"/>
        <v>45309</v>
      </c>
      <c r="Y32" s="383">
        <f t="shared" si="12"/>
        <v>3.6672501689472923</v>
      </c>
      <c r="Z32" s="383">
        <f t="shared" si="22"/>
        <v>3.798003929933111</v>
      </c>
      <c r="AA32" s="384">
        <f t="shared" si="13"/>
        <v>4.179562062656446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9.1291414507869345E-2</v>
      </c>
      <c r="AD32" s="230">
        <f>(INDEX(Models!$BJ32:$BT32,,AH32)*(1-AF32)+INDEX(Models!$BJ32:$BT32,,AH32+1)*AF32-ERP_i)*AE32*Ramure*Pc/MaxiM</f>
        <v>5.5916814439487678E-3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'2023'!Wh/'2023'!Env_an*'2024'!Env_an</f>
        <v>10.470106736295403</v>
      </c>
      <c r="C33" s="829"/>
      <c r="D33" s="391">
        <f t="shared" si="0"/>
        <v>10.843620372413982</v>
      </c>
      <c r="E33" s="383">
        <f t="shared" si="1"/>
        <v>11.405204096421059</v>
      </c>
      <c r="F33" s="383">
        <f t="shared" si="2"/>
        <v>11.413423698207318</v>
      </c>
      <c r="G33" s="110">
        <f t="shared" si="21"/>
        <v>0.38987771038779184</v>
      </c>
      <c r="H33" s="412" t="b">
        <f>Wh_hp&gt;='2023'!Maxi_hp</f>
        <v>0</v>
      </c>
      <c r="I33" s="388">
        <f>IF(H33,Wh_hp,'2023'!Maxi_hp)</f>
        <v>30.468754573897851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3.444547330970682E-2</v>
      </c>
      <c r="M33" s="832"/>
      <c r="N33" s="832"/>
      <c r="O33" s="48">
        <f>IF(t&lt;Tnet,'2023'!Resal+('2023'!Salim-'2023'!Resal)*(1-EXP(('2023'!Tnet-t)/('2023'!Tau_j))),Resal+(Salim-Resal)*(1-EXP((Tnet-t)/(Tau_j))))*Salcycl</f>
        <v>4.9239252472763867E-2</v>
      </c>
      <c r="P33" s="169">
        <f>(INDEX(Models!$BJ33:$BT33,,T33)*(1-R33)+INDEX(Models!$BJ33:$BT33,,T33+1)*R33-ERP_i)*Q33*Ramure*Pc/MaxiM</f>
        <v>5.494518176319599E-3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26.726541411977177</v>
      </c>
      <c r="W33" s="400">
        <f t="shared" si="10"/>
        <v>10.470106736295403</v>
      </c>
      <c r="X33" s="157">
        <f t="shared" si="11"/>
        <v>45310</v>
      </c>
      <c r="Y33" s="383">
        <f t="shared" si="12"/>
        <v>10.006942676466899</v>
      </c>
      <c r="Z33" s="383">
        <f t="shared" si="22"/>
        <v>10.363933263063329</v>
      </c>
      <c r="AA33" s="384">
        <f t="shared" si="13"/>
        <v>11.405204096421059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9.1297869337075746E-2</v>
      </c>
      <c r="AD33" s="230">
        <f>(INDEX(Models!$BJ33:$BT33,,AH33)*(1-AF33)+INDEX(Models!$BJ33:$BT33,,AH33+1)*AF33-ERP_i)*AE33*Ramure*Pc/MaxiM</f>
        <v>5.494518176319599E-3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'2023'!Wh/'2023'!Env_an*'2024'!Env_an</f>
        <v>6.5571360543575024</v>
      </c>
      <c r="C34" s="829"/>
      <c r="D34" s="391">
        <f t="shared" si="0"/>
        <v>6.7911873866505568</v>
      </c>
      <c r="E34" s="383">
        <f t="shared" si="1"/>
        <v>7.1432409391998863</v>
      </c>
      <c r="F34" s="383">
        <f t="shared" si="2"/>
        <v>7.1432409391998863</v>
      </c>
      <c r="G34" s="110">
        <f t="shared" si="21"/>
        <v>0.24143481505919259</v>
      </c>
      <c r="H34" s="412" t="b">
        <f>Wh_hp&gt;='2023'!Maxi_hp</f>
        <v>0</v>
      </c>
      <c r="I34" s="388">
        <f>IF(H34,Wh_hp,'2023'!Maxi_hp)</f>
        <v>12.26188245483894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3.4463977941932455E-2</v>
      </c>
      <c r="M34" s="832"/>
      <c r="N34" s="832"/>
      <c r="O34" s="48">
        <f>IF(t&lt;Tnet,'2023'!Resal+('2023'!Salim-'2023'!Resal)*(1-EXP(('2023'!Tnet-t)/('2023'!Tau_j))),Resal+(Salim-Resal)*(1-EXP((Tnet-t)/(Tau_j))))*Salcycl</f>
        <v>4.9284849208623124E-2</v>
      </c>
      <c r="P34" s="169">
        <f>(INDEX(Models!$BJ34:$BT34,,T34)*(1-R34)+INDEX(Models!$BJ34:$BT34,,T34+1)*R34-ERP_i)*Q34*Ramure*Pc/MaxiM</f>
        <v>5.3979588914032832E-3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27.012429429002633</v>
      </c>
      <c r="W34" s="400">
        <f t="shared" si="10"/>
        <v>6.5571360543575024</v>
      </c>
      <c r="X34" s="157">
        <f t="shared" si="11"/>
        <v>45311</v>
      </c>
      <c r="Y34" s="383">
        <f t="shared" si="12"/>
        <v>6.2673245844437213</v>
      </c>
      <c r="Z34" s="383">
        <f t="shared" si="22"/>
        <v>6.4910313455574036</v>
      </c>
      <c r="AA34" s="384">
        <f t="shared" si="13"/>
        <v>7.1432409391998863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9.130443718667805E-2</v>
      </c>
      <c r="AD34" s="230">
        <f>(INDEX(Models!$BJ34:$BT34,,AH34)*(1-AF34)+INDEX(Models!$BJ34:$BT34,,AH34+1)*AF34-ERP_i)*AE34*Ramure*Pc/MaxiM</f>
        <v>5.3979588914032832E-3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'2023'!Wh/'2023'!Env_an*'2024'!Env_an</f>
        <v>20.907003102212354</v>
      </c>
      <c r="C35" s="829"/>
      <c r="D35" s="391">
        <f t="shared" si="0"/>
        <v>21.653675585579371</v>
      </c>
      <c r="E35" s="383">
        <f t="shared" si="1"/>
        <v>22.777290000602616</v>
      </c>
      <c r="F35" s="383">
        <f t="shared" si="2"/>
        <v>22.857935814160257</v>
      </c>
      <c r="G35" s="110">
        <f t="shared" si="21"/>
        <v>0.76442193225796407</v>
      </c>
      <c r="H35" s="412" t="b">
        <f>Wh_hp&gt;='2023'!Maxi_hp</f>
        <v>0</v>
      </c>
      <c r="I35" s="388">
        <f>IF(H35,Wh_hp,'2023'!Maxi_hp)</f>
        <v>22.880726638611495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3.4482482219520993E-2</v>
      </c>
      <c r="M35" s="832"/>
      <c r="N35" s="832"/>
      <c r="O35" s="48">
        <f>IF(t&lt;Tnet,'2023'!Resal+('2023'!Salim-'2023'!Resal)*(1-EXP(('2023'!Tnet-t)/('2023'!Tau_j))),Resal+(Salim-Resal)*(1-EXP((Tnet-t)/(Tau_j))))*Salcycl</f>
        <v>4.9330469735140402E-2</v>
      </c>
      <c r="P35" s="169">
        <f>(INDEX(Models!$BJ35:$BT35,,T35)*(1-R35)+INDEX(Models!$BJ35:$BT35,,T35+1)*R35-ERP_i)*Q35*Ramure*Pc/MaxiM</f>
        <v>5.3022118265228062E-3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27.301389721778321</v>
      </c>
      <c r="W35" s="400">
        <f t="shared" si="10"/>
        <v>20.907003102212354</v>
      </c>
      <c r="X35" s="157">
        <f t="shared" si="11"/>
        <v>45312</v>
      </c>
      <c r="Y35" s="383">
        <f t="shared" si="12"/>
        <v>19.983769939545855</v>
      </c>
      <c r="Z35" s="383">
        <f t="shared" si="22"/>
        <v>20.697470083695968</v>
      </c>
      <c r="AA35" s="384">
        <f t="shared" si="13"/>
        <v>22.777290000602616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9.1311122475571924E-2</v>
      </c>
      <c r="AD35" s="230">
        <f>(INDEX(Models!$BJ35:$BT35,,AH35)*(1-AF35)+INDEX(Models!$BJ35:$BT35,,AH35+1)*AF35-ERP_i)*AE35*Ramure*Pc/MaxiM</f>
        <v>5.3022118265228062E-3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'2023'!Wh/'2023'!Env_an*'2024'!Env_an</f>
        <v>27.908909416006743</v>
      </c>
      <c r="C36" s="829"/>
      <c r="D36" s="391">
        <f t="shared" si="0"/>
        <v>28.906201886732614</v>
      </c>
      <c r="E36" s="383">
        <f t="shared" si="1"/>
        <v>30.40761166528921</v>
      </c>
      <c r="F36" s="383">
        <f t="shared" si="2"/>
        <v>30.566788013971934</v>
      </c>
      <c r="G36" s="110">
        <f t="shared" si="21"/>
        <v>1.011462059241816</v>
      </c>
      <c r="H36" s="412" t="b">
        <f>Wh_hp&gt;='2023'!Maxi_hp</f>
        <v>1</v>
      </c>
      <c r="I36" s="388">
        <f>IF(H36,Wh_hp,'2023'!Maxi_hp)</f>
        <v>30.566788013971934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3.4500986142479317E-2</v>
      </c>
      <c r="M36" s="832"/>
      <c r="N36" s="832"/>
      <c r="O36" s="48">
        <f>IF(t&lt;Tnet,'2023'!Resal+('2023'!Salim-'2023'!Resal)*(1-EXP(('2023'!Tnet-t)/('2023'!Tau_j))),Resal+(Salim-Resal)*(1-EXP((Tnet-t)/(Tau_j))))*Salcycl</f>
        <v>4.9376116581707076E-2</v>
      </c>
      <c r="P36" s="169">
        <f>(INDEX(Models!$BJ36:$BT36,,T36)*(1-R36)+INDEX(Models!$BJ36:$BT36,,T36+1)*R36-ERP_i)*Q36*Ramure*Pc/MaxiM</f>
        <v>5.2074934602210866E-3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27.592640931017268</v>
      </c>
      <c r="W36" s="400">
        <f t="shared" si="10"/>
        <v>27.908909416006743</v>
      </c>
      <c r="X36" s="157">
        <f t="shared" si="11"/>
        <v>45313</v>
      </c>
      <c r="Y36" s="383">
        <f t="shared" si="12"/>
        <v>26.677559901481825</v>
      </c>
      <c r="Z36" s="383">
        <f t="shared" si="22"/>
        <v>27.630851527124033</v>
      </c>
      <c r="AA36" s="384">
        <f t="shared" si="13"/>
        <v>30.40761166528921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9.1317929495097233E-2</v>
      </c>
      <c r="AD36" s="230">
        <f>(INDEX(Models!$BJ36:$BT36,,AH36)*(1-AF36)+INDEX(Models!$BJ36:$BT36,,AH36+1)*AF36-ERP_i)*AE36*Ramure*Pc/MaxiM</f>
        <v>5.2074934602210866E-3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'2023'!Wh/'2023'!Env_an*'2024'!Env_an</f>
        <v>28.033747452759648</v>
      </c>
      <c r="C37" s="829"/>
      <c r="D37" s="391">
        <f t="shared" si="0"/>
        <v>29.03605733518415</v>
      </c>
      <c r="E37" s="383">
        <f t="shared" si="1"/>
        <v>30.545679560977224</v>
      </c>
      <c r="F37" s="383">
        <f t="shared" si="2"/>
        <v>30.702667936607373</v>
      </c>
      <c r="G37" s="110">
        <f t="shared" si="21"/>
        <v>1.0051787273423884</v>
      </c>
      <c r="H37" s="412" t="b">
        <f>Wh_hp&gt;='2023'!Maxi_hp</f>
        <v>1</v>
      </c>
      <c r="I37" s="388">
        <f>IF(H37,Wh_hp,'2023'!Maxi_hp)</f>
        <v>30.702667936607373</v>
      </c>
      <c r="J37" s="85">
        <f>IF(H37,An,'2023'!An_max)</f>
        <v>2024</v>
      </c>
      <c r="K37" s="197">
        <f t="shared" si="3"/>
        <v>45314</v>
      </c>
      <c r="L37" s="147">
        <f>IF(t&lt;Tvie,1-EXP((T0-t)*PertePVj)+'2023'!Pspv,1-EXP((T0-t)*PertePVj)+Pspv)</f>
        <v>3.45194897108142E-2</v>
      </c>
      <c r="M37" s="832"/>
      <c r="N37" s="832"/>
      <c r="O37" s="48">
        <f>IF(t&lt;Tnet,'2023'!Resal+('2023'!Salim-'2023'!Resal)*(1-EXP(('2023'!Tnet-t)/('2023'!Tau_j))),Resal+(Salim-Resal)*(1-EXP((Tnet-t)/(Tau_j))))*Salcycl</f>
        <v>4.9421792131992721E-2</v>
      </c>
      <c r="P37" s="169">
        <f>(INDEX(Models!$BJ37:$BT37,,T37)*(1-R37)+INDEX(Models!$BJ37:$BT37,,T37+1)*R37-ERP_i)*Q37*Ramure*Pc/MaxiM</f>
        <v>5.1131835172853963E-3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27.889316287938779</v>
      </c>
      <c r="W37" s="400">
        <f t="shared" si="10"/>
        <v>28.033747452759648</v>
      </c>
      <c r="X37" s="157">
        <f t="shared" si="11"/>
        <v>45314</v>
      </c>
      <c r="Y37" s="383">
        <f t="shared" si="12"/>
        <v>26.797973188675403</v>
      </c>
      <c r="Z37" s="383">
        <f t="shared" si="22"/>
        <v>27.756099582630345</v>
      </c>
      <c r="AA37" s="384">
        <f t="shared" si="13"/>
        <v>30.545679560977224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9.1324862253535408E-2</v>
      </c>
      <c r="AD37" s="230">
        <f>(INDEX(Models!$BJ37:$BT37,,AH37)*(1-AF37)+INDEX(Models!$BJ37:$BT37,,AH37+1)*AF37-ERP_i)*AE37*Ramure*Pc/MaxiM</f>
        <v>5.1131835172853963E-3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'2023'!Wh/'2023'!Env_an*'2024'!Env_an</f>
        <v>28.5785398663105</v>
      </c>
      <c r="C38" s="829"/>
      <c r="D38" s="391">
        <f t="shared" si="0"/>
        <v>29.600895381558594</v>
      </c>
      <c r="E38" s="383">
        <f t="shared" si="1"/>
        <v>31.141381632170667</v>
      </c>
      <c r="F38" s="383">
        <f t="shared" si="2"/>
        <v>31.298408115461406</v>
      </c>
      <c r="G38" s="110">
        <f t="shared" si="21"/>
        <v>1.013620723408297</v>
      </c>
      <c r="H38" s="412" t="b">
        <f>Wh_hp&gt;='2023'!Maxi_hp</f>
        <v>1</v>
      </c>
      <c r="I38" s="388">
        <f>IF(H38,Wh_hp,'2023'!Maxi_hp)</f>
        <v>31.298408115461406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3.4537992924532412E-2</v>
      </c>
      <c r="M38" s="832"/>
      <c r="N38" s="832"/>
      <c r="O38" s="48">
        <f>IF(t&lt;Tnet,'2023'!Resal+('2023'!Salim-'2023'!Resal)*(1-EXP(('2023'!Tnet-t)/('2023'!Tau_j))),Resal+(Salim-Resal)*(1-EXP((Tnet-t)/(Tau_j))))*Salcycl</f>
        <v>4.9467498546071909E-2</v>
      </c>
      <c r="P38" s="169">
        <f>(INDEX(Models!$BJ38:$BT38,,T38)*(1-R38)+INDEX(Models!$BJ38:$BT38,,T38+1)*R38-ERP_i)*Q38*Ramure*Pc/MaxiM</f>
        <v>5.0170757155271282E-3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28.19451024068967</v>
      </c>
      <c r="W38" s="400">
        <f t="shared" si="10"/>
        <v>28.5785398663105</v>
      </c>
      <c r="X38" s="157">
        <f t="shared" si="11"/>
        <v>45315</v>
      </c>
      <c r="Y38" s="383">
        <f t="shared" si="12"/>
        <v>27.319851542115249</v>
      </c>
      <c r="Z38" s="383">
        <f t="shared" si="22"/>
        <v>28.297179321298479</v>
      </c>
      <c r="AA38" s="384">
        <f t="shared" si="13"/>
        <v>31.141381632170667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9.133192433356839E-2</v>
      </c>
      <c r="AD38" s="230">
        <f>(INDEX(Models!$BJ38:$BT38,,AH38)*(1-AF38)+INDEX(Models!$BJ38:$BT38,,AH38+1)*AF38-ERP_i)*AE38*Ramure*Pc/MaxiM</f>
        <v>5.0170757155271282E-3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'2023'!Wh/'2023'!Env_an*'2024'!Env_an</f>
        <v>27.635490689142568</v>
      </c>
      <c r="C39" s="829"/>
      <c r="D39" s="391">
        <f t="shared" si="0"/>
        <v>28.624658582766081</v>
      </c>
      <c r="E39" s="383">
        <f t="shared" si="1"/>
        <v>30.115788791412406</v>
      </c>
      <c r="F39" s="383">
        <f t="shared" si="2"/>
        <v>30.258005333602789</v>
      </c>
      <c r="G39" s="110">
        <f t="shared" si="21"/>
        <v>0.96920390630731146</v>
      </c>
      <c r="H39" s="412" t="b">
        <f>Wh_hp&gt;='2023'!Maxi_hp</f>
        <v>0</v>
      </c>
      <c r="I39" s="388">
        <f>IF(H39,Wh_hp,'2023'!Maxi_hp)</f>
        <v>30.261651120262506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3.4556495783640728E-2</v>
      </c>
      <c r="M39" s="832"/>
      <c r="N39" s="832"/>
      <c r="O39" s="48">
        <f>IF(t&lt;Tnet,'2023'!Resal+('2023'!Salim-'2023'!Resal)*(1-EXP(('2023'!Tnet-t)/('2023'!Tau_j))),Resal+(Salim-Resal)*(1-EXP((Tnet-t)/(Tau_j))))*Salcycl</f>
        <v>4.9513237689843344E-2</v>
      </c>
      <c r="P39" s="169">
        <f>(INDEX(Models!$BJ39:$BT39,,T39)*(1-R39)+INDEX(Models!$BJ39:$BT39,,T39+1)*R39-ERP_i)*Q39*Ramure*Pc/MaxiM</f>
        <v>4.914888460152019E-3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28.507445659326041</v>
      </c>
      <c r="W39" s="400">
        <f t="shared" si="10"/>
        <v>27.635490689142568</v>
      </c>
      <c r="X39" s="157">
        <f t="shared" si="11"/>
        <v>45316</v>
      </c>
      <c r="Y39" s="383">
        <f t="shared" si="12"/>
        <v>26.419399321201631</v>
      </c>
      <c r="Z39" s="383">
        <f t="shared" si="22"/>
        <v>27.3650391823248</v>
      </c>
      <c r="AA39" s="384">
        <f t="shared" si="13"/>
        <v>30.115788791412406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9.1339118763908697E-2</v>
      </c>
      <c r="AD39" s="230">
        <f>(INDEX(Models!$BJ39:$BT39,,AH39)*(1-AF39)+INDEX(Models!$BJ39:$BT39,,AH39+1)*AF39-ERP_i)*AE39*Ramure*Pc/MaxiM</f>
        <v>4.914888460152019E-3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'2023'!Wh/'2023'!Env_an*'2024'!Env_an</f>
        <v>28.309356038848815</v>
      </c>
      <c r="C40" s="829"/>
      <c r="D40" s="391">
        <f t="shared" si="0"/>
        <v>29.323205830232038</v>
      </c>
      <c r="E40" s="383">
        <f t="shared" si="1"/>
        <v>30.852210891405708</v>
      </c>
      <c r="F40" s="383">
        <f t="shared" si="2"/>
        <v>30.997393211904409</v>
      </c>
      <c r="G40" s="110">
        <f t="shared" si="21"/>
        <v>0.9819140720457159</v>
      </c>
      <c r="H40" s="412" t="b">
        <f>Wh_hp&gt;='2023'!Maxi_hp</f>
        <v>0</v>
      </c>
      <c r="I40" s="388">
        <f>IF(H40,Wh_hp,'2023'!Maxi_hp)</f>
        <v>30.999537323642969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3.4574998288145919E-2</v>
      </c>
      <c r="M40" s="832"/>
      <c r="N40" s="832"/>
      <c r="O40" s="48">
        <f>IF(t&lt;Tnet,'2023'!Resal+('2023'!Salim-'2023'!Resal)*(1-EXP(('2023'!Tnet-t)/('2023'!Tau_j))),Resal+(Salim-Resal)*(1-EXP((Tnet-t)/(Tau_j))))*Salcycl</f>
        <v>4.9559011072350591E-2</v>
      </c>
      <c r="P40" s="169">
        <f>(INDEX(Models!$BJ40:$BT40,,T40)*(1-R40)+INDEX(Models!$BJ40:$BT40,,T40+1)*R40-ERP_i)*Q40*Ramure*Pc/MaxiM</f>
        <v>4.8070588165884031E-3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28.827214159117236</v>
      </c>
      <c r="W40" s="400">
        <f t="shared" si="10"/>
        <v>28.309356038848815</v>
      </c>
      <c r="X40" s="157">
        <f t="shared" si="11"/>
        <v>45317</v>
      </c>
      <c r="Y40" s="383">
        <f t="shared" si="12"/>
        <v>27.064696516521938</v>
      </c>
      <c r="Z40" s="383">
        <f t="shared" si="22"/>
        <v>28.033971016424758</v>
      </c>
      <c r="AA40" s="384">
        <f t="shared" si="13"/>
        <v>30.852210891405708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9.1346447906137176E-2</v>
      </c>
      <c r="AD40" s="230">
        <f>(INDEX(Models!$BJ40:$BT40,,AH40)*(1-AF40)+INDEX(Models!$BJ40:$BT40,,AH40+1)*AF40-ERP_i)*AE40*Ramure*Pc/MaxiM</f>
        <v>4.8070588165884031E-3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'2023'!Wh/'2023'!Env_an*'2024'!Env_an</f>
        <v>27.052815326863588</v>
      </c>
      <c r="C41" s="829"/>
      <c r="D41" s="391">
        <f t="shared" si="0"/>
        <v>28.022201361953595</v>
      </c>
      <c r="E41" s="383">
        <f t="shared" si="1"/>
        <v>29.48478900724913</v>
      </c>
      <c r="F41" s="383">
        <f t="shared" si="2"/>
        <v>29.609472653272412</v>
      </c>
      <c r="G41" s="110">
        <f t="shared" si="21"/>
        <v>0.92751269423313543</v>
      </c>
      <c r="H41" s="412" t="b">
        <f>Wh_hp&gt;='2023'!Maxi_hp</f>
        <v>0</v>
      </c>
      <c r="I41" s="388">
        <f>IF(H41,Wh_hp,'2023'!Maxi_hp)</f>
        <v>29.617485688648788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3.459350043805498E-2</v>
      </c>
      <c r="M41" s="832"/>
      <c r="N41" s="832"/>
      <c r="O41" s="48">
        <f>IF(t&lt;Tnet,'2023'!Resal+('2023'!Salim-'2023'!Resal)*(1-EXP(('2023'!Tnet-t)/('2023'!Tau_j))),Resal+(Salim-Resal)*(1-EXP((Tnet-t)/(Tau_j))))*Salcycl</f>
        <v>4.9604819791518387E-2</v>
      </c>
      <c r="P41" s="169">
        <f>(INDEX(Models!$BJ41:$BT41,,T41)*(1-R41)+INDEX(Models!$BJ41:$BT41,,T41+1)*R41-ERP_i)*Q41*Ramure*Pc/MaxiM</f>
        <v>4.6939980815250389E-3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29.152907654082156</v>
      </c>
      <c r="W41" s="400">
        <f t="shared" si="10"/>
        <v>27.052815326863588</v>
      </c>
      <c r="X41" s="157">
        <f t="shared" si="11"/>
        <v>45318</v>
      </c>
      <c r="Y41" s="383">
        <f t="shared" si="12"/>
        <v>25.864435438342383</v>
      </c>
      <c r="Z41" s="383">
        <f t="shared" si="22"/>
        <v>26.791238146913678</v>
      </c>
      <c r="AA41" s="384">
        <f t="shared" si="13"/>
        <v>29.48478900724913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9.1353913357603386E-2</v>
      </c>
      <c r="AD41" s="230">
        <f>(INDEX(Models!$BJ41:$BT41,,AH41)*(1-AF41)+INDEX(Models!$BJ41:$BT41,,AH41+1)*AF41-ERP_i)*AE41*Ramure*Pc/MaxiM</f>
        <v>4.6939980815250389E-3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'2023'!Wh/'2023'!Env_an*'2024'!Env_an</f>
        <v>4.2755114080027123</v>
      </c>
      <c r="C42" s="829"/>
      <c r="D42" s="391">
        <f t="shared" si="0"/>
        <v>4.4288010809062097</v>
      </c>
      <c r="E42" s="383">
        <f t="shared" si="1"/>
        <v>4.6601822250168219</v>
      </c>
      <c r="F42" s="383">
        <f t="shared" si="2"/>
        <v>4.6601822250168219</v>
      </c>
      <c r="G42" s="110">
        <f t="shared" si="21"/>
        <v>0.14434952411890975</v>
      </c>
      <c r="H42" s="412" t="b">
        <f>Wh_hp&gt;='2023'!Maxi_hp</f>
        <v>0</v>
      </c>
      <c r="I42" s="388">
        <f>IF(H42,Wh_hp,'2023'!Maxi_hp)</f>
        <v>18.471919028830147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3.4612002233374461E-2</v>
      </c>
      <c r="M42" s="832"/>
      <c r="N42" s="832"/>
      <c r="O42" s="48">
        <f>IF(t&lt;Tnet,'2023'!Resal+('2023'!Salim-'2023'!Resal)*(1-EXP(('2023'!Tnet-t)/('2023'!Tau_j))),Resal+(Salim-Resal)*(1-EXP((Tnet-t)/(Tau_j))))*Salcycl</f>
        <v>4.9650664488721144E-2</v>
      </c>
      <c r="P42" s="169">
        <f>(INDEX(Models!$BJ42:$BT42,,T42)*(1-R42)+INDEX(Models!$BJ42:$BT42,,T42+1)*R42-ERP_i)*Q42*Ramure*Pc/MaxiM</f>
        <v>4.5760905012049088E-3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29.483618368945013</v>
      </c>
      <c r="W42" s="400">
        <f t="shared" si="10"/>
        <v>4.2755114080027123</v>
      </c>
      <c r="X42" s="157">
        <f t="shared" si="11"/>
        <v>45319</v>
      </c>
      <c r="Y42" s="383">
        <f t="shared" si="12"/>
        <v>4.0878591266163697</v>
      </c>
      <c r="Z42" s="383">
        <f t="shared" si="22"/>
        <v>4.2344209127039258</v>
      </c>
      <c r="AA42" s="384">
        <f t="shared" si="13"/>
        <v>4.6601822250168219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9.1361515871057924E-2</v>
      </c>
      <c r="AD42" s="230">
        <f>(INDEX(Models!$BJ42:$BT42,,AH42)*(1-AF42)+INDEX(Models!$BJ42:$BT42,,AH42+1)*AF42-ERP_i)*AE42*Ramure*Pc/MaxiM</f>
        <v>4.5760905012049088E-3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'2023'!Wh/'2023'!Env_an*'2024'!Env_an</f>
        <v>9.0246571279866235</v>
      </c>
      <c r="C43" s="829"/>
      <c r="D43" s="391">
        <f t="shared" si="0"/>
        <v>9.3483968183515991</v>
      </c>
      <c r="E43" s="383">
        <f t="shared" si="1"/>
        <v>9.8372754221184451</v>
      </c>
      <c r="F43" s="383">
        <f t="shared" si="2"/>
        <v>9.8374415091734839</v>
      </c>
      <c r="G43" s="110">
        <f t="shared" si="21"/>
        <v>0.30131073657901691</v>
      </c>
      <c r="H43" s="412" t="b">
        <f>Wh_hp&gt;='2023'!Maxi_hp</f>
        <v>0</v>
      </c>
      <c r="I43" s="388">
        <f>IF(H43,Wh_hp,'2023'!Maxi_hp)</f>
        <v>19.775703807846384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3.4630503674111246E-2</v>
      </c>
      <c r="M43" s="832"/>
      <c r="N43" s="832"/>
      <c r="O43" s="48">
        <f>IF(t&lt;Tnet,'2023'!Resal+('2023'!Salim-'2023'!Resal)*(1-EXP(('2023'!Tnet-t)/('2023'!Tau_j))),Resal+(Salim-Resal)*(1-EXP((Tnet-t)/(Tau_j))))*Salcycl</f>
        <v>4.9696545312499424E-2</v>
      </c>
      <c r="P43" s="169">
        <f>(INDEX(Models!$BJ43:$BT43,,T43)*(1-R43)+INDEX(Models!$BJ43:$BT43,,T43+1)*R43-ERP_i)*Q43*Ramure*Pc/MaxiM</f>
        <v>4.453692434813996E-3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29.818438836540402</v>
      </c>
      <c r="W43" s="400">
        <f t="shared" si="10"/>
        <v>9.0246571279866235</v>
      </c>
      <c r="X43" s="157">
        <f t="shared" si="11"/>
        <v>45320</v>
      </c>
      <c r="Y43" s="383">
        <f t="shared" si="12"/>
        <v>8.6289078362215434</v>
      </c>
      <c r="Z43" s="383">
        <f t="shared" si="22"/>
        <v>8.9384508927021269</v>
      </c>
      <c r="AA43" s="384">
        <f t="shared" si="13"/>
        <v>9.8372754221184451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9.136925529149785E-2</v>
      </c>
      <c r="AD43" s="230">
        <f>(INDEX(Models!$BJ43:$BT43,,AH43)*(1-AF43)+INDEX(Models!$BJ43:$BT43,,AH43+1)*AF43-ERP_i)*AE43*Ramure*Pc/MaxiM</f>
        <v>4.453692434813996E-3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'2023'!Wh/'2023'!Env_an*'2024'!Env_an</f>
        <v>4.6609057939251635</v>
      </c>
      <c r="C44" s="829"/>
      <c r="D44" s="391">
        <f t="shared" si="0"/>
        <v>4.8281980511841809</v>
      </c>
      <c r="E44" s="383">
        <f t="shared" si="1"/>
        <v>5.0809363331076307</v>
      </c>
      <c r="F44" s="383">
        <f t="shared" si="2"/>
        <v>5.0809363331076307</v>
      </c>
      <c r="G44" s="110">
        <f t="shared" si="21"/>
        <v>0.15388865756396941</v>
      </c>
      <c r="H44" s="412" t="b">
        <f>Wh_hp&gt;='2023'!Maxi_hp</f>
        <v>0</v>
      </c>
      <c r="I44" s="388">
        <f>IF(H44,Wh_hp,'2023'!Maxi_hp)</f>
        <v>11.80160840972839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3.4649004760272106E-2</v>
      </c>
      <c r="M44" s="832"/>
      <c r="N44" s="832"/>
      <c r="O44" s="48">
        <f>IF(t&lt;Tnet,'2023'!Resal+('2023'!Salim-'2023'!Resal)*(1-EXP(('2023'!Tnet-t)/('2023'!Tau_j))),Resal+(Salim-Resal)*(1-EXP((Tnet-t)/(Tau_j))))*Salcycl</f>
        <v>4.9742461891638876E-2</v>
      </c>
      <c r="P44" s="169">
        <f>(INDEX(Models!$BJ44:$BT44,,T44)*(1-R44)+INDEX(Models!$BJ44:$BT44,,T44+1)*R44-ERP_i)*Q44*Ramure*Pc/MaxiM</f>
        <v>4.3299485329409276E-3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30.156376598395475</v>
      </c>
      <c r="W44" s="400">
        <f t="shared" si="10"/>
        <v>4.6609057939251635</v>
      </c>
      <c r="X44" s="157">
        <f t="shared" si="11"/>
        <v>45321</v>
      </c>
      <c r="Y44" s="383">
        <f t="shared" si="12"/>
        <v>4.4566924513189292</v>
      </c>
      <c r="Z44" s="383">
        <f t="shared" si="22"/>
        <v>4.6166549506816308</v>
      </c>
      <c r="AA44" s="384">
        <f t="shared" si="13"/>
        <v>5.0809363331076307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9.1377130510516352E-2</v>
      </c>
      <c r="AD44" s="230">
        <f>(INDEX(Models!$BJ44:$BT44,,AH44)*(1-AF44)+INDEX(Models!$BJ44:$BT44,,AH44+1)*AF44-ERP_i)*AE44*Ramure*Pc/MaxiM</f>
        <v>4.3299485329409276E-3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'2023'!Wh/'2023'!Env_an*'2024'!Env_an</f>
        <v>7.7293052800177051</v>
      </c>
      <c r="C45" s="829"/>
      <c r="D45" s="391">
        <f t="shared" si="0"/>
        <v>8.0068839741647793</v>
      </c>
      <c r="E45" s="383">
        <f t="shared" si="1"/>
        <v>8.4264221636375982</v>
      </c>
      <c r="F45" s="383">
        <f t="shared" si="2"/>
        <v>8.4264221636375982</v>
      </c>
      <c r="G45" s="110">
        <f t="shared" si="21"/>
        <v>0.25238295484514661</v>
      </c>
      <c r="H45" s="412" t="b">
        <f>Wh_hp&gt;='2023'!Maxi_hp</f>
        <v>0</v>
      </c>
      <c r="I45" s="388">
        <f>IF(H45,Wh_hp,'2023'!Maxi_hp)</f>
        <v>23.12427848668732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3.4667505491863926E-2</v>
      </c>
      <c r="M45" s="832"/>
      <c r="N45" s="832"/>
      <c r="O45" s="48">
        <f>IF(t&lt;Tnet,'2023'!Resal+('2023'!Salim-'2023'!Resal)*(1-EXP(('2023'!Tnet-t)/('2023'!Tau_j))),Resal+(Salim-Resal)*(1-EXP((Tnet-t)/(Tau_j))))*Salcycl</f>
        <v>4.9788413317723948E-2</v>
      </c>
      <c r="P45" s="169">
        <f>(INDEX(Models!$BJ45:$BT45,,T45)*(1-R45)+INDEX(Models!$BJ45:$BT45,,T45+1)*R45-ERP_i)*Q45*Ramure*Pc/MaxiM</f>
        <v>4.209915676136558E-3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30.496376275791604</v>
      </c>
      <c r="W45" s="400">
        <f t="shared" si="10"/>
        <v>7.7293052800177051</v>
      </c>
      <c r="X45" s="157">
        <f t="shared" si="11"/>
        <v>45322</v>
      </c>
      <c r="Y45" s="383">
        <f t="shared" si="12"/>
        <v>7.39094506704925</v>
      </c>
      <c r="Z45" s="383">
        <f t="shared" si="22"/>
        <v>7.6563723992479336</v>
      </c>
      <c r="AA45" s="384">
        <f t="shared" si="13"/>
        <v>8.4264221636375982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9.1385139438259794E-2</v>
      </c>
      <c r="AD45" s="230">
        <f>(INDEX(Models!$BJ45:$BT45,,AH45)*(1-AF45)+INDEX(Models!$BJ45:$BT45,,AH45+1)*AF45-ERP_i)*AE45*Ramure*Pc/MaxiM</f>
        <v>4.209915676136558E-3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'2023'!Wh/'2023'!Env_an*'2024'!Env_an</f>
        <v>12.82717029508702</v>
      </c>
      <c r="C46" s="829"/>
      <c r="D46" s="391">
        <f t="shared" si="0"/>
        <v>13.288080741679236</v>
      </c>
      <c r="E46" s="383">
        <f t="shared" si="1"/>
        <v>13.985015575840299</v>
      </c>
      <c r="F46" s="383">
        <f t="shared" si="2"/>
        <v>13.994505737509641</v>
      </c>
      <c r="G46" s="110">
        <f t="shared" si="21"/>
        <v>0.4145380335238445</v>
      </c>
      <c r="H46" s="412" t="b">
        <f>Wh_hp&gt;='2023'!Maxi_hp</f>
        <v>0</v>
      </c>
      <c r="I46" s="388">
        <f>IF(H46,Wh_hp,'2023'!Maxi_hp)</f>
        <v>14.021130827306354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3.4686005868893477E-2</v>
      </c>
      <c r="M46" s="832"/>
      <c r="N46" s="832"/>
      <c r="O46" s="48">
        <f>IF(t&lt;Tnet,'2023'!Resal+('2023'!Salim-'2023'!Resal)*(1-EXP(('2023'!Tnet-t)/('2023'!Tau_j))),Resal+(Salim-Resal)*(1-EXP((Tnet-t)/(Tau_j))))*Salcycl</f>
        <v>4.9834398137178118E-2</v>
      </c>
      <c r="P46" s="169">
        <f>(INDEX(Models!$BJ46:$BT46,,T46)*(1-R46)+INDEX(Models!$BJ46:$BT46,,T46+1)*R46-ERP_i)*Q46*Ramure*Pc/MaxiM</f>
        <v>4.0936150837785285E-3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30.837531383030033</v>
      </c>
      <c r="W46" s="400">
        <f t="shared" si="10"/>
        <v>12.82717029508702</v>
      </c>
      <c r="X46" s="157">
        <f t="shared" si="11"/>
        <v>45323</v>
      </c>
      <c r="Y46" s="383">
        <f t="shared" si="12"/>
        <v>12.26612826097783</v>
      </c>
      <c r="Z46" s="383">
        <f t="shared" si="22"/>
        <v>12.706879145597339</v>
      </c>
      <c r="AA46" s="384">
        <f t="shared" si="13"/>
        <v>13.985015575840299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9.1393278992909582E-2</v>
      </c>
      <c r="AD46" s="230">
        <f>(INDEX(Models!$BJ46:$BT46,,AH46)*(1-AF46)+INDEX(Models!$BJ46:$BT46,,AH46+1)*AF46-ERP_i)*AE46*Ramure*Pc/MaxiM</f>
        <v>4.0936150837785285E-3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'2023'!Wh/'2023'!Env_an*'2024'!Env_an</f>
        <v>5.4153339899297297</v>
      </c>
      <c r="C47" s="829"/>
      <c r="D47" s="391">
        <f t="shared" si="0"/>
        <v>5.6100272123722341</v>
      </c>
      <c r="E47" s="383">
        <f t="shared" si="1"/>
        <v>5.9045485401190172</v>
      </c>
      <c r="F47" s="383">
        <f t="shared" si="2"/>
        <v>5.9045485401190172</v>
      </c>
      <c r="G47" s="110">
        <f t="shared" si="21"/>
        <v>0.17299420712965421</v>
      </c>
      <c r="H47" s="412" t="b">
        <f>Wh_hp&gt;='2023'!Maxi_hp</f>
        <v>0</v>
      </c>
      <c r="I47" s="388">
        <f>IF(H47,Wh_hp,'2023'!Maxi_hp)</f>
        <v>29.977059055663016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3.4704505891367532E-2</v>
      </c>
      <c r="M47" s="832"/>
      <c r="N47" s="832"/>
      <c r="O47" s="48">
        <f>IF(t&lt;Tnet,'2023'!Resal+('2023'!Salim-'2023'!Resal)*(1-EXP(('2023'!Tnet-t)/('2023'!Tau_j))),Resal+(Salim-Resal)*(1-EXP((Tnet-t)/(Tau_j))))*Salcycl</f>
        <v>4.98804143527029E-2</v>
      </c>
      <c r="P47" s="169">
        <f>(INDEX(Models!$BJ47:$BT47,,T47)*(1-R47)+INDEX(Models!$BJ47:$BT47,,T47+1)*R47-ERP_i)*Q47*Ramure*Pc/MaxiM</f>
        <v>3.9810515813852847E-3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31.178935731315612</v>
      </c>
      <c r="W47" s="400">
        <f t="shared" si="10"/>
        <v>5.4153339899297297</v>
      </c>
      <c r="X47" s="157">
        <f t="shared" si="11"/>
        <v>45324</v>
      </c>
      <c r="Y47" s="383">
        <f t="shared" si="12"/>
        <v>5.1786787371878544</v>
      </c>
      <c r="Z47" s="383">
        <f t="shared" si="22"/>
        <v>5.3648636803903447</v>
      </c>
      <c r="AA47" s="384">
        <f t="shared" si="13"/>
        <v>5.9045485401190172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9.1401545107425722E-2</v>
      </c>
      <c r="AD47" s="230">
        <f>(INDEX(Models!$BJ47:$BT47,,AH47)*(1-AF47)+INDEX(Models!$BJ47:$BT47,,AH47+1)*AF47-ERP_i)*AE47*Ramure*Pc/MaxiM</f>
        <v>3.9810515813852847E-3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'2023'!Wh/'2023'!Env_an*'2024'!Env_an</f>
        <v>10.628577473141776</v>
      </c>
      <c r="C48" s="829"/>
      <c r="D48" s="391">
        <f t="shared" si="0"/>
        <v>11.01090933934471</v>
      </c>
      <c r="E48" s="383">
        <f t="shared" si="1"/>
        <v>11.589533724709607</v>
      </c>
      <c r="F48" s="383">
        <f t="shared" si="2"/>
        <v>11.591919402147132</v>
      </c>
      <c r="G48" s="110">
        <f t="shared" si="21"/>
        <v>0.33596786437489401</v>
      </c>
      <c r="H48" s="412" t="b">
        <f>Wh_hp&gt;='2023'!Maxi_hp</f>
        <v>0</v>
      </c>
      <c r="I48" s="388">
        <f>IF(H48,Wh_hp,'2023'!Maxi_hp)</f>
        <v>27.588451395254136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3.4723005559292752E-2</v>
      </c>
      <c r="M48" s="832"/>
      <c r="N48" s="832"/>
      <c r="O48" s="48">
        <f>IF(t&lt;Tnet,'2023'!Resal+('2023'!Salim-'2023'!Resal)*(1-EXP(('2023'!Tnet-t)/('2023'!Tau_j))),Resal+(Salim-Resal)*(1-EXP((Tnet-t)/(Tau_j))))*Salcycl</f>
        <v>4.9926459433931585E-2</v>
      </c>
      <c r="P48" s="169">
        <f>(INDEX(Models!$BJ48:$BT48,,T48)*(1-R48)+INDEX(Models!$BJ48:$BT48,,T48+1)*R48-ERP_i)*Q48*Ramure*Pc/MaxiM</f>
        <v>3.8722156508435605E-3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31.519683419234379</v>
      </c>
      <c r="W48" s="400">
        <f t="shared" si="10"/>
        <v>10.628577473141776</v>
      </c>
      <c r="X48" s="157">
        <f t="shared" si="11"/>
        <v>45325</v>
      </c>
      <c r="Y48" s="383">
        <f t="shared" si="12"/>
        <v>10.164497282291237</v>
      </c>
      <c r="Z48" s="383">
        <f t="shared" si="22"/>
        <v>10.530135226293945</v>
      </c>
      <c r="AA48" s="384">
        <f t="shared" si="13"/>
        <v>11.589533724709607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9.1409932753114848E-2</v>
      </c>
      <c r="AD48" s="230">
        <f>(INDEX(Models!$BJ48:$BT48,,AH48)*(1-AF48)+INDEX(Models!$BJ48:$BT48,,AH48+1)*AF48-ERP_i)*AE48*Ramure*Pc/MaxiM</f>
        <v>3.8722156508435605E-3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'2023'!Wh/'2023'!Env_an*'2024'!Env_an</f>
        <v>10.469075341654877</v>
      </c>
      <c r="C49" s="829"/>
      <c r="D49" s="391">
        <f t="shared" si="0"/>
        <v>10.845877445786103</v>
      </c>
      <c r="E49" s="383">
        <f t="shared" si="1"/>
        <v>11.416382991150423</v>
      </c>
      <c r="F49" s="383">
        <f t="shared" si="2"/>
        <v>11.418140868176833</v>
      </c>
      <c r="G49" s="110">
        <f t="shared" si="21"/>
        <v>0.32742039382997101</v>
      </c>
      <c r="H49" s="412" t="b">
        <f>Wh_hp&gt;='2023'!Maxi_hp</f>
        <v>0</v>
      </c>
      <c r="I49" s="388">
        <f>IF(H49,Wh_hp,'2023'!Maxi_hp)</f>
        <v>19.347515119040757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3.4741504872676132E-2</v>
      </c>
      <c r="M49" s="832"/>
      <c r="N49" s="832"/>
      <c r="O49" s="48">
        <f>IF(t&lt;Tnet,'2023'!Resal+('2023'!Salim-'2023'!Resal)*(1-EXP(('2023'!Tnet-t)/('2023'!Tau_j))),Resal+(Salim-Resal)*(1-EXP((Tnet-t)/(Tau_j))))*Salcycl</f>
        <v>4.997253033702146E-2</v>
      </c>
      <c r="P49" s="169">
        <f>(INDEX(Models!$BJ49:$BT49,,T49)*(1-R49)+INDEX(Models!$BJ49:$BT49,,T49+1)*R49-ERP_i)*Q49*Ramure*Pc/MaxiM</f>
        <v>3.7670853566589375E-3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31.858868834311654</v>
      </c>
      <c r="W49" s="400">
        <f t="shared" si="10"/>
        <v>10.469075341654877</v>
      </c>
      <c r="X49" s="157">
        <f t="shared" si="11"/>
        <v>45326</v>
      </c>
      <c r="Y49" s="383">
        <f t="shared" si="12"/>
        <v>10.01235138089687</v>
      </c>
      <c r="Z49" s="383">
        <f t="shared" si="22"/>
        <v>10.372715113557406</v>
      </c>
      <c r="AA49" s="384">
        <f t="shared" si="13"/>
        <v>11.416382991150423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9.1418435979419274E-2</v>
      </c>
      <c r="AD49" s="230">
        <f>(INDEX(Models!$BJ49:$BT49,,AH49)*(1-AF49)+INDEX(Models!$BJ49:$BT49,,AH49+1)*AF49-ERP_i)*AE49*Ramure*Pc/MaxiM</f>
        <v>3.7670853566589375E-3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'2023'!Wh/'2023'!Env_an*'2024'!Env_an</f>
        <v>9.1997883219776142</v>
      </c>
      <c r="C50" s="829"/>
      <c r="D50" s="391">
        <f t="shared" si="0"/>
        <v>9.5310890125732612</v>
      </c>
      <c r="E50" s="383">
        <f t="shared" si="1"/>
        <v>10.032921958973311</v>
      </c>
      <c r="F50" s="383">
        <f t="shared" si="2"/>
        <v>10.032921958973311</v>
      </c>
      <c r="G50" s="110">
        <f t="shared" si="21"/>
        <v>0.28469943471121406</v>
      </c>
      <c r="H50" s="412" t="b">
        <f>Wh_hp&gt;='2023'!Maxi_hp</f>
        <v>0</v>
      </c>
      <c r="I50" s="388">
        <f>IF(H50,Wh_hp,'2023'!Maxi_hp)</f>
        <v>35.681802082367859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3.4760003831524444E-2</v>
      </c>
      <c r="M50" s="832"/>
      <c r="N50" s="832"/>
      <c r="O50" s="48">
        <f>IF(t&lt;Tnet,'2023'!Resal+('2023'!Salim-'2023'!Resal)*(1-EXP(('2023'!Tnet-t)/('2023'!Tau_j))),Resal+(Salim-Resal)*(1-EXP((Tnet-t)/(Tau_j))))*Salcycl</f>
        <v>5.0018623532820002E-2</v>
      </c>
      <c r="P50" s="169">
        <f>(INDEX(Models!$BJ50:$BT50,,T50)*(1-R50)+INDEX(Models!$BJ50:$BT50,,T50+1)*R50-ERP_i)*Q50*Ramure*Pc/MaxiM</f>
        <v>3.6656281445041519E-3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32.195586648349781</v>
      </c>
      <c r="W50" s="400">
        <f t="shared" si="10"/>
        <v>9.1997883219776142</v>
      </c>
      <c r="X50" s="157">
        <f t="shared" si="11"/>
        <v>45327</v>
      </c>
      <c r="Y50" s="383">
        <f t="shared" si="12"/>
        <v>8.798781787536182</v>
      </c>
      <c r="Z50" s="383">
        <f t="shared" si="22"/>
        <v>9.1156415217593398</v>
      </c>
      <c r="AA50" s="384">
        <f t="shared" si="13"/>
        <v>10.032921958973311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9.1427047969167882E-2</v>
      </c>
      <c r="AD50" s="230">
        <f>(INDEX(Models!$BJ50:$BT50,,AH50)*(1-AF50)+INDEX(Models!$BJ50:$BT50,,AH50+1)*AF50-ERP_i)*AE50*Ramure*Pc/MaxiM</f>
        <v>3.6656281445041519E-3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'2023'!Wh/'2023'!Env_an*'2024'!Env_an</f>
        <v>21.434089499254569</v>
      </c>
      <c r="C51" s="829"/>
      <c r="D51" s="391">
        <f t="shared" si="0"/>
        <v>22.206394649669416</v>
      </c>
      <c r="E51" s="383">
        <f t="shared" si="1"/>
        <v>23.376745204504353</v>
      </c>
      <c r="F51" s="383">
        <f t="shared" si="2"/>
        <v>23.419579370982795</v>
      </c>
      <c r="G51" s="110">
        <f t="shared" si="21"/>
        <v>0.65772600314005725</v>
      </c>
      <c r="H51" s="412" t="b">
        <f>Wh_hp&gt;='2023'!Maxi_hp</f>
        <v>0</v>
      </c>
      <c r="I51" s="388">
        <f>IF(H51,Wh_hp,'2023'!Maxi_hp)</f>
        <v>37.076232391062831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3.477850243584435E-2</v>
      </c>
      <c r="M51" s="832"/>
      <c r="N51" s="832"/>
      <c r="O51" s="48">
        <f>IF(t&lt;Tnet,'2023'!Resal+('2023'!Salim-'2023'!Resal)*(1-EXP(('2023'!Tnet-t)/('2023'!Tau_j))),Resal+(Salim-Resal)*(1-EXP((Tnet-t)/(Tau_j))))*Salcycl</f>
        <v>5.0064735043158483E-2</v>
      </c>
      <c r="P51" s="169">
        <f>(INDEX(Models!$BJ51:$BT51,,T51)*(1-R51)+INDEX(Models!$BJ51:$BT51,,T51+1)*R51-ERP_i)*Q51*Ramure*Pc/MaxiM</f>
        <v>3.5675312096139894E-3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32.531414387777197</v>
      </c>
      <c r="W51" s="400">
        <f t="shared" si="10"/>
        <v>21.434089499254569</v>
      </c>
      <c r="X51" s="157">
        <f t="shared" si="11"/>
        <v>45328</v>
      </c>
      <c r="Y51" s="383">
        <f t="shared" si="12"/>
        <v>20.500604547100135</v>
      </c>
      <c r="Z51" s="383">
        <f t="shared" si="22"/>
        <v>21.239274714493721</v>
      </c>
      <c r="AA51" s="384">
        <f t="shared" si="13"/>
        <v>23.376745204504353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9.1435761108384472E-2</v>
      </c>
      <c r="AD51" s="230">
        <f>(INDEX(Models!$BJ51:$BT51,,AH51)*(1-AF51)+INDEX(Models!$BJ51:$BT51,,AH51+1)*AF51-ERP_i)*AE51*Ramure*Pc/MaxiM</f>
        <v>3.5675312096139894E-3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'2023'!Wh/'2023'!Env_an*'2024'!Env_an</f>
        <v>9.0337356232571455</v>
      </c>
      <c r="C52" s="829"/>
      <c r="D52" s="391">
        <f t="shared" si="0"/>
        <v>9.3594152004027755</v>
      </c>
      <c r="E52" s="383">
        <f t="shared" si="1"/>
        <v>9.8531658180438839</v>
      </c>
      <c r="F52" s="383">
        <f t="shared" si="2"/>
        <v>9.8531658180438839</v>
      </c>
      <c r="G52" s="110">
        <f t="shared" si="21"/>
        <v>0.27389067637999492</v>
      </c>
      <c r="H52" s="412" t="b">
        <f>Wh_hp&gt;='2023'!Maxi_hp</f>
        <v>0</v>
      </c>
      <c r="I52" s="388">
        <f>IF(H52,Wh_hp,'2023'!Maxi_hp)</f>
        <v>24.451684563184926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3.4797000685642732E-2</v>
      </c>
      <c r="M52" s="832"/>
      <c r="N52" s="832"/>
      <c r="O52" s="48">
        <f>IF(t&lt;Tnet,'2023'!Resal+('2023'!Salim-'2023'!Resal)*(1-EXP(('2023'!Tnet-t)/('2023'!Tau_j))),Resal+(Salim-Resal)*(1-EXP((Tnet-t)/(Tau_j))))*Salcycl</f>
        <v>5.0110860484750323E-2</v>
      </c>
      <c r="P52" s="169">
        <f>(INDEX(Models!$BJ52:$BT52,,T52)*(1-R52)+INDEX(Models!$BJ52:$BT52,,T52+1)*R52-ERP_i)*Q52*Ramure*Pc/MaxiM</f>
        <v>3.4709953334277118E-3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32.86851413874173</v>
      </c>
      <c r="W52" s="400">
        <f t="shared" si="10"/>
        <v>9.0337356232571455</v>
      </c>
      <c r="X52" s="157">
        <f t="shared" si="11"/>
        <v>45329</v>
      </c>
      <c r="Y52" s="383">
        <f t="shared" si="12"/>
        <v>8.640639458574686</v>
      </c>
      <c r="Z52" s="383">
        <f t="shared" si="22"/>
        <v>8.9521473355477141</v>
      </c>
      <c r="AA52" s="384">
        <f t="shared" si="13"/>
        <v>9.8531658180438839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9.1444567069616803E-2</v>
      </c>
      <c r="AD52" s="230">
        <f>(INDEX(Models!$BJ52:$BT52,,AH52)*(1-AF52)+INDEX(Models!$BJ52:$BT52,,AH52+1)*AF52-ERP_i)*AE52*Ramure*Pc/MaxiM</f>
        <v>3.4709953334277118E-3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'2023'!Wh/'2023'!Env_an*'2024'!Env_an</f>
        <v>33.504426513640979</v>
      </c>
      <c r="C53" s="829"/>
      <c r="D53" s="391">
        <f t="shared" si="0"/>
        <v>34.712976083205554</v>
      </c>
      <c r="E53" s="383">
        <f t="shared" si="1"/>
        <v>36.54601434643908</v>
      </c>
      <c r="F53" s="383">
        <f t="shared" si="2"/>
        <v>36.669864928426442</v>
      </c>
      <c r="G53" s="110">
        <f t="shared" si="21"/>
        <v>1.0089647411935272</v>
      </c>
      <c r="H53" s="412" t="b">
        <f>Wh_hp&gt;='2023'!Maxi_hp</f>
        <v>1</v>
      </c>
      <c r="I53" s="388">
        <f>IF(H53,Wh_hp,'2023'!Maxi_hp)</f>
        <v>36.669864928426442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3.4815498580926474E-2</v>
      </c>
      <c r="M53" s="832"/>
      <c r="N53" s="832"/>
      <c r="O53" s="48">
        <f>IF(t&lt;Tnet,'2023'!Resal+('2023'!Salim-'2023'!Resal)*(1-EXP(('2023'!Tnet-t)/('2023'!Tau_j))),Resal+(Salim-Resal)*(1-EXP((Tnet-t)/(Tau_j))))*Salcycl</f>
        <v>5.015699512010207E-2</v>
      </c>
      <c r="P53" s="169">
        <f>(INDEX(Models!$BJ53:$BT53,,T53)*(1-R53)+INDEX(Models!$BJ53:$BT53,,T53+1)*R53-ERP_i)*Q53*Ramure*Pc/MaxiM</f>
        <v>3.3774485460772714E-3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33.206736713126205</v>
      </c>
      <c r="W53" s="400">
        <f t="shared" si="10"/>
        <v>33.504426513640979</v>
      </c>
      <c r="X53" s="157">
        <f t="shared" si="11"/>
        <v>45330</v>
      </c>
      <c r="Y53" s="383">
        <f t="shared" si="12"/>
        <v>32.047749713237984</v>
      </c>
      <c r="Z53" s="383">
        <f t="shared" si="22"/>
        <v>33.203754998261381</v>
      </c>
      <c r="AA53" s="384">
        <f t="shared" si="13"/>
        <v>36.54601434643908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9.1453456907630182E-2</v>
      </c>
      <c r="AD53" s="230">
        <f>(INDEX(Models!$BJ53:$BT53,,AH53)*(1-AF53)+INDEX(Models!$BJ53:$BT53,,AH53+1)*AF53-ERP_i)*AE53*Ramure*Pc/MaxiM</f>
        <v>3.3774485460772714E-3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'2023'!Wh/'2023'!Env_an*'2024'!Env_an</f>
        <v>33.792368764834478</v>
      </c>
      <c r="C54" s="829"/>
      <c r="D54" s="391">
        <f t="shared" si="0"/>
        <v>35.011975793850596</v>
      </c>
      <c r="E54" s="383">
        <f t="shared" si="1"/>
        <v>36.86259351239984</v>
      </c>
      <c r="F54" s="383">
        <f t="shared" si="2"/>
        <v>36.984153600859244</v>
      </c>
      <c r="G54" s="110">
        <f t="shared" si="21"/>
        <v>1.0073447597282732</v>
      </c>
      <c r="H54" s="412" t="b">
        <f>Wh_hp&gt;='2023'!Maxi_hp</f>
        <v>0</v>
      </c>
      <c r="I54" s="388">
        <f>IF(H54,Wh_hp,'2023'!Maxi_hp)</f>
        <v>36.984153600859251</v>
      </c>
      <c r="J54" s="85">
        <f>IF(H54,An,'2023'!An_max)</f>
        <v>2023</v>
      </c>
      <c r="K54" s="197">
        <f t="shared" si="3"/>
        <v>45331</v>
      </c>
      <c r="L54" s="147">
        <f>IF(t&lt;Tvie,1-EXP((T0-t)*PertePVj)+'2023'!Pspv,1-EXP((T0-t)*PertePVj)+Pspv)</f>
        <v>3.4833996121702127E-2</v>
      </c>
      <c r="M54" s="832"/>
      <c r="N54" s="832"/>
      <c r="O54" s="48">
        <f>IF(t&lt;Tnet,'2023'!Resal+('2023'!Salim-'2023'!Resal)*(1-EXP(('2023'!Tnet-t)/('2023'!Tau_j))),Resal+(Salim-Resal)*(1-EXP((Tnet-t)/(Tau_j))))*Salcycl</f>
        <v>5.0203133914783669E-2</v>
      </c>
      <c r="P54" s="169">
        <f>(INDEX(Models!$BJ54:$BT54,,T54)*(1-R54)+INDEX(Models!$BJ54:$BT54,,T54+1)*R54-ERP_i)*Q54*Ramure*Pc/MaxiM</f>
        <v>3.2868154770095549E-3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33.545981590205336</v>
      </c>
      <c r="W54" s="400">
        <f t="shared" si="10"/>
        <v>33.792368764834478</v>
      </c>
      <c r="X54" s="157">
        <f t="shared" si="11"/>
        <v>45331</v>
      </c>
      <c r="Y54" s="383">
        <f t="shared" si="12"/>
        <v>32.324424302645433</v>
      </c>
      <c r="Z54" s="383">
        <f t="shared" si="22"/>
        <v>33.49105145929007</v>
      </c>
      <c r="AA54" s="384">
        <f t="shared" si="13"/>
        <v>36.86259351239984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9.1462421166206134E-2</v>
      </c>
      <c r="AD54" s="230">
        <f>(INDEX(Models!$BJ54:$BT54,,AH54)*(1-AF54)+INDEX(Models!$BJ54:$BT54,,AH54+1)*AF54-ERP_i)*AE54*Ramure*Pc/MaxiM</f>
        <v>3.2868154770095549E-3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'2023'!Wh/'2023'!Env_an*'2024'!Env_an</f>
        <v>31.514576482843083</v>
      </c>
      <c r="C55" s="829"/>
      <c r="D55" s="391">
        <f t="shared" si="0"/>
        <v>32.652601042152746</v>
      </c>
      <c r="E55" s="383">
        <f t="shared" si="1"/>
        <v>34.380180047003599</v>
      </c>
      <c r="F55" s="383">
        <f t="shared" si="2"/>
        <v>34.479452657897269</v>
      </c>
      <c r="G55" s="110">
        <f t="shared" si="21"/>
        <v>0.9297152179535455</v>
      </c>
      <c r="H55" s="412" t="b">
        <f>Wh_hp&gt;='2023'!Maxi_hp</f>
        <v>0</v>
      </c>
      <c r="I55" s="388">
        <f>IF(H55,Wh_hp,'2023'!Maxi_hp)</f>
        <v>34.485478690767295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3.4852493307976795E-2</v>
      </c>
      <c r="M55" s="832"/>
      <c r="N55" s="832"/>
      <c r="O55" s="48">
        <f>IF(t&lt;Tnet,'2023'!Resal+('2023'!Salim-'2023'!Resal)*(1-EXP(('2023'!Tnet-t)/('2023'!Tau_j))),Resal+(Salim-Resal)*(1-EXP((Tnet-t)/(Tau_j))))*Salcycl</f>
        <v>5.0249271600351003E-2</v>
      </c>
      <c r="P55" s="169">
        <f>(INDEX(Models!$BJ55:$BT55,,T55)*(1-R55)+INDEX(Models!$BJ55:$BT55,,T55+1)*R55-ERP_i)*Q55*Ramure*Pc/MaxiM</f>
        <v>3.1990221183311736E-3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33.886148291291221</v>
      </c>
      <c r="W55" s="400">
        <f t="shared" si="10"/>
        <v>31.514576482843083</v>
      </c>
      <c r="X55" s="157">
        <f t="shared" si="11"/>
        <v>45332</v>
      </c>
      <c r="Y55" s="383">
        <f t="shared" si="12"/>
        <v>30.146744424438637</v>
      </c>
      <c r="Z55" s="383">
        <f t="shared" si="22"/>
        <v>31.235375127025435</v>
      </c>
      <c r="AA55" s="384">
        <f t="shared" si="13"/>
        <v>34.380180047003599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9.147144999469678E-2</v>
      </c>
      <c r="AD55" s="230">
        <f>(INDEX(Models!$BJ55:$BT55,,AH55)*(1-AF55)+INDEX(Models!$BJ55:$BT55,,AH55+1)*AF55-ERP_i)*AE55*Ramure*Pc/MaxiM</f>
        <v>3.1990221183311736E-3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'2023'!Wh/'2023'!Env_an*'2024'!Env_an</f>
        <v>17.458329904994148</v>
      </c>
      <c r="C56" s="829"/>
      <c r="D56" s="391">
        <f t="shared" si="0"/>
        <v>18.089115265038224</v>
      </c>
      <c r="E56" s="383">
        <f t="shared" si="1"/>
        <v>19.04709666276079</v>
      </c>
      <c r="F56" s="383">
        <f t="shared" si="2"/>
        <v>19.06491325248814</v>
      </c>
      <c r="G56" s="110">
        <f t="shared" si="21"/>
        <v>0.50896002969860077</v>
      </c>
      <c r="H56" s="412" t="b">
        <f>Wh_hp&gt;='2023'!Maxi_hp</f>
        <v>0</v>
      </c>
      <c r="I56" s="388">
        <f>IF(H56,Wh_hp,'2023'!Maxi_hp)</f>
        <v>31.561088268066062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3.4870990139756919E-2</v>
      </c>
      <c r="M56" s="832"/>
      <c r="N56" s="832"/>
      <c r="O56" s="48">
        <f>IF(t&lt;Tnet,'2023'!Resal+('2023'!Salim-'2023'!Resal)*(1-EXP(('2023'!Tnet-t)/('2023'!Tau_j))),Resal+(Salim-Resal)*(1-EXP((Tnet-t)/(Tau_j))))*Salcycl</f>
        <v>5.0295402742168427E-2</v>
      </c>
      <c r="P56" s="169">
        <f>(INDEX(Models!$BJ56:$BT56,,T56)*(1-R56)+INDEX(Models!$BJ56:$BT56,,T56+1)*R56-ERP_i)*Q56*Ramure*Pc/MaxiM</f>
        <v>3.1139959632724445E-3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34.227136374829229</v>
      </c>
      <c r="W56" s="400">
        <f t="shared" si="10"/>
        <v>17.458329904994148</v>
      </c>
      <c r="X56" s="157">
        <f t="shared" si="11"/>
        <v>45333</v>
      </c>
      <c r="Y56" s="383">
        <f t="shared" si="12"/>
        <v>16.701227540677827</v>
      </c>
      <c r="Z56" s="383">
        <f t="shared" si="22"/>
        <v>17.304658102750711</v>
      </c>
      <c r="AA56" s="384">
        <f t="shared" si="13"/>
        <v>19.04709666276079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9.1480533272912917E-2</v>
      </c>
      <c r="AD56" s="230">
        <f>(INDEX(Models!$BJ56:$BT56,,AH56)*(1-AF56)+INDEX(Models!$BJ56:$BT56,,AH56+1)*AF56-ERP_i)*AE56*Ramure*Pc/MaxiM</f>
        <v>3.1139959632724445E-3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'2023'!Wh/'2023'!Env_an*'2024'!Env_an</f>
        <v>26.753607869594031</v>
      </c>
      <c r="C57" s="829"/>
      <c r="D57" s="391">
        <f t="shared" si="0"/>
        <v>27.720771350646711</v>
      </c>
      <c r="E57" s="383">
        <f t="shared" si="1"/>
        <v>29.190253114488339</v>
      </c>
      <c r="F57" s="383">
        <f t="shared" si="2"/>
        <v>29.250290373508346</v>
      </c>
      <c r="G57" s="110">
        <f t="shared" si="21"/>
        <v>0.77316318731962796</v>
      </c>
      <c r="H57" s="412" t="b">
        <f>Wh_hp&gt;='2023'!Maxi_hp</f>
        <v>0</v>
      </c>
      <c r="I57" s="388">
        <f>IF(H57,Wh_hp,'2023'!Maxi_hp)</f>
        <v>29.265897627745993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3.4889486617049603E-2</v>
      </c>
      <c r="M57" s="832"/>
      <c r="N57" s="832"/>
      <c r="O57" s="48">
        <f>IF(t&lt;Tnet,'2023'!Resal+('2023'!Salim-'2023'!Resal)*(1-EXP(('2023'!Tnet-t)/('2023'!Tau_j))),Resal+(Salim-Resal)*(1-EXP((Tnet-t)/(Tau_j))))*Salcycl</f>
        <v>5.0341521811342646E-2</v>
      </c>
      <c r="P57" s="169">
        <f>(INDEX(Models!$BJ57:$BT57,,T57)*(1-R57)+INDEX(Models!$BJ57:$BT57,,T57+1)*R57-ERP_i)*Q57*Ramure*Pc/MaxiM</f>
        <v>3.0316661259152371E-3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34.568845430658726</v>
      </c>
      <c r="W57" s="400">
        <f t="shared" si="10"/>
        <v>26.753607869594031</v>
      </c>
      <c r="X57" s="157">
        <f t="shared" si="11"/>
        <v>45334</v>
      </c>
      <c r="Y57" s="383">
        <f t="shared" si="12"/>
        <v>25.594389899321886</v>
      </c>
      <c r="Z57" s="383">
        <f t="shared" si="22"/>
        <v>26.519646760045372</v>
      </c>
      <c r="AA57" s="384">
        <f t="shared" si="13"/>
        <v>29.190253114488339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9.1489660742867462E-2</v>
      </c>
      <c r="AD57" s="230">
        <f>(INDEX(Models!$BJ57:$BT57,,AH57)*(1-AF57)+INDEX(Models!$BJ57:$BT57,,AH57+1)*AF57-ERP_i)*AE57*Ramure*Pc/MaxiM</f>
        <v>3.0316661259152371E-3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'2023'!Wh/'2023'!Env_an*'2024'!Env_an</f>
        <v>32.733104994461719</v>
      </c>
      <c r="C58" s="829"/>
      <c r="D58" s="391">
        <f t="shared" si="0"/>
        <v>33.917081904158557</v>
      </c>
      <c r="E58" s="383">
        <f t="shared" si="1"/>
        <v>35.716764792592016</v>
      </c>
      <c r="F58" s="383">
        <f t="shared" si="2"/>
        <v>35.813027947410255</v>
      </c>
      <c r="G58" s="110">
        <f t="shared" si="21"/>
        <v>0.93736287075616731</v>
      </c>
      <c r="H58" s="412" t="b">
        <f>Wh_hp&gt;='2023'!Maxi_hp</f>
        <v>0</v>
      </c>
      <c r="I58" s="388">
        <f>IF(H58,Wh_hp,'2023'!Maxi_hp)</f>
        <v>35.818160403759038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3.4907982739861509E-2</v>
      </c>
      <c r="M58" s="832"/>
      <c r="N58" s="832"/>
      <c r="O58" s="48">
        <f>IF(t&lt;Tnet,'2023'!Resal+('2023'!Salim-'2023'!Resal)*(1-EXP(('2023'!Tnet-t)/('2023'!Tau_j))),Resal+(Salim-Resal)*(1-EXP((Tnet-t)/(Tau_j))))*Salcycl</f>
        <v>5.0387623259952399E-2</v>
      </c>
      <c r="P58" s="169">
        <f>(INDEX(Models!$BJ58:$BT58,,T58)*(1-R58)+INDEX(Models!$BJ58:$BT58,,T58+1)*R58-ERP_i)*Q58*Ramure*Pc/MaxiM</f>
        <v>2.9509501585484564E-3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34.911210553780428</v>
      </c>
      <c r="W58" s="400">
        <f t="shared" si="10"/>
        <v>32.733104994461719</v>
      </c>
      <c r="X58" s="157">
        <f t="shared" si="11"/>
        <v>45335</v>
      </c>
      <c r="Y58" s="383">
        <f t="shared" si="12"/>
        <v>31.316003424871646</v>
      </c>
      <c r="Z58" s="383">
        <f t="shared" si="22"/>
        <v>32.448722883209264</v>
      </c>
      <c r="AA58" s="384">
        <f t="shared" si="13"/>
        <v>35.716764792592016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9.1498822145856112E-2</v>
      </c>
      <c r="AD58" s="230">
        <f>(INDEX(Models!$BJ58:$BT58,,AH58)*(1-AF58)+INDEX(Models!$BJ58:$BT58,,AH58+1)*AF58-ERP_i)*AE58*Ramure*Pc/MaxiM</f>
        <v>2.9509501585484564E-3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'2023'!Wh/'2023'!Env_an*'2024'!Env_an</f>
        <v>15.367908550799287</v>
      </c>
      <c r="C59" s="829"/>
      <c r="D59" s="391">
        <f t="shared" si="0"/>
        <v>15.924080609986827</v>
      </c>
      <c r="E59" s="383">
        <f t="shared" si="1"/>
        <v>16.769846020017184</v>
      </c>
      <c r="F59" s="383">
        <f t="shared" si="2"/>
        <v>16.779194407861109</v>
      </c>
      <c r="G59" s="110">
        <f t="shared" si="21"/>
        <v>0.43490837835611296</v>
      </c>
      <c r="H59" s="412" t="b">
        <f>Wh_hp&gt;='2023'!Maxi_hp</f>
        <v>0</v>
      </c>
      <c r="I59" s="388">
        <f>IF(H59,Wh_hp,'2023'!Maxi_hp)</f>
        <v>38.116109222133424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3.492647850819941E-2</v>
      </c>
      <c r="M59" s="832"/>
      <c r="N59" s="832"/>
      <c r="O59" s="48">
        <f>IF(t&lt;Tnet,'2023'!Resal+('2023'!Salim-'2023'!Resal)*(1-EXP(('2023'!Tnet-t)/('2023'!Tau_j))),Resal+(Salim-Resal)*(1-EXP((Tnet-t)/(Tau_j))))*Salcycl</f>
        <v>5.0433701598739507E-2</v>
      </c>
      <c r="P59" s="169">
        <f>(INDEX(Models!$BJ59:$BT59,,T59)*(1-R59)+INDEX(Models!$BJ59:$BT59,,T59+1)*R59-ERP_i)*Q59*Ramure*Pc/MaxiM</f>
        <v>2.869394270590857E-3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35.254216791497448</v>
      </c>
      <c r="W59" s="400">
        <f t="shared" si="10"/>
        <v>15.367908550799287</v>
      </c>
      <c r="X59" s="157">
        <f t="shared" si="11"/>
        <v>45336</v>
      </c>
      <c r="Y59" s="383">
        <f t="shared" si="12"/>
        <v>14.703156467831928</v>
      </c>
      <c r="Z59" s="383">
        <f t="shared" si="22"/>
        <v>15.235270826935487</v>
      </c>
      <c r="AA59" s="384">
        <f t="shared" si="13"/>
        <v>16.769846020017184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9.1508007363333171E-2</v>
      </c>
      <c r="AD59" s="230">
        <f>(INDEX(Models!$BJ59:$BT59,,AH59)*(1-AF59)+INDEX(Models!$BJ59:$BT59,,AH59+1)*AF59-ERP_i)*AE59*Ramure*Pc/MaxiM</f>
        <v>2.869394270590857E-3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'2023'!Wh/'2023'!Env_an*'2024'!Env_an</f>
        <v>18.535991170284277</v>
      </c>
      <c r="C60" s="829"/>
      <c r="D60" s="391">
        <f t="shared" si="0"/>
        <v>19.207185776355374</v>
      </c>
      <c r="E60" s="383">
        <f t="shared" si="1"/>
        <v>20.22830561667412</v>
      </c>
      <c r="F60" s="383">
        <f t="shared" si="2"/>
        <v>20.246096603654035</v>
      </c>
      <c r="G60" s="110">
        <f t="shared" si="21"/>
        <v>0.51971208211314823</v>
      </c>
      <c r="H60" s="412" t="b">
        <f>Wh_hp&gt;='2023'!Maxi_hp</f>
        <v>0</v>
      </c>
      <c r="I60" s="388">
        <f>IF(H60,Wh_hp,'2023'!Maxi_hp)</f>
        <v>37.957548920378891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3.4944973922070188E-2</v>
      </c>
      <c r="M60" s="832"/>
      <c r="N60" s="832"/>
      <c r="O60" s="48">
        <f>IF(t&lt;Tnet,'2023'!Resal+('2023'!Salim-'2023'!Resal)*(1-EXP(('2023'!Tnet-t)/('2023'!Tau_j))),Resal+(Salim-Resal)*(1-EXP((Tnet-t)/(Tau_j))))*Salcycl</f>
        <v>5.0479751476418325E-2</v>
      </c>
      <c r="P60" s="169">
        <f>(INDEX(Models!$BJ60:$BT60,,T60)*(1-R60)+INDEX(Models!$BJ60:$BT60,,T60+1)*R60-ERP_i)*Q60*Ramure*Pc/MaxiM</f>
        <v>2.7870285948310845E-3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35.597763866146373</v>
      </c>
      <c r="W60" s="400">
        <f t="shared" si="10"/>
        <v>18.535991170284277</v>
      </c>
      <c r="X60" s="157">
        <f t="shared" si="11"/>
        <v>45337</v>
      </c>
      <c r="Y60" s="383">
        <f t="shared" si="12"/>
        <v>17.73488144538516</v>
      </c>
      <c r="Z60" s="383">
        <f t="shared" si="22"/>
        <v>18.377067593193424</v>
      </c>
      <c r="AA60" s="384">
        <f t="shared" si="13"/>
        <v>20.22830561667412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9.1517206560035855E-2</v>
      </c>
      <c r="AD60" s="230">
        <f>(INDEX(Models!$BJ60:$BT60,,AH60)*(1-AF60)+INDEX(Models!$BJ60:$BT60,,AH60+1)*AF60-ERP_i)*AE60*Ramure*Pc/MaxiM</f>
        <v>2.7870285948310845E-3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'2023'!Wh/'2023'!Env_an*'2024'!Env_an</f>
        <v>9.1177144811204656</v>
      </c>
      <c r="C61" s="829"/>
      <c r="D61" s="391">
        <f t="shared" si="0"/>
        <v>9.4480511235128493</v>
      </c>
      <c r="E61" s="383">
        <f t="shared" si="1"/>
        <v>9.9508241537220172</v>
      </c>
      <c r="F61" s="383">
        <f t="shared" si="2"/>
        <v>9.9508241537220172</v>
      </c>
      <c r="G61" s="110">
        <f t="shared" si="21"/>
        <v>0.25299438333538538</v>
      </c>
      <c r="H61" s="412" t="b">
        <f>Wh_hp&gt;='2023'!Maxi_hp</f>
        <v>0</v>
      </c>
      <c r="I61" s="388">
        <f>IF(H61,Wh_hp,'2023'!Maxi_hp)</f>
        <v>33.411514000889703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3.4963468981480506E-2</v>
      </c>
      <c r="M61" s="832"/>
      <c r="N61" s="832"/>
      <c r="O61" s="48">
        <f>IF(t&lt;Tnet,'2023'!Resal+('2023'!Salim-'2023'!Resal)*(1-EXP(('2023'!Tnet-t)/('2023'!Tau_j))),Resal+(Salim-Resal)*(1-EXP((Tnet-t)/(Tau_j))))*Salcycl</f>
        <v>5.0525767759759928E-2</v>
      </c>
      <c r="P61" s="169">
        <f>(INDEX(Models!$BJ61:$BT61,,T61)*(1-R61)+INDEX(Models!$BJ61:$BT61,,T61+1)*R61-ERP_i)*Q61*Ramure*Pc/MaxiM</f>
        <v>2.7038815501500353E-3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35.941751517467843</v>
      </c>
      <c r="W61" s="400">
        <f t="shared" si="10"/>
        <v>9.1177144811204656</v>
      </c>
      <c r="X61" s="157">
        <f t="shared" si="11"/>
        <v>45338</v>
      </c>
      <c r="Y61" s="383">
        <f t="shared" si="12"/>
        <v>8.7239890488925802</v>
      </c>
      <c r="Z61" s="383">
        <f t="shared" si="22"/>
        <v>9.0400609391284927</v>
      </c>
      <c r="AA61" s="384">
        <f t="shared" si="13"/>
        <v>9.9508241537220172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9.1526410327818122E-2</v>
      </c>
      <c r="AD61" s="230">
        <f>(INDEX(Models!$BJ61:$BT61,,AH61)*(1-AF61)+INDEX(Models!$BJ61:$BT61,,AH61+1)*AF61-ERP_i)*AE61*Ramure*Pc/MaxiM</f>
        <v>2.7038815501500353E-3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'2023'!Wh/'2023'!Env_an*'2024'!Env_an</f>
        <v>11.360041609003744</v>
      </c>
      <c r="C62" s="829"/>
      <c r="D62" s="391">
        <f t="shared" si="0"/>
        <v>11.771843822111251</v>
      </c>
      <c r="E62" s="383">
        <f t="shared" si="1"/>
        <v>12.398876658373108</v>
      </c>
      <c r="F62" s="383">
        <f t="shared" si="2"/>
        <v>12.399483173004109</v>
      </c>
      <c r="G62" s="110">
        <f t="shared" si="21"/>
        <v>0.31226390195056369</v>
      </c>
      <c r="H62" s="412" t="b">
        <f>Wh_hp&gt;='2023'!Maxi_hp</f>
        <v>0</v>
      </c>
      <c r="I62" s="388">
        <f>IF(H62,Wh_hp,'2023'!Maxi_hp)</f>
        <v>36.826584894030596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3.4981963686437245E-2</v>
      </c>
      <c r="M62" s="832"/>
      <c r="N62" s="832"/>
      <c r="O62" s="48">
        <f>IF(t&lt;Tnet,'2023'!Resal+('2023'!Salim-'2023'!Resal)*(1-EXP(('2023'!Tnet-t)/('2023'!Tau_j))),Resal+(Salim-Resal)*(1-EXP((Tnet-t)/(Tau_j))))*Salcycl</f>
        <v>5.0571745613616916E-2</v>
      </c>
      <c r="P62" s="169">
        <f>(INDEX(Models!$BJ62:$BT62,,T62)*(1-R62)+INDEX(Models!$BJ62:$BT62,,T62+1)*R62-ERP_i)*Q62*Ramure*Pc/MaxiM</f>
        <v>2.6199799681951149E-3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36.286079495238596</v>
      </c>
      <c r="W62" s="400">
        <f t="shared" si="10"/>
        <v>11.360041609003744</v>
      </c>
      <c r="X62" s="157">
        <f t="shared" si="11"/>
        <v>45339</v>
      </c>
      <c r="Y62" s="383">
        <f t="shared" si="12"/>
        <v>10.869903254895583</v>
      </c>
      <c r="Z62" s="383">
        <f t="shared" si="22"/>
        <v>11.263937922258306</v>
      </c>
      <c r="AA62" s="384">
        <f t="shared" si="13"/>
        <v>12.398876658373108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9.1535609828682862E-2</v>
      </c>
      <c r="AD62" s="230">
        <f>(INDEX(Models!$BJ62:$BT62,,AH62)*(1-AF62)+INDEX(Models!$BJ62:$BT62,,AH62+1)*AF62-ERP_i)*AE62*Ramure*Pc/MaxiM</f>
        <v>2.6199799681951149E-3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'2023'!Wh/'2023'!Env_an*'2024'!Env_an</f>
        <v>29.328291936291095</v>
      </c>
      <c r="C63" s="829"/>
      <c r="D63" s="391">
        <f t="shared" si="0"/>
        <v>30.392026794779554</v>
      </c>
      <c r="E63" s="383">
        <f t="shared" si="1"/>
        <v>32.012421311310121</v>
      </c>
      <c r="F63" s="383">
        <f t="shared" si="2"/>
        <v>32.070575347518556</v>
      </c>
      <c r="G63" s="110">
        <f t="shared" si="21"/>
        <v>0.80006986981717099</v>
      </c>
      <c r="H63" s="412" t="b">
        <f>Wh_hp&gt;='2023'!Maxi_hp</f>
        <v>0</v>
      </c>
      <c r="I63" s="388">
        <f>IF(H63,Wh_hp,'2023'!Maxi_hp)</f>
        <v>32.083253619797951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3.5000458036947291E-2</v>
      </c>
      <c r="M63" s="832"/>
      <c r="N63" s="832"/>
      <c r="O63" s="48">
        <f>IF(t&lt;Tnet,'2023'!Resal+('2023'!Salim-'2023'!Resal)*(1-EXP(('2023'!Tnet-t)/('2023'!Tau_j))),Resal+(Salim-Resal)*(1-EXP((Tnet-t)/(Tau_j))))*Salcycl</f>
        <v>5.0617680580071371E-2</v>
      </c>
      <c r="P63" s="169">
        <f>(INDEX(Models!$BJ63:$BT63,,T63)*(1-R63)+INDEX(Models!$BJ63:$BT63,,T63+1)*R63-ERP_i)*Q63*Ramure*Pc/MaxiM</f>
        <v>2.5353491983743171E-3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36.63064755475785</v>
      </c>
      <c r="W63" s="400">
        <f t="shared" si="10"/>
        <v>29.328291936291095</v>
      </c>
      <c r="X63" s="157">
        <f t="shared" si="11"/>
        <v>45340</v>
      </c>
      <c r="Y63" s="383">
        <f t="shared" si="12"/>
        <v>28.063972607785818</v>
      </c>
      <c r="Z63" s="383">
        <f t="shared" si="22"/>
        <v>29.081850702951229</v>
      </c>
      <c r="AA63" s="384">
        <f t="shared" si="13"/>
        <v>32.012421311310121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9.1544796935541614E-2</v>
      </c>
      <c r="AD63" s="230">
        <f>(INDEX(Models!$BJ63:$BT63,,AH63)*(1-AF63)+INDEX(Models!$BJ63:$BT63,,AH63+1)*AF63-ERP_i)*AE63*Ramure*Pc/MaxiM</f>
        <v>2.5353491983743171E-3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'2023'!Wh/'2023'!Env_an*'2024'!Env_an</f>
        <v>19.900719027197159</v>
      </c>
      <c r="C64" s="829"/>
      <c r="D64" s="391">
        <f t="shared" si="0"/>
        <v>20.622911785805425</v>
      </c>
      <c r="E64" s="383">
        <f t="shared" si="1"/>
        <v>21.723501916604192</v>
      </c>
      <c r="F64" s="383">
        <f t="shared" si="2"/>
        <v>21.741629209725598</v>
      </c>
      <c r="G64" s="110">
        <f t="shared" si="21"/>
        <v>0.5373451407704174</v>
      </c>
      <c r="H64" s="412" t="b">
        <f>Wh_hp&gt;='2023'!Maxi_hp</f>
        <v>0</v>
      </c>
      <c r="I64" s="388">
        <f>IF(H64,Wh_hp,'2023'!Maxi_hp)</f>
        <v>39.436937045771522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3.5018952033017192E-2</v>
      </c>
      <c r="M64" s="832"/>
      <c r="N64" s="832"/>
      <c r="O64" s="48">
        <f>IF(t&lt;Tnet,'2023'!Resal+('2023'!Salim-'2023'!Resal)*(1-EXP(('2023'!Tnet-t)/('2023'!Tau_j))),Resal+(Salim-Resal)*(1-EXP((Tnet-t)/(Tau_j))))*Salcycl</f>
        <v>5.0663568655914502E-2</v>
      </c>
      <c r="P64" s="169">
        <f>(INDEX(Models!$BJ64:$BT64,,T64)*(1-R64)+INDEX(Models!$BJ64:$BT64,,T64+1)*R64-ERP_i)*Q64*Ramure*Pc/MaxiM</f>
        <v>2.4500131908625588E-3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36.975355450598592</v>
      </c>
      <c r="W64" s="400">
        <f t="shared" si="10"/>
        <v>19.900719027197159</v>
      </c>
      <c r="X64" s="157">
        <f t="shared" si="11"/>
        <v>45341</v>
      </c>
      <c r="Y64" s="383">
        <f t="shared" si="12"/>
        <v>19.043543162945742</v>
      </c>
      <c r="Z64" s="383">
        <f t="shared" si="22"/>
        <v>19.734629196155286</v>
      </c>
      <c r="AA64" s="384">
        <f t="shared" si="13"/>
        <v>21.723501916604192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9.1553964369286422E-2</v>
      </c>
      <c r="AD64" s="230">
        <f>(INDEX(Models!$BJ64:$BT64,,AH64)*(1-AF64)+INDEX(Models!$BJ64:$BT64,,AH64+1)*AF64-ERP_i)*AE64*Ramure*Pc/MaxiM</f>
        <v>2.4500131908625588E-3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'2023'!Wh/'2023'!Env_an*'2024'!Env_an</f>
        <v>19.781064689979839</v>
      </c>
      <c r="C65" s="829"/>
      <c r="D65" s="391">
        <f t="shared" si="0"/>
        <v>20.499308083317054</v>
      </c>
      <c r="E65" s="383">
        <f t="shared" si="1"/>
        <v>21.594344472412722</v>
      </c>
      <c r="F65" s="383">
        <f t="shared" si="2"/>
        <v>21.611133111346557</v>
      </c>
      <c r="G65" s="110">
        <f t="shared" si="21"/>
        <v>0.52919232898254109</v>
      </c>
      <c r="H65" s="412" t="b">
        <f>Wh_hp&gt;='2023'!Maxi_hp</f>
        <v>0</v>
      </c>
      <c r="I65" s="388">
        <f>IF(H65,Wh_hp,'2023'!Maxi_hp)</f>
        <v>41.467946828147284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3.5037445674653944E-2</v>
      </c>
      <c r="M65" s="832"/>
      <c r="N65" s="832"/>
      <c r="O65" s="48">
        <f>IF(t&lt;Tnet,'2023'!Resal+('2023'!Salim-'2023'!Resal)*(1-EXP(('2023'!Tnet-t)/('2023'!Tau_j))),Resal+(Salim-Resal)*(1-EXP((Tnet-t)/(Tau_j))))*Salcycl</f>
        <v>5.0709406367699827E-2</v>
      </c>
      <c r="P65" s="169">
        <f>(INDEX(Models!$BJ65:$BT65,,T65)*(1-R65)+INDEX(Models!$BJ65:$BT65,,T65+1)*R65-ERP_i)*Q65*Ramure*Pc/MaxiM</f>
        <v>2.363978671584231E-3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37.320354307450515</v>
      </c>
      <c r="W65" s="400">
        <f t="shared" si="10"/>
        <v>19.781064689979839</v>
      </c>
      <c r="X65" s="157">
        <f t="shared" si="11"/>
        <v>45342</v>
      </c>
      <c r="Y65" s="383">
        <f t="shared" si="12"/>
        <v>18.9297661757778</v>
      </c>
      <c r="Z65" s="383">
        <f t="shared" si="22"/>
        <v>19.617099224137824</v>
      </c>
      <c r="AA65" s="384">
        <f t="shared" si="13"/>
        <v>21.594344472412722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9.1563105830828731E-2</v>
      </c>
      <c r="AD65" s="230">
        <f>(INDEX(Models!$BJ65:$BT65,,AH65)*(1-AF65)+INDEX(Models!$BJ65:$BT65,,AH65+1)*AF65-ERP_i)*AE65*Ramure*Pc/MaxiM</f>
        <v>2.363978671584231E-3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'2023'!Wh/'2023'!Env_an*'2024'!Env_an</f>
        <v>21.901676826468268</v>
      </c>
      <c r="C66" s="829"/>
      <c r="D66" s="391">
        <f t="shared" si="0"/>
        <v>22.697353878633475</v>
      </c>
      <c r="E66" s="383">
        <f t="shared" si="1"/>
        <v>23.910959174805505</v>
      </c>
      <c r="F66" s="383">
        <f t="shared" si="2"/>
        <v>23.932875194386799</v>
      </c>
      <c r="G66" s="110">
        <f t="shared" si="21"/>
        <v>0.58068045220347164</v>
      </c>
      <c r="H66" s="412" t="b">
        <f>Wh_hp&gt;='2023'!Maxi_hp</f>
        <v>0</v>
      </c>
      <c r="I66" s="388">
        <f>IF(H66,Wh_hp,'2023'!Maxi_hp)</f>
        <v>23.950887388071926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3.5055938961864208E-2</v>
      </c>
      <c r="M66" s="832"/>
      <c r="N66" s="832"/>
      <c r="O66" s="48">
        <f>IF(t&lt;Tnet,'2023'!Resal+('2023'!Salim-'2023'!Resal)*(1-EXP(('2023'!Tnet-t)/('2023'!Tau_j))),Resal+(Salim-Resal)*(1-EXP((Tnet-t)/(Tau_j))))*Salcycl</f>
        <v>5.0755190843652175E-2</v>
      </c>
      <c r="P66" s="169">
        <f>(INDEX(Models!$BJ66:$BT66,,T66)*(1-R66)+INDEX(Models!$BJ66:$BT66,,T66+1)*R66-ERP_i)*Q66*Ramure*Pc/MaxiM</f>
        <v>2.2773418475952678E-3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37.665858731429253</v>
      </c>
      <c r="W66" s="400">
        <f t="shared" si="10"/>
        <v>21.901676826468268</v>
      </c>
      <c r="X66" s="157">
        <f t="shared" si="11"/>
        <v>45343</v>
      </c>
      <c r="Y66" s="383">
        <f t="shared" si="12"/>
        <v>20.959916294151327</v>
      </c>
      <c r="Z66" s="383">
        <f t="shared" si="22"/>
        <v>21.721379653450153</v>
      </c>
      <c r="AA66" s="384">
        <f t="shared" si="13"/>
        <v>23.910959174805505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9.1572216126840619E-2</v>
      </c>
      <c r="AD66" s="230">
        <f>(INDEX(Models!$BJ66:$BT66,,AH66)*(1-AF66)+INDEX(Models!$BJ66:$BT66,,AH66+1)*AF66-ERP_i)*AE66*Ramure*Pc/MaxiM</f>
        <v>2.2773418475952678E-3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'2023'!Wh/'2023'!Env_an*'2024'!Env_an</f>
        <v>33.470167382371329</v>
      </c>
      <c r="C67" s="829"/>
      <c r="D67" s="391">
        <f t="shared" si="0"/>
        <v>34.686786720856425</v>
      </c>
      <c r="E67" s="383">
        <f t="shared" si="1"/>
        <v>36.543215693525156</v>
      </c>
      <c r="F67" s="383">
        <f t="shared" si="2"/>
        <v>36.609748007513012</v>
      </c>
      <c r="G67" s="110">
        <f t="shared" si="21"/>
        <v>0.88019002035961413</v>
      </c>
      <c r="H67" s="412" t="b">
        <f>Wh_hp&gt;='2023'!Maxi_hp</f>
        <v>0</v>
      </c>
      <c r="I67" s="388">
        <f>IF(H67,Wh_hp,'2023'!Maxi_hp)</f>
        <v>39.949310572645629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3.5074431894654867E-2</v>
      </c>
      <c r="M67" s="832"/>
      <c r="N67" s="832"/>
      <c r="O67" s="48">
        <f>IF(t&lt;Tnet,'2023'!Resal+('2023'!Salim-'2023'!Resal)*(1-EXP(('2023'!Tnet-t)/('2023'!Tau_j))),Resal+(Salim-Resal)*(1-EXP((Tnet-t)/(Tau_j))))*Salcycl</f>
        <v>5.0800919881762378E-2</v>
      </c>
      <c r="P67" s="169">
        <f>(INDEX(Models!$BJ67:$BT67,,T67)*(1-R67)+INDEX(Models!$BJ67:$BT67,,T67+1)*R67-ERP_i)*Q67*Ramure*Pc/MaxiM</f>
        <v>2.1913753254596546E-3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38.011821026312887</v>
      </c>
      <c r="W67" s="400">
        <f t="shared" si="10"/>
        <v>33.470167382371329</v>
      </c>
      <c r="X67" s="157">
        <f t="shared" si="11"/>
        <v>45344</v>
      </c>
      <c r="Y67" s="383">
        <f t="shared" si="12"/>
        <v>32.032191002629176</v>
      </c>
      <c r="Z67" s="383">
        <f t="shared" si="22"/>
        <v>33.196540812495172</v>
      </c>
      <c r="AA67" s="384">
        <f t="shared" si="13"/>
        <v>36.543215693525156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9.1581291288028582E-2</v>
      </c>
      <c r="AD67" s="230">
        <f>(INDEX(Models!$BJ67:$BT67,,AH67)*(1-AF67)+INDEX(Models!$BJ67:$BT67,,AH67+1)*AF67-ERP_i)*AE67*Ramure*Pc/MaxiM</f>
        <v>2.1913753254596546E-3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'2023'!Wh/'2023'!Env_an*'2024'!Env_an</f>
        <v>35.172096709317515</v>
      </c>
      <c r="C68" s="829"/>
      <c r="D68" s="391">
        <f t="shared" si="0"/>
        <v>36.45127867894314</v>
      </c>
      <c r="E68" s="383">
        <f t="shared" si="1"/>
        <v>38.403990727134065</v>
      </c>
      <c r="F68" s="383">
        <f t="shared" si="2"/>
        <v>38.475406574038317</v>
      </c>
      <c r="G68" s="110">
        <f t="shared" si="21"/>
        <v>0.91670757028924554</v>
      </c>
      <c r="H68" s="412" t="b">
        <f>Wh_hp&gt;='2023'!Maxi_hp</f>
        <v>0</v>
      </c>
      <c r="I68" s="388">
        <f>IF(H68,Wh_hp,'2023'!Maxi_hp)</f>
        <v>41.571938803017574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3.5092924473032805E-2</v>
      </c>
      <c r="M68" s="832"/>
      <c r="N68" s="832"/>
      <c r="O68" s="48">
        <f>IF(t&lt;Tnet,'2023'!Resal+('2023'!Salim-'2023'!Resal)*(1-EXP(('2023'!Tnet-t)/('2023'!Tau_j))),Resal+(Salim-Resal)*(1-EXP((Tnet-t)/(Tau_j))))*Salcycl</f>
        <v>5.0846592013450612E-2</v>
      </c>
      <c r="P68" s="169">
        <f>(INDEX(Models!$BJ68:$BT68,,T68)*(1-R68)+INDEX(Models!$BJ68:$BT68,,T68+1)*R68-ERP_i)*Q68*Ramure*Pc/MaxiM</f>
        <v>2.1060491084970412E-3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38.358241791570407</v>
      </c>
      <c r="W68" s="400">
        <f t="shared" si="10"/>
        <v>35.172096709317515</v>
      </c>
      <c r="X68" s="157">
        <f t="shared" si="11"/>
        <v>45345</v>
      </c>
      <c r="Y68" s="383">
        <f t="shared" si="12"/>
        <v>33.662285298183157</v>
      </c>
      <c r="Z68" s="383">
        <f t="shared" si="22"/>
        <v>34.886556593855516</v>
      </c>
      <c r="AA68" s="384">
        <f t="shared" si="13"/>
        <v>38.403990727134065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9.1590328678871791E-2</v>
      </c>
      <c r="AD68" s="230">
        <f>(INDEX(Models!$BJ68:$BT68,,AH68)*(1-AF68)+INDEX(Models!$BJ68:$BT68,,AH68+1)*AF68-ERP_i)*AE68*Ramure*Pc/MaxiM</f>
        <v>2.1060491084970412E-3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'2023'!Wh/'2023'!Env_an*'2024'!Env_an</f>
        <v>21.894783664136948</v>
      </c>
      <c r="C69" s="829"/>
      <c r="D69" s="391">
        <f t="shared" si="0"/>
        <v>22.691514899250834</v>
      </c>
      <c r="E69" s="383">
        <f t="shared" si="1"/>
        <v>23.908258952399883</v>
      </c>
      <c r="F69" s="383">
        <f t="shared" si="2"/>
        <v>23.926615279986979</v>
      </c>
      <c r="G69" s="110">
        <f t="shared" si="21"/>
        <v>0.56497183124729788</v>
      </c>
      <c r="H69" s="412" t="b">
        <f>Wh_hp&gt;='2023'!Maxi_hp</f>
        <v>0</v>
      </c>
      <c r="I69" s="388">
        <f>IF(H69,Wh_hp,'2023'!Maxi_hp)</f>
        <v>41.52507944394246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3.5111416697004572E-2</v>
      </c>
      <c r="M69" s="832"/>
      <c r="N69" s="832"/>
      <c r="O69" s="48">
        <f>IF(t&lt;Tnet,'2023'!Resal+('2023'!Salim-'2023'!Resal)*(1-EXP(('2023'!Tnet-t)/('2023'!Tau_j))),Resal+(Salim-Resal)*(1-EXP((Tnet-t)/(Tau_j))))*Salcycl</f>
        <v>5.0892206562239618E-2</v>
      </c>
      <c r="P69" s="169">
        <f>(INDEX(Models!$BJ69:$BT69,,T69)*(1-R69)+INDEX(Models!$BJ69:$BT69,,T69+1)*R69-ERP_i)*Q69*Ramure*Pc/MaxiM</f>
        <v>2.0213462942161226E-3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38.705121128149877</v>
      </c>
      <c r="W69" s="400">
        <f t="shared" si="10"/>
        <v>21.894783664136948</v>
      </c>
      <c r="X69" s="157">
        <f t="shared" si="11"/>
        <v>45346</v>
      </c>
      <c r="Y69" s="383">
        <f t="shared" si="12"/>
        <v>20.955718993211338</v>
      </c>
      <c r="Z69" s="383">
        <f t="shared" si="22"/>
        <v>21.718278520278439</v>
      </c>
      <c r="AA69" s="384">
        <f t="shared" si="13"/>
        <v>23.908258952399883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9.1599327097869582E-2</v>
      </c>
      <c r="AD69" s="230">
        <f>(INDEX(Models!$BJ69:$BT69,,AH69)*(1-AF69)+INDEX(Models!$BJ69:$BT69,,AH69+1)*AF69-ERP_i)*AE69*Ramure*Pc/MaxiM</f>
        <v>2.0213462942161226E-3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'2023'!Wh/'2023'!Env_an*'2024'!Env_an</f>
        <v>31.354815648815908</v>
      </c>
      <c r="C70" s="829"/>
      <c r="D70" s="391">
        <f t="shared" si="0"/>
        <v>32.496411617687109</v>
      </c>
      <c r="E70" s="383">
        <f t="shared" si="1"/>
        <v>34.2405485906514</v>
      </c>
      <c r="F70" s="383">
        <f t="shared" si="2"/>
        <v>34.288269221577423</v>
      </c>
      <c r="G70" s="110">
        <f t="shared" si="21"/>
        <v>0.8024510722128293</v>
      </c>
      <c r="H70" s="412" t="b">
        <f>Wh_hp&gt;='2023'!Maxi_hp</f>
        <v>0</v>
      </c>
      <c r="I70" s="388">
        <f>IF(H70,Wh_hp,'2023'!Maxi_hp)</f>
        <v>36.519009293012743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3.5129908566577051E-2</v>
      </c>
      <c r="M70" s="832"/>
      <c r="N70" s="832"/>
      <c r="O70" s="48">
        <f>IF(t&lt;Tnet,'2023'!Resal+('2023'!Salim-'2023'!Resal)*(1-EXP(('2023'!Tnet-t)/('2023'!Tau_j))),Resal+(Salim-Resal)*(1-EXP((Tnet-t)/(Tau_j))))*Salcycl</f>
        <v>5.093776369694291E-2</v>
      </c>
      <c r="P70" s="169">
        <f>(INDEX(Models!$BJ70:$BT70,,T70)*(1-R70)+INDEX(Models!$BJ70:$BT70,,T70+1)*R70-ERP_i)*Q70*Ramure*Pc/MaxiM</f>
        <v>1.9372512325866466E-3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39.052459076418138</v>
      </c>
      <c r="W70" s="400">
        <f t="shared" si="10"/>
        <v>31.354815648815908</v>
      </c>
      <c r="X70" s="157">
        <f t="shared" si="11"/>
        <v>45347</v>
      </c>
      <c r="Y70" s="383">
        <f t="shared" si="12"/>
        <v>30.011155868062257</v>
      </c>
      <c r="Z70" s="383">
        <f t="shared" si="22"/>
        <v>31.103830592859723</v>
      </c>
      <c r="AA70" s="384">
        <f t="shared" si="13"/>
        <v>34.2405485906514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9.1608286867462321E-2</v>
      </c>
      <c r="AD70" s="230">
        <f>(INDEX(Models!$BJ70:$BT70,,AH70)*(1-AF70)+INDEX(Models!$BJ70:$BT70,,AH70+1)*AF70-ERP_i)*AE70*Ramure*Pc/MaxiM</f>
        <v>1.9372512325866466E-3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'2023'!Wh/'2023'!Env_an*'2024'!Env_an</f>
        <v>39.740265064141447</v>
      </c>
      <c r="C71" s="829"/>
      <c r="D71" s="391">
        <f t="shared" si="0"/>
        <v>41.187955813628598</v>
      </c>
      <c r="E71" s="383">
        <f t="shared" si="1"/>
        <v>43.400663309708854</v>
      </c>
      <c r="F71" s="383">
        <f t="shared" si="2"/>
        <v>43.481266681339847</v>
      </c>
      <c r="G71" s="110">
        <f t="shared" si="21"/>
        <v>1.0086296254599769</v>
      </c>
      <c r="H71" s="412" t="b">
        <f>Wh_hp&gt;='2023'!Maxi_hp</f>
        <v>1</v>
      </c>
      <c r="I71" s="388">
        <f>IF(H71,Wh_hp,'2023'!Maxi_hp)</f>
        <v>43.481266681339847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3.5148400081757125E-2</v>
      </c>
      <c r="M71" s="832"/>
      <c r="N71" s="832"/>
      <c r="O71" s="48">
        <f>IF(t&lt;Tnet,'2023'!Resal+('2023'!Salim-'2023'!Resal)*(1-EXP(('2023'!Tnet-t)/('2023'!Tau_j))),Resal+(Salim-Resal)*(1-EXP((Tnet-t)/(Tau_j))))*Salcycl</f>
        <v>5.0983264478938653E-2</v>
      </c>
      <c r="P71" s="169">
        <f>(INDEX(Models!$BJ71:$BT71,,T71)*(1-R71)+INDEX(Models!$BJ71:$BT71,,T71+1)*R71-ERP_i)*Q71*Ramure*Pc/MaxiM</f>
        <v>1.8537493910127305E-3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39.400255615155302</v>
      </c>
      <c r="W71" s="400">
        <f t="shared" si="10"/>
        <v>39.740265064141447</v>
      </c>
      <c r="X71" s="157">
        <f t="shared" si="11"/>
        <v>45348</v>
      </c>
      <c r="Y71" s="383">
        <f t="shared" si="12"/>
        <v>38.038710495389367</v>
      </c>
      <c r="Z71" s="383">
        <f t="shared" si="22"/>
        <v>39.424415628903546</v>
      </c>
      <c r="AA71" s="384">
        <f t="shared" si="13"/>
        <v>43.400663309708854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9.1617209912914097E-2</v>
      </c>
      <c r="AD71" s="230">
        <f>(INDEX(Models!$BJ71:$BT71,,AH71)*(1-AF71)+INDEX(Models!$BJ71:$BT71,,AH71+1)*AF71-ERP_i)*AE71*Ramure*Pc/MaxiM</f>
        <v>1.8537493910127305E-3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'2023'!Wh/'2023'!Env_an*'2024'!Env_an</f>
        <v>28.407969182345322</v>
      </c>
      <c r="C72" s="829"/>
      <c r="D72" s="391">
        <f t="shared" si="0"/>
        <v>29.443402101872589</v>
      </c>
      <c r="E72" s="383">
        <f t="shared" si="1"/>
        <v>31.026652165520154</v>
      </c>
      <c r="F72" s="383">
        <f t="shared" si="2"/>
        <v>31.059260374475024</v>
      </c>
      <c r="G72" s="110">
        <f t="shared" si="21"/>
        <v>0.71417686537752212</v>
      </c>
      <c r="H72" s="412" t="b">
        <f>Wh_hp&gt;='2023'!Maxi_hp</f>
        <v>0</v>
      </c>
      <c r="I72" s="388">
        <f>IF(H72,Wh_hp,'2023'!Maxi_hp)</f>
        <v>42.979805880549684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3.5166891242551568E-2</v>
      </c>
      <c r="M72" s="832"/>
      <c r="N72" s="832"/>
      <c r="O72" s="48">
        <f>IF(t&lt;Tnet,'2023'!Resal+('2023'!Salim-'2023'!Resal)*(1-EXP(('2023'!Tnet-t)/('2023'!Tau_j))),Resal+(Salim-Resal)*(1-EXP((Tnet-t)/(Tau_j))))*Salcycl</f>
        <v>5.1028710903170731E-2</v>
      </c>
      <c r="P72" s="169">
        <f>(INDEX(Models!$BJ72:$BT72,,T72)*(1-R72)+INDEX(Models!$BJ72:$BT72,,T72+1)*R72-ERP_i)*Q72*Ramure*Pc/MaxiM</f>
        <v>1.7721745990415681E-3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39.74845701098959</v>
      </c>
      <c r="W72" s="400">
        <f t="shared" si="10"/>
        <v>28.407969182345322</v>
      </c>
      <c r="X72" s="157">
        <f t="shared" si="11"/>
        <v>45349</v>
      </c>
      <c r="Y72" s="383">
        <f t="shared" si="12"/>
        <v>27.192664370960959</v>
      </c>
      <c r="Z72" s="383">
        <f t="shared" si="22"/>
        <v>28.183801036824683</v>
      </c>
      <c r="AA72" s="384">
        <f t="shared" si="13"/>
        <v>31.026652165520154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9.1626099829575675E-2</v>
      </c>
      <c r="AD72" s="230">
        <f>(INDEX(Models!$BJ72:$BT72,,AH72)*(1-AF72)+INDEX(Models!$BJ72:$BT72,,AH72+1)*AF72-ERP_i)*AE72*Ramure*Pc/MaxiM</f>
        <v>1.7721745990415681E-3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'2023'!Wh/'2023'!Env_an*'2024'!Env_an</f>
        <v>34.296751018600453</v>
      </c>
      <c r="C73" s="829"/>
      <c r="D73" s="391">
        <f t="shared" si="0"/>
        <v>35.547503510504555</v>
      </c>
      <c r="E73" s="383">
        <f t="shared" si="1"/>
        <v>37.460779321909087</v>
      </c>
      <c r="F73" s="383">
        <f t="shared" si="2"/>
        <v>37.511172992141546</v>
      </c>
      <c r="G73" s="110">
        <f t="shared" si="21"/>
        <v>0.85504426059298499</v>
      </c>
      <c r="H73" s="412" t="b">
        <f>Wh_hp&gt;='2023'!Maxi_hp</f>
        <v>0</v>
      </c>
      <c r="I73" s="388">
        <f>IF(H73,Wh_hp,'2023'!Maxi_hp)</f>
        <v>37.518611340462861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3.5185382048967151E-2</v>
      </c>
      <c r="M73" s="832"/>
      <c r="N73" s="832"/>
      <c r="O73" s="48">
        <f>IF(t&lt;Tnet,'2023'!Resal+('2023'!Salim-'2023'!Resal)*(1-EXP(('2023'!Tnet-t)/('2023'!Tau_j))),Resal+(Salim-Resal)*(1-EXP((Tnet-t)/(Tau_j))))*Salcycl</f>
        <v>5.1074105932589167E-2</v>
      </c>
      <c r="P73" s="169">
        <f>(INDEX(Models!$BJ73:$BT73,,T73)*(1-R73)+INDEX(Models!$BJ73:$BT73,,T73+1)*R73-ERP_i)*Q73*Ramure*Pc/MaxiM</f>
        <v>1.6933678753603585E-3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40.097027432927376</v>
      </c>
      <c r="W73" s="400">
        <f t="shared" si="10"/>
        <v>34.296751018600453</v>
      </c>
      <c r="X73" s="157">
        <f t="shared" si="11"/>
        <v>45350</v>
      </c>
      <c r="Y73" s="383">
        <f t="shared" si="12"/>
        <v>32.830771864465653</v>
      </c>
      <c r="Z73" s="383">
        <f t="shared" si="22"/>
        <v>34.028062234575209</v>
      </c>
      <c r="AA73" s="384">
        <f t="shared" si="13"/>
        <v>37.460779321909087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9.1634961938077991E-2</v>
      </c>
      <c r="AD73" s="230">
        <f>(INDEX(Models!$BJ73:$BT73,,AH73)*(1-AF73)+INDEX(Models!$BJ73:$BT73,,AH73+1)*AF73-ERP_i)*AE73*Ramure*Pc/MaxiM</f>
        <v>1.6933678753603585E-3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'2023'!Wh/'2023'!Env_an*'2024'!Env_an</f>
        <v>39.793692829199657</v>
      </c>
      <c r="C74" s="829"/>
      <c r="D74" s="391">
        <f t="shared" si="0"/>
        <v>41.245701236753085</v>
      </c>
      <c r="E74" s="383">
        <f t="shared" si="1"/>
        <v>43.467748801482287</v>
      </c>
      <c r="F74" s="383">
        <f t="shared" si="2"/>
        <v>43.536536669232078</v>
      </c>
      <c r="G74" s="110">
        <f t="shared" si="21"/>
        <v>0.98383624219286525</v>
      </c>
      <c r="H74" s="412" t="b">
        <f>Wh_hp&gt;='2023'!Maxi_hp</f>
        <v>0</v>
      </c>
      <c r="I74" s="388">
        <f>IF(H74,Wh_hp,'2023'!Maxi_hp)</f>
        <v>43.537458266027507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3.5203872501010536E-2</v>
      </c>
      <c r="M74" s="832"/>
      <c r="N74" s="832"/>
      <c r="O74" s="48">
        <f>IF(t&lt;Tnet,'2023'!Resal+('2023'!Salim-'2023'!Resal)*(1-EXP(('2023'!Tnet-t)/('2023'!Tau_j))),Resal+(Salim-Resal)*(1-EXP((Tnet-t)/(Tau_j))))*Salcycl</f>
        <v>5.1119453525815546E-2</v>
      </c>
      <c r="P74" s="169">
        <f>(INDEX(Models!$BJ74:$BT74,,T74)*(1-R74)+INDEX(Models!$BJ74:$BT74,,T74+1)*R74-ERP_i)*Q74*Ramure*Pc/MaxiM</f>
        <v>1.61726272939159E-3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40.445966597372106</v>
      </c>
      <c r="W74" s="400">
        <f t="shared" si="10"/>
        <v>39.793692829199657</v>
      </c>
      <c r="X74" s="157">
        <f t="shared" si="11"/>
        <v>45351</v>
      </c>
      <c r="Y74" s="383">
        <f t="shared" si="12"/>
        <v>38.094202272575863</v>
      </c>
      <c r="Z74" s="383">
        <f t="shared" si="22"/>
        <v>39.484198979245761</v>
      </c>
      <c r="AA74" s="384">
        <f t="shared" si="13"/>
        <v>43.467748801482287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9.1643803327138895E-2</v>
      </c>
      <c r="AD74" s="230">
        <f>(INDEX(Models!$BJ74:$BT74,,AH74)*(1-AF74)+INDEX(Models!$BJ74:$BT74,,AH74+1)*AF74-ERP_i)*AE74*Ramure*Pc/MaxiM</f>
        <v>1.61726272939159E-3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'2023'!Wh/'2023'!Env_an*'2024'!Env_an</f>
        <v>11.595391697975167</v>
      </c>
      <c r="C75" s="829"/>
      <c r="D75" s="391">
        <f t="shared" si="0"/>
        <v>12.018719390312651</v>
      </c>
      <c r="E75" s="383">
        <f t="shared" si="1"/>
        <v>12.666813864662549</v>
      </c>
      <c r="F75" s="383">
        <f t="shared" si="2"/>
        <v>12.666813864662549</v>
      </c>
      <c r="G75" s="110">
        <f t="shared" si="21"/>
        <v>0.2837949009591671</v>
      </c>
      <c r="H75" s="412" t="b">
        <f>Wh_hp&gt;='2023'!Maxi_hp</f>
        <v>0</v>
      </c>
      <c r="I75" s="388">
        <f>IF(H75,Wh_hp,'2023'!Maxi_hp)</f>
        <v>30.966593074683484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3.5222362598688717E-2</v>
      </c>
      <c r="M75" s="832"/>
      <c r="N75" s="832"/>
      <c r="O75" s="48">
        <f>IF(t&lt;Tnet,'2023'!Resal+('2023'!Salim-'2023'!Resal)*(1-EXP(('2023'!Tnet-t)/('2023'!Tau_j))),Resal+(Salim-Resal)*(1-EXP((Tnet-t)/(Tau_j))))*Salcycl</f>
        <v>5.1164758657891933E-2</v>
      </c>
      <c r="P75" s="169">
        <f>(INDEX(Models!$BJ75:$BT75,,T75)*(1-R75)+INDEX(Models!$BJ75:$BT75,,T75+1)*R75-ERP_i)*Q75*Ramure*Pc/MaxiM</f>
        <v>1.5437949517320307E-3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40.795274163415172</v>
      </c>
      <c r="W75" s="400">
        <f t="shared" si="10"/>
        <v>11.595391697975167</v>
      </c>
      <c r="X75" s="157">
        <f t="shared" si="11"/>
        <v>45352</v>
      </c>
      <c r="Y75" s="383">
        <f t="shared" si="12"/>
        <v>11.100603203395542</v>
      </c>
      <c r="Z75" s="383">
        <f t="shared" si="22"/>
        <v>11.505867023717204</v>
      </c>
      <c r="AA75" s="384">
        <f t="shared" si="13"/>
        <v>12.666813864662549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9.1652632883799948E-2</v>
      </c>
      <c r="AD75" s="230">
        <f>(INDEX(Models!$BJ75:$BT75,,AH75)*(1-AF75)+INDEX(Models!$BJ75:$BT75,,AH75+1)*AF75-ERP_i)*AE75*Ramure*Pc/MaxiM</f>
        <v>1.5437949517320307E-3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'2023'!Wh/'2023'!Env_an*'2024'!Env_an</f>
        <v>35.580638905436217</v>
      </c>
      <c r="C76" s="829"/>
      <c r="D76" s="391">
        <f t="shared" si="0"/>
        <v>36.880333285059038</v>
      </c>
      <c r="E76" s="383">
        <f t="shared" si="1"/>
        <v>38.870913845591041</v>
      </c>
      <c r="F76" s="383">
        <f t="shared" si="2"/>
        <v>38.917160837212236</v>
      </c>
      <c r="G76" s="110">
        <f t="shared" si="21"/>
        <v>0.8645168443327429</v>
      </c>
      <c r="H76" s="412" t="b">
        <f>Wh_hp&gt;='2023'!Maxi_hp</f>
        <v>0</v>
      </c>
      <c r="I76" s="388">
        <f>IF(H76,Wh_hp,'2023'!Maxi_hp)</f>
        <v>38.923472241989082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3.5240852342008355E-2</v>
      </c>
      <c r="M76" s="832"/>
      <c r="N76" s="832"/>
      <c r="O76" s="48">
        <f>IF(t&lt;Tnet,'2023'!Resal+('2023'!Salim-'2023'!Resal)*(1-EXP(('2023'!Tnet-t)/('2023'!Tau_j))),Resal+(Salim-Resal)*(1-EXP((Tnet-t)/(Tau_j))))*Salcycl</f>
        <v>5.121002733404429E-2</v>
      </c>
      <c r="P76" s="169">
        <f>(INDEX(Models!$BJ76:$BT76,,T76)*(1-R76)+INDEX(Models!$BJ76:$BT76,,T76+1)*R76-ERP_i)*Q76*Ramure*Pc/MaxiM</f>
        <v>1.4729024276284391E-3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41.144949734091547</v>
      </c>
      <c r="W76" s="400">
        <f t="shared" si="10"/>
        <v>35.580638905436217</v>
      </c>
      <c r="X76" s="157">
        <f t="shared" si="11"/>
        <v>45353</v>
      </c>
      <c r="Y76" s="383">
        <f t="shared" si="12"/>
        <v>34.063666859980934</v>
      </c>
      <c r="Z76" s="383">
        <f t="shared" si="22"/>
        <v>35.307949080008669</v>
      </c>
      <c r="AA76" s="384">
        <f t="shared" si="13"/>
        <v>38.870913845591041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9.166146131103893E-2</v>
      </c>
      <c r="AD76" s="230">
        <f>(INDEX(Models!$BJ76:$BT76,,AH76)*(1-AF76)+INDEX(Models!$BJ76:$BT76,,AH76+1)*AF76-ERP_i)*AE76*Ramure*Pc/MaxiM</f>
        <v>1.4729024276284391E-3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'2023'!Wh/'2023'!Env_an*'2024'!Env_an</f>
        <v>3.8235582927124789</v>
      </c>
      <c r="C77" s="829"/>
      <c r="D77" s="391">
        <f t="shared" si="0"/>
        <v>3.9633017017991761</v>
      </c>
      <c r="E77" s="383">
        <f t="shared" si="1"/>
        <v>4.1774162872885574</v>
      </c>
      <c r="F77" s="383">
        <f t="shared" si="2"/>
        <v>4.1774162872885574</v>
      </c>
      <c r="G77" s="110">
        <f t="shared" si="21"/>
        <v>9.2015632407929843E-2</v>
      </c>
      <c r="H77" s="412" t="b">
        <f>Wh_hp&gt;='2023'!Maxi_hp</f>
        <v>0</v>
      </c>
      <c r="I77" s="388">
        <f>IF(H77,Wh_hp,'2023'!Maxi_hp)</f>
        <v>32.038386239307918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3.5259341730976335E-2</v>
      </c>
      <c r="M77" s="832"/>
      <c r="N77" s="832"/>
      <c r="O77" s="48">
        <f>IF(t&lt;Tnet,'2023'!Resal+('2023'!Salim-'2023'!Resal)*(1-EXP(('2023'!Tnet-t)/('2023'!Tau_j))),Resal+(Salim-Resal)*(1-EXP((Tnet-t)/(Tau_j))))*Salcycl</f>
        <v>5.1255266596462942E-2</v>
      </c>
      <c r="P77" s="169">
        <f>(INDEX(Models!$BJ77:$BT77,,T77)*(1-R77)+INDEX(Models!$BJ77:$BT77,,T77+1)*R77-ERP_i)*Q77*Ramure*Pc/MaxiM</f>
        <v>1.4045249620203253E-3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41.494992858600142</v>
      </c>
      <c r="W77" s="400">
        <f t="shared" si="10"/>
        <v>3.8235582927124789</v>
      </c>
      <c r="X77" s="157">
        <f t="shared" si="11"/>
        <v>45354</v>
      </c>
      <c r="Y77" s="383">
        <f t="shared" si="12"/>
        <v>3.660680718786518</v>
      </c>
      <c r="Z77" s="383">
        <f t="shared" si="22"/>
        <v>3.7944712782756125</v>
      </c>
      <c r="AA77" s="384">
        <f t="shared" si="13"/>
        <v>4.1774162872885574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9.1670301132833337E-2</v>
      </c>
      <c r="AD77" s="230">
        <f>(INDEX(Models!$BJ77:$BT77,,AH77)*(1-AF77)+INDEX(Models!$BJ77:$BT77,,AH77+1)*AF77-ERP_i)*AE77*Ramure*Pc/MaxiM</f>
        <v>1.4045249620203253E-3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'2023'!Wh/'2023'!Env_an*'2024'!Env_an</f>
        <v>13.166073917578695</v>
      </c>
      <c r="C78" s="829"/>
      <c r="D78" s="391">
        <f t="shared" si="0"/>
        <v>13.647529140982874</v>
      </c>
      <c r="E78" s="383">
        <f t="shared" si="1"/>
        <v>14.385512924118901</v>
      </c>
      <c r="F78" s="383">
        <f t="shared" si="2"/>
        <v>14.385915563861614</v>
      </c>
      <c r="G78" s="110">
        <f t="shared" si="21"/>
        <v>0.31422370963274482</v>
      </c>
      <c r="H78" s="412" t="b">
        <f>Wh_hp&gt;='2023'!Maxi_hp</f>
        <v>0</v>
      </c>
      <c r="I78" s="388">
        <f>IF(H78,Wh_hp,'2023'!Maxi_hp)</f>
        <v>38.035034481034316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3.5277830765599316E-2</v>
      </c>
      <c r="M78" s="832"/>
      <c r="N78" s="832"/>
      <c r="O78" s="48">
        <f>IF(t&lt;Tnet,'2023'!Resal+('2023'!Salim-'2023'!Resal)*(1-EXP(('2023'!Tnet-t)/('2023'!Tau_j))),Resal+(Salim-Resal)*(1-EXP((Tnet-t)/(Tau_j))))*Salcycl</f>
        <v>5.1300484524171228E-2</v>
      </c>
      <c r="P78" s="169">
        <f>(INDEX(Models!$BJ78:$BT78,,T78)*(1-R78)+INDEX(Models!$BJ78:$BT78,,T78+1)*R78-ERP_i)*Q78*Ramure*Pc/MaxiM</f>
        <v>1.3386041167721104E-3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41.845403032982901</v>
      </c>
      <c r="W78" s="400">
        <f t="shared" si="10"/>
        <v>13.166073917578695</v>
      </c>
      <c r="X78" s="157">
        <f t="shared" si="11"/>
        <v>45355</v>
      </c>
      <c r="Y78" s="383">
        <f t="shared" si="12"/>
        <v>12.605697628378344</v>
      </c>
      <c r="Z78" s="383">
        <f t="shared" si="22"/>
        <v>13.066661086872474</v>
      </c>
      <c r="AA78" s="384">
        <f t="shared" si="13"/>
        <v>14.385512924118901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9.1679166686870622E-2</v>
      </c>
      <c r="AD78" s="230">
        <f>(INDEX(Models!$BJ78:$BT78,,AH78)*(1-AF78)+INDEX(Models!$BJ78:$BT78,,AH78+1)*AF78-ERP_i)*AE78*Ramure*Pc/MaxiM</f>
        <v>1.3386041167721104E-3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'2023'!Wh/'2023'!Env_an*'2024'!Env_an</f>
        <v>15.873873326405667</v>
      </c>
      <c r="C79" s="829"/>
      <c r="D79" s="391">
        <f t="shared" ref="D79:D142" si="25">Wh/(1-Ppv)</f>
        <v>16.454662344905618</v>
      </c>
      <c r="E79" s="383">
        <f t="shared" si="1"/>
        <v>17.345267053946902</v>
      </c>
      <c r="F79" s="383">
        <f t="shared" ref="F79:F142" si="26">Wh_sa/(1-Pvg*MEDIAN((-Sdif+Wh/Env_an)/Csdif,0,1))</f>
        <v>17.347674328762245</v>
      </c>
      <c r="G79" s="110">
        <f t="shared" si="21"/>
        <v>0.37575498038693977</v>
      </c>
      <c r="H79" s="412" t="b">
        <f>Wh_hp&gt;='2023'!Maxi_hp</f>
        <v>0</v>
      </c>
      <c r="I79" s="388">
        <f>IF(H79,Wh_hp,'2023'!Maxi_hp)</f>
        <v>17.358899888574093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3.5296319445884183E-2</v>
      </c>
      <c r="M79" s="832"/>
      <c r="N79" s="832"/>
      <c r="O79" s="48">
        <f>IF(t&lt;Tnet,'2023'!Resal+('2023'!Salim-'2023'!Resal)*(1-EXP(('2023'!Tnet-t)/('2023'!Tau_j))),Resal+(Salim-Resal)*(1-EXP((Tnet-t)/(Tau_j))))*Salcycl</f>
        <v>5.1345690226119997E-2</v>
      </c>
      <c r="P79" s="169">
        <f>(INDEX(Models!$BJ79:$BT79,,T79)*(1-R79)+INDEX(Models!$BJ79:$BT79,,T79+1)*R79-ERP_i)*Q79*Ramure*Pc/MaxiM</f>
        <v>1.2750502179220081E-3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42.197267969245601</v>
      </c>
      <c r="W79" s="400">
        <f t="shared" ref="W79:W142" si="34">Wh*(A79&gt;Tmaj)</f>
        <v>15.873873326405667</v>
      </c>
      <c r="X79" s="157">
        <f t="shared" ref="X79:X142" si="35">t</f>
        <v>45356</v>
      </c>
      <c r="Y79" s="383">
        <f t="shared" ref="Y79:Y142" si="36">Wh_pvt_s*(1-Ppv)</f>
        <v>15.198822483559985</v>
      </c>
      <c r="Z79" s="383">
        <f t="shared" ref="Z79:Z142" si="37">Wh_sa_s*(1-Psa_s)</f>
        <v>15.754912922929805</v>
      </c>
      <c r="AA79" s="384">
        <f t="shared" ref="AA79:AA142" si="38">Wh_hp*(1-Pvg_s*MEDIAN((-Sdif+Wh/Env_an)/Csdif,0,1))</f>
        <v>17.345267053946902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9.1688074105218967E-2</v>
      </c>
      <c r="AD79" s="230">
        <f>(INDEX(Models!$BJ79:$BT79,,AH79)*(1-AF79)+INDEX(Models!$BJ79:$BT79,,AH79+1)*AF79-ERP_i)*AE79*Ramure*Pc/MaxiM</f>
        <v>1.2750502179220081E-3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'2023'!Wh/'2023'!Env_an*'2024'!Env_an</f>
        <v>39.104016124650819</v>
      </c>
      <c r="C80" s="829"/>
      <c r="D80" s="391">
        <f t="shared" si="25"/>
        <v>40.535520229486579</v>
      </c>
      <c r="E80" s="383">
        <f t="shared" ref="E80:E143" si="47">Wh_pvt/(1-Psa)</f>
        <v>42.731531845662339</v>
      </c>
      <c r="F80" s="383">
        <f t="shared" si="26"/>
        <v>42.777499567526412</v>
      </c>
      <c r="G80" s="110">
        <f t="shared" ref="G80:G143" si="48">+Wh_hp/MaxiM</f>
        <v>0.91885628551408383</v>
      </c>
      <c r="H80" s="412" t="b">
        <f>Wh_hp&gt;='2023'!Maxi_hp</f>
        <v>0</v>
      </c>
      <c r="I80" s="388">
        <f>IF(H80,Wh_hp,'2023'!Maxi_hp)</f>
        <v>42.780921418940942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3.5314807771837708E-2</v>
      </c>
      <c r="M80" s="832"/>
      <c r="N80" s="832"/>
      <c r="O80" s="48">
        <f>IF(t&lt;Tnet,'2023'!Resal+('2023'!Salim-'2023'!Resal)*(1-EXP(('2023'!Tnet-t)/('2023'!Tau_j))),Resal+(Salim-Resal)*(1-EXP((Tnet-t)/(Tau_j))))*Salcycl</f>
        <v>5.1390893827708027E-2</v>
      </c>
      <c r="P80" s="169">
        <f>(INDEX(Models!$BJ80:$BT80,,T80)*(1-R80)+INDEX(Models!$BJ80:$BT80,,T80+1)*R80-ERP_i)*Q80*Ramure*Pc/MaxiM</f>
        <v>1.2152203340143259E-3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42.551279356658398</v>
      </c>
      <c r="W80" s="400">
        <f t="shared" si="34"/>
        <v>39.104016124650819</v>
      </c>
      <c r="X80" s="157">
        <f t="shared" si="35"/>
        <v>45357</v>
      </c>
      <c r="Y80" s="383">
        <f t="shared" si="36"/>
        <v>37.442496927993496</v>
      </c>
      <c r="Z80" s="383">
        <f t="shared" si="37"/>
        <v>38.813176805908505</v>
      </c>
      <c r="AA80" s="384">
        <f t="shared" si="38"/>
        <v>42.731531845662339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9.169704128338152E-2</v>
      </c>
      <c r="AD80" s="230">
        <f>(INDEX(Models!$BJ80:$BT80,,AH80)*(1-AF80)+INDEX(Models!$BJ80:$BT80,,AH80+1)*AF80-ERP_i)*AE80*Ramure*Pc/MaxiM</f>
        <v>1.2152203340143259E-3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'2023'!Wh/'2023'!Env_an*'2024'!Env_an</f>
        <v>31.870363015632442</v>
      </c>
      <c r="C81" s="829"/>
      <c r="D81" s="391">
        <f t="shared" si="25"/>
        <v>33.037693614806436</v>
      </c>
      <c r="E81" s="383">
        <f t="shared" si="47"/>
        <v>34.829170538209333</v>
      </c>
      <c r="F81" s="383">
        <f t="shared" si="26"/>
        <v>34.854722480542378</v>
      </c>
      <c r="G81" s="110">
        <f t="shared" si="48"/>
        <v>0.74246223082818041</v>
      </c>
      <c r="H81" s="412" t="b">
        <f>Wh_hp&gt;='2023'!Maxi_hp</f>
        <v>0</v>
      </c>
      <c r="I81" s="388">
        <f>IF(H81,Wh_hp,'2023'!Maxi_hp)</f>
        <v>34.863147641201927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3.5333295743466664E-2</v>
      </c>
      <c r="M81" s="832"/>
      <c r="N81" s="832"/>
      <c r="O81" s="48">
        <f>IF(t&lt;Tnet,'2023'!Resal+('2023'!Salim-'2023'!Resal)*(1-EXP(('2023'!Tnet-t)/('2023'!Tau_j))),Resal+(Salim-Resal)*(1-EXP((Tnet-t)/(Tau_j))))*Salcycl</f>
        <v>5.1436106450986382E-2</v>
      </c>
      <c r="P81" s="169">
        <f>(INDEX(Models!$BJ81:$BT81,,T81)*(1-R81)+INDEX(Models!$BJ81:$BT81,,T81+1)*R81-ERP_i)*Q81*Ramure*Pc/MaxiM</f>
        <v>1.1589735284727046E-3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42.906937136210182</v>
      </c>
      <c r="W81" s="400">
        <f t="shared" si="34"/>
        <v>31.870363015632442</v>
      </c>
      <c r="X81" s="157">
        <f t="shared" si="35"/>
        <v>45358</v>
      </c>
      <c r="Y81" s="383">
        <f t="shared" si="36"/>
        <v>30.517350388677812</v>
      </c>
      <c r="Z81" s="383">
        <f t="shared" si="37"/>
        <v>31.635123565498688</v>
      </c>
      <c r="AA81" s="384">
        <f t="shared" si="38"/>
        <v>34.829170538209333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9.1706087838256636E-2</v>
      </c>
      <c r="AD81" s="230">
        <f>(INDEX(Models!$BJ81:$BT81,,AH81)*(1-AF81)+INDEX(Models!$BJ81:$BT81,,AH81+1)*AF81-ERP_i)*AE81*Ramure*Pc/MaxiM</f>
        <v>1.1589735284727046E-3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'2023'!Wh/'2023'!Env_an*'2024'!Env_an</f>
        <v>31.073356914093463</v>
      </c>
      <c r="C82" s="829"/>
      <c r="D82" s="391">
        <f t="shared" si="25"/>
        <v>32.212112538134598</v>
      </c>
      <c r="E82" s="383">
        <f t="shared" si="47"/>
        <v>33.960441584299794</v>
      </c>
      <c r="F82" s="383">
        <f t="shared" si="26"/>
        <v>33.982902665846957</v>
      </c>
      <c r="G82" s="110">
        <f t="shared" si="48"/>
        <v>0.71791094376091846</v>
      </c>
      <c r="H82" s="412" t="b">
        <f>Wh_hp&gt;='2023'!Maxi_hp</f>
        <v>0</v>
      </c>
      <c r="I82" s="388">
        <f>IF(H82,Wh_hp,'2023'!Maxi_hp)</f>
        <v>45.223150143497143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3.5351783360777933E-2</v>
      </c>
      <c r="M82" s="832"/>
      <c r="N82" s="832"/>
      <c r="O82" s="48">
        <f>IF(t&lt;Tnet,'2023'!Resal+('2023'!Salim-'2023'!Resal)*(1-EXP(('2023'!Tnet-t)/('2023'!Tau_j))),Resal+(Salim-Resal)*(1-EXP((Tnet-t)/(Tau_j))))*Salcycl</f>
        <v>5.1481340188858547E-2</v>
      </c>
      <c r="P82" s="169">
        <f>(INDEX(Models!$BJ82:$BT82,,T82)*(1-R82)+INDEX(Models!$BJ82:$BT82,,T82+1)*R82-ERP_i)*Q82*Ramure*Pc/MaxiM</f>
        <v>1.1062468166091457E-3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43.263737989511711</v>
      </c>
      <c r="W82" s="400">
        <f t="shared" si="34"/>
        <v>31.073356914093463</v>
      </c>
      <c r="X82" s="157">
        <f t="shared" si="35"/>
        <v>45359</v>
      </c>
      <c r="Y82" s="383">
        <f t="shared" si="36"/>
        <v>29.755299370040593</v>
      </c>
      <c r="Z82" s="383">
        <f t="shared" si="37"/>
        <v>30.845751701803081</v>
      </c>
      <c r="AA82" s="384">
        <f t="shared" si="38"/>
        <v>33.960441584299794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9.171523505562014E-2</v>
      </c>
      <c r="AD82" s="230">
        <f>(INDEX(Models!$BJ82:$BT82,,AH82)*(1-AF82)+INDEX(Models!$BJ82:$BT82,,AH82+1)*AF82-ERP_i)*AE82*Ramure*Pc/MaxiM</f>
        <v>1.1062468166091457E-3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'2023'!Wh/'2023'!Env_an*'2024'!Env_an</f>
        <v>24.736847562566663</v>
      </c>
      <c r="C83" s="829"/>
      <c r="D83" s="391">
        <f t="shared" si="25"/>
        <v>25.643878484403288</v>
      </c>
      <c r="E83" s="383">
        <f t="shared" si="47"/>
        <v>27.037003570885812</v>
      </c>
      <c r="F83" s="383">
        <f t="shared" si="26"/>
        <v>27.047911639022885</v>
      </c>
      <c r="G83" s="110">
        <f t="shared" si="48"/>
        <v>0.56671258275797365</v>
      </c>
      <c r="H83" s="412" t="b">
        <f>Wh_hp&gt;='2023'!Maxi_hp</f>
        <v>0</v>
      </c>
      <c r="I83" s="388">
        <f>IF(H83,Wh_hp,'2023'!Maxi_hp)</f>
        <v>44.941946667610743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3.5370270623778177E-2</v>
      </c>
      <c r="M83" s="832"/>
      <c r="N83" s="832"/>
      <c r="O83" s="48">
        <f>IF(t&lt;Tnet,'2023'!Resal+('2023'!Salim-'2023'!Resal)*(1-EXP(('2023'!Tnet-t)/('2023'!Tau_j))),Resal+(Salim-Resal)*(1-EXP((Tnet-t)/(Tau_j))))*Salcycl</f>
        <v>5.152660807363571E-2</v>
      </c>
      <c r="P83" s="169">
        <f>(INDEX(Models!$BJ83:$BT83,,T83)*(1-R83)+INDEX(Models!$BJ83:$BT83,,T83+1)*R83-ERP_i)*Q83*Ramure*Pc/MaxiM</f>
        <v>1.0569761802495564E-3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43.621178668810266</v>
      </c>
      <c r="W83" s="400">
        <f t="shared" si="34"/>
        <v>24.736847562566663</v>
      </c>
      <c r="X83" s="157">
        <f t="shared" si="35"/>
        <v>45360</v>
      </c>
      <c r="Y83" s="383">
        <f t="shared" si="36"/>
        <v>23.688458353606944</v>
      </c>
      <c r="Z83" s="383">
        <f t="shared" si="37"/>
        <v>24.55704777928117</v>
      </c>
      <c r="AA83" s="384">
        <f t="shared" si="38"/>
        <v>27.037003570885812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9.1724505827825001E-2</v>
      </c>
      <c r="AD83" s="230">
        <f>(INDEX(Models!$BJ83:$BT83,,AH83)*(1-AF83)+INDEX(Models!$BJ83:$BT83,,AH83+1)*AF83-ERP_i)*AE83*Ramure*Pc/MaxiM</f>
        <v>1.0569761802495564E-3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'2023'!Wh/'2023'!Env_an*'2024'!Env_an</f>
        <v>15.341861282629383</v>
      </c>
      <c r="C84" s="829"/>
      <c r="D84" s="391">
        <f t="shared" si="25"/>
        <v>15.904709179403822</v>
      </c>
      <c r="E84" s="383">
        <f t="shared" si="47"/>
        <v>16.769546982580525</v>
      </c>
      <c r="F84" s="383">
        <f t="shared" si="26"/>
        <v>16.770730257131486</v>
      </c>
      <c r="G84" s="110">
        <f t="shared" si="48"/>
        <v>0.34851896707698732</v>
      </c>
      <c r="H84" s="412" t="b">
        <f>Wh_hp&gt;='2023'!Maxi_hp</f>
        <v>0</v>
      </c>
      <c r="I84" s="388">
        <f>IF(H84,Wh_hp,'2023'!Maxi_hp)</f>
        <v>33.644561072825525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3.538875753247428E-2</v>
      </c>
      <c r="M84" s="832"/>
      <c r="N84" s="832"/>
      <c r="O84" s="48">
        <f>IF(t&lt;Tnet,'2023'!Resal+('2023'!Salim-'2023'!Resal)*(1-EXP(('2023'!Tnet-t)/('2023'!Tau_j))),Resal+(Salim-Resal)*(1-EXP((Tnet-t)/(Tau_j))))*Salcycl</f>
        <v>5.1571924040348757E-2</v>
      </c>
      <c r="P84" s="169">
        <f>(INDEX(Models!$BJ84:$BT84,,T84)*(1-R84)+INDEX(Models!$BJ84:$BT84,,T84+1)*R84-ERP_i)*Q84*Ramure*Pc/MaxiM</f>
        <v>1.0110970592158406E-3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43.978755995834092</v>
      </c>
      <c r="W84" s="400">
        <f t="shared" si="34"/>
        <v>15.341861282629383</v>
      </c>
      <c r="X84" s="157">
        <f t="shared" si="35"/>
        <v>45361</v>
      </c>
      <c r="Y84" s="383">
        <f t="shared" si="36"/>
        <v>14.692197004685168</v>
      </c>
      <c r="Z84" s="383">
        <f t="shared" si="37"/>
        <v>15.231210624398036</v>
      </c>
      <c r="AA84" s="384">
        <f t="shared" si="38"/>
        <v>16.769546982580525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9.1733924582485471E-2</v>
      </c>
      <c r="AD84" s="230">
        <f>(INDEX(Models!$BJ84:$BT84,,AH84)*(1-AF84)+INDEX(Models!$BJ84:$BT84,,AH84+1)*AF84-ERP_i)*AE84*Ramure*Pc/MaxiM</f>
        <v>1.0110970592158406E-3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'2023'!Wh/'2023'!Env_an*'2024'!Env_an</f>
        <v>15.968430134982338</v>
      </c>
      <c r="C85" s="829"/>
      <c r="D85" s="391">
        <f t="shared" si="25"/>
        <v>16.554582270178777</v>
      </c>
      <c r="E85" s="383">
        <f t="shared" si="47"/>
        <v>17.455592895718791</v>
      </c>
      <c r="F85" s="383">
        <f t="shared" si="26"/>
        <v>17.457046223228307</v>
      </c>
      <c r="G85" s="110">
        <f t="shared" si="48"/>
        <v>0.3598498768749821</v>
      </c>
      <c r="H85" s="412" t="b">
        <f>Wh_hp&gt;='2023'!Maxi_hp</f>
        <v>0</v>
      </c>
      <c r="I85" s="388">
        <f>IF(H85,Wh_hp,'2023'!Maxi_hp)</f>
        <v>43.401527185164618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3.5407244086873013E-2</v>
      </c>
      <c r="M85" s="832"/>
      <c r="N85" s="832"/>
      <c r="O85" s="48">
        <f>IF(t&lt;Tnet,'2023'!Resal+('2023'!Salim-'2023'!Resal)*(1-EXP(('2023'!Tnet-t)/('2023'!Tau_j))),Resal+(Salim-Resal)*(1-EXP((Tnet-t)/(Tau_j))))*Salcycl</f>
        <v>5.1617302885254533E-2</v>
      </c>
      <c r="P85" s="169">
        <f>(INDEX(Models!$BJ85:$BT85,,T85)*(1-R85)+INDEX(Models!$BJ85:$BT85,,T85+1)*R85-ERP_i)*Q85*Ramure*Pc/MaxiM</f>
        <v>9.6854482010413966E-4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44.335966859383767</v>
      </c>
      <c r="W85" s="400">
        <f t="shared" si="34"/>
        <v>15.968430134982338</v>
      </c>
      <c r="X85" s="157">
        <f t="shared" si="35"/>
        <v>45362</v>
      </c>
      <c r="Y85" s="383">
        <f t="shared" si="36"/>
        <v>15.292803458258762</v>
      </c>
      <c r="Z85" s="383">
        <f t="shared" si="37"/>
        <v>15.854155408602363</v>
      </c>
      <c r="AA85" s="384">
        <f t="shared" si="38"/>
        <v>17.455592895718791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9.1743517202970568E-2</v>
      </c>
      <c r="AD85" s="230">
        <f>(INDEX(Models!$BJ85:$BT85,,AH85)*(1-AF85)+INDEX(Models!$BJ85:$BT85,,AH85+1)*AF85-ERP_i)*AE85*Ramure*Pc/MaxiM</f>
        <v>9.6854482010413966E-4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'2023'!Wh/'2023'!Env_an*'2024'!Env_an</f>
        <v>8.9544151684968867</v>
      </c>
      <c r="C86" s="829"/>
      <c r="D86" s="391">
        <f t="shared" si="25"/>
        <v>9.2832822206225902</v>
      </c>
      <c r="E86" s="383">
        <f t="shared" si="47"/>
        <v>9.7890094696441565</v>
      </c>
      <c r="F86" s="383">
        <f t="shared" si="26"/>
        <v>9.7890094696441565</v>
      </c>
      <c r="G86" s="110">
        <f t="shared" si="48"/>
        <v>0.20017078081874168</v>
      </c>
      <c r="H86" s="412" t="b">
        <f>Wh_hp&gt;='2023'!Maxi_hp</f>
        <v>0</v>
      </c>
      <c r="I86" s="388">
        <f>IF(H86,Wh_hp,'2023'!Maxi_hp)</f>
        <v>43.4645843753053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3.542573028698115E-2</v>
      </c>
      <c r="M86" s="832"/>
      <c r="N86" s="832"/>
      <c r="O86" s="48">
        <f>IF(t&lt;Tnet,'2023'!Resal+('2023'!Salim-'2023'!Resal)*(1-EXP(('2023'!Tnet-t)/('2023'!Tau_j))),Resal+(Salim-Resal)*(1-EXP((Tnet-t)/(Tau_j))))*Salcycl</f>
        <v>5.1662760220003129E-2</v>
      </c>
      <c r="P86" s="169">
        <f>(INDEX(Models!$BJ86:$BT86,,T86)*(1-R86)+INDEX(Models!$BJ86:$BT86,,T86+1)*R86-ERP_i)*Q86*Ramure*Pc/MaxiM</f>
        <v>9.2944213794824663E-4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44.692299850793184</v>
      </c>
      <c r="W86" s="400">
        <f t="shared" si="34"/>
        <v>8.9544151684968867</v>
      </c>
      <c r="X86" s="157">
        <f t="shared" si="35"/>
        <v>45363</v>
      </c>
      <c r="Y86" s="383">
        <f t="shared" si="36"/>
        <v>8.5758711016436706</v>
      </c>
      <c r="Z86" s="383">
        <f t="shared" si="37"/>
        <v>8.8908354399658336</v>
      </c>
      <c r="AA86" s="384">
        <f t="shared" si="38"/>
        <v>9.7890094696441565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9.1753310941579097E-2</v>
      </c>
      <c r="AD86" s="230">
        <f>(INDEX(Models!$BJ86:$BT86,,AH86)*(1-AF86)+INDEX(Models!$BJ86:$BT86,,AH86+1)*AF86-ERP_i)*AE86*Ramure*Pc/MaxiM</f>
        <v>9.2944213794824663E-4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'2023'!Wh/'2023'!Env_an*'2024'!Env_an</f>
        <v>14.428050071673622</v>
      </c>
      <c r="C87" s="829"/>
      <c r="D87" s="391">
        <f t="shared" si="25"/>
        <v>14.958232911970342</v>
      </c>
      <c r="E87" s="383">
        <f t="shared" si="47"/>
        <v>15.773873279617117</v>
      </c>
      <c r="F87" s="383">
        <f t="shared" si="26"/>
        <v>15.774281299914183</v>
      </c>
      <c r="G87" s="110">
        <f t="shared" si="48"/>
        <v>0.32000904954153547</v>
      </c>
      <c r="H87" s="412" t="b">
        <f>Wh_hp&gt;='2023'!Maxi_hp</f>
        <v>0</v>
      </c>
      <c r="I87" s="388">
        <f>IF(H87,Wh_hp,'2023'!Maxi_hp)</f>
        <v>41.9627960937136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3.5444216132805351E-2</v>
      </c>
      <c r="M87" s="832"/>
      <c r="N87" s="832"/>
      <c r="O87" s="48">
        <f>IF(t&lt;Tnet,'2023'!Resal+('2023'!Salim-'2023'!Resal)*(1-EXP(('2023'!Tnet-t)/('2023'!Tau_j))),Resal+(Salim-Resal)*(1-EXP((Tnet-t)/(Tau_j))))*Salcycl</f>
        <v>5.1708312421955366E-2</v>
      </c>
      <c r="P87" s="169">
        <f>(INDEX(Models!$BJ87:$BT87,,T87)*(1-R87)+INDEX(Models!$BJ87:$BT87,,T87+1)*R87-ERP_i)*Q87*Ramure*Pc/MaxiM</f>
        <v>8.9252459625014866E-4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45.047305936391204</v>
      </c>
      <c r="W87" s="400">
        <f t="shared" si="34"/>
        <v>14.428050071673622</v>
      </c>
      <c r="X87" s="157">
        <f t="shared" si="35"/>
        <v>45364</v>
      </c>
      <c r="Y87" s="383">
        <f t="shared" si="36"/>
        <v>13.818621697231244</v>
      </c>
      <c r="Z87" s="383">
        <f t="shared" si="37"/>
        <v>14.326410072238877</v>
      </c>
      <c r="AA87" s="384">
        <f t="shared" si="38"/>
        <v>15.773873279617117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9.1763334326302765E-2</v>
      </c>
      <c r="AD87" s="230">
        <f>(INDEX(Models!$BJ87:$BT87,,AH87)*(1-AF87)+INDEX(Models!$BJ87:$BT87,,AH87+1)*AF87-ERP_i)*AE87*Ramure*Pc/MaxiM</f>
        <v>8.9252459625014866E-4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'2023'!Wh/'2023'!Env_an*'2024'!Env_an</f>
        <v>13.733550358371991</v>
      </c>
      <c r="C88" s="829"/>
      <c r="D88" s="391">
        <f t="shared" si="25"/>
        <v>14.238485522022128</v>
      </c>
      <c r="E88" s="383">
        <f t="shared" si="47"/>
        <v>15.015602671009496</v>
      </c>
      <c r="F88" s="383">
        <f t="shared" si="26"/>
        <v>15.01564863121774</v>
      </c>
      <c r="G88" s="110">
        <f t="shared" si="48"/>
        <v>0.30223935285301706</v>
      </c>
      <c r="H88" s="412" t="b">
        <f>Wh_hp&gt;='2023'!Maxi_hp</f>
        <v>0</v>
      </c>
      <c r="I88" s="388">
        <f>IF(H88,Wh_hp,'2023'!Maxi_hp)</f>
        <v>33.906662518762403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3.5462701624352722E-2</v>
      </c>
      <c r="M88" s="832"/>
      <c r="N88" s="832"/>
      <c r="O88" s="48">
        <f>IF(t&lt;Tnet,'2023'!Resal+('2023'!Salim-'2023'!Resal)*(1-EXP(('2023'!Tnet-t)/('2023'!Tau_j))),Resal+(Salim-Resal)*(1-EXP((Tnet-t)/(Tau_j))))*Salcycl</f>
        <v>5.1753976581155985E-2</v>
      </c>
      <c r="P88" s="169">
        <f>(INDEX(Models!$BJ88:$BT88,,T88)*(1-R88)+INDEX(Models!$BJ88:$BT88,,T88+1)*R88-ERP_i)*Q88*Ramure*Pc/MaxiM</f>
        <v>8.5775173396458206E-4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45.400482274123853</v>
      </c>
      <c r="W88" s="400">
        <f t="shared" si="34"/>
        <v>13.733550358371991</v>
      </c>
      <c r="X88" s="157">
        <f t="shared" si="35"/>
        <v>45365</v>
      </c>
      <c r="Y88" s="383">
        <f t="shared" si="36"/>
        <v>13.153941549797736</v>
      </c>
      <c r="Z88" s="383">
        <f t="shared" si="37"/>
        <v>13.637566501523533</v>
      </c>
      <c r="AA88" s="384">
        <f t="shared" si="38"/>
        <v>15.015602671009496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9.177361706210603E-2</v>
      </c>
      <c r="AD88" s="230">
        <f>(INDEX(Models!$BJ88:$BT88,,AH88)*(1-AF88)+INDEX(Models!$BJ88:$BT88,,AH88+1)*AF88-ERP_i)*AE88*Ramure*Pc/MaxiM</f>
        <v>8.5775173396458206E-4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'2023'!Wh/'2023'!Env_an*'2024'!Env_an</f>
        <v>13.706647285997304</v>
      </c>
      <c r="C89" s="829"/>
      <c r="D89" s="391">
        <f t="shared" si="25"/>
        <v>14.210865664690623</v>
      </c>
      <c r="E89" s="383">
        <f t="shared" si="47"/>
        <v>14.987199139734523</v>
      </c>
      <c r="F89" s="383">
        <f t="shared" si="26"/>
        <v>14.987199139734523</v>
      </c>
      <c r="G89" s="110">
        <f t="shared" si="48"/>
        <v>0.29934297709609581</v>
      </c>
      <c r="H89" s="412" t="b">
        <f>Wh_hp&gt;='2023'!Maxi_hp</f>
        <v>0</v>
      </c>
      <c r="I89" s="388">
        <f>IF(H89,Wh_hp,'2023'!Maxi_hp)</f>
        <v>50.695816320188271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3.5481186761629702E-2</v>
      </c>
      <c r="M89" s="832"/>
      <c r="N89" s="832"/>
      <c r="O89" s="48">
        <f>IF(t&lt;Tnet,'2023'!Resal+('2023'!Salim-'2023'!Resal)*(1-EXP(('2023'!Tnet-t)/('2023'!Tau_j))),Resal+(Salim-Resal)*(1-EXP((Tnet-t)/(Tau_j))))*Salcycl</f>
        <v>5.1799770444476208E-2</v>
      </c>
      <c r="P89" s="169">
        <f>(INDEX(Models!$BJ89:$BT89,,T89)*(1-R89)+INDEX(Models!$BJ89:$BT89,,T89+1)*R89-ERP_i)*Q89*Ramure*Pc/MaxiM</f>
        <v>8.2508334915019953E-4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45.751326095592482</v>
      </c>
      <c r="W89" s="400">
        <f t="shared" si="34"/>
        <v>13.706647285997304</v>
      </c>
      <c r="X89" s="157">
        <f t="shared" si="35"/>
        <v>45366</v>
      </c>
      <c r="Y89" s="383">
        <f t="shared" si="36"/>
        <v>13.128655088032657</v>
      </c>
      <c r="Z89" s="383">
        <f t="shared" si="37"/>
        <v>13.611611207409444</v>
      </c>
      <c r="AA89" s="384">
        <f t="shared" si="38"/>
        <v>14.987199139734523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9.1784189927661519E-2</v>
      </c>
      <c r="AD89" s="230">
        <f>(INDEX(Models!$BJ89:$BT89,,AH89)*(1-AF89)+INDEX(Models!$BJ89:$BT89,,AH89+1)*AF89-ERP_i)*AE89*Ramure*Pc/MaxiM</f>
        <v>8.2508334915019953E-4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'2023'!Wh/'2023'!Env_an*'2024'!Env_an</f>
        <v>11.511732766574815</v>
      </c>
      <c r="C90" s="829"/>
      <c r="D90" s="391">
        <f t="shared" si="25"/>
        <v>11.935436854656968</v>
      </c>
      <c r="E90" s="383">
        <f t="shared" si="47"/>
        <v>12.588074546741355</v>
      </c>
      <c r="F90" s="383">
        <f t="shared" si="26"/>
        <v>12.588074546741355</v>
      </c>
      <c r="G90" s="110">
        <f t="shared" si="48"/>
        <v>0.24951741712520584</v>
      </c>
      <c r="H90" s="412" t="b">
        <f>Wh_hp&gt;='2023'!Maxi_hp</f>
        <v>0</v>
      </c>
      <c r="I90" s="388">
        <f>IF(H90,Wh_hp,'2023'!Maxi_hp)</f>
        <v>27.308423529990701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3.5499671544643396E-2</v>
      </c>
      <c r="M90" s="832"/>
      <c r="N90" s="832"/>
      <c r="O90" s="48">
        <f>IF(t&lt;Tnet,'2023'!Resal+('2023'!Salim-'2023'!Resal)*(1-EXP(('2023'!Tnet-t)/('2023'!Tau_j))),Resal+(Salim-Resal)*(1-EXP((Tnet-t)/(Tau_j))))*Salcycl</f>
        <v>5.1845712357441821E-2</v>
      </c>
      <c r="P90" s="169">
        <f>(INDEX(Models!$BJ90:$BT90,,T90)*(1-R90)+INDEX(Models!$BJ90:$BT90,,T90+1)*R90-ERP_i)*Q90*Ramure*Pc/MaxiM</f>
        <v>7.9447975538126227E-4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46.099334709650769</v>
      </c>
      <c r="W90" s="400">
        <f t="shared" si="34"/>
        <v>11.511732766574815</v>
      </c>
      <c r="X90" s="157">
        <f t="shared" si="35"/>
        <v>45367</v>
      </c>
      <c r="Y90" s="383">
        <f t="shared" si="36"/>
        <v>11.026699366176999</v>
      </c>
      <c r="Z90" s="383">
        <f t="shared" si="37"/>
        <v>11.432551177910135</v>
      </c>
      <c r="AA90" s="384">
        <f t="shared" si="38"/>
        <v>12.588074546741355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9.1795084668476898E-2</v>
      </c>
      <c r="AD90" s="230">
        <f>(INDEX(Models!$BJ90:$BT90,,AH90)*(1-AF90)+INDEX(Models!$BJ90:$BT90,,AH90+1)*AF90-ERP_i)*AE90*Ramure*Pc/MaxiM</f>
        <v>7.9447975538126227E-4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'2023'!Wh/'2023'!Env_an*'2024'!Env_an</f>
        <v>14.88237915385066</v>
      </c>
      <c r="C91" s="829"/>
      <c r="D91" s="391">
        <f t="shared" si="25"/>
        <v>15.430439925876112</v>
      </c>
      <c r="E91" s="383">
        <f t="shared" si="47"/>
        <v>16.27497818389816</v>
      </c>
      <c r="F91" s="383">
        <f t="shared" si="26"/>
        <v>16.275342118269865</v>
      </c>
      <c r="G91" s="110">
        <f t="shared" si="48"/>
        <v>0.32019876599048031</v>
      </c>
      <c r="H91" s="412" t="b">
        <f>Wh_hp&gt;='2023'!Maxi_hp</f>
        <v>0</v>
      </c>
      <c r="I91" s="388">
        <f>IF(H91,Wh_hp,'2023'!Maxi_hp)</f>
        <v>34.112652515484889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3.5518155973400356E-2</v>
      </c>
      <c r="M91" s="832"/>
      <c r="N91" s="832"/>
      <c r="O91" s="48">
        <f>IF(t&lt;Tnet,'2023'!Resal+('2023'!Salim-'2023'!Resal)*(1-EXP(('2023'!Tnet-t)/('2023'!Tau_j))),Resal+(Salim-Resal)*(1-EXP((Tnet-t)/(Tau_j))))*Salcycl</f>
        <v>5.1891821204258365E-2</v>
      </c>
      <c r="P91" s="169">
        <f>(INDEX(Models!$BJ91:$BT91,,T91)*(1-R91)+INDEX(Models!$BJ91:$BT91,,T91+1)*R91-ERP_i)*Q91*Ramure*Pc/MaxiM</f>
        <v>7.6590202696887229E-4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46.444005498416217</v>
      </c>
      <c r="W91" s="400">
        <f t="shared" si="34"/>
        <v>14.88237915385066</v>
      </c>
      <c r="X91" s="157">
        <f t="shared" si="35"/>
        <v>45368</v>
      </c>
      <c r="Y91" s="383">
        <f t="shared" si="36"/>
        <v>14.2558442026964</v>
      </c>
      <c r="Z91" s="383">
        <f t="shared" si="37"/>
        <v>14.780832102738094</v>
      </c>
      <c r="AA91" s="384">
        <f t="shared" si="38"/>
        <v>16.27497818389816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9.1806333887336181E-2</v>
      </c>
      <c r="AD91" s="230">
        <f>(INDEX(Models!$BJ91:$BT91,,AH91)*(1-AF91)+INDEX(Models!$BJ91:$BT91,,AH91+1)*AF91-ERP_i)*AE91*Ramure*Pc/MaxiM</f>
        <v>7.6590202696887229E-4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'2023'!Wh/'2023'!Env_an*'2024'!Env_an</f>
        <v>28.434467691106811</v>
      </c>
      <c r="C92" s="829"/>
      <c r="D92" s="391">
        <f t="shared" si="25"/>
        <v>29.482164768311389</v>
      </c>
      <c r="E92" s="383">
        <f t="shared" si="47"/>
        <v>31.097299951242043</v>
      </c>
      <c r="F92" s="383">
        <f t="shared" si="26"/>
        <v>31.107411587981971</v>
      </c>
      <c r="G92" s="110">
        <f t="shared" si="48"/>
        <v>0.60751917013924628</v>
      </c>
      <c r="H92" s="412" t="b">
        <f>Wh_hp&gt;='2023'!Maxi_hp</f>
        <v>0</v>
      </c>
      <c r="I92" s="388">
        <f>IF(H92,Wh_hp,'2023'!Maxi_hp)</f>
        <v>46.811989092410982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3.5536640047907353E-2</v>
      </c>
      <c r="M92" s="832"/>
      <c r="N92" s="832"/>
      <c r="O92" s="48">
        <f>IF(t&lt;Tnet,'2023'!Resal+('2023'!Salim-'2023'!Resal)*(1-EXP(('2023'!Tnet-t)/('2023'!Tau_j))),Resal+(Salim-Resal)*(1-EXP((Tnet-t)/(Tau_j))))*Salcycl</f>
        <v>5.1938116346533336E-2</v>
      </c>
      <c r="P92" s="169">
        <f>(INDEX(Models!$BJ92:$BT92,,T92)*(1-R92)+INDEX(Models!$BJ92:$BT92,,T92+1)*R92-ERP_i)*Q92*Ramure*Pc/MaxiM</f>
        <v>7.3931223342201782E-4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46.784835919076237</v>
      </c>
      <c r="W92" s="400">
        <f t="shared" si="34"/>
        <v>28.434467691106811</v>
      </c>
      <c r="X92" s="157">
        <f t="shared" si="35"/>
        <v>45369</v>
      </c>
      <c r="Y92" s="383">
        <f t="shared" si="36"/>
        <v>27.23838286129202</v>
      </c>
      <c r="Z92" s="383">
        <f t="shared" si="37"/>
        <v>28.242008968225626</v>
      </c>
      <c r="AA92" s="384">
        <f t="shared" si="38"/>
        <v>31.097299951242043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9.1817970932951548E-2</v>
      </c>
      <c r="AD92" s="230">
        <f>(INDEX(Models!$BJ92:$BT92,,AH92)*(1-AF92)+INDEX(Models!$BJ92:$BT92,,AH92+1)*AF92-ERP_i)*AE92*Ramure*Pc/MaxiM</f>
        <v>7.3931223342201782E-4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'2023'!Wh/'2023'!Env_an*'2024'!Env_an</f>
        <v>31.573881154439867</v>
      </c>
      <c r="C93" s="829"/>
      <c r="D93" s="391">
        <f t="shared" si="25"/>
        <v>32.737880549277023</v>
      </c>
      <c r="E93" s="383">
        <f t="shared" si="47"/>
        <v>34.533068930861688</v>
      </c>
      <c r="F93" s="383">
        <f t="shared" si="26"/>
        <v>34.546118549381042</v>
      </c>
      <c r="G93" s="110">
        <f t="shared" si="48"/>
        <v>0.66978668392577234</v>
      </c>
      <c r="H93" s="412" t="b">
        <f>Wh_hp&gt;='2023'!Maxi_hp</f>
        <v>0</v>
      </c>
      <c r="I93" s="388">
        <f>IF(H93,Wh_hp,'2023'!Maxi_hp)</f>
        <v>50.974512464979433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3.5555123768171493E-2</v>
      </c>
      <c r="M93" s="832"/>
      <c r="N93" s="832"/>
      <c r="O93" s="48">
        <f>IF(t&lt;Tnet,'2023'!Resal+('2023'!Salim-'2023'!Resal)*(1-EXP(('2023'!Tnet-t)/('2023'!Tau_j))),Resal+(Salim-Resal)*(1-EXP((Tnet-t)/(Tau_j))))*Salcycl</f>
        <v>5.1984617561178698E-2</v>
      </c>
      <c r="P93" s="169">
        <f>(INDEX(Models!$BJ93:$BT93,,T93)*(1-R93)+INDEX(Models!$BJ93:$BT93,,T93+1)*R93-ERP_i)*Q93*Ramure*Pc/MaxiM</f>
        <v>7.1462831258285297E-4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47.124317598676406</v>
      </c>
      <c r="W93" s="400">
        <f t="shared" si="34"/>
        <v>31.573881154439867</v>
      </c>
      <c r="X93" s="157">
        <f t="shared" si="35"/>
        <v>45370</v>
      </c>
      <c r="Y93" s="383">
        <f t="shared" si="36"/>
        <v>30.24682008191488</v>
      </c>
      <c r="Z93" s="383">
        <f t="shared" si="37"/>
        <v>31.361896182280404</v>
      </c>
      <c r="AA93" s="384">
        <f t="shared" si="38"/>
        <v>34.533068930861688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9.1830029787687173E-2</v>
      </c>
      <c r="AD93" s="230">
        <f>(INDEX(Models!$BJ93:$BT93,,AH93)*(1-AF93)+INDEX(Models!$BJ93:$BT93,,AH93+1)*AF93-ERP_i)*AE93*Ramure*Pc/MaxiM</f>
        <v>7.1462831258285297E-4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'2023'!Wh/'2023'!Env_an*'2024'!Env_an</f>
        <v>44.69590602105032</v>
      </c>
      <c r="C94" s="829"/>
      <c r="D94" s="391">
        <f t="shared" si="25"/>
        <v>46.344548792610368</v>
      </c>
      <c r="E94" s="383">
        <f t="shared" si="47"/>
        <v>48.888271302106027</v>
      </c>
      <c r="F94" s="383">
        <f t="shared" si="26"/>
        <v>48.919303834678793</v>
      </c>
      <c r="G94" s="110">
        <f t="shared" si="48"/>
        <v>0.94161133879489967</v>
      </c>
      <c r="H94" s="412" t="b">
        <f>Wh_hp&gt;='2023'!Maxi_hp</f>
        <v>0</v>
      </c>
      <c r="I94" s="388">
        <f>IF(H94,Wh_hp,'2023'!Maxi_hp)</f>
        <v>52.150714918937091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3.5573607134199214E-2</v>
      </c>
      <c r="M94" s="832"/>
      <c r="N94" s="832"/>
      <c r="O94" s="48">
        <f>IF(t&lt;Tnet,'2023'!Resal+('2023'!Salim-'2023'!Resal)*(1-EXP(('2023'!Tnet-t)/('2023'!Tau_j))),Resal+(Salim-Resal)*(1-EXP((Tnet-t)/(Tau_j))))*Salcycl</f>
        <v>5.2031344977953517E-2</v>
      </c>
      <c r="P94" s="169">
        <f>(INDEX(Models!$BJ94:$BT94,,T94)*(1-R94)+INDEX(Models!$BJ94:$BT94,,T94+1)*R94-ERP_i)*Q94*Ramure*Pc/MaxiM</f>
        <v>6.9203200638889102E-4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47.464728722695739</v>
      </c>
      <c r="W94" s="400">
        <f t="shared" si="34"/>
        <v>44.69590602105032</v>
      </c>
      <c r="X94" s="157">
        <f t="shared" si="35"/>
        <v>45371</v>
      </c>
      <c r="Y94" s="383">
        <f t="shared" si="36"/>
        <v>42.818842213781821</v>
      </c>
      <c r="Z94" s="383">
        <f t="shared" si="37"/>
        <v>44.398248047261838</v>
      </c>
      <c r="AA94" s="384">
        <f t="shared" si="38"/>
        <v>48.888271302106027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9.1842544955169442E-2</v>
      </c>
      <c r="AD94" s="230">
        <f>(INDEX(Models!$BJ94:$BT94,,AH94)*(1-AF94)+INDEX(Models!$BJ94:$BT94,,AH94+1)*AF94-ERP_i)*AE94*Ramure*Pc/MaxiM</f>
        <v>6.9203200638889102E-4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'2023'!Wh/'2023'!Env_an*'2024'!Env_an</f>
        <v>42.435451423914479</v>
      </c>
      <c r="C95" s="829"/>
      <c r="D95" s="391">
        <f t="shared" si="25"/>
        <v>44.001558873919429</v>
      </c>
      <c r="E95" s="383">
        <f t="shared" si="47"/>
        <v>46.418981395481097</v>
      </c>
      <c r="F95" s="383">
        <f t="shared" si="26"/>
        <v>46.445114222571689</v>
      </c>
      <c r="G95" s="110">
        <f t="shared" si="48"/>
        <v>0.88757651490556522</v>
      </c>
      <c r="H95" s="412" t="b">
        <f>Wh_hp&gt;='2023'!Maxi_hp</f>
        <v>0</v>
      </c>
      <c r="I95" s="388">
        <f>IF(H95,Wh_hp,'2023'!Maxi_hp)</f>
        <v>50.892769880316351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3.5592090145997402E-2</v>
      </c>
      <c r="M95" s="832"/>
      <c r="N95" s="832"/>
      <c r="O95" s="48">
        <f>IF(t&lt;Tnet,'2023'!Resal+('2023'!Salim-'2023'!Resal)*(1-EXP(('2023'!Tnet-t)/('2023'!Tau_j))),Resal+(Salim-Resal)*(1-EXP((Tnet-t)/(Tau_j))))*Salcycl</f>
        <v>5.20783190170779E-2</v>
      </c>
      <c r="P95" s="169">
        <f>(INDEX(Models!$BJ95:$BT95,,T95)*(1-R95)+INDEX(Models!$BJ95:$BT95,,T95+1)*R95-ERP_i)*Q95*Ramure*Pc/MaxiM</f>
        <v>6.7020764053628745E-4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47.805326444335577</v>
      </c>
      <c r="W95" s="400">
        <f t="shared" si="34"/>
        <v>42.435451423914479</v>
      </c>
      <c r="X95" s="157">
        <f t="shared" si="35"/>
        <v>45372</v>
      </c>
      <c r="Y95" s="383">
        <f t="shared" si="36"/>
        <v>40.654750713883914</v>
      </c>
      <c r="Z95" s="383">
        <f t="shared" si="37"/>
        <v>42.155140266361414</v>
      </c>
      <c r="AA95" s="384">
        <f t="shared" si="38"/>
        <v>46.418981395481097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9.1855551348543188E-2</v>
      </c>
      <c r="AD95" s="230">
        <f>(INDEX(Models!$BJ95:$BT95,,AH95)*(1-AF95)+INDEX(Models!$BJ95:$BT95,,AH95+1)*AF95-ERP_i)*AE95*Ramure*Pc/MaxiM</f>
        <v>6.7020764053628745E-4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'2023'!Wh/'2023'!Env_an*'2024'!Env_an</f>
        <v>48.370235414257692</v>
      </c>
      <c r="C96" s="829"/>
      <c r="D96" s="391">
        <f t="shared" si="25"/>
        <v>50.156331094249573</v>
      </c>
      <c r="E96" s="383">
        <f t="shared" si="47"/>
        <v>52.914530654048846</v>
      </c>
      <c r="F96" s="383">
        <f t="shared" si="26"/>
        <v>52.948902458584222</v>
      </c>
      <c r="G96" s="110">
        <f t="shared" si="48"/>
        <v>1.0046718730909365</v>
      </c>
      <c r="H96" s="412" t="b">
        <f>Wh_hp&gt;='2023'!Maxi_hp</f>
        <v>0</v>
      </c>
      <c r="I96" s="388">
        <f>IF(H96,Wh_hp,'2023'!Maxi_hp)</f>
        <v>53.286062169656844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3.5610572803572937E-2</v>
      </c>
      <c r="M96" s="832"/>
      <c r="N96" s="832"/>
      <c r="O96" s="48">
        <f>IF(t&lt;Tnet,'2023'!Resal+('2023'!Salim-'2023'!Resal)*(1-EXP(('2023'!Tnet-t)/('2023'!Tau_j))),Resal+(Salim-Resal)*(1-EXP((Tnet-t)/(Tau_j))))*Salcycl</f>
        <v>5.212556032731671E-2</v>
      </c>
      <c r="P96" s="169">
        <f>(INDEX(Models!$BJ96:$BT96,,T96)*(1-R96)+INDEX(Models!$BJ96:$BT96,,T96+1)*R96-ERP_i)*Q96*Ramure*Pc/MaxiM</f>
        <v>6.4915046279307917E-4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48.145306651656917</v>
      </c>
      <c r="W96" s="400">
        <f t="shared" si="34"/>
        <v>48.370235414257692</v>
      </c>
      <c r="X96" s="157">
        <f t="shared" si="35"/>
        <v>45373</v>
      </c>
      <c r="Y96" s="383">
        <f t="shared" si="36"/>
        <v>46.342114890600897</v>
      </c>
      <c r="Z96" s="383">
        <f t="shared" si="37"/>
        <v>48.053321183043124</v>
      </c>
      <c r="AA96" s="384">
        <f t="shared" si="38"/>
        <v>52.914530654048846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9.1869084180070185E-2</v>
      </c>
      <c r="AD96" s="230">
        <f>(INDEX(Models!$BJ96:$BT96,,AH96)*(1-AF96)+INDEX(Models!$BJ96:$BT96,,AH96+1)*AF96-ERP_i)*AE96*Ramure*Pc/MaxiM</f>
        <v>6.4915046279307917E-4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'2023'!Wh/'2023'!Env_an*'2024'!Env_an</f>
        <v>47.576808206733027</v>
      </c>
      <c r="C97" s="829"/>
      <c r="D97" s="391">
        <f t="shared" si="25"/>
        <v>49.334551666743238</v>
      </c>
      <c r="E97" s="383">
        <f t="shared" si="47"/>
        <v>52.050169848441932</v>
      </c>
      <c r="F97" s="383">
        <f t="shared" si="26"/>
        <v>52.082046526807943</v>
      </c>
      <c r="G97" s="110">
        <f t="shared" si="48"/>
        <v>0.98127506291627076</v>
      </c>
      <c r="H97" s="412" t="b">
        <f>Wh_hp&gt;='2023'!Maxi_hp</f>
        <v>0</v>
      </c>
      <c r="I97" s="388">
        <f>IF(H97,Wh_hp,'2023'!Maxi_hp)</f>
        <v>52.432685420203406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3.5629055106932594E-2</v>
      </c>
      <c r="M97" s="832"/>
      <c r="N97" s="832"/>
      <c r="O97" s="48">
        <f>IF(t&lt;Tnet,'2023'!Resal+('2023'!Salim-'2023'!Resal)*(1-EXP(('2023'!Tnet-t)/('2023'!Tau_j))),Resal+(Salim-Resal)*(1-EXP((Tnet-t)/(Tau_j))))*Salcycl</f>
        <v>5.217308972489329E-2</v>
      </c>
      <c r="P97" s="169">
        <f>(INDEX(Models!$BJ97:$BT97,,T97)*(1-R97)+INDEX(Models!$BJ97:$BT97,,T97+1)*R97-ERP_i)*Q97*Ramure*Pc/MaxiM</f>
        <v>6.2885431739146281E-4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48.48386542463841</v>
      </c>
      <c r="W97" s="400">
        <f t="shared" si="34"/>
        <v>47.576808206733027</v>
      </c>
      <c r="X97" s="157">
        <f t="shared" si="35"/>
        <v>45374</v>
      </c>
      <c r="Y97" s="383">
        <f t="shared" si="36"/>
        <v>45.583533618488453</v>
      </c>
      <c r="Z97" s="383">
        <f t="shared" si="37"/>
        <v>47.267634782944342</v>
      </c>
      <c r="AA97" s="384">
        <f t="shared" si="38"/>
        <v>52.050169848441932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9.1883178852695979E-2</v>
      </c>
      <c r="AD97" s="230">
        <f>(INDEX(Models!$BJ97:$BT97,,AH97)*(1-AF97)+INDEX(Models!$BJ97:$BT97,,AH97+1)*AF97-ERP_i)*AE97*Ramure*Pc/MaxiM</f>
        <v>6.2885431739146281E-4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'2023'!Wh/'2023'!Env_an*'2024'!Env_an</f>
        <v>42.340171776437778</v>
      </c>
      <c r="C98" s="829"/>
      <c r="D98" s="391">
        <f t="shared" si="25"/>
        <v>43.905287126227961</v>
      </c>
      <c r="E98" s="383">
        <f t="shared" si="47"/>
        <v>46.324389754424438</v>
      </c>
      <c r="F98" s="383">
        <f t="shared" si="26"/>
        <v>46.347274899810365</v>
      </c>
      <c r="G98" s="110">
        <f t="shared" si="48"/>
        <v>0.86716724554789359</v>
      </c>
      <c r="H98" s="412" t="b">
        <f>Wh_hp&gt;='2023'!Maxi_hp</f>
        <v>0</v>
      </c>
      <c r="I98" s="388">
        <f>IF(H98,Wh_hp,'2023'!Maxi_hp)</f>
        <v>46.350209045253081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3.5647537056083145E-2</v>
      </c>
      <c r="M98" s="832"/>
      <c r="N98" s="832"/>
      <c r="O98" s="48">
        <f>IF(t&lt;Tnet,'2023'!Resal+('2023'!Salim-'2023'!Resal)*(1-EXP(('2023'!Tnet-t)/('2023'!Tau_j))),Resal+(Salim-Resal)*(1-EXP((Tnet-t)/(Tau_j))))*Salcycl</f>
        <v>5.2220928133552585E-2</v>
      </c>
      <c r="P98" s="169">
        <f>(INDEX(Models!$BJ98:$BT98,,T98)*(1-R98)+INDEX(Models!$BJ98:$BT98,,T98+1)*R98-ERP_i)*Q98*Ramure*Pc/MaxiM</f>
        <v>6.0931183312602343E-4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48.820199039789799</v>
      </c>
      <c r="W98" s="400">
        <f t="shared" si="34"/>
        <v>42.340171776437778</v>
      </c>
      <c r="X98" s="157">
        <f t="shared" si="35"/>
        <v>45375</v>
      </c>
      <c r="Y98" s="383">
        <f t="shared" si="36"/>
        <v>40.567682152832724</v>
      </c>
      <c r="Z98" s="383">
        <f t="shared" si="37"/>
        <v>42.067276967375761</v>
      </c>
      <c r="AA98" s="384">
        <f t="shared" si="38"/>
        <v>46.324389754424438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9.1897870854134311E-2</v>
      </c>
      <c r="AD98" s="230">
        <f>(INDEX(Models!$BJ98:$BT98,,AH98)*(1-AF98)+INDEX(Models!$BJ98:$BT98,,AH98+1)*AF98-ERP_i)*AE98*Ramure*Pc/MaxiM</f>
        <v>6.0931183312602343E-4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'2023'!Wh/'2023'!Env_an*'2024'!Env_an</f>
        <v>46.870471715117603</v>
      </c>
      <c r="C99" s="829"/>
      <c r="D99" s="391">
        <f t="shared" si="25"/>
        <v>48.603982252655193</v>
      </c>
      <c r="E99" s="383">
        <f t="shared" si="47"/>
        <v>51.284580965435495</v>
      </c>
      <c r="F99" s="383">
        <f t="shared" si="26"/>
        <v>51.312871407921754</v>
      </c>
      <c r="G99" s="110">
        <f t="shared" si="48"/>
        <v>0.95351562793234534</v>
      </c>
      <c r="H99" s="412" t="b">
        <f>Wh_hp&gt;='2023'!Maxi_hp</f>
        <v>0</v>
      </c>
      <c r="I99" s="388">
        <f>IF(H99,Wh_hp,'2023'!Maxi_hp)</f>
        <v>54.664172365947202</v>
      </c>
      <c r="J99" s="85">
        <f>IF(H99,An,'2023'!An_max)</f>
        <v>2018</v>
      </c>
      <c r="K99" s="197">
        <f t="shared" si="27"/>
        <v>45376</v>
      </c>
      <c r="L99" s="147">
        <f>IF(t&lt;Tvie,1-EXP((T0-t)*PertePVj)+'2023'!Pspv,1-EXP((T0-t)*PertePVj)+Pspv)</f>
        <v>3.566601865103125E-2</v>
      </c>
      <c r="M99" s="832"/>
      <c r="N99" s="832"/>
      <c r="O99" s="48">
        <f>IF(t&lt;Tnet,'2023'!Resal+('2023'!Salim-'2023'!Resal)*(1-EXP(('2023'!Tnet-t)/('2023'!Tau_j))),Resal+(Salim-Resal)*(1-EXP((Tnet-t)/(Tau_j))))*Salcycl</f>
        <v>5.2269096526048622E-2</v>
      </c>
      <c r="P99" s="169">
        <f>(INDEX(Models!$BJ99:$BT99,,T99)*(1-R99)+INDEX(Models!$BJ99:$BT99,,T99+1)*R99-ERP_i)*Q99*Ramure*Pc/MaxiM</f>
        <v>5.905146038411818E-4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49.153503975349395</v>
      </c>
      <c r="W99" s="400">
        <f t="shared" si="34"/>
        <v>46.870471715117603</v>
      </c>
      <c r="X99" s="157">
        <f t="shared" si="35"/>
        <v>45376</v>
      </c>
      <c r="Y99" s="383">
        <f t="shared" si="36"/>
        <v>44.909854392168711</v>
      </c>
      <c r="Z99" s="383">
        <f t="shared" si="37"/>
        <v>46.570851241129226</v>
      </c>
      <c r="AA99" s="384">
        <f t="shared" si="38"/>
        <v>51.284580965435495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9.1913195653937435E-2</v>
      </c>
      <c r="AD99" s="230">
        <f>(INDEX(Models!$BJ99:$BT99,,AH99)*(1-AF99)+INDEX(Models!$BJ99:$BT99,,AH99+1)*AF99-ERP_i)*AE99*Ramure*Pc/MaxiM</f>
        <v>5.905146038411818E-4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'2023'!Wh/'2023'!Env_an*'2024'!Env_an</f>
        <v>45.315254989567414</v>
      </c>
      <c r="C100" s="829"/>
      <c r="D100" s="391">
        <f t="shared" si="25"/>
        <v>46.99214622650171</v>
      </c>
      <c r="E100" s="383">
        <f t="shared" si="47"/>
        <v>49.586387816533296</v>
      </c>
      <c r="F100" s="383">
        <f t="shared" si="26"/>
        <v>49.611380788643523</v>
      </c>
      <c r="G100" s="110">
        <f t="shared" si="48"/>
        <v>0.91571170666319923</v>
      </c>
      <c r="H100" s="412" t="b">
        <f>Wh_hp&gt;='2023'!Maxi_hp</f>
        <v>0</v>
      </c>
      <c r="I100" s="388">
        <f>IF(H100,Wh_hp,'2023'!Maxi_hp)</f>
        <v>53.82661692337178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3.5684499891783905E-2</v>
      </c>
      <c r="M100" s="832"/>
      <c r="N100" s="832"/>
      <c r="O100" s="48">
        <f>IF(t&lt;Tnet,'2023'!Resal+('2023'!Salim-'2023'!Resal)*(1-EXP(('2023'!Tnet-t)/('2023'!Tau_j))),Resal+(Salim-Resal)*(1-EXP((Tnet-t)/(Tau_j))))*Salcycl</f>
        <v>5.2317615867284603E-2</v>
      </c>
      <c r="P100" s="169">
        <f>(INDEX(Models!$BJ100:$BT100,,T100)*(1-R100)+INDEX(Models!$BJ100:$BT100,,T100+1)*R100-ERP_i)*Q100*Ramure*Pc/MaxiM</f>
        <v>5.7268088766087427E-4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49.482965650673272</v>
      </c>
      <c r="W100" s="400">
        <f t="shared" si="34"/>
        <v>45.315254989567414</v>
      </c>
      <c r="X100" s="157">
        <f t="shared" si="35"/>
        <v>45377</v>
      </c>
      <c r="Y100" s="383">
        <f t="shared" si="36"/>
        <v>43.42115149122931</v>
      </c>
      <c r="Z100" s="383">
        <f t="shared" si="37"/>
        <v>45.027951418759272</v>
      </c>
      <c r="AA100" s="384">
        <f t="shared" si="38"/>
        <v>49.586387816533296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9.192918860393641E-2</v>
      </c>
      <c r="AD100" s="230">
        <f>(INDEX(Models!$BJ100:$BT100,,AH100)*(1-AF100)+INDEX(Models!$BJ100:$BT100,,AH100+1)*AF100-ERP_i)*AE100*Ramure*Pc/MaxiM</f>
        <v>5.7268088766087427E-4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'2023'!Wh/'2023'!Env_an*'2024'!Env_an</f>
        <v>14.592411290248764</v>
      </c>
      <c r="C101" s="829"/>
      <c r="D101" s="391">
        <f t="shared" si="25"/>
        <v>15.132693557455214</v>
      </c>
      <c r="E101" s="383">
        <f t="shared" si="47"/>
        <v>15.968930678563453</v>
      </c>
      <c r="F101" s="383">
        <f t="shared" si="26"/>
        <v>15.968930678563453</v>
      </c>
      <c r="G101" s="110">
        <f t="shared" si="48"/>
        <v>0.29281169729355688</v>
      </c>
      <c r="H101" s="412" t="b">
        <f>Wh_hp&gt;='2023'!Maxi_hp</f>
        <v>0</v>
      </c>
      <c r="I101" s="388">
        <f>IF(H101,Wh_hp,'2023'!Maxi_hp)</f>
        <v>53.283033319082513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3.570298077834777E-2</v>
      </c>
      <c r="M101" s="832"/>
      <c r="N101" s="832"/>
      <c r="O101" s="48">
        <f>IF(t&lt;Tnet,'2023'!Resal+('2023'!Salim-'2023'!Resal)*(1-EXP(('2023'!Tnet-t)/('2023'!Tau_j))),Resal+(Salim-Resal)*(1-EXP((Tnet-t)/(Tau_j))))*Salcycl</f>
        <v>5.2366507059285805E-2</v>
      </c>
      <c r="P101" s="169">
        <f>(INDEX(Models!$BJ101:$BT101,,T101)*(1-R101)+INDEX(Models!$BJ101:$BT101,,T101+1)*R101-ERP_i)*Q101*Ramure*Pc/MaxiM</f>
        <v>5.5562567814692427E-4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49.807789465488462</v>
      </c>
      <c r="W101" s="400">
        <f t="shared" si="34"/>
        <v>14.592411290248764</v>
      </c>
      <c r="X101" s="157">
        <f t="shared" si="35"/>
        <v>45378</v>
      </c>
      <c r="Y101" s="383">
        <f t="shared" si="36"/>
        <v>13.982936674244762</v>
      </c>
      <c r="Z101" s="383">
        <f t="shared" si="37"/>
        <v>14.500653217336826</v>
      </c>
      <c r="AA101" s="384">
        <f t="shared" si="38"/>
        <v>15.968930678563453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9.1945884842347558E-2</v>
      </c>
      <c r="AD101" s="230">
        <f>(INDEX(Models!$BJ101:$BT101,,AH101)*(1-AF101)+INDEX(Models!$BJ101:$BT101,,AH101+1)*AF101-ERP_i)*AE101*Ramure*Pc/MaxiM</f>
        <v>5.5562567814692427E-4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'2023'!Wh/'2023'!Env_an*'2024'!Env_an</f>
        <v>28.007677573852469</v>
      </c>
      <c r="C102" s="829"/>
      <c r="D102" s="391">
        <f t="shared" si="25"/>
        <v>29.045215101357428</v>
      </c>
      <c r="E102" s="383">
        <f t="shared" si="47"/>
        <v>30.651856396573404</v>
      </c>
      <c r="F102" s="383">
        <f t="shared" si="26"/>
        <v>30.657968029312588</v>
      </c>
      <c r="G102" s="110">
        <f t="shared" si="48"/>
        <v>0.55854244253712904</v>
      </c>
      <c r="H102" s="412" t="b">
        <f>Wh_hp&gt;='2023'!Maxi_hp</f>
        <v>0</v>
      </c>
      <c r="I102" s="388">
        <f>IF(H102,Wh_hp,'2023'!Maxi_hp)</f>
        <v>55.473113479022246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3.5721461310729619E-2</v>
      </c>
      <c r="M102" s="832"/>
      <c r="N102" s="832"/>
      <c r="O102" s="48">
        <f>IF(t&lt;Tnet,'2023'!Resal+('2023'!Salim-'2023'!Resal)*(1-EXP(('2023'!Tnet-t)/('2023'!Tau_j))),Resal+(Salim-Resal)*(1-EXP((Tnet-t)/(Tau_j))))*Salcycl</f>
        <v>5.2415790888136332E-2</v>
      </c>
      <c r="P102" s="169">
        <f>(INDEX(Models!$BJ102:$BT102,,T102)*(1-R102)+INDEX(Models!$BJ102:$BT102,,T102+1)*R102-ERP_i)*Q102*Ramure*Pc/MaxiM</f>
        <v>5.3933801434854383E-4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50.127172508198889</v>
      </c>
      <c r="W102" s="400">
        <f t="shared" si="34"/>
        <v>28.007677573852469</v>
      </c>
      <c r="X102" s="157">
        <f t="shared" si="35"/>
        <v>45379</v>
      </c>
      <c r="Y102" s="383">
        <f t="shared" si="36"/>
        <v>26.838774154821497</v>
      </c>
      <c r="Z102" s="383">
        <f t="shared" si="37"/>
        <v>27.833009942648985</v>
      </c>
      <c r="AA102" s="384">
        <f t="shared" si="38"/>
        <v>30.651856396573404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9.1963319201754476E-2</v>
      </c>
      <c r="AD102" s="230">
        <f>(INDEX(Models!$BJ102:$BT102,,AH102)*(1-AF102)+INDEX(Models!$BJ102:$BT102,,AH102+1)*AF102-ERP_i)*AE102*Ramure*Pc/MaxiM</f>
        <v>5.3933801434854383E-4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'2023'!Wh/'2023'!Env_an*'2024'!Env_an</f>
        <v>7.8532116356229817</v>
      </c>
      <c r="C103" s="829"/>
      <c r="D103" s="391">
        <f t="shared" si="25"/>
        <v>8.1442880126646617</v>
      </c>
      <c r="E103" s="383">
        <f t="shared" si="47"/>
        <v>8.5952415550983723</v>
      </c>
      <c r="F103" s="383">
        <f t="shared" si="26"/>
        <v>8.5952415550983723</v>
      </c>
      <c r="G103" s="110">
        <f t="shared" si="48"/>
        <v>0.15561160796871676</v>
      </c>
      <c r="H103" s="412" t="b">
        <f>Wh_hp&gt;='2023'!Maxi_hp</f>
        <v>0</v>
      </c>
      <c r="I103" s="388">
        <f>IF(H103,Wh_hp,'2023'!Maxi_hp)</f>
        <v>54.228775027955102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3.5739941488936333E-2</v>
      </c>
      <c r="M103" s="832"/>
      <c r="N103" s="832"/>
      <c r="O103" s="48">
        <f>IF(t&lt;Tnet,'2023'!Resal+('2023'!Salim-'2023'!Resal)*(1-EXP(('2023'!Tnet-t)/('2023'!Tau_j))),Resal+(Salim-Resal)*(1-EXP((Tnet-t)/(Tau_j))))*Salcycl</f>
        <v>5.2465487972961342E-2</v>
      </c>
      <c r="P103" s="169">
        <f>(INDEX(Models!$BJ103:$BT103,,T103)*(1-R103)+INDEX(Models!$BJ103:$BT103,,T103+1)*R103-ERP_i)*Q103*Ramure*Pc/MaxiM</f>
        <v>5.2380666782106454E-4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50.440312091514201</v>
      </c>
      <c r="W103" s="400">
        <f t="shared" si="34"/>
        <v>7.8532116356229817</v>
      </c>
      <c r="X103" s="157">
        <f t="shared" si="35"/>
        <v>45380</v>
      </c>
      <c r="Y103" s="383">
        <f t="shared" si="36"/>
        <v>7.5257008097484679</v>
      </c>
      <c r="Z103" s="383">
        <f t="shared" si="37"/>
        <v>7.8046381194810426</v>
      </c>
      <c r="AA103" s="384">
        <f t="shared" si="38"/>
        <v>8.5952415550983723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9.1981526121086551E-2</v>
      </c>
      <c r="AD103" s="230">
        <f>(INDEX(Models!$BJ103:$BT103,,AH103)*(1-AF103)+INDEX(Models!$BJ103:$BT103,,AH103+1)*AF103-ERP_i)*AE103*Ramure*Pc/MaxiM</f>
        <v>5.2380666782106454E-4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'2023'!Wh/'2023'!Env_an*'2024'!Env_an</f>
        <v>27.972927429741606</v>
      </c>
      <c r="C104" s="829"/>
      <c r="D104" s="391">
        <f t="shared" si="25"/>
        <v>29.010289587212554</v>
      </c>
      <c r="E104" s="383">
        <f t="shared" si="47"/>
        <v>30.618224595880935</v>
      </c>
      <c r="F104" s="383">
        <f t="shared" si="26"/>
        <v>30.623819175180472</v>
      </c>
      <c r="G104" s="110">
        <f t="shared" si="48"/>
        <v>0.55104981043787393</v>
      </c>
      <c r="H104" s="412" t="b">
        <f>Wh_hp&gt;='2023'!Maxi_hp</f>
        <v>0</v>
      </c>
      <c r="I104" s="388">
        <f>IF(H104,Wh_hp,'2023'!Maxi_hp)</f>
        <v>49.948595361830613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3.5758421312974686E-2</v>
      </c>
      <c r="M104" s="832"/>
      <c r="N104" s="832"/>
      <c r="O104" s="48">
        <f>IF(t&lt;Tnet,'2023'!Resal+('2023'!Salim-'2023'!Resal)*(1-EXP(('2023'!Tnet-t)/('2023'!Tau_j))),Resal+(Salim-Resal)*(1-EXP((Tnet-t)/(Tau_j))))*Salcycl</f>
        <v>5.2515618716987851E-2</v>
      </c>
      <c r="P104" s="169">
        <f>(INDEX(Models!$BJ104:$BT104,,T104)*(1-R104)+INDEX(Models!$BJ104:$BT104,,T104+1)*R104-ERP_i)*Q104*Ramure*Pc/MaxiM</f>
        <v>5.0902029057422831E-4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50.746405750978887</v>
      </c>
      <c r="W104" s="400">
        <f t="shared" si="34"/>
        <v>27.972927429741606</v>
      </c>
      <c r="X104" s="157">
        <f t="shared" si="35"/>
        <v>45381</v>
      </c>
      <c r="Y104" s="383">
        <f t="shared" si="36"/>
        <v>26.807199690925881</v>
      </c>
      <c r="Z104" s="383">
        <f t="shared" si="37"/>
        <v>27.801331412640724</v>
      </c>
      <c r="AA104" s="384">
        <f t="shared" si="38"/>
        <v>30.618224595880935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9.2000539561629832E-2</v>
      </c>
      <c r="AD104" s="230">
        <f>(INDEX(Models!$BJ104:$BT104,,AH104)*(1-AF104)+INDEX(Models!$BJ104:$BT104,,AH104+1)*AF104-ERP_i)*AE104*Ramure*Pc/MaxiM</f>
        <v>5.0902029057422831E-4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'2023'!Wh/'2023'!Env_an*'2024'!Env_an</f>
        <v>32.757208230647819</v>
      </c>
      <c r="C105" s="829"/>
      <c r="D105" s="391">
        <f t="shared" si="25"/>
        <v>33.972644149723592</v>
      </c>
      <c r="E105" s="383">
        <f t="shared" si="47"/>
        <v>35.857538823971858</v>
      </c>
      <c r="F105" s="383">
        <f t="shared" si="26"/>
        <v>35.86620555468793</v>
      </c>
      <c r="G105" s="110">
        <f t="shared" si="48"/>
        <v>0.64157374247489074</v>
      </c>
      <c r="H105" s="412" t="b">
        <f>Wh_hp&gt;='2023'!Maxi_hp</f>
        <v>0</v>
      </c>
      <c r="I105" s="388">
        <f>IF(H105,Wh_hp,'2023'!Maxi_hp)</f>
        <v>50.703405728850484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3.577690078285134E-2</v>
      </c>
      <c r="M105" s="832"/>
      <c r="N105" s="832"/>
      <c r="O105" s="48">
        <f>IF(t&lt;Tnet,'2023'!Resal+('2023'!Salim-'2023'!Resal)*(1-EXP(('2023'!Tnet-t)/('2023'!Tau_j))),Resal+(Salim-Resal)*(1-EXP((Tnet-t)/(Tau_j))))*Salcycl</f>
        <v>5.2566203260669811E-2</v>
      </c>
      <c r="P105" s="169">
        <f>(INDEX(Models!$BJ105:$BT105,,T105)*(1-R105)+INDEX(Models!$BJ105:$BT105,,T105+1)*R105-ERP_i)*Q105*Ramure*Pc/MaxiM</f>
        <v>4.9496755502748905E-4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51.044651257332752</v>
      </c>
      <c r="W105" s="400">
        <f t="shared" si="34"/>
        <v>32.757208230647819</v>
      </c>
      <c r="X105" s="157">
        <f t="shared" si="35"/>
        <v>45382</v>
      </c>
      <c r="Y105" s="383">
        <f t="shared" si="36"/>
        <v>31.393092752690308</v>
      </c>
      <c r="Z105" s="383">
        <f t="shared" si="37"/>
        <v>32.557914011994022</v>
      </c>
      <c r="AA105" s="384">
        <f t="shared" si="38"/>
        <v>35.857538823971858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9.2020392927022077E-2</v>
      </c>
      <c r="AD105" s="230">
        <f>(INDEX(Models!$BJ105:$BT105,,AH105)*(1-AF105)+INDEX(Models!$BJ105:$BT105,,AH105+1)*AF105-ERP_i)*AE105*Ramure*Pc/MaxiM</f>
        <v>4.9496755502748905E-4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'2023'!Wh/'2023'!Env_an*'2024'!Env_an</f>
        <v>20.449762146414361</v>
      </c>
      <c r="C106" s="829"/>
      <c r="D106" s="391">
        <f t="shared" si="25"/>
        <v>21.208944367289181</v>
      </c>
      <c r="E106" s="383">
        <f t="shared" si="47"/>
        <v>22.386880723048691</v>
      </c>
      <c r="F106" s="383">
        <f t="shared" si="26"/>
        <v>22.388395976235994</v>
      </c>
      <c r="G106" s="110">
        <f t="shared" si="48"/>
        <v>0.39819998534705681</v>
      </c>
      <c r="H106" s="412" t="b">
        <f>Wh_hp&gt;='2023'!Maxi_hp</f>
        <v>0</v>
      </c>
      <c r="I106" s="388">
        <f>IF(H106,Wh_hp,'2023'!Maxi_hp)</f>
        <v>45.942881049826532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3.5795379898573176E-2</v>
      </c>
      <c r="M106" s="832"/>
      <c r="N106" s="832"/>
      <c r="O106" s="48">
        <f>IF(t&lt;Tnet,'2023'!Resal+('2023'!Salim-'2023'!Resal)*(1-EXP(('2023'!Tnet-t)/('2023'!Tau_j))),Resal+(Salim-Resal)*(1-EXP((Tnet-t)/(Tau_j))))*Salcycl</f>
        <v>5.261726143681774E-2</v>
      </c>
      <c r="P106" s="169">
        <f>(INDEX(Models!$BJ106:$BT106,,T106)*(1-R106)+INDEX(Models!$BJ106:$BT106,,T106+1)*R106-ERP_i)*Q106*Ramure*Pc/MaxiM</f>
        <v>4.8163728668792252E-4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51.334246618701734</v>
      </c>
      <c r="W106" s="400">
        <f t="shared" si="34"/>
        <v>20.449762146414361</v>
      </c>
      <c r="X106" s="157">
        <f t="shared" si="35"/>
        <v>45383</v>
      </c>
      <c r="Y106" s="383">
        <f t="shared" si="36"/>
        <v>19.598777135836457</v>
      </c>
      <c r="Z106" s="383">
        <f t="shared" si="37"/>
        <v>20.326367170668419</v>
      </c>
      <c r="AA106" s="384">
        <f t="shared" si="38"/>
        <v>22.386880723048691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9.2041118987105902E-2</v>
      </c>
      <c r="AD106" s="230">
        <f>(INDEX(Models!$BJ106:$BT106,,AH106)*(1-AF106)+INDEX(Models!$BJ106:$BT106,,AH106+1)*AF106-ERP_i)*AE106*Ramure*Pc/MaxiM</f>
        <v>4.8163728668792252E-4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'2023'!Wh/'2023'!Env_an*'2024'!Env_an</f>
        <v>22.75113129333004</v>
      </c>
      <c r="C107" s="829"/>
      <c r="D107" s="391">
        <f t="shared" si="25"/>
        <v>23.596202349179794</v>
      </c>
      <c r="E107" s="383">
        <f t="shared" si="47"/>
        <v>24.908081425166458</v>
      </c>
      <c r="F107" s="383">
        <f t="shared" si="26"/>
        <v>24.910430891775203</v>
      </c>
      <c r="G107" s="110">
        <f t="shared" si="48"/>
        <v>0.44060632672889621</v>
      </c>
      <c r="H107" s="412" t="b">
        <f>Wh_hp&gt;='2023'!Maxi_hp</f>
        <v>0</v>
      </c>
      <c r="I107" s="388">
        <f>IF(H107,Wh_hp,'2023'!Maxi_hp)</f>
        <v>55.561785950469968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3.5813858660146969E-2</v>
      </c>
      <c r="M107" s="832"/>
      <c r="N107" s="832"/>
      <c r="O107" s="48">
        <f>IF(t&lt;Tnet,'2023'!Resal+('2023'!Salim-'2023'!Resal)*(1-EXP(('2023'!Tnet-t)/('2023'!Tau_j))),Resal+(Salim-Resal)*(1-EXP((Tnet-t)/(Tau_j))))*Salcycl</f>
        <v>5.266881272763041E-2</v>
      </c>
      <c r="P107" s="169">
        <f>(INDEX(Models!$BJ107:$BT107,,T107)*(1-R107)+INDEX(Models!$BJ107:$BT107,,T107+1)*R107-ERP_i)*Q107*Ramure*Pc/MaxiM</f>
        <v>4.6899840480078142E-4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51.616612549975763</v>
      </c>
      <c r="W107" s="400">
        <f t="shared" si="34"/>
        <v>22.75113129333004</v>
      </c>
      <c r="X107" s="157">
        <f t="shared" si="35"/>
        <v>45384</v>
      </c>
      <c r="Y107" s="383">
        <f t="shared" si="36"/>
        <v>21.80504544008269</v>
      </c>
      <c r="Z107" s="383">
        <f t="shared" si="37"/>
        <v>22.614974956787854</v>
      </c>
      <c r="AA107" s="384">
        <f t="shared" si="38"/>
        <v>24.908081425166458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9.206274980543909E-2</v>
      </c>
      <c r="AD107" s="230">
        <f>(INDEX(Models!$BJ107:$BT107,,AH107)*(1-AF107)+INDEX(Models!$BJ107:$BT107,,AH107+1)*AF107-ERP_i)*AE107*Ramure*Pc/MaxiM</f>
        <v>4.6899840480078142E-4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'2023'!Wh/'2023'!Env_an*'2024'!Env_an</f>
        <v>45.799161282609248</v>
      </c>
      <c r="C108" s="829"/>
      <c r="D108" s="391">
        <f t="shared" si="25"/>
        <v>47.501241789540664</v>
      </c>
      <c r="E108" s="383">
        <f t="shared" si="47"/>
        <v>50.14492623902413</v>
      </c>
      <c r="F108" s="383">
        <f t="shared" si="26"/>
        <v>50.164009420690569</v>
      </c>
      <c r="G108" s="110">
        <f t="shared" si="48"/>
        <v>0.8824906879939538</v>
      </c>
      <c r="H108" s="412" t="b">
        <f>Wh_hp&gt;='2023'!Maxi_hp</f>
        <v>0</v>
      </c>
      <c r="I108" s="388">
        <f>IF(H108,Wh_hp,'2023'!Maxi_hp)</f>
        <v>57.558924699627966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3.58323370675796E-2</v>
      </c>
      <c r="M108" s="832"/>
      <c r="N108" s="832"/>
      <c r="O108" s="48">
        <f>IF(t&lt;Tnet,'2023'!Resal+('2023'!Salim-'2023'!Resal)*(1-EXP(('2023'!Tnet-t)/('2023'!Tau_j))),Resal+(Salim-Resal)*(1-EXP((Tnet-t)/(Tau_j))))*Salcycl</f>
        <v>5.2720876223486757E-2</v>
      </c>
      <c r="P108" s="169">
        <f>(INDEX(Models!$BJ108:$BT108,,T108)*(1-R108)+INDEX(Models!$BJ108:$BT108,,T108+1)*R108-ERP_i)*Q108*Ramure*Pc/MaxiM</f>
        <v>4.5710620535441862E-4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51.893632661102849</v>
      </c>
      <c r="W108" s="400">
        <f t="shared" si="34"/>
        <v>45.799161282609248</v>
      </c>
      <c r="X108" s="157">
        <f t="shared" si="35"/>
        <v>45385</v>
      </c>
      <c r="Y108" s="383">
        <f t="shared" si="36"/>
        <v>43.895964736240764</v>
      </c>
      <c r="Z108" s="383">
        <f t="shared" si="37"/>
        <v>45.52731482690006</v>
      </c>
      <c r="AA108" s="384">
        <f t="shared" si="38"/>
        <v>50.14492623902413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9.2085316670194317E-2</v>
      </c>
      <c r="AD108" s="230">
        <f>(INDEX(Models!$BJ108:$BT108,,AH108)*(1-AF108)+INDEX(Models!$BJ108:$BT108,,AH108+1)*AF108-ERP_i)*AE108*Ramure*Pc/MaxiM</f>
        <v>4.5710620535441862E-4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'2023'!Wh/'2023'!Env_an*'2024'!Env_an</f>
        <v>52.5555239199265</v>
      </c>
      <c r="C109" s="829"/>
      <c r="D109" s="391">
        <f t="shared" si="25"/>
        <v>54.509742625064312</v>
      </c>
      <c r="E109" s="383">
        <f t="shared" si="47"/>
        <v>57.546680685382078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Wh_hp&gt;='2023'!Maxi_hp</f>
        <v>0</v>
      </c>
      <c r="I109" s="388">
        <f>IF(H109,Wh_hp,'2023'!Maxi_hp)</f>
        <v>59.132284614261103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3.5850815120877733E-2</v>
      </c>
      <c r="M109" s="832"/>
      <c r="N109" s="832"/>
      <c r="O109" s="48">
        <f>IF(t&lt;Tnet,'2023'!Resal+('2023'!Salim-'2023'!Resal)*(1-EXP(('2023'!Tnet-t)/('2023'!Tau_j))),Resal+(Salim-Resal)*(1-EXP((Tnet-t)/(Tau_j))))*Salcycl</f>
        <v>5.2773470583320839E-2</v>
      </c>
      <c r="P109" s="169">
        <f>(INDEX(Models!$BJ109:$BT109,,T109)*(1-R109)+INDEX(Models!$BJ109:$BT109,,T109+1)*R109-ERP_i)*Q109*Ramure*Pc/MaxiM</f>
        <v>4.4571130207262386E-4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52.165218644384595</v>
      </c>
      <c r="W109" s="400">
        <f t="shared" si="34"/>
        <v>52.5555239199265</v>
      </c>
      <c r="X109" s="157">
        <f t="shared" si="35"/>
        <v>45386</v>
      </c>
      <c r="Y109" s="383">
        <f t="shared" si="36"/>
        <v>50.373056040164293</v>
      </c>
      <c r="Z109" s="383">
        <f t="shared" si="37"/>
        <v>52.246122104516104</v>
      </c>
      <c r="AA109" s="384">
        <f t="shared" si="38"/>
        <v>57.546680685382078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9.210885002812004E-2</v>
      </c>
      <c r="AD109" s="230">
        <f>(INDEX(Models!$BJ109:$BT109,,AH109)*(1-AF109)+INDEX(Models!$BJ109:$BT109,,AH109+1)*AF109-ERP_i)*AE109*Ramure*Pc/MaxiM</f>
        <v>4.4571130207262386E-4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'2023'!Wh/'2023'!Env_an*'2024'!Env_an</f>
        <v>11.376212989058814</v>
      </c>
      <c r="C110" s="829"/>
      <c r="D110" s="391">
        <f t="shared" si="25"/>
        <v>11.799450950311327</v>
      </c>
      <c r="E110" s="383">
        <f t="shared" si="47"/>
        <v>12.45754064110298</v>
      </c>
      <c r="F110" s="383">
        <f t="shared" si="26"/>
        <v>12.45754064110298</v>
      </c>
      <c r="G110" s="110">
        <f t="shared" si="48"/>
        <v>0.21687948004690458</v>
      </c>
      <c r="H110" s="412" t="b">
        <f>Wh_hp&gt;='2023'!Maxi_hp</f>
        <v>0</v>
      </c>
      <c r="I110" s="388">
        <f>IF(H110,Wh_hp,'2023'!Maxi_hp)</f>
        <v>59.680123270108488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3.5869292820048138E-2</v>
      </c>
      <c r="M110" s="832"/>
      <c r="N110" s="832"/>
      <c r="O110" s="48">
        <f>IF(t&lt;Tnet,'2023'!Resal+('2023'!Salim-'2023'!Resal)*(1-EXP(('2023'!Tnet-t)/('2023'!Tau_j))),Resal+(Salim-Resal)*(1-EXP((Tnet-t)/(Tau_j))))*Salcycl</f>
        <v>5.2826613996371168E-2</v>
      </c>
      <c r="P110" s="169">
        <f>(INDEX(Models!$BJ110:$BT110,,T110)*(1-R110)+INDEX(Models!$BJ110:$BT110,,T110+1)*R110-ERP_i)*Q110*Ramure*Pc/MaxiM</f>
        <v>4.3480285441498817E-4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52.431270015584104</v>
      </c>
      <c r="W110" s="400">
        <f t="shared" si="34"/>
        <v>11.376212989058814</v>
      </c>
      <c r="X110" s="157">
        <f t="shared" si="35"/>
        <v>45387</v>
      </c>
      <c r="Y110" s="383">
        <f t="shared" si="36"/>
        <v>10.904111321094611</v>
      </c>
      <c r="Z110" s="383">
        <f t="shared" si="37"/>
        <v>11.309785322561449</v>
      </c>
      <c r="AA110" s="384">
        <f t="shared" si="38"/>
        <v>12.45754064110298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9.2133379421181633E-2</v>
      </c>
      <c r="AD110" s="230">
        <f>(INDEX(Models!$BJ110:$BT110,,AH110)*(1-AF110)+INDEX(Models!$BJ110:$BT110,,AH110+1)*AF110-ERP_i)*AE110*Ramure*Pc/MaxiM</f>
        <v>4.3480285441498817E-4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'2023'!Wh/'2023'!Env_an*'2024'!Env_an</f>
        <v>38.189890920676355</v>
      </c>
      <c r="C111" s="829"/>
      <c r="D111" s="391">
        <f t="shared" si="25"/>
        <v>39.611457814632345</v>
      </c>
      <c r="E111" s="383">
        <f t="shared" si="47"/>
        <v>41.823075609612417</v>
      </c>
      <c r="F111" s="383">
        <f t="shared" si="26"/>
        <v>41.833848674671607</v>
      </c>
      <c r="G111" s="110">
        <f t="shared" si="48"/>
        <v>0.72465923823446754</v>
      </c>
      <c r="H111" s="412" t="b">
        <f>Wh_hp&gt;='2023'!Maxi_hp</f>
        <v>0</v>
      </c>
      <c r="I111" s="388">
        <f>IF(H111,Wh_hp,'2023'!Maxi_hp)</f>
        <v>57.850737846912956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3.5887770165097699E-2</v>
      </c>
      <c r="M111" s="832"/>
      <c r="N111" s="832"/>
      <c r="O111" s="48">
        <f>IF(t&lt;Tnet,'2023'!Resal+('2023'!Salim-'2023'!Resal)*(1-EXP(('2023'!Tnet-t)/('2023'!Tau_j))),Resal+(Salim-Resal)*(1-EXP((Tnet-t)/(Tau_j))))*Salcycl</f>
        <v>5.2880324145069858E-2</v>
      </c>
      <c r="P111" s="169">
        <f>(INDEX(Models!$BJ111:$BT111,,T111)*(1-R111)+INDEX(Models!$BJ111:$BT111,,T111+1)*R111-ERP_i)*Q111*Ramure*Pc/MaxiM</f>
        <v>4.243705497299633E-4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52.691686342595538</v>
      </c>
      <c r="W111" s="400">
        <f t="shared" si="34"/>
        <v>38.189890920676355</v>
      </c>
      <c r="X111" s="157">
        <f t="shared" si="35"/>
        <v>45388</v>
      </c>
      <c r="Y111" s="383">
        <f t="shared" si="36"/>
        <v>36.606093389936746</v>
      </c>
      <c r="Z111" s="383">
        <f t="shared" si="37"/>
        <v>37.968705568858191</v>
      </c>
      <c r="AA111" s="384">
        <f t="shared" si="38"/>
        <v>41.823075609612417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9.2158933425459458E-2</v>
      </c>
      <c r="AD111" s="230">
        <f>(INDEX(Models!$BJ111:$BT111,,AH111)*(1-AF111)+INDEX(Models!$BJ111:$BT111,,AH111+1)*AF111-ERP_i)*AE111*Ramure*Pc/MaxiM</f>
        <v>4.243705497299633E-4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'2023'!Wh/'2023'!Env_an*'2024'!Env_an</f>
        <v>31.027228371719303</v>
      </c>
      <c r="C112" s="829"/>
      <c r="D112" s="391">
        <f t="shared" si="25"/>
        <v>32.18279164260997</v>
      </c>
      <c r="E112" s="383">
        <f t="shared" si="47"/>
        <v>33.981594365093805</v>
      </c>
      <c r="F112" s="383">
        <f t="shared" si="26"/>
        <v>33.987349144962359</v>
      </c>
      <c r="G112" s="110">
        <f t="shared" si="48"/>
        <v>0.58586876566212287</v>
      </c>
      <c r="H112" s="412" t="b">
        <f>Wh_hp&gt;='2023'!Maxi_hp</f>
        <v>0</v>
      </c>
      <c r="I112" s="388">
        <f>IF(H112,Wh_hp,'2023'!Maxi_hp)</f>
        <v>57.096062387011123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3.5906247156033078E-2</v>
      </c>
      <c r="M112" s="832"/>
      <c r="N112" s="832"/>
      <c r="O112" s="48">
        <f>IF(t&lt;Tnet,'2023'!Resal+('2023'!Salim-'2023'!Resal)*(1-EXP(('2023'!Tnet-t)/('2023'!Tau_j))),Resal+(Salim-Resal)*(1-EXP((Tnet-t)/(Tau_j))))*Salcycl</f>
        <v>5.2934618168816013E-2</v>
      </c>
      <c r="P112" s="169">
        <f>(INDEX(Models!$BJ112:$BT112,,T112)*(1-R112)+INDEX(Models!$BJ112:$BT112,,T112+1)*R112-ERP_i)*Q112*Ramure*Pc/MaxiM</f>
        <v>4.1440461418859289E-4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52.946367248044282</v>
      </c>
      <c r="W112" s="400">
        <f t="shared" si="34"/>
        <v>31.027228371719303</v>
      </c>
      <c r="X112" s="157">
        <f t="shared" si="35"/>
        <v>45389</v>
      </c>
      <c r="Y112" s="383">
        <f t="shared" si="36"/>
        <v>29.741311553138104</v>
      </c>
      <c r="Z112" s="383">
        <f t="shared" si="37"/>
        <v>30.848982752356417</v>
      </c>
      <c r="AA112" s="384">
        <f t="shared" si="38"/>
        <v>33.981594365093805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9.2185539591845458E-2</v>
      </c>
      <c r="AD112" s="230">
        <f>(INDEX(Models!$BJ112:$BT112,,AH112)*(1-AF112)+INDEX(Models!$BJ112:$BT112,,AH112+1)*AF112-ERP_i)*AE112*Ramure*Pc/MaxiM</f>
        <v>4.1440461418859289E-4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'2023'!Wh/'2023'!Env_an*'2024'!Env_an</f>
        <v>36.401710263883388</v>
      </c>
      <c r="C113" s="829"/>
      <c r="D113" s="391">
        <f t="shared" si="25"/>
        <v>37.758161797380446</v>
      </c>
      <c r="E113" s="383">
        <f t="shared" si="47"/>
        <v>39.870901432333262</v>
      </c>
      <c r="F113" s="383">
        <f t="shared" si="26"/>
        <v>39.87976631632845</v>
      </c>
      <c r="G113" s="110">
        <f t="shared" si="48"/>
        <v>0.68417927070481932</v>
      </c>
      <c r="H113" s="412" t="b">
        <f>Wh_hp&gt;='2023'!Maxi_hp</f>
        <v>0</v>
      </c>
      <c r="I113" s="388">
        <f>IF(H113,Wh_hp,'2023'!Maxi_hp)</f>
        <v>45.048186570983958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3.5924723792861268E-2</v>
      </c>
      <c r="M113" s="832"/>
      <c r="N113" s="832"/>
      <c r="O113" s="48">
        <f>IF(t&lt;Tnet,'2023'!Resal+('2023'!Salim-'2023'!Resal)*(1-EXP(('2023'!Tnet-t)/('2023'!Tau_j))),Resal+(Salim-Resal)*(1-EXP((Tnet-t)/(Tau_j))))*Salcycl</f>
        <v>5.298951262836249E-2</v>
      </c>
      <c r="P113" s="169">
        <f>(INDEX(Models!$BJ113:$BT113,,T113)*(1-R113)+INDEX(Models!$BJ113:$BT113,,T113+1)*R113-ERP_i)*Q113*Ramure*Pc/MaxiM</f>
        <v>4.0489582407799183E-4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53.195212409705846</v>
      </c>
      <c r="W113" s="400">
        <f t="shared" si="34"/>
        <v>36.401710263883388</v>
      </c>
      <c r="X113" s="157">
        <f t="shared" si="35"/>
        <v>45390</v>
      </c>
      <c r="Y113" s="383">
        <f t="shared" si="36"/>
        <v>34.894007646024022</v>
      </c>
      <c r="Z113" s="383">
        <f t="shared" si="37"/>
        <v>36.1942770519994</v>
      </c>
      <c r="AA113" s="384">
        <f t="shared" si="38"/>
        <v>39.870901432333262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9.2213224388057277E-2</v>
      </c>
      <c r="AD113" s="230">
        <f>(INDEX(Models!$BJ113:$BT113,,AH113)*(1-AF113)+INDEX(Models!$BJ113:$BT113,,AH113+1)*AF113-ERP_i)*AE113*Ramure*Pc/MaxiM</f>
        <v>4.0489582407799183E-4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'2023'!Wh/'2023'!Env_an*'2024'!Env_an</f>
        <v>53.229722549397692</v>
      </c>
      <c r="C114" s="829"/>
      <c r="D114" s="391">
        <f t="shared" si="25"/>
        <v>55.214301225375181</v>
      </c>
      <c r="E114" s="383">
        <f t="shared" si="47"/>
        <v>58.307208467009104</v>
      </c>
      <c r="F114" s="383">
        <f t="shared" si="26"/>
        <v>58.330171985183803</v>
      </c>
      <c r="G114" s="110">
        <f t="shared" si="48"/>
        <v>0.99609803432426336</v>
      </c>
      <c r="H114" s="412" t="b">
        <f>Wh_hp&gt;='2023'!Maxi_hp</f>
        <v>0</v>
      </c>
      <c r="I114" s="388">
        <f>IF(H114,Wh_hp,'2023'!Maxi_hp)</f>
        <v>58.33024090130305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3.5943200075588821E-2</v>
      </c>
      <c r="M114" s="832"/>
      <c r="N114" s="832"/>
      <c r="O114" s="48">
        <f>IF(t&lt;Tnet,'2023'!Resal+('2023'!Salim-'2023'!Resal)*(1-EXP(('2023'!Tnet-t)/('2023'!Tau_j))),Resal+(Salim-Resal)*(1-EXP((Tnet-t)/(Tau_j))))*Salcycl</f>
        <v>5.3045023470535899E-2</v>
      </c>
      <c r="P114" s="169">
        <f>(INDEX(Models!$BJ114:$BT114,,T114)*(1-R114)+INDEX(Models!$BJ114:$BT114,,T114+1)*R114-ERP_i)*Q114*Ramure*Pc/MaxiM</f>
        <v>3.9588717279447045E-4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53.438118809001963</v>
      </c>
      <c r="W114" s="400">
        <f t="shared" si="34"/>
        <v>53.229722549397692</v>
      </c>
      <c r="X114" s="157">
        <f t="shared" si="35"/>
        <v>45391</v>
      </c>
      <c r="Y114" s="383">
        <f t="shared" si="36"/>
        <v>51.026402500748311</v>
      </c>
      <c r="Z114" s="383">
        <f t="shared" si="37"/>
        <v>52.928834177352556</v>
      </c>
      <c r="AA114" s="384">
        <f t="shared" si="38"/>
        <v>58.307208467009104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9.2242013141474496E-2</v>
      </c>
      <c r="AD114" s="230">
        <f>(INDEX(Models!$BJ114:$BT114,,AH114)*(1-AF114)+INDEX(Models!$BJ114:$BT114,,AH114+1)*AF114-ERP_i)*AE114*Ramure*Pc/MaxiM</f>
        <v>3.9588717279447045E-4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'2023'!Wh/'2023'!Env_an*'2024'!Env_an</f>
        <v>44.118033760550226</v>
      </c>
      <c r="C115" s="829"/>
      <c r="D115" s="391">
        <f t="shared" si="25"/>
        <v>45.7637758400396</v>
      </c>
      <c r="E115" s="383">
        <f t="shared" si="47"/>
        <v>48.330163895525061</v>
      </c>
      <c r="F115" s="383">
        <f t="shared" si="26"/>
        <v>48.344119521661298</v>
      </c>
      <c r="G115" s="110">
        <f t="shared" si="48"/>
        <v>0.82186659481686808</v>
      </c>
      <c r="H115" s="412" t="b">
        <f>Wh_hp&gt;='2023'!Maxi_hp</f>
        <v>0</v>
      </c>
      <c r="I115" s="388">
        <f>IF(H115,Wh_hp,'2023'!Maxi_hp)</f>
        <v>59.403908056990687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3.596167600422262E-2</v>
      </c>
      <c r="M115" s="832"/>
      <c r="N115" s="832"/>
      <c r="O115" s="48">
        <f>IF(t&lt;Tnet,'2023'!Resal+('2023'!Salim-'2023'!Resal)*(1-EXP(('2023'!Tnet-t)/('2023'!Tau_j))),Resal+(Salim-Resal)*(1-EXP((Tnet-t)/(Tau_j))))*Salcycl</f>
        <v>5.3101165993005947E-2</v>
      </c>
      <c r="P115" s="169">
        <f>(INDEX(Models!$BJ115:$BT115,,T115)*(1-R115)+INDEX(Models!$BJ115:$BT115,,T115+1)*R115-ERP_i)*Q115*Ramure*Pc/MaxiM</f>
        <v>3.8714783959803141E-4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53.674998173008873</v>
      </c>
      <c r="W115" s="400">
        <f t="shared" si="34"/>
        <v>44.118033760550226</v>
      </c>
      <c r="X115" s="157">
        <f t="shared" si="35"/>
        <v>45392</v>
      </c>
      <c r="Y115" s="383">
        <f t="shared" si="36"/>
        <v>42.292984424716515</v>
      </c>
      <c r="Z115" s="383">
        <f t="shared" si="37"/>
        <v>43.87064639652413</v>
      </c>
      <c r="AA115" s="384">
        <f t="shared" si="38"/>
        <v>48.330163895525061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9.2271929982299203E-2</v>
      </c>
      <c r="AD115" s="230">
        <f>(INDEX(Models!$BJ115:$BT115,,AH115)*(1-AF115)+INDEX(Models!$BJ115:$BT115,,AH115+1)*AF115-ERP_i)*AE115*Ramure*Pc/MaxiM</f>
        <v>3.8714783959803141E-4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'2023'!Wh/'2023'!Env_an*'2024'!Env_an</f>
        <v>37.680993364317672</v>
      </c>
      <c r="C116" s="829"/>
      <c r="D116" s="391">
        <f t="shared" si="25"/>
        <v>39.087362595311298</v>
      </c>
      <c r="E116" s="383">
        <f t="shared" si="47"/>
        <v>41.281819701425697</v>
      </c>
      <c r="F116" s="383">
        <f t="shared" si="26"/>
        <v>41.290732323860944</v>
      </c>
      <c r="G116" s="110">
        <f t="shared" si="48"/>
        <v>0.69890237089045104</v>
      </c>
      <c r="H116" s="412" t="b">
        <f>Wh_hp&gt;='2023'!Maxi_hp</f>
        <v>0</v>
      </c>
      <c r="I116" s="388">
        <f>IF(H116,Wh_hp,'2023'!Maxi_hp)</f>
        <v>58.857771528976158</v>
      </c>
      <c r="J116" s="85">
        <f>IF(H116,An,'2023'!An_max)</f>
        <v>2018</v>
      </c>
      <c r="K116" s="197">
        <f t="shared" si="27"/>
        <v>45393</v>
      </c>
      <c r="L116" s="147">
        <f>IF(t&lt;Tvie,1-EXP((T0-t)*PertePVj)+'2023'!Pspv,1-EXP((T0-t)*PertePVj)+Pspv)</f>
        <v>3.5980151578769548E-2</v>
      </c>
      <c r="M116" s="832"/>
      <c r="N116" s="832"/>
      <c r="O116" s="48">
        <f>IF(t&lt;Tnet,'2023'!Resal+('2023'!Salim-'2023'!Resal)*(1-EXP(('2023'!Tnet-t)/('2023'!Tau_j))),Resal+(Salim-Resal)*(1-EXP((Tnet-t)/(Tau_j))))*Salcycl</f>
        <v>5.3157954808823835E-2</v>
      </c>
      <c r="P116" s="169">
        <f>(INDEX(Models!$BJ116:$BT116,,T116)*(1-R116)+INDEX(Models!$BJ116:$BT116,,T116+1)*R116-ERP_i)*Q116*Ramure*Pc/MaxiM</f>
        <v>3.7866958670450712E-4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53.905750533202188</v>
      </c>
      <c r="W116" s="400">
        <f t="shared" si="34"/>
        <v>37.680993364317672</v>
      </c>
      <c r="X116" s="157">
        <f t="shared" si="35"/>
        <v>45393</v>
      </c>
      <c r="Y116" s="383">
        <f t="shared" si="36"/>
        <v>36.123157913113303</v>
      </c>
      <c r="Z116" s="383">
        <f t="shared" si="37"/>
        <v>37.471383988900214</v>
      </c>
      <c r="AA116" s="384">
        <f t="shared" si="38"/>
        <v>41.281819701425697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9.2302997786550739E-2</v>
      </c>
      <c r="AD116" s="230">
        <f>(INDEX(Models!$BJ116:$BT116,,AH116)*(1-AF116)+INDEX(Models!$BJ116:$BT116,,AH116+1)*AF116-ERP_i)*AE116*Ramure*Pc/MaxiM</f>
        <v>3.7866958670450712E-4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'2023'!Wh/'2023'!Env_an*'2024'!Env_an</f>
        <v>8.0525878651748251</v>
      </c>
      <c r="C117" s="829"/>
      <c r="D117" s="391">
        <f t="shared" si="25"/>
        <v>8.3532950149623773</v>
      </c>
      <c r="E117" s="383">
        <f t="shared" si="47"/>
        <v>8.8228040977655304</v>
      </c>
      <c r="F117" s="383">
        <f t="shared" si="26"/>
        <v>8.8228040977655304</v>
      </c>
      <c r="G117" s="110">
        <f t="shared" si="48"/>
        <v>0.14870799529689349</v>
      </c>
      <c r="H117" s="412" t="b">
        <f>Wh_hp&gt;='2023'!Maxi_hp</f>
        <v>0</v>
      </c>
      <c r="I117" s="388">
        <f>IF(H117,Wh_hp,'2023'!Maxi_hp)</f>
        <v>58.816606841862637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3.5998626799236266E-2</v>
      </c>
      <c r="M117" s="832"/>
      <c r="N117" s="832"/>
      <c r="O117" s="48">
        <f>IF(t&lt;Tnet,'2023'!Resal+('2023'!Salim-'2023'!Resal)*(1-EXP(('2023'!Tnet-t)/('2023'!Tau_j))),Resal+(Salim-Resal)*(1-EXP((Tnet-t)/(Tau_j))))*Salcycl</f>
        <v>5.3215403810457633E-2</v>
      </c>
      <c r="P117" s="169">
        <f>(INDEX(Models!$BJ117:$BT117,,T117)*(1-R117)+INDEX(Models!$BJ117:$BT117,,T117+1)*R117-ERP_i)*Q117*Ramure*Pc/MaxiM</f>
        <v>3.7044438031122803E-4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54.130276002862409</v>
      </c>
      <c r="W117" s="400">
        <f t="shared" si="34"/>
        <v>8.0525878651748251</v>
      </c>
      <c r="X117" s="157">
        <f t="shared" si="35"/>
        <v>45394</v>
      </c>
      <c r="Y117" s="383">
        <f t="shared" si="36"/>
        <v>7.7198660356226787</v>
      </c>
      <c r="Z117" s="383">
        <f t="shared" si="37"/>
        <v>8.0081483805261477</v>
      </c>
      <c r="AA117" s="384">
        <f t="shared" si="38"/>
        <v>8.8228040977655304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9.2335238118423438E-2</v>
      </c>
      <c r="AD117" s="230">
        <f>(INDEX(Models!$BJ117:$BT117,,AH117)*(1-AF117)+INDEX(Models!$BJ117:$BT117,,AH117+1)*AF117-ERP_i)*AE117*Ramure*Pc/MaxiM</f>
        <v>3.7044438031122803E-4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'2023'!Wh/'2023'!Env_an*'2024'!Env_an</f>
        <v>40.758504733496466</v>
      </c>
      <c r="C118" s="829"/>
      <c r="D118" s="391">
        <f t="shared" si="25"/>
        <v>42.281356654689155</v>
      </c>
      <c r="E118" s="383">
        <f t="shared" si="47"/>
        <v>44.660583412218024</v>
      </c>
      <c r="F118" s="383">
        <f t="shared" si="26"/>
        <v>44.670991112552407</v>
      </c>
      <c r="G118" s="110">
        <f t="shared" si="48"/>
        <v>0.74985041074245551</v>
      </c>
      <c r="H118" s="412" t="b">
        <f>Wh_hp&gt;='2023'!Maxi_hp</f>
        <v>0</v>
      </c>
      <c r="I118" s="388">
        <f>IF(H118,Wh_hp,'2023'!Maxi_hp)</f>
        <v>59.036177217934771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3.6017101665629658E-2</v>
      </c>
      <c r="M118" s="832"/>
      <c r="N118" s="832"/>
      <c r="O118" s="48">
        <f>IF(t&lt;Tnet,'2023'!Resal+('2023'!Salim-'2023'!Resal)*(1-EXP(('2023'!Tnet-t)/('2023'!Tau_j))),Resal+(Salim-Resal)*(1-EXP((Tnet-t)/(Tau_j))))*Salcycl</f>
        <v>5.3273526133068093E-2</v>
      </c>
      <c r="P118" s="169">
        <f>(INDEX(Models!$BJ118:$BT118,,T118)*(1-R118)+INDEX(Models!$BJ118:$BT118,,T118+1)*R118-ERP_i)*Q118*Ramure*Pc/MaxiM</f>
        <v>3.6246439614447346E-4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54.348474789281973</v>
      </c>
      <c r="W118" s="400">
        <f t="shared" si="34"/>
        <v>40.758504733496466</v>
      </c>
      <c r="X118" s="157">
        <f t="shared" si="35"/>
        <v>45395</v>
      </c>
      <c r="Y118" s="383">
        <f t="shared" si="36"/>
        <v>39.075379038701293</v>
      </c>
      <c r="Z118" s="383">
        <f t="shared" si="37"/>
        <v>40.535344668684644</v>
      </c>
      <c r="AA118" s="384">
        <f t="shared" si="38"/>
        <v>44.660583412218024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9.2368671171564165E-2</v>
      </c>
      <c r="AD118" s="230">
        <f>(INDEX(Models!$BJ118:$BT118,,AH118)*(1-AF118)+INDEX(Models!$BJ118:$BT118,,AH118+1)*AF118-ERP_i)*AE118*Ramure*Pc/MaxiM</f>
        <v>3.6246439614447346E-4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'2023'!Wh/'2023'!Env_an*'2024'!Env_an</f>
        <v>44.476808858524741</v>
      </c>
      <c r="C119" s="829"/>
      <c r="D119" s="391">
        <f t="shared" si="25"/>
        <v>46.139471291043783</v>
      </c>
      <c r="E119" s="383">
        <f t="shared" si="47"/>
        <v>48.738826680001942</v>
      </c>
      <c r="F119" s="383">
        <f t="shared" si="26"/>
        <v>48.751554192963731</v>
      </c>
      <c r="G119" s="110">
        <f t="shared" si="48"/>
        <v>0.81511072012137098</v>
      </c>
      <c r="H119" s="412" t="b">
        <f>Wh_hp&gt;='2023'!Maxi_hp</f>
        <v>0</v>
      </c>
      <c r="I119" s="388">
        <f>IF(H119,Wh_hp,'2023'!Maxi_hp)</f>
        <v>59.816550107721071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3.6035576177956385E-2</v>
      </c>
      <c r="M119" s="832"/>
      <c r="N119" s="832"/>
      <c r="O119" s="48">
        <f>IF(t&lt;Tnet,'2023'!Resal+('2023'!Salim-'2023'!Resal)*(1-EXP(('2023'!Tnet-t)/('2023'!Tau_j))),Resal+(Salim-Resal)*(1-EXP((Tnet-t)/(Tau_j))))*Salcycl</f>
        <v>5.333233411678949E-2</v>
      </c>
      <c r="P119" s="169">
        <f>(INDEX(Models!$BJ119:$BT119,,T119)*(1-R119)+INDEX(Models!$BJ119:$BT119,,T119+1)*R119-ERP_i)*Q119*Ramure*Pc/MaxiM</f>
        <v>3.5472202516900259E-4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54.560247190097442</v>
      </c>
      <c r="W119" s="400">
        <f t="shared" si="34"/>
        <v>44.476808858524741</v>
      </c>
      <c r="X119" s="157">
        <f t="shared" si="35"/>
        <v>45396</v>
      </c>
      <c r="Y119" s="383">
        <f t="shared" si="36"/>
        <v>42.641156662075751</v>
      </c>
      <c r="Z119" s="383">
        <f t="shared" si="37"/>
        <v>44.235197491009984</v>
      </c>
      <c r="AA119" s="384">
        <f t="shared" si="38"/>
        <v>48.738826680001942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9.2403315708866826E-2</v>
      </c>
      <c r="AD119" s="230">
        <f>(INDEX(Models!$BJ119:$BT119,,AH119)*(1-AF119)+INDEX(Models!$BJ119:$BT119,,AH119+1)*AF119-ERP_i)*AE119*Ramure*Pc/MaxiM</f>
        <v>3.5472202516900259E-4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'2023'!Wh/'2023'!Env_an*'2024'!Env_an</f>
        <v>46.1484067907856</v>
      </c>
      <c r="C120" s="829"/>
      <c r="D120" s="391">
        <f t="shared" si="25"/>
        <v>47.874475541789572</v>
      </c>
      <c r="E120" s="383">
        <f t="shared" si="47"/>
        <v>50.57475471662854</v>
      </c>
      <c r="F120" s="383">
        <f t="shared" si="26"/>
        <v>50.588371307566533</v>
      </c>
      <c r="G120" s="110">
        <f t="shared" si="48"/>
        <v>0.84258903029691568</v>
      </c>
      <c r="H120" s="412" t="b">
        <f>Wh_hp&gt;='2023'!Maxi_hp</f>
        <v>0</v>
      </c>
      <c r="I120" s="388">
        <f>IF(H120,Wh_hp,'2023'!Maxi_hp)</f>
        <v>51.884062779817704</v>
      </c>
      <c r="J120" s="85">
        <f>IF(H120,An,'2023'!An_max)</f>
        <v>2021</v>
      </c>
      <c r="K120" s="197">
        <f t="shared" si="27"/>
        <v>45397</v>
      </c>
      <c r="L120" s="147">
        <f>IF(t&lt;Tvie,1-EXP((T0-t)*PertePVj)+'2023'!Pspv,1-EXP((T0-t)*PertePVj)+Pspv)</f>
        <v>3.6054050336223331E-2</v>
      </c>
      <c r="M120" s="832"/>
      <c r="N120" s="832"/>
      <c r="O120" s="48">
        <f>IF(t&lt;Tnet,'2023'!Resal+('2023'!Salim-'2023'!Resal)*(1-EXP(('2023'!Tnet-t)/('2023'!Tau_j))),Resal+(Salim-Resal)*(1-EXP((Tnet-t)/(Tau_j))))*Salcycl</f>
        <v>5.339183926780644E-2</v>
      </c>
      <c r="P120" s="169">
        <f>(INDEX(Models!$BJ120:$BT120,,T120)*(1-R120)+INDEX(Models!$BJ120:$BT120,,T120+1)*R120-ERP_i)*Q120*Ramure*Pc/MaxiM</f>
        <v>3.4720987923304197E-4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54.765493602998319</v>
      </c>
      <c r="W120" s="400">
        <f t="shared" si="34"/>
        <v>46.1484067907856</v>
      </c>
      <c r="X120" s="157">
        <f t="shared" si="35"/>
        <v>45397</v>
      </c>
      <c r="Y120" s="383">
        <f t="shared" si="36"/>
        <v>44.244796559737836</v>
      </c>
      <c r="Z120" s="383">
        <f t="shared" si="37"/>
        <v>45.899665406727806</v>
      </c>
      <c r="AA120" s="384">
        <f t="shared" si="38"/>
        <v>50.57475471662854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9.2439189000428315E-2</v>
      </c>
      <c r="AD120" s="230">
        <f>(INDEX(Models!$BJ120:$BT120,,AH120)*(1-AF120)+INDEX(Models!$BJ120:$BT120,,AH120+1)*AF120-ERP_i)*AE120*Ramure*Pc/MaxiM</f>
        <v>3.4720987923304197E-4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'2023'!Wh/'2023'!Env_an*'2024'!Env_an</f>
        <v>54.166134497125697</v>
      </c>
      <c r="C121" s="829"/>
      <c r="D121" s="391">
        <f t="shared" si="25"/>
        <v>56.193163753138315</v>
      </c>
      <c r="E121" s="383">
        <f t="shared" si="47"/>
        <v>59.366420776481554</v>
      </c>
      <c r="F121" s="383">
        <f t="shared" si="26"/>
        <v>59.386188481642876</v>
      </c>
      <c r="G121" s="110">
        <f t="shared" si="48"/>
        <v>0.98547035838860308</v>
      </c>
      <c r="H121" s="412" t="b">
        <f>Wh_hp&gt;='2023'!Maxi_hp</f>
        <v>0</v>
      </c>
      <c r="I121" s="388">
        <f>IF(H121,Wh_hp,'2023'!Maxi_hp)</f>
        <v>59.386411049175642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3.6072524140437157E-2</v>
      </c>
      <c r="M121" s="832"/>
      <c r="N121" s="832"/>
      <c r="O121" s="48">
        <f>IF(t&lt;Tnet,'2023'!Resal+('2023'!Salim-'2023'!Resal)*(1-EXP(('2023'!Tnet-t)/('2023'!Tau_j))),Resal+(Salim-Resal)*(1-EXP((Tnet-t)/(Tau_j))))*Salcycl</f>
        <v>5.3452052218050279E-2</v>
      </c>
      <c r="P121" s="169">
        <f>(INDEX(Models!$BJ121:$BT121,,T121)*(1-R121)+INDEX(Models!$BJ121:$BT121,,T121+1)*R121-ERP_i)*Q121*Ramure*Pc/MaxiM</f>
        <v>3.3991924891996574E-4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54.964364902821217</v>
      </c>
      <c r="W121" s="400">
        <f t="shared" si="34"/>
        <v>54.166134497125697</v>
      </c>
      <c r="X121" s="157">
        <f t="shared" si="35"/>
        <v>45398</v>
      </c>
      <c r="Y121" s="383">
        <f t="shared" si="36"/>
        <v>51.93297449177318</v>
      </c>
      <c r="Z121" s="383">
        <f t="shared" si="37"/>
        <v>53.876433437549856</v>
      </c>
      <c r="AA121" s="384">
        <f t="shared" si="38"/>
        <v>59.366420776481554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9.2476306759369242E-2</v>
      </c>
      <c r="AD121" s="230">
        <f>(INDEX(Models!$BJ121:$BT121,,AH121)*(1-AF121)+INDEX(Models!$BJ121:$BT121,,AH121+1)*AF121-ERP_i)*AE121*Ramure*Pc/MaxiM</f>
        <v>3.3991924891996574E-4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'2023'!Wh/'2023'!Env_an*'2024'!Env_an</f>
        <v>40.070492704944044</v>
      </c>
      <c r="C122" s="829"/>
      <c r="D122" s="391">
        <f t="shared" si="25"/>
        <v>41.570825259213784</v>
      </c>
      <c r="E122" s="383">
        <f t="shared" si="47"/>
        <v>43.9211785250587</v>
      </c>
      <c r="F122" s="383">
        <f t="shared" si="26"/>
        <v>43.930089413135434</v>
      </c>
      <c r="G122" s="110">
        <f t="shared" si="48"/>
        <v>0.72638514286405731</v>
      </c>
      <c r="H122" s="412" t="b">
        <f>Wh_hp&gt;='2023'!Maxi_hp</f>
        <v>0</v>
      </c>
      <c r="I122" s="388">
        <f>IF(H122,Wh_hp,'2023'!Maxi_hp)</f>
        <v>43.933124779978819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3.6090997590604856E-2</v>
      </c>
      <c r="M122" s="832"/>
      <c r="N122" s="832"/>
      <c r="O122" s="48">
        <f>IF(t&lt;Tnet,'2023'!Resal+('2023'!Salim-'2023'!Resal)*(1-EXP(('2023'!Tnet-t)/('2023'!Tau_j))),Resal+(Salim-Resal)*(1-EXP((Tnet-t)/(Tau_j))))*Salcycl</f>
        <v>5.351298268337553E-2</v>
      </c>
      <c r="P122" s="169">
        <f>(INDEX(Models!$BJ122:$BT122,,T122)*(1-R122)+INDEX(Models!$BJ122:$BT122,,T122+1)*R122-ERP_i)*Q122*Ramure*Pc/MaxiM</f>
        <v>3.329343514317329E-4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55.157073620471515</v>
      </c>
      <c r="W122" s="400">
        <f t="shared" si="34"/>
        <v>40.070492704944044</v>
      </c>
      <c r="X122" s="157">
        <f t="shared" si="35"/>
        <v>45399</v>
      </c>
      <c r="Y122" s="383">
        <f t="shared" si="36"/>
        <v>38.419315961426463</v>
      </c>
      <c r="Z122" s="383">
        <f t="shared" si="37"/>
        <v>39.857824613519753</v>
      </c>
      <c r="AA122" s="384">
        <f t="shared" si="38"/>
        <v>43.9211785250587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9.2514683075287915E-2</v>
      </c>
      <c r="AD122" s="230">
        <f>(INDEX(Models!$BJ122:$BT122,,AH122)*(1-AF122)+INDEX(Models!$BJ122:$BT122,,AH122+1)*AF122-ERP_i)*AE122*Ramure*Pc/MaxiM</f>
        <v>3.329343514317329E-4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'2023'!Wh/'2023'!Env_an*'2024'!Env_an</f>
        <v>9.3668405635493368</v>
      </c>
      <c r="C123" s="829"/>
      <c r="D123" s="391">
        <f t="shared" si="25"/>
        <v>9.7177431240276135</v>
      </c>
      <c r="E123" s="383">
        <f t="shared" si="47"/>
        <v>10.267838890193605</v>
      </c>
      <c r="F123" s="383">
        <f t="shared" si="26"/>
        <v>10.267838890193605</v>
      </c>
      <c r="G123" s="110">
        <f t="shared" si="48"/>
        <v>0.16919356884120396</v>
      </c>
      <c r="H123" s="412" t="b">
        <f>Wh_hp&gt;='2023'!Maxi_hp</f>
        <v>0</v>
      </c>
      <c r="I123" s="388">
        <f>IF(H123,Wh_hp,'2023'!Maxi_hp)</f>
        <v>59.533076172726751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3.6109470686732981E-2</v>
      </c>
      <c r="M123" s="832"/>
      <c r="N123" s="832"/>
      <c r="O123" s="48">
        <f>IF(t&lt;Tnet,'2023'!Resal+('2023'!Salim-'2023'!Resal)*(1-EXP(('2023'!Tnet-t)/('2023'!Tau_j))),Resal+(Salim-Resal)*(1-EXP((Tnet-t)/(Tau_j))))*Salcycl</f>
        <v>5.3574639420118517E-2</v>
      </c>
      <c r="P123" s="169">
        <f>(INDEX(Models!$BJ123:$BT123,,T123)*(1-R123)+INDEX(Models!$BJ123:$BT123,,T123+1)*R123-ERP_i)*Q123*Ramure*Pc/MaxiM</f>
        <v>3.2615847019732026E-4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55.343625371180018</v>
      </c>
      <c r="W123" s="400">
        <f t="shared" si="34"/>
        <v>9.3668405635493368</v>
      </c>
      <c r="X123" s="157">
        <f t="shared" si="35"/>
        <v>45400</v>
      </c>
      <c r="Y123" s="383">
        <f t="shared" si="36"/>
        <v>8.9810557300915086</v>
      </c>
      <c r="Z123" s="383">
        <f t="shared" si="37"/>
        <v>9.3175059376194387</v>
      </c>
      <c r="AA123" s="384">
        <f t="shared" si="38"/>
        <v>10.267838890193605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9.2554330345189825E-2</v>
      </c>
      <c r="AD123" s="230">
        <f>(INDEX(Models!$BJ123:$BT123,,AH123)*(1-AF123)+INDEX(Models!$BJ123:$BT123,,AH123+1)*AF123-ERP_i)*AE123*Ramure*Pc/MaxiM</f>
        <v>3.2615847019732026E-4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'2023'!Wh/'2023'!Env_an*'2024'!Env_an</f>
        <v>9.7727773351537444</v>
      </c>
      <c r="C124" s="829"/>
      <c r="D124" s="391">
        <f t="shared" si="25"/>
        <v>10.139081497931288</v>
      </c>
      <c r="E124" s="383">
        <f t="shared" si="47"/>
        <v>10.713734392903829</v>
      </c>
      <c r="F124" s="383">
        <f t="shared" si="26"/>
        <v>10.713734392903829</v>
      </c>
      <c r="G124" s="110">
        <f t="shared" si="48"/>
        <v>0.17595364923001525</v>
      </c>
      <c r="H124" s="412" t="b">
        <f>Wh_hp&gt;='2023'!Maxi_hp</f>
        <v>0</v>
      </c>
      <c r="I124" s="388">
        <f>IF(H124,Wh_hp,'2023'!Maxi_hp)</f>
        <v>52.580415314681325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3.6127943428828524E-2</v>
      </c>
      <c r="M124" s="832"/>
      <c r="N124" s="832"/>
      <c r="O124" s="48">
        <f>IF(t&lt;Tnet,'2023'!Resal+('2023'!Salim-'2023'!Resal)*(1-EXP(('2023'!Tnet-t)/('2023'!Tau_j))),Resal+(Salim-Resal)*(1-EXP((Tnet-t)/(Tau_j))))*Salcycl</f>
        <v>5.3637030179986431E-2</v>
      </c>
      <c r="P124" s="169">
        <f>(INDEX(Models!$BJ124:$BT124,,T124)*(1-R124)+INDEX(Models!$BJ124:$BT124,,T124+1)*R124-ERP_i)*Q124*Ramure*Pc/MaxiM</f>
        <v>3.1958460996146473E-4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55.524020949116419</v>
      </c>
      <c r="W124" s="400">
        <f t="shared" si="34"/>
        <v>9.7727773351537444</v>
      </c>
      <c r="X124" s="157">
        <f t="shared" si="35"/>
        <v>45401</v>
      </c>
      <c r="Y124" s="383">
        <f t="shared" si="36"/>
        <v>9.3704685913166301</v>
      </c>
      <c r="Z124" s="383">
        <f t="shared" si="37"/>
        <v>9.7216933797735035</v>
      </c>
      <c r="AA124" s="384">
        <f t="shared" si="38"/>
        <v>10.713734392903829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9.2595259201814509E-2</v>
      </c>
      <c r="AD124" s="230">
        <f>(INDEX(Models!$BJ124:$BT124,,AH124)*(1-AF124)+INDEX(Models!$BJ124:$BT124,,AH124+1)*AF124-ERP_i)*AE124*Ramure*Pc/MaxiM</f>
        <v>3.1958460996146473E-4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'2023'!Wh/'2023'!Env_an*'2024'!Env_an</f>
        <v>9.4072915173316982</v>
      </c>
      <c r="C125" s="829"/>
      <c r="D125" s="391">
        <f t="shared" si="25"/>
        <v>9.7600835559528392</v>
      </c>
      <c r="E125" s="383">
        <f t="shared" si="47"/>
        <v>10.313944017054627</v>
      </c>
      <c r="F125" s="383">
        <f t="shared" si="26"/>
        <v>10.313944017054627</v>
      </c>
      <c r="G125" s="110">
        <f t="shared" si="48"/>
        <v>0.16884450051622421</v>
      </c>
      <c r="H125" s="412" t="b">
        <f>Wh_hp&gt;='2023'!Maxi_hp</f>
        <v>0</v>
      </c>
      <c r="I125" s="388">
        <f>IF(H125,Wh_hp,'2023'!Maxi_hp)</f>
        <v>55.246951602065522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3.6146415816898148E-2</v>
      </c>
      <c r="M125" s="832"/>
      <c r="N125" s="832"/>
      <c r="O125" s="48">
        <f>IF(t&lt;Tnet,'2023'!Resal+('2023'!Salim-'2023'!Resal)*(1-EXP(('2023'!Tnet-t)/('2023'!Tau_j))),Resal+(Salim-Resal)*(1-EXP((Tnet-t)/(Tau_j))))*Salcycl</f>
        <v>5.3700161663273627E-2</v>
      </c>
      <c r="P125" s="169">
        <f>(INDEX(Models!$BJ125:$BT125,,T125)*(1-R125)+INDEX(Models!$BJ125:$BT125,,T125+1)*R125-ERP_i)*Q125*Ramure*Pc/MaxiM</f>
        <v>3.1320692856619633E-4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55.698261179349267</v>
      </c>
      <c r="W125" s="400">
        <f t="shared" si="34"/>
        <v>9.4072915173316982</v>
      </c>
      <c r="X125" s="157">
        <f t="shared" si="35"/>
        <v>45402</v>
      </c>
      <c r="Y125" s="383">
        <f t="shared" si="36"/>
        <v>9.0202105151207927</v>
      </c>
      <c r="Z125" s="383">
        <f t="shared" si="37"/>
        <v>9.3584862505498929</v>
      </c>
      <c r="AA125" s="384">
        <f t="shared" si="38"/>
        <v>10.313944017054627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9.263747843936683E-2</v>
      </c>
      <c r="AD125" s="230">
        <f>(INDEX(Models!$BJ125:$BT125,,AH125)*(1-AF125)+INDEX(Models!$BJ125:$BT125,,AH125+1)*AF125-ERP_i)*AE125*Ramure*Pc/MaxiM</f>
        <v>3.1320692856619633E-4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'2023'!Wh/'2023'!Env_an*'2024'!Env_an</f>
        <v>27.342420927737766</v>
      </c>
      <c r="C126" s="829"/>
      <c r="D126" s="391">
        <f t="shared" si="25"/>
        <v>28.368359466353855</v>
      </c>
      <c r="E126" s="383">
        <f t="shared" si="47"/>
        <v>29.980217038547089</v>
      </c>
      <c r="F126" s="383">
        <f t="shared" si="26"/>
        <v>29.98270806241548</v>
      </c>
      <c r="G126" s="110">
        <f t="shared" si="48"/>
        <v>0.48931599968398531</v>
      </c>
      <c r="H126" s="412" t="b">
        <f>Wh_hp&gt;='2023'!Maxi_hp</f>
        <v>0</v>
      </c>
      <c r="I126" s="388">
        <f>IF(H126,Wh_hp,'2023'!Maxi_hp)</f>
        <v>61.484611749803321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3.6164887850948735E-2</v>
      </c>
      <c r="M126" s="832"/>
      <c r="N126" s="832"/>
      <c r="O126" s="48">
        <f>IF(t&lt;Tnet,'2023'!Resal+('2023'!Salim-'2023'!Resal)*(1-EXP(('2023'!Tnet-t)/('2023'!Tau_j))),Resal+(Salim-Resal)*(1-EXP((Tnet-t)/(Tau_j))))*Salcycl</f>
        <v>5.3764039470454411E-2</v>
      </c>
      <c r="P126" s="169">
        <f>(INDEX(Models!$BJ126:$BT126,,T126)*(1-R126)+INDEX(Models!$BJ126:$BT126,,T126+1)*R126-ERP_i)*Q126*Ramure*Pc/MaxiM</f>
        <v>3.0701979618106006E-4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55.866346973378356</v>
      </c>
      <c r="W126" s="400">
        <f t="shared" si="34"/>
        <v>27.342420927737766</v>
      </c>
      <c r="X126" s="157">
        <f t="shared" si="35"/>
        <v>45403</v>
      </c>
      <c r="Y126" s="383">
        <f t="shared" si="36"/>
        <v>26.217877133196328</v>
      </c>
      <c r="Z126" s="383">
        <f t="shared" si="37"/>
        <v>27.201620694994865</v>
      </c>
      <c r="AA126" s="384">
        <f t="shared" si="38"/>
        <v>29.980217038547089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9.2680994936749167E-2</v>
      </c>
      <c r="AD126" s="230">
        <f>(INDEX(Models!$BJ126:$BT126,,AH126)*(1-AF126)+INDEX(Models!$BJ126:$BT126,,AH126+1)*AF126-ERP_i)*AE126*Ramure*Pc/MaxiM</f>
        <v>3.0701979618106006E-4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'2023'!Wh/'2023'!Env_an*'2024'!Env_an</f>
        <v>9.1063395562670717</v>
      </c>
      <c r="C127" s="829"/>
      <c r="D127" s="391">
        <f t="shared" si="25"/>
        <v>9.4482074431042609</v>
      </c>
      <c r="E127" s="383">
        <f t="shared" si="47"/>
        <v>9.9857257603172318</v>
      </c>
      <c r="F127" s="383">
        <f t="shared" si="26"/>
        <v>9.9857257603172318</v>
      </c>
      <c r="G127" s="110">
        <f t="shared" si="48"/>
        <v>0.16248220530788798</v>
      </c>
      <c r="H127" s="412" t="b">
        <f>Wh_hp&gt;='2023'!Maxi_hp</f>
        <v>0</v>
      </c>
      <c r="I127" s="388">
        <f>IF(H127,Wh_hp,'2023'!Maxi_hp)</f>
        <v>61.411826255045938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3.6183359530986947E-2</v>
      </c>
      <c r="M127" s="832"/>
      <c r="N127" s="832"/>
      <c r="O127" s="48">
        <f>IF(t&lt;Tnet,'2023'!Resal+('2023'!Salim-'2023'!Resal)*(1-EXP(('2023'!Tnet-t)/('2023'!Tau_j))),Resal+(Salim-Resal)*(1-EXP((Tnet-t)/(Tau_j))))*Salcycl</f>
        <v>5.3828668052255321E-2</v>
      </c>
      <c r="P127" s="169">
        <f>(INDEX(Models!$BJ127:$BT127,,T127)*(1-R127)+INDEX(Models!$BJ127:$BT127,,T127+1)*R127-ERP_i)*Q127*Ramure*Pc/MaxiM</f>
        <v>3.0101693080231406E-4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56.028279383779704</v>
      </c>
      <c r="W127" s="400">
        <f t="shared" si="34"/>
        <v>9.1063395562670717</v>
      </c>
      <c r="X127" s="157">
        <f t="shared" si="35"/>
        <v>45404</v>
      </c>
      <c r="Y127" s="383">
        <f t="shared" si="36"/>
        <v>8.7319775322114417</v>
      </c>
      <c r="Z127" s="383">
        <f t="shared" si="37"/>
        <v>9.0597912150201942</v>
      </c>
      <c r="AA127" s="384">
        <f t="shared" si="38"/>
        <v>9.9857257603172318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9.2725813578483599E-2</v>
      </c>
      <c r="AD127" s="230">
        <f>(INDEX(Models!$BJ127:$BT127,,AH127)*(1-AF127)+INDEX(Models!$BJ127:$BT127,,AH127+1)*AF127-ERP_i)*AE127*Ramure*Pc/MaxiM</f>
        <v>3.0101693080231406E-4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'2023'!Wh/'2023'!Env_an*'2024'!Env_an</f>
        <v>31.467275029690992</v>
      </c>
      <c r="C128" s="829"/>
      <c r="D128" s="391">
        <f t="shared" si="25"/>
        <v>32.649237192131238</v>
      </c>
      <c r="E128" s="383">
        <f t="shared" si="47"/>
        <v>34.509070802113449</v>
      </c>
      <c r="F128" s="383">
        <f t="shared" si="26"/>
        <v>34.512857519533355</v>
      </c>
      <c r="G128" s="110">
        <f t="shared" si="48"/>
        <v>0.55997089384388765</v>
      </c>
      <c r="H128" s="412" t="b">
        <f>Wh_hp&gt;='2023'!Maxi_hp</f>
        <v>0</v>
      </c>
      <c r="I128" s="388">
        <f>IF(H128,Wh_hp,'2023'!Maxi_hp)</f>
        <v>58.10105142457774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3.6201830857019557E-2</v>
      </c>
      <c r="M128" s="832"/>
      <c r="N128" s="832"/>
      <c r="O128" s="48">
        <f>IF(t&lt;Tnet,'2023'!Resal+('2023'!Salim-'2023'!Resal)*(1-EXP(('2023'!Tnet-t)/('2023'!Tau_j))),Resal+(Salim-Resal)*(1-EXP((Tnet-t)/(Tau_j))))*Salcycl</f>
        <v>5.3894050658365097E-2</v>
      </c>
      <c r="P128" s="169">
        <f>(INDEX(Models!$BJ128:$BT128,,T128)*(1-R128)+INDEX(Models!$BJ128:$BT128,,T128+1)*R128-ERP_i)*Q128*Ramure*Pc/MaxiM</f>
        <v>2.9531238424729045E-4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56.184052810168431</v>
      </c>
      <c r="W128" s="400">
        <f t="shared" si="34"/>
        <v>31.467275029690992</v>
      </c>
      <c r="X128" s="157">
        <f t="shared" si="35"/>
        <v>45405</v>
      </c>
      <c r="Y128" s="383">
        <f t="shared" si="36"/>
        <v>30.174205106180274</v>
      </c>
      <c r="Z128" s="383">
        <f t="shared" si="37"/>
        <v>31.307597453740236</v>
      </c>
      <c r="AA128" s="384">
        <f t="shared" si="38"/>
        <v>34.509070802113449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9.2771937173606683E-2</v>
      </c>
      <c r="AD128" s="230">
        <f>(INDEX(Models!$BJ128:$BT128,,AH128)*(1-AF128)+INDEX(Models!$BJ128:$BT128,,AH128+1)*AF128-ERP_i)*AE128*Ramure*Pc/MaxiM</f>
        <v>2.9531238424729045E-4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'2023'!Wh/'2023'!Env_an*'2024'!Env_an</f>
        <v>47.624745359299112</v>
      </c>
      <c r="C129" s="829"/>
      <c r="D129" s="391">
        <f t="shared" si="25"/>
        <v>49.414555473290193</v>
      </c>
      <c r="E129" s="383">
        <f t="shared" si="47"/>
        <v>52.233061350709328</v>
      </c>
      <c r="F129" s="383">
        <f t="shared" si="26"/>
        <v>52.244860053403485</v>
      </c>
      <c r="G129" s="110">
        <f t="shared" si="48"/>
        <v>0.8453504782256781</v>
      </c>
      <c r="H129" s="412" t="b">
        <f>Wh_hp&gt;='2023'!Maxi_hp</f>
        <v>0</v>
      </c>
      <c r="I129" s="388">
        <f>IF(H129,Wh_hp,'2023'!Maxi_hp)</f>
        <v>57.415722541484826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3.6220301829053558E-2</v>
      </c>
      <c r="M129" s="832"/>
      <c r="N129" s="832"/>
      <c r="O129" s="48">
        <f>IF(t&lt;Tnet,'2023'!Resal+('2023'!Salim-'2023'!Resal)*(1-EXP(('2023'!Tnet-t)/('2023'!Tau_j))),Resal+(Salim-Resal)*(1-EXP((Tnet-t)/(Tau_j))))*Salcycl</f>
        <v>5.3960189284996969E-2</v>
      </c>
      <c r="P129" s="169">
        <f>(INDEX(Models!$BJ129:$BT129,,T129)*(1-R129)+INDEX(Models!$BJ129:$BT129,,T129+1)*R129-ERP_i)*Q129*Ramure*Pc/MaxiM</f>
        <v>2.8984774457376601E-4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56.333671409320949</v>
      </c>
      <c r="W129" s="400">
        <f t="shared" si="34"/>
        <v>47.624745359299112</v>
      </c>
      <c r="X129" s="157">
        <f t="shared" si="35"/>
        <v>45406</v>
      </c>
      <c r="Y129" s="383">
        <f t="shared" si="36"/>
        <v>45.668529148603589</v>
      </c>
      <c r="Z129" s="383">
        <f t="shared" si="37"/>
        <v>47.384821692418889</v>
      </c>
      <c r="AA129" s="384">
        <f t="shared" si="38"/>
        <v>52.233061350709328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9.2819366372914991E-2</v>
      </c>
      <c r="AD129" s="230">
        <f>(INDEX(Models!$BJ129:$BT129,,AH129)*(1-AF129)+INDEX(Models!$BJ129:$BT129,,AH129+1)*AF129-ERP_i)*AE129*Ramure*Pc/MaxiM</f>
        <v>2.8984774457376601E-4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'2023'!Wh/'2023'!Env_an*'2024'!Env_an</f>
        <v>54.603727688772182</v>
      </c>
      <c r="C130" s="829"/>
      <c r="D130" s="391">
        <f t="shared" si="25"/>
        <v>56.656904353184075</v>
      </c>
      <c r="E130" s="383">
        <f t="shared" si="47"/>
        <v>59.892734170427119</v>
      </c>
      <c r="F130" s="383">
        <f t="shared" si="26"/>
        <v>59.908977390003372</v>
      </c>
      <c r="G130" s="110">
        <f t="shared" si="48"/>
        <v>0.96681585677137671</v>
      </c>
      <c r="H130" s="412" t="b">
        <f>Wh_hp&gt;='2023'!Maxi_hp</f>
        <v>0</v>
      </c>
      <c r="I130" s="388">
        <f>IF(H130,Wh_hp,'2023'!Maxi_hp)</f>
        <v>59.909404473598052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3.6238772447095502E-2</v>
      </c>
      <c r="M130" s="832"/>
      <c r="N130" s="832"/>
      <c r="O130" s="48">
        <f>IF(t&lt;Tnet,'2023'!Resal+('2023'!Salim-'2023'!Resal)*(1-EXP(('2023'!Tnet-t)/('2023'!Tau_j))),Resal+(Salim-Resal)*(1-EXP((Tnet-t)/(Tau_j))))*Salcycl</f>
        <v>5.4027084621573039E-2</v>
      </c>
      <c r="P130" s="169">
        <f>(INDEX(Models!$BJ130:$BT130,,T130)*(1-R130)+INDEX(Models!$BJ130:$BT130,,T130+1)*R130-ERP_i)*Q130*Ramure*Pc/MaxiM</f>
        <v>2.8461896488169022E-4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56.477136415025036</v>
      </c>
      <c r="W130" s="400">
        <f t="shared" si="34"/>
        <v>54.603727688772182</v>
      </c>
      <c r="X130" s="157">
        <f t="shared" si="35"/>
        <v>45407</v>
      </c>
      <c r="Y130" s="383">
        <f t="shared" si="36"/>
        <v>52.361735164734831</v>
      </c>
      <c r="Z130" s="383">
        <f t="shared" si="37"/>
        <v>54.330609769068033</v>
      </c>
      <c r="AA130" s="384">
        <f t="shared" si="38"/>
        <v>59.892734170427119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9.2868099585032143E-2</v>
      </c>
      <c r="AD130" s="230">
        <f>(INDEX(Models!$BJ130:$BT130,,AH130)*(1-AF130)+INDEX(Models!$BJ130:$BT130,,AH130+1)*AF130-ERP_i)*AE130*Ramure*Pc/MaxiM</f>
        <v>2.8461896488169022E-4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'2023'!Wh/'2023'!Env_an*'2024'!Env_an</f>
        <v>39.63796741900083</v>
      </c>
      <c r="C131" s="829"/>
      <c r="D131" s="391">
        <f t="shared" si="25"/>
        <v>41.12919876099339</v>
      </c>
      <c r="E131" s="383">
        <f t="shared" si="47"/>
        <v>43.481308674540465</v>
      </c>
      <c r="F131" s="383">
        <f t="shared" si="26"/>
        <v>43.48825982273911</v>
      </c>
      <c r="G131" s="110">
        <f t="shared" si="48"/>
        <v>0.70005483233293464</v>
      </c>
      <c r="H131" s="412" t="b">
        <f>Wh_hp&gt;='2023'!Maxi_hp</f>
        <v>0</v>
      </c>
      <c r="I131" s="388">
        <f>IF(H131,Wh_hp,'2023'!Maxi_hp)</f>
        <v>43.491010827693984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3.6257242711152271E-2</v>
      </c>
      <c r="M131" s="832"/>
      <c r="N131" s="832"/>
      <c r="O131" s="48">
        <f>IF(t&lt;Tnet,'2023'!Resal+('2023'!Salim-'2023'!Resal)*(1-EXP(('2023'!Tnet-t)/('2023'!Tau_j))),Resal+(Salim-Resal)*(1-EXP((Tnet-t)/(Tau_j))))*Salcycl</f>
        <v>5.4094735996856061E-2</v>
      </c>
      <c r="P131" s="169">
        <f>(INDEX(Models!$BJ131:$BT131,,T131)*(1-R131)+INDEX(Models!$BJ131:$BT131,,T131+1)*R131-ERP_i)*Q131*Ramure*Pc/MaxiM</f>
        <v>2.7962242000061533E-4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56.614449160116898</v>
      </c>
      <c r="W131" s="400">
        <f t="shared" si="34"/>
        <v>39.63796741900083</v>
      </c>
      <c r="X131" s="157">
        <f t="shared" si="35"/>
        <v>45408</v>
      </c>
      <c r="Y131" s="383">
        <f t="shared" si="36"/>
        <v>38.011080879955195</v>
      </c>
      <c r="Z131" s="383">
        <f t="shared" si="37"/>
        <v>39.441106656807506</v>
      </c>
      <c r="AA131" s="384">
        <f t="shared" si="38"/>
        <v>43.481308674540465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9.29181328918606E-2</v>
      </c>
      <c r="AD131" s="230">
        <f>(INDEX(Models!$BJ131:$BT131,,AH131)*(1-AF131)+INDEX(Models!$BJ131:$BT131,,AH131+1)*AF131-ERP_i)*AE131*Ramure*Pc/MaxiM</f>
        <v>2.7962242000061533E-4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'2023'!Wh/'2023'!Env_an*'2024'!Env_an</f>
        <v>23.884052744707173</v>
      </c>
      <c r="C132" s="829"/>
      <c r="D132" s="391">
        <f t="shared" si="25"/>
        <v>24.78307650590537</v>
      </c>
      <c r="E132" s="383">
        <f t="shared" si="47"/>
        <v>26.202273974204097</v>
      </c>
      <c r="F132" s="383">
        <f t="shared" si="26"/>
        <v>26.203517859353333</v>
      </c>
      <c r="G132" s="110">
        <f t="shared" si="48"/>
        <v>0.42080120672006666</v>
      </c>
      <c r="H132" s="412" t="b">
        <f>Wh_hp&gt;='2023'!Maxi_hp</f>
        <v>0</v>
      </c>
      <c r="I132" s="388">
        <f>IF(H132,Wh_hp,'2023'!Maxi_hp)</f>
        <v>46.721279625112096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3.6275712621230638E-2</v>
      </c>
      <c r="M132" s="832"/>
      <c r="N132" s="832"/>
      <c r="O132" s="48">
        <f>IF(t&lt;Tnet,'2023'!Resal+('2023'!Salim-'2023'!Resal)*(1-EXP(('2023'!Tnet-t)/('2023'!Tau_j))),Resal+(Salim-Resal)*(1-EXP((Tnet-t)/(Tau_j))))*Salcycl</f>
        <v>5.4163141324906232E-2</v>
      </c>
      <c r="P132" s="169">
        <f>(INDEX(Models!$BJ132:$BT132,,T132)*(1-R132)+INDEX(Models!$BJ132:$BT132,,T132+1)*R132-ERP_i)*Q132*Ramure*Pc/MaxiM</f>
        <v>2.7485490874258319E-4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56.745611077609077</v>
      </c>
      <c r="W132" s="400">
        <f t="shared" si="34"/>
        <v>23.884052744707173</v>
      </c>
      <c r="X132" s="157">
        <f t="shared" si="35"/>
        <v>45409</v>
      </c>
      <c r="Y132" s="383">
        <f t="shared" si="36"/>
        <v>22.904124596734611</v>
      </c>
      <c r="Z132" s="383">
        <f t="shared" si="37"/>
        <v>23.766262712991772</v>
      </c>
      <c r="AA132" s="384">
        <f t="shared" si="38"/>
        <v>26.202273974204097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9.2969459964068579E-2</v>
      </c>
      <c r="AD132" s="230">
        <f>(INDEX(Models!$BJ132:$BT132,,AH132)*(1-AF132)+INDEX(Models!$BJ132:$BT132,,AH132+1)*AF132-ERP_i)*AE132*Ramure*Pc/MaxiM</f>
        <v>2.7485490874258319E-4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'2023'!Wh/'2023'!Env_an*'2024'!Env_an</f>
        <v>43.68218533580567</v>
      </c>
      <c r="C133" s="829"/>
      <c r="D133" s="391">
        <f t="shared" si="25"/>
        <v>45.327302718269877</v>
      </c>
      <c r="E133" s="383">
        <f t="shared" si="47"/>
        <v>47.926465005041635</v>
      </c>
      <c r="F133" s="383">
        <f t="shared" si="26"/>
        <v>47.935129838104913</v>
      </c>
      <c r="G133" s="110">
        <f t="shared" si="48"/>
        <v>0.76802872824303359</v>
      </c>
      <c r="H133" s="412" t="b">
        <f>Wh_hp&gt;='2023'!Maxi_hp</f>
        <v>0</v>
      </c>
      <c r="I133" s="388">
        <f>IF(H133,Wh_hp,'2023'!Maxi_hp)</f>
        <v>51.783140656081144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3.6294182177337375E-2</v>
      </c>
      <c r="M133" s="832"/>
      <c r="N133" s="832"/>
      <c r="O133" s="48">
        <f>IF(t&lt;Tnet,'2023'!Resal+('2023'!Salim-'2023'!Resal)*(1-EXP(('2023'!Tnet-t)/('2023'!Tau_j))),Resal+(Salim-Resal)*(1-EXP((Tnet-t)/(Tau_j))))*Salcycl</f>
        <v>5.4232297051291747E-2</v>
      </c>
      <c r="P133" s="169">
        <f>(INDEX(Models!$BJ133:$BT133,,T133)*(1-R133)+INDEX(Models!$BJ133:$BT133,,T133+1)*R133-ERP_i)*Q133*Ramure*Pc/MaxiM</f>
        <v>2.7031365623027688E-4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56.870623708393651</v>
      </c>
      <c r="W133" s="400">
        <f t="shared" si="34"/>
        <v>43.68218533580567</v>
      </c>
      <c r="X133" s="157">
        <f t="shared" si="35"/>
        <v>45410</v>
      </c>
      <c r="Y133" s="383">
        <f t="shared" si="36"/>
        <v>41.890601491092845</v>
      </c>
      <c r="Z133" s="383">
        <f t="shared" si="37"/>
        <v>43.468245927722926</v>
      </c>
      <c r="AA133" s="384">
        <f t="shared" si="38"/>
        <v>47.926465005041635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9.30220719773453E-2</v>
      </c>
      <c r="AD133" s="230">
        <f>(INDEX(Models!$BJ133:$BT133,,AH133)*(1-AF133)+INDEX(Models!$BJ133:$BT133,,AH133+1)*AF133-ERP_i)*AE133*Ramure*Pc/MaxiM</f>
        <v>2.7031365623027688E-4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'2023'!Wh/'2023'!Env_an*'2024'!Env_an</f>
        <v>46.240805854480698</v>
      </c>
      <c r="C134" s="829"/>
      <c r="D134" s="391">
        <f t="shared" si="25"/>
        <v>47.983203183763422</v>
      </c>
      <c r="E134" s="383">
        <f t="shared" si="47"/>
        <v>50.738410396388673</v>
      </c>
      <c r="F134" s="383">
        <f t="shared" si="26"/>
        <v>50.748272115595519</v>
      </c>
      <c r="G134" s="110">
        <f t="shared" si="48"/>
        <v>0.81133367198464423</v>
      </c>
      <c r="H134" s="412" t="b">
        <f>Wh_hp&gt;='2023'!Maxi_hp</f>
        <v>0</v>
      </c>
      <c r="I134" s="388">
        <f>IF(H134,Wh_hp,'2023'!Maxi_hp)</f>
        <v>61.648626642094747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3.6312651379479366E-2</v>
      </c>
      <c r="M134" s="832"/>
      <c r="N134" s="832"/>
      <c r="O134" s="48">
        <f>IF(t&lt;Tnet,'2023'!Resal+('2023'!Salim-'2023'!Resal)*(1-EXP(('2023'!Tnet-t)/('2023'!Tau_j))),Resal+(Salim-Resal)*(1-EXP((Tnet-t)/(Tau_j))))*Salcycl</f>
        <v>5.4302198100028731E-2</v>
      </c>
      <c r="P134" s="169">
        <f>(INDEX(Models!$BJ134:$BT134,,T134)*(1-R134)+INDEX(Models!$BJ134:$BT134,,T134+1)*R134-ERP_i)*Q134*Ramure*Pc/MaxiM</f>
        <v>2.6599631637051741E-4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56.989488694093566</v>
      </c>
      <c r="W134" s="400">
        <f t="shared" si="34"/>
        <v>46.240805854480698</v>
      </c>
      <c r="X134" s="157">
        <f t="shared" si="35"/>
        <v>45411</v>
      </c>
      <c r="Y134" s="383">
        <f t="shared" si="36"/>
        <v>44.34492550194269</v>
      </c>
      <c r="Z134" s="383">
        <f t="shared" si="37"/>
        <v>46.015884265182741</v>
      </c>
      <c r="AA134" s="384">
        <f t="shared" si="38"/>
        <v>50.738410396388673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9.3075957530235606E-2</v>
      </c>
      <c r="AD134" s="230">
        <f>(INDEX(Models!$BJ134:$BT134,,AH134)*(1-AF134)+INDEX(Models!$BJ134:$BT134,,AH134+1)*AF134-ERP_i)*AE134*Ramure*Pc/MaxiM</f>
        <v>2.6599631637051741E-4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'2023'!Wh/'2023'!Env_an*'2024'!Env_an</f>
        <v>48.977940424014498</v>
      </c>
      <c r="C135" s="829"/>
      <c r="D135" s="391">
        <f t="shared" si="25"/>
        <v>50.82444961342464</v>
      </c>
      <c r="E135" s="383">
        <f t="shared" si="47"/>
        <v>51.343835192767592</v>
      </c>
      <c r="F135" s="383">
        <f t="shared" si="26"/>
        <v>51.353814733584002</v>
      </c>
      <c r="G135" s="110">
        <f t="shared" si="48"/>
        <v>0.81933294345621588</v>
      </c>
      <c r="H135" s="412" t="b">
        <f>Wh_hp&gt;='2023'!Maxi_hp</f>
        <v>0</v>
      </c>
      <c r="I135" s="388">
        <f>IF(H135,Wh_hp,'2023'!Maxi_hp)</f>
        <v>57.098058064772587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3.6331120227663272E-2</v>
      </c>
      <c r="M135" s="832"/>
      <c r="N135" s="832"/>
      <c r="O135" s="48">
        <f>IF(t&lt;Tnet,'2023'!Resal+('2023'!Salim-'2023'!Resal)*(1-EXP(('2023'!Tnet-t)/('2023'!Tau_j))),Resal+(Salim-Resal)*(1-EXP((Tnet-t)/(Tau_j))))*Salcycl</f>
        <v>1.0115831382539886E-2</v>
      </c>
      <c r="P135" s="169">
        <f>(INDEX(Models!$BJ135:$BT135,,T135)*(1-R135)+INDEX(Models!$BJ135:$BT135,,T135+1)*R135-ERP_i)*Q135*Ramure*Pc/MaxiM</f>
        <v>2.6190494933975717E-4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59.773783595722243</v>
      </c>
      <c r="W135" s="400">
        <f t="shared" si="34"/>
        <v>48.977940424014498</v>
      </c>
      <c r="X135" s="157">
        <f t="shared" si="35"/>
        <v>45412</v>
      </c>
      <c r="Y135" s="383">
        <f t="shared" si="36"/>
        <v>46.788172071871585</v>
      </c>
      <c r="Z135" s="383">
        <f t="shared" si="37"/>
        <v>48.552125168683581</v>
      </c>
      <c r="AA135" s="384">
        <f t="shared" si="38"/>
        <v>51.343835192767592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5.4372837821769451E-2</v>
      </c>
      <c r="AD135" s="230">
        <f>(INDEX(Models!$BJ135:$BT135,,AH135)*(1-AF135)+INDEX(Models!$BJ135:$BT135,,AH135+1)*AF135-ERP_i)*AE135*Ramure*Pc/MaxiM</f>
        <v>2.6190494933975717E-4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'2023'!Wh/'2023'!Env_an*'2024'!Env_an</f>
        <v>29.098556331718637</v>
      </c>
      <c r="C136" s="829"/>
      <c r="D136" s="391">
        <f t="shared" si="25"/>
        <v>30.19617486918807</v>
      </c>
      <c r="E136" s="383">
        <f t="shared" si="47"/>
        <v>30.507482664256127</v>
      </c>
      <c r="F136" s="383">
        <f t="shared" si="26"/>
        <v>30.509574927582499</v>
      </c>
      <c r="G136" s="110">
        <f t="shared" si="48"/>
        <v>0.48583895780599506</v>
      </c>
      <c r="H136" s="412" t="b">
        <f>Wh_hp&gt;='2023'!Maxi_hp</f>
        <v>0</v>
      </c>
      <c r="I136" s="388">
        <f>IF(H136,Wh_hp,'2023'!Maxi_hp)</f>
        <v>49.564429764978506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3.6349588721895865E-2</v>
      </c>
      <c r="M136" s="832"/>
      <c r="N136" s="832"/>
      <c r="O136" s="48">
        <f>IF(t&lt;Tnet,'2023'!Resal+('2023'!Salim-'2023'!Resal)*(1-EXP(('2023'!Tnet-t)/('2023'!Tau_j))),Resal+(Salim-Resal)*(1-EXP((Tnet-t)/(Tau_j))))*Salcycl</f>
        <v>1.0204309496594359E-2</v>
      </c>
      <c r="P136" s="169">
        <f>(INDEX(Models!$BJ136:$BT136,,T136)*(1-R136)+INDEX(Models!$BJ136:$BT136,,T136+1)*R136-ERP_i)*Q136*Ramure*Pc/MaxiM</f>
        <v>2.581821359617021E-4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59.882062271859105</v>
      </c>
      <c r="W136" s="400">
        <f t="shared" si="34"/>
        <v>29.098556331718637</v>
      </c>
      <c r="X136" s="157">
        <f t="shared" si="35"/>
        <v>45413</v>
      </c>
      <c r="Y136" s="383">
        <f t="shared" si="36"/>
        <v>27.797967544126834</v>
      </c>
      <c r="Z136" s="383">
        <f t="shared" si="37"/>
        <v>28.846526934241609</v>
      </c>
      <c r="AA136" s="384">
        <f t="shared" si="38"/>
        <v>30.507482664256127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5.4444207943796223E-2</v>
      </c>
      <c r="AD136" s="230">
        <f>(INDEX(Models!$BJ136:$BT136,,AH136)*(1-AF136)+INDEX(Models!$BJ136:$BT136,,AH136+1)*AF136-ERP_i)*AE136*Ramure*Pc/MaxiM</f>
        <v>2.581821359617021E-4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'2023'!Wh/'2023'!Env_an*'2024'!Env_an</f>
        <v>40.614824013526494</v>
      </c>
      <c r="C137" s="829"/>
      <c r="D137" s="391">
        <f t="shared" si="25"/>
        <v>42.147652226300131</v>
      </c>
      <c r="E137" s="383">
        <f t="shared" si="47"/>
        <v>42.58598698477261</v>
      </c>
      <c r="F137" s="383">
        <f t="shared" si="26"/>
        <v>42.59183175703641</v>
      </c>
      <c r="G137" s="110">
        <f t="shared" si="48"/>
        <v>0.67702796831387757</v>
      </c>
      <c r="H137" s="412" t="b">
        <f>Wh_hp&gt;='2023'!Maxi_hp</f>
        <v>0</v>
      </c>
      <c r="I137" s="388">
        <f>IF(H137,Wh_hp,'2023'!Maxi_hp)</f>
        <v>61.404519088032231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3.6368056862184028E-2</v>
      </c>
      <c r="M137" s="832"/>
      <c r="N137" s="832"/>
      <c r="O137" s="48">
        <f>IF(t&lt;Tnet,'2023'!Resal+('2023'!Salim-'2023'!Resal)*(1-EXP(('2023'!Tnet-t)/('2023'!Tau_j))),Resal+(Salim-Resal)*(1-EXP((Tnet-t)/(Tau_j))))*Salcycl</f>
        <v>1.0292934120071226E-2</v>
      </c>
      <c r="P137" s="169">
        <f>(INDEX(Models!$BJ137:$BT137,,T137)*(1-R137)+INDEX(Models!$BJ137:$BT137,,T137+1)*R137-ERP_i)*Q137*Ramure*Pc/MaxiM</f>
        <v>2.5472648415257696E-4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59.982826500843885</v>
      </c>
      <c r="W137" s="400">
        <f t="shared" si="34"/>
        <v>40.614824013526494</v>
      </c>
      <c r="X137" s="157">
        <f t="shared" si="35"/>
        <v>45414</v>
      </c>
      <c r="Y137" s="383">
        <f t="shared" si="36"/>
        <v>38.800020194893357</v>
      </c>
      <c r="Z137" s="383">
        <f t="shared" si="37"/>
        <v>40.264356605439225</v>
      </c>
      <c r="AA137" s="384">
        <f t="shared" si="38"/>
        <v>42.58598698477261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5.4516298522411334E-2</v>
      </c>
      <c r="AD137" s="230">
        <f>(INDEX(Models!$BJ137:$BT137,,AH137)*(1-AF137)+INDEX(Models!$BJ137:$BT137,,AH137+1)*AF137-ERP_i)*AE137*Ramure*Pc/MaxiM</f>
        <v>2.5472648415257696E-4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'2023'!Wh/'2023'!Env_an*'2024'!Env_an</f>
        <v>21.99332903004089</v>
      </c>
      <c r="C138" s="829"/>
      <c r="D138" s="391">
        <f t="shared" si="25"/>
        <v>22.823808085518014</v>
      </c>
      <c r="E138" s="383">
        <f t="shared" si="47"/>
        <v>23.063243901635275</v>
      </c>
      <c r="F138" s="383">
        <f t="shared" si="26"/>
        <v>23.063791625567411</v>
      </c>
      <c r="G138" s="110">
        <f t="shared" si="48"/>
        <v>0.36600534537608803</v>
      </c>
      <c r="H138" s="412" t="b">
        <f>Wh_hp&gt;='2023'!Maxi_hp</f>
        <v>0</v>
      </c>
      <c r="I138" s="388">
        <f>IF(H138,Wh_hp,'2023'!Maxi_hp)</f>
        <v>54.000058250195806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3.6386524648534535E-2</v>
      </c>
      <c r="M138" s="832"/>
      <c r="N138" s="832"/>
      <c r="O138" s="48">
        <f>IF(t&lt;Tnet,'2023'!Resal+('2023'!Salim-'2023'!Resal)*(1-EXP(('2023'!Tnet-t)/('2023'!Tau_j))),Resal+(Salim-Resal)*(1-EXP((Tnet-t)/(Tau_j))))*Salcycl</f>
        <v>1.0381705936010415E-2</v>
      </c>
      <c r="P138" s="169">
        <f>(INDEX(Models!$BJ138:$BT138,,T138)*(1-R138)+INDEX(Models!$BJ138:$BT138,,T138+1)*R138-ERP_i)*Q138*Ramure*Pc/MaxiM</f>
        <v>2.5153683465818985E-4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60.076497129995794</v>
      </c>
      <c r="W138" s="400">
        <f t="shared" si="34"/>
        <v>21.99332903004089</v>
      </c>
      <c r="X138" s="157">
        <f t="shared" si="35"/>
        <v>45415</v>
      </c>
      <c r="Y138" s="383">
        <f t="shared" si="36"/>
        <v>21.010861625366328</v>
      </c>
      <c r="Z138" s="383">
        <f t="shared" si="37"/>
        <v>21.804242222435597</v>
      </c>
      <c r="AA138" s="384">
        <f t="shared" si="38"/>
        <v>23.063243901635275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5.4589097898340627E-2</v>
      </c>
      <c r="AD138" s="230">
        <f>(INDEX(Models!$BJ138:$BT138,,AH138)*(1-AF138)+INDEX(Models!$BJ138:$BT138,,AH138+1)*AF138-ERP_i)*AE138*Ramure*Pc/MaxiM</f>
        <v>2.5153683465818985E-4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'2023'!Wh/'2023'!Env_an*'2024'!Env_an</f>
        <v>45.115584693138672</v>
      </c>
      <c r="C139" s="829"/>
      <c r="D139" s="391">
        <f t="shared" si="25"/>
        <v>46.820068931831727</v>
      </c>
      <c r="E139" s="383">
        <f t="shared" si="47"/>
        <v>47.315491712305516</v>
      </c>
      <c r="F139" s="383">
        <f t="shared" si="26"/>
        <v>47.323053032609664</v>
      </c>
      <c r="G139" s="110">
        <f t="shared" si="48"/>
        <v>0.74981642064653031</v>
      </c>
      <c r="H139" s="412" t="b">
        <f>Wh_hp&gt;='2023'!Maxi_hp</f>
        <v>0</v>
      </c>
      <c r="I139" s="388">
        <f>IF(H139,Wh_hp,'2023'!Maxi_hp)</f>
        <v>59.96671405061354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3.6404992080954046E-2</v>
      </c>
      <c r="M139" s="832"/>
      <c r="N139" s="832"/>
      <c r="O139" s="48">
        <f>IF(t&lt;Tnet,'2023'!Resal+('2023'!Salim-'2023'!Resal)*(1-EXP(('2023'!Tnet-t)/('2023'!Tau_j))),Resal+(Salim-Resal)*(1-EXP((Tnet-t)/(Tau_j))))*Salcycl</f>
        <v>1.0470625212692064E-2</v>
      </c>
      <c r="P139" s="169">
        <f>(INDEX(Models!$BJ139:$BT139,,T139)*(1-R139)+INDEX(Models!$BJ139:$BT139,,T139+1)*R139-ERP_i)*Q139*Ramure*Pc/MaxiM</f>
        <v>2.4861269110436937E-4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60.163494840345138</v>
      </c>
      <c r="W139" s="400">
        <f t="shared" si="34"/>
        <v>45.115584693138672</v>
      </c>
      <c r="X139" s="157">
        <f t="shared" si="35"/>
        <v>45416</v>
      </c>
      <c r="Y139" s="383">
        <f t="shared" si="36"/>
        <v>43.100741576061942</v>
      </c>
      <c r="Z139" s="383">
        <f t="shared" si="37"/>
        <v>44.729104262527422</v>
      </c>
      <c r="AA139" s="384">
        <f t="shared" si="38"/>
        <v>47.315491712305516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5.4662592655788593E-2</v>
      </c>
      <c r="AD139" s="230">
        <f>(INDEX(Models!$BJ139:$BT139,,AH139)*(1-AF139)+INDEX(Models!$BJ139:$BT139,,AH139+1)*AF139-ERP_i)*AE139*Ramure*Pc/MaxiM</f>
        <v>2.4861269110436937E-4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'2023'!Wh/'2023'!Env_an*'2024'!Env_an</f>
        <v>39.590686384435564</v>
      </c>
      <c r="C140" s="829"/>
      <c r="D140" s="391">
        <f t="shared" si="25"/>
        <v>41.087225255504535</v>
      </c>
      <c r="E140" s="383">
        <f t="shared" si="47"/>
        <v>41.525724103184615</v>
      </c>
      <c r="F140" s="383">
        <f t="shared" si="26"/>
        <v>41.5309360800047</v>
      </c>
      <c r="G140" s="110">
        <f t="shared" si="48"/>
        <v>0.65709048173658413</v>
      </c>
      <c r="H140" s="412" t="b">
        <f>Wh_hp&gt;='2023'!Maxi_hp</f>
        <v>0</v>
      </c>
      <c r="I140" s="388">
        <f>IF(H140,Wh_hp,'2023'!Maxi_hp)</f>
        <v>63.959766591204975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3.6423459159449445E-2</v>
      </c>
      <c r="M140" s="832"/>
      <c r="N140" s="832"/>
      <c r="O140" s="48">
        <f>IF(t&lt;Tnet,'2023'!Resal+('2023'!Salim-'2023'!Resal)*(1-EXP(('2023'!Tnet-t)/('2023'!Tau_j))),Resal+(Salim-Resal)*(1-EXP((Tnet-t)/(Tau_j))))*Salcycl</f>
        <v>1.0559691785036253E-2</v>
      </c>
      <c r="P140" s="169">
        <f>(INDEX(Models!$BJ140:$BT140,,T140)*(1-R140)+INDEX(Models!$BJ140:$BT140,,T140+1)*R140-ERP_i)*Q140*Ramure*Pc/MaxiM</f>
        <v>2.4595420038279743E-4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60.244240136291538</v>
      </c>
      <c r="W140" s="400">
        <f t="shared" si="34"/>
        <v>39.590686384435564</v>
      </c>
      <c r="X140" s="157">
        <f t="shared" si="35"/>
        <v>45417</v>
      </c>
      <c r="Y140" s="383">
        <f t="shared" si="36"/>
        <v>37.823019614759801</v>
      </c>
      <c r="Z140" s="383">
        <f t="shared" si="37"/>
        <v>39.25274019411669</v>
      </c>
      <c r="AA140" s="384">
        <f t="shared" si="38"/>
        <v>41.525724103184615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5.4736767585796611E-2</v>
      </c>
      <c r="AD140" s="230">
        <f>(INDEX(Models!$BJ140:$BT140,,AH140)*(1-AF140)+INDEX(Models!$BJ140:$BT140,,AH140+1)*AF140-ERP_i)*AE140*Ramure*Pc/MaxiM</f>
        <v>2.4595420038279743E-4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'2023'!Wh/'2023'!Env_an*'2024'!Env_an</f>
        <v>54.163315516727863</v>
      </c>
      <c r="C141" s="829"/>
      <c r="D141" s="391">
        <f t="shared" si="25"/>
        <v>56.211781076527878</v>
      </c>
      <c r="E141" s="383">
        <f t="shared" si="47"/>
        <v>56.816817975640916</v>
      </c>
      <c r="F141" s="383">
        <f t="shared" si="26"/>
        <v>56.828641328248928</v>
      </c>
      <c r="G141" s="110">
        <f t="shared" si="48"/>
        <v>0.89791366088052493</v>
      </c>
      <c r="H141" s="412" t="b">
        <f>Wh_hp&gt;='2023'!Maxi_hp</f>
        <v>0</v>
      </c>
      <c r="I141" s="388">
        <f>IF(H141,Wh_hp,'2023'!Maxi_hp)</f>
        <v>60.392486037860046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3.6441925884027615E-2</v>
      </c>
      <c r="M141" s="832"/>
      <c r="N141" s="832"/>
      <c r="O141" s="48">
        <f>IF(t&lt;Tnet,'2023'!Resal+('2023'!Salim-'2023'!Resal)*(1-EXP(('2023'!Tnet-t)/('2023'!Tau_j))),Resal+(Salim-Resal)*(1-EXP((Tnet-t)/(Tau_j))))*Salcycl</f>
        <v>1.0648905036752143E-2</v>
      </c>
      <c r="P141" s="169">
        <f>(INDEX(Models!$BJ141:$BT141,,T141)*(1-R141)+INDEX(Models!$BJ141:$BT141,,T141+1)*R141-ERP_i)*Q141*Ramure*Pc/MaxiM</f>
        <v>2.4356213283060517E-4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60.319153352778528</v>
      </c>
      <c r="W141" s="400">
        <f t="shared" si="34"/>
        <v>54.163315516727863</v>
      </c>
      <c r="X141" s="157">
        <f t="shared" si="35"/>
        <v>45418</v>
      </c>
      <c r="Y141" s="383">
        <f t="shared" si="36"/>
        <v>51.745570896227804</v>
      </c>
      <c r="Z141" s="383">
        <f t="shared" si="37"/>
        <v>53.702596954213043</v>
      </c>
      <c r="AA141" s="384">
        <f t="shared" si="38"/>
        <v>56.816817975640916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5.4811605654562168E-2</v>
      </c>
      <c r="AD141" s="230">
        <f>(INDEX(Models!$BJ141:$BT141,,AH141)*(1-AF141)+INDEX(Models!$BJ141:$BT141,,AH141+1)*AF141-ERP_i)*AE141*Ramure*Pc/MaxiM</f>
        <v>2.4356213283060517E-4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'2023'!Wh/'2023'!Env_an*'2024'!Env_an</f>
        <v>49.944718982914203</v>
      </c>
      <c r="C142" s="829"/>
      <c r="D142" s="391">
        <f t="shared" si="25"/>
        <v>51.834629922256639</v>
      </c>
      <c r="E142" s="383">
        <f t="shared" si="47"/>
        <v>52.397285803994606</v>
      </c>
      <c r="F142" s="383">
        <f t="shared" si="26"/>
        <v>52.406811961854316</v>
      </c>
      <c r="G142" s="110">
        <f t="shared" si="48"/>
        <v>0.82700531752520423</v>
      </c>
      <c r="H142" s="412" t="b">
        <f>Wh_hp&gt;='2023'!Maxi_hp</f>
        <v>0</v>
      </c>
      <c r="I142" s="388">
        <f>IF(H142,Wh_hp,'2023'!Maxi_hp)</f>
        <v>59.443974291396984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3.6460392254695106E-2</v>
      </c>
      <c r="M142" s="832"/>
      <c r="N142" s="832"/>
      <c r="O142" s="48">
        <f>IF(t&lt;Tnet,'2023'!Resal+('2023'!Salim-'2023'!Resal)*(1-EXP(('2023'!Tnet-t)/('2023'!Tau_j))),Resal+(Salim-Resal)*(1-EXP((Tnet-t)/(Tau_j))))*Salcycl</f>
        <v>1.0738263883414187E-2</v>
      </c>
      <c r="P142" s="169">
        <f>(INDEX(Models!$BJ142:$BT142,,T142)*(1-R142)+INDEX(Models!$BJ142:$BT142,,T142+1)*R142-ERP_i)*Q142*Ramure*Pc/MaxiM</f>
        <v>2.4141953967504113E-4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60.388655752357899</v>
      </c>
      <c r="W142" s="400">
        <f t="shared" si="34"/>
        <v>49.944718982914203</v>
      </c>
      <c r="X142" s="157">
        <f t="shared" si="35"/>
        <v>45419</v>
      </c>
      <c r="Y142" s="383">
        <f t="shared" si="36"/>
        <v>47.715783472424455</v>
      </c>
      <c r="Z142" s="383">
        <f t="shared" si="37"/>
        <v>49.521351368295079</v>
      </c>
      <c r="AA142" s="384">
        <f t="shared" si="38"/>
        <v>52.397285803994606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5.488708797737521E-2</v>
      </c>
      <c r="AD142" s="230">
        <f>(INDEX(Models!$BJ142:$BT142,,AH142)*(1-AF142)+INDEX(Models!$BJ142:$BT142,,AH142+1)*AF142-ERP_i)*AE142*Ramure*Pc/MaxiM</f>
        <v>2.4141953967504113E-4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'2023'!Wh/'2023'!Env_an*'2024'!Env_an</f>
        <v>57.351858307183548</v>
      </c>
      <c r="C143" s="829"/>
      <c r="D143" s="391">
        <f t="shared" ref="D143:D206" si="50">Wh/(1-Ppv)</f>
        <v>59.523196558297883</v>
      </c>
      <c r="E143" s="383">
        <f t="shared" si="47"/>
        <v>60.174754767559477</v>
      </c>
      <c r="F143" s="383">
        <f t="shared" ref="F143:F206" si="51">Wh_sa/(1-Pvg*MEDIAN((-Sdif+Wh/Env_an)/Csdif,0,1))</f>
        <v>60.188107307178456</v>
      </c>
      <c r="G143" s="110">
        <f t="shared" si="48"/>
        <v>0.94868220382903778</v>
      </c>
      <c r="H143" s="412" t="b">
        <f>Wh_hp&gt;='2023'!Maxi_hp</f>
        <v>0</v>
      </c>
      <c r="I143" s="388">
        <f>IF(H143,Wh_hp,'2023'!Maxi_hp)</f>
        <v>60.188657093420851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3.6478858271458803E-2</v>
      </c>
      <c r="M143" s="832"/>
      <c r="N143" s="832"/>
      <c r="O143" s="48">
        <f>IF(t&lt;Tnet,'2023'!Resal+('2023'!Salim-'2023'!Resal)*(1-EXP(('2023'!Tnet-t)/('2023'!Tau_j))),Resal+(Salim-Resal)*(1-EXP((Tnet-t)/(Tau_j))))*Salcycl</f>
        <v>1.0827766756647402E-2</v>
      </c>
      <c r="P143" s="169">
        <f>(INDEX(Models!$BJ143:$BT143,,T143)*(1-R143)+INDEX(Models!$BJ143:$BT143,,T143+1)*R143-ERP_i)*Q143*Ramure*Pc/MaxiM</f>
        <v>2.3939115463899075E-4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60.45317562791692</v>
      </c>
      <c r="W143" s="400">
        <f t="shared" ref="W143:W206" si="59">Wh*(A143&gt;Tmaj)</f>
        <v>57.351858307183548</v>
      </c>
      <c r="X143" s="157">
        <f t="shared" ref="X143:X206" si="60">t</f>
        <v>45420</v>
      </c>
      <c r="Y143" s="383">
        <f t="shared" ref="Y143:Y206" si="61">Wh_pvt_s*(1-Ppv)</f>
        <v>54.79290176454991</v>
      </c>
      <c r="Z143" s="383">
        <f t="shared" ref="Z143:Z206" si="62">Wh_sa_s*(1-Psa_s)</f>
        <v>56.867358059473752</v>
      </c>
      <c r="AA143" s="384">
        <f t="shared" ref="AA143:AA206" si="63">Wh_hp*(1-Pvg_s*MEDIAN((-Sdif+Wh/Env_an)/Csdif,0,1))</f>
        <v>60.174754767559477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5.4963193798818054E-2</v>
      </c>
      <c r="AD143" s="230">
        <f>(INDEX(Models!$BJ143:$BT143,,AH143)*(1-AF143)+INDEX(Models!$BJ143:$BT143,,AH143+1)*AF143-ERP_i)*AE143*Ramure*Pc/MaxiM</f>
        <v>2.3939115463899075E-4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'2023'!Wh/'2023'!Env_an*'2024'!Env_an</f>
        <v>53.5729611125182</v>
      </c>
      <c r="C144" s="829"/>
      <c r="D144" s="391">
        <f t="shared" si="50"/>
        <v>55.602296125710552</v>
      </c>
      <c r="E144" s="383">
        <f t="shared" ref="E144:E169" si="72">Wh_pvt/(1-Psa)</f>
        <v>56.216029659436195</v>
      </c>
      <c r="F144" s="383">
        <f t="shared" si="51"/>
        <v>56.227194500942019</v>
      </c>
      <c r="G144" s="110">
        <f t="shared" ref="G144:G169" si="73">+Wh_hp/MaxiM</f>
        <v>0.88527685674150869</v>
      </c>
      <c r="H144" s="412" t="b">
        <f>Wh_hp&gt;='2023'!Maxi_hp</f>
        <v>0</v>
      </c>
      <c r="I144" s="388">
        <f>IF(H144,Wh_hp,'2023'!Maxi_hp)</f>
        <v>56.228332022395691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3.6497323934325476E-2</v>
      </c>
      <c r="M144" s="832"/>
      <c r="N144" s="832"/>
      <c r="O144" s="48">
        <f>IF(t&lt;Tnet,'2023'!Resal+('2023'!Salim-'2023'!Resal)*(1-EXP(('2023'!Tnet-t)/('2023'!Tau_j))),Resal+(Salim-Resal)*(1-EXP((Tnet-t)/(Tau_j))))*Salcycl</f>
        <v>1.0917411589607443E-2</v>
      </c>
      <c r="P144" s="169">
        <f>(INDEX(Models!$BJ144:$BT144,,T144)*(1-R144)+INDEX(Models!$BJ144:$BT144,,T144+1)*R144-ERP_i)*Q144*Ramure*Pc/MaxiM</f>
        <v>2.3747465865672229E-4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60.513133116951629</v>
      </c>
      <c r="W144" s="400">
        <f t="shared" si="59"/>
        <v>53.5729611125182</v>
      </c>
      <c r="X144" s="157">
        <f t="shared" si="60"/>
        <v>45421</v>
      </c>
      <c r="Y144" s="383">
        <f t="shared" si="61"/>
        <v>51.183097607485848</v>
      </c>
      <c r="Z144" s="383">
        <f t="shared" si="62"/>
        <v>53.121904981608054</v>
      </c>
      <c r="AA144" s="384">
        <f t="shared" si="63"/>
        <v>56.216029659436195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5.5039900479858538E-2</v>
      </c>
      <c r="AD144" s="230">
        <f>(INDEX(Models!$BJ144:$BT144,,AH144)*(1-AF144)+INDEX(Models!$BJ144:$BT144,,AH144+1)*AF144-ERP_i)*AE144*Ramure*Pc/MaxiM</f>
        <v>2.3747465865672229E-4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'2023'!Wh/'2023'!Env_an*'2024'!Env_an</f>
        <v>57.769026973341688</v>
      </c>
      <c r="C145" s="829"/>
      <c r="D145" s="391">
        <f t="shared" si="50"/>
        <v>59.958457365867204</v>
      </c>
      <c r="E145" s="383">
        <f t="shared" si="72"/>
        <v>60.625777165898356</v>
      </c>
      <c r="F145" s="383">
        <f t="shared" si="51"/>
        <v>60.639124129725225</v>
      </c>
      <c r="G145" s="110">
        <f t="shared" si="73"/>
        <v>0.95375814545284587</v>
      </c>
      <c r="H145" s="412" t="b">
        <f>Wh_hp&gt;='2023'!Maxi_hp</f>
        <v>0</v>
      </c>
      <c r="I145" s="388">
        <f>IF(H145,Wh_hp,'2023'!Maxi_hp)</f>
        <v>60.639614204775107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3.651578924330201E-2</v>
      </c>
      <c r="M145" s="832"/>
      <c r="N145" s="832"/>
      <c r="O145" s="48">
        <f>IF(t&lt;Tnet,'2023'!Resal+('2023'!Salim-'2023'!Resal)*(1-EXP(('2023'!Tnet-t)/('2023'!Tau_j))),Resal+(Salim-Resal)*(1-EXP((Tnet-t)/(Tau_j))))*Salcycl</f>
        <v>1.1007195803941295E-2</v>
      </c>
      <c r="P145" s="169">
        <f>(INDEX(Models!$BJ145:$BT145,,T145)*(1-R145)+INDEX(Models!$BJ145:$BT145,,T145+1)*R145-ERP_i)*Q145*Ramure*Pc/MaxiM</f>
        <v>2.3566800637530474E-4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60.568948198242175</v>
      </c>
      <c r="W145" s="400">
        <f t="shared" si="59"/>
        <v>57.769026973341688</v>
      </c>
      <c r="X145" s="157">
        <f t="shared" si="60"/>
        <v>45422</v>
      </c>
      <c r="Y145" s="383">
        <f t="shared" si="61"/>
        <v>55.192475295959149</v>
      </c>
      <c r="Z145" s="383">
        <f t="shared" si="62"/>
        <v>57.284255081473795</v>
      </c>
      <c r="AA145" s="384">
        <f t="shared" si="63"/>
        <v>60.625777165898356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5.5117183492439277E-2</v>
      </c>
      <c r="AD145" s="230">
        <f>(INDEX(Models!$BJ145:$BT145,,AH145)*(1-AF145)+INDEX(Models!$BJ145:$BT145,,AH145+1)*AF145-ERP_i)*AE145*Ramure*Pc/MaxiM</f>
        <v>2.3566800637530474E-4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'2023'!Wh/'2023'!Env_an*'2024'!Env_an</f>
        <v>43.070234226832504</v>
      </c>
      <c r="C146" s="829"/>
      <c r="D146" s="391">
        <f t="shared" si="50"/>
        <v>44.703441107808153</v>
      </c>
      <c r="E146" s="383">
        <f t="shared" si="72"/>
        <v>45.205087217945668</v>
      </c>
      <c r="F146" s="383">
        <f t="shared" si="51"/>
        <v>45.211290241113197</v>
      </c>
      <c r="G146" s="110">
        <f t="shared" si="73"/>
        <v>0.71041449159774039</v>
      </c>
      <c r="H146" s="412" t="b">
        <f>Wh_hp&gt;='2023'!Maxi_hp</f>
        <v>0</v>
      </c>
      <c r="I146" s="388">
        <f>IF(H146,Wh_hp,'2023'!Maxi_hp)</f>
        <v>56.127004376201441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3.6534254198395177E-2</v>
      </c>
      <c r="M146" s="832"/>
      <c r="N146" s="832"/>
      <c r="O146" s="48">
        <f>IF(t&lt;Tnet,'2023'!Resal+('2023'!Salim-'2023'!Resal)*(1-EXP(('2023'!Tnet-t)/('2023'!Tau_j))),Resal+(Salim-Resal)*(1-EXP((Tnet-t)/(Tau_j))))*Salcycl</f>
        <v>1.1097116298414525E-2</v>
      </c>
      <c r="P146" s="169">
        <f>(INDEX(Models!$BJ146:$BT146,,T146)*(1-R146)+INDEX(Models!$BJ146:$BT146,,T146+1)*R146-ERP_i)*Q146*Ramure*Pc/MaxiM</f>
        <v>2.3396941983517695E-4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60.621040695575346</v>
      </c>
      <c r="W146" s="400">
        <f t="shared" si="59"/>
        <v>43.070234226832504</v>
      </c>
      <c r="X146" s="157">
        <f t="shared" si="60"/>
        <v>45423</v>
      </c>
      <c r="Y146" s="383">
        <f t="shared" si="61"/>
        <v>41.149613993498065</v>
      </c>
      <c r="Z146" s="383">
        <f t="shared" si="62"/>
        <v>42.709991686587188</v>
      </c>
      <c r="AA146" s="384">
        <f t="shared" si="63"/>
        <v>45.205087217945668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5.5195016422133293E-2</v>
      </c>
      <c r="AD146" s="230">
        <f>(INDEX(Models!$BJ146:$BT146,,AH146)*(1-AF146)+INDEX(Models!$BJ146:$BT146,,AH146+1)*AF146-ERP_i)*AE146*Ramure*Pc/MaxiM</f>
        <v>2.3396941983517695E-4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'2023'!Wh/'2023'!Env_an*'2024'!Env_an</f>
        <v>45.113073740093419</v>
      </c>
      <c r="C147" s="829"/>
      <c r="D147" s="391">
        <f t="shared" si="50"/>
        <v>46.824641701085774</v>
      </c>
      <c r="E147" s="383">
        <f t="shared" si="72"/>
        <v>47.354403436025692</v>
      </c>
      <c r="F147" s="383">
        <f t="shared" si="51"/>
        <v>47.361377651280883</v>
      </c>
      <c r="G147" s="110">
        <f t="shared" si="73"/>
        <v>0.74352001405057666</v>
      </c>
      <c r="H147" s="412" t="b">
        <f>Wh_hp&gt;='2023'!Maxi_hp</f>
        <v>0</v>
      </c>
      <c r="I147" s="388">
        <f>IF(H147,Wh_hp,'2023'!Maxi_hp)</f>
        <v>64.735176440204555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3.6552718799611528E-2</v>
      </c>
      <c r="M147" s="832"/>
      <c r="N147" s="832"/>
      <c r="O147" s="48">
        <f>IF(t&lt;Tnet,'2023'!Resal+('2023'!Salim-'2023'!Resal)*(1-EXP(('2023'!Tnet-t)/('2023'!Tau_j))),Resal+(Salim-Resal)*(1-EXP((Tnet-t)/(Tau_j))))*Salcycl</f>
        <v>1.1187169439387142E-2</v>
      </c>
      <c r="P147" s="169">
        <f>(INDEX(Models!$BJ147:$BT147,,T147)*(1-R147)+INDEX(Models!$BJ147:$BT147,,T147+1)*R147-ERP_i)*Q147*Ramure*Pc/MaxiM</f>
        <v>2.3237738223956623E-4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60.669830273063923</v>
      </c>
      <c r="W147" s="400">
        <f t="shared" si="59"/>
        <v>45.113073740093419</v>
      </c>
      <c r="X147" s="157">
        <f t="shared" si="60"/>
        <v>45424</v>
      </c>
      <c r="Y147" s="383">
        <f t="shared" si="61"/>
        <v>43.101708191906376</v>
      </c>
      <c r="Z147" s="383">
        <f t="shared" si="62"/>
        <v>44.736965927398373</v>
      </c>
      <c r="AA147" s="384">
        <f t="shared" si="63"/>
        <v>47.354403436025692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5.5273370979393666E-2</v>
      </c>
      <c r="AD147" s="230">
        <f>(INDEX(Models!$BJ147:$BT147,,AH147)*(1-AF147)+INDEX(Models!$BJ147:$BT147,,AH147+1)*AF147-ERP_i)*AE147*Ramure*Pc/MaxiM</f>
        <v>2.3237738223956623E-4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'2023'!Wh/'2023'!Env_an*'2024'!Env_an</f>
        <v>51.407143966552781</v>
      </c>
      <c r="C148" s="829"/>
      <c r="D148" s="391">
        <f t="shared" si="50"/>
        <v>53.358528478662265</v>
      </c>
      <c r="E148" s="383">
        <f t="shared" si="72"/>
        <v>53.96713480317932</v>
      </c>
      <c r="F148" s="383">
        <f t="shared" si="51"/>
        <v>53.976867958243083</v>
      </c>
      <c r="G148" s="110">
        <f t="shared" si="73"/>
        <v>0.84664284528529632</v>
      </c>
      <c r="H148" s="412" t="b">
        <f>Wh_hp&gt;='2023'!Maxi_hp</f>
        <v>0</v>
      </c>
      <c r="I148" s="388">
        <f>IF(H148,Wh_hp,'2023'!Maxi_hp)</f>
        <v>63.17753058579234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3.6571183046958056E-2</v>
      </c>
      <c r="M148" s="832"/>
      <c r="N148" s="832"/>
      <c r="O148" s="48">
        <f>IF(t&lt;Tnet,'2023'!Resal+('2023'!Salim-'2023'!Resal)*(1-EXP(('2023'!Tnet-t)/('2023'!Tau_j))),Resal+(Salim-Resal)*(1-EXP((Tnet-t)/(Tau_j))))*Salcycl</f>
        <v>1.1277351053315553E-2</v>
      </c>
      <c r="P148" s="169">
        <f>(INDEX(Models!$BJ148:$BT148,,T148)*(1-R148)+INDEX(Models!$BJ148:$BT148,,T148+1)*R148-ERP_i)*Q148*Ramure*Pc/MaxiM</f>
        <v>2.3089063162577906E-4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60.715736436262624</v>
      </c>
      <c r="W148" s="400">
        <f t="shared" si="59"/>
        <v>51.407143966552781</v>
      </c>
      <c r="X148" s="157">
        <f t="shared" si="60"/>
        <v>45425</v>
      </c>
      <c r="Y148" s="383">
        <f t="shared" si="61"/>
        <v>49.115537738594632</v>
      </c>
      <c r="Z148" s="383">
        <f t="shared" si="62"/>
        <v>50.979934245612824</v>
      </c>
      <c r="AA148" s="384">
        <f t="shared" si="63"/>
        <v>53.96713480317932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5.5352217019876249E-2</v>
      </c>
      <c r="AD148" s="230">
        <f>(INDEX(Models!$BJ148:$BT148,,AH148)*(1-AF148)+INDEX(Models!$BJ148:$BT148,,AH148+1)*AF148-ERP_i)*AE148*Ramure*Pc/MaxiM</f>
        <v>2.3089063162577906E-4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'2023'!Wh/'2023'!Env_an*'2024'!Env_an</f>
        <v>54.097730514653563</v>
      </c>
      <c r="C149" s="829"/>
      <c r="D149" s="391">
        <f t="shared" si="50"/>
        <v>56.152324233232747</v>
      </c>
      <c r="E149" s="383">
        <f t="shared" si="72"/>
        <v>56.79798420308439</v>
      </c>
      <c r="F149" s="383">
        <f t="shared" si="51"/>
        <v>56.808980922556728</v>
      </c>
      <c r="G149" s="110">
        <f t="shared" si="73"/>
        <v>0.89035305242278306</v>
      </c>
      <c r="H149" s="412" t="b">
        <f>Wh_hp&gt;='2023'!Maxi_hp</f>
        <v>0</v>
      </c>
      <c r="I149" s="388">
        <f>IF(H149,Wh_hp,'2023'!Maxi_hp)</f>
        <v>63.749746861981109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3.6589646940441534E-2</v>
      </c>
      <c r="M149" s="832"/>
      <c r="N149" s="832"/>
      <c r="O149" s="48">
        <f>IF(t&lt;Tnet,'2023'!Resal+('2023'!Salim-'2023'!Resal)*(1-EXP(('2023'!Tnet-t)/('2023'!Tau_j))),Resal+(Salim-Resal)*(1-EXP((Tnet-t)/(Tau_j))))*Salcycl</f>
        <v>1.1367656421450618E-2</v>
      </c>
      <c r="P149" s="169">
        <f>(INDEX(Models!$BJ149:$BT149,,T149)*(1-R149)+INDEX(Models!$BJ149:$BT149,,T149+1)*R149-ERP_i)*Q149*Ramure*Pc/MaxiM</f>
        <v>2.2951381360634488E-4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60.757680009658642</v>
      </c>
      <c r="W149" s="400">
        <f t="shared" si="59"/>
        <v>54.097730514653563</v>
      </c>
      <c r="X149" s="157">
        <f t="shared" si="60"/>
        <v>45426</v>
      </c>
      <c r="Y149" s="383">
        <f t="shared" si="61"/>
        <v>51.686566069092514</v>
      </c>
      <c r="Z149" s="383">
        <f t="shared" si="62"/>
        <v>53.649585459558814</v>
      </c>
      <c r="AA149" s="384">
        <f t="shared" si="63"/>
        <v>56.79798420308439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5.5431522574257167E-2</v>
      </c>
      <c r="AD149" s="230">
        <f>(INDEX(Models!$BJ149:$BT149,,AH149)*(1-AF149)+INDEX(Models!$BJ149:$BT149,,AH149+1)*AF149-ERP_i)*AE149*Ramure*Pc/MaxiM</f>
        <v>2.2951381360634488E-4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'2023'!Wh/'2023'!Env_an*'2024'!Env_an</f>
        <v>52.478912529531456</v>
      </c>
      <c r="C150" s="829"/>
      <c r="D150" s="391">
        <f t="shared" si="50"/>
        <v>54.47306864466367</v>
      </c>
      <c r="E150" s="383">
        <f t="shared" si="72"/>
        <v>55.104459970621853</v>
      </c>
      <c r="F150" s="383">
        <f t="shared" si="51"/>
        <v>55.114581154302549</v>
      </c>
      <c r="G150" s="110">
        <f t="shared" si="73"/>
        <v>0.86318038802552199</v>
      </c>
      <c r="H150" s="412" t="b">
        <f>Wh_hp&gt;='2023'!Maxi_hp</f>
        <v>0</v>
      </c>
      <c r="I150" s="388">
        <f>IF(H150,Wh_hp,'2023'!Maxi_hp)</f>
        <v>55.11584961334696</v>
      </c>
      <c r="J150" s="85">
        <f>IF(H150,An,'2023'!An_max)</f>
        <v>2022</v>
      </c>
      <c r="K150" s="197">
        <f t="shared" si="52"/>
        <v>45427</v>
      </c>
      <c r="L150" s="147">
        <f>IF(t&lt;Tvie,1-EXP((T0-t)*PertePVj)+'2023'!Pspv,1-EXP((T0-t)*PertePVj)+Pspv)</f>
        <v>3.6608110480068734E-2</v>
      </c>
      <c r="M150" s="832"/>
      <c r="N150" s="832"/>
      <c r="O150" s="48">
        <f>IF(t&lt;Tnet,'2023'!Resal+('2023'!Salim-'2023'!Resal)*(1-EXP(('2023'!Tnet-t)/('2023'!Tau_j))),Resal+(Salim-Resal)*(1-EXP((Tnet-t)/(Tau_j))))*Salcycl</f>
        <v>1.1458080276892291E-2</v>
      </c>
      <c r="P150" s="169">
        <f>(INDEX(Models!$BJ150:$BT150,,T150)*(1-R150)+INDEX(Models!$BJ150:$BT150,,T150+1)*R150-ERP_i)*Q150*Ramure*Pc/MaxiM</f>
        <v>2.2823677431369122E-4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60.794443875452089</v>
      </c>
      <c r="W150" s="400">
        <f t="shared" si="59"/>
        <v>52.478912529531456</v>
      </c>
      <c r="X150" s="157">
        <f t="shared" si="60"/>
        <v>45427</v>
      </c>
      <c r="Y150" s="383">
        <f t="shared" si="61"/>
        <v>50.140253340219495</v>
      </c>
      <c r="Z150" s="383">
        <f t="shared" si="62"/>
        <v>52.045542302836836</v>
      </c>
      <c r="AA150" s="384">
        <f t="shared" si="63"/>
        <v>55.104459970621853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5.5511253887903726E-2</v>
      </c>
      <c r="AD150" s="230">
        <f>(INDEX(Models!$BJ150:$BT150,,AH150)*(1-AF150)+INDEX(Models!$BJ150:$BT150,,AH150+1)*AF150-ERP_i)*AE150*Ramure*Pc/MaxiM</f>
        <v>2.2823677431369122E-4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'2023'!Wh/'2023'!Env_an*'2024'!Env_an</f>
        <v>55.970059273745719</v>
      </c>
      <c r="C151" s="829"/>
      <c r="D151" s="391">
        <f t="shared" si="50"/>
        <v>58.097989568514492</v>
      </c>
      <c r="E151" s="383">
        <f t="shared" si="72"/>
        <v>58.776780078624313</v>
      </c>
      <c r="F151" s="383">
        <f t="shared" si="51"/>
        <v>58.788597526846459</v>
      </c>
      <c r="G151" s="110">
        <f t="shared" si="73"/>
        <v>0.92013910756343653</v>
      </c>
      <c r="H151" s="412" t="b">
        <f>Wh_hp&gt;='2023'!Maxi_hp</f>
        <v>0</v>
      </c>
      <c r="I151" s="388">
        <f>IF(H151,Wh_hp,'2023'!Maxi_hp)</f>
        <v>58.789381900861969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3.6626573665846429E-2</v>
      </c>
      <c r="M151" s="832"/>
      <c r="N151" s="832"/>
      <c r="O151" s="48">
        <f>IF(t&lt;Tnet,'2023'!Resal+('2023'!Salim-'2023'!Resal)*(1-EXP(('2023'!Tnet-t)/('2023'!Tau_j))),Resal+(Salim-Resal)*(1-EXP((Tnet-t)/(Tau_j))))*Salcycl</f>
        <v>1.1548616804149881E-2</v>
      </c>
      <c r="P151" s="169">
        <f>(INDEX(Models!$BJ151:$BT151,,T151)*(1-R151)+INDEX(Models!$BJ151:$BT151,,T151+1)*R151-ERP_i)*Q151*Ramure*Pc/MaxiM</f>
        <v>2.2689391539355499E-4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60.826249132929455</v>
      </c>
      <c r="W151" s="400">
        <f t="shared" si="59"/>
        <v>55.970059273745719</v>
      </c>
      <c r="X151" s="157">
        <f t="shared" si="60"/>
        <v>45428</v>
      </c>
      <c r="Y151" s="383">
        <f t="shared" si="61"/>
        <v>53.476182634941999</v>
      </c>
      <c r="Z151" s="383">
        <f t="shared" si="62"/>
        <v>55.50929802831552</v>
      </c>
      <c r="AA151" s="384">
        <f t="shared" si="63"/>
        <v>58.776780078624313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5.5591375470686842E-2</v>
      </c>
      <c r="AD151" s="230">
        <f>(INDEX(Models!$BJ151:$BT151,,AH151)*(1-AF151)+INDEX(Models!$BJ151:$BT151,,AH151+1)*AF151-ERP_i)*AE151*Ramure*Pc/MaxiM</f>
        <v>2.2689391539355499E-4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'2023'!Wh/'2023'!Env_an*'2024'!Env_an</f>
        <v>54.134341165961644</v>
      </c>
      <c r="C152" s="829"/>
      <c r="D152" s="391">
        <f t="shared" si="50"/>
        <v>56.193556079432568</v>
      </c>
      <c r="E152" s="383">
        <f t="shared" si="72"/>
        <v>56.855309792091724</v>
      </c>
      <c r="F152" s="383">
        <f t="shared" si="51"/>
        <v>56.866109468506821</v>
      </c>
      <c r="G152" s="110">
        <f t="shared" si="73"/>
        <v>0.88955585242496393</v>
      </c>
      <c r="H152" s="412" t="b">
        <f>Wh_hp&gt;='2023'!Maxi_hp</f>
        <v>0</v>
      </c>
      <c r="I152" s="388">
        <f>IF(H152,Wh_hp,'2023'!Maxi_hp)</f>
        <v>65.112138934007149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3.664503649778128E-2</v>
      </c>
      <c r="M152" s="832"/>
      <c r="N152" s="832"/>
      <c r="O152" s="48">
        <f>IF(t&lt;Tnet,'2023'!Resal+('2023'!Salim-'2023'!Resal)*(1-EXP(('2023'!Tnet-t)/('2023'!Tau_j))),Resal+(Salim-Resal)*(1-EXP((Tnet-t)/(Tau_j))))*Salcycl</f>
        <v>1.1639259641343212E-2</v>
      </c>
      <c r="P152" s="169">
        <f>(INDEX(Models!$BJ152:$BT152,,T152)*(1-R152)+INDEX(Models!$BJ152:$BT152,,T152+1)*R152-ERP_i)*Q152*Ramure*Pc/MaxiM</f>
        <v>2.2547946793009441E-4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60.853307125478203</v>
      </c>
      <c r="W152" s="400">
        <f t="shared" si="59"/>
        <v>54.134341165961644</v>
      </c>
      <c r="X152" s="157">
        <f t="shared" si="60"/>
        <v>45429</v>
      </c>
      <c r="Y152" s="383">
        <f t="shared" si="61"/>
        <v>51.722594948139744</v>
      </c>
      <c r="Z152" s="383">
        <f t="shared" si="62"/>
        <v>53.690069504708191</v>
      </c>
      <c r="AA152" s="384">
        <f t="shared" si="63"/>
        <v>56.855309792091724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5.5671850157147512E-2</v>
      </c>
      <c r="AD152" s="230">
        <f>(INDEX(Models!$BJ152:$BT152,,AH152)*(1-AF152)+INDEX(Models!$BJ152:$BT152,,AH152+1)*AF152-ERP_i)*AE152*Ramure*Pc/MaxiM</f>
        <v>2.2547946793009441E-4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'2023'!Wh/'2023'!Env_an*'2024'!Env_an</f>
        <v>56.907753432700993</v>
      </c>
      <c r="C153" s="829"/>
      <c r="D153" s="391">
        <f t="shared" si="50"/>
        <v>59.073598241323303</v>
      </c>
      <c r="E153" s="383">
        <f t="shared" si="72"/>
        <v>59.774756244759573</v>
      </c>
      <c r="F153" s="383">
        <f t="shared" si="51"/>
        <v>59.786900771787735</v>
      </c>
      <c r="G153" s="110">
        <f t="shared" si="73"/>
        <v>0.93479739083722957</v>
      </c>
      <c r="H153" s="412" t="b">
        <f>Wh_hp&gt;='2023'!Maxi_hp</f>
        <v>0</v>
      </c>
      <c r="I153" s="388">
        <f>IF(H153,Wh_hp,'2023'!Maxi_hp)</f>
        <v>63.796579298765408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3.6663498975880171E-2</v>
      </c>
      <c r="M153" s="832"/>
      <c r="N153" s="832"/>
      <c r="O153" s="48">
        <f>IF(t&lt;Tnet,'2023'!Resal+('2023'!Salim-'2023'!Resal)*(1-EXP(('2023'!Tnet-t)/('2023'!Tau_j))),Resal+(Salim-Resal)*(1-EXP((Tnet-t)/(Tau_j))))*Salcycl</f>
        <v>1.1730001885164343E-2</v>
      </c>
      <c r="P153" s="169">
        <f>(INDEX(Models!$BJ153:$BT153,,T153)*(1-R153)+INDEX(Models!$BJ153:$BT153,,T153+1)*R153-ERP_i)*Q153*Ramure*Pc/MaxiM</f>
        <v>2.2398767909542885E-4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60.875829135687397</v>
      </c>
      <c r="W153" s="400">
        <f t="shared" si="59"/>
        <v>56.907753432700993</v>
      </c>
      <c r="X153" s="157">
        <f t="shared" si="60"/>
        <v>45430</v>
      </c>
      <c r="Y153" s="383">
        <f t="shared" si="61"/>
        <v>54.372788905549214</v>
      </c>
      <c r="Z153" s="383">
        <f t="shared" si="62"/>
        <v>56.442155827943488</v>
      </c>
      <c r="AA153" s="384">
        <f t="shared" si="63"/>
        <v>59.774756244759573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5.5752639177148622E-2</v>
      </c>
      <c r="AD153" s="230">
        <f>(INDEX(Models!$BJ153:$BT153,,AH153)*(1-AF153)+INDEX(Models!$BJ153:$BT153,,AH153+1)*AF153-ERP_i)*AE153*Ramure*Pc/MaxiM</f>
        <v>2.2398767909542885E-4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'2023'!Wh/'2023'!Env_an*'2024'!Env_an</f>
        <v>50.780361591330816</v>
      </c>
      <c r="C154" s="829"/>
      <c r="D154" s="391">
        <f t="shared" si="50"/>
        <v>52.714015040478365</v>
      </c>
      <c r="E154" s="383">
        <f t="shared" si="72"/>
        <v>53.344592727866477</v>
      </c>
      <c r="F154" s="383">
        <f t="shared" si="51"/>
        <v>53.353643735352833</v>
      </c>
      <c r="G154" s="110">
        <f t="shared" si="73"/>
        <v>0.83386966532281059</v>
      </c>
      <c r="H154" s="412" t="b">
        <f>Wh_hp&gt;='2023'!Maxi_hp</f>
        <v>0</v>
      </c>
      <c r="I154" s="388">
        <f>IF(H154,Wh_hp,'2023'!Maxi_hp)</f>
        <v>63.305602398396879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3.6681961100149985E-2</v>
      </c>
      <c r="M154" s="832"/>
      <c r="N154" s="832"/>
      <c r="O154" s="48">
        <f>IF(t&lt;Tnet,'2023'!Resal+('2023'!Salim-'2023'!Resal)*(1-EXP(('2023'!Tnet-t)/('2023'!Tau_j))),Resal+(Salim-Resal)*(1-EXP((Tnet-t)/(Tau_j))))*Salcycl</f>
        <v>1.1820836098701729E-2</v>
      </c>
      <c r="P154" s="169">
        <f>(INDEX(Models!$BJ154:$BT154,,T154)*(1-R154)+INDEX(Models!$BJ154:$BT154,,T154+1)*R154-ERP_i)*Q154*Ramure*Pc/MaxiM</f>
        <v>2.224128277137792E-4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60.894026387795265</v>
      </c>
      <c r="W154" s="400">
        <f t="shared" si="59"/>
        <v>50.780361591330816</v>
      </c>
      <c r="X154" s="157">
        <f t="shared" si="60"/>
        <v>45431</v>
      </c>
      <c r="Y154" s="383">
        <f t="shared" si="61"/>
        <v>48.518636856766598</v>
      </c>
      <c r="Z154" s="383">
        <f t="shared" si="62"/>
        <v>50.366166621541659</v>
      </c>
      <c r="AA154" s="384">
        <f t="shared" si="63"/>
        <v>53.344592727866477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5.5833702237057914E-2</v>
      </c>
      <c r="AD154" s="230">
        <f>(INDEX(Models!$BJ154:$BT154,,AH154)*(1-AF154)+INDEX(Models!$BJ154:$BT154,,AH154+1)*AF154-ERP_i)*AE154*Ramure*Pc/MaxiM</f>
        <v>2.224128277137792E-4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'2023'!Wh/'2023'!Env_an*'2024'!Env_an</f>
        <v>50.87899710060254</v>
      </c>
      <c r="C155" s="829"/>
      <c r="D155" s="391">
        <f t="shared" si="50"/>
        <v>52.817418701895505</v>
      </c>
      <c r="E155" s="383">
        <f t="shared" si="72"/>
        <v>53.454151421126149</v>
      </c>
      <c r="F155" s="383">
        <f t="shared" si="51"/>
        <v>53.463177224264108</v>
      </c>
      <c r="G155" s="110">
        <f t="shared" si="73"/>
        <v>0.83529688656132273</v>
      </c>
      <c r="H155" s="412" t="b">
        <f>Wh_hp&gt;='2023'!Maxi_hp</f>
        <v>0</v>
      </c>
      <c r="I155" s="388">
        <f>IF(H155,Wh_hp,'2023'!Maxi_hp)</f>
        <v>61.653025263591708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3.6700422870597382E-2</v>
      </c>
      <c r="M155" s="832"/>
      <c r="N155" s="832"/>
      <c r="O155" s="48">
        <f>IF(t&lt;Tnet,'2023'!Resal+('2023'!Salim-'2023'!Resal)*(1-EXP(('2023'!Tnet-t)/('2023'!Tau_j))),Resal+(Salim-Resal)*(1-EXP((Tnet-t)/(Tau_j))))*Salcycl</f>
        <v>1.1911754322209566E-2</v>
      </c>
      <c r="P155" s="169">
        <f>(INDEX(Models!$BJ155:$BT155,,T155)*(1-R155)+INDEX(Models!$BJ155:$BT155,,T155+1)*R155-ERP_i)*Q155*Ramure*Pc/MaxiM</f>
        <v>2.2074924078507898E-4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60.908110047656422</v>
      </c>
      <c r="W155" s="400">
        <f t="shared" si="59"/>
        <v>50.87899710060254</v>
      </c>
      <c r="X155" s="157">
        <f t="shared" si="60"/>
        <v>45432</v>
      </c>
      <c r="Y155" s="383">
        <f t="shared" si="61"/>
        <v>48.613166191751851</v>
      </c>
      <c r="Z155" s="383">
        <f t="shared" si="62"/>
        <v>50.465262672093452</v>
      </c>
      <c r="AA155" s="384">
        <f t="shared" si="63"/>
        <v>53.454151421126149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5.5914997611418903E-2</v>
      </c>
      <c r="AD155" s="230">
        <f>(INDEX(Models!$BJ155:$BT155,,AH155)*(1-AF155)+INDEX(Models!$BJ155:$BT155,,AH155+1)*AF155-ERP_i)*AE155*Ramure*Pc/MaxiM</f>
        <v>2.2074924078507898E-4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'2023'!Wh/'2023'!Env_an*'2024'!Env_an</f>
        <v>38.647800193375019</v>
      </c>
      <c r="C156" s="829"/>
      <c r="D156" s="391">
        <f t="shared" si="50"/>
        <v>40.120998494585805</v>
      </c>
      <c r="E156" s="383">
        <f t="shared" si="72"/>
        <v>40.608411022295044</v>
      </c>
      <c r="F156" s="383">
        <f t="shared" si="51"/>
        <v>40.612661865203833</v>
      </c>
      <c r="G156" s="110">
        <f t="shared" si="73"/>
        <v>0.63434775683987721</v>
      </c>
      <c r="H156" s="412" t="b">
        <f>Wh_hp&gt;='2023'!Maxi_hp</f>
        <v>0</v>
      </c>
      <c r="I156" s="388">
        <f>IF(H156,Wh_hp,'2023'!Maxi_hp)</f>
        <v>60.757180610940942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3.6718884287229026E-2</v>
      </c>
      <c r="M156" s="832"/>
      <c r="N156" s="832"/>
      <c r="O156" s="48">
        <f>IF(t&lt;Tnet,'2023'!Resal+('2023'!Salim-'2023'!Resal)*(1-EXP(('2023'!Tnet-t)/('2023'!Tau_j))),Resal+(Salim-Resal)*(1-EXP((Tnet-t)/(Tau_j))))*Salcycl</f>
        <v>1.2002748086883777E-2</v>
      </c>
      <c r="P156" s="169">
        <f>(INDEX(Models!$BJ156:$BT156,,T156)*(1-R156)+INDEX(Models!$BJ156:$BT156,,T156+1)*R156-ERP_i)*Q156*Ramure*Pc/MaxiM</f>
        <v>2.1908817463454303E-4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60.918285313891666</v>
      </c>
      <c r="W156" s="400">
        <f t="shared" si="59"/>
        <v>38.647800193375019</v>
      </c>
      <c r="X156" s="157">
        <f t="shared" si="60"/>
        <v>45433</v>
      </c>
      <c r="Y156" s="383">
        <f t="shared" si="61"/>
        <v>36.926883415307024</v>
      </c>
      <c r="Z156" s="383">
        <f t="shared" si="62"/>
        <v>38.334482855488467</v>
      </c>
      <c r="AA156" s="384">
        <f t="shared" si="63"/>
        <v>40.608411022295044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5.5996482244974666E-2</v>
      </c>
      <c r="AD156" s="230">
        <f>(INDEX(Models!$BJ156:$BT156,,AH156)*(1-AF156)+INDEX(Models!$BJ156:$BT156,,AH156+1)*AF156-ERP_i)*AE156*Ramure*Pc/MaxiM</f>
        <v>2.1908817463454303E-4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'2023'!Wh/'2023'!Env_an*'2024'!Env_an</f>
        <v>20.405463742048379</v>
      </c>
      <c r="C157" s="829"/>
      <c r="D157" s="391">
        <f t="shared" si="50"/>
        <v>21.183696516775868</v>
      </c>
      <c r="E157" s="383">
        <f t="shared" si="72"/>
        <v>21.443024345405128</v>
      </c>
      <c r="F157" s="383">
        <f t="shared" si="51"/>
        <v>21.443257009423519</v>
      </c>
      <c r="G157" s="110">
        <f t="shared" si="73"/>
        <v>0.33485970863907544</v>
      </c>
      <c r="H157" s="412" t="b">
        <f>Wh_hp&gt;='2023'!Maxi_hp</f>
        <v>0</v>
      </c>
      <c r="I157" s="388">
        <f>IF(H157,Wh_hp,'2023'!Maxi_hp)</f>
        <v>57.940082195716684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3.6737345350051909E-2</v>
      </c>
      <c r="M157" s="832"/>
      <c r="N157" s="832"/>
      <c r="O157" s="48">
        <f>IF(t&lt;Tnet,'2023'!Resal+('2023'!Salim-'2023'!Resal)*(1-EXP(('2023'!Tnet-t)/('2023'!Tau_j))),Resal+(Salim-Resal)*(1-EXP((Tnet-t)/(Tau_j))))*Salcycl</f>
        <v>1.2093808431683744E-2</v>
      </c>
      <c r="P157" s="169">
        <f>(INDEX(Models!$BJ157:$BT157,,T157)*(1-R157)+INDEX(Models!$BJ157:$BT157,,T157+1)*R157-ERP_i)*Q157*Ramure*Pc/MaxiM</f>
        <v>2.1744606422915454E-4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60.924761880658224</v>
      </c>
      <c r="W157" s="400">
        <f t="shared" si="59"/>
        <v>20.405463742048379</v>
      </c>
      <c r="X157" s="157">
        <f t="shared" si="60"/>
        <v>45434</v>
      </c>
      <c r="Y157" s="383">
        <f t="shared" si="61"/>
        <v>19.496956318383795</v>
      </c>
      <c r="Z157" s="383">
        <f t="shared" si="62"/>
        <v>20.240540027443537</v>
      </c>
      <c r="AA157" s="384">
        <f t="shared" si="63"/>
        <v>21.443024345405128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5.6078111864815539E-2</v>
      </c>
      <c r="AD157" s="230">
        <f>(INDEX(Models!$BJ157:$BT157,,AH157)*(1-AF157)+INDEX(Models!$BJ157:$BT157,,AH157+1)*AF157-ERP_i)*AE157*Ramure*Pc/MaxiM</f>
        <v>2.1744606422915454E-4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'2023'!Wh/'2023'!Env_an*'2024'!Env_an</f>
        <v>16.869003411571985</v>
      </c>
      <c r="C158" s="829"/>
      <c r="D158" s="391">
        <f t="shared" si="50"/>
        <v>17.51269669485961</v>
      </c>
      <c r="E158" s="383">
        <f t="shared" si="72"/>
        <v>17.728719832734917</v>
      </c>
      <c r="F158" s="383">
        <f t="shared" si="51"/>
        <v>17.728719832734917</v>
      </c>
      <c r="G158" s="110">
        <f t="shared" si="73"/>
        <v>0.27680921398406749</v>
      </c>
      <c r="H158" s="412" t="b">
        <f>Wh_hp&gt;='2023'!Maxi_hp</f>
        <v>0</v>
      </c>
      <c r="I158" s="388">
        <f>IF(H158,Wh_hp,'2023'!Maxi_hp)</f>
        <v>27.39141049073487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3.6755806059072804E-2</v>
      </c>
      <c r="M158" s="832"/>
      <c r="N158" s="832"/>
      <c r="O158" s="48">
        <f>IF(t&lt;Tnet,'2023'!Resal+('2023'!Salim-'2023'!Resal)*(1-EXP(('2023'!Tnet-t)/('2023'!Tau_j))),Resal+(Salim-Resal)*(1-EXP((Tnet-t)/(Tau_j))))*Salcycl</f>
        <v>1.2184925923214992E-2</v>
      </c>
      <c r="P158" s="169">
        <f>(INDEX(Models!$BJ158:$BT158,,T158)*(1-R158)+INDEX(Models!$BJ158:$BT158,,T158+1)*R158-ERP_i)*Q158*Ramure*Pc/MaxiM</f>
        <v>2.158201478516959E-4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60.927750554330608</v>
      </c>
      <c r="W158" s="400">
        <f t="shared" si="59"/>
        <v>16.869003411571985</v>
      </c>
      <c r="X158" s="157">
        <f t="shared" si="60"/>
        <v>45435</v>
      </c>
      <c r="Y158" s="383">
        <f t="shared" si="61"/>
        <v>16.118039983651698</v>
      </c>
      <c r="Z158" s="383">
        <f t="shared" si="62"/>
        <v>16.733077743980846</v>
      </c>
      <c r="AA158" s="384">
        <f t="shared" si="63"/>
        <v>17.728719832734917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5.6159841102327211E-2</v>
      </c>
      <c r="AD158" s="230">
        <f>(INDEX(Models!$BJ158:$BT158,,AH158)*(1-AF158)+INDEX(Models!$BJ158:$BT158,,AH158+1)*AF158-ERP_i)*AE158*Ramure*Pc/MaxiM</f>
        <v>2.158201478516959E-4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'2023'!Wh/'2023'!Env_an*'2024'!Env_an</f>
        <v>42.4338088915339</v>
      </c>
      <c r="C159" s="829"/>
      <c r="D159" s="391">
        <f t="shared" si="50"/>
        <v>44.053857171745101</v>
      </c>
      <c r="E159" s="383">
        <f t="shared" si="72"/>
        <v>44.601387853428008</v>
      </c>
      <c r="F159" s="383">
        <f t="shared" si="51"/>
        <v>44.606799697313406</v>
      </c>
      <c r="G159" s="110">
        <f t="shared" si="73"/>
        <v>0.69639971090824948</v>
      </c>
      <c r="H159" s="412" t="b">
        <f>Wh_hp&gt;='2023'!Maxi_hp</f>
        <v>0</v>
      </c>
      <c r="I159" s="388">
        <f>IF(H159,Wh_hp,'2023'!Maxi_hp)</f>
        <v>59.825577923222795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3.6774266414298373E-2</v>
      </c>
      <c r="M159" s="832"/>
      <c r="N159" s="832"/>
      <c r="O159" s="48">
        <f>IF(t&lt;Tnet,'2023'!Resal+('2023'!Salim-'2023'!Resal)*(1-EXP(('2023'!Tnet-t)/('2023'!Tau_j))),Resal+(Salim-Resal)*(1-EXP((Tnet-t)/(Tau_j))))*Salcycl</f>
        <v>1.2276090678663245E-2</v>
      </c>
      <c r="P159" s="169">
        <f>(INDEX(Models!$BJ159:$BT159,,T159)*(1-R159)+INDEX(Models!$BJ159:$BT159,,T159+1)*R159-ERP_i)*Q159*Ramure*Pc/MaxiM</f>
        <v>2.1420915405890903E-4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60.927461984610787</v>
      </c>
      <c r="W159" s="400">
        <f t="shared" si="59"/>
        <v>42.4338088915339</v>
      </c>
      <c r="X159" s="157">
        <f t="shared" si="60"/>
        <v>45436</v>
      </c>
      <c r="Y159" s="383">
        <f t="shared" si="61"/>
        <v>40.544996638198</v>
      </c>
      <c r="Z159" s="383">
        <f t="shared" si="62"/>
        <v>42.092933384644219</v>
      </c>
      <c r="AA159" s="384">
        <f t="shared" si="63"/>
        <v>44.601387853428008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5.624162362452121E-2</v>
      </c>
      <c r="AD159" s="230">
        <f>(INDEX(Models!$BJ159:$BT159,,AH159)*(1-AF159)+INDEX(Models!$BJ159:$BT159,,AH159+1)*AF159-ERP_i)*AE159*Ramure*Pc/MaxiM</f>
        <v>2.1420915405890903E-4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'2023'!Wh/'2023'!Env_an*'2024'!Env_an</f>
        <v>25.794530158409255</v>
      </c>
      <c r="C160" s="829"/>
      <c r="D160" s="391">
        <f t="shared" si="50"/>
        <v>26.779833236125022</v>
      </c>
      <c r="E160" s="383">
        <f t="shared" si="72"/>
        <v>27.115174527763052</v>
      </c>
      <c r="F160" s="383">
        <f t="shared" si="51"/>
        <v>27.116190755321593</v>
      </c>
      <c r="G160" s="110">
        <f t="shared" si="73"/>
        <v>0.42331375599428217</v>
      </c>
      <c r="H160" s="412" t="b">
        <f>Wh_hp&gt;='2023'!Maxi_hp</f>
        <v>0</v>
      </c>
      <c r="I160" s="388">
        <f>IF(H160,Wh_hp,'2023'!Maxi_hp)</f>
        <v>62.596709791929555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3.6792726415735388E-2</v>
      </c>
      <c r="M160" s="832"/>
      <c r="N160" s="832"/>
      <c r="O160" s="48">
        <f>IF(t&lt;Tnet,'2023'!Resal+('2023'!Salim-'2023'!Resal)*(1-EXP(('2023'!Tnet-t)/('2023'!Tau_j))),Resal+(Salim-Resal)*(1-EXP((Tnet-t)/(Tau_j))))*Salcycl</f>
        <v>1.2367292391744557E-2</v>
      </c>
      <c r="P160" s="169">
        <f>(INDEX(Models!$BJ160:$BT160,,T160)*(1-R160)+INDEX(Models!$BJ160:$BT160,,T160+1)*R160-ERP_i)*Q160*Ramure*Pc/MaxiM</f>
        <v>2.1261197591209059E-4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60.924106750258993</v>
      </c>
      <c r="W160" s="400">
        <f t="shared" si="59"/>
        <v>25.794530158409255</v>
      </c>
      <c r="X160" s="157">
        <f t="shared" si="60"/>
        <v>45437</v>
      </c>
      <c r="Y160" s="383">
        <f t="shared" si="61"/>
        <v>24.646504732336275</v>
      </c>
      <c r="Z160" s="383">
        <f t="shared" si="62"/>
        <v>25.587955373947988</v>
      </c>
      <c r="AA160" s="384">
        <f t="shared" si="63"/>
        <v>27.115174527763052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5.6323412274236054E-2</v>
      </c>
      <c r="AD160" s="230">
        <f>(INDEX(Models!$BJ160:$BT160,,AH160)*(1-AF160)+INDEX(Models!$BJ160:$BT160,,AH160+1)*AF160-ERP_i)*AE160*Ramure*Pc/MaxiM</f>
        <v>2.1261197591209059E-4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'2023'!Wh/'2023'!Env_an*'2024'!Env_an</f>
        <v>47.490640630291779</v>
      </c>
      <c r="C161" s="829"/>
      <c r="D161" s="391">
        <f t="shared" si="50"/>
        <v>49.305639707540557</v>
      </c>
      <c r="E161" s="383">
        <f t="shared" si="72"/>
        <v>49.927664532729189</v>
      </c>
      <c r="F161" s="383">
        <f t="shared" si="51"/>
        <v>49.934884088275723</v>
      </c>
      <c r="G161" s="110">
        <f t="shared" si="73"/>
        <v>0.7795325860877238</v>
      </c>
      <c r="H161" s="412" t="b">
        <f>Wh_hp&gt;='2023'!Maxi_hp</f>
        <v>0</v>
      </c>
      <c r="I161" s="388">
        <f>IF(H161,Wh_hp,'2023'!Maxi_hp)</f>
        <v>62.270971233570506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3.6811186063390733E-2</v>
      </c>
      <c r="M161" s="832"/>
      <c r="N161" s="832"/>
      <c r="O161" s="48">
        <f>IF(t&lt;Tnet,'2023'!Resal+('2023'!Salim-'2023'!Resal)*(1-EXP(('2023'!Tnet-t)/('2023'!Tau_j))),Resal+(Salim-Resal)*(1-EXP((Tnet-t)/(Tau_j))))*Salcycl</f>
        <v>1.2458520361609868E-2</v>
      </c>
      <c r="P161" s="169">
        <f>(INDEX(Models!$BJ161:$BT161,,T161)*(1-R161)+INDEX(Models!$BJ161:$BT161,,T161+1)*R161-ERP_i)*Q161*Ramure*Pc/MaxiM</f>
        <v>2.1102767406155454E-4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60.917895352100771</v>
      </c>
      <c r="W161" s="400">
        <f t="shared" si="59"/>
        <v>47.490640630291779</v>
      </c>
      <c r="X161" s="157">
        <f t="shared" si="60"/>
        <v>45438</v>
      </c>
      <c r="Y161" s="383">
        <f t="shared" si="61"/>
        <v>45.377256963986412</v>
      </c>
      <c r="Z161" s="383">
        <f t="shared" si="62"/>
        <v>47.111486665347471</v>
      </c>
      <c r="AA161" s="384">
        <f t="shared" si="63"/>
        <v>49.927664532729189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5.6405159218605637E-2</v>
      </c>
      <c r="AD161" s="230">
        <f>(INDEX(Models!$BJ161:$BT161,,AH161)*(1-AF161)+INDEX(Models!$BJ161:$BT161,,AH161+1)*AF161-ERP_i)*AE161*Ramure*Pc/MaxiM</f>
        <v>2.1102767406155454E-4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'2023'!Wh/'2023'!Env_an*'2024'!Env_an</f>
        <v>57.121119282147447</v>
      </c>
      <c r="C162" s="829"/>
      <c r="D162" s="391">
        <f t="shared" si="50"/>
        <v>59.305312924976313</v>
      </c>
      <c r="E162" s="383">
        <f t="shared" si="72"/>
        <v>60.059039670354792</v>
      </c>
      <c r="F162" s="383">
        <f t="shared" si="51"/>
        <v>60.070503941358062</v>
      </c>
      <c r="G162" s="110">
        <f t="shared" si="73"/>
        <v>0.93779277781128534</v>
      </c>
      <c r="H162" s="412" t="b">
        <f>Wh_hp&gt;='2023'!Maxi_hp</f>
        <v>0</v>
      </c>
      <c r="I162" s="388">
        <f>IF(H162,Wh_hp,'2023'!Maxi_hp)</f>
        <v>61.405954695216622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3.6829645357271179E-2</v>
      </c>
      <c r="M162" s="832"/>
      <c r="N162" s="832"/>
      <c r="O162" s="48">
        <f>IF(t&lt;Tnet,'2023'!Resal+('2023'!Salim-'2023'!Resal)*(1-EXP(('2023'!Tnet-t)/('2023'!Tau_j))),Resal+(Salim-Resal)*(1-EXP((Tnet-t)/(Tau_j))))*Salcycl</f>
        <v>1.25497635246159E-2</v>
      </c>
      <c r="P162" s="169">
        <f>(INDEX(Models!$BJ162:$BT162,,T162)*(1-R162)+INDEX(Models!$BJ162:$BT162,,T162+1)*R162-ERP_i)*Q162*Ramure*Pc/MaxiM</f>
        <v>2.0945547939784669E-4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60.909038211135993</v>
      </c>
      <c r="W162" s="400">
        <f t="shared" si="59"/>
        <v>57.121119282147447</v>
      </c>
      <c r="X162" s="157">
        <f t="shared" si="60"/>
        <v>45439</v>
      </c>
      <c r="Y162" s="383">
        <f t="shared" si="61"/>
        <v>54.579488799264283</v>
      </c>
      <c r="Z162" s="383">
        <f t="shared" si="62"/>
        <v>56.66649574104634</v>
      </c>
      <c r="AA162" s="384">
        <f t="shared" si="63"/>
        <v>60.059039670354792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5.6486816105103546E-2</v>
      </c>
      <c r="AD162" s="230">
        <f>(INDEX(Models!$BJ162:$BT162,,AH162)*(1-AF162)+INDEX(Models!$BJ162:$BT162,,AH162+1)*AF162-ERP_i)*AE162*Ramure*Pc/MaxiM</f>
        <v>2.0945547939784669E-4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'2023'!Wh/'2023'!Env_an*'2024'!Env_an</f>
        <v>61.76187655774612</v>
      </c>
      <c r="C163" s="829"/>
      <c r="D163" s="391">
        <f t="shared" si="50"/>
        <v>64.124752111598156</v>
      </c>
      <c r="E163" s="383">
        <f t="shared" si="72"/>
        <v>64.945731788340439</v>
      </c>
      <c r="F163" s="383">
        <f t="shared" si="51"/>
        <v>64.959236791876066</v>
      </c>
      <c r="G163" s="110">
        <f t="shared" si="73"/>
        <v>1.0142136258336654</v>
      </c>
      <c r="H163" s="412" t="b">
        <f>Wh_hp&gt;='2023'!Maxi_hp</f>
        <v>1</v>
      </c>
      <c r="I163" s="388">
        <f>IF(H163,Wh_hp,'2023'!Maxi_hp)</f>
        <v>64.959236791876066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3.6848104297383499E-2</v>
      </c>
      <c r="M163" s="832"/>
      <c r="N163" s="832"/>
      <c r="O163" s="48">
        <f>IF(t&lt;Tnet,'2023'!Resal+('2023'!Salim-'2023'!Resal)*(1-EXP(('2023'!Tnet-t)/('2023'!Tau_j))),Resal+(Salim-Resal)*(1-EXP((Tnet-t)/(Tau_j))))*Salcycl</f>
        <v>1.2641010488847327E-2</v>
      </c>
      <c r="P163" s="169">
        <f>(INDEX(Models!$BJ163:$BT163,,T163)*(1-R163)+INDEX(Models!$BJ163:$BT163,,T163+1)*R163-ERP_i)*Q163*Ramure*Pc/MaxiM</f>
        <v>2.0789966450645032E-4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60.896319063924018</v>
      </c>
      <c r="W163" s="400">
        <f t="shared" si="59"/>
        <v>61.76187655774612</v>
      </c>
      <c r="X163" s="157">
        <f t="shared" si="60"/>
        <v>45440</v>
      </c>
      <c r="Y163" s="383">
        <f t="shared" si="61"/>
        <v>59.014108041038995</v>
      </c>
      <c r="Z163" s="383">
        <f t="shared" si="62"/>
        <v>61.271859926090237</v>
      </c>
      <c r="AA163" s="384">
        <f t="shared" si="63"/>
        <v>64.945731788340439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5.6568334224386459E-2</v>
      </c>
      <c r="AD163" s="230">
        <f>(INDEX(Models!$BJ163:$BT163,,AH163)*(1-AF163)+INDEX(Models!$BJ163:$BT163,,AH163+1)*AF163-ERP_i)*AE163*Ramure*Pc/MaxiM</f>
        <v>2.0789966450645032E-4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'2023'!Wh/'2023'!Env_an*'2024'!Env_an</f>
        <v>52.404558159216926</v>
      </c>
      <c r="C164" s="829"/>
      <c r="D164" s="391">
        <f t="shared" si="50"/>
        <v>54.410485753793694</v>
      </c>
      <c r="E164" s="383">
        <f t="shared" si="72"/>
        <v>55.112187884354867</v>
      </c>
      <c r="F164" s="383">
        <f t="shared" si="51"/>
        <v>55.121302041782428</v>
      </c>
      <c r="G164" s="110">
        <f t="shared" si="73"/>
        <v>0.86076807807664213</v>
      </c>
      <c r="H164" s="412" t="b">
        <f>Wh_hp&gt;='2023'!Maxi_hp</f>
        <v>0</v>
      </c>
      <c r="I164" s="388">
        <f>IF(H164,Wh_hp,'2023'!Maxi_hp)</f>
        <v>59.25879141798292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3.6866562883734355E-2</v>
      </c>
      <c r="M164" s="832"/>
      <c r="N164" s="832"/>
      <c r="O164" s="48">
        <f>IF(t&lt;Tnet,'2023'!Resal+('2023'!Salim-'2023'!Resal)*(1-EXP(('2023'!Tnet-t)/('2023'!Tau_j))),Resal+(Salim-Resal)*(1-EXP((Tnet-t)/(Tau_j))))*Salcycl</f>
        <v>1.2732249571249054E-2</v>
      </c>
      <c r="P164" s="169">
        <f>(INDEX(Models!$BJ164:$BT164,,T164)*(1-R164)+INDEX(Models!$BJ164:$BT164,,T164+1)*R164-ERP_i)*Q164*Ramure*Pc/MaxiM</f>
        <v>2.0638800400524549E-4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60.878659905334047</v>
      </c>
      <c r="W164" s="400">
        <f t="shared" si="59"/>
        <v>52.404558159216926</v>
      </c>
      <c r="X164" s="157">
        <f t="shared" si="60"/>
        <v>45441</v>
      </c>
      <c r="Y164" s="383">
        <f t="shared" si="61"/>
        <v>50.073404596040795</v>
      </c>
      <c r="Z164" s="383">
        <f t="shared" si="62"/>
        <v>51.990100920975642</v>
      </c>
      <c r="AA164" s="384">
        <f t="shared" si="63"/>
        <v>55.112187884354867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5.6649664679081155E-2</v>
      </c>
      <c r="AD164" s="230">
        <f>(INDEX(Models!$BJ164:$BT164,,AH164)*(1-AF164)+INDEX(Models!$BJ164:$BT164,,AH164+1)*AF164-ERP_i)*AE164*Ramure*Pc/MaxiM</f>
        <v>2.0638800400524549E-4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'2023'!Wh/'2023'!Env_an*'2024'!Env_an</f>
        <v>56.808693741994155</v>
      </c>
      <c r="C165" s="829"/>
      <c r="D165" s="391">
        <f t="shared" si="50"/>
        <v>58.984332076155823</v>
      </c>
      <c r="E165" s="383">
        <f t="shared" si="72"/>
        <v>59.750541280269253</v>
      </c>
      <c r="F165" s="383">
        <f t="shared" si="51"/>
        <v>59.761624910189454</v>
      </c>
      <c r="G165" s="110">
        <f t="shared" si="73"/>
        <v>0.93346818285243605</v>
      </c>
      <c r="H165" s="412" t="b">
        <f>Wh_hp&gt;='2023'!Maxi_hp</f>
        <v>0</v>
      </c>
      <c r="I165" s="388">
        <f>IF(H165,Wh_hp,'2023'!Maxi_hp)</f>
        <v>62.682352866116169</v>
      </c>
      <c r="J165" s="85">
        <f>IF(H165,An,'2023'!An_max)</f>
        <v>2018</v>
      </c>
      <c r="K165" s="197">
        <f t="shared" si="52"/>
        <v>45442</v>
      </c>
      <c r="L165" s="147">
        <f>IF(t&lt;Tvie,1-EXP((T0-t)*PertePVj)+'2023'!Pspv,1-EXP((T0-t)*PertePVj)+Pspv)</f>
        <v>3.688502111633063E-2</v>
      </c>
      <c r="M165" s="832"/>
      <c r="N165" s="832"/>
      <c r="O165" s="48">
        <f>IF(t&lt;Tnet,'2023'!Resal+('2023'!Salim-'2023'!Resal)*(1-EXP(('2023'!Tnet-t)/('2023'!Tau_j))),Resal+(Salim-Resal)*(1-EXP((Tnet-t)/(Tau_j))))*Salcycl</f>
        <v>1.2823468837201061E-2</v>
      </c>
      <c r="P165" s="169">
        <f>(INDEX(Models!$BJ165:$BT165,,T165)*(1-R165)+INDEX(Models!$BJ165:$BT165,,T165+1)*R165-ERP_i)*Q165*Ramure*Pc/MaxiM</f>
        <v>2.0493700640326974E-4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60.856479464639946</v>
      </c>
      <c r="W165" s="400">
        <f t="shared" si="59"/>
        <v>56.808693741994155</v>
      </c>
      <c r="X165" s="157">
        <f t="shared" si="60"/>
        <v>45442</v>
      </c>
      <c r="Y165" s="383">
        <f t="shared" si="61"/>
        <v>54.281976689849252</v>
      </c>
      <c r="Z165" s="383">
        <f t="shared" si="62"/>
        <v>56.360847749213278</v>
      </c>
      <c r="AA165" s="384">
        <f t="shared" si="63"/>
        <v>59.750541280269253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5.6730758557585165E-2</v>
      </c>
      <c r="AD165" s="230">
        <f>(INDEX(Models!$BJ165:$BT165,,AH165)*(1-AF165)+INDEX(Models!$BJ165:$BT165,,AH165+1)*AF165-ERP_i)*AE165*Ramure*Pc/MaxiM</f>
        <v>2.0493700640326974E-4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'2023'!Wh/'2023'!Env_an*'2024'!Env_an</f>
        <v>57.887323805724051</v>
      </c>
      <c r="C166" s="829"/>
      <c r="D166" s="391">
        <f t="shared" si="50"/>
        <v>60.105423021701775</v>
      </c>
      <c r="E166" s="383">
        <f t="shared" si="72"/>
        <v>60.891819938083607</v>
      </c>
      <c r="F166" s="383">
        <f t="shared" si="51"/>
        <v>60.903359867096313</v>
      </c>
      <c r="G166" s="110">
        <f t="shared" si="73"/>
        <v>0.95160811402285073</v>
      </c>
      <c r="H166" s="412" t="b">
        <f>Wh_hp&gt;='2023'!Maxi_hp</f>
        <v>0</v>
      </c>
      <c r="I166" s="388">
        <f>IF(H166,Wh_hp,'2023'!Maxi_hp)</f>
        <v>63.124729427681508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3.6903478995179095E-2</v>
      </c>
      <c r="M166" s="832"/>
      <c r="N166" s="832"/>
      <c r="O166" s="48">
        <f>IF(t&lt;Tnet,'2023'!Resal+('2023'!Salim-'2023'!Resal)*(1-EXP(('2023'!Tnet-t)/('2023'!Tau_j))),Resal+(Salim-Resal)*(1-EXP((Tnet-t)/(Tau_j))))*Salcycl</f>
        <v>1.2914656142343352E-2</v>
      </c>
      <c r="P166" s="169">
        <f>(INDEX(Models!$BJ166:$BT166,,T166)*(1-R166)+INDEX(Models!$BJ166:$BT166,,T166+1)*R166-ERP_i)*Q166*Ramure*Pc/MaxiM</f>
        <v>2.0354691175445859E-4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60.830197289045614</v>
      </c>
      <c r="W166" s="400">
        <f t="shared" si="59"/>
        <v>57.887323805724051</v>
      </c>
      <c r="X166" s="157">
        <f t="shared" si="60"/>
        <v>45443</v>
      </c>
      <c r="Y166" s="383">
        <f t="shared" si="61"/>
        <v>55.313002633621522</v>
      </c>
      <c r="Z166" s="383">
        <f t="shared" si="62"/>
        <v>57.432460223106389</v>
      </c>
      <c r="AA166" s="384">
        <f t="shared" si="63"/>
        <v>60.891819938083607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5.6811567111884363E-2</v>
      </c>
      <c r="AD166" s="230">
        <f>(INDEX(Models!$BJ166:$BT166,,AH166)*(1-AF166)+INDEX(Models!$BJ166:$BT166,,AH166+1)*AF166-ERP_i)*AE166*Ramure*Pc/MaxiM</f>
        <v>2.0354691175445859E-4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'2023'!Wh/'2023'!Env_an*'2024'!Env_an</f>
        <v>46.167715019207257</v>
      </c>
      <c r="C167" s="829"/>
      <c r="D167" s="391">
        <f t="shared" si="50"/>
        <v>47.937666498599206</v>
      </c>
      <c r="E167" s="383">
        <f t="shared" si="72"/>
        <v>48.569349707018702</v>
      </c>
      <c r="F167" s="383">
        <f t="shared" si="51"/>
        <v>48.57579542215958</v>
      </c>
      <c r="G167" s="110">
        <f t="shared" si="73"/>
        <v>0.75928171224326035</v>
      </c>
      <c r="H167" s="412" t="b">
        <f>Wh_hp&gt;='2023'!Maxi_hp</f>
        <v>0</v>
      </c>
      <c r="I167" s="388">
        <f>IF(H167,Wh_hp,'2023'!Maxi_hp)</f>
        <v>62.353294055215706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3.6921936520286525E-2</v>
      </c>
      <c r="M167" s="832"/>
      <c r="N167" s="832"/>
      <c r="O167" s="48">
        <f>IF(t&lt;Tnet,'2023'!Resal+('2023'!Salim-'2023'!Resal)*(1-EXP(('2023'!Tnet-t)/('2023'!Tau_j))),Resal+(Salim-Resal)*(1-EXP((Tnet-t)/(Tau_j))))*Salcycl</f>
        <v>1.3005799176434303E-2</v>
      </c>
      <c r="P167" s="169">
        <f>(INDEX(Models!$BJ167:$BT167,,T167)*(1-R167)+INDEX(Models!$BJ167:$BT167,,T167+1)*R167-ERP_i)*Q167*Ramure*Pc/MaxiM</f>
        <v>2.0221815846084757E-4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60.800232740919114</v>
      </c>
      <c r="W167" s="400">
        <f t="shared" si="59"/>
        <v>46.167715019207257</v>
      </c>
      <c r="X167" s="157">
        <f t="shared" si="60"/>
        <v>45444</v>
      </c>
      <c r="Y167" s="383">
        <f t="shared" si="61"/>
        <v>44.114888824884773</v>
      </c>
      <c r="Z167" s="383">
        <f t="shared" si="62"/>
        <v>45.806140226569518</v>
      </c>
      <c r="AA167" s="384">
        <f t="shared" si="63"/>
        <v>48.569349707018702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5.6892041938331188E-2</v>
      </c>
      <c r="AD167" s="230">
        <f>(INDEX(Models!$BJ167:$BT167,,AH167)*(1-AF167)+INDEX(Models!$BJ167:$BT167,,AH167+1)*AF167-ERP_i)*AE167*Ramure*Pc/MaxiM</f>
        <v>2.0221815846084757E-4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'2023'!Wh/'2023'!Env_an*'2024'!Env_an</f>
        <v>56.469631594090146</v>
      </c>
      <c r="C168" s="829"/>
      <c r="D168" s="391">
        <f t="shared" si="50"/>
        <v>58.635655803853133</v>
      </c>
      <c r="E168" s="383">
        <f t="shared" si="72"/>
        <v>59.413791427839314</v>
      </c>
      <c r="F168" s="383">
        <f t="shared" si="51"/>
        <v>59.424526460892842</v>
      </c>
      <c r="G168" s="110">
        <f t="shared" si="73"/>
        <v>0.92926226944820556</v>
      </c>
      <c r="H168" s="412" t="b">
        <f>Wh_hp&gt;='2023'!Maxi_hp</f>
        <v>0</v>
      </c>
      <c r="I168" s="388">
        <f>IF(H168,Wh_hp,'2023'!Maxi_hp)</f>
        <v>59.425155204871523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3.694039369165969E-2</v>
      </c>
      <c r="M168" s="832"/>
      <c r="N168" s="832"/>
      <c r="O168" s="48">
        <f>IF(t&lt;Tnet,'2023'!Resal+('2023'!Salim-'2023'!Resal)*(1-EXP(('2023'!Tnet-t)/('2023'!Tau_j))),Resal+(Salim-Resal)*(1-EXP((Tnet-t)/(Tau_j))))*Salcycl</f>
        <v>1.309688550900278E-2</v>
      </c>
      <c r="P168" s="169">
        <f>(INDEX(Models!$BJ168:$BT168,,T168)*(1-R168)+INDEX(Models!$BJ168:$BT168,,T168+1)*R168-ERP_i)*Q168*Ramure*Pc/MaxiM</f>
        <v>2.0095137466780359E-4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60.767004994256126</v>
      </c>
      <c r="W168" s="400">
        <f t="shared" si="59"/>
        <v>56.469631594090146</v>
      </c>
      <c r="X168" s="157">
        <f t="shared" si="60"/>
        <v>45445</v>
      </c>
      <c r="Y168" s="383">
        <f t="shared" si="61"/>
        <v>53.9591326935127</v>
      </c>
      <c r="Z168" s="383">
        <f t="shared" si="62"/>
        <v>56.02886087222803</v>
      </c>
      <c r="AA168" s="384">
        <f t="shared" si="63"/>
        <v>59.413791427839314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5.6972135160275598E-2</v>
      </c>
      <c r="AD168" s="230">
        <f>(INDEX(Models!$BJ168:$BT168,,AH168)*(1-AF168)+INDEX(Models!$BJ168:$BT168,,AH168+1)*AF168-ERP_i)*AE168*Ramure*Pc/MaxiM</f>
        <v>2.0095137466780359E-4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'2023'!Wh/'2023'!Env_an*'2024'!Env_an</f>
        <v>26.920596021219996</v>
      </c>
      <c r="C169" s="829"/>
      <c r="D169" s="391">
        <f t="shared" si="50"/>
        <v>27.953733893361651</v>
      </c>
      <c r="E169" s="383">
        <f t="shared" si="72"/>
        <v>28.327311722310206</v>
      </c>
      <c r="F169" s="383">
        <f t="shared" si="51"/>
        <v>28.328469915851858</v>
      </c>
      <c r="G169" s="110">
        <f t="shared" si="73"/>
        <v>0.44320608656625171</v>
      </c>
      <c r="H169" s="412" t="b">
        <f>Wh_hp&gt;='2023'!Maxi_hp</f>
        <v>0</v>
      </c>
      <c r="I169" s="388">
        <f>IF(H169,Wh_hp,'2023'!Maxi_hp)</f>
        <v>57.206955445857666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3.6958850509305363E-2</v>
      </c>
      <c r="M169" s="832"/>
      <c r="N169" s="832"/>
      <c r="O169" s="48">
        <f>IF(t&lt;Tnet,'2023'!Resal+('2023'!Salim-'2023'!Resal)*(1-EXP(('2023'!Tnet-t)/('2023'!Tau_j))),Resal+(Salim-Resal)*(1-EXP((Tnet-t)/(Tau_j))))*Salcycl</f>
        <v>1.3187902636533201E-2</v>
      </c>
      <c r="P169" s="169">
        <f>(INDEX(Models!$BJ169:$BT169,,T169)*(1-R169)+INDEX(Models!$BJ169:$BT169,,T169+1)*R169-ERP_i)*Q169*Ramure*Pc/MaxiM</f>
        <v>1.9974736906947817E-4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60.730933029550457</v>
      </c>
      <c r="W169" s="400">
        <f t="shared" si="59"/>
        <v>26.920596021219996</v>
      </c>
      <c r="X169" s="157">
        <f t="shared" si="60"/>
        <v>45446</v>
      </c>
      <c r="Y169" s="383">
        <f t="shared" si="61"/>
        <v>25.723972820580574</v>
      </c>
      <c r="Z169" s="383">
        <f t="shared" si="62"/>
        <v>26.711187610399332</v>
      </c>
      <c r="AA169" s="384">
        <f t="shared" si="63"/>
        <v>28.327311722310206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5.7051799611398973E-2</v>
      </c>
      <c r="AD169" s="230">
        <f>(INDEX(Models!$BJ169:$BT169,,AH169)*(1-AF169)+INDEX(Models!$BJ169:$BT169,,AH169+1)*AF169-ERP_i)*AE169*Ramure*Pc/MaxiM</f>
        <v>1.9974736906947817E-4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'2023'!Wh/'2023'!Env_an*'2024'!Env_an</f>
        <v>37.095324901679511</v>
      </c>
      <c r="C170" s="829"/>
      <c r="D170" s="391">
        <f t="shared" si="50"/>
        <v>38.519678892601505</v>
      </c>
      <c r="E170" s="383">
        <f t="shared" ref="E170:E232" si="75">Wh_pvt/(1-Psa)</f>
        <v>39.038058954499157</v>
      </c>
      <c r="F170" s="383">
        <f t="shared" si="51"/>
        <v>39.041508257301324</v>
      </c>
      <c r="G170" s="110">
        <f t="shared" ref="G170:G232" si="76">+Wh_hp/MaxiM</f>
        <v>0.61113438790241381</v>
      </c>
      <c r="H170" s="412" t="b">
        <f>Wh_hp&gt;='2023'!Maxi_hp</f>
        <v>0</v>
      </c>
      <c r="I170" s="388">
        <f>IF(H170,Wh_hp,'2023'!Maxi_hp)</f>
        <v>45.501902889660293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3.6977306973230428E-2</v>
      </c>
      <c r="M170" s="832"/>
      <c r="N170" s="832"/>
      <c r="O170" s="48">
        <f>IF(t&lt;Tnet,'2023'!Resal+('2023'!Salim-'2023'!Resal)*(1-EXP(('2023'!Tnet-t)/('2023'!Tau_j))),Resal+(Salim-Resal)*(1-EXP((Tnet-t)/(Tau_j))))*Salcycl</f>
        <v>1.3278838030903389E-2</v>
      </c>
      <c r="P170" s="169">
        <f>(INDEX(Models!$BJ170:$BT170,,T170)*(1-R170)+INDEX(Models!$BJ170:$BT170,,T170+1)*R170-ERP_i)*Q170*Ramure*Pc/MaxiM</f>
        <v>1.9872870078660484E-4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60.692428255761492</v>
      </c>
      <c r="W170" s="400">
        <f t="shared" si="59"/>
        <v>37.095324901679511</v>
      </c>
      <c r="X170" s="157">
        <f t="shared" si="60"/>
        <v>45447</v>
      </c>
      <c r="Y170" s="383">
        <f t="shared" si="61"/>
        <v>35.446723603539063</v>
      </c>
      <c r="Z170" s="383">
        <f t="shared" si="62"/>
        <v>36.807776037063476</v>
      </c>
      <c r="AA170" s="384">
        <f t="shared" si="63"/>
        <v>39.038058954499157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5.7130989018567412E-2</v>
      </c>
      <c r="AD170" s="230">
        <f>(INDEX(Models!$BJ170:$BT170,,AH170)*(1-AF170)+INDEX(Models!$BJ170:$BT170,,AH170+1)*AF170-ERP_i)*AE170*Ramure*Pc/MaxiM</f>
        <v>1.9872870078660484E-4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'2023'!Wh/'2023'!Env_an*'2024'!Env_an</f>
        <v>48.387111002096567</v>
      </c>
      <c r="C171" s="829"/>
      <c r="D171" s="391">
        <f t="shared" si="50"/>
        <v>50.246000118366211</v>
      </c>
      <c r="E171" s="383">
        <f t="shared" si="75"/>
        <v>50.926876114098327</v>
      </c>
      <c r="F171" s="383">
        <f t="shared" si="51"/>
        <v>50.934039987493314</v>
      </c>
      <c r="G171" s="110">
        <f t="shared" si="76"/>
        <v>0.79773812888229179</v>
      </c>
      <c r="H171" s="412" t="b">
        <f>Wh_hp&gt;='2023'!Maxi_hp</f>
        <v>0</v>
      </c>
      <c r="I171" s="388">
        <f>IF(H171,Wh_hp,'2023'!Maxi_hp)</f>
        <v>58.87079114151684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3.6995763083441435E-2</v>
      </c>
      <c r="M171" s="832"/>
      <c r="N171" s="832"/>
      <c r="O171" s="48">
        <f>IF(t&lt;Tnet,'2023'!Resal+('2023'!Salim-'2023'!Resal)*(1-EXP(('2023'!Tnet-t)/('2023'!Tau_j))),Resal+(Salim-Resal)*(1-EXP((Tnet-t)/(Tau_j))))*Salcycl</f>
        <v>1.3369679188777649E-2</v>
      </c>
      <c r="P171" s="169">
        <f>(INDEX(Models!$BJ171:$BT171,,T171)*(1-R171)+INDEX(Models!$BJ171:$BT171,,T171+1)*R171-ERP_i)*Q171*Ramure*Pc/MaxiM</f>
        <v>1.9778672072270925E-4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60.651915937338984</v>
      </c>
      <c r="W171" s="400">
        <f t="shared" si="59"/>
        <v>48.387111002096567</v>
      </c>
      <c r="X171" s="157">
        <f t="shared" si="60"/>
        <v>45448</v>
      </c>
      <c r="Y171" s="383">
        <f t="shared" si="61"/>
        <v>46.237075791158787</v>
      </c>
      <c r="Z171" s="383">
        <f t="shared" si="62"/>
        <v>48.013366939282832</v>
      </c>
      <c r="AA171" s="384">
        <f t="shared" si="63"/>
        <v>50.926876114098327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5.7209658182998835E-2</v>
      </c>
      <c r="AD171" s="230">
        <f>(INDEX(Models!$BJ171:$BT171,,AH171)*(1-AF171)+INDEX(Models!$BJ171:$BT171,,AH171+1)*AF171-ERP_i)*AE171*Ramure*Pc/MaxiM</f>
        <v>1.9778672072270925E-4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'2023'!Wh/'2023'!Env_an*'2024'!Env_an</f>
        <v>29.351912941588758</v>
      </c>
      <c r="C172" s="829"/>
      <c r="D172" s="391">
        <f t="shared" si="50"/>
        <v>30.480110418899606</v>
      </c>
      <c r="E172" s="383">
        <f t="shared" si="75"/>
        <v>30.895983132970436</v>
      </c>
      <c r="F172" s="383">
        <f t="shared" si="51"/>
        <v>30.89758487739687</v>
      </c>
      <c r="G172" s="110">
        <f t="shared" si="76"/>
        <v>0.48420630447195079</v>
      </c>
      <c r="H172" s="412" t="b">
        <f>Wh_hp&gt;='2023'!Maxi_hp</f>
        <v>0</v>
      </c>
      <c r="I172" s="388">
        <f>IF(H172,Wh_hp,'2023'!Maxi_hp)</f>
        <v>52.613805955532094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3.7014218839945379E-2</v>
      </c>
      <c r="M172" s="832"/>
      <c r="N172" s="832"/>
      <c r="O172" s="48">
        <f>IF(t&lt;Tnet,'2023'!Resal+('2023'!Salim-'2023'!Resal)*(1-EXP(('2023'!Tnet-t)/('2023'!Tau_j))),Resal+(Salim-Resal)*(1-EXP((Tnet-t)/(Tau_j))))*Salcycl</f>
        <v>1.346041368164236E-2</v>
      </c>
      <c r="P172" s="169">
        <f>(INDEX(Models!$BJ172:$BT172,,T172)*(1-R172)+INDEX(Models!$BJ172:$BT172,,T172+1)*R172-ERP_i)*Q172*Ramure*Pc/MaxiM</f>
        <v>1.9692307633051114E-4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60.609814446635873</v>
      </c>
      <c r="W172" s="400">
        <f t="shared" si="59"/>
        <v>29.351912941588758</v>
      </c>
      <c r="X172" s="157">
        <f t="shared" si="60"/>
        <v>45449</v>
      </c>
      <c r="Y172" s="383">
        <f t="shared" si="61"/>
        <v>28.047944439821098</v>
      </c>
      <c r="Z172" s="383">
        <f t="shared" si="62"/>
        <v>29.12602136869905</v>
      </c>
      <c r="AA172" s="384">
        <f t="shared" si="63"/>
        <v>30.895983132970436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5.7287763158524838E-2</v>
      </c>
      <c r="AD172" s="230">
        <f>(INDEX(Models!$BJ172:$BT172,,AH172)*(1-AF172)+INDEX(Models!$BJ172:$BT172,,AH172+1)*AF172-ERP_i)*AE172*Ramure*Pc/MaxiM</f>
        <v>1.9692307633051114E-4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'2023'!Wh/'2023'!Env_an*'2024'!Env_an</f>
        <v>21.882567335778418</v>
      </c>
      <c r="C173" s="829"/>
      <c r="D173" s="391">
        <f t="shared" si="50"/>
        <v>22.724101587320803</v>
      </c>
      <c r="E173" s="383">
        <f t="shared" si="75"/>
        <v>23.036266710313129</v>
      </c>
      <c r="F173" s="383">
        <f t="shared" si="51"/>
        <v>23.036662379851485</v>
      </c>
      <c r="G173" s="110">
        <f t="shared" si="76"/>
        <v>0.36123328777534963</v>
      </c>
      <c r="H173" s="412" t="b">
        <f>Wh_hp&gt;='2023'!Maxi_hp</f>
        <v>0</v>
      </c>
      <c r="I173" s="388">
        <f>IF(H173,Wh_hp,'2023'!Maxi_hp)</f>
        <v>63.747853574878313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3.703267424274892E-2</v>
      </c>
      <c r="M173" s="832"/>
      <c r="N173" s="832"/>
      <c r="O173" s="48">
        <f>IF(t&lt;Tnet,'2023'!Resal+('2023'!Salim-'2023'!Resal)*(1-EXP(('2023'!Tnet-t)/('2023'!Tau_j))),Resal+(Salim-Resal)*(1-EXP((Tnet-t)/(Tau_j))))*Salcycl</f>
        <v>1.3551029206159155E-2</v>
      </c>
      <c r="P173" s="169">
        <f>(INDEX(Models!$BJ173:$BT173,,T173)*(1-R173)+INDEX(Models!$BJ173:$BT173,,T173+1)*R173-ERP_i)*Q173*Ramure*Pc/MaxiM</f>
        <v>1.9613954396936466E-4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60.566541953226022</v>
      </c>
      <c r="W173" s="400">
        <f t="shared" si="59"/>
        <v>21.882567335778418</v>
      </c>
      <c r="X173" s="157">
        <f t="shared" si="60"/>
        <v>45450</v>
      </c>
      <c r="Y173" s="383">
        <f t="shared" si="61"/>
        <v>20.910628679855282</v>
      </c>
      <c r="Z173" s="383">
        <f t="shared" si="62"/>
        <v>21.714785248203242</v>
      </c>
      <c r="AA173" s="384">
        <f t="shared" si="63"/>
        <v>23.036266710313129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5.7365261425727038E-2</v>
      </c>
      <c r="AD173" s="230">
        <f>(INDEX(Models!$BJ173:$BT173,,AH173)*(1-AF173)+INDEX(Models!$BJ173:$BT173,,AH173+1)*AF173-ERP_i)*AE173*Ramure*Pc/MaxiM</f>
        <v>1.9613954396936466E-4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'2023'!Wh/'2023'!Env_an*'2024'!Env_an</f>
        <v>47.675319711996892</v>
      </c>
      <c r="C174" s="829"/>
      <c r="D174" s="391">
        <f t="shared" si="50"/>
        <v>49.509710392969289</v>
      </c>
      <c r="E174" s="383">
        <f t="shared" si="75"/>
        <v>50.194438510283426</v>
      </c>
      <c r="F174" s="383">
        <f t="shared" si="51"/>
        <v>50.201274541018954</v>
      </c>
      <c r="G174" s="110">
        <f t="shared" si="76"/>
        <v>0.78768195109943551</v>
      </c>
      <c r="H174" s="412" t="b">
        <f>Wh_hp&gt;='2023'!Maxi_hp</f>
        <v>0</v>
      </c>
      <c r="I174" s="388">
        <f>IF(H174,Wh_hp,'2023'!Maxi_hp)</f>
        <v>60.451525350346095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3.7051129291858942E-2</v>
      </c>
      <c r="M174" s="832"/>
      <c r="N174" s="832"/>
      <c r="O174" s="48">
        <f>IF(t&lt;Tnet,'2023'!Resal+('2023'!Salim-'2023'!Resal)*(1-EXP(('2023'!Tnet-t)/('2023'!Tau_j))),Resal+(Salim-Resal)*(1-EXP((Tnet-t)/(Tau_j))))*Salcycl</f>
        <v>1.3641513634500727E-2</v>
      </c>
      <c r="P174" s="169">
        <f>(INDEX(Models!$BJ174:$BT174,,T174)*(1-R174)+INDEX(Models!$BJ174:$BT174,,T174+1)*R174-ERP_i)*Q174*Ramure*Pc/MaxiM</f>
        <v>1.9543801468809106E-4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60.522516424404877</v>
      </c>
      <c r="W174" s="400">
        <f t="shared" si="59"/>
        <v>47.675319711996892</v>
      </c>
      <c r="X174" s="157">
        <f t="shared" si="60"/>
        <v>45451</v>
      </c>
      <c r="Y174" s="383">
        <f t="shared" si="61"/>
        <v>45.558231896143951</v>
      </c>
      <c r="Z174" s="383">
        <f t="shared" si="62"/>
        <v>47.311163948550011</v>
      </c>
      <c r="AA174" s="384">
        <f t="shared" si="63"/>
        <v>50.194438510283426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5.7442112060735927E-2</v>
      </c>
      <c r="AD174" s="230">
        <f>(INDEX(Models!$BJ174:$BT174,,AH174)*(1-AF174)+INDEX(Models!$BJ174:$BT174,,AH174+1)*AF174-ERP_i)*AE174*Ramure*Pc/MaxiM</f>
        <v>1.9543801468809106E-4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'2023'!Wh/'2023'!Env_an*'2024'!Env_an</f>
        <v>59.475853267367121</v>
      </c>
      <c r="C175" s="829"/>
      <c r="D175" s="391">
        <f t="shared" si="50"/>
        <v>61.765473681518429</v>
      </c>
      <c r="E175" s="383">
        <f t="shared" si="75"/>
        <v>62.62543710721485</v>
      </c>
      <c r="F175" s="383">
        <f t="shared" si="51"/>
        <v>62.637351230964633</v>
      </c>
      <c r="G175" s="110">
        <f t="shared" si="76"/>
        <v>0.98342249811426363</v>
      </c>
      <c r="H175" s="412" t="b">
        <f>Wh_hp&gt;='2023'!Maxi_hp</f>
        <v>0</v>
      </c>
      <c r="I175" s="388">
        <f>IF(H175,Wh_hp,'2023'!Maxi_hp)</f>
        <v>62.637503037871667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3.7069583987282106E-2</v>
      </c>
      <c r="M175" s="832"/>
      <c r="N175" s="832"/>
      <c r="O175" s="48">
        <f>IF(t&lt;Tnet,'2023'!Resal+('2023'!Salim-'2023'!Resal)*(1-EXP(('2023'!Tnet-t)/('2023'!Tau_j))),Resal+(Salim-Resal)*(1-EXP((Tnet-t)/(Tau_j))))*Salcycl</f>
        <v>1.3731855064327243E-2</v>
      </c>
      <c r="P175" s="169">
        <f>(INDEX(Models!$BJ175:$BT175,,T175)*(1-R175)+INDEX(Models!$BJ175:$BT175,,T175+1)*R175-ERP_i)*Q175*Ramure*Pc/MaxiM</f>
        <v>1.9482047946090255E-4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60.478155621410345</v>
      </c>
      <c r="W175" s="400">
        <f t="shared" si="59"/>
        <v>59.475853267367121</v>
      </c>
      <c r="X175" s="157">
        <f t="shared" si="60"/>
        <v>45452</v>
      </c>
      <c r="Y175" s="383">
        <f t="shared" si="61"/>
        <v>56.835359651154</v>
      </c>
      <c r="Z175" s="383">
        <f t="shared" si="62"/>
        <v>59.023329937480497</v>
      </c>
      <c r="AA175" s="384">
        <f t="shared" si="63"/>
        <v>62.62543710721485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5.7518275897500609E-2</v>
      </c>
      <c r="AD175" s="230">
        <f>(INDEX(Models!$BJ175:$BT175,,AH175)*(1-AF175)+INDEX(Models!$BJ175:$BT175,,AH175+1)*AF175-ERP_i)*AE175*Ramure*Pc/MaxiM</f>
        <v>1.9482047946090255E-4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'2023'!Wh/'2023'!Env_an*'2024'!Env_an</f>
        <v>57.475425756826645</v>
      </c>
      <c r="C176" s="829"/>
      <c r="D176" s="391">
        <f t="shared" si="50"/>
        <v>59.689180366071611</v>
      </c>
      <c r="E176" s="383">
        <f t="shared" si="75"/>
        <v>60.525770094413005</v>
      </c>
      <c r="F176" s="383">
        <f t="shared" si="51"/>
        <v>60.536709179596876</v>
      </c>
      <c r="G176" s="110">
        <f t="shared" si="76"/>
        <v>0.95103355001743772</v>
      </c>
      <c r="H176" s="412" t="b">
        <f>Wh_hp&gt;='2023'!Maxi_hp</f>
        <v>0</v>
      </c>
      <c r="I176" s="388">
        <f>IF(H176,Wh_hp,'2023'!Maxi_hp)</f>
        <v>60.537141760881475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3.7088038329025297E-2</v>
      </c>
      <c r="M176" s="832"/>
      <c r="N176" s="832"/>
      <c r="O176" s="48">
        <f>IF(t&lt;Tnet,'2023'!Resal+('2023'!Salim-'2023'!Resal)*(1-EXP(('2023'!Tnet-t)/('2023'!Tau_j))),Resal+(Salim-Resal)*(1-EXP((Tnet-t)/(Tau_j))))*Salcycl</f>
        <v>1.3822041868057451E-2</v>
      </c>
      <c r="P176" s="169">
        <f>(INDEX(Models!$BJ176:$BT176,,T176)*(1-R176)+INDEX(Models!$BJ176:$BT176,,T176+1)*R176-ERP_i)*Q176*Ramure*Pc/MaxiM</f>
        <v>1.9428901390340867E-4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60.433877098190969</v>
      </c>
      <c r="W176" s="400">
        <f t="shared" si="59"/>
        <v>57.475425756826645</v>
      </c>
      <c r="X176" s="157">
        <f t="shared" si="60"/>
        <v>45453</v>
      </c>
      <c r="Y176" s="383">
        <f t="shared" si="61"/>
        <v>54.924369359934566</v>
      </c>
      <c r="Z176" s="383">
        <f t="shared" si="62"/>
        <v>57.039866100138994</v>
      </c>
      <c r="AA176" s="384">
        <f t="shared" si="63"/>
        <v>60.525770094413005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5.759371568236827E-2</v>
      </c>
      <c r="AD176" s="230">
        <f>(INDEX(Models!$BJ176:$BT176,,AH176)*(1-AF176)+INDEX(Models!$BJ176:$BT176,,AH176+1)*AF176-ERP_i)*AE176*Ramure*Pc/MaxiM</f>
        <v>1.9428901390340867E-4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'2023'!Wh/'2023'!Env_an*'2024'!Env_an</f>
        <v>44.615040537159196</v>
      </c>
      <c r="C177" s="829"/>
      <c r="D177" s="391">
        <f t="shared" si="50"/>
        <v>46.334345575265417</v>
      </c>
      <c r="E177" s="383">
        <f t="shared" si="75"/>
        <v>46.98804622239247</v>
      </c>
      <c r="F177" s="383">
        <f t="shared" si="51"/>
        <v>46.993756616601999</v>
      </c>
      <c r="G177" s="110">
        <f t="shared" si="76"/>
        <v>0.73874002817971807</v>
      </c>
      <c r="H177" s="412" t="b">
        <f>Wh_hp&gt;='2023'!Maxi_hp</f>
        <v>0</v>
      </c>
      <c r="I177" s="388">
        <f>IF(H177,Wh_hp,'2023'!Maxi_hp)</f>
        <v>56.41651381708197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3.7106492317095174E-2</v>
      </c>
      <c r="M177" s="832"/>
      <c r="N177" s="832"/>
      <c r="O177" s="48">
        <f>IF(t&lt;Tnet,'2023'!Resal+('2023'!Salim-'2023'!Resal)*(1-EXP(('2023'!Tnet-t)/('2023'!Tau_j))),Resal+(Salim-Resal)*(1-EXP((Tnet-t)/(Tau_j))))*Salcycl</f>
        <v>1.3912062741087671E-2</v>
      </c>
      <c r="P177" s="169">
        <f>(INDEX(Models!$BJ177:$BT177,,T177)*(1-R177)+INDEX(Models!$BJ177:$BT177,,T177+1)*R177-ERP_i)*Q177*Ramure*Pc/MaxiM</f>
        <v>1.9384910741172934E-4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60.389055966360289</v>
      </c>
      <c r="W177" s="400">
        <f t="shared" si="59"/>
        <v>44.615040537159196</v>
      </c>
      <c r="X177" s="157">
        <f t="shared" si="60"/>
        <v>45454</v>
      </c>
      <c r="Y177" s="383">
        <f t="shared" si="61"/>
        <v>42.635307778903154</v>
      </c>
      <c r="Z177" s="383">
        <f t="shared" si="62"/>
        <v>44.278320955242741</v>
      </c>
      <c r="AA177" s="384">
        <f t="shared" si="63"/>
        <v>46.98804622239247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5.7668396219853667E-2</v>
      </c>
      <c r="AD177" s="230">
        <f>(INDEX(Models!$BJ177:$BT177,,AH177)*(1-AF177)+INDEX(Models!$BJ177:$BT177,,AH177+1)*AF177-ERP_i)*AE177*Ramure*Pc/MaxiM</f>
        <v>1.9384910741172934E-4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'2023'!Wh/'2023'!Env_an*'2024'!Env_an</f>
        <v>56.106977363854469</v>
      </c>
      <c r="C178" s="829"/>
      <c r="D178" s="391">
        <f t="shared" si="50"/>
        <v>58.270257525051925</v>
      </c>
      <c r="E178" s="383">
        <f t="shared" si="75"/>
        <v>59.097738549272798</v>
      </c>
      <c r="F178" s="383">
        <f t="shared" si="51"/>
        <v>59.108034655219832</v>
      </c>
      <c r="G178" s="110">
        <f t="shared" si="76"/>
        <v>0.92978620491831621</v>
      </c>
      <c r="H178" s="412" t="b">
        <f>Wh_hp&gt;='2023'!Maxi_hp</f>
        <v>0</v>
      </c>
      <c r="I178" s="388">
        <f>IF(H178,Wh_hp,'2023'!Maxi_hp)</f>
        <v>64.279104061315721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3.7124945951498622E-2</v>
      </c>
      <c r="M178" s="832"/>
      <c r="N178" s="832"/>
      <c r="O178" s="48">
        <f>IF(t&lt;Tnet,'2023'!Resal+('2023'!Salim-'2023'!Resal)*(1-EXP(('2023'!Tnet-t)/('2023'!Tau_j))),Resal+(Salim-Resal)*(1-EXP((Tnet-t)/(Tau_j))))*Salcycl</f>
        <v>1.4001906748613756E-2</v>
      </c>
      <c r="P178" s="169">
        <f>(INDEX(Models!$BJ178:$BT178,,T178)*(1-R178)+INDEX(Models!$BJ178:$BT178,,T178+1)*R178-ERP_i)*Q178*Ramure*Pc/MaxiM</f>
        <v>1.9360605232878587E-4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60.342783722475247</v>
      </c>
      <c r="W178" s="400">
        <f t="shared" si="59"/>
        <v>56.106977363854469</v>
      </c>
      <c r="X178" s="157">
        <f t="shared" si="60"/>
        <v>45455</v>
      </c>
      <c r="Y178" s="383">
        <f t="shared" si="61"/>
        <v>53.617986359044849</v>
      </c>
      <c r="Z178" s="383">
        <f t="shared" si="62"/>
        <v>55.685300116149897</v>
      </c>
      <c r="AA178" s="384">
        <f t="shared" si="63"/>
        <v>59.097738549272798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5.7742284508531166E-2</v>
      </c>
      <c r="AD178" s="230">
        <f>(INDEX(Models!$BJ178:$BT178,,AH178)*(1-AF178)+INDEX(Models!$BJ178:$BT178,,AH178+1)*AF178-ERP_i)*AE178*Ramure*Pc/MaxiM</f>
        <v>1.9360605232878587E-4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'2023'!Wh/'2023'!Env_an*'2024'!Env_an</f>
        <v>49.876922602104031</v>
      </c>
      <c r="C179" s="829"/>
      <c r="D179" s="391">
        <f t="shared" si="50"/>
        <v>51.800987356095838</v>
      </c>
      <c r="E179" s="383">
        <f t="shared" si="75"/>
        <v>52.541377506817909</v>
      </c>
      <c r="F179" s="383">
        <f t="shared" si="51"/>
        <v>52.549037324308927</v>
      </c>
      <c r="G179" s="110">
        <f t="shared" si="76"/>
        <v>0.82717451751379922</v>
      </c>
      <c r="H179" s="412" t="b">
        <f>Wh_hp&gt;='2023'!Maxi_hp</f>
        <v>0</v>
      </c>
      <c r="I179" s="388">
        <f>IF(H179,Wh_hp,'2023'!Maxi_hp)</f>
        <v>56.161235442538548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3.7143399232242413E-2</v>
      </c>
      <c r="M179" s="832"/>
      <c r="N179" s="832"/>
      <c r="O179" s="48">
        <f>IF(t&lt;Tnet,'2023'!Resal+('2023'!Salim-'2023'!Resal)*(1-EXP(('2023'!Tnet-t)/('2023'!Tau_j))),Resal+(Salim-Resal)*(1-EXP((Tnet-t)/(Tau_j))))*Salcycl</f>
        <v>1.409156337071666E-2</v>
      </c>
      <c r="P179" s="169">
        <f>(INDEX(Models!$BJ179:$BT179,,T179)*(1-R179)+INDEX(Models!$BJ179:$BT179,,T179+1)*R179-ERP_i)*Q179*Ramure*Pc/MaxiM</f>
        <v>1.9353732291548515E-4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60.295062854322069</v>
      </c>
      <c r="W179" s="400">
        <f t="shared" si="59"/>
        <v>49.876922602104031</v>
      </c>
      <c r="X179" s="157">
        <f t="shared" si="60"/>
        <v>45456</v>
      </c>
      <c r="Y179" s="383">
        <f t="shared" si="61"/>
        <v>47.664944456999287</v>
      </c>
      <c r="Z179" s="383">
        <f t="shared" si="62"/>
        <v>49.503679383817342</v>
      </c>
      <c r="AA179" s="384">
        <f t="shared" si="63"/>
        <v>52.541377506817909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5.7815349866043843E-2</v>
      </c>
      <c r="AD179" s="230">
        <f>(INDEX(Models!$BJ179:$BT179,,AH179)*(1-AF179)+INDEX(Models!$BJ179:$BT179,,AH179+1)*AF179-ERP_i)*AE179*Ramure*Pc/MaxiM</f>
        <v>1.9353732291548515E-4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'2023'!Wh/'2023'!Env_an*'2024'!Env_an</f>
        <v>56.227257300463314</v>
      </c>
      <c r="C180" s="829"/>
      <c r="D180" s="391">
        <f t="shared" si="50"/>
        <v>58.397413341549445</v>
      </c>
      <c r="E180" s="383">
        <f t="shared" si="75"/>
        <v>59.237461113125789</v>
      </c>
      <c r="F180" s="383">
        <f t="shared" si="51"/>
        <v>59.247841049179726</v>
      </c>
      <c r="G180" s="110">
        <f t="shared" si="76"/>
        <v>0.93327886254053827</v>
      </c>
      <c r="H180" s="412" t="b">
        <f>Wh_hp&gt;='2023'!Maxi_hp</f>
        <v>0</v>
      </c>
      <c r="I180" s="388">
        <f>IF(H180,Wh_hp,'2023'!Maxi_hp)</f>
        <v>59.248417323391159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3.7161852159333209E-2</v>
      </c>
      <c r="M180" s="832"/>
      <c r="N180" s="832"/>
      <c r="O180" s="48">
        <f>IF(t&lt;Tnet,'2023'!Resal+('2023'!Salim-'2023'!Resal)*(1-EXP(('2023'!Tnet-t)/('2023'!Tau_j))),Resal+(Salim-Resal)*(1-EXP((Tnet-t)/(Tau_j))))*Salcycl</f>
        <v>1.4181022545380678E-2</v>
      </c>
      <c r="P180" s="169">
        <f>(INDEX(Models!$BJ180:$BT180,,T180)*(1-R180)+INDEX(Models!$BJ180:$BT180,,T180+1)*R180-ERP_i)*Q180*Ramure*Pc/MaxiM</f>
        <v>1.9364816384223696E-4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60.245894142305282</v>
      </c>
      <c r="W180" s="400">
        <f t="shared" si="59"/>
        <v>56.227257300463314</v>
      </c>
      <c r="X180" s="157">
        <f t="shared" si="60"/>
        <v>45457</v>
      </c>
      <c r="Y180" s="383">
        <f t="shared" si="61"/>
        <v>53.734407182274602</v>
      </c>
      <c r="Z180" s="383">
        <f t="shared" si="62"/>
        <v>55.808348789236717</v>
      </c>
      <c r="AA180" s="384">
        <f t="shared" si="63"/>
        <v>59.237461113125789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5.7887564042295774E-2</v>
      </c>
      <c r="AD180" s="230">
        <f>(INDEX(Models!$BJ180:$BT180,,AH180)*(1-AF180)+INDEX(Models!$BJ180:$BT180,,AH180+1)*AF180-ERP_i)*AE180*Ramure*Pc/MaxiM</f>
        <v>1.9364816384223696E-4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'2023'!Wh/'2023'!Env_an*'2024'!Env_an</f>
        <v>54.003990783479452</v>
      </c>
      <c r="C181" s="829"/>
      <c r="D181" s="391">
        <f t="shared" si="50"/>
        <v>56.089412222182595</v>
      </c>
      <c r="E181" s="383">
        <f t="shared" si="75"/>
        <v>56.901410988322787</v>
      </c>
      <c r="F181" s="383">
        <f t="shared" si="51"/>
        <v>56.910826712567925</v>
      </c>
      <c r="G181" s="110">
        <f t="shared" si="76"/>
        <v>0.89712105463881919</v>
      </c>
      <c r="H181" s="412" t="b">
        <f>Wh_hp&gt;='2023'!Maxi_hp</f>
        <v>0</v>
      </c>
      <c r="I181" s="388">
        <f>IF(H181,Wh_hp,'2023'!Maxi_hp)</f>
        <v>63.760579589282713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3.7180304732777891E-2</v>
      </c>
      <c r="M181" s="832"/>
      <c r="N181" s="832"/>
      <c r="O181" s="48">
        <f>IF(t&lt;Tnet,'2023'!Resal+('2023'!Salim-'2023'!Resal)*(1-EXP(('2023'!Tnet-t)/('2023'!Tau_j))),Resal+(Salim-Resal)*(1-EXP((Tnet-t)/(Tau_j))))*Salcycl</f>
        <v>1.4270274709125039E-2</v>
      </c>
      <c r="P181" s="169">
        <f>(INDEX(Models!$BJ181:$BT181,,T181)*(1-R181)+INDEX(Models!$BJ181:$BT181,,T181+1)*R181-ERP_i)*Q181*Ramure*Pc/MaxiM</f>
        <v>1.9394379737943282E-4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60.195278337934987</v>
      </c>
      <c r="W181" s="400">
        <f t="shared" si="59"/>
        <v>54.003990783479452</v>
      </c>
      <c r="X181" s="157">
        <f t="shared" si="60"/>
        <v>45458</v>
      </c>
      <c r="Y181" s="383">
        <f t="shared" si="61"/>
        <v>51.610474459175649</v>
      </c>
      <c r="Z181" s="383">
        <f t="shared" si="62"/>
        <v>53.603467723883249</v>
      </c>
      <c r="AA181" s="384">
        <f t="shared" si="63"/>
        <v>56.901410988322787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5.7958901319974977E-2</v>
      </c>
      <c r="AD181" s="230">
        <f>(INDEX(Models!$BJ181:$BT181,,AH181)*(1-AF181)+INDEX(Models!$BJ181:$BT181,,AH181+1)*AF181-ERP_i)*AE181*Ramure*Pc/MaxiM</f>
        <v>1.9394379737943282E-4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'2023'!Wh/'2023'!Env_an*'2024'!Env_an</f>
        <v>54.148909960885454</v>
      </c>
      <c r="C182" s="829"/>
      <c r="D182" s="391">
        <f t="shared" si="50"/>
        <v>56.241005453519847</v>
      </c>
      <c r="E182" s="383">
        <f t="shared" si="75"/>
        <v>57.060352795664372</v>
      </c>
      <c r="F182" s="383">
        <f t="shared" si="51"/>
        <v>57.069868980472648</v>
      </c>
      <c r="G182" s="110">
        <f t="shared" si="76"/>
        <v>0.90030786768257098</v>
      </c>
      <c r="H182" s="412" t="b">
        <f>Wh_hp&gt;='2023'!Maxi_hp</f>
        <v>0</v>
      </c>
      <c r="I182" s="388">
        <f>IF(H182,Wh_hp,'2023'!Maxi_hp)</f>
        <v>62.238525909161851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3.7198756952583234E-2</v>
      </c>
      <c r="M182" s="832"/>
      <c r="N182" s="832"/>
      <c r="O182" s="48">
        <f>IF(t&lt;Tnet,'2023'!Resal+('2023'!Salim-'2023'!Resal)*(1-EXP(('2023'!Tnet-t)/('2023'!Tau_j))),Resal+(Salim-Resal)*(1-EXP((Tnet-t)/(Tau_j))))*Salcycl</f>
        <v>1.4359310834944242E-2</v>
      </c>
      <c r="P182" s="169">
        <f>(INDEX(Models!$BJ182:$BT182,,T182)*(1-R182)+INDEX(Models!$BJ182:$BT182,,T182+1)*R182-ERP_i)*Q182*Ramure*Pc/MaxiM</f>
        <v>1.9442941201726501E-4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60.143216159468224</v>
      </c>
      <c r="W182" s="400">
        <f t="shared" si="59"/>
        <v>54.148909960885454</v>
      </c>
      <c r="X182" s="157">
        <f t="shared" si="60"/>
        <v>45459</v>
      </c>
      <c r="Y182" s="383">
        <f t="shared" si="61"/>
        <v>51.749775643965663</v>
      </c>
      <c r="Z182" s="383">
        <f t="shared" si="62"/>
        <v>53.749178262555539</v>
      </c>
      <c r="AA182" s="384">
        <f t="shared" si="63"/>
        <v>57.060352795664372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5.8029338601643263E-2</v>
      </c>
      <c r="AD182" s="230">
        <f>(INDEX(Models!$BJ182:$BT182,,AH182)*(1-AF182)+INDEX(Models!$BJ182:$BT182,,AH182+1)*AF182-ERP_i)*AE182*Ramure*Pc/MaxiM</f>
        <v>1.9442941201726501E-4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'2023'!Wh/'2023'!Env_an*'2024'!Env_an</f>
        <v>56.619618450913578</v>
      </c>
      <c r="C183" s="829"/>
      <c r="D183" s="391">
        <f t="shared" si="50"/>
        <v>58.808299202613107</v>
      </c>
      <c r="E183" s="383">
        <f t="shared" si="75"/>
        <v>59.670424807911857</v>
      </c>
      <c r="F183" s="383">
        <f t="shared" si="51"/>
        <v>59.681108561029703</v>
      </c>
      <c r="G183" s="110">
        <f t="shared" si="76"/>
        <v>0.94223634190825789</v>
      </c>
      <c r="H183" s="412" t="b">
        <f>Wh_hp&gt;='2023'!Maxi_hp</f>
        <v>0</v>
      </c>
      <c r="I183" s="388">
        <f>IF(H183,Wh_hp,'2023'!Maxi_hp)</f>
        <v>59.681614719407001</v>
      </c>
      <c r="J183" s="85">
        <f>IF(H183,An,'2023'!An_max)</f>
        <v>2022</v>
      </c>
      <c r="K183" s="197">
        <f t="shared" si="52"/>
        <v>45460</v>
      </c>
      <c r="L183" s="147">
        <f>IF(t&lt;Tvie,1-EXP((T0-t)*PertePVj)+'2023'!Pspv,1-EXP((T0-t)*PertePVj)+Pspv)</f>
        <v>3.7217208818755898E-2</v>
      </c>
      <c r="M183" s="832"/>
      <c r="N183" s="832"/>
      <c r="O183" s="48">
        <f>IF(t&lt;Tnet,'2023'!Resal+('2023'!Salim-'2023'!Resal)*(1-EXP(('2023'!Tnet-t)/('2023'!Tau_j))),Resal+(Salim-Resal)*(1-EXP((Tnet-t)/(Tau_j))))*Salcycl</f>
        <v>1.4448122467270204E-2</v>
      </c>
      <c r="P183" s="169">
        <f>(INDEX(Models!$BJ183:$BT183,,T183)*(1-R183)+INDEX(Models!$BJ183:$BT183,,T183+1)*R183-ERP_i)*Q183*Ramure*Pc/MaxiM</f>
        <v>1.9511015206994978E-4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60.089708293650105</v>
      </c>
      <c r="W183" s="400">
        <f t="shared" si="59"/>
        <v>56.619618450913578</v>
      </c>
      <c r="X183" s="157">
        <f t="shared" si="60"/>
        <v>45460</v>
      </c>
      <c r="Y183" s="383">
        <f t="shared" si="61"/>
        <v>54.111898761286426</v>
      </c>
      <c r="Z183" s="383">
        <f t="shared" si="62"/>
        <v>56.203641420404082</v>
      </c>
      <c r="AA183" s="384">
        <f t="shared" si="63"/>
        <v>59.670424807911857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5.8098855482726607E-2</v>
      </c>
      <c r="AD183" s="230">
        <f>(INDEX(Models!$BJ183:$BT183,,AH183)*(1-AF183)+INDEX(Models!$BJ183:$BT183,,AH183+1)*AF183-ERP_i)*AE183*Ramure*Pc/MaxiM</f>
        <v>1.9511015206994978E-4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'2023'!Wh/'2023'!Env_an*'2024'!Env_an</f>
        <v>57.995943368635992</v>
      </c>
      <c r="C184" s="829"/>
      <c r="D184" s="391">
        <f t="shared" si="50"/>
        <v>60.238981627210393</v>
      </c>
      <c r="E184" s="383">
        <f t="shared" si="75"/>
        <v>61.127574953231843</v>
      </c>
      <c r="F184" s="383">
        <f t="shared" si="51"/>
        <v>61.138982358133404</v>
      </c>
      <c r="G184" s="110">
        <f t="shared" si="76"/>
        <v>0.96603037975758665</v>
      </c>
      <c r="H184" s="412" t="b">
        <f>Wh_hp&gt;='2023'!Maxi_hp</f>
        <v>0</v>
      </c>
      <c r="I184" s="388">
        <f>IF(H184,Wh_hp,'2023'!Maxi_hp)</f>
        <v>61.139288627331723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3.7235660331302878E-2</v>
      </c>
      <c r="M184" s="832"/>
      <c r="N184" s="832"/>
      <c r="O184" s="48">
        <f>IF(t&lt;Tnet,'2023'!Resal+('2023'!Salim-'2023'!Resal)*(1-EXP(('2023'!Tnet-t)/('2023'!Tau_j))),Resal+(Salim-Resal)*(1-EXP((Tnet-t)/(Tau_j))))*Salcycl</f>
        <v>1.4536701753689792E-2</v>
      </c>
      <c r="P184" s="169">
        <f>(INDEX(Models!$BJ184:$BT184,,T184)*(1-R184)+INDEX(Models!$BJ184:$BT184,,T184+1)*R184-ERP_i)*Q184*Ramure*Pc/MaxiM</f>
        <v>1.9609506229923342E-4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60.034749149372345</v>
      </c>
      <c r="W184" s="400">
        <f t="shared" si="59"/>
        <v>57.995943368635992</v>
      </c>
      <c r="X184" s="157">
        <f t="shared" si="60"/>
        <v>45461</v>
      </c>
      <c r="Y184" s="383">
        <f t="shared" si="61"/>
        <v>55.428211522141268</v>
      </c>
      <c r="Z184" s="383">
        <f t="shared" si="62"/>
        <v>57.57194075261971</v>
      </c>
      <c r="AA184" s="384">
        <f t="shared" si="63"/>
        <v>61.127574953231843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5.8167434309843294E-2</v>
      </c>
      <c r="AD184" s="230">
        <f>(INDEX(Models!$BJ184:$BT184,,AH184)*(1-AF184)+INDEX(Models!$BJ184:$BT184,,AH184+1)*AF184-ERP_i)*AE184*Ramure*Pc/MaxiM</f>
        <v>1.9609506229923342E-4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'2023'!Wh/'2023'!Env_an*'2024'!Env_an</f>
        <v>32.716857771169245</v>
      </c>
      <c r="C185" s="829"/>
      <c r="D185" s="391">
        <f t="shared" si="50"/>
        <v>33.982858988690715</v>
      </c>
      <c r="E185" s="383">
        <f t="shared" si="75"/>
        <v>34.487236249129403</v>
      </c>
      <c r="F185" s="383">
        <f t="shared" si="51"/>
        <v>34.489622000284214</v>
      </c>
      <c r="G185" s="110">
        <f t="shared" si="76"/>
        <v>0.54540794227224576</v>
      </c>
      <c r="H185" s="412" t="b">
        <f>Wh_hp&gt;='2023'!Maxi_hp</f>
        <v>0</v>
      </c>
      <c r="I185" s="388">
        <f>IF(H185,Wh_hp,'2023'!Maxi_hp)</f>
        <v>56.990075158502776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3.7254111490230724E-2</v>
      </c>
      <c r="M185" s="832"/>
      <c r="N185" s="832"/>
      <c r="O185" s="48">
        <f>IF(t&lt;Tnet,'2023'!Resal+('2023'!Salim-'2023'!Resal)*(1-EXP(('2023'!Tnet-t)/('2023'!Tau_j))),Resal+(Salim-Resal)*(1-EXP((Tnet-t)/(Tau_j))))*Salcycl</f>
        <v>1.4625041473174522E-2</v>
      </c>
      <c r="P185" s="169">
        <f>(INDEX(Models!$BJ185:$BT185,,T185)*(1-R185)+INDEX(Models!$BJ185:$BT185,,T185+1)*R185-ERP_i)*Q185*Ramure*Pc/MaxiM</f>
        <v>1.9725249496774445E-4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59.978347559238884</v>
      </c>
      <c r="W185" s="400">
        <f t="shared" si="59"/>
        <v>32.716857771169245</v>
      </c>
      <c r="X185" s="157">
        <f t="shared" si="60"/>
        <v>45462</v>
      </c>
      <c r="Y185" s="383">
        <f t="shared" si="61"/>
        <v>31.26889852629213</v>
      </c>
      <c r="Z185" s="383">
        <f t="shared" si="62"/>
        <v>32.478869969201469</v>
      </c>
      <c r="AA185" s="384">
        <f t="shared" si="63"/>
        <v>34.487236249129403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5.8235060224016442E-2</v>
      </c>
      <c r="AD185" s="230">
        <f>(INDEX(Models!$BJ185:$BT185,,AH185)*(1-AF185)+INDEX(Models!$BJ185:$BT185,,AH185+1)*AF185-ERP_i)*AE185*Ramure*Pc/MaxiM</f>
        <v>1.9725249496774445E-4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'2023'!Wh/'2023'!Env_an*'2024'!Env_an</f>
        <v>23.544805985296371</v>
      </c>
      <c r="C186" s="829"/>
      <c r="D186" s="391">
        <f t="shared" si="50"/>
        <v>24.456357078008573</v>
      </c>
      <c r="E186" s="383">
        <f t="shared" si="75"/>
        <v>24.821560043341165</v>
      </c>
      <c r="F186" s="383">
        <f t="shared" si="51"/>
        <v>24.822214479502492</v>
      </c>
      <c r="G186" s="110">
        <f t="shared" si="76"/>
        <v>0.39286637000296565</v>
      </c>
      <c r="H186" s="412" t="b">
        <f>Wh_hp&gt;='2023'!Maxi_hp</f>
        <v>0</v>
      </c>
      <c r="I186" s="388">
        <f>IF(H186,Wh_hp,'2023'!Maxi_hp)</f>
        <v>52.195932812822107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3.727256229554643E-2</v>
      </c>
      <c r="M186" s="832"/>
      <c r="N186" s="832"/>
      <c r="O186" s="48">
        <f>IF(t&lt;Tnet,'2023'!Resal+('2023'!Salim-'2023'!Resal)*(1-EXP(('2023'!Tnet-t)/('2023'!Tau_j))),Resal+(Salim-Resal)*(1-EXP((Tnet-t)/(Tau_j))))*Salcycl</f>
        <v>1.4713135060604931E-2</v>
      </c>
      <c r="P186" s="169">
        <f>(INDEX(Models!$BJ186:$BT186,,T186)*(1-R186)+INDEX(Models!$BJ186:$BT186,,T186+1)*R186-ERP_i)*Q186*Ramure*Pc/MaxiM</f>
        <v>1.9858661405742169E-4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59.920504145655151</v>
      </c>
      <c r="W186" s="400">
        <f t="shared" si="59"/>
        <v>23.544805985296371</v>
      </c>
      <c r="X186" s="157">
        <f t="shared" si="60"/>
        <v>45463</v>
      </c>
      <c r="Y186" s="383">
        <f t="shared" si="61"/>
        <v>22.503195830860573</v>
      </c>
      <c r="Z186" s="383">
        <f t="shared" si="62"/>
        <v>23.374420370232347</v>
      </c>
      <c r="AA186" s="384">
        <f t="shared" si="63"/>
        <v>24.821560043341165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5.8301721188432722E-2</v>
      </c>
      <c r="AD186" s="230">
        <f>(INDEX(Models!$BJ186:$BT186,,AH186)*(1-AF186)+INDEX(Models!$BJ186:$BT186,,AH186+1)*AF186-ERP_i)*AE186*Ramure*Pc/MaxiM</f>
        <v>1.9858661405742169E-4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'2023'!Wh/'2023'!Env_an*'2024'!Env_an</f>
        <v>45.602812502873235</v>
      </c>
      <c r="C187" s="829"/>
      <c r="D187" s="391">
        <f t="shared" si="50"/>
        <v>47.36926018838647</v>
      </c>
      <c r="E187" s="383">
        <f t="shared" si="75"/>
        <v>48.0809045325977</v>
      </c>
      <c r="F187" s="383">
        <f t="shared" si="51"/>
        <v>48.087252646221714</v>
      </c>
      <c r="G187" s="110">
        <f t="shared" si="76"/>
        <v>0.76175706784477626</v>
      </c>
      <c r="H187" s="412" t="b">
        <f>Wh_hp&gt;='2023'!Maxi_hp</f>
        <v>0</v>
      </c>
      <c r="I187" s="388">
        <f>IF(H187,Wh_hp,'2023'!Maxi_hp)</f>
        <v>63.676809848065162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3.7291012747256658E-2</v>
      </c>
      <c r="M187" s="832"/>
      <c r="N187" s="832"/>
      <c r="O187" s="48">
        <f>IF(t&lt;Tnet,'2023'!Resal+('2023'!Salim-'2023'!Resal)*(1-EXP(('2023'!Tnet-t)/('2023'!Tau_j))),Resal+(Salim-Resal)*(1-EXP((Tnet-t)/(Tau_j))))*Salcycl</f>
        <v>1.4800976627399959E-2</v>
      </c>
      <c r="P187" s="169">
        <f>(INDEX(Models!$BJ187:$BT187,,T187)*(1-R187)+INDEX(Models!$BJ187:$BT187,,T187+1)*R187-ERP_i)*Q187*Ramure*Pc/MaxiM</f>
        <v>2.0010153717014333E-4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59.861219490571742</v>
      </c>
      <c r="W187" s="400">
        <f t="shared" si="59"/>
        <v>45.602812502873235</v>
      </c>
      <c r="X187" s="157">
        <f t="shared" si="60"/>
        <v>45464</v>
      </c>
      <c r="Y187" s="383">
        <f t="shared" si="61"/>
        <v>43.586213060329321</v>
      </c>
      <c r="Z187" s="383">
        <f t="shared" si="62"/>
        <v>45.274546760709192</v>
      </c>
      <c r="AA187" s="384">
        <f t="shared" si="63"/>
        <v>48.0809045325977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5.8367408000526796E-2</v>
      </c>
      <c r="AD187" s="230">
        <f>(INDEX(Models!$BJ187:$BT187,,AH187)*(1-AF187)+INDEX(Models!$BJ187:$BT187,,AH187+1)*AF187-ERP_i)*AE187*Ramure*Pc/MaxiM</f>
        <v>2.0010153717014333E-4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'2023'!Wh/'2023'!Env_an*'2024'!Env_an</f>
        <v>43.01473816711605</v>
      </c>
      <c r="C188" s="829"/>
      <c r="D188" s="391">
        <f t="shared" si="50"/>
        <v>44.681791818845745</v>
      </c>
      <c r="E188" s="383">
        <f t="shared" si="75"/>
        <v>45.357093673797102</v>
      </c>
      <c r="F188" s="383">
        <f t="shared" si="51"/>
        <v>45.362577053651577</v>
      </c>
      <c r="G188" s="110">
        <f t="shared" si="76"/>
        <v>0.7192458442225258</v>
      </c>
      <c r="H188" s="412" t="b">
        <f>Wh_hp&gt;='2023'!Maxi_hp</f>
        <v>0</v>
      </c>
      <c r="I188" s="388">
        <f>IF(H188,Wh_hp,'2023'!Maxi_hp)</f>
        <v>54.409239843799597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3.7309462845368069E-2</v>
      </c>
      <c r="M188" s="832"/>
      <c r="N188" s="832"/>
      <c r="O188" s="48">
        <f>IF(t&lt;Tnet,'2023'!Resal+('2023'!Salim-'2023'!Resal)*(1-EXP(('2023'!Tnet-t)/('2023'!Tau_j))),Resal+(Salim-Resal)*(1-EXP((Tnet-t)/(Tau_j))))*Salcycl</f>
        <v>1.4888560978091925E-2</v>
      </c>
      <c r="P188" s="169">
        <f>(INDEX(Models!$BJ188:$BT188,,T188)*(1-R188)+INDEX(Models!$BJ188:$BT188,,T188+1)*R188-ERP_i)*Q188*Ramure*Pc/MaxiM</f>
        <v>2.0179926875428549E-4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59.800494260342028</v>
      </c>
      <c r="W188" s="400">
        <f t="shared" si="59"/>
        <v>43.01473816711605</v>
      </c>
      <c r="X188" s="157">
        <f t="shared" si="60"/>
        <v>45465</v>
      </c>
      <c r="Y188" s="383">
        <f t="shared" si="61"/>
        <v>41.11341566662432</v>
      </c>
      <c r="Z188" s="383">
        <f t="shared" si="62"/>
        <v>42.706782792464999</v>
      </c>
      <c r="AA188" s="384">
        <f t="shared" si="63"/>
        <v>45.357093673797102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5.8432114288292529E-2</v>
      </c>
      <c r="AD188" s="230">
        <f>(INDEX(Models!$BJ188:$BT188,,AH188)*(1-AF188)+INDEX(Models!$BJ188:$BT188,,AH188+1)*AF188-ERP_i)*AE188*Ramure*Pc/MaxiM</f>
        <v>2.0179926875428549E-4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'2023'!Wh/'2023'!Env_an*'2024'!Env_an</f>
        <v>40.572580682121412</v>
      </c>
      <c r="C189" s="829"/>
      <c r="D189" s="391">
        <f t="shared" si="50"/>
        <v>42.145795242982778</v>
      </c>
      <c r="E189" s="383">
        <f t="shared" si="75"/>
        <v>42.786561813315267</v>
      </c>
      <c r="F189" s="383">
        <f t="shared" si="51"/>
        <v>42.791282931699115</v>
      </c>
      <c r="G189" s="110">
        <f t="shared" si="76"/>
        <v>0.67910825973660538</v>
      </c>
      <c r="H189" s="412" t="b">
        <f>Wh_hp&gt;='2023'!Maxi_hp</f>
        <v>0</v>
      </c>
      <c r="I189" s="388">
        <f>IF(H189,Wh_hp,'2023'!Maxi_hp)</f>
        <v>62.441537989908561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3.7327912589887657E-2</v>
      </c>
      <c r="M189" s="832"/>
      <c r="N189" s="832"/>
      <c r="O189" s="48">
        <f>IF(t&lt;Tnet,'2023'!Resal+('2023'!Salim-'2023'!Resal)*(1-EXP(('2023'!Tnet-t)/('2023'!Tau_j))),Resal+(Salim-Resal)*(1-EXP((Tnet-t)/(Tau_j))))*Salcycl</f>
        <v>1.4975883622719014E-2</v>
      </c>
      <c r="P189" s="169">
        <f>(INDEX(Models!$BJ189:$BT189,,T189)*(1-R189)+INDEX(Models!$BJ189:$BT189,,T189+1)*R189-ERP_i)*Q189*Ramure*Pc/MaxiM</f>
        <v>2.0368157424045411E-4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59.738329090662866</v>
      </c>
      <c r="W189" s="400">
        <f t="shared" si="59"/>
        <v>40.572580682121412</v>
      </c>
      <c r="X189" s="157">
        <f t="shared" si="60"/>
        <v>45466</v>
      </c>
      <c r="Y189" s="383">
        <f t="shared" si="61"/>
        <v>38.780018683215133</v>
      </c>
      <c r="Z189" s="383">
        <f t="shared" si="62"/>
        <v>40.283726089478151</v>
      </c>
      <c r="AA189" s="384">
        <f t="shared" si="63"/>
        <v>42.786561813315267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5.8495836490844833E-2</v>
      </c>
      <c r="AD189" s="230">
        <f>(INDEX(Models!$BJ189:$BT189,,AH189)*(1-AF189)+INDEX(Models!$BJ189:$BT189,,AH189+1)*AF189-ERP_i)*AE189*Ramure*Pc/MaxiM</f>
        <v>2.0368157424045411E-4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'2023'!Wh/'2023'!Env_an*'2024'!Env_an</f>
        <v>35.209145635007104</v>
      </c>
      <c r="C190" s="829"/>
      <c r="D190" s="391">
        <f t="shared" si="50"/>
        <v>36.575092270420186</v>
      </c>
      <c r="E190" s="383">
        <f t="shared" si="75"/>
        <v>37.134446235141688</v>
      </c>
      <c r="F190" s="383">
        <f t="shared" si="51"/>
        <v>37.137612044759884</v>
      </c>
      <c r="G190" s="110">
        <f t="shared" si="76"/>
        <v>0.58994662569661216</v>
      </c>
      <c r="H190" s="412" t="b">
        <f>Wh_hp&gt;='2023'!Maxi_hp</f>
        <v>0</v>
      </c>
      <c r="I190" s="388">
        <f>IF(H190,Wh_hp,'2023'!Maxi_hp)</f>
        <v>58.359170518097258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3.7346361980822085E-2</v>
      </c>
      <c r="M190" s="832"/>
      <c r="N190" s="832"/>
      <c r="O190" s="48">
        <f>IF(t&lt;Tnet,'2023'!Resal+('2023'!Salim-'2023'!Resal)*(1-EXP(('2023'!Tnet-t)/('2023'!Tau_j))),Resal+(Salim-Resal)*(1-EXP((Tnet-t)/(Tau_j))))*Salcycl</f>
        <v>1.5062940784940783E-2</v>
      </c>
      <c r="P190" s="169">
        <f>(INDEX(Models!$BJ190:$BT190,,T190)*(1-R190)+INDEX(Models!$BJ190:$BT190,,T190+1)*R190-ERP_i)*Q190*Ramure*Pc/MaxiM</f>
        <v>2.0575211391420258E-4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59.674724458928857</v>
      </c>
      <c r="W190" s="400">
        <f t="shared" si="59"/>
        <v>35.209145635007104</v>
      </c>
      <c r="X190" s="157">
        <f t="shared" si="60"/>
        <v>45467</v>
      </c>
      <c r="Y190" s="383">
        <f t="shared" si="61"/>
        <v>33.654280718707099</v>
      </c>
      <c r="Z190" s="383">
        <f t="shared" si="62"/>
        <v>34.959906023890852</v>
      </c>
      <c r="AA190" s="384">
        <f t="shared" si="63"/>
        <v>37.134446235141688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5.8558573823378791E-2</v>
      </c>
      <c r="AD190" s="230">
        <f>(INDEX(Models!$BJ190:$BT190,,AH190)*(1-AF190)+INDEX(Models!$BJ190:$BT190,,AH190+1)*AF190-ERP_i)*AE190*Ramure*Pc/MaxiM</f>
        <v>2.0575211391420258E-4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'2023'!Wh/'2023'!Env_an*'2024'!Env_an</f>
        <v>12.500457587959691</v>
      </c>
      <c r="C191" s="829"/>
      <c r="D191" s="391">
        <f t="shared" si="50"/>
        <v>12.985664487479841</v>
      </c>
      <c r="E191" s="383">
        <f t="shared" si="75"/>
        <v>13.185420033083078</v>
      </c>
      <c r="F191" s="383">
        <f t="shared" si="51"/>
        <v>13.185420033083078</v>
      </c>
      <c r="G191" s="110">
        <f t="shared" si="76"/>
        <v>0.20966153723910497</v>
      </c>
      <c r="H191" s="412" t="b">
        <f>Wh_hp&gt;='2023'!Maxi_hp</f>
        <v>0</v>
      </c>
      <c r="I191" s="388">
        <f>IF(H191,Wh_hp,'2023'!Maxi_hp)</f>
        <v>60.460509614669505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3.7364811018178123E-2</v>
      </c>
      <c r="M191" s="832"/>
      <c r="N191" s="832"/>
      <c r="O191" s="48">
        <f>IF(t&lt;Tnet,'2023'!Resal+('2023'!Salim-'2023'!Resal)*(1-EXP(('2023'!Tnet-t)/('2023'!Tau_j))),Resal+(Salim-Resal)*(1-EXP((Tnet-t)/(Tau_j))))*Salcycl</f>
        <v>1.5149729405816218E-2</v>
      </c>
      <c r="P191" s="169">
        <f>(INDEX(Models!$BJ191:$BT191,,T191)*(1-R191)+INDEX(Models!$BJ191:$BT191,,T191+1)*R191-ERP_i)*Q191*Ramure*Pc/MaxiM</f>
        <v>2.0801446394526211E-4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59.609680805318568</v>
      </c>
      <c r="W191" s="400">
        <f t="shared" si="59"/>
        <v>12.500457587959691</v>
      </c>
      <c r="X191" s="157">
        <f t="shared" si="60"/>
        <v>45468</v>
      </c>
      <c r="Y191" s="383">
        <f t="shared" si="61"/>
        <v>11.948696174971481</v>
      </c>
      <c r="Z191" s="383">
        <f t="shared" si="62"/>
        <v>12.412486382935578</v>
      </c>
      <c r="AA191" s="384">
        <f t="shared" si="63"/>
        <v>13.185420033083078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5.8620328226795915E-2</v>
      </c>
      <c r="AD191" s="230">
        <f>(INDEX(Models!$BJ191:$BT191,,AH191)*(1-AF191)+INDEX(Models!$BJ191:$BT191,,AH191+1)*AF191-ERP_i)*AE191*Ramure*Pc/MaxiM</f>
        <v>2.0801446394526211E-4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'2023'!Wh/'2023'!Env_an*'2024'!Env_an</f>
        <v>15.189040416181651</v>
      </c>
      <c r="C192" s="829"/>
      <c r="D192" s="391">
        <f t="shared" si="50"/>
        <v>15.778907409691366</v>
      </c>
      <c r="E192" s="383">
        <f t="shared" si="75"/>
        <v>16.023038382471999</v>
      </c>
      <c r="F192" s="383">
        <f t="shared" si="51"/>
        <v>16.023038382471999</v>
      </c>
      <c r="G192" s="110">
        <f t="shared" si="76"/>
        <v>0.25503909635223609</v>
      </c>
      <c r="H192" s="412" t="b">
        <f>Wh_hp&gt;='2023'!Maxi_hp</f>
        <v>0</v>
      </c>
      <c r="I192" s="388">
        <f>IF(H192,Wh_hp,'2023'!Maxi_hp)</f>
        <v>59.284461981263078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3.7383259701962546E-2</v>
      </c>
      <c r="M192" s="832"/>
      <c r="N192" s="832"/>
      <c r="O192" s="48">
        <f>IF(t&lt;Tnet,'2023'!Resal+('2023'!Salim-'2023'!Resal)*(1-EXP(('2023'!Tnet-t)/('2023'!Tau_j))),Resal+(Salim-Resal)*(1-EXP((Tnet-t)/(Tau_j))))*Salcycl</f>
        <v>1.5236247143219223E-2</v>
      </c>
      <c r="P192" s="169">
        <f>(INDEX(Models!$BJ192:$BT192,,T192)*(1-R192)+INDEX(Models!$BJ192:$BT192,,T192+1)*R192-ERP_i)*Q192*Ramure*Pc/MaxiM</f>
        <v>2.1061800834977411E-4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59.543189840067484</v>
      </c>
      <c r="W192" s="400">
        <f t="shared" si="59"/>
        <v>15.189040416181651</v>
      </c>
      <c r="X192" s="157">
        <f t="shared" si="60"/>
        <v>45469</v>
      </c>
      <c r="Y192" s="383">
        <f t="shared" si="61"/>
        <v>14.518944985321689</v>
      </c>
      <c r="Z192" s="383">
        <f t="shared" si="62"/>
        <v>15.082788795909005</v>
      </c>
      <c r="AA192" s="384">
        <f t="shared" si="63"/>
        <v>16.023038382471999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5.868110430238728E-2</v>
      </c>
      <c r="AD192" s="230">
        <f>(INDEX(Models!$BJ192:$BT192,,AH192)*(1-AF192)+INDEX(Models!$BJ192:$BT192,,AH192+1)*AF192-ERP_i)*AE192*Ramure*Pc/MaxiM</f>
        <v>2.1061800834977411E-4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'2023'!Wh/'2023'!Env_an*'2024'!Env_an</f>
        <v>60.256231476645532</v>
      </c>
      <c r="C193" s="829"/>
      <c r="D193" s="391">
        <f t="shared" si="50"/>
        <v>62.597484308293431</v>
      </c>
      <c r="E193" s="383">
        <f t="shared" si="75"/>
        <v>63.571559036380428</v>
      </c>
      <c r="F193" s="383">
        <f t="shared" si="51"/>
        <v>63.585131804859891</v>
      </c>
      <c r="G193" s="110">
        <f t="shared" si="76"/>
        <v>1.0131310585480506</v>
      </c>
      <c r="H193" s="412" t="b">
        <f>Wh_hp&gt;='2023'!Maxi_hp</f>
        <v>1</v>
      </c>
      <c r="I193" s="388">
        <f>IF(H193,Wh_hp,'2023'!Maxi_hp)</f>
        <v>63.585131804859891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3.7401708032182235E-2</v>
      </c>
      <c r="M193" s="832"/>
      <c r="N193" s="832"/>
      <c r="O193" s="48">
        <f>IF(t&lt;Tnet,'2023'!Resal+('2023'!Salim-'2023'!Resal)*(1-EXP(('2023'!Tnet-t)/('2023'!Tau_j))),Resal+(Salim-Resal)*(1-EXP((Tnet-t)/(Tau_j))))*Salcycl</f>
        <v>1.5322492366901931E-2</v>
      </c>
      <c r="P193" s="169">
        <f>(INDEX(Models!$BJ193:$BT193,,T193)*(1-R193)+INDEX(Models!$BJ193:$BT193,,T193+1)*R193-ERP_i)*Q193*Ramure*Pc/MaxiM</f>
        <v>2.134582109716438E-4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59.475258376740129</v>
      </c>
      <c r="W193" s="400">
        <f t="shared" si="59"/>
        <v>60.256231476645532</v>
      </c>
      <c r="X193" s="157">
        <f t="shared" si="60"/>
        <v>45470</v>
      </c>
      <c r="Y193" s="383">
        <f t="shared" si="61"/>
        <v>57.599290339372608</v>
      </c>
      <c r="Z193" s="383">
        <f t="shared" si="62"/>
        <v>59.837307857282489</v>
      </c>
      <c r="AA193" s="384">
        <f t="shared" si="63"/>
        <v>63.571559036380428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5.8740909232081619E-2</v>
      </c>
      <c r="AD193" s="230">
        <f>(INDEX(Models!$BJ193:$BT193,,AH193)*(1-AF193)+INDEX(Models!$BJ193:$BT193,,AH193+1)*AF193-ERP_i)*AE193*Ramure*Pc/MaxiM</f>
        <v>2.134582109716438E-4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'2023'!Wh/'2023'!Env_an*'2024'!Env_an</f>
        <v>58.527846897326036</v>
      </c>
      <c r="C194" s="829"/>
      <c r="D194" s="391">
        <f t="shared" si="50"/>
        <v>60.803108711118796</v>
      </c>
      <c r="E194" s="383">
        <f t="shared" si="75"/>
        <v>61.754653068981689</v>
      </c>
      <c r="F194" s="383">
        <f t="shared" si="51"/>
        <v>61.767745778751653</v>
      </c>
      <c r="G194" s="110">
        <f t="shared" si="76"/>
        <v>0.9852151441151652</v>
      </c>
      <c r="H194" s="412" t="b">
        <f>Wh_hp&gt;='2023'!Maxi_hp</f>
        <v>0</v>
      </c>
      <c r="I194" s="388">
        <f>IF(H194,Wh_hp,'2023'!Maxi_hp)</f>
        <v>61.767891978922982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3.7420156008843852E-2</v>
      </c>
      <c r="M194" s="832"/>
      <c r="N194" s="832"/>
      <c r="O194" s="48">
        <f>IF(t&lt;Tnet,'2023'!Resal+('2023'!Salim-'2023'!Resal)*(1-EXP(('2023'!Tnet-t)/('2023'!Tau_j))),Resal+(Salim-Resal)*(1-EXP((Tnet-t)/(Tau_j))))*Salcycl</f>
        <v>1.5408464149251885E-2</v>
      </c>
      <c r="P194" s="169">
        <f>(INDEX(Models!$BJ194:$BT194,,T194)*(1-R194)+INDEX(Models!$BJ194:$BT194,,T194+1)*R194-ERP_i)*Q194*Ramure*Pc/MaxiM</f>
        <v>2.1653894691872394E-4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59.405886714908064</v>
      </c>
      <c r="W194" s="400">
        <f t="shared" si="59"/>
        <v>58.527846897326036</v>
      </c>
      <c r="X194" s="157">
        <f t="shared" si="60"/>
        <v>45471</v>
      </c>
      <c r="Y194" s="383">
        <f t="shared" si="61"/>
        <v>55.948504500383201</v>
      </c>
      <c r="Z194" s="383">
        <f t="shared" si="62"/>
        <v>58.123494741385045</v>
      </c>
      <c r="AA194" s="384">
        <f t="shared" si="63"/>
        <v>61.754653068981689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5.8799752684879254E-2</v>
      </c>
      <c r="AD194" s="230">
        <f>(INDEX(Models!$BJ194:$BT194,,AH194)*(1-AF194)+INDEX(Models!$BJ194:$BT194,,AH194+1)*AF194-ERP_i)*AE194*Ramure*Pc/MaxiM</f>
        <v>2.1653894691872394E-4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'2023'!Wh/'2023'!Env_an*'2024'!Env_an</f>
        <v>14.433773265656285</v>
      </c>
      <c r="C195" s="829"/>
      <c r="D195" s="391">
        <f t="shared" si="50"/>
        <v>14.995171549698608</v>
      </c>
      <c r="E195" s="383">
        <f t="shared" si="75"/>
        <v>15.23116570237565</v>
      </c>
      <c r="F195" s="383">
        <f t="shared" si="51"/>
        <v>15.23116570237565</v>
      </c>
      <c r="G195" s="110">
        <f t="shared" si="76"/>
        <v>0.24320521664157282</v>
      </c>
      <c r="H195" s="412" t="b">
        <f>Wh_hp&gt;='2023'!Maxi_hp</f>
        <v>0</v>
      </c>
      <c r="I195" s="388">
        <f>IF(H195,Wh_hp,'2023'!Maxi_hp)</f>
        <v>52.702185547178217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3.743860363195417E-2</v>
      </c>
      <c r="M195" s="832"/>
      <c r="N195" s="832"/>
      <c r="O195" s="48">
        <f>IF(t&lt;Tnet,'2023'!Resal+('2023'!Salim-'2023'!Resal)*(1-EXP(('2023'!Tnet-t)/('2023'!Tau_j))),Resal+(Salim-Resal)*(1-EXP((Tnet-t)/(Tau_j))))*Salcycl</f>
        <v>1.54941622518251E-2</v>
      </c>
      <c r="P195" s="169">
        <f>(INDEX(Models!$BJ195:$BT195,,T195)*(1-R195)+INDEX(Models!$BJ195:$BT195,,T195+1)*R195-ERP_i)*Q195*Ramure*Pc/MaxiM</f>
        <v>2.1986397651492742E-4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59.335075119450615</v>
      </c>
      <c r="W195" s="400">
        <f t="shared" si="59"/>
        <v>14.433773265656285</v>
      </c>
      <c r="X195" s="157">
        <f t="shared" si="60"/>
        <v>45472</v>
      </c>
      <c r="Y195" s="383">
        <f t="shared" si="61"/>
        <v>13.79802416323084</v>
      </c>
      <c r="Z195" s="383">
        <f t="shared" si="62"/>
        <v>14.334695132480688</v>
      </c>
      <c r="AA195" s="384">
        <f t="shared" si="63"/>
        <v>15.23116570237565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5.8857646710201356E-2</v>
      </c>
      <c r="AD195" s="230">
        <f>(INDEX(Models!$BJ195:$BT195,,AH195)*(1-AF195)+INDEX(Models!$BJ195:$BT195,,AH195+1)*AF195-ERP_i)*AE195*Ramure*Pc/MaxiM</f>
        <v>2.1986397651492742E-4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'2023'!Wh/'2023'!Env_an*'2024'!Env_an</f>
        <v>52.061085278440416</v>
      </c>
      <c r="C196" s="829"/>
      <c r="D196" s="391">
        <f t="shared" si="50"/>
        <v>54.087025755267291</v>
      </c>
      <c r="E196" s="383">
        <f t="shared" si="75"/>
        <v>54.943015247275824</v>
      </c>
      <c r="F196" s="383">
        <f t="shared" si="51"/>
        <v>54.95316221941048</v>
      </c>
      <c r="G196" s="110">
        <f t="shared" si="76"/>
        <v>0.87844389001076584</v>
      </c>
      <c r="H196" s="412" t="b">
        <f>Wh_hp&gt;='2023'!Maxi_hp</f>
        <v>0</v>
      </c>
      <c r="I196" s="388">
        <f>IF(H196,Wh_hp,'2023'!Maxi_hp)</f>
        <v>60.959454139649438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3.7457050901520073E-2</v>
      </c>
      <c r="M196" s="832"/>
      <c r="N196" s="832"/>
      <c r="O196" s="48">
        <f>IF(t&lt;Tnet,'2023'!Resal+('2023'!Salim-'2023'!Resal)*(1-EXP(('2023'!Tnet-t)/('2023'!Tau_j))),Resal+(Salim-Resal)*(1-EXP((Tnet-t)/(Tau_j))))*Salcycl</f>
        <v>1.5579587107771173E-2</v>
      </c>
      <c r="P196" s="169">
        <f>(INDEX(Models!$BJ196:$BT196,,T196)*(1-R196)+INDEX(Models!$BJ196:$BT196,,T196+1)*R196-ERP_i)*Q196*Ramure*Pc/MaxiM</f>
        <v>2.2343694944899252E-4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59.262823823277678</v>
      </c>
      <c r="W196" s="400">
        <f t="shared" si="59"/>
        <v>52.061085278440416</v>
      </c>
      <c r="X196" s="157">
        <f t="shared" si="60"/>
        <v>45473</v>
      </c>
      <c r="Y196" s="383">
        <f t="shared" si="61"/>
        <v>49.769312307554117</v>
      </c>
      <c r="Z196" s="383">
        <f t="shared" si="62"/>
        <v>51.706069172464645</v>
      </c>
      <c r="AA196" s="384">
        <f t="shared" si="63"/>
        <v>54.943015247275824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5.8914605618985719E-2</v>
      </c>
      <c r="AD196" s="230">
        <f>(INDEX(Models!$BJ196:$BT196,,AH196)*(1-AF196)+INDEX(Models!$BJ196:$BT196,,AH196+1)*AF196-ERP_i)*AE196*Ramure*Pc/MaxiM</f>
        <v>2.2343694944899252E-4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'2023'!Wh/'2023'!Env_an*'2024'!Env_an</f>
        <v>57.50914582447723</v>
      </c>
      <c r="C197" s="829"/>
      <c r="D197" s="391">
        <f t="shared" si="50"/>
        <v>59.748240895768959</v>
      </c>
      <c r="E197" s="383">
        <f t="shared" si="75"/>
        <v>60.699076129455577</v>
      </c>
      <c r="F197" s="383">
        <f t="shared" si="51"/>
        <v>60.712314236372869</v>
      </c>
      <c r="G197" s="110">
        <f t="shared" si="76"/>
        <v>0.97160767232655409</v>
      </c>
      <c r="H197" s="412" t="b">
        <f>Wh_hp&gt;='2023'!Maxi_hp</f>
        <v>0</v>
      </c>
      <c r="I197" s="388">
        <f>IF(H197,Wh_hp,'2023'!Maxi_hp)</f>
        <v>60.712601293017094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3.7475497817548109E-2</v>
      </c>
      <c r="M197" s="832"/>
      <c r="N197" s="832"/>
      <c r="O197" s="48">
        <f>IF(t&lt;Tnet,'2023'!Resal+('2023'!Salim-'2023'!Resal)*(1-EXP(('2023'!Tnet-t)/('2023'!Tau_j))),Resal+(Salim-Resal)*(1-EXP((Tnet-t)/(Tau_j))))*Salcycl</f>
        <v>1.5664739800301572E-2</v>
      </c>
      <c r="P197" s="169">
        <f>(INDEX(Models!$BJ197:$BT197,,T197)*(1-R197)+INDEX(Models!$BJ197:$BT197,,T197+1)*R197-ERP_i)*Q197*Ramure*Pc/MaxiM</f>
        <v>2.2726141007123565E-4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59.189133026208772</v>
      </c>
      <c r="W197" s="400">
        <f t="shared" si="59"/>
        <v>57.50914582447723</v>
      </c>
      <c r="X197" s="157">
        <f t="shared" si="60"/>
        <v>45474</v>
      </c>
      <c r="Y197" s="383">
        <f t="shared" si="61"/>
        <v>54.97902649728109</v>
      </c>
      <c r="Z197" s="383">
        <f t="shared" si="62"/>
        <v>57.119612407393561</v>
      </c>
      <c r="AA197" s="384">
        <f t="shared" si="63"/>
        <v>60.699076129455577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5.8970645853454746E-2</v>
      </c>
      <c r="AD197" s="230">
        <f>(INDEX(Models!$BJ197:$BT197,,AH197)*(1-AF197)+INDEX(Models!$BJ197:$BT197,,AH197+1)*AF197-ERP_i)*AE197*Ramure*Pc/MaxiM</f>
        <v>2.2726141007123565E-4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'2023'!Wh/'2023'!Env_an*'2024'!Env_an</f>
        <v>47.373906571581571</v>
      </c>
      <c r="C198" s="829"/>
      <c r="D198" s="391">
        <f t="shared" si="50"/>
        <v>49.219333525198259</v>
      </c>
      <c r="E198" s="383">
        <f t="shared" si="75"/>
        <v>50.006923672289126</v>
      </c>
      <c r="F198" s="383">
        <f t="shared" si="51"/>
        <v>50.015212695154624</v>
      </c>
      <c r="G198" s="110">
        <f t="shared" si="76"/>
        <v>0.80134647453519003</v>
      </c>
      <c r="H198" s="412" t="b">
        <f>Wh_hp&gt;='2023'!Maxi_hp</f>
        <v>0</v>
      </c>
      <c r="I198" s="388">
        <f>IF(H198,Wh_hp,'2023'!Maxi_hp)</f>
        <v>50.016891761523738</v>
      </c>
      <c r="J198" s="85">
        <f>IF(H198,An,'2023'!An_max)</f>
        <v>2022</v>
      </c>
      <c r="K198" s="197">
        <f t="shared" si="52"/>
        <v>45475</v>
      </c>
      <c r="L198" s="147">
        <f>IF(t&lt;Tvie,1-EXP((T0-t)*PertePVj)+'2023'!Pspv,1-EXP((T0-t)*PertePVj)+Pspv)</f>
        <v>3.7493944380045385E-2</v>
      </c>
      <c r="M198" s="832"/>
      <c r="N198" s="832"/>
      <c r="O198" s="48">
        <f>IF(t&lt;Tnet,'2023'!Resal+('2023'!Salim-'2023'!Resal)*(1-EXP(('2023'!Tnet-t)/('2023'!Tau_j))),Resal+(Salim-Resal)*(1-EXP((Tnet-t)/(Tau_j))))*Salcycl</f>
        <v>1.5749622037384003E-2</v>
      </c>
      <c r="P198" s="169">
        <f>(INDEX(Models!$BJ198:$BT198,,T198)*(1-R198)+INDEX(Models!$BJ198:$BT198,,T198+1)*R198-ERP_i)*Q198*Ramure*Pc/MaxiM</f>
        <v>2.3137461843625326E-4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59.114000898470053</v>
      </c>
      <c r="W198" s="400">
        <f t="shared" si="59"/>
        <v>47.373906571581571</v>
      </c>
      <c r="X198" s="157">
        <f t="shared" si="60"/>
        <v>45475</v>
      </c>
      <c r="Y198" s="383">
        <f t="shared" si="61"/>
        <v>45.290939689398073</v>
      </c>
      <c r="Z198" s="383">
        <f t="shared" si="62"/>
        <v>47.05522570476294</v>
      </c>
      <c r="AA198" s="384">
        <f t="shared" si="63"/>
        <v>50.006923672289126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5.9025785846567619E-2</v>
      </c>
      <c r="AD198" s="230">
        <f>(INDEX(Models!$BJ198:$BT198,,AH198)*(1-AF198)+INDEX(Models!$BJ198:$BT198,,AH198+1)*AF198-ERP_i)*AE198*Ramure*Pc/MaxiM</f>
        <v>2.3137461843625326E-4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'2023'!Wh/'2023'!Env_an*'2024'!Env_an</f>
        <v>45.832851068762508</v>
      </c>
      <c r="C199" s="829"/>
      <c r="D199" s="391">
        <f t="shared" si="50"/>
        <v>47.619159582543688</v>
      </c>
      <c r="E199" s="383">
        <f t="shared" si="75"/>
        <v>48.385303909524296</v>
      </c>
      <c r="F199" s="383">
        <f t="shared" si="51"/>
        <v>48.393064513338921</v>
      </c>
      <c r="G199" s="110">
        <f t="shared" si="76"/>
        <v>0.77627694756809895</v>
      </c>
      <c r="H199" s="412" t="b">
        <f>Wh_hp&gt;='2023'!Maxi_hp</f>
        <v>0</v>
      </c>
      <c r="I199" s="388">
        <f>IF(H199,Wh_hp,'2023'!Maxi_hp)</f>
        <v>58.082093863284776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3.7512390589018452E-2</v>
      </c>
      <c r="M199" s="832"/>
      <c r="N199" s="832"/>
      <c r="O199" s="48">
        <f>IF(t&lt;Tnet,'2023'!Resal+('2023'!Salim-'2023'!Resal)*(1-EXP(('2023'!Tnet-t)/('2023'!Tau_j))),Resal+(Salim-Resal)*(1-EXP((Tnet-t)/(Tau_j))))*Salcycl</f>
        <v>1.5834236122877741E-2</v>
      </c>
      <c r="P199" s="169">
        <f>(INDEX(Models!$BJ199:$BT199,,T199)*(1-R199)+INDEX(Models!$BJ199:$BT199,,T199+1)*R199-ERP_i)*Q199*Ramure*Pc/MaxiM</f>
        <v>2.3566633930477982E-4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59.037434295962349</v>
      </c>
      <c r="W199" s="400">
        <f t="shared" si="59"/>
        <v>45.832851068762508</v>
      </c>
      <c r="X199" s="157">
        <f t="shared" si="60"/>
        <v>45476</v>
      </c>
      <c r="Y199" s="383">
        <f t="shared" si="61"/>
        <v>43.818882659840789</v>
      </c>
      <c r="Z199" s="383">
        <f t="shared" si="62"/>
        <v>45.526697935007036</v>
      </c>
      <c r="AA199" s="384">
        <f t="shared" si="63"/>
        <v>48.385303909524296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5.9080045872245981E-2</v>
      </c>
      <c r="AD199" s="230">
        <f>(INDEX(Models!$BJ199:$BT199,,AH199)*(1-AF199)+INDEX(Models!$BJ199:$BT199,,AH199+1)*AF199-ERP_i)*AE199*Ramure*Pc/MaxiM</f>
        <v>2.3566633930477982E-4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'2023'!Wh/'2023'!Env_an*'2024'!Env_an</f>
        <v>57.45363408568668</v>
      </c>
      <c r="C200" s="829"/>
      <c r="D200" s="391">
        <f t="shared" si="50"/>
        <v>59.693999830023763</v>
      </c>
      <c r="E200" s="383">
        <f t="shared" si="75"/>
        <v>60.659615063896986</v>
      </c>
      <c r="F200" s="383">
        <f t="shared" si="51"/>
        <v>60.673653571057777</v>
      </c>
      <c r="G200" s="110">
        <f t="shared" si="76"/>
        <v>0.97445187821567836</v>
      </c>
      <c r="H200" s="412" t="b">
        <f>Wh_hp&gt;='2023'!Maxi_hp</f>
        <v>0</v>
      </c>
      <c r="I200" s="388">
        <f>IF(H200,Wh_hp,'2023'!Maxi_hp)</f>
        <v>61.390169549077257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3.7530836444474081E-2</v>
      </c>
      <c r="M200" s="832"/>
      <c r="N200" s="832"/>
      <c r="O200" s="48">
        <f>IF(t&lt;Tnet,'2023'!Resal+('2023'!Salim-'2023'!Resal)*(1-EXP(('2023'!Tnet-t)/('2023'!Tau_j))),Resal+(Salim-Resal)*(1-EXP((Tnet-t)/(Tau_j))))*Salcycl</f>
        <v>1.5918584924353288E-2</v>
      </c>
      <c r="P200" s="169">
        <f>(INDEX(Models!$BJ200:$BT200,,T200)*(1-R200)+INDEX(Models!$BJ200:$BT200,,T200+1)*R200-ERP_i)*Q200*Ramure*Pc/MaxiM</f>
        <v>2.4013880936975301E-4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58.959433373765734</v>
      </c>
      <c r="W200" s="400">
        <f t="shared" si="59"/>
        <v>57.45363408568668</v>
      </c>
      <c r="X200" s="157">
        <f t="shared" si="60"/>
        <v>45477</v>
      </c>
      <c r="Y200" s="383">
        <f t="shared" si="61"/>
        <v>54.930620353577353</v>
      </c>
      <c r="Z200" s="383">
        <f t="shared" si="62"/>
        <v>57.072602877638424</v>
      </c>
      <c r="AA200" s="384">
        <f t="shared" si="63"/>
        <v>60.659615063896986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5.9133447887529646E-2</v>
      </c>
      <c r="AD200" s="230">
        <f>(INDEX(Models!$BJ200:$BT200,,AH200)*(1-AF200)+INDEX(Models!$BJ200:$BT200,,AH200+1)*AF200-ERP_i)*AE200*Ramure*Pc/MaxiM</f>
        <v>2.4013880936975301E-4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'2023'!Wh/'2023'!Env_an*'2024'!Env_an</f>
        <v>48.835743063299084</v>
      </c>
      <c r="C201" s="829"/>
      <c r="D201" s="391">
        <f t="shared" si="50"/>
        <v>50.741032394949421</v>
      </c>
      <c r="E201" s="383">
        <f t="shared" si="75"/>
        <v>51.566229849141251</v>
      </c>
      <c r="F201" s="383">
        <f t="shared" si="51"/>
        <v>51.575778505772249</v>
      </c>
      <c r="G201" s="110">
        <f t="shared" si="76"/>
        <v>0.82936193325718754</v>
      </c>
      <c r="H201" s="412" t="b">
        <f>Wh_hp&gt;='2023'!Maxi_hp</f>
        <v>0</v>
      </c>
      <c r="I201" s="388">
        <f>IF(H201,Wh_hp,'2023'!Maxi_hp)</f>
        <v>60.936475957669771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3.7549281946419044E-2</v>
      </c>
      <c r="M201" s="832"/>
      <c r="N201" s="832"/>
      <c r="O201" s="48">
        <f>IF(t&lt;Tnet,'2023'!Resal+('2023'!Salim-'2023'!Resal)*(1-EXP(('2023'!Tnet-t)/('2023'!Tau_j))),Resal+(Salim-Resal)*(1-EXP((Tnet-t)/(Tau_j))))*Salcycl</f>
        <v>1.6002671837867091E-2</v>
      </c>
      <c r="P201" s="169">
        <f>(INDEX(Models!$BJ201:$BT201,,T201)*(1-R201)+INDEX(Models!$BJ201:$BT201,,T201+1)*R201-ERP_i)*Q201*Ramure*Pc/MaxiM</f>
        <v>2.4479425296771877E-4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58.879998258037567</v>
      </c>
      <c r="W201" s="400">
        <f t="shared" si="59"/>
        <v>48.835743063299084</v>
      </c>
      <c r="X201" s="157">
        <f t="shared" si="60"/>
        <v>45478</v>
      </c>
      <c r="Y201" s="383">
        <f t="shared" si="61"/>
        <v>46.692555669503435</v>
      </c>
      <c r="Z201" s="383">
        <f t="shared" si="62"/>
        <v>48.514230176826565</v>
      </c>
      <c r="AA201" s="384">
        <f t="shared" si="63"/>
        <v>51.566229849141251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5.918601536787569E-2</v>
      </c>
      <c r="AD201" s="230">
        <f>(INDEX(Models!$BJ201:$BT201,,AH201)*(1-AF201)+INDEX(Models!$BJ201:$BT201,,AH201+1)*AF201-ERP_i)*AE201*Ramure*Pc/MaxiM</f>
        <v>2.4479425296771877E-4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'2023'!Wh/'2023'!Env_an*'2024'!Env_an</f>
        <v>56.882575392474827</v>
      </c>
      <c r="C202" s="829"/>
      <c r="D202" s="391">
        <f t="shared" si="50"/>
        <v>59.102938454850992</v>
      </c>
      <c r="E202" s="383">
        <f t="shared" si="75"/>
        <v>60.069242367242751</v>
      </c>
      <c r="F202" s="383">
        <f t="shared" si="51"/>
        <v>60.083542901856603</v>
      </c>
      <c r="G202" s="110">
        <f t="shared" si="76"/>
        <v>0.96739381948263048</v>
      </c>
      <c r="H202" s="412" t="b">
        <f>Wh_hp&gt;='2023'!Maxi_hp</f>
        <v>0</v>
      </c>
      <c r="I202" s="388">
        <f>IF(H202,Wh_hp,'2023'!Maxi_hp)</f>
        <v>60.083895316609272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3.7567727094860337E-2</v>
      </c>
      <c r="M202" s="832"/>
      <c r="N202" s="832"/>
      <c r="O202" s="48">
        <f>IF(t&lt;Tnet,'2023'!Resal+('2023'!Salim-'2023'!Resal)*(1-EXP(('2023'!Tnet-t)/('2023'!Tau_j))),Resal+(Salim-Resal)*(1-EXP((Tnet-t)/(Tau_j))))*Salcycl</f>
        <v>1.6086500749986261E-2</v>
      </c>
      <c r="P202" s="169">
        <f>(INDEX(Models!$BJ202:$BT202,,T202)*(1-R202)+INDEX(Models!$BJ202:$BT202,,T202+1)*R202-ERP_i)*Q202*Ramure*Pc/MaxiM</f>
        <v>2.4963488785883722E-4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58.799129045291842</v>
      </c>
      <c r="W202" s="400">
        <f t="shared" si="59"/>
        <v>56.882575392474827</v>
      </c>
      <c r="X202" s="157">
        <f t="shared" si="60"/>
        <v>45479</v>
      </c>
      <c r="Y202" s="383">
        <f t="shared" si="61"/>
        <v>54.387889114973234</v>
      </c>
      <c r="Z202" s="383">
        <f t="shared" si="62"/>
        <v>56.510874215388945</v>
      </c>
      <c r="AA202" s="384">
        <f t="shared" si="63"/>
        <v>60.069242367242751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5.9237773136860253E-2</v>
      </c>
      <c r="AD202" s="230">
        <f>(INDEX(Models!$BJ202:$BT202,,AH202)*(1-AF202)+INDEX(Models!$BJ202:$BT202,,AH202+1)*AF202-ERP_i)*AE202*Ramure*Pc/MaxiM</f>
        <v>2.4963488785883722E-4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'2023'!Wh/'2023'!Env_an*'2024'!Env_an</f>
        <v>59.332419489072237</v>
      </c>
      <c r="C203" s="829"/>
      <c r="D203" s="391">
        <f t="shared" si="50"/>
        <v>61.649591637287578</v>
      </c>
      <c r="E203" s="383">
        <f t="shared" si="75"/>
        <v>62.662854760985496</v>
      </c>
      <c r="F203" s="383">
        <f t="shared" si="51"/>
        <v>62.678816732167256</v>
      </c>
      <c r="G203" s="110">
        <f t="shared" si="76"/>
        <v>1.0104841103494973</v>
      </c>
      <c r="H203" s="412" t="b">
        <f>Wh_hp&gt;='2023'!Maxi_hp</f>
        <v>0</v>
      </c>
      <c r="I203" s="388">
        <f>IF(H203,Wh_hp,'2023'!Maxi_hp)</f>
        <v>63.179240618782657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3.7586171889804398E-2</v>
      </c>
      <c r="M203" s="832"/>
      <c r="N203" s="832"/>
      <c r="O203" s="48">
        <f>IF(t&lt;Tnet,'2023'!Resal+('2023'!Salim-'2023'!Resal)*(1-EXP(('2023'!Tnet-t)/('2023'!Tau_j))),Resal+(Salim-Resal)*(1-EXP((Tnet-t)/(Tau_j))))*Salcycl</f>
        <v>1.617007599737998E-2</v>
      </c>
      <c r="P203" s="169">
        <f>(INDEX(Models!$BJ203:$BT203,,T203)*(1-R203)+INDEX(Models!$BJ203:$BT203,,T203+1)*R203-ERP_i)*Q203*Ramure*Pc/MaxiM</f>
        <v>2.5466293101807737E-4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58.716825807929695</v>
      </c>
      <c r="W203" s="400">
        <f t="shared" si="59"/>
        <v>59.332419489072237</v>
      </c>
      <c r="X203" s="157">
        <f t="shared" si="60"/>
        <v>45480</v>
      </c>
      <c r="Y203" s="383">
        <f t="shared" si="61"/>
        <v>56.732036003380841</v>
      </c>
      <c r="Z203" s="383">
        <f t="shared" si="62"/>
        <v>58.947652606758957</v>
      </c>
      <c r="AA203" s="384">
        <f t="shared" si="63"/>
        <v>62.662854760985496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5.9288747191576383E-2</v>
      </c>
      <c r="AD203" s="230">
        <f>(INDEX(Models!$BJ203:$BT203,,AH203)*(1-AF203)+INDEX(Models!$BJ203:$BT203,,AH203+1)*AF203-ERP_i)*AE203*Ramure*Pc/MaxiM</f>
        <v>2.5466293101807737E-4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'2023'!Wh/'2023'!Env_an*'2024'!Env_an</f>
        <v>58.63822186334891</v>
      </c>
      <c r="C204" s="829"/>
      <c r="D204" s="391">
        <f t="shared" si="50"/>
        <v>60.929450471608142</v>
      </c>
      <c r="E204" s="383">
        <f t="shared" si="75"/>
        <v>61.936123200392316</v>
      </c>
      <c r="F204" s="383">
        <f t="shared" si="51"/>
        <v>61.952223381648245</v>
      </c>
      <c r="G204" s="110">
        <f t="shared" si="76"/>
        <v>1.0000875490197068</v>
      </c>
      <c r="H204" s="412" t="b">
        <f>Wh_hp&gt;='2023'!Maxi_hp</f>
        <v>0</v>
      </c>
      <c r="I204" s="388">
        <f>IF(H204,Wh_hp,'2023'!Maxi_hp)</f>
        <v>61.95222338164826</v>
      </c>
      <c r="J204" s="85">
        <f>IF(H204,An,'2023'!An_max)</f>
        <v>2023</v>
      </c>
      <c r="K204" s="197">
        <f t="shared" si="52"/>
        <v>45481</v>
      </c>
      <c r="L204" s="147">
        <f>IF(t&lt;Tvie,1-EXP((T0-t)*PertePVj)+'2023'!Pspv,1-EXP((T0-t)*PertePVj)+Pspv)</f>
        <v>3.7604616331258334E-2</v>
      </c>
      <c r="M204" s="832"/>
      <c r="N204" s="832"/>
      <c r="O204" s="48">
        <f>IF(t&lt;Tnet,'2023'!Resal+('2023'!Salim-'2023'!Resal)*(1-EXP(('2023'!Tnet-t)/('2023'!Tau_j))),Resal+(Salim-Resal)*(1-EXP((Tnet-t)/(Tau_j))))*Salcycl</f>
        <v>1.6253402324312761E-2</v>
      </c>
      <c r="P204" s="169">
        <f>(INDEX(Models!$BJ204:$BT204,,T204)*(1-R204)+INDEX(Models!$BJ204:$BT204,,T204+1)*R204-ERP_i)*Q204*Ramure*Pc/MaxiM</f>
        <v>2.598806043932776E-4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58.633088593920135</v>
      </c>
      <c r="W204" s="400">
        <f t="shared" si="59"/>
        <v>58.63822186334891</v>
      </c>
      <c r="X204" s="157">
        <f t="shared" si="60"/>
        <v>45481</v>
      </c>
      <c r="Y204" s="383">
        <f t="shared" si="61"/>
        <v>56.070019074741673</v>
      </c>
      <c r="Z204" s="383">
        <f t="shared" si="62"/>
        <v>58.260897782985502</v>
      </c>
      <c r="AA204" s="384">
        <f t="shared" si="63"/>
        <v>61.936123200392316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5.9338964525043676E-2</v>
      </c>
      <c r="AD204" s="230">
        <f>(INDEX(Models!$BJ204:$BT204,,AH204)*(1-AF204)+INDEX(Models!$BJ204:$BT204,,AH204+1)*AF204-ERP_i)*AE204*Ramure*Pc/MaxiM</f>
        <v>2.598806043932776E-4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'2023'!Wh/'2023'!Env_an*'2024'!Env_an</f>
        <v>58.080076237597268</v>
      </c>
      <c r="C205" s="829"/>
      <c r="D205" s="391">
        <f t="shared" si="50"/>
        <v>60.350652482277873</v>
      </c>
      <c r="E205" s="383">
        <f t="shared" si="75"/>
        <v>61.352943920424494</v>
      </c>
      <c r="F205" s="383">
        <f t="shared" si="51"/>
        <v>61.369038371404748</v>
      </c>
      <c r="G205" s="110">
        <f t="shared" si="76"/>
        <v>0.99199862275517614</v>
      </c>
      <c r="H205" s="412" t="b">
        <f>Wh_hp&gt;='2023'!Maxi_hp</f>
        <v>0</v>
      </c>
      <c r="I205" s="388">
        <f>IF(H205,Wh_hp,'2023'!Maxi_hp)</f>
        <v>61.369131281717756</v>
      </c>
      <c r="J205" s="85">
        <f>IF(H205,An,'2023'!An_max)</f>
        <v>2022</v>
      </c>
      <c r="K205" s="197">
        <f t="shared" si="52"/>
        <v>45482</v>
      </c>
      <c r="L205" s="147">
        <f>IF(t&lt;Tvie,1-EXP((T0-t)*PertePVj)+'2023'!Pspv,1-EXP((T0-t)*PertePVj)+Pspv)</f>
        <v>3.7623060419228582E-2</v>
      </c>
      <c r="M205" s="832"/>
      <c r="N205" s="832"/>
      <c r="O205" s="48">
        <f>IF(t&lt;Tnet,'2023'!Resal+('2023'!Salim-'2023'!Resal)*(1-EXP(('2023'!Tnet-t)/('2023'!Tau_j))),Resal+(Salim-Resal)*(1-EXP((Tnet-t)/(Tau_j))))*Salcycl</f>
        <v>1.6336484838390199E-2</v>
      </c>
      <c r="P205" s="169">
        <f>(INDEX(Models!$BJ205:$BT205,,T205)*(1-R205)+INDEX(Models!$BJ205:$BT205,,T205+1)*R205-ERP_i)*Q205*Ramure*Pc/MaxiM</f>
        <v>2.6528810077642233E-4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58.54836771355609</v>
      </c>
      <c r="W205" s="400">
        <f t="shared" si="59"/>
        <v>58.080076237597268</v>
      </c>
      <c r="X205" s="157">
        <f t="shared" si="60"/>
        <v>45482</v>
      </c>
      <c r="Y205" s="383">
        <f t="shared" si="61"/>
        <v>55.53808748698949</v>
      </c>
      <c r="Z205" s="383">
        <f t="shared" si="62"/>
        <v>57.709287497249129</v>
      </c>
      <c r="AA205" s="384">
        <f t="shared" si="63"/>
        <v>61.352943920424494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5.9388452946956022E-2</v>
      </c>
      <c r="AD205" s="230">
        <f>(INDEX(Models!$BJ205:$BT205,,AH205)*(1-AF205)+INDEX(Models!$BJ205:$BT205,,AH205+1)*AF205-ERP_i)*AE205*Ramure*Pc/MaxiM</f>
        <v>2.6528810077642233E-4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'2023'!Wh/'2023'!Env_an*'2024'!Env_an</f>
        <v>56.553778303148562</v>
      </c>
      <c r="C206" s="829"/>
      <c r="D206" s="391">
        <f t="shared" si="50"/>
        <v>58.76581185415354</v>
      </c>
      <c r="E206" s="383">
        <f t="shared" si="75"/>
        <v>59.74681445530117</v>
      </c>
      <c r="F206" s="383">
        <f t="shared" si="51"/>
        <v>59.762256143783176</v>
      </c>
      <c r="G206" s="110">
        <f t="shared" si="76"/>
        <v>0.96733139917839339</v>
      </c>
      <c r="H206" s="412" t="b">
        <f>Wh_hp&gt;='2023'!Maxi_hp</f>
        <v>0</v>
      </c>
      <c r="I206" s="388">
        <f>IF(H206,Wh_hp,'2023'!Maxi_hp)</f>
        <v>60.983970970198122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3.7641504153722249E-2</v>
      </c>
      <c r="M206" s="832"/>
      <c r="N206" s="832"/>
      <c r="O206" s="48">
        <f>IF(t&lt;Tnet,'2023'!Resal+('2023'!Salim-'2023'!Resal)*(1-EXP(('2023'!Tnet-t)/('2023'!Tau_j))),Resal+(Salim-Resal)*(1-EXP((Tnet-t)/(Tau_j))))*Salcycl</f>
        <v>1.6419328964920044E-2</v>
      </c>
      <c r="P206" s="169">
        <f>(INDEX(Models!$BJ206:$BT206,,T206)*(1-R206)+INDEX(Models!$BJ206:$BT206,,T206+1)*R206-ERP_i)*Q206*Ramure*Pc/MaxiM</f>
        <v>2.7102934818239231E-4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58.46296636051823</v>
      </c>
      <c r="W206" s="400">
        <f t="shared" si="59"/>
        <v>56.553778303148562</v>
      </c>
      <c r="X206" s="157">
        <f t="shared" si="60"/>
        <v>45483</v>
      </c>
      <c r="Y206" s="383">
        <f t="shared" si="61"/>
        <v>54.080340661971576</v>
      </c>
      <c r="Z206" s="383">
        <f t="shared" si="62"/>
        <v>56.195628651269367</v>
      </c>
      <c r="AA206" s="384">
        <f t="shared" si="63"/>
        <v>59.74681445530117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5.9437240904091665E-2</v>
      </c>
      <c r="AD206" s="230">
        <f>(INDEX(Models!$BJ206:$BT206,,AH206)*(1-AF206)+INDEX(Models!$BJ206:$BT206,,AH206+1)*AF206-ERP_i)*AE206*Ramure*Pc/MaxiM</f>
        <v>2.7102934818239231E-4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'2023'!Wh/'2023'!Env_an*'2024'!Env_an</f>
        <v>56.308155290378288</v>
      </c>
      <c r="C207" s="829"/>
      <c r="D207" s="391">
        <f t="shared" ref="D207:D270" si="77">Wh/(1-Ppv)</f>
        <v>58.511702953786525</v>
      </c>
      <c r="E207" s="383">
        <f t="shared" si="75"/>
        <v>59.493460493047991</v>
      </c>
      <c r="F207" s="383">
        <f t="shared" ref="F207:F270" si="78">Wh_sa/(1-Pvg*MEDIAN((-Sdif+Wh/Env_an)/Csdif,0,1))</f>
        <v>59.5091073826908</v>
      </c>
      <c r="G207" s="110">
        <f t="shared" si="76"/>
        <v>0.96455228795434644</v>
      </c>
      <c r="H207" s="412" t="b">
        <f>Wh_hp&gt;='2023'!Maxi_hp</f>
        <v>0</v>
      </c>
      <c r="I207" s="388">
        <f>IF(H207,Wh_hp,'2023'!Maxi_hp)</f>
        <v>61.397076269848142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3.7659947534745886E-2</v>
      </c>
      <c r="M207" s="832"/>
      <c r="N207" s="832"/>
      <c r="O207" s="48">
        <f>IF(t&lt;Tnet,'2023'!Resal+('2023'!Salim-'2023'!Resal)*(1-EXP(('2023'!Tnet-t)/('2023'!Tau_j))),Resal+(Salim-Resal)*(1-EXP((Tnet-t)/(Tau_j))))*Salcycl</f>
        <v>1.6501940400259433E-2</v>
      </c>
      <c r="P207" s="169">
        <f>(INDEX(Models!$BJ207:$BT207,,T207)*(1-R207)+INDEX(Models!$BJ207:$BT207,,T207+1)*R207-ERP_i)*Q207*Ramure*Pc/MaxiM</f>
        <v>2.7695207698879724E-4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58.376685618903359</v>
      </c>
      <c r="W207" s="400">
        <f t="shared" ref="W207:W270" si="86">Wh*(A207&gt;Tmaj)</f>
        <v>56.308155290378288</v>
      </c>
      <c r="X207" s="157">
        <f t="shared" ref="X207:X270" si="87">t</f>
        <v>45484</v>
      </c>
      <c r="Y207" s="383">
        <f t="shared" ref="Y207:Y270" si="88">Wh_pvt_s*(1-Ppv)</f>
        <v>53.847228306158158</v>
      </c>
      <c r="Z207" s="383">
        <f t="shared" ref="Z207:Z270" si="89">Wh_sa_s*(1-Psa_s)</f>
        <v>55.954470738504718</v>
      </c>
      <c r="AA207" s="384">
        <f t="shared" ref="AA207:AA270" si="90">Wh_hp*(1-Pvg_s*MEDIAN((-Sdif+Wh/Env_an)/Csdif,0,1))</f>
        <v>59.493460493047991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5.9485357301695678E-2</v>
      </c>
      <c r="AD207" s="230">
        <f>(INDEX(Models!$BJ207:$BT207,,AH207)*(1-AF207)+INDEX(Models!$BJ207:$BT207,,AH207+1)*AF207-ERP_i)*AE207*Ramure*Pc/MaxiM</f>
        <v>2.7695207698879724E-4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'2023'!Wh/'2023'!Env_an*'2024'!Env_an</f>
        <v>56.021121919005452</v>
      </c>
      <c r="C208" s="829"/>
      <c r="D208" s="391">
        <f t="shared" si="77"/>
        <v>58.214552567036151</v>
      </c>
      <c r="E208" s="383">
        <f t="shared" si="75"/>
        <v>59.196282966361878</v>
      </c>
      <c r="F208" s="383">
        <f t="shared" si="78"/>
        <v>59.212111784735818</v>
      </c>
      <c r="G208" s="110">
        <f t="shared" si="76"/>
        <v>0.96107215753190511</v>
      </c>
      <c r="H208" s="412" t="b">
        <f>Wh_hp&gt;='2023'!Maxi_hp</f>
        <v>0</v>
      </c>
      <c r="I208" s="388">
        <f>IF(H208,Wh_hp,'2023'!Maxi_hp)</f>
        <v>59.212572300737307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3.7678390562306263E-2</v>
      </c>
      <c r="M208" s="832"/>
      <c r="N208" s="832"/>
      <c r="O208" s="48">
        <f>IF(t&lt;Tnet,'2023'!Resal+('2023'!Salim-'2023'!Resal)*(1-EXP(('2023'!Tnet-t)/('2023'!Tau_j))),Resal+(Salim-Resal)*(1-EXP((Tnet-t)/(Tau_j))))*Salcycl</f>
        <v>1.6584325064524598E-2</v>
      </c>
      <c r="P208" s="169">
        <f>(INDEX(Models!$BJ208:$BT208,,T208)*(1-R208)+INDEX(Models!$BJ208:$BT208,,T208+1)*R208-ERP_i)*Q208*Ramure*Pc/MaxiM</f>
        <v>2.8305913921374101E-4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58.289317554283656</v>
      </c>
      <c r="W208" s="400">
        <f t="shared" si="86"/>
        <v>56.021121919005452</v>
      </c>
      <c r="X208" s="157">
        <f t="shared" si="87"/>
        <v>45485</v>
      </c>
      <c r="Y208" s="383">
        <f t="shared" si="88"/>
        <v>53.574523225392134</v>
      </c>
      <c r="Z208" s="383">
        <f t="shared" si="89"/>
        <v>55.672160637333022</v>
      </c>
      <c r="AA208" s="384">
        <f t="shared" si="90"/>
        <v>59.196282966361878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5.9532831327119479E-2</v>
      </c>
      <c r="AD208" s="230">
        <f>(INDEX(Models!$BJ208:$BT208,,AH208)*(1-AF208)+INDEX(Models!$BJ208:$BT208,,AH208+1)*AF208-ERP_i)*AE208*Ramure*Pc/MaxiM</f>
        <v>2.8305913921374101E-4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'2023'!Wh/'2023'!Env_an*'2024'!Env_an</f>
        <v>55.434376451048124</v>
      </c>
      <c r="C209" s="829"/>
      <c r="D209" s="391">
        <f t="shared" si="77"/>
        <v>57.605937884923087</v>
      </c>
      <c r="E209" s="383">
        <f t="shared" si="75"/>
        <v>58.582299132169908</v>
      </c>
      <c r="F209" s="383">
        <f t="shared" si="78"/>
        <v>58.598103415961049</v>
      </c>
      <c r="G209" s="110">
        <f t="shared" si="76"/>
        <v>0.95245126865224383</v>
      </c>
      <c r="H209" s="412" t="b">
        <f>Wh_hp&gt;='2023'!Maxi_hp</f>
        <v>0</v>
      </c>
      <c r="I209" s="388">
        <f>IF(H209,Wh_hp,'2023'!Maxi_hp)</f>
        <v>61.162094530225126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3.7696833236410376E-2</v>
      </c>
      <c r="M209" s="832"/>
      <c r="N209" s="832"/>
      <c r="O209" s="48">
        <f>IF(t&lt;Tnet,'2023'!Resal+('2023'!Salim-'2023'!Resal)*(1-EXP(('2023'!Tnet-t)/('2023'!Tau_j))),Resal+(Salim-Resal)*(1-EXP((Tnet-t)/(Tau_j))))*Salcycl</f>
        <v>1.6666489054040168E-2</v>
      </c>
      <c r="P209" s="169">
        <f>(INDEX(Models!$BJ209:$BT209,,T209)*(1-R209)+INDEX(Models!$BJ209:$BT209,,T209+1)*R209-ERP_i)*Q209*Ramure*Pc/MaxiM</f>
        <v>2.8935351359591125E-4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58.200654307942898</v>
      </c>
      <c r="W209" s="400">
        <f t="shared" si="86"/>
        <v>55.434376451048124</v>
      </c>
      <c r="X209" s="157">
        <f t="shared" si="87"/>
        <v>45486</v>
      </c>
      <c r="Y209" s="383">
        <f t="shared" si="88"/>
        <v>53.015190451893659</v>
      </c>
      <c r="Z209" s="383">
        <f t="shared" si="89"/>
        <v>55.091983776998184</v>
      </c>
      <c r="AA209" s="384">
        <f t="shared" si="90"/>
        <v>58.582299132169908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5.9579692276963754E-2</v>
      </c>
      <c r="AD209" s="230">
        <f>(INDEX(Models!$BJ209:$BT209,,AH209)*(1-AF209)+INDEX(Models!$BJ209:$BT209,,AH209+1)*AF209-ERP_i)*AE209*Ramure*Pc/MaxiM</f>
        <v>2.8935351359591125E-4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'2023'!Wh/'2023'!Env_an*'2024'!Env_an</f>
        <v>53.604431200090303</v>
      </c>
      <c r="C210" s="829"/>
      <c r="D210" s="391">
        <f t="shared" si="77"/>
        <v>55.705374759140859</v>
      </c>
      <c r="E210" s="383">
        <f t="shared" si="75"/>
        <v>56.654244900948328</v>
      </c>
      <c r="F210" s="383">
        <f t="shared" si="78"/>
        <v>56.669152665066896</v>
      </c>
      <c r="G210" s="110">
        <f t="shared" si="76"/>
        <v>0.92242684212431048</v>
      </c>
      <c r="H210" s="412" t="b">
        <f>Wh_hp&gt;='2023'!Maxi_hp</f>
        <v>0</v>
      </c>
      <c r="I210" s="388">
        <f>IF(H210,Wh_hp,'2023'!Maxi_hp)</f>
        <v>62.506291921724774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3.7715275557064776E-2</v>
      </c>
      <c r="M210" s="832"/>
      <c r="N210" s="832"/>
      <c r="O210" s="48">
        <f>IF(t&lt;Tnet,'2023'!Resal+('2023'!Salim-'2023'!Resal)*(1-EXP(('2023'!Tnet-t)/('2023'!Tau_j))),Resal+(Salim-Resal)*(1-EXP((Tnet-t)/(Tau_j))))*Salcycl</f>
        <v>1.6748438593902806E-2</v>
      </c>
      <c r="P210" s="169">
        <f>(INDEX(Models!$BJ210:$BT210,,T210)*(1-R210)+INDEX(Models!$BJ210:$BT210,,T210+1)*R210-ERP_i)*Q210*Ramure*Pc/MaxiM</f>
        <v>2.9583831620036411E-4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58.110488098803849</v>
      </c>
      <c r="W210" s="400">
        <f t="shared" si="86"/>
        <v>53.604431200090303</v>
      </c>
      <c r="X210" s="157">
        <f t="shared" si="87"/>
        <v>45487</v>
      </c>
      <c r="Y210" s="383">
        <f t="shared" si="88"/>
        <v>51.266854795691295</v>
      </c>
      <c r="Z210" s="383">
        <f t="shared" si="89"/>
        <v>53.276180628731872</v>
      </c>
      <c r="AA210" s="384">
        <f t="shared" si="90"/>
        <v>56.654244900948328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5.962596938892243E-2</v>
      </c>
      <c r="AD210" s="230">
        <f>(INDEX(Models!$BJ210:$BT210,,AH210)*(1-AF210)+INDEX(Models!$BJ210:$BT210,,AH210+1)*AF210-ERP_i)*AE210*Ramure*Pc/MaxiM</f>
        <v>2.9583831620036411E-4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'2023'!Wh/'2023'!Env_an*'2024'!Env_an</f>
        <v>55.162962161749356</v>
      </c>
      <c r="C211" s="829"/>
      <c r="D211" s="391">
        <f t="shared" si="77"/>
        <v>57.32608859558686</v>
      </c>
      <c r="E211" s="383">
        <f t="shared" si="75"/>
        <v>58.307412848640652</v>
      </c>
      <c r="F211" s="383">
        <f t="shared" si="78"/>
        <v>58.323816174545122</v>
      </c>
      <c r="G211" s="110">
        <f t="shared" si="76"/>
        <v>0.95076023524086084</v>
      </c>
      <c r="H211" s="412" t="b">
        <f>Wh_hp&gt;='2023'!Maxi_hp</f>
        <v>0</v>
      </c>
      <c r="I211" s="388">
        <f>IF(H211,Wh_hp,'2023'!Maxi_hp)</f>
        <v>60.8270261955942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3.7733717524276233E-2</v>
      </c>
      <c r="M211" s="832"/>
      <c r="N211" s="832"/>
      <c r="O211" s="48">
        <f>IF(t&lt;Tnet,'2023'!Resal+('2023'!Salim-'2023'!Resal)*(1-EXP(('2023'!Tnet-t)/('2023'!Tau_j))),Resal+(Salim-Resal)*(1-EXP((Tnet-t)/(Tau_j))))*Salcycl</f>
        <v>1.6830179991027844E-2</v>
      </c>
      <c r="P211" s="169">
        <f>(INDEX(Models!$BJ211:$BT211,,T211)*(1-R211)+INDEX(Models!$BJ211:$BT211,,T211+1)*R211-ERP_i)*Q211*Ramure*Pc/MaxiM</f>
        <v>3.0251681075055893E-4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58.018611225796313</v>
      </c>
      <c r="W211" s="400">
        <f t="shared" si="86"/>
        <v>55.162962161749356</v>
      </c>
      <c r="X211" s="157">
        <f t="shared" si="87"/>
        <v>45488</v>
      </c>
      <c r="Y211" s="383">
        <f t="shared" si="88"/>
        <v>52.75924243792803</v>
      </c>
      <c r="Z211" s="383">
        <f t="shared" si="89"/>
        <v>54.828110886509265</v>
      </c>
      <c r="AA211" s="384">
        <f t="shared" si="90"/>
        <v>58.307412848640652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5.9671691679465427E-2</v>
      </c>
      <c r="AD211" s="230">
        <f>(INDEX(Models!$BJ211:$BT211,,AH211)*(1-AF211)+INDEX(Models!$BJ211:$BT211,,AH211+1)*AF211-ERP_i)*AE211*Ramure*Pc/MaxiM</f>
        <v>3.0251681075055893E-4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'2023'!Wh/'2023'!Env_an*'2024'!Env_an</f>
        <v>54.676769242399516</v>
      </c>
      <c r="C212" s="829"/>
      <c r="D212" s="391">
        <f t="shared" si="77"/>
        <v>56.821919385573224</v>
      </c>
      <c r="E212" s="383">
        <f t="shared" si="75"/>
        <v>57.799406744796151</v>
      </c>
      <c r="F212" s="383">
        <f t="shared" si="78"/>
        <v>57.815860701033372</v>
      </c>
      <c r="G212" s="110">
        <f t="shared" si="76"/>
        <v>0.94390308992326954</v>
      </c>
      <c r="H212" s="412" t="b">
        <f>Wh_hp&gt;='2023'!Maxi_hp</f>
        <v>0</v>
      </c>
      <c r="I212" s="388">
        <f>IF(H212,Wh_hp,'2023'!Maxi_hp)</f>
        <v>61.26677577265081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3.7752159138051744E-2</v>
      </c>
      <c r="M212" s="832"/>
      <c r="N212" s="832"/>
      <c r="O212" s="48">
        <f>IF(t&lt;Tnet,'2023'!Resal+('2023'!Salim-'2023'!Resal)*(1-EXP(('2023'!Tnet-t)/('2023'!Tau_j))),Resal+(Salim-Resal)*(1-EXP((Tnet-t)/(Tau_j))))*Salcycl</f>
        <v>1.6911719588037742E-2</v>
      </c>
      <c r="P212" s="169">
        <f>(INDEX(Models!$BJ212:$BT212,,T212)*(1-R212)+INDEX(Models!$BJ212:$BT212,,T212+1)*R212-ERP_i)*Q212*Ramure*Pc/MaxiM</f>
        <v>3.0937491101801245E-4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57.924817085892698</v>
      </c>
      <c r="W212" s="400">
        <f t="shared" si="86"/>
        <v>54.676769242399516</v>
      </c>
      <c r="X212" s="157">
        <f t="shared" si="87"/>
        <v>45489</v>
      </c>
      <c r="Y212" s="383">
        <f t="shared" si="88"/>
        <v>52.296059034874638</v>
      </c>
      <c r="Z212" s="383">
        <f t="shared" si="89"/>
        <v>54.347806057979447</v>
      </c>
      <c r="AA212" s="384">
        <f t="shared" si="90"/>
        <v>57.799406744796151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5.971688778842809E-2</v>
      </c>
      <c r="AD212" s="230">
        <f>(INDEX(Models!$BJ212:$BT212,,AH212)*(1-AF212)+INDEX(Models!$BJ212:$BT212,,AH212+1)*AF212-ERP_i)*AE212*Ramure*Pc/MaxiM</f>
        <v>3.0937491101801245E-4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'2023'!Wh/'2023'!Env_an*'2024'!Env_an</f>
        <v>55.661499932961696</v>
      </c>
      <c r="C213" s="829"/>
      <c r="D213" s="391">
        <f t="shared" si="77"/>
        <v>57.846392924605688</v>
      </c>
      <c r="E213" s="383">
        <f t="shared" si="75"/>
        <v>58.846373092153733</v>
      </c>
      <c r="F213" s="383">
        <f t="shared" si="78"/>
        <v>58.863999331002333</v>
      </c>
      <c r="G213" s="110">
        <f t="shared" si="76"/>
        <v>0.96250415489466346</v>
      </c>
      <c r="H213" s="412" t="b">
        <f>Wh_hp&gt;='2023'!Maxi_hp</f>
        <v>0</v>
      </c>
      <c r="I213" s="388">
        <f>IF(H213,Wh_hp,'2023'!Maxi_hp)</f>
        <v>58.86448423611867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3.7770600398397858E-2</v>
      </c>
      <c r="M213" s="832"/>
      <c r="N213" s="832"/>
      <c r="O213" s="48">
        <f>IF(t&lt;Tnet,'2023'!Resal+('2023'!Salim-'2023'!Resal)*(1-EXP(('2023'!Tnet-t)/('2023'!Tau_j))),Resal+(Salim-Resal)*(1-EXP((Tnet-t)/(Tau_j))))*Salcycl</f>
        <v>1.6993063718337774E-2</v>
      </c>
      <c r="P213" s="169">
        <f>(INDEX(Models!$BJ213:$BT213,,T213)*(1-R213)+INDEX(Models!$BJ213:$BT213,,T213+1)*R213-ERP_i)*Q213*Ramure*Pc/MaxiM</f>
        <v>3.1637971288394782E-4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57.828900249822475</v>
      </c>
      <c r="W213" s="400">
        <f t="shared" si="86"/>
        <v>55.661499932961696</v>
      </c>
      <c r="X213" s="157">
        <f t="shared" si="87"/>
        <v>45490</v>
      </c>
      <c r="Y213" s="383">
        <f t="shared" si="88"/>
        <v>53.23978752903998</v>
      </c>
      <c r="Z213" s="383">
        <f t="shared" si="89"/>
        <v>55.329620515734796</v>
      </c>
      <c r="AA213" s="384">
        <f t="shared" si="90"/>
        <v>58.846373092153733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5.9761585831495247E-2</v>
      </c>
      <c r="AD213" s="230">
        <f>(INDEX(Models!$BJ213:$BT213,,AH213)*(1-AF213)+INDEX(Models!$BJ213:$BT213,,AH213+1)*AF213-ERP_i)*AE213*Ramure*Pc/MaxiM</f>
        <v>3.1637971288394782E-4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'2023'!Wh/'2023'!Env_an*'2024'!Env_an</f>
        <v>45.995847671206114</v>
      </c>
      <c r="C214" s="829"/>
      <c r="D214" s="391">
        <f t="shared" si="77"/>
        <v>47.802248826601819</v>
      </c>
      <c r="E214" s="383">
        <f t="shared" si="75"/>
        <v>48.632612689806358</v>
      </c>
      <c r="F214" s="383">
        <f t="shared" si="78"/>
        <v>48.643780600934249</v>
      </c>
      <c r="G214" s="110">
        <f t="shared" si="76"/>
        <v>0.79665693705590823</v>
      </c>
      <c r="H214" s="412" t="b">
        <f>Wh_hp&gt;='2023'!Maxi_hp</f>
        <v>0</v>
      </c>
      <c r="I214" s="388">
        <f>IF(H214,Wh_hp,'2023'!Maxi_hp)</f>
        <v>60.996282625351171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3.7789041305321347E-2</v>
      </c>
      <c r="M214" s="832"/>
      <c r="N214" s="832"/>
      <c r="O214" s="48">
        <f>IF(t&lt;Tnet,'2023'!Resal+('2023'!Salim-'2023'!Resal)*(1-EXP(('2023'!Tnet-t)/('2023'!Tau_j))),Resal+(Salim-Resal)*(1-EXP((Tnet-t)/(Tau_j))))*Salcycl</f>
        <v>1.7074218662707929E-2</v>
      </c>
      <c r="P214" s="169">
        <f>(INDEX(Models!$BJ214:$BT214,,T214)*(1-R214)+INDEX(Models!$BJ214:$BT214,,T214+1)*R214-ERP_i)*Q214*Ramure*Pc/MaxiM</f>
        <v>3.2353457495416218E-4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57.730653279311987</v>
      </c>
      <c r="W214" s="400">
        <f t="shared" si="86"/>
        <v>45.995847671206114</v>
      </c>
      <c r="X214" s="157">
        <f t="shared" si="87"/>
        <v>45491</v>
      </c>
      <c r="Y214" s="383">
        <f t="shared" si="88"/>
        <v>43.996229843256991</v>
      </c>
      <c r="Z214" s="383">
        <f t="shared" si="89"/>
        <v>45.724099736861895</v>
      </c>
      <c r="AA214" s="384">
        <f t="shared" si="90"/>
        <v>48.632612689806358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5.9805813261480351E-2</v>
      </c>
      <c r="AD214" s="230">
        <f>(INDEX(Models!$BJ214:$BT214,,AH214)*(1-AF214)+INDEX(Models!$BJ214:$BT214,,AH214+1)*AF214-ERP_i)*AE214*Ramure*Pc/MaxiM</f>
        <v>3.2353457495416218E-4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'2023'!Wh/'2023'!Env_an*'2024'!Env_an</f>
        <v>45.546151146302925</v>
      </c>
      <c r="C215" s="829"/>
      <c r="D215" s="391">
        <f t="shared" si="77"/>
        <v>47.335798488946985</v>
      </c>
      <c r="E215" s="383">
        <f t="shared" si="75"/>
        <v>48.162027246413409</v>
      </c>
      <c r="F215" s="383">
        <f t="shared" si="78"/>
        <v>48.173191012774879</v>
      </c>
      <c r="G215" s="110">
        <f t="shared" si="76"/>
        <v>0.79024362492000733</v>
      </c>
      <c r="H215" s="412" t="b">
        <f>Wh_hp&gt;='2023'!Maxi_hp</f>
        <v>0</v>
      </c>
      <c r="I215" s="388">
        <f>IF(H215,Wh_hp,'2023'!Maxi_hp)</f>
        <v>59.776097909915435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3.7807481858829206E-2</v>
      </c>
      <c r="M215" s="832"/>
      <c r="N215" s="832"/>
      <c r="O215" s="48">
        <f>IF(t&lt;Tnet,'2023'!Resal+('2023'!Salim-'2023'!Resal)*(1-EXP(('2023'!Tnet-t)/('2023'!Tau_j))),Resal+(Salim-Resal)*(1-EXP((Tnet-t)/(Tau_j))))*Salcycl</f>
        <v>1.7155190607719931E-2</v>
      </c>
      <c r="P215" s="169">
        <f>(INDEX(Models!$BJ215:$BT215,,T215)*(1-R215)+INDEX(Models!$BJ215:$BT215,,T215+1)*R215-ERP_i)*Q215*Ramure*Pc/MaxiM</f>
        <v>3.3084304958621577E-4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57.629868823311746</v>
      </c>
      <c r="W215" s="400">
        <f t="shared" si="86"/>
        <v>45.546151146302925</v>
      </c>
      <c r="X215" s="157">
        <f t="shared" si="87"/>
        <v>45492</v>
      </c>
      <c r="Y215" s="383">
        <f t="shared" si="88"/>
        <v>43.567643597416769</v>
      </c>
      <c r="Z215" s="383">
        <f t="shared" si="89"/>
        <v>45.279549337573023</v>
      </c>
      <c r="AA215" s="384">
        <f t="shared" si="90"/>
        <v>48.162027246413409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5.9849596739203752E-2</v>
      </c>
      <c r="AD215" s="230">
        <f>(INDEX(Models!$BJ215:$BT215,,AH215)*(1-AF215)+INDEX(Models!$BJ215:$BT215,,AH215+1)*AF215-ERP_i)*AE215*Ramure*Pc/MaxiM</f>
        <v>3.3084304958621577E-4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'2023'!Wh/'2023'!Env_an*'2024'!Env_an</f>
        <v>53.860799514998156</v>
      </c>
      <c r="C216" s="829"/>
      <c r="D216" s="391">
        <f t="shared" si="77"/>
        <v>55.978227588767822</v>
      </c>
      <c r="E216" s="383">
        <f t="shared" si="75"/>
        <v>56.959989141748025</v>
      </c>
      <c r="F216" s="383">
        <f t="shared" si="78"/>
        <v>56.977510491655117</v>
      </c>
      <c r="G216" s="110">
        <f t="shared" si="76"/>
        <v>0.93625182297134291</v>
      </c>
      <c r="H216" s="412" t="b">
        <f>Wh_hp&gt;='2023'!Maxi_hp</f>
        <v>0</v>
      </c>
      <c r="I216" s="388">
        <f>IF(H216,Wh_hp,'2023'!Maxi_hp)</f>
        <v>56.978356977824554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3.7825922058927985E-2</v>
      </c>
      <c r="M216" s="832"/>
      <c r="N216" s="832"/>
      <c r="O216" s="48">
        <f>IF(t&lt;Tnet,'2023'!Resal+('2023'!Salim-'2023'!Resal)*(1-EXP(('2023'!Tnet-t)/('2023'!Tau_j))),Resal+(Salim-Resal)*(1-EXP((Tnet-t)/(Tau_j))))*Salcycl</f>
        <v>1.7235985606265436E-2</v>
      </c>
      <c r="P216" s="169">
        <f>(INDEX(Models!$BJ216:$BT216,,T216)*(1-R216)+INDEX(Models!$BJ216:$BT216,,T216+1)*R216-ERP_i)*Q216*Ramure*Pc/MaxiM</f>
        <v>3.3830888720998945E-4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57.526339618877486</v>
      </c>
      <c r="W216" s="400">
        <f t="shared" si="86"/>
        <v>53.860799514998156</v>
      </c>
      <c r="X216" s="157">
        <f t="shared" si="87"/>
        <v>45493</v>
      </c>
      <c r="Y216" s="383">
        <f t="shared" si="88"/>
        <v>51.522965792355656</v>
      </c>
      <c r="Z216" s="383">
        <f t="shared" si="89"/>
        <v>53.548486675725179</v>
      </c>
      <c r="AA216" s="384">
        <f t="shared" si="90"/>
        <v>56.959989141748025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5.9892962014671959E-2</v>
      </c>
      <c r="AD216" s="230">
        <f>(INDEX(Models!$BJ216:$BT216,,AH216)*(1-AF216)+INDEX(Models!$BJ216:$BT216,,AH216+1)*AF216-ERP_i)*AE216*Ramure*Pc/MaxiM</f>
        <v>3.3830888720998945E-4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'2023'!Wh/'2023'!Env_an*'2024'!Env_an</f>
        <v>43.48836676438421</v>
      </c>
      <c r="C217" s="829"/>
      <c r="D217" s="391">
        <f t="shared" si="77"/>
        <v>45.198889911944306</v>
      </c>
      <c r="E217" s="383">
        <f t="shared" si="75"/>
        <v>45.995373841423529</v>
      </c>
      <c r="F217" s="383">
        <f t="shared" si="78"/>
        <v>46.005772625136785</v>
      </c>
      <c r="G217" s="110">
        <f t="shared" si="76"/>
        <v>0.7572841922432586</v>
      </c>
      <c r="H217" s="412" t="b">
        <f>Wh_hp&gt;='2023'!Maxi_hp</f>
        <v>0</v>
      </c>
      <c r="I217" s="388">
        <f>IF(H217,Wh_hp,'2023'!Maxi_hp)</f>
        <v>55.348148280408218</v>
      </c>
      <c r="J217" s="85">
        <f>IF(H217,An,'2023'!An_max)</f>
        <v>2020</v>
      </c>
      <c r="K217" s="197">
        <f t="shared" si="79"/>
        <v>45494</v>
      </c>
      <c r="L217" s="147">
        <f>IF(t&lt;Tvie,1-EXP((T0-t)*PertePVj)+'2023'!Pspv,1-EXP((T0-t)*PertePVj)+Pspv)</f>
        <v>3.7844361905624457E-2</v>
      </c>
      <c r="M217" s="832"/>
      <c r="N217" s="832"/>
      <c r="O217" s="48">
        <f>IF(t&lt;Tnet,'2023'!Resal+('2023'!Salim-'2023'!Resal)*(1-EXP(('2023'!Tnet-t)/('2023'!Tau_j))),Resal+(Salim-Resal)*(1-EXP((Tnet-t)/(Tau_j))))*Salcycl</f>
        <v>1.7316609540455753E-2</v>
      </c>
      <c r="P217" s="169">
        <f>(INDEX(Models!$BJ217:$BT217,,T217)*(1-R217)+INDEX(Models!$BJ217:$BT217,,T217+1)*R217-ERP_i)*Q217*Ramure*Pc/MaxiM</f>
        <v>3.459360406126037E-4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57.419858497672784</v>
      </c>
      <c r="W217" s="400">
        <f t="shared" si="86"/>
        <v>43.48836676438421</v>
      </c>
      <c r="X217" s="157">
        <f t="shared" si="87"/>
        <v>45494</v>
      </c>
      <c r="Y217" s="383">
        <f t="shared" si="88"/>
        <v>41.602261001860441</v>
      </c>
      <c r="Z217" s="383">
        <f t="shared" si="89"/>
        <v>43.238598158876847</v>
      </c>
      <c r="AA217" s="384">
        <f t="shared" si="90"/>
        <v>45.995373841423529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5.9935933819151237E-2</v>
      </c>
      <c r="AD217" s="230">
        <f>(INDEX(Models!$BJ217:$BT217,,AH217)*(1-AF217)+INDEX(Models!$BJ217:$BT217,,AH217+1)*AF217-ERP_i)*AE217*Ramure*Pc/MaxiM</f>
        <v>3.459360406126037E-4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'2023'!Wh/'2023'!Env_an*'2024'!Env_an</f>
        <v>49.972219304722515</v>
      </c>
      <c r="C218" s="829"/>
      <c r="D218" s="391">
        <f t="shared" si="77"/>
        <v>51.938766505838238</v>
      </c>
      <c r="E218" s="383">
        <f t="shared" si="75"/>
        <v>52.858346763454961</v>
      </c>
      <c r="F218" s="383">
        <f t="shared" si="78"/>
        <v>52.873628651416944</v>
      </c>
      <c r="G218" s="110">
        <f t="shared" si="76"/>
        <v>0.87190358848782046</v>
      </c>
      <c r="H218" s="412" t="b">
        <f>Wh_hp&gt;='2023'!Maxi_hp</f>
        <v>0</v>
      </c>
      <c r="I218" s="388">
        <f>IF(H218,Wh_hp,'2023'!Maxi_hp)</f>
        <v>56.109961045476417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3.7862801398925616E-2</v>
      </c>
      <c r="M218" s="832"/>
      <c r="N218" s="832"/>
      <c r="O218" s="48">
        <f>IF(t&lt;Tnet,'2023'!Resal+('2023'!Salim-'2023'!Resal)*(1-EXP(('2023'!Tnet-t)/('2023'!Tau_j))),Resal+(Salim-Resal)*(1-EXP((Tnet-t)/(Tau_j))))*Salcycl</f>
        <v>1.7397068087125628E-2</v>
      </c>
      <c r="P218" s="169">
        <f>(INDEX(Models!$BJ218:$BT218,,T218)*(1-R218)+INDEX(Models!$BJ218:$BT218,,T218+1)*R218-ERP_i)*Q218*Ramure*Pc/MaxiM</f>
        <v>3.5372866936270598E-4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57.310218384686742</v>
      </c>
      <c r="W218" s="400">
        <f t="shared" si="86"/>
        <v>49.972219304722515</v>
      </c>
      <c r="X218" s="157">
        <f t="shared" si="87"/>
        <v>45495</v>
      </c>
      <c r="Y218" s="383">
        <f t="shared" si="88"/>
        <v>47.806654383036438</v>
      </c>
      <c r="Z218" s="383">
        <f t="shared" si="89"/>
        <v>49.687980521433147</v>
      </c>
      <c r="AA218" s="384">
        <f t="shared" si="90"/>
        <v>52.858346763454961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5.9978535768616413E-2</v>
      </c>
      <c r="AD218" s="230">
        <f>(INDEX(Models!$BJ218:$BT218,,AH218)*(1-AF218)+INDEX(Models!$BJ218:$BT218,,AH218+1)*AF218-ERP_i)*AE218*Ramure*Pc/MaxiM</f>
        <v>3.5372866936270598E-4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'2023'!Wh/'2023'!Env_an*'2024'!Env_an</f>
        <v>54.09687093008268</v>
      </c>
      <c r="C219" s="829"/>
      <c r="D219" s="391">
        <f t="shared" si="77"/>
        <v>56.22681233279333</v>
      </c>
      <c r="E219" s="383">
        <f t="shared" si="75"/>
        <v>57.22698941107469</v>
      </c>
      <c r="F219" s="383">
        <f t="shared" si="78"/>
        <v>57.246091037007247</v>
      </c>
      <c r="G219" s="110">
        <f t="shared" si="76"/>
        <v>0.94576050474878304</v>
      </c>
      <c r="H219" s="412" t="b">
        <f>Wh_hp&gt;='2023'!Maxi_hp</f>
        <v>0</v>
      </c>
      <c r="I219" s="388">
        <f>IF(H219,Wh_hp,'2023'!Maxi_hp)</f>
        <v>57.246859486598268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3.7881240538838012E-2</v>
      </c>
      <c r="M219" s="832"/>
      <c r="N219" s="832"/>
      <c r="O219" s="48">
        <f>IF(t&lt;Tnet,'2023'!Resal+('2023'!Salim-'2023'!Resal)*(1-EXP(('2023'!Tnet-t)/('2023'!Tau_j))),Resal+(Salim-Resal)*(1-EXP((Tnet-t)/(Tau_j))))*Salcycl</f>
        <v>1.7477366686142738E-2</v>
      </c>
      <c r="P219" s="169">
        <f>(INDEX(Models!$BJ219:$BT219,,T219)*(1-R219)+INDEX(Models!$BJ219:$BT219,,T219+1)*R219-ERP_i)*Q219*Ramure*Pc/MaxiM</f>
        <v>3.6168728077191328E-4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57.197731149082308</v>
      </c>
      <c r="W219" s="400">
        <f t="shared" si="86"/>
        <v>54.09687093008268</v>
      </c>
      <c r="X219" s="157">
        <f t="shared" si="87"/>
        <v>45496</v>
      </c>
      <c r="Y219" s="383">
        <f t="shared" si="88"/>
        <v>51.754465760991629</v>
      </c>
      <c r="Z219" s="383">
        <f t="shared" si="89"/>
        <v>53.792180281337515</v>
      </c>
      <c r="AA219" s="384">
        <f t="shared" si="90"/>
        <v>57.22698941107469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6.0020790278939078E-2</v>
      </c>
      <c r="AD219" s="230">
        <f>(INDEX(Models!$BJ219:$BT219,,AH219)*(1-AF219)+INDEX(Models!$BJ219:$BT219,,AH219+1)*AF219-ERP_i)*AE219*Ramure*Pc/MaxiM</f>
        <v>3.6168728077191328E-4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'2023'!Wh/'2023'!Env_an*'2024'!Env_an</f>
        <v>27.567392604654444</v>
      </c>
      <c r="C220" s="829"/>
      <c r="D220" s="391">
        <f t="shared" si="77"/>
        <v>28.653345199307278</v>
      </c>
      <c r="E220" s="383">
        <f t="shared" si="75"/>
        <v>29.165417320489688</v>
      </c>
      <c r="F220" s="383">
        <f t="shared" si="78"/>
        <v>29.168236138687284</v>
      </c>
      <c r="G220" s="110">
        <f t="shared" si="76"/>
        <v>0.48280460346007947</v>
      </c>
      <c r="H220" s="412" t="b">
        <f>Wh_hp&gt;='2023'!Maxi_hp</f>
        <v>0</v>
      </c>
      <c r="I220" s="388">
        <f>IF(H220,Wh_hp,'2023'!Maxi_hp)</f>
        <v>59.315557328001788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3.7899679325368529E-2</v>
      </c>
      <c r="M220" s="832"/>
      <c r="N220" s="832"/>
      <c r="O220" s="48">
        <f>IF(t&lt;Tnet,'2023'!Resal+('2023'!Salim-'2023'!Resal)*(1-EXP(('2023'!Tnet-t)/('2023'!Tau_j))),Resal+(Salim-Resal)*(1-EXP((Tnet-t)/(Tau_j))))*Salcycl</f>
        <v>1.7557510511692933E-2</v>
      </c>
      <c r="P220" s="169">
        <f>(INDEX(Models!$BJ220:$BT220,,T220)*(1-R220)+INDEX(Models!$BJ220:$BT220,,T220+1)*R220-ERP_i)*Q220*Ramure*Pc/MaxiM</f>
        <v>3.697894376378888E-4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57.082848136595871</v>
      </c>
      <c r="W220" s="400">
        <f t="shared" si="86"/>
        <v>27.567392604654444</v>
      </c>
      <c r="X220" s="157">
        <f t="shared" si="87"/>
        <v>45497</v>
      </c>
      <c r="Y220" s="383">
        <f t="shared" si="88"/>
        <v>26.374694030740791</v>
      </c>
      <c r="Z220" s="383">
        <f t="shared" si="89"/>
        <v>27.413663070236449</v>
      </c>
      <c r="AA220" s="384">
        <f t="shared" si="90"/>
        <v>29.165417320489688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6.0062718493061808E-2</v>
      </c>
      <c r="AD220" s="230">
        <f>(INDEX(Models!$BJ220:$BT220,,AH220)*(1-AF220)+INDEX(Models!$BJ220:$BT220,,AH220+1)*AF220-ERP_i)*AE220*Ramure*Pc/MaxiM</f>
        <v>3.697894376378888E-4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'2023'!Wh/'2023'!Env_an*'2024'!Env_an</f>
        <v>58.458874336492023</v>
      </c>
      <c r="C221" s="829"/>
      <c r="D221" s="391">
        <f t="shared" si="77"/>
        <v>60.762888705786104</v>
      </c>
      <c r="E221" s="383">
        <f t="shared" si="75"/>
        <v>61.853836013518595</v>
      </c>
      <c r="F221" s="383">
        <f t="shared" si="78"/>
        <v>61.877218642952464</v>
      </c>
      <c r="G221" s="110">
        <f t="shared" si="76"/>
        <v>1.026214007121929</v>
      </c>
      <c r="H221" s="412" t="b">
        <f>Wh_hp&gt;='2023'!Maxi_hp</f>
        <v>1</v>
      </c>
      <c r="I221" s="388">
        <f>IF(H221,Wh_hp,'2023'!Maxi_hp)</f>
        <v>61.877218642952464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3.7918117758523939E-2</v>
      </c>
      <c r="M221" s="832"/>
      <c r="N221" s="832"/>
      <c r="O221" s="48">
        <f>IF(t&lt;Tnet,'2023'!Resal+('2023'!Salim-'2023'!Resal)*(1-EXP(('2023'!Tnet-t)/('2023'!Tau_j))),Resal+(Salim-Resal)*(1-EXP((Tnet-t)/(Tau_j))))*Salcycl</f>
        <v>1.7637504446677412E-2</v>
      </c>
      <c r="P221" s="169">
        <f>(INDEX(Models!$BJ221:$BT221,,T221)*(1-R221)+INDEX(Models!$BJ221:$BT221,,T221+1)*R221-ERP_i)*Q221*Ramure*Pc/MaxiM</f>
        <v>3.7788753190068786E-4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56.965578262221349</v>
      </c>
      <c r="W221" s="400">
        <f t="shared" si="86"/>
        <v>58.458874336492023</v>
      </c>
      <c r="X221" s="157">
        <f t="shared" si="87"/>
        <v>45498</v>
      </c>
      <c r="Y221" s="383">
        <f t="shared" si="88"/>
        <v>55.931738551896089</v>
      </c>
      <c r="Z221" s="383">
        <f t="shared" si="89"/>
        <v>58.136152009832358</v>
      </c>
      <c r="AA221" s="384">
        <f t="shared" si="90"/>
        <v>61.853836013518595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6.0104340220284956E-2</v>
      </c>
      <c r="AD221" s="230">
        <f>(INDEX(Models!$BJ221:$BT221,,AH221)*(1-AF221)+INDEX(Models!$BJ221:$BT221,,AH221+1)*AF221-ERP_i)*AE221*Ramure*Pc/MaxiM</f>
        <v>3.7788753190068786E-4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'2023'!Wh/'2023'!Env_an*'2024'!Env_an</f>
        <v>58.498100858526222</v>
      </c>
      <c r="C222" s="829"/>
      <c r="D222" s="391">
        <f t="shared" si="77"/>
        <v>60.804826556422761</v>
      </c>
      <c r="E222" s="383">
        <f t="shared" si="75"/>
        <v>61.9015583201653</v>
      </c>
      <c r="F222" s="383">
        <f t="shared" si="78"/>
        <v>61.925460480563899</v>
      </c>
      <c r="G222" s="110">
        <f t="shared" si="76"/>
        <v>1.0290641592934002</v>
      </c>
      <c r="H222" s="412" t="b">
        <f>Wh_hp&gt;='2023'!Maxi_hp</f>
        <v>1</v>
      </c>
      <c r="I222" s="388">
        <f>IF(H222,Wh_hp,'2023'!Maxi_hp)</f>
        <v>61.925460480563899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3.7936555838310904E-2</v>
      </c>
      <c r="M222" s="832"/>
      <c r="N222" s="832"/>
      <c r="O222" s="48">
        <f>IF(t&lt;Tnet,'2023'!Resal+('2023'!Salim-'2023'!Resal)*(1-EXP(('2023'!Tnet-t)/('2023'!Tau_j))),Resal+(Salim-Resal)*(1-EXP((Tnet-t)/(Tau_j))))*Salcycl</f>
        <v>1.7717353060322967E-2</v>
      </c>
      <c r="P222" s="169">
        <f>(INDEX(Models!$BJ222:$BT222,,T222)*(1-R222)+INDEX(Models!$BJ222:$BT222,,T222+1)*R222-ERP_i)*Q222*Ramure*Pc/MaxiM</f>
        <v>3.8598276400545893E-4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56.845921928418477</v>
      </c>
      <c r="W222" s="400">
        <f t="shared" si="86"/>
        <v>58.498100858526222</v>
      </c>
      <c r="X222" s="157">
        <f t="shared" si="87"/>
        <v>45499</v>
      </c>
      <c r="Y222" s="383">
        <f t="shared" si="88"/>
        <v>55.971357462672742</v>
      </c>
      <c r="Z222" s="383">
        <f t="shared" si="89"/>
        <v>58.17844738030179</v>
      </c>
      <c r="AA222" s="384">
        <f t="shared" si="90"/>
        <v>61.9015583201653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6.0145673887674167E-2</v>
      </c>
      <c r="AD222" s="230">
        <f>(INDEX(Models!$BJ222:$BT222,,AH222)*(1-AF222)+INDEX(Models!$BJ222:$BT222,,AH222+1)*AF222-ERP_i)*AE222*Ramure*Pc/MaxiM</f>
        <v>3.8598276400545893E-4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'2023'!Wh/'2023'!Env_an*'2024'!Env_an</f>
        <v>45.608993403071771</v>
      </c>
      <c r="C223" s="829"/>
      <c r="D223" s="391">
        <f t="shared" si="77"/>
        <v>47.408378088328881</v>
      </c>
      <c r="E223" s="383">
        <f t="shared" si="75"/>
        <v>48.267395856870294</v>
      </c>
      <c r="F223" s="383">
        <f t="shared" si="78"/>
        <v>48.281096327105352</v>
      </c>
      <c r="G223" s="110">
        <f t="shared" si="76"/>
        <v>0.80396406468125847</v>
      </c>
      <c r="H223" s="412" t="b">
        <f>Wh_hp&gt;='2023'!Maxi_hp</f>
        <v>0</v>
      </c>
      <c r="I223" s="388">
        <f>IF(H223,Wh_hp,'2023'!Maxi_hp)</f>
        <v>56.218409152668862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3.7954993564736306E-2</v>
      </c>
      <c r="M223" s="832"/>
      <c r="N223" s="832"/>
      <c r="O223" s="48">
        <f>IF(t&lt;Tnet,'2023'!Resal+('2023'!Salim-'2023'!Resal)*(1-EXP(('2023'!Tnet-t)/('2023'!Tau_j))),Resal+(Salim-Resal)*(1-EXP((Tnet-t)/(Tau_j))))*Salcycl</f>
        <v>1.7797060589071351E-2</v>
      </c>
      <c r="P223" s="169">
        <f>(INDEX(Models!$BJ223:$BT223,,T223)*(1-R223)+INDEX(Models!$BJ223:$BT223,,T223+1)*R223-ERP_i)*Q223*Ramure*Pc/MaxiM</f>
        <v>3.9407634876565366E-4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56.723879554567155</v>
      </c>
      <c r="W223" s="400">
        <f t="shared" si="86"/>
        <v>45.608993403071771</v>
      </c>
      <c r="X223" s="157">
        <f t="shared" si="87"/>
        <v>45500</v>
      </c>
      <c r="Y223" s="383">
        <f t="shared" si="88"/>
        <v>43.640611542701762</v>
      </c>
      <c r="Z223" s="383">
        <f t="shared" si="89"/>
        <v>45.362338820723721</v>
      </c>
      <c r="AA223" s="384">
        <f t="shared" si="90"/>
        <v>48.267395856870294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6.018673650347911E-2</v>
      </c>
      <c r="AD223" s="230">
        <f>(INDEX(Models!$BJ223:$BT223,,AH223)*(1-AF223)+INDEX(Models!$BJ223:$BT223,,AH223+1)*AF223-ERP_i)*AE223*Ramure*Pc/MaxiM</f>
        <v>3.9407634876565366E-4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'2023'!Wh/'2023'!Env_an*'2024'!Env_an</f>
        <v>32.575058844697217</v>
      </c>
      <c r="C224" s="829"/>
      <c r="D224" s="391">
        <f t="shared" si="77"/>
        <v>33.860872342072817</v>
      </c>
      <c r="E224" s="383">
        <f t="shared" si="75"/>
        <v>34.47720867676599</v>
      </c>
      <c r="F224" s="383">
        <f t="shared" si="78"/>
        <v>34.482667403140915</v>
      </c>
      <c r="G224" s="110">
        <f t="shared" si="76"/>
        <v>0.57539627552353445</v>
      </c>
      <c r="H224" s="412" t="b">
        <f>Wh_hp&gt;='2023'!Maxi_hp</f>
        <v>0</v>
      </c>
      <c r="I224" s="388">
        <f>IF(H224,Wh_hp,'2023'!Maxi_hp)</f>
        <v>59.204840320642759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3.7973430937806918E-2</v>
      </c>
      <c r="M224" s="832"/>
      <c r="N224" s="832"/>
      <c r="O224" s="48">
        <f>IF(t&lt;Tnet,'2023'!Resal+('2023'!Salim-'2023'!Resal)*(1-EXP(('2023'!Tnet-t)/('2023'!Tau_j))),Resal+(Salim-Resal)*(1-EXP((Tnet-t)/(Tau_j))))*Salcycl</f>
        <v>1.7876630920777549E-2</v>
      </c>
      <c r="P224" s="169">
        <f>(INDEX(Models!$BJ224:$BT224,,T224)*(1-R224)+INDEX(Models!$BJ224:$BT224,,T224+1)*R224-ERP_i)*Q224*Ramure*Pc/MaxiM</f>
        <v>4.0216950416320182E-4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56.599451582029175</v>
      </c>
      <c r="W224" s="400">
        <f t="shared" si="86"/>
        <v>32.575058844697217</v>
      </c>
      <c r="X224" s="157">
        <f t="shared" si="87"/>
        <v>45501</v>
      </c>
      <c r="Y224" s="383">
        <f t="shared" si="88"/>
        <v>31.170364162603288</v>
      </c>
      <c r="Z224" s="383">
        <f t="shared" si="89"/>
        <v>32.400731086864802</v>
      </c>
      <c r="AA224" s="384">
        <f t="shared" si="90"/>
        <v>34.47720867676599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6.0227543632339335E-2</v>
      </c>
      <c r="AD224" s="230">
        <f>(INDEX(Models!$BJ224:$BT224,,AH224)*(1-AF224)+INDEX(Models!$BJ224:$BT224,,AH224+1)*AF224-ERP_i)*AE224*Ramure*Pc/MaxiM</f>
        <v>4.0216950416320182E-4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'2023'!Wh/'2023'!Env_an*'2024'!Env_an</f>
        <v>50.381088478659784</v>
      </c>
      <c r="C225" s="829"/>
      <c r="D225" s="391">
        <f t="shared" si="77"/>
        <v>52.370751140839182</v>
      </c>
      <c r="E225" s="383">
        <f t="shared" si="75"/>
        <v>53.328318023311397</v>
      </c>
      <c r="F225" s="383">
        <f t="shared" si="78"/>
        <v>53.346831691180348</v>
      </c>
      <c r="G225" s="110">
        <f t="shared" si="76"/>
        <v>0.892076298231813</v>
      </c>
      <c r="H225" s="412" t="b">
        <f>Wh_hp&gt;='2023'!Maxi_hp</f>
        <v>0</v>
      </c>
      <c r="I225" s="388">
        <f>IF(H225,Wh_hp,'2023'!Maxi_hp)</f>
        <v>53.348435713615878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3.7991867957529513E-2</v>
      </c>
      <c r="M225" s="832"/>
      <c r="N225" s="832"/>
      <c r="O225" s="48">
        <f>IF(t&lt;Tnet,'2023'!Resal+('2023'!Salim-'2023'!Resal)*(1-EXP(('2023'!Tnet-t)/('2023'!Tau_j))),Resal+(Salim-Resal)*(1-EXP((Tnet-t)/(Tau_j))))*Salcycl</f>
        <v>1.7956067582210886E-2</v>
      </c>
      <c r="P225" s="169">
        <f>(INDEX(Models!$BJ225:$BT225,,T225)*(1-R225)+INDEX(Models!$BJ225:$BT225,,T225+1)*R225-ERP_i)*Q225*Ramure*Pc/MaxiM</f>
        <v>4.1026344083575924E-4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56.472638472965961</v>
      </c>
      <c r="W225" s="400">
        <f t="shared" si="86"/>
        <v>50.381088478659784</v>
      </c>
      <c r="X225" s="157">
        <f t="shared" si="87"/>
        <v>45502</v>
      </c>
      <c r="Y225" s="383">
        <f t="shared" si="88"/>
        <v>48.210384448773141</v>
      </c>
      <c r="Z225" s="383">
        <f t="shared" si="89"/>
        <v>50.11432111952746</v>
      </c>
      <c r="AA225" s="384">
        <f t="shared" si="90"/>
        <v>53.328318023311397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6.0268109381942256E-2</v>
      </c>
      <c r="AD225" s="230">
        <f>(INDEX(Models!$BJ225:$BT225,,AH225)*(1-AF225)+INDEX(Models!$BJ225:$BT225,,AH225+1)*AF225-ERP_i)*AE225*Ramure*Pc/MaxiM</f>
        <v>4.1026344083575924E-4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'2023'!Wh/'2023'!Env_an*'2024'!Env_an</f>
        <v>55.939011405945038</v>
      </c>
      <c r="C226" s="829"/>
      <c r="D226" s="391">
        <f t="shared" si="77"/>
        <v>58.149283380915755</v>
      </c>
      <c r="E226" s="383">
        <f t="shared" si="75"/>
        <v>59.217289325161801</v>
      </c>
      <c r="F226" s="383">
        <f t="shared" si="78"/>
        <v>59.241836600655688</v>
      </c>
      <c r="G226" s="110">
        <f t="shared" si="76"/>
        <v>0.9928180942331698</v>
      </c>
      <c r="H226" s="412" t="b">
        <f>Wh_hp&gt;='2023'!Maxi_hp</f>
        <v>0</v>
      </c>
      <c r="I226" s="388">
        <f>IF(H226,Wh_hp,'2023'!Maxi_hp)</f>
        <v>59.241957497118648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3.8010304623910751E-2</v>
      </c>
      <c r="M226" s="832"/>
      <c r="N226" s="832"/>
      <c r="O226" s="48">
        <f>IF(t&lt;Tnet,'2023'!Resal+('2023'!Salim-'2023'!Resal)*(1-EXP(('2023'!Tnet-t)/('2023'!Tau_j))),Resal+(Salim-Resal)*(1-EXP((Tnet-t)/(Tau_j))))*Salcycl</f>
        <v>1.8035373729817877E-2</v>
      </c>
      <c r="P226" s="169">
        <f>(INDEX(Models!$BJ226:$BT226,,T226)*(1-R226)+INDEX(Models!$BJ226:$BT226,,T226+1)*R226-ERP_i)*Q226*Ramure*Pc/MaxiM</f>
        <v>4.1864983899361693E-4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56.343424338898458</v>
      </c>
      <c r="W226" s="400">
        <f t="shared" si="86"/>
        <v>55.939011405945038</v>
      </c>
      <c r="X226" s="157">
        <f t="shared" si="87"/>
        <v>45503</v>
      </c>
      <c r="Y226" s="383">
        <f t="shared" si="88"/>
        <v>53.530865703912603</v>
      </c>
      <c r="Z226" s="383">
        <f t="shared" si="89"/>
        <v>55.645986605900958</v>
      </c>
      <c r="AA226" s="384">
        <f t="shared" si="90"/>
        <v>59.217289325161801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6.0308446400692904E-2</v>
      </c>
      <c r="AD226" s="230">
        <f>(INDEX(Models!$BJ226:$BT226,,AH226)*(1-AF226)+INDEX(Models!$BJ226:$BT226,,AH226+1)*AF226-ERP_i)*AE226*Ramure*Pc/MaxiM</f>
        <v>4.1864983899361693E-4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'2023'!Wh/'2023'!Env_an*'2024'!Env_an</f>
        <v>55.559245158406654</v>
      </c>
      <c r="C227" s="829"/>
      <c r="D227" s="391">
        <f t="shared" si="77"/>
        <v>57.755618616424378</v>
      </c>
      <c r="E227" s="383">
        <f t="shared" si="75"/>
        <v>58.821137172892733</v>
      </c>
      <c r="F227" s="383">
        <f t="shared" si="78"/>
        <v>58.845867894338056</v>
      </c>
      <c r="G227" s="110">
        <f t="shared" si="76"/>
        <v>0.98838398089801049</v>
      </c>
      <c r="H227" s="412" t="b">
        <f>Wh_hp&gt;='2023'!Maxi_hp</f>
        <v>0</v>
      </c>
      <c r="I227" s="388">
        <f>IF(H227,Wh_hp,'2023'!Maxi_hp)</f>
        <v>58.846066079470248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3.8028740936957517E-2</v>
      </c>
      <c r="M227" s="832"/>
      <c r="N227" s="832"/>
      <c r="O227" s="48">
        <f>IF(t&lt;Tnet,'2023'!Resal+('2023'!Salim-'2023'!Resal)*(1-EXP(('2023'!Tnet-t)/('2023'!Tau_j))),Resal+(Salim-Resal)*(1-EXP((Tnet-t)/(Tau_j))))*Salcycl</f>
        <v>1.8114552143670422E-2</v>
      </c>
      <c r="P227" s="169">
        <f>(INDEX(Models!$BJ227:$BT227,,T227)*(1-R227)+INDEX(Models!$BJ227:$BT227,,T227+1)*R227-ERP_i)*Q227*Ramure*Pc/MaxiM</f>
        <v>4.2734996883518438E-4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56.211808671051102</v>
      </c>
      <c r="W227" s="400">
        <f t="shared" si="86"/>
        <v>55.559245158406654</v>
      </c>
      <c r="X227" s="157">
        <f t="shared" si="87"/>
        <v>45504</v>
      </c>
      <c r="Y227" s="383">
        <f t="shared" si="88"/>
        <v>53.169465445662688</v>
      </c>
      <c r="Z227" s="383">
        <f t="shared" si="89"/>
        <v>55.271365900733471</v>
      </c>
      <c r="AA227" s="384">
        <f t="shared" si="90"/>
        <v>58.821137172892733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6.0348565885855479E-2</v>
      </c>
      <c r="AD227" s="230">
        <f>(INDEX(Models!$BJ227:$BT227,,AH227)*(1-AF227)+INDEX(Models!$BJ227:$BT227,,AH227+1)*AF227-ERP_i)*AE227*Ramure*Pc/MaxiM</f>
        <v>4.2734996883518438E-4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'2023'!Wh/'2023'!Env_an*'2024'!Env_an</f>
        <v>55.547184925340453</v>
      </c>
      <c r="C228" s="829"/>
      <c r="D228" s="391">
        <f t="shared" si="77"/>
        <v>57.744188271251765</v>
      </c>
      <c r="E228" s="383">
        <f t="shared" si="75"/>
        <v>58.814231174828507</v>
      </c>
      <c r="F228" s="383">
        <f t="shared" si="78"/>
        <v>58.839559796110741</v>
      </c>
      <c r="G228" s="110">
        <f t="shared" si="76"/>
        <v>0.99053217299562979</v>
      </c>
      <c r="H228" s="412" t="b">
        <f>Wh_hp&gt;='2023'!Maxi_hp</f>
        <v>0</v>
      </c>
      <c r="I228" s="388">
        <f>IF(H228,Wh_hp,'2023'!Maxi_hp)</f>
        <v>58.839724664908012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3.8047176896676582E-2</v>
      </c>
      <c r="M228" s="832"/>
      <c r="N228" s="832"/>
      <c r="O228" s="48">
        <f>IF(t&lt;Tnet,'2023'!Resal+('2023'!Salim-'2023'!Resal)*(1-EXP(('2023'!Tnet-t)/('2023'!Tau_j))),Resal+(Salim-Resal)*(1-EXP((Tnet-t)/(Tau_j))))*Salcycl</f>
        <v>1.8193605224490345E-2</v>
      </c>
      <c r="P228" s="169">
        <f>(INDEX(Models!$BJ228:$BT228,,T228)*(1-R228)+INDEX(Models!$BJ228:$BT228,,T228+1)*R228-ERP_i)*Q228*Ramure*Pc/MaxiM</f>
        <v>4.3636768483935759E-4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56.077791976106752</v>
      </c>
      <c r="W228" s="400">
        <f t="shared" si="86"/>
        <v>55.547184925340453</v>
      </c>
      <c r="X228" s="157">
        <f t="shared" si="87"/>
        <v>45505</v>
      </c>
      <c r="Y228" s="383">
        <f t="shared" si="88"/>
        <v>53.159946065112088</v>
      </c>
      <c r="Z228" s="383">
        <f t="shared" si="89"/>
        <v>55.262529292875911</v>
      </c>
      <c r="AA228" s="384">
        <f t="shared" si="90"/>
        <v>58.814231174828507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6.0388477601534402E-2</v>
      </c>
      <c r="AD228" s="230">
        <f>(INDEX(Models!$BJ228:$BT228,,AH228)*(1-AF228)+INDEX(Models!$BJ228:$BT228,,AH228+1)*AF228-ERP_i)*AE228*Ramure*Pc/MaxiM</f>
        <v>4.3636768483935759E-4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'2023'!Wh/'2023'!Env_an*'2024'!Env_an</f>
        <v>52.45443190772712</v>
      </c>
      <c r="C229" s="829"/>
      <c r="D229" s="391">
        <f t="shared" si="77"/>
        <v>54.530155683715776</v>
      </c>
      <c r="E229" s="383">
        <f t="shared" si="75"/>
        <v>55.545105568948088</v>
      </c>
      <c r="F229" s="383">
        <f t="shared" si="78"/>
        <v>55.567667068684301</v>
      </c>
      <c r="G229" s="110">
        <f t="shared" si="76"/>
        <v>0.93763067911095099</v>
      </c>
      <c r="H229" s="412" t="b">
        <f>Wh_hp&gt;='2023'!Maxi_hp</f>
        <v>0</v>
      </c>
      <c r="I229" s="388">
        <f>IF(H229,Wh_hp,'2023'!Maxi_hp)</f>
        <v>56.932913500318811</v>
      </c>
      <c r="J229" s="85">
        <f>IF(H229,An,'2023'!An_max)</f>
        <v>2018</v>
      </c>
      <c r="K229" s="197">
        <f t="shared" si="79"/>
        <v>45506</v>
      </c>
      <c r="L229" s="147">
        <f>IF(t&lt;Tvie,1-EXP((T0-t)*PertePVj)+'2023'!Pspv,1-EXP((T0-t)*PertePVj)+Pspv)</f>
        <v>3.8065612503074608E-2</v>
      </c>
      <c r="M229" s="832"/>
      <c r="N229" s="832"/>
      <c r="O229" s="48">
        <f>IF(t&lt;Tnet,'2023'!Resal+('2023'!Salim-'2023'!Resal)*(1-EXP(('2023'!Tnet-t)/('2023'!Tau_j))),Resal+(Salim-Resal)*(1-EXP((Tnet-t)/(Tau_j))))*Salcycl</f>
        <v>1.827253499360899E-2</v>
      </c>
      <c r="P229" s="169">
        <f>(INDEX(Models!$BJ229:$BT229,,T229)*(1-R229)+INDEX(Models!$BJ229:$BT229,,T229+1)*R229-ERP_i)*Q229*Ramure*Pc/MaxiM</f>
        <v>4.4570682061539739E-4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55.941374787898198</v>
      </c>
      <c r="W229" s="400">
        <f t="shared" si="86"/>
        <v>52.45443190772712</v>
      </c>
      <c r="X229" s="157">
        <f t="shared" si="87"/>
        <v>45506</v>
      </c>
      <c r="Y229" s="383">
        <f t="shared" si="88"/>
        <v>50.202023771114938</v>
      </c>
      <c r="Z229" s="383">
        <f t="shared" si="89"/>
        <v>52.188615381291164</v>
      </c>
      <c r="AA229" s="384">
        <f t="shared" si="90"/>
        <v>55.545105568948088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6.042818990577882E-2</v>
      </c>
      <c r="AD229" s="230">
        <f>(INDEX(Models!$BJ229:$BT229,,AH229)*(1-AF229)+INDEX(Models!$BJ229:$BT229,,AH229+1)*AF229-ERP_i)*AE229*Ramure*Pc/MaxiM</f>
        <v>4.4570682061539739E-4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'2023'!Wh/'2023'!Env_an*'2024'!Env_an</f>
        <v>51.676389458471938</v>
      </c>
      <c r="C230" s="829"/>
      <c r="D230" s="391">
        <f t="shared" si="77"/>
        <v>53.722354159869674</v>
      </c>
      <c r="E230" s="383">
        <f t="shared" si="75"/>
        <v>54.726661909044431</v>
      </c>
      <c r="F230" s="383">
        <f t="shared" si="78"/>
        <v>54.748959490334371</v>
      </c>
      <c r="G230" s="110">
        <f t="shared" si="76"/>
        <v>0.92601315930323436</v>
      </c>
      <c r="H230" s="412" t="b">
        <f>Wh_hp&gt;='2023'!Maxi_hp</f>
        <v>0</v>
      </c>
      <c r="I230" s="388">
        <f>IF(H230,Wh_hp,'2023'!Maxi_hp)</f>
        <v>54.750209948964994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3.8084047756158479E-2</v>
      </c>
      <c r="M230" s="832"/>
      <c r="N230" s="832"/>
      <c r="O230" s="48">
        <f>IF(t&lt;Tnet,'2023'!Resal+('2023'!Salim-'2023'!Resal)*(1-EXP(('2023'!Tnet-t)/('2023'!Tau_j))),Resal+(Salim-Resal)*(1-EXP((Tnet-t)/(Tau_j))))*Salcycl</f>
        <v>1.8351343095690951E-2</v>
      </c>
      <c r="P230" s="169">
        <f>(INDEX(Models!$BJ230:$BT230,,T230)*(1-R230)+INDEX(Models!$BJ230:$BT230,,T230+1)*R230-ERP_i)*Q230*Ramure*Pc/MaxiM</f>
        <v>4.5537118853947384E-4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55.802557668757267</v>
      </c>
      <c r="W230" s="400">
        <f t="shared" si="86"/>
        <v>51.676389458471938</v>
      </c>
      <c r="X230" s="157">
        <f t="shared" si="87"/>
        <v>45507</v>
      </c>
      <c r="Y230" s="383">
        <f t="shared" si="88"/>
        <v>49.459280768557669</v>
      </c>
      <c r="Z230" s="383">
        <f t="shared" si="89"/>
        <v>51.417465999170744</v>
      </c>
      <c r="AA230" s="384">
        <f t="shared" si="90"/>
        <v>54.726661909044431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6.0467709786019119E-2</v>
      </c>
      <c r="AD230" s="230">
        <f>(INDEX(Models!$BJ230:$BT230,,AH230)*(1-AF230)+INDEX(Models!$BJ230:$BT230,,AH230+1)*AF230-ERP_i)*AE230*Ramure*Pc/MaxiM</f>
        <v>4.5537118853947384E-4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'2023'!Wh/'2023'!Env_an*'2024'!Env_an</f>
        <v>46.928489341888984</v>
      </c>
      <c r="C231" s="829"/>
      <c r="D231" s="391">
        <f t="shared" si="77"/>
        <v>48.787410816346814</v>
      </c>
      <c r="E231" s="383">
        <f t="shared" si="75"/>
        <v>49.70344687328766</v>
      </c>
      <c r="F231" s="383">
        <f t="shared" si="78"/>
        <v>49.721399349382523</v>
      </c>
      <c r="G231" s="110">
        <f t="shared" si="76"/>
        <v>0.84301944151518116</v>
      </c>
      <c r="H231" s="412" t="b">
        <f>Wh_hp&gt;='2023'!Maxi_hp</f>
        <v>0</v>
      </c>
      <c r="I231" s="388">
        <f>IF(H231,Wh_hp,'2023'!Maxi_hp)</f>
        <v>57.498472641811972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3.8102482655934966E-2</v>
      </c>
      <c r="M231" s="832"/>
      <c r="N231" s="832"/>
      <c r="O231" s="48">
        <f>IF(t&lt;Tnet,'2023'!Resal+('2023'!Salim-'2023'!Resal)*(1-EXP(('2023'!Tnet-t)/('2023'!Tau_j))),Resal+(Salim-Resal)*(1-EXP((Tnet-t)/(Tau_j))))*Salcycl</f>
        <v>1.8430030804023709E-2</v>
      </c>
      <c r="P231" s="169">
        <f>(INDEX(Models!$BJ231:$BT231,,T231)*(1-R231)+INDEX(Models!$BJ231:$BT231,,T231+1)*R231-ERP_i)*Q231*Ramure*Pc/MaxiM</f>
        <v>4.6536457930575767E-4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55.661341210709168</v>
      </c>
      <c r="W231" s="400">
        <f t="shared" si="86"/>
        <v>46.928489341888984</v>
      </c>
      <c r="X231" s="157">
        <f t="shared" si="87"/>
        <v>45508</v>
      </c>
      <c r="Y231" s="383">
        <f t="shared" si="88"/>
        <v>44.916803292248659</v>
      </c>
      <c r="Z231" s="383">
        <f t="shared" si="89"/>
        <v>46.696038280949409</v>
      </c>
      <c r="AA231" s="384">
        <f t="shared" si="90"/>
        <v>49.70344687328766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6.0507042901979016E-2</v>
      </c>
      <c r="AD231" s="230">
        <f>(INDEX(Models!$BJ231:$BT231,,AH231)*(1-AF231)+INDEX(Models!$BJ231:$BT231,,AH231+1)*AF231-ERP_i)*AE231*Ramure*Pc/MaxiM</f>
        <v>4.6536457930575767E-4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'2023'!Wh/'2023'!Env_an*'2024'!Env_an</f>
        <v>51.530001164234257</v>
      </c>
      <c r="C232" s="829"/>
      <c r="D232" s="391">
        <f t="shared" si="77"/>
        <v>53.572223459066372</v>
      </c>
      <c r="E232" s="383">
        <f t="shared" si="75"/>
        <v>54.582468482169475</v>
      </c>
      <c r="F232" s="383">
        <f t="shared" si="78"/>
        <v>54.605778568624359</v>
      </c>
      <c r="G232" s="110">
        <f t="shared" si="76"/>
        <v>0.92812671785423306</v>
      </c>
      <c r="H232" s="412" t="b">
        <f>Wh_hp&gt;='2023'!Maxi_hp</f>
        <v>0</v>
      </c>
      <c r="I232" s="388">
        <f>IF(H232,Wh_hp,'2023'!Maxi_hp)</f>
        <v>58.413322100606401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3.8120917202410731E-2</v>
      </c>
      <c r="M232" s="832"/>
      <c r="N232" s="832"/>
      <c r="O232" s="48">
        <f>IF(t&lt;Tnet,'2023'!Resal+('2023'!Salim-'2023'!Resal)*(1-EXP(('2023'!Tnet-t)/('2023'!Tau_j))),Resal+(Salim-Resal)*(1-EXP((Tnet-t)/(Tau_j))))*Salcycl</f>
        <v>1.8508599028149778E-2</v>
      </c>
      <c r="P232" s="169">
        <f>(INDEX(Models!$BJ232:$BT232,,T232)*(1-R232)+INDEX(Models!$BJ232:$BT232,,T232+1)*R232-ERP_i)*Q232*Ramure*Pc/MaxiM</f>
        <v>4.7569076146362893E-4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55.51772603195365</v>
      </c>
      <c r="W232" s="400">
        <f t="shared" si="86"/>
        <v>51.530001164234257</v>
      </c>
      <c r="X232" s="157">
        <f t="shared" si="87"/>
        <v>45509</v>
      </c>
      <c r="Y232" s="383">
        <f t="shared" si="88"/>
        <v>49.322954523891291</v>
      </c>
      <c r="Z232" s="383">
        <f t="shared" si="89"/>
        <v>51.277707776363457</v>
      </c>
      <c r="AA232" s="384">
        <f t="shared" si="90"/>
        <v>54.582468482169475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6.0546193635152012E-2</v>
      </c>
      <c r="AD232" s="230">
        <f>(INDEX(Models!$BJ232:$BT232,,AH232)*(1-AF232)+INDEX(Models!$BJ232:$BT232,,AH232+1)*AF232-ERP_i)*AE232*Ramure*Pc/MaxiM</f>
        <v>4.7569076146362893E-4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'2023'!Wh/'2023'!Env_an*'2024'!Env_an</f>
        <v>54.224921606225465</v>
      </c>
      <c r="C233" s="829"/>
      <c r="D233" s="391">
        <f t="shared" si="77"/>
        <v>56.375028633203826</v>
      </c>
      <c r="E233" s="383">
        <f t="shared" ref="E233:E296" si="100">Wh_pvt/(1-Psa)</f>
        <v>57.442719231396573</v>
      </c>
      <c r="F233" s="383">
        <f t="shared" si="78"/>
        <v>57.469842381182694</v>
      </c>
      <c r="G233" s="110">
        <f t="shared" ref="G233:G296" si="101">+Wh_hp/MaxiM</f>
        <v>0.9792671789582158</v>
      </c>
      <c r="H233" s="412" t="b">
        <f>Wh_hp&gt;='2023'!Maxi_hp</f>
        <v>0</v>
      </c>
      <c r="I233" s="388">
        <f>IF(H233,Wh_hp,'2023'!Maxi_hp)</f>
        <v>57.470235138587057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3.8139351395592658E-2</v>
      </c>
      <c r="M233" s="832"/>
      <c r="N233" s="832"/>
      <c r="O233" s="48">
        <f>IF(t&lt;Tnet,'2023'!Resal+('2023'!Salim-'2023'!Resal)*(1-EXP(('2023'!Tnet-t)/('2023'!Tau_j))),Resal+(Salim-Resal)*(1-EXP((Tnet-t)/(Tau_j))))*Salcycl</f>
        <v>1.8587048323596318E-2</v>
      </c>
      <c r="P233" s="169">
        <f>(INDEX(Models!$BJ233:$BT233,,T233)*(1-R233)+INDEX(Models!$BJ233:$BT233,,T233+1)*R233-ERP_i)*Q233*Ramure*Pc/MaxiM</f>
        <v>4.8634953899008928E-4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55.372161787956429</v>
      </c>
      <c r="W233" s="400">
        <f t="shared" si="86"/>
        <v>54.224921606225465</v>
      </c>
      <c r="X233" s="157">
        <f t="shared" si="87"/>
        <v>45510</v>
      </c>
      <c r="Y233" s="383">
        <f t="shared" si="88"/>
        <v>51.904446226010336</v>
      </c>
      <c r="Z233" s="383">
        <f t="shared" si="89"/>
        <v>53.962542600448479</v>
      </c>
      <c r="AA233" s="384">
        <f t="shared" si="90"/>
        <v>57.442719231396573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6.0585165143887003E-2</v>
      </c>
      <c r="AD233" s="230">
        <f>(INDEX(Models!$BJ233:$BT233,,AH233)*(1-AF233)+INDEX(Models!$BJ233:$BT233,,AH233+1)*AF233-ERP_i)*AE233*Ramure*Pc/MaxiM</f>
        <v>4.8634953899008928E-4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'2023'!Wh/'2023'!Env_an*'2024'!Env_an</f>
        <v>54.681057026108107</v>
      </c>
      <c r="C234" s="829"/>
      <c r="D234" s="391">
        <f t="shared" si="77"/>
        <v>56.850340093978566</v>
      </c>
      <c r="E234" s="383">
        <f t="shared" si="100"/>
        <v>57.931656411401164</v>
      </c>
      <c r="F234" s="383">
        <f t="shared" si="78"/>
        <v>57.960092725043708</v>
      </c>
      <c r="G234" s="110">
        <f t="shared" si="101"/>
        <v>0.99014448177360737</v>
      </c>
      <c r="H234" s="412" t="b">
        <f>Wh_hp&gt;='2023'!Maxi_hp</f>
        <v>0</v>
      </c>
      <c r="I234" s="388">
        <f>IF(H234,Wh_hp,'2023'!Maxi_hp)</f>
        <v>57.960285399615913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3.8157785235487518E-2</v>
      </c>
      <c r="M234" s="832"/>
      <c r="N234" s="832"/>
      <c r="O234" s="48">
        <f>IF(t&lt;Tnet,'2023'!Resal+('2023'!Salim-'2023'!Resal)*(1-EXP(('2023'!Tnet-t)/('2023'!Tau_j))),Resal+(Salim-Resal)*(1-EXP((Tnet-t)/(Tau_j))))*Salcycl</f>
        <v>1.8665378903438234E-2</v>
      </c>
      <c r="P234" s="169">
        <f>(INDEX(Models!$BJ234:$BT234,,T234)*(1-R234)+INDEX(Models!$BJ234:$BT234,,T234+1)*R234-ERP_i)*Q234*Ramure*Pc/MaxiM</f>
        <v>4.9762006066592275E-4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55.224944450803392</v>
      </c>
      <c r="W234" s="400">
        <f t="shared" si="86"/>
        <v>54.681057026108107</v>
      </c>
      <c r="X234" s="157">
        <f t="shared" si="87"/>
        <v>45511</v>
      </c>
      <c r="Y234" s="383">
        <f t="shared" si="88"/>
        <v>52.343078231916365</v>
      </c>
      <c r="Z234" s="383">
        <f t="shared" si="89"/>
        <v>54.419610023803649</v>
      </c>
      <c r="AA234" s="384">
        <f t="shared" si="90"/>
        <v>57.931656411401164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6.06239594230958E-2</v>
      </c>
      <c r="AD234" s="230">
        <f>(INDEX(Models!$BJ234:$BT234,,AH234)*(1-AF234)+INDEX(Models!$BJ234:$BT234,,AH234+1)*AF234-ERP_i)*AE234*Ramure*Pc/MaxiM</f>
        <v>4.9762006066592275E-4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'2023'!Wh/'2023'!Env_an*'2024'!Env_an</f>
        <v>52.628336428346081</v>
      </c>
      <c r="C235" s="829"/>
      <c r="D235" s="391">
        <f t="shared" si="77"/>
        <v>54.717233502402109</v>
      </c>
      <c r="E235" s="383">
        <f t="shared" si="100"/>
        <v>55.762421504820139</v>
      </c>
      <c r="F235" s="383">
        <f t="shared" si="78"/>
        <v>55.789043164321761</v>
      </c>
      <c r="G235" s="110">
        <f t="shared" si="101"/>
        <v>0.95552983499044541</v>
      </c>
      <c r="H235" s="412" t="b">
        <f>Wh_hp&gt;='2023'!Maxi_hp</f>
        <v>0</v>
      </c>
      <c r="I235" s="388">
        <f>IF(H235,Wh_hp,'2023'!Maxi_hp)</f>
        <v>56.144783633335642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3.8176218722101973E-2</v>
      </c>
      <c r="M235" s="832"/>
      <c r="N235" s="832"/>
      <c r="O235" s="48">
        <f>IF(t&lt;Tnet,'2023'!Resal+('2023'!Salim-'2023'!Resal)*(1-EXP(('2023'!Tnet-t)/('2023'!Tau_j))),Resal+(Salim-Resal)*(1-EXP((Tnet-t)/(Tau_j))))*Salcycl</f>
        <v>1.8743590651415447E-2</v>
      </c>
      <c r="P235" s="169">
        <f>(INDEX(Models!$BJ235:$BT235,,T235)*(1-R235)+INDEX(Models!$BJ235:$BT235,,T235+1)*R235-ERP_i)*Q235*Ramure*Pc/MaxiM</f>
        <v>5.0953180944153964E-4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55.075866076212712</v>
      </c>
      <c r="W235" s="400">
        <f t="shared" si="86"/>
        <v>52.628336428346081</v>
      </c>
      <c r="X235" s="157">
        <f t="shared" si="87"/>
        <v>45512</v>
      </c>
      <c r="Y235" s="383">
        <f t="shared" si="88"/>
        <v>50.380069293869013</v>
      </c>
      <c r="Z235" s="383">
        <f t="shared" si="89"/>
        <v>52.379729296080683</v>
      </c>
      <c r="AA235" s="384">
        <f t="shared" si="90"/>
        <v>55.762421504820139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6.0662577367574501E-2</v>
      </c>
      <c r="AD235" s="230">
        <f>(INDEX(Models!$BJ235:$BT235,,AH235)*(1-AF235)+INDEX(Models!$BJ235:$BT235,,AH235+1)*AF235-ERP_i)*AE235*Ramure*Pc/MaxiM</f>
        <v>5.0953180944153964E-4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'2023'!Wh/'2023'!Env_an*'2024'!Env_an</f>
        <v>49.731792184763997</v>
      </c>
      <c r="C236" s="829"/>
      <c r="D236" s="391">
        <f t="shared" si="77"/>
        <v>51.706712050107484</v>
      </c>
      <c r="E236" s="383">
        <f t="shared" si="100"/>
        <v>52.698588178534948</v>
      </c>
      <c r="F236" s="383">
        <f t="shared" si="78"/>
        <v>52.722396331328888</v>
      </c>
      <c r="G236" s="110">
        <f t="shared" si="101"/>
        <v>0.90538984320653482</v>
      </c>
      <c r="H236" s="412" t="b">
        <f>Wh_hp&gt;='2023'!Maxi_hp</f>
        <v>0</v>
      </c>
      <c r="I236" s="388">
        <f>IF(H236,Wh_hp,'2023'!Maxi_hp)</f>
        <v>53.37794367209424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3.8194651855442907E-2</v>
      </c>
      <c r="M236" s="832"/>
      <c r="N236" s="832"/>
      <c r="O236" s="48">
        <f>IF(t&lt;Tnet,'2023'!Resal+('2023'!Salim-'2023'!Resal)*(1-EXP(('2023'!Tnet-t)/('2023'!Tau_j))),Resal+(Salim-Resal)*(1-EXP((Tnet-t)/(Tau_j))))*Salcycl</f>
        <v>1.8821683136313497E-2</v>
      </c>
      <c r="P236" s="169">
        <f>(INDEX(Models!$BJ236:$BT236,,T236)*(1-R236)+INDEX(Models!$BJ236:$BT236,,T236+1)*R236-ERP_i)*Q236*Ramure*Pc/MaxiM</f>
        <v>5.2209273047902573E-4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54.924720036349555</v>
      </c>
      <c r="W236" s="400">
        <f t="shared" si="86"/>
        <v>49.731792184763997</v>
      </c>
      <c r="X236" s="157">
        <f t="shared" si="87"/>
        <v>45513</v>
      </c>
      <c r="Y236" s="383">
        <f t="shared" si="88"/>
        <v>47.60910522343184</v>
      </c>
      <c r="Z236" s="383">
        <f t="shared" si="89"/>
        <v>49.499730184777789</v>
      </c>
      <c r="AA236" s="384">
        <f t="shared" si="90"/>
        <v>52.698588178534948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6.0701018837922296E-2</v>
      </c>
      <c r="AD236" s="230">
        <f>(INDEX(Models!$BJ236:$BT236,,AH236)*(1-AF236)+INDEX(Models!$BJ236:$BT236,,AH236+1)*AF236-ERP_i)*AE236*Ramure*Pc/MaxiM</f>
        <v>5.2209273047902573E-4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'2023'!Wh/'2023'!Env_an*'2024'!Env_an</f>
        <v>48.089176078252173</v>
      </c>
      <c r="C237" s="829"/>
      <c r="D237" s="391">
        <f t="shared" si="77"/>
        <v>49.99982356801776</v>
      </c>
      <c r="E237" s="383">
        <f t="shared" si="100"/>
        <v>50.963006847161253</v>
      </c>
      <c r="F237" s="383">
        <f t="shared" si="78"/>
        <v>50.985543148108114</v>
      </c>
      <c r="G237" s="110">
        <f t="shared" si="101"/>
        <v>0.87791758941279308</v>
      </c>
      <c r="H237" s="412" t="b">
        <f>Wh_hp&gt;='2023'!Maxi_hp</f>
        <v>0</v>
      </c>
      <c r="I237" s="388">
        <f>IF(H237,Wh_hp,'2023'!Maxi_hp)</f>
        <v>51.914944304147305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3.8213084635517092E-2</v>
      </c>
      <c r="M237" s="832"/>
      <c r="N237" s="832"/>
      <c r="O237" s="48">
        <f>IF(t&lt;Tnet,'2023'!Resal+('2023'!Salim-'2023'!Resal)*(1-EXP(('2023'!Tnet-t)/('2023'!Tau_j))),Resal+(Salim-Resal)*(1-EXP((Tnet-t)/(Tau_j))))*Salcycl</f>
        <v>1.8899655627308064E-2</v>
      </c>
      <c r="P237" s="169">
        <f>(INDEX(Models!$BJ237:$BT237,,T237)*(1-R237)+INDEX(Models!$BJ237:$BT237,,T237+1)*R237-ERP_i)*Q237*Ramure*Pc/MaxiM</f>
        <v>5.3531095355246648E-4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54.771299810901851</v>
      </c>
      <c r="W237" s="400">
        <f t="shared" si="86"/>
        <v>48.089176078252173</v>
      </c>
      <c r="X237" s="157">
        <f t="shared" si="87"/>
        <v>45514</v>
      </c>
      <c r="Y237" s="383">
        <f t="shared" si="88"/>
        <v>46.038383612184717</v>
      </c>
      <c r="Z237" s="383">
        <f t="shared" si="89"/>
        <v>47.86755036560028</v>
      </c>
      <c r="AA237" s="384">
        <f t="shared" si="90"/>
        <v>50.963006847161253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6.0739282728044124E-2</v>
      </c>
      <c r="AD237" s="230">
        <f>(INDEX(Models!$BJ237:$BT237,,AH237)*(1-AF237)+INDEX(Models!$BJ237:$BT237,,AH237+1)*AF237-ERP_i)*AE237*Ramure*Pc/MaxiM</f>
        <v>5.3531095355246648E-4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'2023'!Wh/'2023'!Env_an*'2024'!Env_an</f>
        <v>49.045057420909224</v>
      </c>
      <c r="C238" s="829"/>
      <c r="D238" s="391">
        <f t="shared" si="77"/>
        <v>50.994660660020593</v>
      </c>
      <c r="E238" s="383">
        <f t="shared" si="100"/>
        <v>51.981132980747041</v>
      </c>
      <c r="F238" s="383">
        <f t="shared" si="78"/>
        <v>52.005532700223156</v>
      </c>
      <c r="G238" s="110">
        <f t="shared" si="101"/>
        <v>0.89793596552894939</v>
      </c>
      <c r="H238" s="412" t="b">
        <f>Wh_hp&gt;='2023'!Maxi_hp</f>
        <v>0</v>
      </c>
      <c r="I238" s="388">
        <f>IF(H238,Wh_hp,'2023'!Maxi_hp)</f>
        <v>52.007510007500251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3.8231517062331188E-2</v>
      </c>
      <c r="M238" s="832"/>
      <c r="N238" s="832"/>
      <c r="O238" s="48">
        <f>IF(t&lt;Tnet,'2023'!Resal+('2023'!Salim-'2023'!Resal)*(1-EXP(('2023'!Tnet-t)/('2023'!Tau_j))),Resal+(Salim-Resal)*(1-EXP((Tnet-t)/(Tau_j))))*Salcycl</f>
        <v>1.8977507109970454E-2</v>
      </c>
      <c r="P238" s="169">
        <f>(INDEX(Models!$BJ238:$BT238,,T238)*(1-R238)+INDEX(Models!$BJ238:$BT238,,T238+1)*R238-ERP_i)*Q238*Ramure*Pc/MaxiM</f>
        <v>5.4919482181263056E-4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54.615398989414437</v>
      </c>
      <c r="W238" s="400">
        <f t="shared" si="86"/>
        <v>49.045057420909224</v>
      </c>
      <c r="X238" s="157">
        <f t="shared" si="87"/>
        <v>45515</v>
      </c>
      <c r="Y238" s="383">
        <f t="shared" si="88"/>
        <v>46.955322939813598</v>
      </c>
      <c r="Z238" s="383">
        <f t="shared" si="89"/>
        <v>48.821856582772554</v>
      </c>
      <c r="AA238" s="384">
        <f t="shared" si="90"/>
        <v>51.981132980747041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6.0777367033239417E-2</v>
      </c>
      <c r="AD238" s="230">
        <f>(INDEX(Models!$BJ238:$BT238,,AH238)*(1-AF238)+INDEX(Models!$BJ238:$BT238,,AH238+1)*AF238-ERP_i)*AE238*Ramure*Pc/MaxiM</f>
        <v>5.4919482181263056E-4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'2023'!Wh/'2023'!Env_an*'2024'!Env_an</f>
        <v>36.909963209474824</v>
      </c>
      <c r="C239" s="829"/>
      <c r="D239" s="391">
        <f t="shared" si="77"/>
        <v>38.37791656606845</v>
      </c>
      <c r="E239" s="383">
        <f t="shared" si="100"/>
        <v>39.123422629236217</v>
      </c>
      <c r="F239" s="383">
        <f t="shared" si="78"/>
        <v>39.135329660333632</v>
      </c>
      <c r="G239" s="110">
        <f t="shared" si="101"/>
        <v>0.6776082053472452</v>
      </c>
      <c r="H239" s="412" t="b">
        <f>Wh_hp&gt;='2023'!Maxi_hp</f>
        <v>0</v>
      </c>
      <c r="I239" s="388">
        <f>IF(H239,Wh_hp,'2023'!Maxi_hp)</f>
        <v>49.870847104426645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3.824994913589197E-2</v>
      </c>
      <c r="M239" s="832"/>
      <c r="N239" s="832"/>
      <c r="O239" s="48">
        <f>IF(t&lt;Tnet,'2023'!Resal+('2023'!Salim-'2023'!Resal)*(1-EXP(('2023'!Tnet-t)/('2023'!Tau_j))),Resal+(Salim-Resal)*(1-EXP((Tnet-t)/(Tau_j))))*Salcycl</f>
        <v>1.9055236302630264E-2</v>
      </c>
      <c r="P239" s="169">
        <f>(INDEX(Models!$BJ239:$BT239,,T239)*(1-R239)+INDEX(Models!$BJ239:$BT239,,T239+1)*R239-ERP_i)*Q239*Ramure*Pc/MaxiM</f>
        <v>5.6375292114300361E-4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54.456811267790123</v>
      </c>
      <c r="W239" s="400">
        <f t="shared" si="86"/>
        <v>36.909963209474824</v>
      </c>
      <c r="X239" s="157">
        <f t="shared" si="87"/>
        <v>45516</v>
      </c>
      <c r="Y239" s="383">
        <f t="shared" si="88"/>
        <v>35.338660395597117</v>
      </c>
      <c r="Z239" s="383">
        <f t="shared" si="89"/>
        <v>36.744121161050344</v>
      </c>
      <c r="AA239" s="384">
        <f t="shared" si="90"/>
        <v>39.123422629236217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6.0815268917905577E-2</v>
      </c>
      <c r="AD239" s="230">
        <f>(INDEX(Models!$BJ239:$BT239,,AH239)*(1-AF239)+INDEX(Models!$BJ239:$BT239,,AH239+1)*AF239-ERP_i)*AE239*Ramure*Pc/MaxiM</f>
        <v>5.6375292114300361E-4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'2023'!Wh/'2023'!Env_an*'2024'!Env_an</f>
        <v>35.034783370044039</v>
      </c>
      <c r="C240" s="829"/>
      <c r="D240" s="391">
        <f t="shared" si="77"/>
        <v>36.428856733684867</v>
      </c>
      <c r="E240" s="383">
        <f t="shared" si="100"/>
        <v>37.139439754320605</v>
      </c>
      <c r="F240" s="383">
        <f t="shared" si="78"/>
        <v>37.150052879982397</v>
      </c>
      <c r="G240" s="110">
        <f t="shared" si="101"/>
        <v>0.64507396936567518</v>
      </c>
      <c r="H240" s="412" t="b">
        <f>Wh_hp&gt;='2023'!Maxi_hp</f>
        <v>0</v>
      </c>
      <c r="I240" s="388">
        <f>IF(H240,Wh_hp,'2023'!Maxi_hp)</f>
        <v>56.99494858795164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3.8268380856206319E-2</v>
      </c>
      <c r="M240" s="832"/>
      <c r="N240" s="832"/>
      <c r="O240" s="48">
        <f>IF(t&lt;Tnet,'2023'!Resal+('2023'!Salim-'2023'!Resal)*(1-EXP(('2023'!Tnet-t)/('2023'!Tau_j))),Resal+(Salim-Resal)*(1-EXP((Tnet-t)/(Tau_j))))*Salcycl</f>
        <v>1.9132841672795324E-2</v>
      </c>
      <c r="P240" s="169">
        <f>(INDEX(Models!$BJ240:$BT240,,T240)*(1-R240)+INDEX(Models!$BJ240:$BT240,,T240+1)*R240-ERP_i)*Q240*Ramure*Pc/MaxiM</f>
        <v>5.7920371618357743E-4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54.295319060814066</v>
      </c>
      <c r="W240" s="400">
        <f t="shared" si="86"/>
        <v>35.034783370044039</v>
      </c>
      <c r="X240" s="157">
        <f t="shared" si="87"/>
        <v>45517</v>
      </c>
      <c r="Y240" s="383">
        <f t="shared" si="88"/>
        <v>33.544616058816814</v>
      </c>
      <c r="Z240" s="383">
        <f t="shared" si="89"/>
        <v>34.879393992141772</v>
      </c>
      <c r="AA240" s="384">
        <f t="shared" si="90"/>
        <v>37.139439754320605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6.0852984781923393E-2</v>
      </c>
      <c r="AD240" s="230">
        <f>(INDEX(Models!$BJ240:$BT240,,AH240)*(1-AF240)+INDEX(Models!$BJ240:$BT240,,AH240+1)*AF240-ERP_i)*AE240*Ramure*Pc/MaxiM</f>
        <v>5.7920371618357743E-4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'2023'!Wh/'2023'!Env_an*'2024'!Env_an</f>
        <v>39.687253761133256</v>
      </c>
      <c r="C241" s="829"/>
      <c r="D241" s="391">
        <f t="shared" si="77"/>
        <v>41.267245022273158</v>
      </c>
      <c r="E241" s="383">
        <f t="shared" si="100"/>
        <v>42.07552946868595</v>
      </c>
      <c r="F241" s="383">
        <f t="shared" si="78"/>
        <v>42.091033920745296</v>
      </c>
      <c r="G241" s="110">
        <f t="shared" si="101"/>
        <v>0.73300772842331297</v>
      </c>
      <c r="H241" s="412" t="b">
        <f>Wh_hp&gt;='2023'!Maxi_hp</f>
        <v>0</v>
      </c>
      <c r="I241" s="388">
        <f>IF(H241,Wh_hp,'2023'!Maxi_hp)</f>
        <v>50.673625731633024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3.8286812223281008E-2</v>
      </c>
      <c r="M241" s="832"/>
      <c r="N241" s="832"/>
      <c r="O241" s="48">
        <f>IF(t&lt;Tnet,'2023'!Resal+('2023'!Salim-'2023'!Resal)*(1-EXP(('2023'!Tnet-t)/('2023'!Tau_j))),Resal+(Salim-Resal)*(1-EXP((Tnet-t)/(Tau_j))))*Salcycl</f>
        <v>1.9210321453336596E-2</v>
      </c>
      <c r="P241" s="169">
        <f>(INDEX(Models!$BJ241:$BT241,,T241)*(1-R241)+INDEX(Models!$BJ241:$BT241,,T241+1)*R241-ERP_i)*Q241*Ramure*Pc/MaxiM</f>
        <v>5.9525402504974898E-4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54.130732751983814</v>
      </c>
      <c r="W241" s="400">
        <f t="shared" si="86"/>
        <v>39.687253761133256</v>
      </c>
      <c r="X241" s="157">
        <f t="shared" si="87"/>
        <v>45518</v>
      </c>
      <c r="Y241" s="383">
        <f t="shared" si="88"/>
        <v>38.000681941773884</v>
      </c>
      <c r="Z241" s="383">
        <f t="shared" si="89"/>
        <v>39.513529007149792</v>
      </c>
      <c r="AA241" s="384">
        <f t="shared" si="90"/>
        <v>42.07552946868595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6.0890510324840566E-2</v>
      </c>
      <c r="AD241" s="230">
        <f>(INDEX(Models!$BJ241:$BT241,,AH241)*(1-AF241)+INDEX(Models!$BJ241:$BT241,,AH241+1)*AF241-ERP_i)*AE241*Ramure*Pc/MaxiM</f>
        <v>5.9525402504974898E-4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'2023'!Wh/'2023'!Env_an*'2024'!Env_an</f>
        <v>36.707043931268103</v>
      </c>
      <c r="C242" s="829"/>
      <c r="D242" s="391">
        <f t="shared" si="77"/>
        <v>38.169121411066264</v>
      </c>
      <c r="E242" s="383">
        <f t="shared" si="100"/>
        <v>38.919793690613602</v>
      </c>
      <c r="F242" s="383">
        <f t="shared" si="78"/>
        <v>38.932734169069029</v>
      </c>
      <c r="G242" s="110">
        <f t="shared" si="101"/>
        <v>0.68003788168620782</v>
      </c>
      <c r="H242" s="412" t="b">
        <f>Wh_hp&gt;='2023'!Maxi_hp</f>
        <v>0</v>
      </c>
      <c r="I242" s="388">
        <f>IF(H242,Wh_hp,'2023'!Maxi_hp)</f>
        <v>55.891220971481495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3.8305243237122699E-2</v>
      </c>
      <c r="M242" s="832"/>
      <c r="N242" s="832"/>
      <c r="O242" s="48">
        <f>IF(t&lt;Tnet,'2023'!Resal+('2023'!Salim-'2023'!Resal)*(1-EXP(('2023'!Tnet-t)/('2023'!Tau_j))),Resal+(Salim-Resal)*(1-EXP((Tnet-t)/(Tau_j))))*Salcycl</f>
        <v>1.9287673658156642E-2</v>
      </c>
      <c r="P242" s="169">
        <f>(INDEX(Models!$BJ242:$BT242,,T242)*(1-R242)+INDEX(Models!$BJ242:$BT242,,T242+1)*R242-ERP_i)*Q242*Ramure*Pc/MaxiM</f>
        <v>6.1191242421914738E-4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53.962846356471687</v>
      </c>
      <c r="W242" s="400">
        <f t="shared" si="86"/>
        <v>36.707043931268103</v>
      </c>
      <c r="X242" s="157">
        <f t="shared" si="87"/>
        <v>45519</v>
      </c>
      <c r="Y242" s="383">
        <f t="shared" si="88"/>
        <v>35.148495724579391</v>
      </c>
      <c r="Z242" s="383">
        <f t="shared" si="89"/>
        <v>36.548494704173443</v>
      </c>
      <c r="AA242" s="384">
        <f t="shared" si="90"/>
        <v>38.919793690613602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6.0927840607029077E-2</v>
      </c>
      <c r="AD242" s="230">
        <f>(INDEX(Models!$BJ242:$BT242,,AH242)*(1-AF242)+INDEX(Models!$BJ242:$BT242,,AH242+1)*AF242-ERP_i)*AE242*Ramure*Pc/MaxiM</f>
        <v>6.1191242421914738E-4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'2023'!Wh/'2023'!Env_an*'2024'!Env_an</f>
        <v>29.44977377224685</v>
      </c>
      <c r="C243" s="829"/>
      <c r="D243" s="391">
        <f t="shared" si="77"/>
        <v>30.623373969918493</v>
      </c>
      <c r="E243" s="383">
        <f t="shared" si="100"/>
        <v>31.228102938633931</v>
      </c>
      <c r="F243" s="383">
        <f t="shared" si="78"/>
        <v>31.235051030314732</v>
      </c>
      <c r="G243" s="110">
        <f t="shared" si="101"/>
        <v>0.54725779746311798</v>
      </c>
      <c r="H243" s="412" t="b">
        <f>Wh_hp&gt;='2023'!Maxi_hp</f>
        <v>0</v>
      </c>
      <c r="I243" s="388">
        <f>IF(H243,Wh_hp,'2023'!Maxi_hp)</f>
        <v>54.973908818601828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3.8323673897738275E-2</v>
      </c>
      <c r="M243" s="832"/>
      <c r="N243" s="832"/>
      <c r="O243" s="48">
        <f>IF(t&lt;Tnet,'2023'!Resal+('2023'!Salim-'2023'!Resal)*(1-EXP(('2023'!Tnet-t)/('2023'!Tau_j))),Resal+(Salim-Resal)*(1-EXP((Tnet-t)/(Tau_j))))*Salcycl</f>
        <v>1.9364896097075875E-2</v>
      </c>
      <c r="P243" s="169">
        <f>(INDEX(Models!$BJ243:$BT243,,T243)*(1-R243)+INDEX(Models!$BJ243:$BT243,,T243+1)*R243-ERP_i)*Q243*Ramure*Pc/MaxiM</f>
        <v>6.2918784209284057E-4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53.79145398935794</v>
      </c>
      <c r="W243" s="400">
        <f t="shared" si="86"/>
        <v>29.44977377224685</v>
      </c>
      <c r="X243" s="157">
        <f t="shared" si="87"/>
        <v>45520</v>
      </c>
      <c r="Y243" s="383">
        <f t="shared" si="88"/>
        <v>28.200468333733742</v>
      </c>
      <c r="Z243" s="383">
        <f t="shared" si="89"/>
        <v>29.324282576479884</v>
      </c>
      <c r="AA243" s="384">
        <f t="shared" si="90"/>
        <v>31.228102938633931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6.0964970107061117E-2</v>
      </c>
      <c r="AD243" s="230">
        <f>(INDEX(Models!$BJ243:$BT243,,AH243)*(1-AF243)+INDEX(Models!$BJ243:$BT243,,AH243+1)*AF243-ERP_i)*AE243*Ramure*Pc/MaxiM</f>
        <v>6.2918784209284057E-4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'2023'!Wh/'2023'!Env_an*'2024'!Env_an</f>
        <v>37.363911447277779</v>
      </c>
      <c r="C244" s="829"/>
      <c r="D244" s="391">
        <f t="shared" si="77"/>
        <v>38.853641831115375</v>
      </c>
      <c r="E244" s="383">
        <f t="shared" si="100"/>
        <v>39.624011319901783</v>
      </c>
      <c r="F244" s="383">
        <f t="shared" si="78"/>
        <v>39.638553793218989</v>
      </c>
      <c r="G244" s="110">
        <f t="shared" si="101"/>
        <v>0.69667998400831554</v>
      </c>
      <c r="H244" s="412" t="b">
        <f>Wh_hp&gt;='2023'!Maxi_hp</f>
        <v>0</v>
      </c>
      <c r="I244" s="388">
        <f>IF(H244,Wh_hp,'2023'!Maxi_hp)</f>
        <v>54.287330596628593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3.8342104205134397E-2</v>
      </c>
      <c r="M244" s="832"/>
      <c r="N244" s="832"/>
      <c r="O244" s="48">
        <f>IF(t&lt;Tnet,'2023'!Resal+('2023'!Salim-'2023'!Resal)*(1-EXP(('2023'!Tnet-t)/('2023'!Tau_j))),Resal+(Salim-Resal)*(1-EXP((Tnet-t)/(Tau_j))))*Salcycl</f>
        <v>1.9441986389688852E-2</v>
      </c>
      <c r="P244" s="169">
        <f>(INDEX(Models!$BJ244:$BT244,,T244)*(1-R244)+INDEX(Models!$BJ244:$BT244,,T244+1)*R244-ERP_i)*Q244*Ramure*Pc/MaxiM</f>
        <v>6.4708958840415656E-4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53.616349864271264</v>
      </c>
      <c r="W244" s="400">
        <f t="shared" si="86"/>
        <v>37.363911447277779</v>
      </c>
      <c r="X244" s="157">
        <f t="shared" si="87"/>
        <v>45521</v>
      </c>
      <c r="Y244" s="383">
        <f t="shared" si="88"/>
        <v>35.780281880877567</v>
      </c>
      <c r="Z244" s="383">
        <f t="shared" si="89"/>
        <v>37.206871630064562</v>
      </c>
      <c r="AA244" s="384">
        <f t="shared" si="90"/>
        <v>39.624011319901783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6.1001892774626101E-2</v>
      </c>
      <c r="AD244" s="230">
        <f>(INDEX(Models!$BJ244:$BT244,,AH244)*(1-AF244)+INDEX(Models!$BJ244:$BT244,,AH244+1)*AF244-ERP_i)*AE244*Ramure*Pc/MaxiM</f>
        <v>6.4708958840415656E-4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'2023'!Wh/'2023'!Env_an*'2024'!Env_an</f>
        <v>42.560281177885116</v>
      </c>
      <c r="C245" s="829"/>
      <c r="D245" s="391">
        <f t="shared" si="77"/>
        <v>44.258043362101581</v>
      </c>
      <c r="E245" s="383">
        <f t="shared" si="100"/>
        <v>45.139111051655775</v>
      </c>
      <c r="F245" s="383">
        <f t="shared" si="78"/>
        <v>45.1604301438474</v>
      </c>
      <c r="G245" s="110">
        <f t="shared" si="101"/>
        <v>0.79629803702710134</v>
      </c>
      <c r="H245" s="412" t="b">
        <f>Wh_hp&gt;='2023'!Maxi_hp</f>
        <v>0</v>
      </c>
      <c r="I245" s="388">
        <f>IF(H245,Wh_hp,'2023'!Maxi_hp)</f>
        <v>46.197672752985881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3.8360534159317838E-2</v>
      </c>
      <c r="M245" s="832"/>
      <c r="N245" s="832"/>
      <c r="O245" s="48">
        <f>IF(t&lt;Tnet,'2023'!Resal+('2023'!Salim-'2023'!Resal)*(1-EXP(('2023'!Tnet-t)/('2023'!Tau_j))),Resal+(Salim-Resal)*(1-EXP((Tnet-t)/(Tau_j))))*Salcycl</f>
        <v>1.9518941977965099E-2</v>
      </c>
      <c r="P245" s="169">
        <f>(INDEX(Models!$BJ245:$BT245,,T245)*(1-R245)+INDEX(Models!$BJ245:$BT245,,T245+1)*R245-ERP_i)*Q245*Ramure*Pc/MaxiM</f>
        <v>6.6562738469211856E-4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53.437328296534403</v>
      </c>
      <c r="W245" s="400">
        <f t="shared" si="86"/>
        <v>42.560281177885116</v>
      </c>
      <c r="X245" s="157">
        <f t="shared" si="87"/>
        <v>45522</v>
      </c>
      <c r="Y245" s="383">
        <f t="shared" si="88"/>
        <v>40.758014429510169</v>
      </c>
      <c r="Z245" s="383">
        <f t="shared" si="89"/>
        <v>42.383882814001183</v>
      </c>
      <c r="AA245" s="384">
        <f t="shared" si="90"/>
        <v>45.139111051655775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6.1038602078397085E-2</v>
      </c>
      <c r="AD245" s="230">
        <f>(INDEX(Models!$BJ245:$BT245,,AH245)*(1-AF245)+INDEX(Models!$BJ245:$BT245,,AH245+1)*AF245-ERP_i)*AE245*Ramure*Pc/MaxiM</f>
        <v>6.6562738469211856E-4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'2023'!Wh/'2023'!Env_an*'2024'!Env_an</f>
        <v>51.109922433303197</v>
      </c>
      <c r="C246" s="829"/>
      <c r="D246" s="391">
        <f t="shared" si="77"/>
        <v>53.149754952493531</v>
      </c>
      <c r="E246" s="383">
        <f t="shared" si="100"/>
        <v>54.212081906073692</v>
      </c>
      <c r="F246" s="383">
        <f t="shared" si="78"/>
        <v>54.247094087515919</v>
      </c>
      <c r="G246" s="110">
        <f t="shared" si="101"/>
        <v>0.95969751701112072</v>
      </c>
      <c r="H246" s="412" t="b">
        <f>Wh_hp&gt;='2023'!Maxi_hp</f>
        <v>0</v>
      </c>
      <c r="I246" s="388">
        <f>IF(H246,Wh_hp,'2023'!Maxi_hp)</f>
        <v>54.248110681105196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3.8378963760295481E-2</v>
      </c>
      <c r="M246" s="832"/>
      <c r="N246" s="832"/>
      <c r="O246" s="48">
        <f>IF(t&lt;Tnet,'2023'!Resal+('2023'!Salim-'2023'!Resal)*(1-EXP(('2023'!Tnet-t)/('2023'!Tau_j))),Resal+(Salim-Resal)*(1-EXP((Tnet-t)/(Tau_j))))*Salcycl</f>
        <v>1.9595760137393746E-2</v>
      </c>
      <c r="P246" s="169">
        <f>(INDEX(Models!$BJ246:$BT246,,T246)*(1-R246)+INDEX(Models!$BJ246:$BT246,,T246+1)*R246-ERP_i)*Q246*Ramure*Pc/MaxiM</f>
        <v>6.8481139608052841E-4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53.254183695020487</v>
      </c>
      <c r="W246" s="400">
        <f t="shared" si="86"/>
        <v>51.109922433303197</v>
      </c>
      <c r="X246" s="157">
        <f t="shared" si="87"/>
        <v>45523</v>
      </c>
      <c r="Y246" s="383">
        <f t="shared" si="88"/>
        <v>48.947543590733872</v>
      </c>
      <c r="Z246" s="383">
        <f t="shared" si="89"/>
        <v>50.901074067739771</v>
      </c>
      <c r="AA246" s="384">
        <f t="shared" si="90"/>
        <v>54.212081906073692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6.1075091048347525E-2</v>
      </c>
      <c r="AD246" s="230">
        <f>(INDEX(Models!$BJ246:$BT246,,AH246)*(1-AF246)+INDEX(Models!$BJ246:$BT246,,AH246+1)*AF246-ERP_i)*AE246*Ramure*Pc/MaxiM</f>
        <v>6.8481139608052841E-4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'2023'!Wh/'2023'!Env_an*'2024'!Env_an</f>
        <v>34.524083431851714</v>
      </c>
      <c r="C247" s="829"/>
      <c r="D247" s="391">
        <f t="shared" si="77"/>
        <v>35.902651657579781</v>
      </c>
      <c r="E247" s="383">
        <f t="shared" si="100"/>
        <v>36.623117668791345</v>
      </c>
      <c r="F247" s="383">
        <f t="shared" si="78"/>
        <v>36.636046495890135</v>
      </c>
      <c r="G247" s="110">
        <f t="shared" si="101"/>
        <v>0.65034366331554982</v>
      </c>
      <c r="H247" s="412" t="b">
        <f>Wh_hp&gt;='2023'!Maxi_hp</f>
        <v>0</v>
      </c>
      <c r="I247" s="388">
        <f>IF(H247,Wh_hp,'2023'!Maxi_hp)</f>
        <v>54.553633144965026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3.8397393008073988E-2</v>
      </c>
      <c r="M247" s="832"/>
      <c r="N247" s="832"/>
      <c r="O247" s="48">
        <f>IF(t&lt;Tnet,'2023'!Resal+('2023'!Salim-'2023'!Resal)*(1-EXP(('2023'!Tnet-t)/('2023'!Tau_j))),Resal+(Salim-Resal)*(1-EXP((Tnet-t)/(Tau_j))))*Salcycl</f>
        <v>1.9672437986499286E-2</v>
      </c>
      <c r="P247" s="169">
        <f>(INDEX(Models!$BJ247:$BT247,,T247)*(1-R247)+INDEX(Models!$BJ247:$BT247,,T247+1)*R247-ERP_i)*Q247*Ramure*Pc/MaxiM</f>
        <v>7.0464539892043851E-4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53.067227947788375</v>
      </c>
      <c r="W247" s="400">
        <f t="shared" si="86"/>
        <v>34.524083431851714</v>
      </c>
      <c r="X247" s="157">
        <f t="shared" si="87"/>
        <v>45524</v>
      </c>
      <c r="Y247" s="383">
        <f t="shared" si="88"/>
        <v>33.064733933848608</v>
      </c>
      <c r="Z247" s="383">
        <f t="shared" si="89"/>
        <v>34.385029422165694</v>
      </c>
      <c r="AA247" s="384">
        <f t="shared" si="90"/>
        <v>36.623117668791345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6.1111352312117777E-2</v>
      </c>
      <c r="AD247" s="230">
        <f>(INDEX(Models!$BJ247:$BT247,,AH247)*(1-AF247)+INDEX(Models!$BJ247:$BT247,,AH247+1)*AF247-ERP_i)*AE247*Ramure*Pc/MaxiM</f>
        <v>7.0464539892043851E-4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'2023'!Wh/'2023'!Env_an*'2024'!Env_an</f>
        <v>27.514514062664318</v>
      </c>
      <c r="C248" s="829"/>
      <c r="D248" s="391">
        <f t="shared" si="77"/>
        <v>28.613734178849047</v>
      </c>
      <c r="E248" s="383">
        <f t="shared" si="100"/>
        <v>29.190210850037598</v>
      </c>
      <c r="F248" s="383">
        <f t="shared" si="78"/>
        <v>29.196876641539031</v>
      </c>
      <c r="G248" s="110">
        <f t="shared" si="101"/>
        <v>0.52009167339976659</v>
      </c>
      <c r="H248" s="412" t="b">
        <f>Wh_hp&gt;='2023'!Maxi_hp</f>
        <v>0</v>
      </c>
      <c r="I248" s="388">
        <f>IF(H248,Wh_hp,'2023'!Maxi_hp)</f>
        <v>56.59830554422004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3.8415821902660241E-2</v>
      </c>
      <c r="M248" s="832"/>
      <c r="N248" s="832"/>
      <c r="O248" s="48">
        <f>IF(t&lt;Tnet,'2023'!Resal+('2023'!Salim-'2023'!Resal)*(1-EXP(('2023'!Tnet-t)/('2023'!Tau_j))),Resal+(Salim-Resal)*(1-EXP((Tnet-t)/(Tau_j))))*Salcycl</f>
        <v>1.9748972494585751E-2</v>
      </c>
      <c r="P248" s="169">
        <f>(INDEX(Models!$BJ248:$BT248,,T248)*(1-R248)+INDEX(Models!$BJ248:$BT248,,T248+1)*R248-ERP_i)*Q248*Ramure*Pc/MaxiM</f>
        <v>7.2526992428373468E-4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52.876903432545461</v>
      </c>
      <c r="W248" s="400">
        <f t="shared" si="86"/>
        <v>27.514514062664318</v>
      </c>
      <c r="X248" s="157">
        <f t="shared" si="87"/>
        <v>45525</v>
      </c>
      <c r="Y248" s="383">
        <f t="shared" si="88"/>
        <v>26.352508635552127</v>
      </c>
      <c r="Z248" s="383">
        <f t="shared" si="89"/>
        <v>27.405305989637966</v>
      </c>
      <c r="AA248" s="384">
        <f t="shared" si="90"/>
        <v>29.190210850037598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6.1147378125133774E-2</v>
      </c>
      <c r="AD248" s="230">
        <f>(INDEX(Models!$BJ248:$BT248,,AH248)*(1-AF248)+INDEX(Models!$BJ248:$BT248,,AH248+1)*AF248-ERP_i)*AE248*Ramure*Pc/MaxiM</f>
        <v>7.2526992428373468E-4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'2023'!Wh/'2023'!Env_an*'2024'!Env_an</f>
        <v>49.898019164711954</v>
      </c>
      <c r="C249" s="829"/>
      <c r="D249" s="391">
        <f t="shared" si="77"/>
        <v>51.892467247045104</v>
      </c>
      <c r="E249" s="383">
        <f t="shared" si="100"/>
        <v>52.942062725535948</v>
      </c>
      <c r="F249" s="383">
        <f t="shared" si="78"/>
        <v>52.978619539159823</v>
      </c>
      <c r="G249" s="110">
        <f t="shared" si="101"/>
        <v>0.94707950486975478</v>
      </c>
      <c r="H249" s="412" t="b">
        <f>Wh_hp&gt;='2023'!Maxi_hp</f>
        <v>0</v>
      </c>
      <c r="I249" s="388">
        <f>IF(H249,Wh_hp,'2023'!Maxi_hp)</f>
        <v>53.920594526150673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3.8434250444060791E-2</v>
      </c>
      <c r="M249" s="832"/>
      <c r="N249" s="832"/>
      <c r="O249" s="48">
        <f>IF(t&lt;Tnet,'2023'!Resal+('2023'!Salim-'2023'!Resal)*(1-EXP(('2023'!Tnet-t)/('2023'!Tau_j))),Resal+(Salim-Resal)*(1-EXP((Tnet-t)/(Tau_j))))*Salcycl</f>
        <v>1.9825360487599364E-2</v>
      </c>
      <c r="P249" s="169">
        <f>(INDEX(Models!$BJ249:$BT249,,T249)*(1-R249)+INDEX(Models!$BJ249:$BT249,,T249+1)*R249-ERP_i)*Q249*Ramure*Pc/MaxiM</f>
        <v>7.4640103848045932E-4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52.683226847228504</v>
      </c>
      <c r="W249" s="400">
        <f t="shared" si="86"/>
        <v>49.898019164711954</v>
      </c>
      <c r="X249" s="157">
        <f t="shared" si="87"/>
        <v>45526</v>
      </c>
      <c r="Y249" s="383">
        <f t="shared" si="88"/>
        <v>47.792606303407126</v>
      </c>
      <c r="Z249" s="383">
        <f t="shared" si="89"/>
        <v>49.702900010195073</v>
      </c>
      <c r="AA249" s="384">
        <f t="shared" si="90"/>
        <v>52.942062725535948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6.1183160394287152E-2</v>
      </c>
      <c r="AD249" s="230">
        <f>(INDEX(Models!$BJ249:$BT249,,AH249)*(1-AF249)+INDEX(Models!$BJ249:$BT249,,AH249+1)*AF249-ERP_i)*AE249*Ramure*Pc/MaxiM</f>
        <v>7.4640103848045932E-4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'2023'!Wh/'2023'!Env_an*'2024'!Env_an</f>
        <v>47.56935805728255</v>
      </c>
      <c r="C250" s="829"/>
      <c r="D250" s="391">
        <f t="shared" si="77"/>
        <v>49.471676536542454</v>
      </c>
      <c r="E250" s="383">
        <f t="shared" si="100"/>
        <v>50.476234292905886</v>
      </c>
      <c r="F250" s="383">
        <f t="shared" si="78"/>
        <v>50.509836468751864</v>
      </c>
      <c r="G250" s="110">
        <f t="shared" si="101"/>
        <v>0.90622803505640204</v>
      </c>
      <c r="H250" s="412" t="b">
        <f>Wh_hp&gt;='2023'!Maxi_hp</f>
        <v>0</v>
      </c>
      <c r="I250" s="388">
        <f>IF(H250,Wh_hp,'2023'!Maxi_hp)</f>
        <v>53.710943273979339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3.8452678632282633E-2</v>
      </c>
      <c r="M250" s="832"/>
      <c r="N250" s="832"/>
      <c r="O250" s="48">
        <f>IF(t&lt;Tnet,'2023'!Resal+('2023'!Salim-'2023'!Resal)*(1-EXP(('2023'!Tnet-t)/('2023'!Tau_j))),Resal+(Salim-Resal)*(1-EXP((Tnet-t)/(Tau_j))))*Salcycl</f>
        <v>1.9901598652033666E-2</v>
      </c>
      <c r="P250" s="169">
        <f>(INDEX(Models!$BJ250:$BT250,,T250)*(1-R250)+INDEX(Models!$BJ250:$BT250,,T250+1)*R250-ERP_i)*Q250*Ramure*Pc/MaxiM</f>
        <v>7.6804503502987101E-4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52.486199440086367</v>
      </c>
      <c r="W250" s="400">
        <f t="shared" si="86"/>
        <v>47.56935805728255</v>
      </c>
      <c r="X250" s="157">
        <f t="shared" si="87"/>
        <v>45527</v>
      </c>
      <c r="Y250" s="383">
        <f t="shared" si="88"/>
        <v>45.564021100729065</v>
      </c>
      <c r="Z250" s="383">
        <f t="shared" si="89"/>
        <v>47.386145318275354</v>
      </c>
      <c r="AA250" s="384">
        <f t="shared" si="90"/>
        <v>50.476234292905886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6.1218690695094592E-2</v>
      </c>
      <c r="AD250" s="230">
        <f>(INDEX(Models!$BJ250:$BT250,,AH250)*(1-AF250)+INDEX(Models!$BJ250:$BT250,,AH250+1)*AF250-ERP_i)*AE250*Ramure*Pc/MaxiM</f>
        <v>7.6804503502987101E-4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'2023'!Wh/'2023'!Env_an*'2024'!Env_an</f>
        <v>33.350736539181348</v>
      </c>
      <c r="C251" s="829"/>
      <c r="D251" s="391">
        <f t="shared" si="77"/>
        <v>34.685111142786759</v>
      </c>
      <c r="E251" s="383">
        <f t="shared" si="100"/>
        <v>35.392164606988821</v>
      </c>
      <c r="F251" s="383">
        <f t="shared" si="78"/>
        <v>35.405668094149647</v>
      </c>
      <c r="G251" s="110">
        <f t="shared" si="101"/>
        <v>0.6375934332217621</v>
      </c>
      <c r="H251" s="412" t="b">
        <f>Wh_hp&gt;='2023'!Maxi_hp</f>
        <v>0</v>
      </c>
      <c r="I251" s="388">
        <f>IF(H251,Wh_hp,'2023'!Maxi_hp)</f>
        <v>50.59926404911738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3.8471106467332539E-2</v>
      </c>
      <c r="M251" s="832"/>
      <c r="N251" s="832"/>
      <c r="O251" s="48">
        <f>IF(t&lt;Tnet,'2023'!Resal+('2023'!Salim-'2023'!Resal)*(1-EXP(('2023'!Tnet-t)/('2023'!Tau_j))),Resal+(Salim-Resal)*(1-EXP((Tnet-t)/(Tau_j))))*Salcycl</f>
        <v>1.9977683536836949E-2</v>
      </c>
      <c r="P251" s="169">
        <f>(INDEX(Models!$BJ251:$BT251,,T251)*(1-R251)+INDEX(Models!$BJ251:$BT251,,T251+1)*R251-ERP_i)*Q251*Ramure*Pc/MaxiM</f>
        <v>7.9020856903030923E-4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52.285822457119501</v>
      </c>
      <c r="W251" s="400">
        <f t="shared" si="86"/>
        <v>33.350736539181348</v>
      </c>
      <c r="X251" s="157">
        <f t="shared" si="87"/>
        <v>45528</v>
      </c>
      <c r="Y251" s="383">
        <f t="shared" si="88"/>
        <v>31.946080534993126</v>
      </c>
      <c r="Z251" s="383">
        <f t="shared" si="89"/>
        <v>33.224254361845418</v>
      </c>
      <c r="AA251" s="384">
        <f t="shared" si="90"/>
        <v>35.392164606988821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6.1253960282364669E-2</v>
      </c>
      <c r="AD251" s="230">
        <f>(INDEX(Models!$BJ251:$BT251,,AH251)*(1-AF251)+INDEX(Models!$BJ251:$BT251,,AH251+1)*AF251-ERP_i)*AE251*Ramure*Pc/MaxiM</f>
        <v>7.9020856903030923E-4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'2023'!Wh/'2023'!Env_an*'2024'!Env_an</f>
        <v>44.289096831446201</v>
      </c>
      <c r="C252" s="829"/>
      <c r="D252" s="391">
        <f t="shared" si="77"/>
        <v>46.062001814036456</v>
      </c>
      <c r="E252" s="383">
        <f t="shared" si="100"/>
        <v>47.004614086133394</v>
      </c>
      <c r="F252" s="383">
        <f t="shared" si="78"/>
        <v>47.034675647579085</v>
      </c>
      <c r="G252" s="110">
        <f t="shared" si="101"/>
        <v>0.8502229855088077</v>
      </c>
      <c r="H252" s="412" t="b">
        <f>Wh_hp&gt;='2023'!Maxi_hp</f>
        <v>0</v>
      </c>
      <c r="I252" s="388">
        <f>IF(H252,Wh_hp,'2023'!Maxi_hp)</f>
        <v>53.844483293966427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3.8489533949217059E-2</v>
      </c>
      <c r="M252" s="832"/>
      <c r="N252" s="832"/>
      <c r="O252" s="48">
        <f>IF(t&lt;Tnet,'2023'!Resal+('2023'!Salim-'2023'!Resal)*(1-EXP(('2023'!Tnet-t)/('2023'!Tau_j))),Resal+(Salim-Resal)*(1-EXP((Tnet-t)/(Tau_j))))*Salcycl</f>
        <v>2.0053611553317932E-2</v>
      </c>
      <c r="P252" s="169">
        <f>(INDEX(Models!$BJ252:$BT252,,T252)*(1-R252)+INDEX(Models!$BJ252:$BT252,,T252+1)*R252-ERP_i)*Q252*Ramure*Pc/MaxiM</f>
        <v>8.1289790437968597E-4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52.082097182943336</v>
      </c>
      <c r="W252" s="400">
        <f t="shared" si="86"/>
        <v>44.289096831446201</v>
      </c>
      <c r="X252" s="157">
        <f t="shared" si="87"/>
        <v>45529</v>
      </c>
      <c r="Y252" s="383">
        <f t="shared" si="88"/>
        <v>42.425447589048275</v>
      </c>
      <c r="Z252" s="383">
        <f t="shared" si="89"/>
        <v>44.123750169150568</v>
      </c>
      <c r="AA252" s="384">
        <f t="shared" si="90"/>
        <v>47.004614086133394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6.1288960094509029E-2</v>
      </c>
      <c r="AD252" s="230">
        <f>(INDEX(Models!$BJ252:$BT252,,AH252)*(1-AF252)+INDEX(Models!$BJ252:$BT252,,AH252+1)*AF252-ERP_i)*AE252*Ramure*Pc/MaxiM</f>
        <v>8.1289790437968597E-4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'2023'!Wh/'2023'!Env_an*'2024'!Env_an</f>
        <v>50.366046502663707</v>
      </c>
      <c r="C253" s="829"/>
      <c r="D253" s="391">
        <f t="shared" si="77"/>
        <v>52.383217399417923</v>
      </c>
      <c r="E253" s="383">
        <f t="shared" si="100"/>
        <v>53.459320317737095</v>
      </c>
      <c r="F253" s="383">
        <f t="shared" si="78"/>
        <v>53.502195595097611</v>
      </c>
      <c r="G253" s="110">
        <f t="shared" si="101"/>
        <v>0.97087751195119854</v>
      </c>
      <c r="H253" s="412" t="b">
        <f>Wh_hp&gt;='2023'!Maxi_hp</f>
        <v>0</v>
      </c>
      <c r="I253" s="388">
        <f>IF(H253,Wh_hp,'2023'!Maxi_hp)</f>
        <v>53.503080570691075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3.8507961077943076E-2</v>
      </c>
      <c r="M253" s="832"/>
      <c r="N253" s="832"/>
      <c r="O253" s="48">
        <f>IF(t&lt;Tnet,'2023'!Resal+('2023'!Salim-'2023'!Resal)*(1-EXP(('2023'!Tnet-t)/('2023'!Tau_j))),Resal+(Salim-Resal)*(1-EXP((Tnet-t)/(Tau_j))))*Salcycl</f>
        <v>2.0129378973083135E-2</v>
      </c>
      <c r="P253" s="169">
        <f>(INDEX(Models!$BJ253:$BT253,,T253)*(1-R253)+INDEX(Models!$BJ253:$BT253,,T253+1)*R253-ERP_i)*Q253*Ramure*Pc/MaxiM</f>
        <v>8.3611937696991597E-4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51.875024913295462</v>
      </c>
      <c r="W253" s="400">
        <f t="shared" si="86"/>
        <v>50.366046502663707</v>
      </c>
      <c r="X253" s="157">
        <f t="shared" si="87"/>
        <v>45530</v>
      </c>
      <c r="Y253" s="383">
        <f t="shared" si="88"/>
        <v>48.248630106553804</v>
      </c>
      <c r="Z253" s="383">
        <f t="shared" si="89"/>
        <v>50.180998025366975</v>
      </c>
      <c r="AA253" s="384">
        <f t="shared" si="90"/>
        <v>53.459320317737095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6.1323680751743721E-2</v>
      </c>
      <c r="AD253" s="230">
        <f>(INDEX(Models!$BJ253:$BT253,,AH253)*(1-AF253)+INDEX(Models!$BJ253:$BT253,,AH253+1)*AF253-ERP_i)*AE253*Ramure*Pc/MaxiM</f>
        <v>8.3611937696991597E-4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'2023'!Wh/'2023'!Env_an*'2024'!Env_an</f>
        <v>49.269454363494368</v>
      </c>
      <c r="C254" s="829"/>
      <c r="D254" s="391">
        <f t="shared" si="77"/>
        <v>51.243688584963543</v>
      </c>
      <c r="E254" s="383">
        <f t="shared" si="100"/>
        <v>52.300417576722865</v>
      </c>
      <c r="F254" s="383">
        <f t="shared" si="78"/>
        <v>52.342457881371871</v>
      </c>
      <c r="G254" s="110">
        <f t="shared" si="101"/>
        <v>0.9535862434089748</v>
      </c>
      <c r="H254" s="412" t="b">
        <f>Wh_hp&gt;='2023'!Maxi_hp</f>
        <v>0</v>
      </c>
      <c r="I254" s="388">
        <f>IF(H254,Wh_hp,'2023'!Maxi_hp)</f>
        <v>54.734917062438733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3.8526387853517474E-2</v>
      </c>
      <c r="M254" s="832"/>
      <c r="N254" s="832"/>
      <c r="O254" s="48">
        <f>IF(t&lt;Tnet,'2023'!Resal+('2023'!Salim-'2023'!Resal)*(1-EXP(('2023'!Tnet-t)/('2023'!Tau_j))),Resal+(Salim-Resal)*(1-EXP((Tnet-t)/(Tau_j))))*Salcycl</f>
        <v>2.0204981924076111E-2</v>
      </c>
      <c r="P254" s="169">
        <f>(INDEX(Models!$BJ254:$BT254,,T254)*(1-R254)+INDEX(Models!$BJ254:$BT254,,T254+1)*R254-ERP_i)*Q254*Ramure*Pc/MaxiM</f>
        <v>8.6014318883465284E-4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51.664593316607636</v>
      </c>
      <c r="W254" s="400">
        <f t="shared" si="86"/>
        <v>49.269454363494368</v>
      </c>
      <c r="X254" s="157">
        <f t="shared" si="87"/>
        <v>45531</v>
      </c>
      <c r="Y254" s="383">
        <f t="shared" si="88"/>
        <v>47.200049790282549</v>
      </c>
      <c r="Z254" s="383">
        <f t="shared" si="89"/>
        <v>49.091362668715156</v>
      </c>
      <c r="AA254" s="384">
        <f t="shared" si="90"/>
        <v>52.300417576722865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6.1358112548530623E-2</v>
      </c>
      <c r="AD254" s="230">
        <f>(INDEX(Models!$BJ254:$BT254,,AH254)*(1-AF254)+INDEX(Models!$BJ254:$BT254,,AH254+1)*AF254-ERP_i)*AE254*Ramure*Pc/MaxiM</f>
        <v>8.6014318883465284E-4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'2023'!Wh/'2023'!Env_an*'2024'!Env_an</f>
        <v>33.712927191222079</v>
      </c>
      <c r="C255" s="829"/>
      <c r="D255" s="391">
        <f t="shared" si="77"/>
        <v>35.064481103020455</v>
      </c>
      <c r="E255" s="383">
        <f t="shared" si="100"/>
        <v>35.790323771657384</v>
      </c>
      <c r="F255" s="383">
        <f t="shared" si="78"/>
        <v>35.806401189287712</v>
      </c>
      <c r="G255" s="110">
        <f t="shared" si="101"/>
        <v>0.65496008508577985</v>
      </c>
      <c r="H255" s="412" t="b">
        <f>Wh_hp&gt;='2023'!Maxi_hp</f>
        <v>0</v>
      </c>
      <c r="I255" s="388">
        <f>IF(H255,Wh_hp,'2023'!Maxi_hp)</f>
        <v>54.247939934538053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3.8544814275946915E-2</v>
      </c>
      <c r="M255" s="832"/>
      <c r="N255" s="832"/>
      <c r="O255" s="48">
        <f>IF(t&lt;Tnet,'2023'!Resal+('2023'!Salim-'2023'!Resal)*(1-EXP(('2023'!Tnet-t)/('2023'!Tau_j))),Resal+(Salim-Resal)*(1-EXP((Tnet-t)/(Tau_j))))*Salcycl</f>
        <v>2.0280416384825466E-2</v>
      </c>
      <c r="P255" s="169">
        <f>(INDEX(Models!$BJ255:$BT255,,T255)*(1-R255)+INDEX(Models!$BJ255:$BT255,,T255+1)*R255-ERP_i)*Q255*Ramure*Pc/MaxiM</f>
        <v>8.8475858636179031E-4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51.45081507317358</v>
      </c>
      <c r="W255" s="400">
        <f t="shared" si="86"/>
        <v>33.712927191222079</v>
      </c>
      <c r="X255" s="157">
        <f t="shared" si="87"/>
        <v>45532</v>
      </c>
      <c r="Y255" s="383">
        <f t="shared" si="88"/>
        <v>32.298236576847835</v>
      </c>
      <c r="Z255" s="383">
        <f t="shared" si="89"/>
        <v>33.593075430265287</v>
      </c>
      <c r="AA255" s="384">
        <f t="shared" si="90"/>
        <v>35.790323771657384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6.1392245440710702E-2</v>
      </c>
      <c r="AD255" s="230">
        <f>(INDEX(Models!$BJ255:$BT255,,AH255)*(1-AF255)+INDEX(Models!$BJ255:$BT255,,AH255+1)*AF255-ERP_i)*AE255*Ramure*Pc/MaxiM</f>
        <v>8.8475858636179031E-4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'2023'!Wh/'2023'!Env_an*'2024'!Env_an</f>
        <v>48.942039989301229</v>
      </c>
      <c r="C256" s="829"/>
      <c r="D256" s="391">
        <f t="shared" si="77"/>
        <v>50.905105819831157</v>
      </c>
      <c r="E256" s="383">
        <f t="shared" si="100"/>
        <v>51.962844765031853</v>
      </c>
      <c r="F256" s="383">
        <f t="shared" si="78"/>
        <v>52.007145820496653</v>
      </c>
      <c r="G256" s="110">
        <f t="shared" si="101"/>
        <v>0.95521502174879458</v>
      </c>
      <c r="H256" s="412" t="b">
        <f>Wh_hp&gt;='2023'!Maxi_hp</f>
        <v>0</v>
      </c>
      <c r="I256" s="388">
        <f>IF(H256,Wh_hp,'2023'!Maxi_hp)</f>
        <v>52.905760781813107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3.8563240345238059E-2</v>
      </c>
      <c r="M256" s="832"/>
      <c r="N256" s="832"/>
      <c r="O256" s="48">
        <f>IF(t&lt;Tnet,'2023'!Resal+('2023'!Salim-'2023'!Resal)*(1-EXP(('2023'!Tnet-t)/('2023'!Tau_j))),Resal+(Salim-Resal)*(1-EXP((Tnet-t)/(Tau_j))))*Salcycl</f>
        <v>2.035567817704436E-2</v>
      </c>
      <c r="P256" s="169">
        <f>(INDEX(Models!$BJ256:$BT256,,T256)*(1-R256)+INDEX(Models!$BJ256:$BT256,,T256+1)*R256-ERP_i)*Q256*Ramure*Pc/MaxiM</f>
        <v>9.0997277809060366E-4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51.233691516978482</v>
      </c>
      <c r="W256" s="400">
        <f t="shared" si="86"/>
        <v>48.942039989301229</v>
      </c>
      <c r="X256" s="157">
        <f t="shared" si="87"/>
        <v>45533</v>
      </c>
      <c r="Y256" s="383">
        <f t="shared" si="88"/>
        <v>46.890204780725526</v>
      </c>
      <c r="Z256" s="383">
        <f t="shared" si="89"/>
        <v>48.770971475610231</v>
      </c>
      <c r="AA256" s="384">
        <f t="shared" si="90"/>
        <v>51.962844765031853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6.1426069027875417E-2</v>
      </c>
      <c r="AD256" s="230">
        <f>(INDEX(Models!$BJ256:$BT256,,AH256)*(1-AF256)+INDEX(Models!$BJ256:$BT256,,AH256+1)*AF256-ERP_i)*AE256*Ramure*Pc/MaxiM</f>
        <v>9.0997277809060366E-4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'2023'!Wh/'2023'!Env_an*'2024'!Env_an</f>
        <v>25.279390068634619</v>
      </c>
      <c r="C257" s="829"/>
      <c r="D257" s="391">
        <f t="shared" si="77"/>
        <v>26.293850633234342</v>
      </c>
      <c r="E257" s="383">
        <f t="shared" si="100"/>
        <v>26.8422584529098</v>
      </c>
      <c r="F257" s="383">
        <f t="shared" si="78"/>
        <v>26.849277253449621</v>
      </c>
      <c r="G257" s="110">
        <f t="shared" si="101"/>
        <v>0.49521155027698882</v>
      </c>
      <c r="H257" s="412" t="b">
        <f>Wh_hp&gt;='2023'!Maxi_hp</f>
        <v>0</v>
      </c>
      <c r="I257" s="388">
        <f>IF(H257,Wh_hp,'2023'!Maxi_hp)</f>
        <v>52.429420207764473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3.8581666061397901E-2</v>
      </c>
      <c r="M257" s="832"/>
      <c r="N257" s="832"/>
      <c r="O257" s="48">
        <f>IF(t&lt;Tnet,'2023'!Resal+('2023'!Salim-'2023'!Resal)*(1-EXP(('2023'!Tnet-t)/('2023'!Tau_j))),Resal+(Salim-Resal)*(1-EXP((Tnet-t)/(Tau_j))))*Salcycl</f>
        <v>2.043076295675892E-2</v>
      </c>
      <c r="P257" s="169">
        <f>(INDEX(Models!$BJ257:$BT257,,T257)*(1-R257)+INDEX(Models!$BJ257:$BT257,,T257+1)*R257-ERP_i)*Q257*Ramure*Pc/MaxiM</f>
        <v>9.3579301218321427E-4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51.013224002685753</v>
      </c>
      <c r="W257" s="400">
        <f t="shared" si="86"/>
        <v>25.279390068634619</v>
      </c>
      <c r="X257" s="157">
        <f t="shared" si="87"/>
        <v>45534</v>
      </c>
      <c r="Y257" s="383">
        <f t="shared" si="88"/>
        <v>24.220574374886287</v>
      </c>
      <c r="Z257" s="383">
        <f t="shared" si="89"/>
        <v>25.192544722610894</v>
      </c>
      <c r="AA257" s="384">
        <f t="shared" si="90"/>
        <v>26.8422584529098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6.1459572531612681E-2</v>
      </c>
      <c r="AD257" s="230">
        <f>(INDEX(Models!$BJ257:$BT257,,AH257)*(1-AF257)+INDEX(Models!$BJ257:$BT257,,AH257+1)*AF257-ERP_i)*AE257*Ramure*Pc/MaxiM</f>
        <v>9.3579301218321427E-4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'2023'!Wh/'2023'!Env_an*'2024'!Env_an</f>
        <v>41.379450301896398</v>
      </c>
      <c r="C258" s="829"/>
      <c r="D258" s="391">
        <f t="shared" si="77"/>
        <v>43.040830285916279</v>
      </c>
      <c r="E258" s="383">
        <f t="shared" si="100"/>
        <v>43.941887973073392</v>
      </c>
      <c r="F258" s="383">
        <f t="shared" si="78"/>
        <v>43.973000939381613</v>
      </c>
      <c r="G258" s="110">
        <f t="shared" si="101"/>
        <v>0.81451824628774161</v>
      </c>
      <c r="H258" s="412" t="b">
        <f>Wh_hp&gt;='2023'!Maxi_hp</f>
        <v>0</v>
      </c>
      <c r="I258" s="388">
        <f>IF(H258,Wh_hp,'2023'!Maxi_hp)</f>
        <v>47.872949450269061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3.8600091424433103E-2</v>
      </c>
      <c r="M258" s="832"/>
      <c r="N258" s="832"/>
      <c r="O258" s="48">
        <f>IF(t&lt;Tnet,'2023'!Resal+('2023'!Salim-'2023'!Resal)*(1-EXP(('2023'!Tnet-t)/('2023'!Tau_j))),Resal+(Salim-Resal)*(1-EXP((Tnet-t)/(Tau_j))))*Salcycl</f>
        <v>2.0505666204175356E-2</v>
      </c>
      <c r="P258" s="169">
        <f>(INDEX(Models!$BJ258:$BT258,,T258)*(1-R258)+INDEX(Models!$BJ258:$BT258,,T258+1)*R258-ERP_i)*Q258*Ramure*Pc/MaxiM</f>
        <v>9.6222656522883655E-4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50.789413901522146</v>
      </c>
      <c r="W258" s="400">
        <f t="shared" si="86"/>
        <v>41.379450301896398</v>
      </c>
      <c r="X258" s="157">
        <f t="shared" si="87"/>
        <v>45535</v>
      </c>
      <c r="Y258" s="383">
        <f t="shared" si="88"/>
        <v>39.647921366985528</v>
      </c>
      <c r="Z258" s="383">
        <f t="shared" si="89"/>
        <v>41.239780671218114</v>
      </c>
      <c r="AA258" s="384">
        <f t="shared" si="90"/>
        <v>43.941887973073392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6.149274477034461E-2</v>
      </c>
      <c r="AD258" s="230">
        <f>(INDEX(Models!$BJ258:$BT258,,AH258)*(1-AF258)+INDEX(Models!$BJ258:$BT258,,AH258+1)*AF258-ERP_i)*AE258*Ramure*Pc/MaxiM</f>
        <v>9.6222656522883655E-4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'2023'!Wh/'2023'!Env_an*'2024'!Env_an</f>
        <v>39.823682108264563</v>
      </c>
      <c r="C259" s="829"/>
      <c r="D259" s="391">
        <f t="shared" si="77"/>
        <v>41.423392055111421</v>
      </c>
      <c r="E259" s="383">
        <f t="shared" si="100"/>
        <v>42.293814974812761</v>
      </c>
      <c r="F259" s="383">
        <f t="shared" si="78"/>
        <v>42.322980938017807</v>
      </c>
      <c r="G259" s="110">
        <f t="shared" si="101"/>
        <v>0.78738012577719052</v>
      </c>
      <c r="H259" s="412" t="b">
        <f>Wh_hp&gt;='2023'!Maxi_hp</f>
        <v>0</v>
      </c>
      <c r="I259" s="388">
        <f>IF(H259,Wh_hp,'2023'!Maxi_hp)</f>
        <v>52.448101483562709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3.8618516434350325E-2</v>
      </c>
      <c r="M259" s="832"/>
      <c r="N259" s="832"/>
      <c r="O259" s="48">
        <f>IF(t&lt;Tnet,'2023'!Resal+('2023'!Salim-'2023'!Resal)*(1-EXP(('2023'!Tnet-t)/('2023'!Tau_j))),Resal+(Salim-Resal)*(1-EXP((Tnet-t)/(Tau_j))))*Salcycl</f>
        <v>2.0580383212526508E-2</v>
      </c>
      <c r="P259" s="169">
        <f>(INDEX(Models!$BJ259:$BT259,,T259)*(1-R259)+INDEX(Models!$BJ259:$BT259,,T259+1)*R259-ERP_i)*Q259*Ramure*Pc/MaxiM</f>
        <v>9.8928072906828159E-4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50.562262605293235</v>
      </c>
      <c r="W259" s="400">
        <f t="shared" si="86"/>
        <v>39.823682108264563</v>
      </c>
      <c r="X259" s="157">
        <f t="shared" si="87"/>
        <v>45536</v>
      </c>
      <c r="Y259" s="383">
        <f t="shared" si="88"/>
        <v>38.158830558354161</v>
      </c>
      <c r="Z259" s="383">
        <f t="shared" si="89"/>
        <v>39.69166372627398</v>
      </c>
      <c r="AA259" s="384">
        <f t="shared" si="90"/>
        <v>42.293814974812761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6.1525574131547141E-2</v>
      </c>
      <c r="AD259" s="230">
        <f>(INDEX(Models!$BJ259:$BT259,,AH259)*(1-AF259)+INDEX(Models!$BJ259:$BT259,,AH259+1)*AF259-ERP_i)*AE259*Ramure*Pc/MaxiM</f>
        <v>9.8928072906828159E-4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'2023'!Wh/'2023'!Env_an*'2024'!Env_an</f>
        <v>38.879967699941737</v>
      </c>
      <c r="C260" s="829"/>
      <c r="D260" s="391">
        <f t="shared" si="77"/>
        <v>40.442543885627231</v>
      </c>
      <c r="E260" s="383">
        <f t="shared" si="100"/>
        <v>41.295498655613883</v>
      </c>
      <c r="F260" s="383">
        <f t="shared" si="78"/>
        <v>41.323863835870952</v>
      </c>
      <c r="G260" s="110">
        <f t="shared" si="101"/>
        <v>0.7722181412530279</v>
      </c>
      <c r="H260" s="412" t="b">
        <f>Wh_hp&gt;='2023'!Maxi_hp</f>
        <v>0</v>
      </c>
      <c r="I260" s="388">
        <f>IF(H260,Wh_hp,'2023'!Maxi_hp)</f>
        <v>55.043508007448153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3.8636941091156562E-2</v>
      </c>
      <c r="M260" s="832"/>
      <c r="N260" s="832"/>
      <c r="O260" s="48">
        <f>IF(t&lt;Tnet,'2023'!Resal+('2023'!Salim-'2023'!Resal)*(1-EXP(('2023'!Tnet-t)/('2023'!Tau_j))),Resal+(Salim-Resal)*(1-EXP((Tnet-t)/(Tau_j))))*Salcycl</f>
        <v>2.0654909076166281E-2</v>
      </c>
      <c r="P260" s="169">
        <f>(INDEX(Models!$BJ260:$BT260,,T260)*(1-R260)+INDEX(Models!$BJ260:$BT260,,T260+1)*R260-ERP_i)*Q260*Ramure*Pc/MaxiM</f>
        <v>1.0169627958330281E-3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50.331771525178411</v>
      </c>
      <c r="W260" s="400">
        <f t="shared" si="86"/>
        <v>38.879967699941737</v>
      </c>
      <c r="X260" s="157">
        <f t="shared" si="87"/>
        <v>45537</v>
      </c>
      <c r="Y260" s="383">
        <f t="shared" si="88"/>
        <v>37.256114416758741</v>
      </c>
      <c r="Z260" s="383">
        <f t="shared" si="89"/>
        <v>38.753428344797022</v>
      </c>
      <c r="AA260" s="384">
        <f t="shared" si="90"/>
        <v>41.295498655613883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6.155804854220543E-2</v>
      </c>
      <c r="AD260" s="230">
        <f>(INDEX(Models!$BJ260:$BT260,,AH260)*(1-AF260)+INDEX(Models!$BJ260:$BT260,,AH260+1)*AF260-ERP_i)*AE260*Ramure*Pc/MaxiM</f>
        <v>1.0169627958330281E-3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'2023'!Wh/'2023'!Env_an*'2024'!Env_an</f>
        <v>46.989404892811486</v>
      </c>
      <c r="C261" s="829"/>
      <c r="D261" s="391">
        <f t="shared" si="77"/>
        <v>48.878834084419374</v>
      </c>
      <c r="E261" s="383">
        <f t="shared" si="100"/>
        <v>49.913503001400741</v>
      </c>
      <c r="F261" s="383">
        <f t="shared" si="78"/>
        <v>49.961097172955768</v>
      </c>
      <c r="G261" s="110">
        <f t="shared" si="101"/>
        <v>0.93786381138389008</v>
      </c>
      <c r="H261" s="412" t="b">
        <f>Wh_hp&gt;='2023'!Maxi_hp</f>
        <v>0</v>
      </c>
      <c r="I261" s="388">
        <f>IF(H261,Wh_hp,'2023'!Maxi_hp)</f>
        <v>53.392231312994895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3.8655365394858365E-2</v>
      </c>
      <c r="M261" s="832"/>
      <c r="N261" s="832"/>
      <c r="O261" s="48">
        <f>IF(t&lt;Tnet,'2023'!Resal+('2023'!Salim-'2023'!Resal)*(1-EXP(('2023'!Tnet-t)/('2023'!Tau_j))),Resal+(Salim-Resal)*(1-EXP((Tnet-t)/(Tau_j))))*Salcycl</f>
        <v>2.0729238678205673E-2</v>
      </c>
      <c r="P261" s="169">
        <f>(INDEX(Models!$BJ261:$BT261,,T261)*(1-R261)+INDEX(Models!$BJ261:$BT261,,T261+1)*R261-ERP_i)*Q261*Ramure*Pc/MaxiM</f>
        <v>1.0452800409573651E-3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50.097942098013377</v>
      </c>
      <c r="W261" s="400">
        <f t="shared" si="86"/>
        <v>46.989404892811486</v>
      </c>
      <c r="X261" s="157">
        <f t="shared" si="87"/>
        <v>45538</v>
      </c>
      <c r="Y261" s="383">
        <f t="shared" si="88"/>
        <v>45.028731463386144</v>
      </c>
      <c r="Z261" s="383">
        <f t="shared" si="89"/>
        <v>46.839322593068864</v>
      </c>
      <c r="AA261" s="384">
        <f t="shared" si="90"/>
        <v>49.913503001400741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6.1590155438411238E-2</v>
      </c>
      <c r="AD261" s="230">
        <f>(INDEX(Models!$BJ261:$BT261,,AH261)*(1-AF261)+INDEX(Models!$BJ261:$BT261,,AH261+1)*AF261-ERP_i)*AE261*Ramure*Pc/MaxiM</f>
        <v>1.0452800409573651E-3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'2023'!Wh/'2023'!Env_an*'2024'!Env_an</f>
        <v>41.07163980179903</v>
      </c>
      <c r="C262" s="829"/>
      <c r="D262" s="391">
        <f t="shared" si="77"/>
        <v>42.723936314848437</v>
      </c>
      <c r="E262" s="383">
        <f t="shared" si="100"/>
        <v>43.631620923679485</v>
      </c>
      <c r="F262" s="383">
        <f t="shared" si="78"/>
        <v>43.666736622796257</v>
      </c>
      <c r="G262" s="110">
        <f t="shared" si="101"/>
        <v>0.82350381100668901</v>
      </c>
      <c r="H262" s="412" t="b">
        <f>Wh_hp&gt;='2023'!Maxi_hp</f>
        <v>0</v>
      </c>
      <c r="I262" s="388">
        <f>IF(H262,Wh_hp,'2023'!Maxi_hp)</f>
        <v>53.427461866974461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3.8673789345462617E-2</v>
      </c>
      <c r="M262" s="832"/>
      <c r="N262" s="832"/>
      <c r="O262" s="48">
        <f>IF(t&lt;Tnet,'2023'!Resal+('2023'!Salim-'2023'!Resal)*(1-EXP(('2023'!Tnet-t)/('2023'!Tau_j))),Resal+(Salim-Resal)*(1-EXP((Tnet-t)/(Tau_j))))*Salcycl</f>
        <v>2.0803366678005586E-2</v>
      </c>
      <c r="P262" s="169">
        <f>(INDEX(Models!$BJ262:$BT262,,T262)*(1-R262)+INDEX(Models!$BJ262:$BT262,,T262+1)*R262-ERP_i)*Q262*Ramure*Pc/MaxiM</f>
        <v>1.0748397143152356E-3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49.860745832071352</v>
      </c>
      <c r="W262" s="400">
        <f t="shared" si="86"/>
        <v>41.07163980179903</v>
      </c>
      <c r="X262" s="157">
        <f t="shared" si="87"/>
        <v>45539</v>
      </c>
      <c r="Y262" s="383">
        <f t="shared" si="88"/>
        <v>39.359538993221207</v>
      </c>
      <c r="Z262" s="383">
        <f t="shared" si="89"/>
        <v>40.942958339211941</v>
      </c>
      <c r="AA262" s="384">
        <f t="shared" si="90"/>
        <v>43.631620923679485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6.1621881735050808E-2</v>
      </c>
      <c r="AD262" s="230">
        <f>(INDEX(Models!$BJ262:$BT262,,AH262)*(1-AF262)+INDEX(Models!$BJ262:$BT262,,AH262+1)*AF262-ERP_i)*AE262*Ramure*Pc/MaxiM</f>
        <v>1.0748397143152356E-3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'2023'!Wh/'2023'!Env_an*'2024'!Env_an</f>
        <v>46.477505440234467</v>
      </c>
      <c r="C263" s="829"/>
      <c r="D263" s="391">
        <f t="shared" si="77"/>
        <v>48.348204462716438</v>
      </c>
      <c r="E263" s="383">
        <f t="shared" si="100"/>
        <v>49.379106260554785</v>
      </c>
      <c r="F263" s="383">
        <f t="shared" si="78"/>
        <v>49.428806150170864</v>
      </c>
      <c r="G263" s="110">
        <f t="shared" si="101"/>
        <v>0.93657139097092978</v>
      </c>
      <c r="H263" s="412" t="b">
        <f>Wh_hp&gt;='2023'!Maxi_hp</f>
        <v>0</v>
      </c>
      <c r="I263" s="388">
        <f>IF(H263,Wh_hp,'2023'!Maxi_hp)</f>
        <v>54.427802265876565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3.869221294297609E-2</v>
      </c>
      <c r="M263" s="832"/>
      <c r="N263" s="832"/>
      <c r="O263" s="48">
        <f>IF(t&lt;Tnet,'2023'!Resal+('2023'!Salim-'2023'!Resal)*(1-EXP(('2023'!Tnet-t)/('2023'!Tau_j))),Resal+(Salim-Resal)*(1-EXP((Tnet-t)/(Tau_j))))*Salcycl</f>
        <v>2.0877287498859785E-2</v>
      </c>
      <c r="P263" s="169">
        <f>(INDEX(Models!$BJ263:$BT263,,T263)*(1-R263)+INDEX(Models!$BJ263:$BT263,,T263+1)*R263-ERP_i)*Q263*Ramure*Pc/MaxiM</f>
        <v>1.105508912548447E-3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49.620191600652454</v>
      </c>
      <c r="W263" s="400">
        <f t="shared" si="86"/>
        <v>46.477505440234467</v>
      </c>
      <c r="X263" s="157">
        <f t="shared" si="87"/>
        <v>45540</v>
      </c>
      <c r="Y263" s="383">
        <f t="shared" si="88"/>
        <v>44.541932593097762</v>
      </c>
      <c r="Z263" s="383">
        <f t="shared" si="89"/>
        <v>46.334725665189659</v>
      </c>
      <c r="AA263" s="384">
        <f t="shared" si="90"/>
        <v>49.379106260554785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6.1653213796561704E-2</v>
      </c>
      <c r="AD263" s="230">
        <f>(INDEX(Models!$BJ263:$BT263,,AH263)*(1-AF263)+INDEX(Models!$BJ263:$BT263,,AH263+1)*AF263-ERP_i)*AE263*Ramure*Pc/MaxiM</f>
        <v>1.105508912548447E-3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'2023'!Wh/'2023'!Env_an*'2024'!Env_an</f>
        <v>36.998310288278027</v>
      </c>
      <c r="C264" s="829"/>
      <c r="D264" s="391">
        <f t="shared" si="77"/>
        <v>38.488213519327907</v>
      </c>
      <c r="E264" s="383">
        <f t="shared" si="100"/>
        <v>39.311835602916439</v>
      </c>
      <c r="F264" s="383">
        <f t="shared" si="78"/>
        <v>39.340554441975428</v>
      </c>
      <c r="G264" s="110">
        <f t="shared" si="101"/>
        <v>0.7490080124487285</v>
      </c>
      <c r="H264" s="412" t="b">
        <f>Wh_hp&gt;='2023'!Maxi_hp</f>
        <v>0</v>
      </c>
      <c r="I264" s="388">
        <f>IF(H264,Wh_hp,'2023'!Maxi_hp)</f>
        <v>49.351657913110358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3.8710636187405445E-2</v>
      </c>
      <c r="M264" s="832"/>
      <c r="N264" s="832"/>
      <c r="O264" s="48">
        <f>IF(t&lt;Tnet,'2023'!Resal+('2023'!Salim-'2023'!Resal)*(1-EXP(('2023'!Tnet-t)/('2023'!Tau_j))),Resal+(Salim-Resal)*(1-EXP((Tnet-t)/(Tau_j))))*Salcycl</f>
        <v>2.0950995316215432E-2</v>
      </c>
      <c r="P264" s="169">
        <f>(INDEX(Models!$BJ264:$BT264,,T264)*(1-R264)+INDEX(Models!$BJ264:$BT264,,T264+1)*R264-ERP_i)*Q264*Ramure*Pc/MaxiM</f>
        <v>1.1373000211971525E-3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49.376280991352168</v>
      </c>
      <c r="W264" s="400">
        <f t="shared" si="86"/>
        <v>36.998310288278027</v>
      </c>
      <c r="X264" s="157">
        <f t="shared" si="87"/>
        <v>45541</v>
      </c>
      <c r="Y264" s="383">
        <f t="shared" si="88"/>
        <v>35.459002834837477</v>
      </c>
      <c r="Z264" s="383">
        <f t="shared" si="89"/>
        <v>36.886918933756441</v>
      </c>
      <c r="AA264" s="384">
        <f t="shared" si="90"/>
        <v>39.311835602916439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6.1684137409754945E-2</v>
      </c>
      <c r="AD264" s="230">
        <f>(INDEX(Models!$BJ264:$BT264,,AH264)*(1-AF264)+INDEX(Models!$BJ264:$BT264,,AH264+1)*AF264-ERP_i)*AE264*Ramure*Pc/MaxiM</f>
        <v>1.1373000211971525E-3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'2023'!Wh/'2023'!Env_an*'2024'!Env_an</f>
        <v>35.957039169797582</v>
      </c>
      <c r="C265" s="829"/>
      <c r="D265" s="391">
        <f t="shared" si="77"/>
        <v>37.405727812116986</v>
      </c>
      <c r="E265" s="383">
        <f t="shared" si="100"/>
        <v>38.209053446751099</v>
      </c>
      <c r="F265" s="383">
        <f t="shared" si="78"/>
        <v>38.236660793797313</v>
      </c>
      <c r="G265" s="110">
        <f t="shared" si="101"/>
        <v>0.73156180015717587</v>
      </c>
      <c r="H265" s="412" t="b">
        <f>Wh_hp&gt;='2023'!Maxi_hp</f>
        <v>0</v>
      </c>
      <c r="I265" s="388">
        <f>IF(H265,Wh_hp,'2023'!Maxi_hp)</f>
        <v>48.219770599083176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3.8729059078757566E-2</v>
      </c>
      <c r="M265" s="832"/>
      <c r="N265" s="832"/>
      <c r="O265" s="48">
        <f>IF(t&lt;Tnet,'2023'!Resal+('2023'!Salim-'2023'!Resal)*(1-EXP(('2023'!Tnet-t)/('2023'!Tau_j))),Resal+(Salim-Resal)*(1-EXP((Tnet-t)/(Tau_j))))*Salcycl</f>
        <v>2.1024484046788628E-2</v>
      </c>
      <c r="P265" s="169">
        <f>(INDEX(Models!$BJ265:$BT265,,T265)*(1-R265)+INDEX(Models!$BJ265:$BT265,,T265+1)*R265-ERP_i)*Q265*Ramure*Pc/MaxiM</f>
        <v>1.1702254198009999E-3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49.129015631899343</v>
      </c>
      <c r="W265" s="400">
        <f t="shared" si="86"/>
        <v>35.957039169797582</v>
      </c>
      <c r="X265" s="157">
        <f t="shared" si="87"/>
        <v>45542</v>
      </c>
      <c r="Y265" s="383">
        <f t="shared" si="88"/>
        <v>34.462520229294952</v>
      </c>
      <c r="Z265" s="383">
        <f t="shared" si="89"/>
        <v>35.850995554143658</v>
      </c>
      <c r="AA265" s="384">
        <f t="shared" si="90"/>
        <v>38.209053446751099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6.1714637759704594E-2</v>
      </c>
      <c r="AD265" s="230">
        <f>(INDEX(Models!$BJ265:$BT265,,AH265)*(1-AF265)+INDEX(Models!$BJ265:$BT265,,AH265+1)*AF265-ERP_i)*AE265*Ramure*Pc/MaxiM</f>
        <v>1.1702254198009999E-3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'2023'!Wh/'2023'!Env_an*'2024'!Env_an</f>
        <v>24.081649990250334</v>
      </c>
      <c r="C266" s="829"/>
      <c r="D266" s="391">
        <f t="shared" si="77"/>
        <v>25.05236608457577</v>
      </c>
      <c r="E266" s="383">
        <f t="shared" si="100"/>
        <v>25.59230609233256</v>
      </c>
      <c r="F266" s="383">
        <f t="shared" si="78"/>
        <v>25.60079275431411</v>
      </c>
      <c r="G266" s="110">
        <f t="shared" si="101"/>
        <v>0.49225477923185018</v>
      </c>
      <c r="H266" s="412" t="b">
        <f>Wh_hp&gt;='2023'!Maxi_hp</f>
        <v>0</v>
      </c>
      <c r="I266" s="388">
        <f>IF(H266,Wh_hp,'2023'!Maxi_hp)</f>
        <v>50.375328728188094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3.8747481617039226E-2</v>
      </c>
      <c r="M266" s="832"/>
      <c r="N266" s="832"/>
      <c r="O266" s="48">
        <f>IF(t&lt;Tnet,'2023'!Resal+('2023'!Salim-'2023'!Resal)*(1-EXP(('2023'!Tnet-t)/('2023'!Tau_j))),Resal+(Salim-Resal)*(1-EXP((Tnet-t)/(Tau_j))))*Salcycl</f>
        <v>2.1097747338937756E-2</v>
      </c>
      <c r="P266" s="169">
        <f>(INDEX(Models!$BJ266:$BT266,,T266)*(1-R266)+INDEX(Models!$BJ266:$BT266,,T266+1)*R266-ERP_i)*Q266*Ramure*Pc/MaxiM</f>
        <v>1.2042974530825342E-3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48.878397187610993</v>
      </c>
      <c r="W266" s="400">
        <f t="shared" si="86"/>
        <v>24.081649990250334</v>
      </c>
      <c r="X266" s="157">
        <f t="shared" si="87"/>
        <v>45543</v>
      </c>
      <c r="Y266" s="383">
        <f t="shared" si="88"/>
        <v>23.081707789404796</v>
      </c>
      <c r="Z266" s="383">
        <f t="shared" si="89"/>
        <v>24.012116845460472</v>
      </c>
      <c r="AA266" s="384">
        <f t="shared" si="90"/>
        <v>25.59230609233256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6.1744699409699143E-2</v>
      </c>
      <c r="AD266" s="230">
        <f>(INDEX(Models!$BJ266:$BT266,,AH266)*(1-AF266)+INDEX(Models!$BJ266:$BT266,,AH266+1)*AF266-ERP_i)*AE266*Ramure*Pc/MaxiM</f>
        <v>1.2042974530825342E-3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'2023'!Wh/'2023'!Env_an*'2024'!Env_an</f>
        <v>47.634251482003826</v>
      </c>
      <c r="C267" s="829"/>
      <c r="D267" s="391">
        <f t="shared" si="77"/>
        <v>49.555307776145106</v>
      </c>
      <c r="E267" s="383">
        <f t="shared" si="100"/>
        <v>50.627123394904274</v>
      </c>
      <c r="F267" s="383">
        <f t="shared" si="78"/>
        <v>50.688124991294309</v>
      </c>
      <c r="G267" s="110">
        <f t="shared" si="101"/>
        <v>0.97960087840455312</v>
      </c>
      <c r="H267" s="412" t="b">
        <f>Wh_hp&gt;='2023'!Maxi_hp</f>
        <v>0</v>
      </c>
      <c r="I267" s="388">
        <f>IF(H267,Wh_hp,'2023'!Maxi_hp)</f>
        <v>50.689006934365501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3.8765903802257085E-2</v>
      </c>
      <c r="M267" s="832"/>
      <c r="N267" s="832"/>
      <c r="O267" s="48">
        <f>IF(t&lt;Tnet,'2023'!Resal+('2023'!Salim-'2023'!Resal)*(1-EXP(('2023'!Tnet-t)/('2023'!Tau_j))),Resal+(Salim-Resal)*(1-EXP((Tnet-t)/(Tau_j))))*Salcycl</f>
        <v>2.1170778564658696E-2</v>
      </c>
      <c r="P267" s="169">
        <f>(INDEX(Models!$BJ267:$BT267,,T267)*(1-R267)+INDEX(Models!$BJ267:$BT267,,T267+1)*R267-ERP_i)*Q267*Ramure*Pc/MaxiM</f>
        <v>1.2395283998817327E-3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48.624427364908044</v>
      </c>
      <c r="W267" s="400">
        <f t="shared" si="86"/>
        <v>47.634251482003826</v>
      </c>
      <c r="X267" s="157">
        <f t="shared" si="87"/>
        <v>45544</v>
      </c>
      <c r="Y267" s="383">
        <f t="shared" si="88"/>
        <v>45.658300408833313</v>
      </c>
      <c r="Z267" s="383">
        <f t="shared" si="89"/>
        <v>47.499667967916722</v>
      </c>
      <c r="AA267" s="384">
        <f t="shared" si="90"/>
        <v>50.627123394904274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6.1774306286229444E-2</v>
      </c>
      <c r="AD267" s="230">
        <f>(INDEX(Models!$BJ267:$BT267,,AH267)*(1-AF267)+INDEX(Models!$BJ267:$BT267,,AH267+1)*AF267-ERP_i)*AE267*Ramure*Pc/MaxiM</f>
        <v>1.2395283998817327E-3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'2023'!Wh/'2023'!Env_an*'2024'!Env_an</f>
        <v>47.047037565961553</v>
      </c>
      <c r="C268" s="829"/>
      <c r="D268" s="391">
        <f t="shared" si="77"/>
        <v>48.945349956983755</v>
      </c>
      <c r="E268" s="383">
        <f t="shared" si="100"/>
        <v>50.007691901107741</v>
      </c>
      <c r="F268" s="383">
        <f t="shared" si="78"/>
        <v>50.069116707953441</v>
      </c>
      <c r="G268" s="110">
        <f t="shared" si="101"/>
        <v>0.97265942348735435</v>
      </c>
      <c r="H268" s="412" t="b">
        <f>Wh_hp&gt;='2023'!Maxi_hp</f>
        <v>0</v>
      </c>
      <c r="I268" s="388">
        <f>IF(H268,Wh_hp,'2023'!Maxi_hp)</f>
        <v>50.070320857235181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3.8784325634417915E-2</v>
      </c>
      <c r="M268" s="832"/>
      <c r="N268" s="832"/>
      <c r="O268" s="48">
        <f>IF(t&lt;Tnet,'2023'!Resal+('2023'!Salim-'2023'!Resal)*(1-EXP(('2023'!Tnet-t)/('2023'!Tau_j))),Resal+(Salim-Resal)*(1-EXP((Tnet-t)/(Tau_j))))*Salcycl</f>
        <v>2.1243570813562273E-2</v>
      </c>
      <c r="P268" s="169">
        <f>(INDEX(Models!$BJ268:$BT268,,T268)*(1-R268)+INDEX(Models!$BJ268:$BT268,,T268+1)*R268-ERP_i)*Q268*Ramure*Pc/MaxiM</f>
        <v>1.2765722043098498E-3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48.367076833417727</v>
      </c>
      <c r="W268" s="400">
        <f t="shared" si="86"/>
        <v>47.047037565961553</v>
      </c>
      <c r="X268" s="157">
        <f t="shared" si="87"/>
        <v>45545</v>
      </c>
      <c r="Y268" s="383">
        <f t="shared" si="88"/>
        <v>45.097398502607042</v>
      </c>
      <c r="Z268" s="383">
        <f t="shared" si="89"/>
        <v>46.917044431648556</v>
      </c>
      <c r="AA268" s="384">
        <f t="shared" si="90"/>
        <v>50.007691901107741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6.1803441669954856E-2</v>
      </c>
      <c r="AD268" s="230">
        <f>(INDEX(Models!$BJ268:$BT268,,AH268)*(1-AF268)+INDEX(Models!$BJ268:$BT268,,AH268+1)*AF268-ERP_i)*AE268*Ramure*Pc/MaxiM</f>
        <v>1.2765722043098498E-3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'2023'!Wh/'2023'!Env_an*'2024'!Env_an</f>
        <v>34.148177292352216</v>
      </c>
      <c r="C269" s="829"/>
      <c r="D269" s="391">
        <f t="shared" si="77"/>
        <v>35.526711286164605</v>
      </c>
      <c r="E269" s="383">
        <f t="shared" si="100"/>
        <v>36.300496921682722</v>
      </c>
      <c r="F269" s="383">
        <f t="shared" si="78"/>
        <v>36.328470807712016</v>
      </c>
      <c r="G269" s="110">
        <f t="shared" si="101"/>
        <v>0.70946017590980237</v>
      </c>
      <c r="H269" s="412" t="b">
        <f>Wh_hp&gt;='2023'!Maxi_hp</f>
        <v>0</v>
      </c>
      <c r="I269" s="388">
        <f>IF(H269,Wh_hp,'2023'!Maxi_hp)</f>
        <v>50.716513586551613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3.8802747113528602E-2</v>
      </c>
      <c r="M269" s="832"/>
      <c r="N269" s="832"/>
      <c r="O269" s="48">
        <f>IF(t&lt;Tnet,'2023'!Resal+('2023'!Salim-'2023'!Resal)*(1-EXP(('2023'!Tnet-t)/('2023'!Tau_j))),Resal+(Salim-Resal)*(1-EXP((Tnet-t)/(Tau_j))))*Salcycl</f>
        <v>2.1316116889185721E-2</v>
      </c>
      <c r="P269" s="169">
        <f>(INDEX(Models!$BJ269:$BT269,,T269)*(1-R269)+INDEX(Models!$BJ269:$BT269,,T269+1)*R269-ERP_i)*Q269*Ramure*Pc/MaxiM</f>
        <v>1.315168792785144E-3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48.106360992161932</v>
      </c>
      <c r="W269" s="400">
        <f t="shared" si="86"/>
        <v>34.148177292352216</v>
      </c>
      <c r="X269" s="157">
        <f t="shared" si="87"/>
        <v>45546</v>
      </c>
      <c r="Y269" s="383">
        <f t="shared" si="88"/>
        <v>32.734496536850884</v>
      </c>
      <c r="Z269" s="383">
        <f t="shared" si="89"/>
        <v>34.055961394551765</v>
      </c>
      <c r="AA269" s="384">
        <f t="shared" si="90"/>
        <v>36.300496921682722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6.1832088193543959E-2</v>
      </c>
      <c r="AD269" s="230">
        <f>(INDEX(Models!$BJ269:$BT269,,AH269)*(1-AF269)+INDEX(Models!$BJ269:$BT269,,AH269+1)*AF269-ERP_i)*AE269*Ramure*Pc/MaxiM</f>
        <v>1.315168792785144E-3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'2023'!Wh/'2023'!Env_an*'2024'!Env_an</f>
        <v>14.494995173161184</v>
      </c>
      <c r="C270" s="829"/>
      <c r="D270" s="391">
        <f t="shared" si="77"/>
        <v>15.080435288627324</v>
      </c>
      <c r="E270" s="383">
        <f t="shared" si="100"/>
        <v>15.41003134651536</v>
      </c>
      <c r="F270" s="383">
        <f t="shared" si="78"/>
        <v>15.410120098875</v>
      </c>
      <c r="G270" s="110">
        <f t="shared" si="101"/>
        <v>0.30256568962994018</v>
      </c>
      <c r="H270" s="412" t="b">
        <f>Wh_hp&gt;='2023'!Maxi_hp</f>
        <v>0</v>
      </c>
      <c r="I270" s="388">
        <f>IF(H270,Wh_hp,'2023'!Maxi_hp)</f>
        <v>48.946025733501244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3.8821168239595916E-2</v>
      </c>
      <c r="M270" s="832"/>
      <c r="N270" s="832"/>
      <c r="O270" s="48">
        <f>IF(t&lt;Tnet,'2023'!Resal+('2023'!Salim-'2023'!Resal)*(1-EXP(('2023'!Tnet-t)/('2023'!Tau_j))),Resal+(Salim-Resal)*(1-EXP((Tnet-t)/(Tau_j))))*Salcycl</f>
        <v>2.1388409307977568E-2</v>
      </c>
      <c r="P270" s="169">
        <f>(INDEX(Models!$BJ270:$BT270,,T270)*(1-R270)+INDEX(Models!$BJ270:$BT270,,T270+1)*R270-ERP_i)*Q270*Ramure*Pc/MaxiM</f>
        <v>1.3553343131857461E-3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47.842281772603791</v>
      </c>
      <c r="W270" s="400">
        <f t="shared" si="86"/>
        <v>14.494995173161184</v>
      </c>
      <c r="X270" s="157">
        <f t="shared" si="87"/>
        <v>45547</v>
      </c>
      <c r="Y270" s="383">
        <f t="shared" si="88"/>
        <v>13.895534856161811</v>
      </c>
      <c r="Z270" s="383">
        <f t="shared" si="89"/>
        <v>14.456763296286983</v>
      </c>
      <c r="AA270" s="384">
        <f t="shared" si="90"/>
        <v>15.41003134651536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6.1860227847228749E-2</v>
      </c>
      <c r="AD270" s="230">
        <f>(INDEX(Models!$BJ270:$BT270,,AH270)*(1-AF270)+INDEX(Models!$BJ270:$BT270,,AH270+1)*AF270-ERP_i)*AE270*Ramure*Pc/MaxiM</f>
        <v>1.3553343131857461E-3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'2023'!Wh/'2023'!Env_an*'2024'!Env_an</f>
        <v>36.34709005187522</v>
      </c>
      <c r="C271" s="829"/>
      <c r="D271" s="391">
        <f t="shared" ref="D271:D334" si="102">Wh/(1-Ppv)</f>
        <v>37.815841805778142</v>
      </c>
      <c r="E271" s="383">
        <f t="shared" si="100"/>
        <v>38.645184480248339</v>
      </c>
      <c r="F271" s="383">
        <f t="shared" ref="F271:F334" si="103">Wh_sa/(1-Pvg*MEDIAN((-Sdif+Wh/Env_an)/Csdif,0,1))</f>
        <v>38.681005563255333</v>
      </c>
      <c r="G271" s="110">
        <f t="shared" si="101"/>
        <v>0.76363794514236694</v>
      </c>
      <c r="H271" s="412" t="b">
        <f>Wh_hp&gt;='2023'!Maxi_hp</f>
        <v>0</v>
      </c>
      <c r="I271" s="388">
        <f>IF(H271,Wh_hp,'2023'!Maxi_hp)</f>
        <v>48.424336454195235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3.8839589012626408E-2</v>
      </c>
      <c r="M271" s="832"/>
      <c r="N271" s="832"/>
      <c r="O271" s="48">
        <f>IF(t&lt;Tnet,'2023'!Resal+('2023'!Salim-'2023'!Resal)*(1-EXP(('2023'!Tnet-t)/('2023'!Tau_j))),Resal+(Salim-Resal)*(1-EXP((Tnet-t)/(Tau_j))))*Salcycl</f>
        <v>2.1460440301276841E-2</v>
      </c>
      <c r="P271" s="169">
        <f>(INDEX(Models!$BJ271:$BT271,,T271)*(1-R271)+INDEX(Models!$BJ271:$BT271,,T271+1)*R271-ERP_i)*Q271*Ramure*Pc/MaxiM</f>
        <v>1.3970847720075556E-3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47.574841161214884</v>
      </c>
      <c r="W271" s="400">
        <f t="shared" ref="W271:W334" si="111">Wh*(A271&gt;Tmaj)</f>
        <v>36.34709005187522</v>
      </c>
      <c r="X271" s="157">
        <f t="shared" ref="X271:X334" si="112">t</f>
        <v>45548</v>
      </c>
      <c r="Y271" s="383">
        <f t="shared" ref="Y271:Y334" si="113">Wh_pvt_s*(1-Ppv)</f>
        <v>34.84544569290923</v>
      </c>
      <c r="Z271" s="383">
        <f t="shared" ref="Z271:Z334" si="114">Wh_sa_s*(1-Psa_s)</f>
        <v>36.253517409350501</v>
      </c>
      <c r="AA271" s="384">
        <f t="shared" ref="AA271:AA334" si="115">Wh_hp*(1-Pvg_s*MEDIAN((-Sdif+Wh/Env_an)/Csdif,0,1))</f>
        <v>38.645184480248339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6.1887841992842009E-2</v>
      </c>
      <c r="AD271" s="230">
        <f>(INDEX(Models!$BJ271:$BT271,,AH271)*(1-AF271)+INDEX(Models!$BJ271:$BT271,,AH271+1)*AF271-ERP_i)*AE271*Ramure*Pc/MaxiM</f>
        <v>1.3970847720075556E-3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'2023'!Wh/'2023'!Env_an*'2024'!Env_an</f>
        <v>41.626747097311032</v>
      </c>
      <c r="C272" s="829"/>
      <c r="D272" s="391">
        <f t="shared" si="102"/>
        <v>43.309674851203091</v>
      </c>
      <c r="E272" s="383">
        <f t="shared" si="100"/>
        <v>44.262749302314539</v>
      </c>
      <c r="F272" s="383">
        <f t="shared" si="103"/>
        <v>44.315638639159836</v>
      </c>
      <c r="G272" s="110">
        <f t="shared" si="101"/>
        <v>0.8797653079994433</v>
      </c>
      <c r="H272" s="412" t="b">
        <f>Wh_hp&gt;='2023'!Maxi_hp</f>
        <v>0</v>
      </c>
      <c r="I272" s="388">
        <f>IF(H272,Wh_hp,'2023'!Maxi_hp)</f>
        <v>49.537413864977964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3.8858009432627072E-2</v>
      </c>
      <c r="M272" s="832"/>
      <c r="N272" s="832"/>
      <c r="O272" s="48">
        <f>IF(t&lt;Tnet,'2023'!Resal+('2023'!Salim-'2023'!Resal)*(1-EXP(('2023'!Tnet-t)/('2023'!Tau_j))),Resal+(Salim-Resal)*(1-EXP((Tnet-t)/(Tau_j))))*Salcycl</f>
        <v>2.153220182058618E-2</v>
      </c>
      <c r="P272" s="169">
        <f>(INDEX(Models!$BJ272:$BT272,,T272)*(1-R272)+INDEX(Models!$BJ272:$BT272,,T272+1)*R272-ERP_i)*Q272*Ramure*Pc/MaxiM</f>
        <v>1.4404359911264783E-3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47.3040412011527</v>
      </c>
      <c r="W272" s="400">
        <f t="shared" si="111"/>
        <v>41.626747097311032</v>
      </c>
      <c r="X272" s="157">
        <f t="shared" si="112"/>
        <v>45549</v>
      </c>
      <c r="Y272" s="383">
        <f t="shared" si="113"/>
        <v>39.908754086857186</v>
      </c>
      <c r="Z272" s="383">
        <f t="shared" si="114"/>
        <v>41.522225101515545</v>
      </c>
      <c r="AA272" s="384">
        <f t="shared" si="115"/>
        <v>44.262749302314539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6.1914911387027032E-2</v>
      </c>
      <c r="AD272" s="230">
        <f>(INDEX(Models!$BJ272:$BT272,,AH272)*(1-AF272)+INDEX(Models!$BJ272:$BT272,,AH272+1)*AF272-ERP_i)*AE272*Ramure*Pc/MaxiM</f>
        <v>1.4404359911264783E-3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'2023'!Wh/'2023'!Env_an*'2024'!Env_an</f>
        <v>33.258476451883439</v>
      </c>
      <c r="C273" s="829"/>
      <c r="D273" s="391">
        <f t="shared" si="102"/>
        <v>34.603746565665723</v>
      </c>
      <c r="E273" s="383">
        <f t="shared" si="100"/>
        <v>35.367821867758259</v>
      </c>
      <c r="F273" s="383">
        <f t="shared" si="103"/>
        <v>35.398407251209569</v>
      </c>
      <c r="G273" s="110">
        <f t="shared" si="101"/>
        <v>0.70673771467508006</v>
      </c>
      <c r="H273" s="412" t="b">
        <f>Wh_hp&gt;='2023'!Maxi_hp</f>
        <v>0</v>
      </c>
      <c r="I273" s="388">
        <f>IF(H273,Wh_hp,'2023'!Maxi_hp)</f>
        <v>43.865326468567289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3.887642949960457E-2</v>
      </c>
      <c r="M273" s="832"/>
      <c r="N273" s="832"/>
      <c r="O273" s="48">
        <f>IF(t&lt;Tnet,'2023'!Resal+('2023'!Salim-'2023'!Resal)*(1-EXP(('2023'!Tnet-t)/('2023'!Tau_j))),Resal+(Salim-Resal)*(1-EXP((Tnet-t)/(Tau_j))))*Salcycl</f>
        <v>2.1603685546411261E-2</v>
      </c>
      <c r="P273" s="169">
        <f>(INDEX(Models!$BJ273:$BT273,,T273)*(1-R273)+INDEX(Models!$BJ273:$BT273,,T273+1)*R273-ERP_i)*Q273*Ramure*Pc/MaxiM</f>
        <v>1.4854035640545432E-3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47.029883992307639</v>
      </c>
      <c r="W273" s="400">
        <f t="shared" si="111"/>
        <v>33.258476451883439</v>
      </c>
      <c r="X273" s="157">
        <f t="shared" si="112"/>
        <v>45550</v>
      </c>
      <c r="Y273" s="383">
        <f t="shared" si="113"/>
        <v>31.887282135511828</v>
      </c>
      <c r="Z273" s="383">
        <f t="shared" si="114"/>
        <v>33.1770888928571</v>
      </c>
      <c r="AA273" s="384">
        <f t="shared" si="115"/>
        <v>35.367821867758259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6.1941416214218774E-2</v>
      </c>
      <c r="AD273" s="230">
        <f>(INDEX(Models!$BJ273:$BT273,,AH273)*(1-AF273)+INDEX(Models!$BJ273:$BT273,,AH273+1)*AF273-ERP_i)*AE273*Ramure*Pc/MaxiM</f>
        <v>1.4854035640545432E-3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'2023'!Wh/'2023'!Env_an*'2024'!Env_an</f>
        <v>46.473977177602485</v>
      </c>
      <c r="C274" s="829"/>
      <c r="D274" s="391">
        <f t="shared" si="102"/>
        <v>48.354726992748574</v>
      </c>
      <c r="E274" s="383">
        <f t="shared" si="100"/>
        <v>49.426030414233821</v>
      </c>
      <c r="F274" s="383">
        <f t="shared" si="103"/>
        <v>49.50122131345497</v>
      </c>
      <c r="G274" s="110">
        <f t="shared" si="101"/>
        <v>0.99403236478393442</v>
      </c>
      <c r="H274" s="412" t="b">
        <f>Wh_hp&gt;='2023'!Maxi_hp</f>
        <v>0</v>
      </c>
      <c r="I274" s="388">
        <f>IF(H274,Wh_hp,'2023'!Maxi_hp)</f>
        <v>49.501535281548286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3.8894849213565674E-2</v>
      </c>
      <c r="M274" s="832"/>
      <c r="N274" s="832"/>
      <c r="O274" s="48">
        <f>IF(t&lt;Tnet,'2023'!Resal+('2023'!Salim-'2023'!Resal)*(1-EXP(('2023'!Tnet-t)/('2023'!Tau_j))),Resal+(Salim-Resal)*(1-EXP((Tnet-t)/(Tau_j))))*Salcycl</f>
        <v>2.167488290090824E-2</v>
      </c>
      <c r="P274" s="169">
        <f>(INDEX(Models!$BJ274:$BT274,,T274)*(1-R274)+INDEX(Models!$BJ274:$BT274,,T274+1)*R274-ERP_i)*Q274*Ramure*Pc/MaxiM</f>
        <v>1.5320028121181997E-3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46.752371696687163</v>
      </c>
      <c r="W274" s="400">
        <f t="shared" si="111"/>
        <v>46.473977177602485</v>
      </c>
      <c r="X274" s="157">
        <f t="shared" si="112"/>
        <v>45551</v>
      </c>
      <c r="Y274" s="383">
        <f t="shared" si="113"/>
        <v>44.559940096201586</v>
      </c>
      <c r="Z274" s="383">
        <f t="shared" si="114"/>
        <v>46.363230973988593</v>
      </c>
      <c r="AA274" s="384">
        <f t="shared" si="115"/>
        <v>49.426030414233821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6.1967336129894815E-2</v>
      </c>
      <c r="AD274" s="230">
        <f>(INDEX(Models!$BJ274:$BT274,,AH274)*(1-AF274)+INDEX(Models!$BJ274:$BT274,,AH274+1)*AF274-ERP_i)*AE274*Ramure*Pc/MaxiM</f>
        <v>1.5320028121181997E-3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'2023'!Wh/'2023'!Env_an*'2024'!Env_an</f>
        <v>46.465466795996711</v>
      </c>
      <c r="C275" s="829"/>
      <c r="D275" s="391">
        <f t="shared" si="102"/>
        <v>48.346798760897656</v>
      </c>
      <c r="E275" s="383">
        <f t="shared" si="100"/>
        <v>49.421508257020548</v>
      </c>
      <c r="F275" s="383">
        <f t="shared" si="103"/>
        <v>49.49971651190323</v>
      </c>
      <c r="G275" s="110">
        <f t="shared" si="101"/>
        <v>0.99987456158533317</v>
      </c>
      <c r="H275" s="412" t="b">
        <f>Wh_hp&gt;='2023'!Maxi_hp</f>
        <v>0</v>
      </c>
      <c r="I275" s="388">
        <f>IF(H275,Wh_hp,'2023'!Maxi_hp)</f>
        <v>49.499723325417328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3.8913268574517157E-2</v>
      </c>
      <c r="M275" s="832"/>
      <c r="N275" s="832"/>
      <c r="O275" s="48">
        <f>IF(t&lt;Tnet,'2023'!Resal+('2023'!Salim-'2023'!Resal)*(1-EXP(('2023'!Tnet-t)/('2023'!Tau_j))),Resal+(Salim-Resal)*(1-EXP((Tnet-t)/(Tau_j))))*Salcycl</f>
        <v>2.1745785064546764E-2</v>
      </c>
      <c r="P275" s="169">
        <f>(INDEX(Models!$BJ275:$BT275,,T275)*(1-R275)+INDEX(Models!$BJ275:$BT275,,T275+1)*R275-ERP_i)*Q275*Ramure*Pc/MaxiM</f>
        <v>1.5802563332565531E-3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46.471282930945868</v>
      </c>
      <c r="W275" s="400">
        <f t="shared" si="111"/>
        <v>46.465466795996711</v>
      </c>
      <c r="X275" s="157">
        <f t="shared" si="112"/>
        <v>45552</v>
      </c>
      <c r="Y275" s="383">
        <f t="shared" si="113"/>
        <v>44.553806869198013</v>
      </c>
      <c r="Z275" s="383">
        <f t="shared" si="114"/>
        <v>46.357737977628567</v>
      </c>
      <c r="AA275" s="384">
        <f t="shared" si="115"/>
        <v>49.421508257020548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6.1992650314486412E-2</v>
      </c>
      <c r="AD275" s="230">
        <f>(INDEX(Models!$BJ275:$BT275,,AH275)*(1-AF275)+INDEX(Models!$BJ275:$BT275,,AH275+1)*AF275-ERP_i)*AE275*Ramure*Pc/MaxiM</f>
        <v>1.5802563332565531E-3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'2023'!Wh/'2023'!Env_an*'2024'!Env_an</f>
        <v>45.833734830632849</v>
      </c>
      <c r="C276" s="829"/>
      <c r="D276" s="391">
        <f t="shared" si="102"/>
        <v>47.690402688795004</v>
      </c>
      <c r="E276" s="383">
        <f t="shared" si="100"/>
        <v>48.754039486889752</v>
      </c>
      <c r="F276" s="383">
        <f t="shared" si="103"/>
        <v>48.832802536468456</v>
      </c>
      <c r="G276" s="110">
        <f t="shared" si="101"/>
        <v>0.99234573698058182</v>
      </c>
      <c r="H276" s="412" t="b">
        <f>Wh_hp&gt;='2023'!Maxi_hp</f>
        <v>0</v>
      </c>
      <c r="I276" s="388">
        <f>IF(H276,Wh_hp,'2023'!Maxi_hp)</f>
        <v>48.833226198141027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3.893168758246579E-2</v>
      </c>
      <c r="M276" s="832"/>
      <c r="N276" s="832"/>
      <c r="O276" s="48">
        <f>IF(t&lt;Tnet,'2023'!Resal+('2023'!Salim-'2023'!Resal)*(1-EXP(('2023'!Tnet-t)/('2023'!Tau_j))),Resal+(Salim-Resal)*(1-EXP((Tnet-t)/(Tau_j))))*Salcycl</f>
        <v>2.1816382996957019E-2</v>
      </c>
      <c r="P276" s="169">
        <f>(INDEX(Models!$BJ276:$BT276,,T276)*(1-R276)+INDEX(Models!$BJ276:$BT276,,T276+1)*R276-ERP_i)*Q276*Ramure*Pc/MaxiM</f>
        <v>1.6307027341244296E-3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46.186441301370159</v>
      </c>
      <c r="W276" s="400">
        <f t="shared" si="111"/>
        <v>45.833734830632849</v>
      </c>
      <c r="X276" s="157">
        <f t="shared" si="112"/>
        <v>45553</v>
      </c>
      <c r="Y276" s="383">
        <f t="shared" si="113"/>
        <v>43.950080414064331</v>
      </c>
      <c r="Z276" s="383">
        <f t="shared" si="114"/>
        <v>45.730443763679418</v>
      </c>
      <c r="AA276" s="384">
        <f t="shared" si="115"/>
        <v>48.754039486889752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6.2017337538223749E-2</v>
      </c>
      <c r="AD276" s="230">
        <f>(INDEX(Models!$BJ276:$BT276,,AH276)*(1-AF276)+INDEX(Models!$BJ276:$BT276,,AH276+1)*AF276-ERP_i)*AE276*Ramure*Pc/MaxiM</f>
        <v>1.6307027341244296E-3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'2023'!Wh/'2023'!Env_an*'2024'!Env_an</f>
        <v>47.577367785065611</v>
      </c>
      <c r="C277" s="829"/>
      <c r="D277" s="391">
        <f t="shared" si="102"/>
        <v>49.505616819535447</v>
      </c>
      <c r="E277" s="383">
        <f t="shared" si="100"/>
        <v>50.613374925667536</v>
      </c>
      <c r="F277" s="383">
        <f t="shared" si="103"/>
        <v>50.698686823362124</v>
      </c>
      <c r="G277" s="110">
        <f t="shared" si="101"/>
        <v>1.0365895377792054</v>
      </c>
      <c r="H277" s="412" t="b">
        <f>Wh_hp&gt;='2023'!Maxi_hp</f>
        <v>1</v>
      </c>
      <c r="I277" s="388">
        <f>IF(H277,Wh_hp,'2023'!Maxi_hp)</f>
        <v>50.698686823362124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3.8950106237418458E-2</v>
      </c>
      <c r="M277" s="832"/>
      <c r="N277" s="832"/>
      <c r="O277" s="48">
        <f>IF(t&lt;Tnet,'2023'!Resal+('2023'!Salim-'2023'!Resal)*(1-EXP(('2023'!Tnet-t)/('2023'!Tau_j))),Resal+(Salim-Resal)*(1-EXP((Tnet-t)/(Tau_j))))*Salcycl</f>
        <v>2.1886667462088453E-2</v>
      </c>
      <c r="P277" s="169">
        <f>(INDEX(Models!$BJ277:$BT277,,T277)*(1-R277)+INDEX(Models!$BJ277:$BT277,,T277+1)*R277-ERP_i)*Q277*Ramure*Pc/MaxiM</f>
        <v>1.6827240120010258E-3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45.897981844381341</v>
      </c>
      <c r="W277" s="400">
        <f t="shared" si="111"/>
        <v>47.577367785065611</v>
      </c>
      <c r="X277" s="157">
        <f t="shared" si="112"/>
        <v>45554</v>
      </c>
      <c r="Y277" s="383">
        <f t="shared" si="113"/>
        <v>45.624163300333443</v>
      </c>
      <c r="Z277" s="383">
        <f t="shared" si="114"/>
        <v>47.473251489276443</v>
      </c>
      <c r="AA277" s="384">
        <f t="shared" si="115"/>
        <v>50.613374925667536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6.2041376237067375E-2</v>
      </c>
      <c r="AD277" s="230">
        <f>(INDEX(Models!$BJ277:$BT277,,AH277)*(1-AF277)+INDEX(Models!$BJ277:$BT277,,AH277+1)*AF277-ERP_i)*AE277*Ramure*Pc/MaxiM</f>
        <v>1.6827240120010258E-3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'2023'!Wh/'2023'!Env_an*'2024'!Env_an</f>
        <v>46.351488303634653</v>
      </c>
      <c r="C278" s="829"/>
      <c r="D278" s="391">
        <f t="shared" si="102"/>
        <v>48.230978367715352</v>
      </c>
      <c r="E278" s="383">
        <f t="shared" si="100"/>
        <v>49.313741906200036</v>
      </c>
      <c r="F278" s="383">
        <f t="shared" si="103"/>
        <v>49.399515767454268</v>
      </c>
      <c r="G278" s="110">
        <f t="shared" si="101"/>
        <v>1.0163460501370338</v>
      </c>
      <c r="H278" s="412" t="b">
        <f>Wh_hp&gt;='2023'!Maxi_hp</f>
        <v>1</v>
      </c>
      <c r="I278" s="388">
        <f>IF(H278,Wh_hp,'2023'!Maxi_hp)</f>
        <v>49.399515767454268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3.8968524539381599E-2</v>
      </c>
      <c r="M278" s="832"/>
      <c r="N278" s="832"/>
      <c r="O278" s="48">
        <f>IF(t&lt;Tnet,'2023'!Resal+('2023'!Salim-'2023'!Resal)*(1-EXP(('2023'!Tnet-t)/('2023'!Tau_j))),Resal+(Salim-Resal)*(1-EXP((Tnet-t)/(Tau_j))))*Salcycl</f>
        <v>2.1956629057762793E-2</v>
      </c>
      <c r="P278" s="169">
        <f>(INDEX(Models!$BJ278:$BT278,,T278)*(1-R278)+INDEX(Models!$BJ278:$BT278,,T278+1)*R278-ERP_i)*Q278*Ramure*Pc/MaxiM</f>
        <v>1.7363300008447085E-3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45.606010174767825</v>
      </c>
      <c r="W278" s="400">
        <f t="shared" si="111"/>
        <v>46.351488303634653</v>
      </c>
      <c r="X278" s="157">
        <f t="shared" si="112"/>
        <v>45555</v>
      </c>
      <c r="Y278" s="383">
        <f t="shared" si="113"/>
        <v>44.450682159798461</v>
      </c>
      <c r="Z278" s="383">
        <f t="shared" si="114"/>
        <v>46.253097109533726</v>
      </c>
      <c r="AA278" s="384">
        <f t="shared" si="115"/>
        <v>49.313741906200036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6.2064744599750268E-2</v>
      </c>
      <c r="AD278" s="230">
        <f>(INDEX(Models!$BJ278:$BT278,,AH278)*(1-AF278)+INDEX(Models!$BJ278:$BT278,,AH278+1)*AF278-ERP_i)*AE278*Ramure*Pc/MaxiM</f>
        <v>1.7363300008447085E-3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'2023'!Wh/'2023'!Env_an*'2024'!Env_an</f>
        <v>44.851759774524389</v>
      </c>
      <c r="C279" s="829"/>
      <c r="D279" s="391">
        <f t="shared" si="102"/>
        <v>46.671332323683068</v>
      </c>
      <c r="E279" s="383">
        <f t="shared" si="100"/>
        <v>47.722479992307761</v>
      </c>
      <c r="F279" s="383">
        <f t="shared" si="103"/>
        <v>47.806888344939985</v>
      </c>
      <c r="G279" s="110">
        <f t="shared" si="101"/>
        <v>0.98984704703985471</v>
      </c>
      <c r="H279" s="412" t="b">
        <f>Wh_hp&gt;='2023'!Maxi_hp</f>
        <v>0</v>
      </c>
      <c r="I279" s="388">
        <f>IF(H279,Wh_hp,'2023'!Maxi_hp)</f>
        <v>47.807494573948958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3.8986942488362319E-2</v>
      </c>
      <c r="M279" s="832"/>
      <c r="N279" s="832"/>
      <c r="O279" s="48">
        <f>IF(t&lt;Tnet,'2023'!Resal+('2023'!Salim-'2023'!Resal)*(1-EXP(('2023'!Tnet-t)/('2023'!Tau_j))),Resal+(Salim-Resal)*(1-EXP((Tnet-t)/(Tau_j))))*Salcycl</f>
        <v>2.2026258249657652E-2</v>
      </c>
      <c r="P279" s="169">
        <f>(INDEX(Models!$BJ279:$BT279,,T279)*(1-R279)+INDEX(Models!$BJ279:$BT279,,T279+1)*R279-ERP_i)*Q279*Ramure*Pc/MaxiM</f>
        <v>1.7915296377262674E-3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45.31063192197842</v>
      </c>
      <c r="W279" s="400">
        <f t="shared" si="111"/>
        <v>44.851759774524389</v>
      </c>
      <c r="X279" s="157">
        <f t="shared" si="112"/>
        <v>45556</v>
      </c>
      <c r="Y279" s="383">
        <f t="shared" si="113"/>
        <v>43.014477691917286</v>
      </c>
      <c r="Z279" s="383">
        <f t="shared" si="114"/>
        <v>44.759514301808942</v>
      </c>
      <c r="AA279" s="384">
        <f t="shared" si="115"/>
        <v>47.722479992307761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6.2087420665824886E-2</v>
      </c>
      <c r="AD279" s="230">
        <f>(INDEX(Models!$BJ279:$BT279,,AH279)*(1-AF279)+INDEX(Models!$BJ279:$BT279,,AH279+1)*AF279-ERP_i)*AE279*Ramure*Pc/MaxiM</f>
        <v>1.7915296377262674E-3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'2023'!Wh/'2023'!Env_an*'2024'!Env_an</f>
        <v>28.46660973234788</v>
      </c>
      <c r="C280" s="829"/>
      <c r="D280" s="391">
        <f t="shared" si="102"/>
        <v>29.6220275847189</v>
      </c>
      <c r="E280" s="383">
        <f t="shared" si="100"/>
        <v>30.29133106580386</v>
      </c>
      <c r="F280" s="383">
        <f t="shared" si="103"/>
        <v>30.317942926749051</v>
      </c>
      <c r="G280" s="110">
        <f t="shared" si="101"/>
        <v>0.63180899425037085</v>
      </c>
      <c r="H280" s="412" t="b">
        <f>Wh_hp&gt;='2023'!Maxi_hp</f>
        <v>0</v>
      </c>
      <c r="I280" s="388">
        <f>IF(H280,Wh_hp,'2023'!Maxi_hp)</f>
        <v>41.863369362780062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3.900536008436728E-2</v>
      </c>
      <c r="M280" s="832"/>
      <c r="N280" s="832"/>
      <c r="O280" s="48">
        <f>IF(t&lt;Tnet,'2023'!Resal+('2023'!Salim-'2023'!Resal)*(1-EXP(('2023'!Tnet-t)/('2023'!Tau_j))),Resal+(Salim-Resal)*(1-EXP((Tnet-t)/(Tau_j))))*Salcycl</f>
        <v>2.2095545409707696E-2</v>
      </c>
      <c r="P280" s="169">
        <f>(INDEX(Models!$BJ280:$BT280,,T280)*(1-R280)+INDEX(Models!$BJ280:$BT280,,T280+1)*R280-ERP_i)*Q280*Ramure*Pc/MaxiM</f>
        <v>1.8483407154908863E-3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45.011952283088029</v>
      </c>
      <c r="W280" s="400">
        <f t="shared" si="111"/>
        <v>28.46660973234788</v>
      </c>
      <c r="X280" s="157">
        <f t="shared" si="112"/>
        <v>45557</v>
      </c>
      <c r="Y280" s="383">
        <f t="shared" si="113"/>
        <v>27.301814667624445</v>
      </c>
      <c r="Z280" s="383">
        <f t="shared" si="114"/>
        <v>28.409955200188541</v>
      </c>
      <c r="AA280" s="384">
        <f t="shared" si="115"/>
        <v>30.29133106580386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6.2109382434475446E-2</v>
      </c>
      <c r="AD280" s="230">
        <f>(INDEX(Models!$BJ280:$BT280,,AH280)*(1-AF280)+INDEX(Models!$BJ280:$BT280,,AH280+1)*AF280-ERP_i)*AE280*Ramure*Pc/MaxiM</f>
        <v>1.8483407154908863E-3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'2023'!Wh/'2023'!Env_an*'2024'!Env_an</f>
        <v>17.243384519966654</v>
      </c>
      <c r="C281" s="829"/>
      <c r="D281" s="391">
        <f t="shared" si="102"/>
        <v>17.943612040691924</v>
      </c>
      <c r="E281" s="383">
        <f t="shared" si="100"/>
        <v>18.350337750516875</v>
      </c>
      <c r="F281" s="383">
        <f t="shared" si="103"/>
        <v>18.35462107962551</v>
      </c>
      <c r="G281" s="110">
        <f t="shared" si="101"/>
        <v>0.38502556481741507</v>
      </c>
      <c r="H281" s="412" t="b">
        <f>Wh_hp&gt;='2023'!Maxi_hp</f>
        <v>0</v>
      </c>
      <c r="I281" s="388">
        <f>IF(H281,Wh_hp,'2023'!Maxi_hp)</f>
        <v>40.4343470381435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3.9023777327403142E-2</v>
      </c>
      <c r="M281" s="832"/>
      <c r="N281" s="832"/>
      <c r="O281" s="48">
        <f>IF(t&lt;Tnet,'2023'!Resal+('2023'!Salim-'2023'!Resal)*(1-EXP(('2023'!Tnet-t)/('2023'!Tau_j))),Resal+(Salim-Resal)*(1-EXP((Tnet-t)/(Tau_j))))*Salcycl</f>
        <v>2.2164480858860261E-2</v>
      </c>
      <c r="P281" s="169">
        <f>(INDEX(Models!$BJ281:$BT281,,T281)*(1-R281)+INDEX(Models!$BJ281:$BT281,,T281+1)*R281-ERP_i)*Q281*Ramure*Pc/MaxiM</f>
        <v>1.906776142968507E-3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44.710076650953496</v>
      </c>
      <c r="W281" s="400">
        <f t="shared" si="111"/>
        <v>17.243384519966654</v>
      </c>
      <c r="X281" s="157">
        <f t="shared" si="112"/>
        <v>45558</v>
      </c>
      <c r="Y281" s="383">
        <f t="shared" si="113"/>
        <v>16.538612312066935</v>
      </c>
      <c r="Z281" s="383">
        <f t="shared" si="114"/>
        <v>17.21022010937061</v>
      </c>
      <c r="AA281" s="384">
        <f t="shared" si="115"/>
        <v>18.350337750516875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6.213060798372233E-2</v>
      </c>
      <c r="AD281" s="230">
        <f>(INDEX(Models!$BJ281:$BT281,,AH281)*(1-AF281)+INDEX(Models!$BJ281:$BT281,,AH281+1)*AF281-ERP_i)*AE281*Ramure*Pc/MaxiM</f>
        <v>1.906776142968507E-3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'2023'!Wh/'2023'!Env_an*'2024'!Env_an</f>
        <v>36.311988651541725</v>
      </c>
      <c r="C282" s="829"/>
      <c r="D282" s="391">
        <f t="shared" si="102"/>
        <v>37.787287259685968</v>
      </c>
      <c r="E282" s="383">
        <f t="shared" si="100"/>
        <v>38.646517403352298</v>
      </c>
      <c r="F282" s="383">
        <f t="shared" si="103"/>
        <v>38.702925182714573</v>
      </c>
      <c r="G282" s="110">
        <f t="shared" si="101"/>
        <v>0.81732629963892278</v>
      </c>
      <c r="H282" s="412" t="b">
        <f>Wh_hp&gt;='2023'!Maxi_hp</f>
        <v>0</v>
      </c>
      <c r="I282" s="388">
        <f>IF(H282,Wh_hp,'2023'!Maxi_hp)</f>
        <v>38.712672418777252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3.9042194217476678E-2</v>
      </c>
      <c r="M282" s="832"/>
      <c r="N282" s="832"/>
      <c r="O282" s="48">
        <f>IF(t&lt;Tnet,'2023'!Resal+('2023'!Salim-'2023'!Resal)*(1-EXP(('2023'!Tnet-t)/('2023'!Tau_j))),Resal+(Salim-Resal)*(1-EXP((Tnet-t)/(Tau_j))))*Salcycl</f>
        <v>2.2233054914070984E-2</v>
      </c>
      <c r="P282" s="169">
        <f>(INDEX(Models!$BJ282:$BT282,,T282)*(1-R282)+INDEX(Models!$BJ282:$BT282,,T282+1)*R282-ERP_i)*Q282*Ramure*Pc/MaxiM</f>
        <v>1.9704985589977949E-3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44.404948000919269</v>
      </c>
      <c r="W282" s="400">
        <f t="shared" si="111"/>
        <v>36.311988651541725</v>
      </c>
      <c r="X282" s="157">
        <f t="shared" si="112"/>
        <v>45559</v>
      </c>
      <c r="Y282" s="383">
        <f t="shared" si="113"/>
        <v>34.829526269880475</v>
      </c>
      <c r="Z282" s="383">
        <f t="shared" si="114"/>
        <v>36.244594778558707</v>
      </c>
      <c r="AA282" s="384">
        <f t="shared" si="115"/>
        <v>38.646517403352298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6.2151075599511559E-2</v>
      </c>
      <c r="AD282" s="230">
        <f>(INDEX(Models!$BJ282:$BT282,,AH282)*(1-AF282)+INDEX(Models!$BJ282:$BT282,,AH282+1)*AF282-ERP_i)*AE282*Ramure*Pc/MaxiM</f>
        <v>1.9704985589977949E-3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'2023'!Wh/'2023'!Env_an*'2024'!Env_an</f>
        <v>33.246244160746812</v>
      </c>
      <c r="C283" s="829"/>
      <c r="D283" s="391">
        <f t="shared" si="102"/>
        <v>34.597649480113432</v>
      </c>
      <c r="E283" s="383">
        <f t="shared" si="100"/>
        <v>35.3868200824258</v>
      </c>
      <c r="F283" s="383">
        <f t="shared" si="103"/>
        <v>35.433669727240371</v>
      </c>
      <c r="G283" s="110">
        <f t="shared" si="101"/>
        <v>0.75339838328066333</v>
      </c>
      <c r="H283" s="412" t="b">
        <f>Wh_hp&gt;='2023'!Maxi_hp</f>
        <v>0</v>
      </c>
      <c r="I283" s="388">
        <f>IF(H283,Wh_hp,'2023'!Maxi_hp)</f>
        <v>39.693686966189702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3.9060610754594882E-2</v>
      </c>
      <c r="M283" s="832"/>
      <c r="N283" s="832"/>
      <c r="O283" s="48">
        <f>IF(t&lt;Tnet,'2023'!Resal+('2023'!Salim-'2023'!Resal)*(1-EXP(('2023'!Tnet-t)/('2023'!Tau_j))),Resal+(Salim-Resal)*(1-EXP((Tnet-t)/(Tau_j))))*Salcycl</f>
        <v>2.2301257939373091E-2</v>
      </c>
      <c r="P283" s="169">
        <f>(INDEX(Models!$BJ283:$BT283,,T283)*(1-R283)+INDEX(Models!$BJ283:$BT283,,T283+1)*R283-ERP_i)*Q283*Ramure*Pc/MaxiM</f>
        <v>2.0388735378971518E-3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44.096703605940924</v>
      </c>
      <c r="W283" s="400">
        <f t="shared" si="111"/>
        <v>33.246244160746812</v>
      </c>
      <c r="X283" s="157">
        <f t="shared" si="112"/>
        <v>45560</v>
      </c>
      <c r="Y283" s="383">
        <f t="shared" si="113"/>
        <v>31.890497985387302</v>
      </c>
      <c r="Z283" s="383">
        <f t="shared" si="114"/>
        <v>33.186794445412303</v>
      </c>
      <c r="AA283" s="384">
        <f t="shared" si="115"/>
        <v>35.3868200824258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6.217076391405111E-2</v>
      </c>
      <c r="AD283" s="230">
        <f>(INDEX(Models!$BJ283:$BT283,,AH283)*(1-AF283)+INDEX(Models!$BJ283:$BT283,,AH283+1)*AF283-ERP_i)*AE283*Ramure*Pc/MaxiM</f>
        <v>2.0388735378971518E-3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'2023'!Wh/'2023'!Env_an*'2024'!Env_an</f>
        <v>17.628682431520584</v>
      </c>
      <c r="C284" s="829"/>
      <c r="D284" s="391">
        <f t="shared" si="102"/>
        <v>18.34561106035634</v>
      </c>
      <c r="E284" s="383">
        <f t="shared" si="100"/>
        <v>18.765375248030775</v>
      </c>
      <c r="F284" s="383">
        <f t="shared" si="103"/>
        <v>18.771186718111391</v>
      </c>
      <c r="G284" s="110">
        <f t="shared" si="101"/>
        <v>0.40188919971232706</v>
      </c>
      <c r="H284" s="412" t="b">
        <f>Wh_hp&gt;='2023'!Maxi_hp</f>
        <v>0</v>
      </c>
      <c r="I284" s="388">
        <f>IF(H284,Wh_hp,'2023'!Maxi_hp)</f>
        <v>37.960845399345402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3.9079026938764194E-2</v>
      </c>
      <c r="M284" s="832"/>
      <c r="N284" s="832"/>
      <c r="O284" s="48">
        <f>IF(t&lt;Tnet,'2023'!Resal+('2023'!Salim-'2023'!Resal)*(1-EXP(('2023'!Tnet-t)/('2023'!Tau_j))),Resal+(Salim-Resal)*(1-EXP((Tnet-t)/(Tau_j))))*Salcycl</f>
        <v>2.2369080400802769E-2</v>
      </c>
      <c r="P284" s="169">
        <f>(INDEX(Models!$BJ284:$BT284,,T284)*(1-R284)+INDEX(Models!$BJ284:$BT284,,T284+1)*R284-ERP_i)*Q284*Ramure*Pc/MaxiM</f>
        <v>2.1119379325905611E-3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43.785450510699945</v>
      </c>
      <c r="W284" s="400">
        <f t="shared" si="111"/>
        <v>17.628682431520584</v>
      </c>
      <c r="X284" s="157">
        <f t="shared" si="112"/>
        <v>45561</v>
      </c>
      <c r="Y284" s="383">
        <f t="shared" si="113"/>
        <v>16.910636185418397</v>
      </c>
      <c r="Z284" s="383">
        <f t="shared" si="114"/>
        <v>17.598363090718749</v>
      </c>
      <c r="AA284" s="384">
        <f t="shared" si="115"/>
        <v>18.765375248030775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6.218965205262772E-2</v>
      </c>
      <c r="AD284" s="230">
        <f>(INDEX(Models!$BJ284:$BT284,,AH284)*(1-AF284)+INDEX(Models!$BJ284:$BT284,,AH284+1)*AF284-ERP_i)*AE284*Ramure*Pc/MaxiM</f>
        <v>2.1119379325905611E-3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'2023'!Wh/'2023'!Env_an*'2024'!Env_an</f>
        <v>19.980076911444957</v>
      </c>
      <c r="C285" s="829"/>
      <c r="D285" s="391">
        <f t="shared" si="102"/>
        <v>20.793031261194141</v>
      </c>
      <c r="E285" s="383">
        <f t="shared" si="100"/>
        <v>21.270261764182472</v>
      </c>
      <c r="F285" s="383">
        <f t="shared" si="103"/>
        <v>21.280887435540688</v>
      </c>
      <c r="G285" s="110">
        <f t="shared" si="101"/>
        <v>0.45883806542909372</v>
      </c>
      <c r="H285" s="412" t="b">
        <f>Wh_hp&gt;='2023'!Maxi_hp</f>
        <v>0</v>
      </c>
      <c r="I285" s="388">
        <f>IF(H285,Wh_hp,'2023'!Maxi_hp)</f>
        <v>38.326040675068562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3.9097442769991608E-2</v>
      </c>
      <c r="M285" s="832"/>
      <c r="N285" s="832"/>
      <c r="O285" s="48">
        <f>IF(t&lt;Tnet,'2023'!Resal+('2023'!Salim-'2023'!Resal)*(1-EXP(('2023'!Tnet-t)/('2023'!Tau_j))),Resal+(Salim-Resal)*(1-EXP((Tnet-t)/(Tau_j))))*Salcycl</f>
        <v>2.2436512924911431E-2</v>
      </c>
      <c r="P285" s="169">
        <f>(INDEX(Models!$BJ285:$BT285,,T285)*(1-R285)+INDEX(Models!$BJ285:$BT285,,T285+1)*R285-ERP_i)*Q285*Ramure*Pc/MaxiM</f>
        <v>2.1897266428420347E-3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43.471295875969709</v>
      </c>
      <c r="W285" s="400">
        <f t="shared" si="111"/>
        <v>19.980076911444957</v>
      </c>
      <c r="X285" s="157">
        <f t="shared" si="112"/>
        <v>45562</v>
      </c>
      <c r="Y285" s="383">
        <f t="shared" si="113"/>
        <v>19.167207177159614</v>
      </c>
      <c r="Z285" s="383">
        <f t="shared" si="114"/>
        <v>19.947087280538497</v>
      </c>
      <c r="AA285" s="384">
        <f t="shared" si="115"/>
        <v>21.270261764182472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6.2207719788014086E-2</v>
      </c>
      <c r="AD285" s="230">
        <f>(INDEX(Models!$BJ285:$BT285,,AH285)*(1-AF285)+INDEX(Models!$BJ285:$BT285,,AH285+1)*AF285-ERP_i)*AE285*Ramure*Pc/MaxiM</f>
        <v>2.1897266428420347E-3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'2023'!Wh/'2023'!Env_an*'2024'!Env_an</f>
        <v>24.005596784677238</v>
      </c>
      <c r="C286" s="829"/>
      <c r="D286" s="391">
        <f t="shared" si="102"/>
        <v>24.982821280528604</v>
      </c>
      <c r="E286" s="383">
        <f t="shared" si="100"/>
        <v>25.557966156819887</v>
      </c>
      <c r="F286" s="383">
        <f t="shared" si="103"/>
        <v>25.579245238190424</v>
      </c>
      <c r="G286" s="110">
        <f t="shared" si="101"/>
        <v>0.55547105674720032</v>
      </c>
      <c r="H286" s="412" t="b">
        <f>Wh_hp&gt;='2023'!Maxi_hp</f>
        <v>0</v>
      </c>
      <c r="I286" s="388">
        <f>IF(H286,Wh_hp,'2023'!Maxi_hp)</f>
        <v>44.025423023353014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3.9115858248283897E-2</v>
      </c>
      <c r="M286" s="832"/>
      <c r="N286" s="832"/>
      <c r="O286" s="48">
        <f>IF(t&lt;Tnet,'2023'!Resal+('2023'!Salim-'2023'!Resal)*(1-EXP(('2023'!Tnet-t)/('2023'!Tau_j))),Resal+(Salim-Resal)*(1-EXP((Tnet-t)/(Tau_j))))*Salcycl</f>
        <v>2.2503546360546901E-2</v>
      </c>
      <c r="P286" s="169">
        <f>(INDEX(Models!$BJ286:$BT286,,T286)*(1-R286)+INDEX(Models!$BJ286:$BT286,,T286+1)*R286-ERP_i)*Q286*Ramure*Pc/MaxiM</f>
        <v>2.2722723657970264E-3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43.154346985595922</v>
      </c>
      <c r="W286" s="400">
        <f t="shared" si="111"/>
        <v>24.005596784677238</v>
      </c>
      <c r="X286" s="157">
        <f t="shared" si="112"/>
        <v>45563</v>
      </c>
      <c r="Y286" s="383">
        <f t="shared" si="113"/>
        <v>23.030108903609158</v>
      </c>
      <c r="Z286" s="383">
        <f t="shared" si="114"/>
        <v>23.967623049356071</v>
      </c>
      <c r="AA286" s="384">
        <f t="shared" si="115"/>
        <v>25.557966156819887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6.2224947701460538E-2</v>
      </c>
      <c r="AD286" s="230">
        <f>(INDEX(Models!$BJ286:$BT286,,AH286)*(1-AF286)+INDEX(Models!$BJ286:$BT286,,AH286+1)*AF286-ERP_i)*AE286*Ramure*Pc/MaxiM</f>
        <v>2.2722723657970264E-3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'2023'!Wh/'2023'!Env_an*'2024'!Env_an</f>
        <v>28.485711443669818</v>
      </c>
      <c r="C287" s="829"/>
      <c r="D287" s="391">
        <f t="shared" si="102"/>
        <v>29.645881473662897</v>
      </c>
      <c r="E287" s="383">
        <f t="shared" si="100"/>
        <v>30.330444825464536</v>
      </c>
      <c r="F287" s="383">
        <f t="shared" si="103"/>
        <v>30.367809837467682</v>
      </c>
      <c r="G287" s="110">
        <f t="shared" si="101"/>
        <v>0.6642628187544638</v>
      </c>
      <c r="H287" s="412" t="b">
        <f>Wh_hp&gt;='2023'!Maxi_hp</f>
        <v>0</v>
      </c>
      <c r="I287" s="388">
        <f>IF(H287,Wh_hp,'2023'!Maxi_hp)</f>
        <v>36.159220038545989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3.913427337364761E-2</v>
      </c>
      <c r="M287" s="832"/>
      <c r="N287" s="832"/>
      <c r="O287" s="48">
        <f>IF(t&lt;Tnet,'2023'!Resal+('2023'!Salim-'2023'!Resal)*(1-EXP(('2023'!Tnet-t)/('2023'!Tau_j))),Resal+(Salim-Resal)*(1-EXP((Tnet-t)/(Tau_j))))*Salcycl</f>
        <v>2.257017184353664E-2</v>
      </c>
      <c r="P287" s="169">
        <f>(INDEX(Models!$BJ287:$BT287,,T287)*(1-R287)+INDEX(Models!$BJ287:$BT287,,T287+1)*R287-ERP_i)*Q287*Ramure*Pc/MaxiM</f>
        <v>2.359605356789508E-3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42.834711241833247</v>
      </c>
      <c r="W287" s="400">
        <f t="shared" si="111"/>
        <v>28.485711443669818</v>
      </c>
      <c r="X287" s="157">
        <f t="shared" si="112"/>
        <v>45564</v>
      </c>
      <c r="Y287" s="383">
        <f t="shared" si="113"/>
        <v>27.32955601341833</v>
      </c>
      <c r="Z287" s="383">
        <f t="shared" si="114"/>
        <v>28.442637983741772</v>
      </c>
      <c r="AA287" s="384">
        <f t="shared" si="115"/>
        <v>30.330444825464536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6.2241317349154605E-2</v>
      </c>
      <c r="AD287" s="230">
        <f>(INDEX(Models!$BJ287:$BT287,,AH287)*(1-AF287)+INDEX(Models!$BJ287:$BT287,,AH287+1)*AF287-ERP_i)*AE287*Ramure*Pc/MaxiM</f>
        <v>2.359605356789508E-3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'2023'!Wh/'2023'!Env_an*'2024'!Env_an</f>
        <v>37.218824744798525</v>
      </c>
      <c r="C288" s="829"/>
      <c r="D288" s="391">
        <f t="shared" si="102"/>
        <v>38.735420587259107</v>
      </c>
      <c r="E288" s="383">
        <f t="shared" si="100"/>
        <v>39.632558270888111</v>
      </c>
      <c r="F288" s="383">
        <f t="shared" si="103"/>
        <v>39.712603791882934</v>
      </c>
      <c r="G288" s="110">
        <f t="shared" si="101"/>
        <v>0.87509704086373485</v>
      </c>
      <c r="H288" s="412" t="b">
        <f>Wh_hp&gt;='2023'!Maxi_hp</f>
        <v>0</v>
      </c>
      <c r="I288" s="388">
        <f>IF(H288,Wh_hp,'2023'!Maxi_hp)</f>
        <v>44.503895100671492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3.9152688146089742E-2</v>
      </c>
      <c r="M288" s="832"/>
      <c r="N288" s="832"/>
      <c r="O288" s="48">
        <f>IF(t&lt;Tnet,'2023'!Resal+('2023'!Salim-'2023'!Resal)*(1-EXP(('2023'!Tnet-t)/('2023'!Tau_j))),Resal+(Salim-Resal)*(1-EXP((Tnet-t)/(Tau_j))))*Salcycl</f>
        <v>2.2636380863861404E-2</v>
      </c>
      <c r="P288" s="169">
        <f>(INDEX(Models!$BJ288:$BT288,,T288)*(1-R288)+INDEX(Models!$BJ288:$BT288,,T288+1)*R288-ERP_i)*Q288*Ramure*Pc/MaxiM</f>
        <v>2.4517532025440433E-3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42.512496169420722</v>
      </c>
      <c r="W288" s="400">
        <f t="shared" si="111"/>
        <v>37.218824744798525</v>
      </c>
      <c r="X288" s="157">
        <f t="shared" si="112"/>
        <v>45565</v>
      </c>
      <c r="Y288" s="383">
        <f t="shared" si="113"/>
        <v>35.7100455833979</v>
      </c>
      <c r="Z288" s="383">
        <f t="shared" si="114"/>
        <v>37.165161564012728</v>
      </c>
      <c r="AA288" s="384">
        <f t="shared" si="115"/>
        <v>39.632558270888111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6.2256811432932394E-2</v>
      </c>
      <c r="AD288" s="230">
        <f>(INDEX(Models!$BJ288:$BT288,,AH288)*(1-AF288)+INDEX(Models!$BJ288:$BT288,,AH288+1)*AF288-ERP_i)*AE288*Ramure*Pc/MaxiM</f>
        <v>2.4517532025440433E-3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'2023'!Wh/'2023'!Env_an*'2024'!Env_an</f>
        <v>39.68479328653352</v>
      </c>
      <c r="C289" s="829"/>
      <c r="D289" s="391">
        <f t="shared" si="102"/>
        <v>41.302664181417043</v>
      </c>
      <c r="E289" s="383">
        <f t="shared" si="100"/>
        <v>42.262105487595939</v>
      </c>
      <c r="F289" s="383">
        <f t="shared" si="103"/>
        <v>42.360930714067408</v>
      </c>
      <c r="G289" s="110">
        <f t="shared" si="101"/>
        <v>0.94050172998008308</v>
      </c>
      <c r="H289" s="412" t="b">
        <f>Wh_hp&gt;='2023'!Maxi_hp</f>
        <v>0</v>
      </c>
      <c r="I289" s="388">
        <f>IF(H289,Wh_hp,'2023'!Maxi_hp)</f>
        <v>42.365486176879408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3.9171102565616955E-2</v>
      </c>
      <c r="M289" s="832"/>
      <c r="N289" s="832"/>
      <c r="O289" s="48">
        <f>IF(t&lt;Tnet,'2023'!Resal+('2023'!Salim-'2023'!Resal)*(1-EXP(('2023'!Tnet-t)/('2023'!Tau_j))),Resal+(Salim-Resal)*(1-EXP((Tnet-t)/(Tau_j))))*Salcycl</f>
        <v>2.2702165334864643E-2</v>
      </c>
      <c r="P289" s="169">
        <f>(INDEX(Models!$BJ289:$BT289,,T289)*(1-R289)+INDEX(Models!$BJ289:$BT289,,T289+1)*R289-ERP_i)*Q289*Ramure*Pc/MaxiM</f>
        <v>2.5488368881170769E-3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42.186211782024841</v>
      </c>
      <c r="W289" s="400">
        <f t="shared" si="111"/>
        <v>39.68479328653352</v>
      </c>
      <c r="X289" s="157">
        <f t="shared" si="112"/>
        <v>45566</v>
      </c>
      <c r="Y289" s="383">
        <f t="shared" si="113"/>
        <v>38.078018568483522</v>
      </c>
      <c r="Z289" s="383">
        <f t="shared" si="114"/>
        <v>39.630384421367744</v>
      </c>
      <c r="AA289" s="384">
        <f t="shared" si="115"/>
        <v>42.262105487595939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6.2271413973934937E-2</v>
      </c>
      <c r="AD289" s="230">
        <f>(INDEX(Models!$BJ289:$BT289,,AH289)*(1-AF289)+INDEX(Models!$BJ289:$BT289,,AH289+1)*AF289-ERP_i)*AE289*Ramure*Pc/MaxiM</f>
        <v>2.5488368881170769E-3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'2023'!Wh/'2023'!Env_an*'2024'!Env_an</f>
        <v>38.307941648733625</v>
      </c>
      <c r="C290" s="829"/>
      <c r="D290" s="391">
        <f t="shared" si="102"/>
        <v>39.870445120935159</v>
      </c>
      <c r="E290" s="383">
        <f t="shared" si="100"/>
        <v>40.799344927246004</v>
      </c>
      <c r="F290" s="383">
        <f t="shared" si="103"/>
        <v>40.894727879327498</v>
      </c>
      <c r="G290" s="110">
        <f t="shared" si="101"/>
        <v>0.91496768910572113</v>
      </c>
      <c r="H290" s="412" t="b">
        <f>Wh_hp&gt;='2023'!Maxi_hp</f>
        <v>0</v>
      </c>
      <c r="I290" s="388">
        <f>IF(H290,Wh_hp,'2023'!Maxi_hp)</f>
        <v>40.901284481395429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3.918951663223591E-2</v>
      </c>
      <c r="M290" s="832"/>
      <c r="N290" s="832"/>
      <c r="O290" s="48">
        <f>IF(t&lt;Tnet,'2023'!Resal+('2023'!Salim-'2023'!Resal)*(1-EXP(('2023'!Tnet-t)/('2023'!Tau_j))),Resal+(Salim-Resal)*(1-EXP((Tnet-t)/(Tau_j))))*Salcycl</f>
        <v>2.2767517664003541E-2</v>
      </c>
      <c r="P290" s="169">
        <f>(INDEX(Models!$BJ290:$BT290,,T290)*(1-R290)+INDEX(Models!$BJ290:$BT290,,T290+1)*R290-ERP_i)*Q290*Ramure*Pc/MaxiM</f>
        <v>2.6536345313357109E-3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41.854600534125254</v>
      </c>
      <c r="W290" s="400">
        <f t="shared" si="111"/>
        <v>38.307941648733625</v>
      </c>
      <c r="X290" s="157">
        <f t="shared" si="112"/>
        <v>45567</v>
      </c>
      <c r="Y290" s="383">
        <f t="shared" si="113"/>
        <v>36.758834688663498</v>
      </c>
      <c r="Z290" s="383">
        <f t="shared" si="114"/>
        <v>38.258153220621679</v>
      </c>
      <c r="AA290" s="384">
        <f t="shared" si="115"/>
        <v>40.799344927246004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6.2285110487823182E-2</v>
      </c>
      <c r="AD290" s="230">
        <f>(INDEX(Models!$BJ290:$BT290,,AH290)*(1-AF290)+INDEX(Models!$BJ290:$BT290,,AH290+1)*AF290-ERP_i)*AE290*Ramure*Pc/MaxiM</f>
        <v>2.6536345313357109E-3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'2023'!Wh/'2023'!Env_an*'2024'!Env_an</f>
        <v>42.196158884946364</v>
      </c>
      <c r="C291" s="829"/>
      <c r="D291" s="391">
        <f t="shared" si="102"/>
        <v>43.918096555626221</v>
      </c>
      <c r="E291" s="383">
        <f t="shared" si="100"/>
        <v>44.944283806602229</v>
      </c>
      <c r="F291" s="383">
        <f t="shared" si="103"/>
        <v>45.068928153940959</v>
      </c>
      <c r="G291" s="110">
        <f t="shared" si="101"/>
        <v>1.0163264907080045</v>
      </c>
      <c r="H291" s="412" t="b">
        <f>Wh_hp&gt;='2023'!Maxi_hp</f>
        <v>1</v>
      </c>
      <c r="I291" s="388">
        <f>IF(H291,Wh_hp,'2023'!Maxi_hp)</f>
        <v>45.068928153940959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3.9207930345953601E-2</v>
      </c>
      <c r="M291" s="832"/>
      <c r="N291" s="832"/>
      <c r="O291" s="48">
        <f>IF(t&lt;Tnet,'2023'!Resal+('2023'!Salim-'2023'!Resal)*(1-EXP(('2023'!Tnet-t)/('2023'!Tau_j))),Resal+(Salim-Resal)*(1-EXP((Tnet-t)/(Tau_j))))*Salcycl</f>
        <v>2.2832430824612688E-2</v>
      </c>
      <c r="P291" s="169">
        <f>(INDEX(Models!$BJ291:$BT291,,T291)*(1-R291)+INDEX(Models!$BJ291:$BT291,,T291+1)*R291-ERP_i)*Q291*Ramure*Pc/MaxiM</f>
        <v>2.7656381556930556E-3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41.518310573161592</v>
      </c>
      <c r="W291" s="400">
        <f t="shared" si="111"/>
        <v>42.196158884946364</v>
      </c>
      <c r="X291" s="157">
        <f t="shared" si="112"/>
        <v>45568</v>
      </c>
      <c r="Y291" s="383">
        <f t="shared" si="113"/>
        <v>40.491957107557724</v>
      </c>
      <c r="Z291" s="383">
        <f t="shared" si="114"/>
        <v>42.144349840582798</v>
      </c>
      <c r="AA291" s="384">
        <f t="shared" si="115"/>
        <v>44.944283806602229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6.2297888160098472E-2</v>
      </c>
      <c r="AD291" s="230">
        <f>(INDEX(Models!$BJ291:$BT291,,AH291)*(1-AF291)+INDEX(Models!$BJ291:$BT291,,AH291+1)*AF291-ERP_i)*AE291*Ramure*Pc/MaxiM</f>
        <v>2.7656381556930556E-3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'2023'!Wh/'2023'!Env_an*'2024'!Env_an</f>
        <v>43.01768849403706</v>
      </c>
      <c r="C292" s="829"/>
      <c r="D292" s="391">
        <f t="shared" si="102"/>
        <v>44.774009166742047</v>
      </c>
      <c r="E292" s="383">
        <f t="shared" si="100"/>
        <v>45.823218752159754</v>
      </c>
      <c r="F292" s="383">
        <f t="shared" si="103"/>
        <v>45.955795501616805</v>
      </c>
      <c r="G292" s="110">
        <f t="shared" si="101"/>
        <v>1.0446773289765237</v>
      </c>
      <c r="H292" s="412" t="b">
        <f>Wh_hp&gt;='2023'!Maxi_hp</f>
        <v>1</v>
      </c>
      <c r="I292" s="388">
        <f>IF(H292,Wh_hp,'2023'!Maxi_hp)</f>
        <v>45.955795501616805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3.9226343706776579E-2</v>
      </c>
      <c r="M292" s="832"/>
      <c r="N292" s="832"/>
      <c r="O292" s="48">
        <f>IF(t&lt;Tnet,'2023'!Resal+('2023'!Salim-'2023'!Resal)*(1-EXP(('2023'!Tnet-t)/('2023'!Tau_j))),Resal+(Salim-Resal)*(1-EXP((Tnet-t)/(Tau_j))))*Salcycl</f>
        <v>2.2896898428119646E-2</v>
      </c>
      <c r="P292" s="169">
        <f>(INDEX(Models!$BJ292:$BT292,,T292)*(1-R292)+INDEX(Models!$BJ292:$BT292,,T292+1)*R292-ERP_i)*Q292*Ramure*Pc/MaxiM</f>
        <v>2.8848755202679219E-3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41.177966919394848</v>
      </c>
      <c r="W292" s="400">
        <f t="shared" si="111"/>
        <v>43.01768849403706</v>
      </c>
      <c r="X292" s="157">
        <f t="shared" si="112"/>
        <v>45569</v>
      </c>
      <c r="Y292" s="383">
        <f t="shared" si="113"/>
        <v>41.282509097444191</v>
      </c>
      <c r="Z292" s="383">
        <f t="shared" si="114"/>
        <v>42.967986088124974</v>
      </c>
      <c r="AA292" s="384">
        <f t="shared" si="115"/>
        <v>45.823218752159754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6.2309736020021635E-2</v>
      </c>
      <c r="AD292" s="230">
        <f>(INDEX(Models!$BJ292:$BT292,,AH292)*(1-AF292)+INDEX(Models!$BJ292:$BT292,,AH292+1)*AF292-ERP_i)*AE292*Ramure*Pc/MaxiM</f>
        <v>2.8848755202679219E-3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'2023'!Wh/'2023'!Env_an*'2024'!Env_an</f>
        <v>11.882509883564405</v>
      </c>
      <c r="C293" s="829"/>
      <c r="D293" s="391">
        <f t="shared" si="102"/>
        <v>12.367884501917823</v>
      </c>
      <c r="E293" s="383">
        <f t="shared" si="100"/>
        <v>12.658536070066301</v>
      </c>
      <c r="F293" s="383">
        <f t="shared" si="103"/>
        <v>12.658536070066301</v>
      </c>
      <c r="G293" s="110">
        <f t="shared" si="101"/>
        <v>0.29011781463608299</v>
      </c>
      <c r="H293" s="412" t="b">
        <f>Wh_hp&gt;='2023'!Maxi_hp</f>
        <v>0</v>
      </c>
      <c r="I293" s="388">
        <f>IF(H293,Wh_hp,'2023'!Maxi_hp)</f>
        <v>29.938480404074163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3.9244756714711726E-2</v>
      </c>
      <c r="M293" s="832"/>
      <c r="N293" s="832"/>
      <c r="O293" s="48">
        <f>IF(t&lt;Tnet,'2023'!Resal+('2023'!Salim-'2023'!Resal)*(1-EXP(('2023'!Tnet-t)/('2023'!Tau_j))),Resal+(Salim-Resal)*(1-EXP((Tnet-t)/(Tau_j))))*Salcycl</f>
        <v>2.2960914796125859E-2</v>
      </c>
      <c r="P293" s="169">
        <f>(INDEX(Models!$BJ293:$BT293,,T293)*(1-R293)+INDEX(Models!$BJ293:$BT293,,T293+1)*R293-ERP_i)*Q293*Ramure*Pc/MaxiM</f>
        <v>3.0113659681442885E-3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40.834194592790375</v>
      </c>
      <c r="W293" s="400">
        <f t="shared" si="111"/>
        <v>11.882509883564405</v>
      </c>
      <c r="X293" s="157">
        <f t="shared" si="112"/>
        <v>45570</v>
      </c>
      <c r="Y293" s="383">
        <f t="shared" si="113"/>
        <v>11.403826490473476</v>
      </c>
      <c r="Z293" s="383">
        <f t="shared" si="114"/>
        <v>11.869647936011528</v>
      </c>
      <c r="AA293" s="384">
        <f t="shared" si="115"/>
        <v>12.658536070066301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6.2320645111582813E-2</v>
      </c>
      <c r="AD293" s="230">
        <f>(INDEX(Models!$BJ293:$BT293,,AH293)*(1-AF293)+INDEX(Models!$BJ293:$BT293,,AH293+1)*AF293-ERP_i)*AE293*Ramure*Pc/MaxiM</f>
        <v>3.0113659681442885E-3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'2023'!Wh/'2023'!Env_an*'2024'!Env_an</f>
        <v>29.845523349465889</v>
      </c>
      <c r="C294" s="829"/>
      <c r="D294" s="391">
        <f t="shared" si="102"/>
        <v>31.065243256977574</v>
      </c>
      <c r="E294" s="383">
        <f t="shared" si="100"/>
        <v>31.797360796716958</v>
      </c>
      <c r="F294" s="383">
        <f t="shared" si="103"/>
        <v>31.859938024196389</v>
      </c>
      <c r="G294" s="110">
        <f t="shared" si="101"/>
        <v>0.73627958182078379</v>
      </c>
      <c r="H294" s="412" t="b">
        <f>Wh_hp&gt;='2023'!Maxi_hp</f>
        <v>0</v>
      </c>
      <c r="I294" s="388">
        <f>IF(H294,Wh_hp,'2023'!Maxi_hp)</f>
        <v>43.826307821277801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3.9263169369765816E-2</v>
      </c>
      <c r="M294" s="832"/>
      <c r="N294" s="832"/>
      <c r="O294" s="48">
        <f>IF(t&lt;Tnet,'2023'!Resal+('2023'!Salim-'2023'!Resal)*(1-EXP(('2023'!Tnet-t)/('2023'!Tau_j))),Resal+(Salim-Resal)*(1-EXP((Tnet-t)/(Tau_j))))*Salcycl</f>
        <v>2.3024475031744641E-2</v>
      </c>
      <c r="P294" s="169">
        <f>(INDEX(Models!$BJ294:$BT294,,T294)*(1-R294)+INDEX(Models!$BJ294:$BT294,,T294+1)*R294-ERP_i)*Q294*Ramure*Pc/MaxiM</f>
        <v>3.1451191344500995E-3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40.487618612893165</v>
      </c>
      <c r="W294" s="400">
        <f t="shared" si="111"/>
        <v>29.845523349465889</v>
      </c>
      <c r="X294" s="157">
        <f t="shared" si="112"/>
        <v>45571</v>
      </c>
      <c r="Y294" s="383">
        <f t="shared" si="113"/>
        <v>28.644764375472214</v>
      </c>
      <c r="Z294" s="383">
        <f t="shared" si="114"/>
        <v>29.815411944477574</v>
      </c>
      <c r="AA294" s="384">
        <f t="shared" si="115"/>
        <v>31.797360796716958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6.233060865994941E-2</v>
      </c>
      <c r="AD294" s="230">
        <f>(INDEX(Models!$BJ294:$BT294,,AH294)*(1-AF294)+INDEX(Models!$BJ294:$BT294,,AH294+1)*AF294-ERP_i)*AE294*Ramure*Pc/MaxiM</f>
        <v>3.1451191344500995E-3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'2023'!Wh/'2023'!Env_an*'2024'!Env_an</f>
        <v>17.223246090735913</v>
      </c>
      <c r="C295" s="829"/>
      <c r="D295" s="391">
        <f t="shared" si="102"/>
        <v>17.927465282397375</v>
      </c>
      <c r="E295" s="383">
        <f t="shared" si="100"/>
        <v>18.351148808493388</v>
      </c>
      <c r="F295" s="383">
        <f t="shared" si="103"/>
        <v>18.362276662412683</v>
      </c>
      <c r="G295" s="110">
        <f t="shared" si="101"/>
        <v>0.42794080565739262</v>
      </c>
      <c r="H295" s="412" t="b">
        <f>Wh_hp&gt;='2023'!Maxi_hp</f>
        <v>0</v>
      </c>
      <c r="I295" s="388">
        <f>IF(H295,Wh_hp,'2023'!Maxi_hp)</f>
        <v>40.63677888339361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3.928158167194562E-2</v>
      </c>
      <c r="M295" s="832"/>
      <c r="N295" s="832"/>
      <c r="O295" s="48">
        <f>IF(t&lt;Tnet,'2023'!Resal+('2023'!Salim-'2023'!Resal)*(1-EXP(('2023'!Tnet-t)/('2023'!Tau_j))),Resal+(Salim-Resal)*(1-EXP((Tnet-t)/(Tau_j))))*Salcycl</f>
        <v>2.3087575089572699E-2</v>
      </c>
      <c r="P295" s="169">
        <f>(INDEX(Models!$BJ295:$BT295,,T295)*(1-R295)+INDEX(Models!$BJ295:$BT295,,T295+1)*R295-ERP_i)*Q295*Ramure*Pc/MaxiM</f>
        <v>3.2861336348222153E-3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40.138863988606005</v>
      </c>
      <c r="W295" s="400">
        <f t="shared" si="111"/>
        <v>17.223246090735913</v>
      </c>
      <c r="X295" s="157">
        <f t="shared" si="112"/>
        <v>45572</v>
      </c>
      <c r="Y295" s="383">
        <f t="shared" si="113"/>
        <v>16.531221247712885</v>
      </c>
      <c r="Z295" s="383">
        <f t="shared" si="114"/>
        <v>17.207145124252218</v>
      </c>
      <c r="AA295" s="384">
        <f t="shared" si="115"/>
        <v>18.351148808493388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6.2339622231807987E-2</v>
      </c>
      <c r="AD295" s="230">
        <f>(INDEX(Models!$BJ295:$BT295,,AH295)*(1-AF295)+INDEX(Models!$BJ295:$BT295,,AH295+1)*AF295-ERP_i)*AE295*Ramure*Pc/MaxiM</f>
        <v>3.2861336348222153E-3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'2023'!Wh/'2023'!Env_an*'2024'!Env_an</f>
        <v>39.322334019906634</v>
      </c>
      <c r="C296" s="829"/>
      <c r="D296" s="391">
        <f t="shared" si="102"/>
        <v>40.930918870426616</v>
      </c>
      <c r="E296" s="383">
        <f t="shared" si="100"/>
        <v>41.900934377718123</v>
      </c>
      <c r="F296" s="383">
        <f t="shared" si="103"/>
        <v>42.042878259582935</v>
      </c>
      <c r="G296" s="110">
        <f t="shared" si="101"/>
        <v>0.98822477887881832</v>
      </c>
      <c r="H296" s="412" t="b">
        <f>Wh_hp&gt;='2023'!Maxi_hp</f>
        <v>0</v>
      </c>
      <c r="I296" s="388">
        <f>IF(H296,Wh_hp,'2023'!Maxi_hp)</f>
        <v>42.044091992831149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3.9299993621257689E-2</v>
      </c>
      <c r="M296" s="832"/>
      <c r="N296" s="832"/>
      <c r="O296" s="48">
        <f>IF(t&lt;Tnet,'2023'!Resal+('2023'!Salim-'2023'!Resal)*(1-EXP(('2023'!Tnet-t)/('2023'!Tau_j))),Resal+(Salim-Resal)*(1-EXP((Tnet-t)/(Tau_j))))*Salcycl</f>
        <v>2.3150211843660857E-2</v>
      </c>
      <c r="P296" s="169">
        <f>(INDEX(Models!$BJ296:$BT296,,T296)*(1-R296)+INDEX(Models!$BJ296:$BT296,,T296+1)*R296-ERP_i)*Q296*Ramure*Pc/MaxiM</f>
        <v>3.4336498533558417E-3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39.788585492325474</v>
      </c>
      <c r="W296" s="400">
        <f t="shared" si="111"/>
        <v>39.322334019906634</v>
      </c>
      <c r="X296" s="157">
        <f t="shared" si="112"/>
        <v>45573</v>
      </c>
      <c r="Y296" s="383">
        <f t="shared" si="113"/>
        <v>37.74447004619033</v>
      </c>
      <c r="Z296" s="383">
        <f t="shared" si="114"/>
        <v>39.288508166523428</v>
      </c>
      <c r="AA296" s="384">
        <f t="shared" si="115"/>
        <v>41.900934377718123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6.2347683888021199E-2</v>
      </c>
      <c r="AD296" s="230">
        <f>(INDEX(Models!$BJ296:$BT296,,AH296)*(1-AF296)+INDEX(Models!$BJ296:$BT296,,AH296+1)*AF296-ERP_i)*AE296*Ramure*Pc/MaxiM</f>
        <v>3.4336498533558417E-3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'2023'!Wh/'2023'!Env_an*'2024'!Env_an</f>
        <v>31.566379853363216</v>
      </c>
      <c r="C297" s="829"/>
      <c r="D297" s="391">
        <f t="shared" si="102"/>
        <v>32.85831645449268</v>
      </c>
      <c r="E297" s="383">
        <f t="shared" ref="E297:E360" si="125">Wh_pvt/(1-Psa)</f>
        <v>33.639161561601057</v>
      </c>
      <c r="F297" s="383">
        <f t="shared" si="103"/>
        <v>33.725564762963266</v>
      </c>
      <c r="G297" s="110">
        <f t="shared" ref="G297:G360" si="126">+Wh_hp/MaxiM</f>
        <v>0.79959412905486971</v>
      </c>
      <c r="H297" s="412" t="b">
        <f>Wh_hp&gt;='2023'!Maxi_hp</f>
        <v>0</v>
      </c>
      <c r="I297" s="388">
        <f>IF(H297,Wh_hp,'2023'!Maxi_hp)</f>
        <v>33.742851830860907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3.9318405217709129E-2</v>
      </c>
      <c r="M297" s="832"/>
      <c r="N297" s="832"/>
      <c r="O297" s="48">
        <f>IF(t&lt;Tnet,'2023'!Resal+('2023'!Salim-'2023'!Resal)*(1-EXP(('2023'!Tnet-t)/('2023'!Tau_j))),Resal+(Salim-Resal)*(1-EXP((Tnet-t)/(Tau_j))))*Salcycl</f>
        <v>2.3212383152846048E-2</v>
      </c>
      <c r="P297" s="169">
        <f>(INDEX(Models!$BJ297:$BT297,,T297)*(1-R297)+INDEX(Models!$BJ297:$BT297,,T297+1)*R297-ERP_i)*Q297*Ramure*Pc/MaxiM</f>
        <v>3.5837615264581479E-3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39.437560832873693</v>
      </c>
      <c r="W297" s="400">
        <f t="shared" si="111"/>
        <v>31.566379853363216</v>
      </c>
      <c r="X297" s="157">
        <f t="shared" si="112"/>
        <v>45574</v>
      </c>
      <c r="Y297" s="383">
        <f t="shared" si="113"/>
        <v>30.301433207653968</v>
      </c>
      <c r="Z297" s="383">
        <f t="shared" si="114"/>
        <v>31.541598561093348</v>
      </c>
      <c r="AA297" s="384">
        <f t="shared" si="115"/>
        <v>33.639161561601057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6.2354794327040192E-2</v>
      </c>
      <c r="AD297" s="230">
        <f>(INDEX(Models!$BJ297:$BT297,,AH297)*(1-AF297)+INDEX(Models!$BJ297:$BT297,,AH297+1)*AF297-ERP_i)*AE297*Ramure*Pc/MaxiM</f>
        <v>3.5837615264581479E-3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'2023'!Wh/'2023'!Env_an*'2024'!Env_an</f>
        <v>22.958274289514701</v>
      </c>
      <c r="C298" s="829"/>
      <c r="D298" s="391">
        <f t="shared" si="102"/>
        <v>23.898359677890152</v>
      </c>
      <c r="E298" s="383">
        <f t="shared" si="125"/>
        <v>24.467826011768018</v>
      </c>
      <c r="F298" s="383">
        <f t="shared" si="103"/>
        <v>24.505414941225972</v>
      </c>
      <c r="G298" s="110">
        <f t="shared" si="126"/>
        <v>0.58607660315726151</v>
      </c>
      <c r="H298" s="412" t="b">
        <f>Wh_hp&gt;='2023'!Maxi_hp</f>
        <v>0</v>
      </c>
      <c r="I298" s="388">
        <f>IF(H298,Wh_hp,'2023'!Maxi_hp)</f>
        <v>42.372842429013986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3.9336816461306379E-2</v>
      </c>
      <c r="M298" s="832"/>
      <c r="N298" s="832"/>
      <c r="O298" s="48">
        <f>IF(t&lt;Tnet,'2023'!Resal+('2023'!Salim-'2023'!Resal)*(1-EXP(('2023'!Tnet-t)/('2023'!Tau_j))),Resal+(Salim-Resal)*(1-EXP((Tnet-t)/(Tau_j))))*Salcycl</f>
        <v>2.3274087922808336E-2</v>
      </c>
      <c r="P298" s="169">
        <f>(INDEX(Models!$BJ298:$BT298,,T298)*(1-R298)+INDEX(Models!$BJ298:$BT298,,T298+1)*R298-ERP_i)*Q298*Ramure*Pc/MaxiM</f>
        <v>3.7363804054079503E-3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39.086411920559208</v>
      </c>
      <c r="W298" s="400">
        <f t="shared" si="111"/>
        <v>22.958274289514701</v>
      </c>
      <c r="X298" s="157">
        <f t="shared" si="112"/>
        <v>45575</v>
      </c>
      <c r="Y298" s="383">
        <f t="shared" si="113"/>
        <v>22.039524156340704</v>
      </c>
      <c r="Z298" s="383">
        <f t="shared" si="114"/>
        <v>22.94198896553528</v>
      </c>
      <c r="AA298" s="384">
        <f t="shared" si="115"/>
        <v>24.467826011768018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6.2360957017549179E-2</v>
      </c>
      <c r="AD298" s="230">
        <f>(INDEX(Models!$BJ298:$BT298,,AH298)*(1-AF298)+INDEX(Models!$BJ298:$BT298,,AH298+1)*AF298-ERP_i)*AE298*Ramure*Pc/MaxiM</f>
        <v>3.7363804054079503E-3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'2023'!Wh/'2023'!Env_an*'2024'!Env_an</f>
        <v>28.493255156946347</v>
      </c>
      <c r="C299" s="829"/>
      <c r="D299" s="391">
        <f t="shared" si="102"/>
        <v>29.660552962159858</v>
      </c>
      <c r="E299" s="383">
        <f t="shared" si="125"/>
        <v>30.369228822079041</v>
      </c>
      <c r="F299" s="383">
        <f t="shared" si="103"/>
        <v>30.44294506164492</v>
      </c>
      <c r="G299" s="110">
        <f t="shared" si="126"/>
        <v>0.73449622590732555</v>
      </c>
      <c r="H299" s="412" t="b">
        <f>Wh_hp&gt;='2023'!Maxi_hp</f>
        <v>0</v>
      </c>
      <c r="I299" s="388">
        <f>IF(H299,Wh_hp,'2023'!Maxi_hp)</f>
        <v>40.061070375868503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3.9355227352056432E-2</v>
      </c>
      <c r="M299" s="832"/>
      <c r="N299" s="832"/>
      <c r="O299" s="48">
        <f>IF(t&lt;Tnet,'2023'!Resal+('2023'!Salim-'2023'!Resal)*(1-EXP(('2023'!Tnet-t)/('2023'!Tau_j))),Resal+(Salim-Resal)*(1-EXP((Tnet-t)/(Tau_j))))*Salcycl</f>
        <v>2.3335326164224474E-2</v>
      </c>
      <c r="P299" s="169">
        <f>(INDEX(Models!$BJ299:$BT299,,T299)*(1-R299)+INDEX(Models!$BJ299:$BT299,,T299+1)*R299-ERP_i)*Q299*Ramure*Pc/MaxiM</f>
        <v>3.8914056228685598E-3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38.73576041171227</v>
      </c>
      <c r="W299" s="400">
        <f t="shared" si="111"/>
        <v>28.493255156946347</v>
      </c>
      <c r="X299" s="157">
        <f t="shared" si="112"/>
        <v>45576</v>
      </c>
      <c r="Y299" s="383">
        <f t="shared" si="113"/>
        <v>27.354567479150447</v>
      </c>
      <c r="Z299" s="383">
        <f t="shared" si="114"/>
        <v>28.475216081954709</v>
      </c>
      <c r="AA299" s="384">
        <f t="shared" si="115"/>
        <v>30.369228822079041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6.2366178318869467E-2</v>
      </c>
      <c r="AD299" s="230">
        <f>(INDEX(Models!$BJ299:$BT299,,AH299)*(1-AF299)+INDEX(Models!$BJ299:$BT299,,AH299+1)*AF299-ERP_i)*AE299*Ramure*Pc/MaxiM</f>
        <v>3.8914056228685598E-3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'2023'!Wh/'2023'!Env_an*'2024'!Env_an</f>
        <v>23.85531692557467</v>
      </c>
      <c r="C300" s="829"/>
      <c r="D300" s="391">
        <f t="shared" si="102"/>
        <v>24.833085855749381</v>
      </c>
      <c r="E300" s="383">
        <f t="shared" si="125"/>
        <v>25.428001906915746</v>
      </c>
      <c r="F300" s="383">
        <f t="shared" si="103"/>
        <v>25.47536726483974</v>
      </c>
      <c r="G300" s="110">
        <f t="shared" si="126"/>
        <v>0.62009191186439516</v>
      </c>
      <c r="H300" s="412" t="b">
        <f>Wh_hp&gt;='2023'!Maxi_hp</f>
        <v>0</v>
      </c>
      <c r="I300" s="388">
        <f>IF(H300,Wh_hp,'2023'!Maxi_hp)</f>
        <v>39.39832701671196</v>
      </c>
      <c r="J300" s="85">
        <f>IF(H300,An,'2023'!An_max)</f>
        <v>2018</v>
      </c>
      <c r="K300" s="197">
        <f t="shared" si="104"/>
        <v>45577</v>
      </c>
      <c r="L300" s="147">
        <f>IF(t&lt;Tvie,1-EXP((T0-t)*PertePVj)+'2023'!Pspv,1-EXP((T0-t)*PertePVj)+Pspv)</f>
        <v>3.9373637889965951E-2</v>
      </c>
      <c r="M300" s="832"/>
      <c r="N300" s="832"/>
      <c r="O300" s="48">
        <f>IF(t&lt;Tnet,'2023'!Resal+('2023'!Salim-'2023'!Resal)*(1-EXP(('2023'!Tnet-t)/('2023'!Tau_j))),Resal+(Salim-Resal)*(1-EXP((Tnet-t)/(Tau_j))))*Salcycl</f>
        <v>2.3396099046404554E-2</v>
      </c>
      <c r="P300" s="169">
        <f>(INDEX(Models!$BJ300:$BT300,,T300)*(1-R300)+INDEX(Models!$BJ300:$BT300,,T300+1)*R300-ERP_i)*Q300*Ramure*Pc/MaxiM</f>
        <v>4.0487232436666491E-3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38.386227694290561</v>
      </c>
      <c r="W300" s="400">
        <f t="shared" si="111"/>
        <v>23.85531692557467</v>
      </c>
      <c r="X300" s="157">
        <f t="shared" si="112"/>
        <v>45577</v>
      </c>
      <c r="Y300" s="383">
        <f t="shared" si="113"/>
        <v>22.903297470584469</v>
      </c>
      <c r="Z300" s="383">
        <f t="shared" si="114"/>
        <v>23.842045538160061</v>
      </c>
      <c r="AA300" s="384">
        <f t="shared" si="115"/>
        <v>25.428001906915746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6.2370467587716583E-2</v>
      </c>
      <c r="AD300" s="230">
        <f>(INDEX(Models!$BJ300:$BT300,,AH300)*(1-AF300)+INDEX(Models!$BJ300:$BT300,,AH300+1)*AF300-ERP_i)*AE300*Ramure*Pc/MaxiM</f>
        <v>4.0487232436666491E-3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'2023'!Wh/'2023'!Env_an*'2024'!Env_an</f>
        <v>18.542070103998388</v>
      </c>
      <c r="C301" s="829"/>
      <c r="D301" s="391">
        <f t="shared" si="102"/>
        <v>19.302432451076434</v>
      </c>
      <c r="E301" s="383">
        <f t="shared" si="125"/>
        <v>19.766073555650898</v>
      </c>
      <c r="F301" s="383">
        <f t="shared" si="103"/>
        <v>19.788373757824942</v>
      </c>
      <c r="G301" s="110">
        <f t="shared" si="126"/>
        <v>0.48595249938753093</v>
      </c>
      <c r="H301" s="412" t="b">
        <f>Wh_hp&gt;='2023'!Maxi_hp</f>
        <v>0</v>
      </c>
      <c r="I301" s="388">
        <f>IF(H301,Wh_hp,'2023'!Maxi_hp)</f>
        <v>42.332847154201126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3.9392048075041708E-2</v>
      </c>
      <c r="M301" s="832"/>
      <c r="N301" s="832"/>
      <c r="O301" s="48">
        <f>IF(t&lt;Tnet,'2023'!Resal+('2023'!Salim-'2023'!Resal)*(1-EXP(('2023'!Tnet-t)/('2023'!Tau_j))),Resal+(Salim-Resal)*(1-EXP((Tnet-t)/(Tau_j))))*Salcycl</f>
        <v>2.345640894581786E-2</v>
      </c>
      <c r="P301" s="169">
        <f>(INDEX(Models!$BJ301:$BT301,,T301)*(1-R301)+INDEX(Models!$BJ301:$BT301,,T301+1)*R301-ERP_i)*Q301*Ramure*Pc/MaxiM</f>
        <v>4.2082058541406328E-3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38.038434869452651</v>
      </c>
      <c r="W301" s="400">
        <f t="shared" si="111"/>
        <v>18.542070103998388</v>
      </c>
      <c r="X301" s="157">
        <f t="shared" si="112"/>
        <v>45578</v>
      </c>
      <c r="Y301" s="383">
        <f t="shared" si="113"/>
        <v>17.803127479353172</v>
      </c>
      <c r="Z301" s="383">
        <f t="shared" si="114"/>
        <v>18.533187700224175</v>
      </c>
      <c r="AA301" s="384">
        <f t="shared" si="115"/>
        <v>19.766073555650898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6.2373837269985057E-2</v>
      </c>
      <c r="AD301" s="230">
        <f>(INDEX(Models!$BJ301:$BT301,,AH301)*(1-AF301)+INDEX(Models!$BJ301:$BT301,,AH301+1)*AF301-ERP_i)*AE301*Ramure*Pc/MaxiM</f>
        <v>4.2082058541406328E-3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'2023'!Wh/'2023'!Env_an*'2024'!Env_an</f>
        <v>38.097829474413246</v>
      </c>
      <c r="C302" s="829"/>
      <c r="D302" s="391">
        <f t="shared" si="102"/>
        <v>39.660883035864138</v>
      </c>
      <c r="E302" s="383">
        <f t="shared" si="125"/>
        <v>40.616019899222259</v>
      </c>
      <c r="F302" s="383">
        <f t="shared" si="103"/>
        <v>40.794279158401721</v>
      </c>
      <c r="G302" s="110">
        <f t="shared" si="126"/>
        <v>1.0107401032289725</v>
      </c>
      <c r="H302" s="412" t="b">
        <f>Wh_hp&gt;='2023'!Maxi_hp</f>
        <v>1</v>
      </c>
      <c r="I302" s="388">
        <f>IF(H302,Wh_hp,'2023'!Maxi_hp)</f>
        <v>40.794279158401721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3.9410457907290475E-2</v>
      </c>
      <c r="M302" s="832"/>
      <c r="N302" s="832"/>
      <c r="O302" s="48">
        <f>IF(t&lt;Tnet,'2023'!Resal+('2023'!Salim-'2023'!Resal)*(1-EXP(('2023'!Tnet-t)/('2023'!Tau_j))),Resal+(Salim-Resal)*(1-EXP((Tnet-t)/(Tau_j))))*Salcycl</f>
        <v>2.3516259488941569E-2</v>
      </c>
      <c r="P302" s="169">
        <f>(INDEX(Models!$BJ302:$BT302,,T302)*(1-R302)+INDEX(Models!$BJ302:$BT302,,T302+1)*R302-ERP_i)*Q302*Ramure*Pc/MaxiM</f>
        <v>4.3697121963424609E-3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37.693002734039716</v>
      </c>
      <c r="W302" s="400">
        <f t="shared" si="111"/>
        <v>38.097829474413246</v>
      </c>
      <c r="X302" s="157">
        <f t="shared" si="112"/>
        <v>45579</v>
      </c>
      <c r="Y302" s="383">
        <f t="shared" si="113"/>
        <v>36.581692288784332</v>
      </c>
      <c r="Z302" s="383">
        <f t="shared" si="114"/>
        <v>38.082542736295707</v>
      </c>
      <c r="AA302" s="384">
        <f t="shared" si="115"/>
        <v>40.616019899222259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6.2376302976330358E-2</v>
      </c>
      <c r="AD302" s="230">
        <f>(INDEX(Models!$BJ302:$BT302,,AH302)*(1-AF302)+INDEX(Models!$BJ302:$BT302,,AH302+1)*AF302-ERP_i)*AE302*Ramure*Pc/MaxiM</f>
        <v>4.3697121963424609E-3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'2023'!Wh/'2023'!Env_an*'2024'!Env_an</f>
        <v>33.623551090072731</v>
      </c>
      <c r="C303" s="829"/>
      <c r="D303" s="391">
        <f t="shared" si="102"/>
        <v>35.003707636516417</v>
      </c>
      <c r="E303" s="383">
        <f t="shared" si="125"/>
        <v>35.848868206607179</v>
      </c>
      <c r="F303" s="383">
        <f t="shared" si="103"/>
        <v>35.988777827238025</v>
      </c>
      <c r="G303" s="110">
        <f t="shared" si="126"/>
        <v>0.89969606637095867</v>
      </c>
      <c r="H303" s="412" t="b">
        <f>Wh_hp&gt;='2023'!Maxi_hp</f>
        <v>0</v>
      </c>
      <c r="I303" s="388">
        <f>IF(H303,Wh_hp,'2023'!Maxi_hp)</f>
        <v>38.803370286376357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3.9428867386718913E-2</v>
      </c>
      <c r="M303" s="832"/>
      <c r="N303" s="832"/>
      <c r="O303" s="48">
        <f>IF(t&lt;Tnet,'2023'!Resal+('2023'!Salim-'2023'!Resal)*(1-EXP(('2023'!Tnet-t)/('2023'!Tau_j))),Resal+(Salim-Resal)*(1-EXP((Tnet-t)/(Tau_j))))*Salcycl</f>
        <v>2.3575655588897845E-2</v>
      </c>
      <c r="P303" s="169">
        <f>(INDEX(Models!$BJ303:$BT303,,T303)*(1-R303)+INDEX(Models!$BJ303:$BT303,,T303+1)*R303-ERP_i)*Q303*Ramure*Pc/MaxiM</f>
        <v>4.5334082013530957E-3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37.347892143565154</v>
      </c>
      <c r="W303" s="400">
        <f t="shared" si="111"/>
        <v>33.623551090072731</v>
      </c>
      <c r="X303" s="157">
        <f t="shared" si="112"/>
        <v>45580</v>
      </c>
      <c r="Y303" s="383">
        <f t="shared" si="113"/>
        <v>32.287381317775903</v>
      </c>
      <c r="Z303" s="383">
        <f t="shared" si="114"/>
        <v>33.612691680559351</v>
      </c>
      <c r="AA303" s="384">
        <f t="shared" si="115"/>
        <v>35.848868206607179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6.2377883540426053E-2</v>
      </c>
      <c r="AD303" s="230">
        <f>(INDEX(Models!$BJ303:$BT303,,AH303)*(1-AF303)+INDEX(Models!$BJ303:$BT303,,AH303+1)*AF303-ERP_i)*AE303*Ramure*Pc/MaxiM</f>
        <v>4.5334082013530957E-3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'2023'!Wh/'2023'!Env_an*'2024'!Env_an</f>
        <v>19.959610316692679</v>
      </c>
      <c r="C304" s="829"/>
      <c r="D304" s="391">
        <f t="shared" si="102"/>
        <v>20.779296990843157</v>
      </c>
      <c r="E304" s="383">
        <f t="shared" si="125"/>
        <v>21.282295608598279</v>
      </c>
      <c r="F304" s="383">
        <f t="shared" si="103"/>
        <v>21.316546901342214</v>
      </c>
      <c r="G304" s="110">
        <f t="shared" si="126"/>
        <v>0.5377634047846056</v>
      </c>
      <c r="H304" s="412" t="b">
        <f>Wh_hp&gt;='2023'!Maxi_hp</f>
        <v>0</v>
      </c>
      <c r="I304" s="388">
        <f>IF(H304,Wh_hp,'2023'!Maxi_hp)</f>
        <v>35.6425652403491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3.9447276513334018E-2</v>
      </c>
      <c r="M304" s="832"/>
      <c r="N304" s="832"/>
      <c r="O304" s="48">
        <f>IF(t&lt;Tnet,'2023'!Resal+('2023'!Salim-'2023'!Resal)*(1-EXP(('2023'!Tnet-t)/('2023'!Tau_j))),Resal+(Salim-Resal)*(1-EXP((Tnet-t)/(Tau_j))))*Salcycl</f>
        <v>2.3634603475383657E-2</v>
      </c>
      <c r="P304" s="169">
        <f>(INDEX(Models!$BJ304:$BT304,,T304)*(1-R304)+INDEX(Models!$BJ304:$BT304,,T304+1)*R304-ERP_i)*Q304*Ramure*Pc/MaxiM</f>
        <v>4.6975725753021476E-3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37.001067966726787</v>
      </c>
      <c r="W304" s="400">
        <f t="shared" si="111"/>
        <v>19.959610316692679</v>
      </c>
      <c r="X304" s="157">
        <f t="shared" si="112"/>
        <v>45581</v>
      </c>
      <c r="Y304" s="383">
        <f t="shared" si="113"/>
        <v>19.167575801100053</v>
      </c>
      <c r="Z304" s="383">
        <f t="shared" si="114"/>
        <v>19.954735781212044</v>
      </c>
      <c r="AA304" s="384">
        <f t="shared" si="115"/>
        <v>21.282295608598279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6.237860105889545E-2</v>
      </c>
      <c r="AD304" s="230">
        <f>(INDEX(Models!$BJ304:$BT304,,AH304)*(1-AF304)+INDEX(Models!$BJ304:$BT304,,AH304+1)*AF304-ERP_i)*AE304*Ramure*Pc/MaxiM</f>
        <v>4.6975725753021476E-3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'2023'!Wh/'2023'!Env_an*'2024'!Env_an</f>
        <v>35.205526881108192</v>
      </c>
      <c r="C305" s="829"/>
      <c r="D305" s="391">
        <f t="shared" si="102"/>
        <v>36.652024130582511</v>
      </c>
      <c r="E305" s="383">
        <f t="shared" si="125"/>
        <v>37.54149902344367</v>
      </c>
      <c r="F305" s="383">
        <f t="shared" si="103"/>
        <v>37.714425409973231</v>
      </c>
      <c r="G305" s="110">
        <f t="shared" si="126"/>
        <v>0.96024026491318182</v>
      </c>
      <c r="H305" s="412" t="b">
        <f>Wh_hp&gt;='2023'!Maxi_hp</f>
        <v>0</v>
      </c>
      <c r="I305" s="388">
        <f>IF(H305,Wh_hp,'2023'!Maxi_hp)</f>
        <v>38.775386152374139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3.9465685287142338E-2</v>
      </c>
      <c r="M305" s="832"/>
      <c r="N305" s="832"/>
      <c r="O305" s="48">
        <f>IF(t&lt;Tnet,'2023'!Resal+('2023'!Salim-'2023'!Resal)*(1-EXP(('2023'!Tnet-t)/('2023'!Tau_j))),Resal+(Salim-Resal)*(1-EXP((Tnet-t)/(Tau_j))))*Salcycl</f>
        <v>2.3693110717441089E-2</v>
      </c>
      <c r="P305" s="169">
        <f>(INDEX(Models!$BJ305:$BT305,,T305)*(1-R305)+INDEX(Models!$BJ305:$BT305,,T305+1)*R305-ERP_i)*Q305*Ramure*Pc/MaxiM</f>
        <v>4.8593235788876614E-3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36.6531495954465</v>
      </c>
      <c r="W305" s="400">
        <f t="shared" si="111"/>
        <v>35.205526881108192</v>
      </c>
      <c r="X305" s="157">
        <f t="shared" si="112"/>
        <v>45582</v>
      </c>
      <c r="Y305" s="383">
        <f t="shared" si="113"/>
        <v>33.810536376336984</v>
      </c>
      <c r="Z305" s="383">
        <f t="shared" si="114"/>
        <v>35.199717343200085</v>
      </c>
      <c r="AA305" s="384">
        <f t="shared" si="115"/>
        <v>37.54149902344367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6.2378480912048943E-2</v>
      </c>
      <c r="AD305" s="230">
        <f>(INDEX(Models!$BJ305:$BT305,,AH305)*(1-AF305)+INDEX(Models!$BJ305:$BT305,,AH305+1)*AF305-ERP_i)*AE305*Ramure*Pc/MaxiM</f>
        <v>4.8593235788876614E-3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'2023'!Wh/'2023'!Env_an*'2024'!Env_an</f>
        <v>16.362693093722729</v>
      </c>
      <c r="C306" s="829"/>
      <c r="D306" s="391">
        <f t="shared" si="102"/>
        <v>17.035317152520932</v>
      </c>
      <c r="E306" s="383">
        <f t="shared" si="125"/>
        <v>17.449769886927196</v>
      </c>
      <c r="F306" s="383">
        <f t="shared" si="103"/>
        <v>17.468644025330455</v>
      </c>
      <c r="G306" s="110">
        <f t="shared" si="126"/>
        <v>0.44892831189897436</v>
      </c>
      <c r="H306" s="412" t="b">
        <f>Wh_hp&gt;='2023'!Maxi_hp</f>
        <v>0</v>
      </c>
      <c r="I306" s="388">
        <f>IF(H306,Wh_hp,'2023'!Maxi_hp)</f>
        <v>38.555741543850147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3.9484093708150647E-2</v>
      </c>
      <c r="M306" s="832"/>
      <c r="N306" s="832"/>
      <c r="O306" s="48">
        <f>IF(t&lt;Tnet,'2023'!Resal+('2023'!Salim-'2023'!Resal)*(1-EXP(('2023'!Tnet-t)/('2023'!Tau_j))),Resal+(Salim-Resal)*(1-EXP((Tnet-t)/(Tau_j))))*Salcycl</f>
        <v>2.3751186238665411E-2</v>
      </c>
      <c r="P306" s="169">
        <f>(INDEX(Models!$BJ306:$BT306,,T306)*(1-R306)+INDEX(Models!$BJ306:$BT306,,T306+1)*R306-ERP_i)*Q306*Ramure*Pc/MaxiM</f>
        <v>5.0185458057629183E-3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36.304650974567096</v>
      </c>
      <c r="W306" s="400">
        <f t="shared" si="111"/>
        <v>16.362693093722729</v>
      </c>
      <c r="X306" s="157">
        <f t="shared" si="112"/>
        <v>45583</v>
      </c>
      <c r="Y306" s="383">
        <f t="shared" si="113"/>
        <v>15.715285019552196</v>
      </c>
      <c r="Z306" s="383">
        <f t="shared" si="114"/>
        <v>16.361295962523251</v>
      </c>
      <c r="AA306" s="384">
        <f t="shared" si="115"/>
        <v>17.449769886927196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6.2377551764702381E-2</v>
      </c>
      <c r="AD306" s="230">
        <f>(INDEX(Models!$BJ306:$BT306,,AH306)*(1-AF306)+INDEX(Models!$BJ306:$BT306,,AH306+1)*AF306-ERP_i)*AE306*Ramure*Pc/MaxiM</f>
        <v>5.0185458057629183E-3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'2023'!Wh/'2023'!Env_an*'2024'!Env_an</f>
        <v>6.8898801320170326</v>
      </c>
      <c r="C307" s="829"/>
      <c r="D307" s="391">
        <f t="shared" si="102"/>
        <v>7.1732411013660462</v>
      </c>
      <c r="E307" s="383">
        <f t="shared" si="125"/>
        <v>7.3481930565223976</v>
      </c>
      <c r="F307" s="383">
        <f t="shared" si="103"/>
        <v>7.3481930565223976</v>
      </c>
      <c r="G307" s="110">
        <f t="shared" si="126"/>
        <v>0.19062765267467782</v>
      </c>
      <c r="H307" s="412" t="b">
        <f>Wh_hp&gt;='2023'!Maxi_hp</f>
        <v>0</v>
      </c>
      <c r="I307" s="388">
        <f>IF(H307,Wh_hp,'2023'!Maxi_hp)</f>
        <v>31.702695928532638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3.9502501776365939E-2</v>
      </c>
      <c r="M307" s="832"/>
      <c r="N307" s="832"/>
      <c r="O307" s="48">
        <f>IF(t&lt;Tnet,'2023'!Resal+('2023'!Salim-'2023'!Resal)*(1-EXP(('2023'!Tnet-t)/('2023'!Tau_j))),Resal+(Salim-Resal)*(1-EXP((Tnet-t)/(Tau_j))))*Salcycl</f>
        <v>2.3808840324501337E-2</v>
      </c>
      <c r="P307" s="169">
        <f>(INDEX(Models!$BJ307:$BT307,,T307)*(1-R307)+INDEX(Models!$BJ307:$BT307,,T307+1)*R307-ERP_i)*Q307*Ramure*Pc/MaxiM</f>
        <v>5.1751193524711102E-3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35.956085509309275</v>
      </c>
      <c r="W307" s="400">
        <f t="shared" si="111"/>
        <v>6.8898801320170326</v>
      </c>
      <c r="X307" s="157">
        <f t="shared" si="112"/>
        <v>45584</v>
      </c>
      <c r="Y307" s="383">
        <f t="shared" si="113"/>
        <v>6.6176772541311131</v>
      </c>
      <c r="Z307" s="383">
        <f t="shared" si="114"/>
        <v>6.8898433013828733</v>
      </c>
      <c r="AA307" s="384">
        <f t="shared" si="115"/>
        <v>7.3481930565223976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6.2375845546502703E-2</v>
      </c>
      <c r="AD307" s="230">
        <f>(INDEX(Models!$BJ307:$BT307,,AH307)*(1-AF307)+INDEX(Models!$BJ307:$BT307,,AH307+1)*AF307-ERP_i)*AE307*Ramure*Pc/MaxiM</f>
        <v>5.1751193524711102E-3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'2023'!Wh/'2023'!Env_an*'2024'!Env_an</f>
        <v>16.766769333240017</v>
      </c>
      <c r="C308" s="829"/>
      <c r="D308" s="391">
        <f t="shared" si="102"/>
        <v>17.456672923893056</v>
      </c>
      <c r="E308" s="383">
        <f t="shared" si="125"/>
        <v>17.883481609304837</v>
      </c>
      <c r="F308" s="383">
        <f t="shared" si="103"/>
        <v>17.906774730260469</v>
      </c>
      <c r="G308" s="110">
        <f t="shared" si="126"/>
        <v>0.46897210480953078</v>
      </c>
      <c r="H308" s="412" t="b">
        <f>Wh_hp&gt;='2023'!Maxi_hp</f>
        <v>0</v>
      </c>
      <c r="I308" s="388">
        <f>IF(H308,Wh_hp,'2023'!Maxi_hp)</f>
        <v>24.418087613545492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3.9520909491794654E-2</v>
      </c>
      <c r="M308" s="832"/>
      <c r="N308" s="832"/>
      <c r="O308" s="48">
        <f>IF(t&lt;Tnet,'2023'!Resal+('2023'!Salim-'2023'!Resal)*(1-EXP(('2023'!Tnet-t)/('2023'!Tau_j))),Resal+(Salim-Resal)*(1-EXP((Tnet-t)/(Tau_j))))*Salcycl</f>
        <v>2.3866084621336409E-2</v>
      </c>
      <c r="P308" s="169">
        <f>(INDEX(Models!$BJ308:$BT308,,T308)*(1-R308)+INDEX(Models!$BJ308:$BT308,,T308+1)*R308-ERP_i)*Q308*Ramure*Pc/MaxiM</f>
        <v>5.3289202824484102E-3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35.607966057943656</v>
      </c>
      <c r="W308" s="400">
        <f t="shared" si="111"/>
        <v>16.766769333240017</v>
      </c>
      <c r="X308" s="157">
        <f t="shared" si="112"/>
        <v>45585</v>
      </c>
      <c r="Y308" s="383">
        <f t="shared" si="113"/>
        <v>16.105340382743407</v>
      </c>
      <c r="Z308" s="383">
        <f t="shared" si="114"/>
        <v>16.768028103789124</v>
      </c>
      <c r="AA308" s="384">
        <f t="shared" si="115"/>
        <v>17.883481609304837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6.2373397411348452E-2</v>
      </c>
      <c r="AD308" s="230">
        <f>(INDEX(Models!$BJ308:$BT308,,AH308)*(1-AF308)+INDEX(Models!$BJ308:$BT308,,AH308+1)*AF308-ERP_i)*AE308*Ramure*Pc/MaxiM</f>
        <v>5.3289202824484102E-3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'2023'!Wh/'2023'!Env_an*'2024'!Env_an</f>
        <v>33.872734419041407</v>
      </c>
      <c r="C309" s="829"/>
      <c r="D309" s="391">
        <f t="shared" si="102"/>
        <v>35.267174402294664</v>
      </c>
      <c r="E309" s="383">
        <f t="shared" si="125"/>
        <v>36.131546947570776</v>
      </c>
      <c r="F309" s="383">
        <f t="shared" si="103"/>
        <v>36.319378169233239</v>
      </c>
      <c r="G309" s="110">
        <f t="shared" si="126"/>
        <v>0.96033660399159604</v>
      </c>
      <c r="H309" s="412" t="b">
        <f>Wh_hp&gt;='2023'!Maxi_hp</f>
        <v>0</v>
      </c>
      <c r="I309" s="388">
        <f>IF(H309,Wh_hp,'2023'!Maxi_hp)</f>
        <v>36.324773470001581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3.9539316854443785E-2</v>
      </c>
      <c r="M309" s="832"/>
      <c r="N309" s="832"/>
      <c r="O309" s="48">
        <f>IF(t&lt;Tnet,'2023'!Resal+('2023'!Salim-'2023'!Resal)*(1-EXP(('2023'!Tnet-t)/('2023'!Tau_j))),Resal+(Salim-Resal)*(1-EXP((Tnet-t)/(Tau_j))))*Salcycl</f>
        <v>2.3922932127162261E-2</v>
      </c>
      <c r="P309" s="169">
        <f>(INDEX(Models!$BJ309:$BT309,,T309)*(1-R309)+INDEX(Models!$BJ309:$BT309,,T309+1)*R309-ERP_i)*Q309*Ramure*Pc/MaxiM</f>
        <v>5.4798210908869986E-3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35.260804928225731</v>
      </c>
      <c r="W309" s="400">
        <f t="shared" si="111"/>
        <v>33.872734419041407</v>
      </c>
      <c r="X309" s="157">
        <f t="shared" si="112"/>
        <v>45586</v>
      </c>
      <c r="Y309" s="383">
        <f t="shared" si="113"/>
        <v>32.538499978115595</v>
      </c>
      <c r="Z309" s="383">
        <f t="shared" si="114"/>
        <v>33.878013487809206</v>
      </c>
      <c r="AA309" s="384">
        <f t="shared" si="115"/>
        <v>36.131546947570776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6.2370245675658222E-2</v>
      </c>
      <c r="AD309" s="230">
        <f>(INDEX(Models!$BJ309:$BT309,,AH309)*(1-AF309)+INDEX(Models!$BJ309:$BT309,,AH309+1)*AF309-ERP_i)*AE309*Ramure*Pc/MaxiM</f>
        <v>5.4798210908869986E-3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'2023'!Wh/'2023'!Env_an*'2024'!Env_an</f>
        <v>17.407882214244772</v>
      </c>
      <c r="C310" s="829"/>
      <c r="D310" s="391">
        <f t="shared" si="102"/>
        <v>18.124860438552364</v>
      </c>
      <c r="E310" s="383">
        <f t="shared" si="125"/>
        <v>18.570161722064466</v>
      </c>
      <c r="F310" s="383">
        <f t="shared" si="103"/>
        <v>18.59984440044682</v>
      </c>
      <c r="G310" s="110">
        <f t="shared" si="126"/>
        <v>0.49656387728515505</v>
      </c>
      <c r="H310" s="412" t="b">
        <f>Wh_hp&gt;='2023'!Maxi_hp</f>
        <v>0</v>
      </c>
      <c r="I310" s="388">
        <f>IF(H310,Wh_hp,'2023'!Maxi_hp)</f>
        <v>37.404529448025627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3.9557723864319994E-2</v>
      </c>
      <c r="M310" s="832"/>
      <c r="N310" s="832"/>
      <c r="O310" s="48">
        <f>IF(t&lt;Tnet,'2023'!Resal+('2023'!Salim-'2023'!Resal)*(1-EXP(('2023'!Tnet-t)/('2023'!Tau_j))),Resal+(Salim-Resal)*(1-EXP((Tnet-t)/(Tau_j))))*Salcycl</f>
        <v>2.3979397173639509E-2</v>
      </c>
      <c r="P310" s="169">
        <f>(INDEX(Models!$BJ310:$BT310,,T310)*(1-R310)+INDEX(Models!$BJ310:$BT310,,T310+1)*R310-ERP_i)*Q310*Ramure*Pc/MaxiM</f>
        <v>5.625545337319255E-3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34.915189221647175</v>
      </c>
      <c r="W310" s="400">
        <f t="shared" si="111"/>
        <v>17.407882214244772</v>
      </c>
      <c r="X310" s="157">
        <f t="shared" si="112"/>
        <v>45587</v>
      </c>
      <c r="Y310" s="383">
        <f t="shared" si="113"/>
        <v>16.723227633931195</v>
      </c>
      <c r="Z310" s="383">
        <f t="shared" si="114"/>
        <v>17.412006998709764</v>
      </c>
      <c r="AA310" s="384">
        <f t="shared" si="115"/>
        <v>18.570161722064466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6.2366431735412294E-2</v>
      </c>
      <c r="AD310" s="230">
        <f>(INDEX(Models!$BJ310:$BT310,,AH310)*(1-AF310)+INDEX(Models!$BJ310:$BT310,,AH310+1)*AF310-ERP_i)*AE310*Ramure*Pc/MaxiM</f>
        <v>5.625545337319255E-3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'2023'!Wh/'2023'!Env_an*'2024'!Env_an</f>
        <v>25.754341013237841</v>
      </c>
      <c r="C311" s="829"/>
      <c r="D311" s="391">
        <f t="shared" si="102"/>
        <v>26.815598645231816</v>
      </c>
      <c r="E311" s="383">
        <f t="shared" si="125"/>
        <v>27.475997865524487</v>
      </c>
      <c r="F311" s="383">
        <f t="shared" si="103"/>
        <v>27.577086562526937</v>
      </c>
      <c r="G311" s="110">
        <f t="shared" si="126"/>
        <v>0.74338560647698826</v>
      </c>
      <c r="H311" s="412" t="b">
        <f>Wh_hp&gt;='2023'!Maxi_hp</f>
        <v>0</v>
      </c>
      <c r="I311" s="388">
        <f>IF(H311,Wh_hp,'2023'!Maxi_hp)</f>
        <v>38.420312161688102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3.9576130521429942E-2</v>
      </c>
      <c r="M311" s="832"/>
      <c r="N311" s="832"/>
      <c r="O311" s="48">
        <f>IF(t&lt;Tnet,'2023'!Resal+('2023'!Salim-'2023'!Resal)*(1-EXP(('2023'!Tnet-t)/('2023'!Tau_j))),Resal+(Salim-Resal)*(1-EXP((Tnet-t)/(Tau_j))))*Salcycl</f>
        <v>2.4035495399470329E-2</v>
      </c>
      <c r="P311" s="169">
        <f>(INDEX(Models!$BJ311:$BT311,,T311)*(1-R311)+INDEX(Models!$BJ311:$BT311,,T311+1)*R311-ERP_i)*Q311*Ramure*Pc/MaxiM</f>
        <v>5.7667960970605352E-3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34.571598866007911</v>
      </c>
      <c r="W311" s="400">
        <f t="shared" si="111"/>
        <v>25.754341013237841</v>
      </c>
      <c r="X311" s="157">
        <f t="shared" si="112"/>
        <v>45588</v>
      </c>
      <c r="Y311" s="383">
        <f t="shared" si="113"/>
        <v>24.742958054433871</v>
      </c>
      <c r="Z311" s="383">
        <f t="shared" si="114"/>
        <v>25.762539687676892</v>
      </c>
      <c r="AA311" s="384">
        <f t="shared" si="115"/>
        <v>27.475997865524487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6.2361999962067136E-2</v>
      </c>
      <c r="AD311" s="230">
        <f>(INDEX(Models!$BJ311:$BT311,,AH311)*(1-AF311)+INDEX(Models!$BJ311:$BT311,,AH311+1)*AF311-ERP_i)*AE311*Ramure*Pc/MaxiM</f>
        <v>5.7667960970605352E-3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'2023'!Wh/'2023'!Env_an*'2024'!Env_an</f>
        <v>22.769624561460297</v>
      </c>
      <c r="C312" s="829"/>
      <c r="D312" s="391">
        <f t="shared" si="102"/>
        <v>23.708345521280989</v>
      </c>
      <c r="E312" s="383">
        <f t="shared" si="125"/>
        <v>24.293608770898857</v>
      </c>
      <c r="F312" s="383">
        <f t="shared" si="103"/>
        <v>24.36865945147256</v>
      </c>
      <c r="G312" s="110">
        <f t="shared" si="126"/>
        <v>0.66330039546553154</v>
      </c>
      <c r="H312" s="412" t="b">
        <f>Wh_hp&gt;='2023'!Maxi_hp</f>
        <v>0</v>
      </c>
      <c r="I312" s="388">
        <f>IF(H312,Wh_hp,'2023'!Maxi_hp)</f>
        <v>35.228620832517834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3.9594536825780624E-2</v>
      </c>
      <c r="M312" s="832"/>
      <c r="N312" s="832"/>
      <c r="O312" s="48">
        <f>IF(t&lt;Tnet,'2023'!Resal+('2023'!Salim-'2023'!Resal)*(1-EXP(('2023'!Tnet-t)/('2023'!Tau_j))),Resal+(Salim-Resal)*(1-EXP((Tnet-t)/(Tau_j))))*Salcycl</f>
        <v>2.4091243715052696E-2</v>
      </c>
      <c r="P312" s="169">
        <f>(INDEX(Models!$BJ312:$BT312,,T312)*(1-R312)+INDEX(Models!$BJ312:$BT312,,T312+1)*R312-ERP_i)*Q312*Ramure*Pc/MaxiM</f>
        <v>5.9034886996207321E-3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34.230541452191375</v>
      </c>
      <c r="W312" s="400">
        <f t="shared" si="111"/>
        <v>22.769624561460297</v>
      </c>
      <c r="X312" s="157">
        <f t="shared" si="112"/>
        <v>45589</v>
      </c>
      <c r="Y312" s="383">
        <f t="shared" si="113"/>
        <v>21.876818914005401</v>
      </c>
      <c r="Z312" s="383">
        <f t="shared" si="114"/>
        <v>22.778732267620288</v>
      </c>
      <c r="AA312" s="384">
        <f t="shared" si="115"/>
        <v>24.293608770898857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6.2356997577619179E-2</v>
      </c>
      <c r="AD312" s="230">
        <f>(INDEX(Models!$BJ312:$BT312,,AH312)*(1-AF312)+INDEX(Models!$BJ312:$BT312,,AH312+1)*AF312-ERP_i)*AE312*Ramure*Pc/MaxiM</f>
        <v>5.9034886996207321E-3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'2023'!Wh/'2023'!Env_an*'2024'!Env_an</f>
        <v>12.692344935230599</v>
      </c>
      <c r="C313" s="829"/>
      <c r="D313" s="391">
        <f t="shared" si="102"/>
        <v>13.215864207849759</v>
      </c>
      <c r="E313" s="383">
        <f t="shared" si="125"/>
        <v>13.542879518504362</v>
      </c>
      <c r="F313" s="383">
        <f t="shared" si="103"/>
        <v>13.551582962553169</v>
      </c>
      <c r="G313" s="110">
        <f t="shared" si="126"/>
        <v>0.37246701914250596</v>
      </c>
      <c r="H313" s="412" t="b">
        <f>Wh_hp&gt;='2023'!Maxi_hp</f>
        <v>0</v>
      </c>
      <c r="I313" s="388">
        <f>IF(H313,Wh_hp,'2023'!Maxi_hp)</f>
        <v>35.899581400046522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3.9612942777378701E-2</v>
      </c>
      <c r="M313" s="832"/>
      <c r="N313" s="832"/>
      <c r="O313" s="48">
        <f>IF(t&lt;Tnet,'2023'!Resal+('2023'!Salim-'2023'!Resal)*(1-EXP(('2023'!Tnet-t)/('2023'!Tau_j))),Resal+(Salim-Resal)*(1-EXP((Tnet-t)/(Tau_j))))*Salcycl</f>
        <v>2.4146660258461659E-2</v>
      </c>
      <c r="P313" s="169">
        <f>(INDEX(Models!$BJ313:$BT313,,T313)*(1-R313)+INDEX(Models!$BJ313:$BT313,,T313+1)*R313-ERP_i)*Q313*Ramure*Pc/MaxiM</f>
        <v>6.0354923420973894E-3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33.892525636267834</v>
      </c>
      <c r="W313" s="400">
        <f t="shared" si="111"/>
        <v>12.692344935230599</v>
      </c>
      <c r="X313" s="157">
        <f t="shared" si="112"/>
        <v>45590</v>
      </c>
      <c r="Y313" s="383">
        <f t="shared" si="113"/>
        <v>12.19543760201789</v>
      </c>
      <c r="Z313" s="383">
        <f t="shared" si="114"/>
        <v>12.698461011424211</v>
      </c>
      <c r="AA313" s="384">
        <f t="shared" si="115"/>
        <v>13.542879518504362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6.2351474509270831E-2</v>
      </c>
      <c r="AD313" s="230">
        <f>(INDEX(Models!$BJ313:$BT313,,AH313)*(1-AF313)+INDEX(Models!$BJ313:$BT313,,AH313+1)*AF313-ERP_i)*AE313*Ramure*Pc/MaxiM</f>
        <v>6.0354923420973894E-3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'2023'!Wh/'2023'!Env_an*'2024'!Env_an</f>
        <v>14.682553994634874</v>
      </c>
      <c r="C314" s="829"/>
      <c r="D314" s="391">
        <f t="shared" si="102"/>
        <v>15.288456125478431</v>
      </c>
      <c r="E314" s="383">
        <f t="shared" si="125"/>
        <v>15.667640672851645</v>
      </c>
      <c r="F314" s="383">
        <f t="shared" si="103"/>
        <v>15.686633460749587</v>
      </c>
      <c r="G314" s="110">
        <f t="shared" si="126"/>
        <v>0.43535768515618284</v>
      </c>
      <c r="H314" s="412" t="b">
        <f>Wh_hp&gt;='2023'!Maxi_hp</f>
        <v>0</v>
      </c>
      <c r="I314" s="388">
        <f>IF(H314,Wh_hp,'2023'!Maxi_hp)</f>
        <v>30.879725572368368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3.9631348376230835E-2</v>
      </c>
      <c r="M314" s="832"/>
      <c r="N314" s="832"/>
      <c r="O314" s="48">
        <f>IF(t&lt;Tnet,'2023'!Resal+('2023'!Salim-'2023'!Resal)*(1-EXP(('2023'!Tnet-t)/('2023'!Tau_j))),Resal+(Salim-Resal)*(1-EXP((Tnet-t)/(Tau_j))))*Salcycl</f>
        <v>2.420176434287594E-2</v>
      </c>
      <c r="P314" s="169">
        <f>(INDEX(Models!$BJ314:$BT314,,T314)*(1-R314)+INDEX(Models!$BJ314:$BT314,,T314+1)*R314-ERP_i)*Q314*Ramure*Pc/MaxiM</f>
        <v>6.1626759777136299E-3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33.558059542247435</v>
      </c>
      <c r="W314" s="400">
        <f t="shared" si="111"/>
        <v>14.682553994634874</v>
      </c>
      <c r="X314" s="157">
        <f t="shared" si="112"/>
        <v>45591</v>
      </c>
      <c r="Y314" s="383">
        <f t="shared" si="113"/>
        <v>14.108616482177771</v>
      </c>
      <c r="Z314" s="383">
        <f t="shared" si="114"/>
        <v>14.690834044117587</v>
      </c>
      <c r="AA314" s="384">
        <f t="shared" si="115"/>
        <v>15.667640672851645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6.2345483224327217E-2</v>
      </c>
      <c r="AD314" s="230">
        <f>(INDEX(Models!$BJ314:$BT314,,AH314)*(1-AF314)+INDEX(Models!$BJ314:$BT314,,AH314+1)*AF314-ERP_i)*AE314*Ramure*Pc/MaxiM</f>
        <v>6.1626759777136299E-3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'2023'!Wh/'2023'!Env_an*'2024'!Env_an</f>
        <v>17.661573901487966</v>
      </c>
      <c r="C315" s="829"/>
      <c r="D315" s="391">
        <f t="shared" si="102"/>
        <v>18.390763128458222</v>
      </c>
      <c r="E315" s="383">
        <f t="shared" si="125"/>
        <v>18.847949864241389</v>
      </c>
      <c r="F315" s="383">
        <f t="shared" si="103"/>
        <v>18.887212607330532</v>
      </c>
      <c r="G315" s="110">
        <f t="shared" si="126"/>
        <v>0.52929208784759607</v>
      </c>
      <c r="H315" s="412" t="b">
        <f>Wh_hp&gt;='2023'!Maxi_hp</f>
        <v>0</v>
      </c>
      <c r="I315" s="388">
        <f>IF(H315,Wh_hp,'2023'!Maxi_hp)</f>
        <v>35.461193234664123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3.9649753622343908E-2</v>
      </c>
      <c r="M315" s="832"/>
      <c r="N315" s="832"/>
      <c r="O315" s="48">
        <f>IF(t&lt;Tnet,'2023'!Resal+('2023'!Salim-'2023'!Resal)*(1-EXP(('2023'!Tnet-t)/('2023'!Tau_j))),Resal+(Salim-Resal)*(1-EXP((Tnet-t)/(Tau_j))))*Salcycl</f>
        <v>2.4256576395640172E-2</v>
      </c>
      <c r="P315" s="169">
        <f>(INDEX(Models!$BJ315:$BT315,,T315)*(1-R315)+INDEX(Models!$BJ315:$BT315,,T315+1)*R315-ERP_i)*Q315*Ramure*Pc/MaxiM</f>
        <v>6.2849088406363648E-3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33.227650780801667</v>
      </c>
      <c r="W315" s="400">
        <f t="shared" si="111"/>
        <v>17.661573901487966</v>
      </c>
      <c r="X315" s="157">
        <f t="shared" si="112"/>
        <v>45592</v>
      </c>
      <c r="Y315" s="383">
        <f t="shared" si="113"/>
        <v>16.972256495074106</v>
      </c>
      <c r="Z315" s="383">
        <f t="shared" si="114"/>
        <v>17.672986037221044</v>
      </c>
      <c r="AA315" s="384">
        <f t="shared" si="115"/>
        <v>18.847949864241389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6.2339078546123639E-2</v>
      </c>
      <c r="AD315" s="230">
        <f>(INDEX(Models!$BJ315:$BT315,,AH315)*(1-AF315)+INDEX(Models!$BJ315:$BT315,,AH315+1)*AF315-ERP_i)*AE315*Ramure*Pc/MaxiM</f>
        <v>6.2849088406363648E-3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'2023'!Wh/'2023'!Env_an*'2024'!Env_an</f>
        <v>27.428321072501014</v>
      </c>
      <c r="C316" s="829"/>
      <c r="D316" s="391">
        <f t="shared" si="102"/>
        <v>28.561295052039707</v>
      </c>
      <c r="E316" s="383">
        <f t="shared" si="125"/>
        <v>29.272953269951287</v>
      </c>
      <c r="F316" s="383">
        <f t="shared" si="103"/>
        <v>29.416523019051429</v>
      </c>
      <c r="G316" s="110">
        <f t="shared" si="126"/>
        <v>0.83236720784663376</v>
      </c>
      <c r="H316" s="412" t="b">
        <f>Wh_hp&gt;='2023'!Maxi_hp</f>
        <v>0</v>
      </c>
      <c r="I316" s="388">
        <f>IF(H316,Wh_hp,'2023'!Maxi_hp)</f>
        <v>29.777598995663187</v>
      </c>
      <c r="J316" s="85">
        <f>IF(H316,An,'2023'!An_max)</f>
        <v>2018</v>
      </c>
      <c r="K316" s="197">
        <f t="shared" si="104"/>
        <v>45593</v>
      </c>
      <c r="L316" s="147">
        <f>IF(t&lt;Tvie,1-EXP((T0-t)*PertePVj)+'2023'!Pspv,1-EXP((T0-t)*PertePVj)+Pspv)</f>
        <v>3.9668158515724694E-2</v>
      </c>
      <c r="M316" s="832"/>
      <c r="N316" s="832"/>
      <c r="O316" s="48">
        <f>IF(t&lt;Tnet,'2023'!Resal+('2023'!Salim-'2023'!Resal)*(1-EXP(('2023'!Tnet-t)/('2023'!Tau_j))),Resal+(Salim-Resal)*(1-EXP((Tnet-t)/(Tau_j))))*Salcycl</f>
        <v>2.4311117889225645E-2</v>
      </c>
      <c r="P316" s="169">
        <f>(INDEX(Models!$BJ316:$BT316,,T316)*(1-R316)+INDEX(Models!$BJ316:$BT316,,T316+1)*R316-ERP_i)*Q316*Ramure*Pc/MaxiM</f>
        <v>6.4020609545371431E-3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32.90180646734057</v>
      </c>
      <c r="W316" s="400">
        <f t="shared" si="111"/>
        <v>27.428321072501014</v>
      </c>
      <c r="X316" s="157">
        <f t="shared" si="112"/>
        <v>45593</v>
      </c>
      <c r="Y316" s="383">
        <f t="shared" si="113"/>
        <v>26.359478649174445</v>
      </c>
      <c r="Z316" s="383">
        <f t="shared" si="114"/>
        <v>27.448302253972553</v>
      </c>
      <c r="AA316" s="384">
        <f t="shared" si="115"/>
        <v>29.272953269951287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6.2332317451951093E-2</v>
      </c>
      <c r="AD316" s="230">
        <f>(INDEX(Models!$BJ316:$BT316,,AH316)*(1-AF316)+INDEX(Models!$BJ316:$BT316,,AH316+1)*AF316-ERP_i)*AE316*Ramure*Pc/MaxiM</f>
        <v>6.4020609545371431E-3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'2023'!Wh/'2023'!Env_an*'2024'!Env_an</f>
        <v>23.580405410980752</v>
      </c>
      <c r="C317" s="829"/>
      <c r="D317" s="391">
        <f t="shared" si="102"/>
        <v>24.554905204731771</v>
      </c>
      <c r="E317" s="383">
        <f t="shared" si="125"/>
        <v>25.168137218827948</v>
      </c>
      <c r="F317" s="383">
        <f t="shared" si="103"/>
        <v>25.267790961330416</v>
      </c>
      <c r="G317" s="110">
        <f t="shared" si="126"/>
        <v>0.72192194554874323</v>
      </c>
      <c r="H317" s="412" t="b">
        <f>Wh_hp&gt;='2023'!Maxi_hp</f>
        <v>0</v>
      </c>
      <c r="I317" s="388">
        <f>IF(H317,Wh_hp,'2023'!Maxi_hp)</f>
        <v>28.491037803008169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3.9686563056379853E-2</v>
      </c>
      <c r="M317" s="832"/>
      <c r="N317" s="832"/>
      <c r="O317" s="48">
        <f>IF(t&lt;Tnet,'2023'!Resal+('2023'!Salim-'2023'!Resal)*(1-EXP(('2023'!Tnet-t)/('2023'!Tau_j))),Resal+(Salim-Resal)*(1-EXP((Tnet-t)/(Tau_j))))*Salcycl</f>
        <v>2.436541126442299E-2</v>
      </c>
      <c r="P317" s="169">
        <f>(INDEX(Models!$BJ317:$BT317,,T317)*(1-R317)+INDEX(Models!$BJ317:$BT317,,T317+1)*R317-ERP_i)*Q317*Ramure*Pc/MaxiM</f>
        <v>6.5143917703614626E-3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32.579079239705109</v>
      </c>
      <c r="W317" s="400">
        <f t="shared" si="111"/>
        <v>23.580405410980752</v>
      </c>
      <c r="X317" s="157">
        <f t="shared" si="112"/>
        <v>45594</v>
      </c>
      <c r="Y317" s="383">
        <f t="shared" si="113"/>
        <v>22.662942453190503</v>
      </c>
      <c r="Z317" s="383">
        <f t="shared" si="114"/>
        <v>23.599526551788777</v>
      </c>
      <c r="AA317" s="384">
        <f t="shared" si="115"/>
        <v>25.168137218827948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6.2325258854108279E-2</v>
      </c>
      <c r="AD317" s="230">
        <f>(INDEX(Models!$BJ317:$BT317,,AH317)*(1-AF317)+INDEX(Models!$BJ317:$BT317,,AH317+1)*AF317-ERP_i)*AE317*Ramure*Pc/MaxiM</f>
        <v>6.5143917703614626E-3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'2023'!Wh/'2023'!Env_an*'2024'!Env_an</f>
        <v>22.427165612583014</v>
      </c>
      <c r="C318" s="829"/>
      <c r="D318" s="391">
        <f t="shared" si="102"/>
        <v>23.354453420659194</v>
      </c>
      <c r="E318" s="383">
        <f t="shared" si="125"/>
        <v>23.939032133376994</v>
      </c>
      <c r="F318" s="383">
        <f t="shared" si="103"/>
        <v>24.028933433468602</v>
      </c>
      <c r="G318" s="110">
        <f t="shared" si="126"/>
        <v>0.69323558410350006</v>
      </c>
      <c r="H318" s="412" t="b">
        <f>Wh_hp&gt;='2023'!Maxi_hp</f>
        <v>0</v>
      </c>
      <c r="I318" s="388">
        <f>IF(H318,Wh_hp,'2023'!Maxi_hp)</f>
        <v>34.120858369867321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3.9704967244316158E-2</v>
      </c>
      <c r="M318" s="832"/>
      <c r="N318" s="832"/>
      <c r="O318" s="48">
        <f>IF(t&lt;Tnet,'2023'!Resal+('2023'!Salim-'2023'!Resal)*(1-EXP(('2023'!Tnet-t)/('2023'!Tau_j))),Resal+(Salim-Resal)*(1-EXP((Tnet-t)/(Tau_j))))*Salcycl</f>
        <v>2.4419479846169333E-2</v>
      </c>
      <c r="P318" s="169">
        <f>(INDEX(Models!$BJ318:$BT318,,T318)*(1-R318)+INDEX(Models!$BJ318:$BT318,,T318+1)*R318-ERP_i)*Q318*Ramure*Pc/MaxiM</f>
        <v>6.6261160513078968E-3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32.257758607542719</v>
      </c>
      <c r="W318" s="400">
        <f t="shared" si="111"/>
        <v>22.427165612583014</v>
      </c>
      <c r="X318" s="157">
        <f t="shared" si="112"/>
        <v>45595</v>
      </c>
      <c r="Y318" s="383">
        <f t="shared" si="113"/>
        <v>21.555935049044674</v>
      </c>
      <c r="Z318" s="383">
        <f t="shared" si="114"/>
        <v>22.447200405887017</v>
      </c>
      <c r="AA318" s="384">
        <f t="shared" si="115"/>
        <v>23.939032133376994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6.2317963365360537E-2</v>
      </c>
      <c r="AD318" s="230">
        <f>(INDEX(Models!$BJ318:$BT318,,AH318)*(1-AF318)+INDEX(Models!$BJ318:$BT318,,AH318+1)*AF318-ERP_i)*AE318*Ramure*Pc/MaxiM</f>
        <v>6.6261160513078968E-3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'2023'!Wh/'2023'!Env_an*'2024'!Env_an</f>
        <v>19.880262643414373</v>
      </c>
      <c r="C319" s="829"/>
      <c r="D319" s="391">
        <f t="shared" si="102"/>
        <v>20.702641348007926</v>
      </c>
      <c r="E319" s="383">
        <f t="shared" si="125"/>
        <v>21.222015103647866</v>
      </c>
      <c r="F319" s="383">
        <f t="shared" si="103"/>
        <v>21.288103693717296</v>
      </c>
      <c r="G319" s="110">
        <f t="shared" si="126"/>
        <v>0.62019304707243306</v>
      </c>
      <c r="H319" s="412" t="b">
        <f>Wh_hp&gt;='2023'!Maxi_hp</f>
        <v>0</v>
      </c>
      <c r="I319" s="388">
        <f>IF(H319,Wh_hp,'2023'!Maxi_hp)</f>
        <v>32.848992554762482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3.9723371079540382E-2</v>
      </c>
      <c r="M319" s="832"/>
      <c r="N319" s="832"/>
      <c r="O319" s="48">
        <f>IF(t&lt;Tnet,'2023'!Resal+('2023'!Salim-'2023'!Resal)*(1-EXP(('2023'!Tnet-t)/('2023'!Tau_j))),Resal+(Salim-Resal)*(1-EXP((Tnet-t)/(Tau_j))))*Salcycl</f>
        <v>2.4473347752479214E-2</v>
      </c>
      <c r="P319" s="169">
        <f>(INDEX(Models!$BJ319:$BT319,,T319)*(1-R319)+INDEX(Models!$BJ319:$BT319,,T319+1)*R319-ERP_i)*Q319*Ramure*Pc/MaxiM</f>
        <v>6.7391984322526313E-3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31.938085480868974</v>
      </c>
      <c r="W319" s="400">
        <f t="shared" si="111"/>
        <v>19.880262643414373</v>
      </c>
      <c r="X319" s="157">
        <f t="shared" si="112"/>
        <v>45596</v>
      </c>
      <c r="Y319" s="383">
        <f t="shared" si="113"/>
        <v>19.109179265565803</v>
      </c>
      <c r="Z319" s="383">
        <f t="shared" si="114"/>
        <v>19.899660879020132</v>
      </c>
      <c r="AA319" s="384">
        <f t="shared" si="115"/>
        <v>21.222015103647866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6.2310493050230398E-2</v>
      </c>
      <c r="AD319" s="230">
        <f>(INDEX(Models!$BJ319:$BT319,,AH319)*(1-AF319)+INDEX(Models!$BJ319:$BT319,,AH319+1)*AF319-ERP_i)*AE319*Ramure*Pc/MaxiM</f>
        <v>6.7391984322526313E-3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'2023'!Wh/'2023'!Env_an*'2024'!Env_an</f>
        <v>29.491511562044725</v>
      </c>
      <c r="C320" s="829"/>
      <c r="D320" s="391">
        <f t="shared" si="102"/>
        <v>30.712063464590123</v>
      </c>
      <c r="E320" s="383">
        <f t="shared" si="125"/>
        <v>31.484279644408762</v>
      </c>
      <c r="F320" s="383">
        <f t="shared" si="103"/>
        <v>31.680523147646106</v>
      </c>
      <c r="G320" s="110">
        <f t="shared" si="126"/>
        <v>0.93205595301082866</v>
      </c>
      <c r="H320" s="412" t="b">
        <f>Wh_hp&gt;='2023'!Maxi_hp</f>
        <v>0</v>
      </c>
      <c r="I320" s="388">
        <f>IF(H320,Wh_hp,'2023'!Maxi_hp)</f>
        <v>31.690418579569595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3.9741774562059295E-2</v>
      </c>
      <c r="M320" s="832"/>
      <c r="N320" s="832"/>
      <c r="O320" s="48">
        <f>IF(t&lt;Tnet,'2023'!Resal+('2023'!Salim-'2023'!Resal)*(1-EXP(('2023'!Tnet-t)/('2023'!Tau_j))),Resal+(Salim-Resal)*(1-EXP((Tnet-t)/(Tau_j))))*Salcycl</f>
        <v>2.4527039797011117E-2</v>
      </c>
      <c r="P320" s="169">
        <f>(INDEX(Models!$BJ320:$BT320,,T320)*(1-R320)+INDEX(Models!$BJ320:$BT320,,T320+1)*R320-ERP_i)*Q320*Ramure*Pc/MaxiM</f>
        <v>6.8536290799488192E-3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31.620365911091415</v>
      </c>
      <c r="W320" s="400">
        <f t="shared" si="111"/>
        <v>29.491511562044725</v>
      </c>
      <c r="X320" s="157">
        <f t="shared" si="112"/>
        <v>45597</v>
      </c>
      <c r="Y320" s="383">
        <f t="shared" si="113"/>
        <v>28.349432188625208</v>
      </c>
      <c r="Z320" s="383">
        <f t="shared" si="114"/>
        <v>29.522717366670832</v>
      </c>
      <c r="AA320" s="384">
        <f t="shared" si="115"/>
        <v>31.484279644408762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6.2302911163675936E-2</v>
      </c>
      <c r="AD320" s="230">
        <f>(INDEX(Models!$BJ320:$BT320,,AH320)*(1-AF320)+INDEX(Models!$BJ320:$BT320,,AH320+1)*AF320-ERP_i)*AE320*Ramure*Pc/MaxiM</f>
        <v>6.8536290799488192E-3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'2023'!Wh/'2023'!Env_an*'2024'!Env_an</f>
        <v>10.351836542892883</v>
      </c>
      <c r="C321" s="829"/>
      <c r="D321" s="391">
        <f t="shared" si="102"/>
        <v>10.780469943446276</v>
      </c>
      <c r="E321" s="383">
        <f t="shared" si="125"/>
        <v>11.052137919053335</v>
      </c>
      <c r="F321" s="383">
        <f t="shared" si="103"/>
        <v>11.055514679081758</v>
      </c>
      <c r="G321" s="110">
        <f t="shared" si="126"/>
        <v>0.32847347709349162</v>
      </c>
      <c r="H321" s="412" t="b">
        <f>Wh_hp&gt;='2023'!Maxi_hp</f>
        <v>0</v>
      </c>
      <c r="I321" s="388">
        <f>IF(H321,Wh_hp,'2023'!Maxi_hp)</f>
        <v>29.614967506581426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3.9760177691879783E-2</v>
      </c>
      <c r="M321" s="832"/>
      <c r="N321" s="832"/>
      <c r="O321" s="48">
        <f>IF(t&lt;Tnet,'2023'!Resal+('2023'!Salim-'2023'!Resal)*(1-EXP(('2023'!Tnet-t)/('2023'!Tau_j))),Resal+(Salim-Resal)*(1-EXP((Tnet-t)/(Tau_j))))*Salcycl</f>
        <v>2.4580581385861749E-2</v>
      </c>
      <c r="P321" s="169">
        <f>(INDEX(Models!$BJ321:$BT321,,T321)*(1-R321)+INDEX(Models!$BJ321:$BT321,,T321+1)*R321-ERP_i)*Q321*Ramure*Pc/MaxiM</f>
        <v>6.9694003731667281E-3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31.304905633617114</v>
      </c>
      <c r="W321" s="400">
        <f t="shared" si="111"/>
        <v>10.351836542892883</v>
      </c>
      <c r="X321" s="157">
        <f t="shared" si="112"/>
        <v>45598</v>
      </c>
      <c r="Y321" s="383">
        <f t="shared" si="113"/>
        <v>9.9515816296555482</v>
      </c>
      <c r="Z321" s="383">
        <f t="shared" si="114"/>
        <v>10.363641872022155</v>
      </c>
      <c r="AA321" s="384">
        <f t="shared" si="115"/>
        <v>11.052137919053335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6.2295281878834291E-2</v>
      </c>
      <c r="AD321" s="230">
        <f>(INDEX(Models!$BJ321:$BT321,,AH321)*(1-AF321)+INDEX(Models!$BJ321:$BT321,,AH321+1)*AF321-ERP_i)*AE321*Ramure*Pc/MaxiM</f>
        <v>6.9694003731667281E-3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'2023'!Wh/'2023'!Env_an*'2024'!Env_an</f>
        <v>17.877133018862086</v>
      </c>
      <c r="C322" s="829"/>
      <c r="D322" s="391">
        <f t="shared" si="102"/>
        <v>18.617719470988217</v>
      </c>
      <c r="E322" s="383">
        <f t="shared" si="125"/>
        <v>19.087931546336247</v>
      </c>
      <c r="F322" s="383">
        <f t="shared" si="103"/>
        <v>19.141576097347251</v>
      </c>
      <c r="G322" s="110">
        <f t="shared" si="126"/>
        <v>0.57435230064722276</v>
      </c>
      <c r="H322" s="412" t="b">
        <f>Wh_hp&gt;='2023'!Maxi_hp</f>
        <v>0</v>
      </c>
      <c r="I322" s="388">
        <f>IF(H322,Wh_hp,'2023'!Maxi_hp)</f>
        <v>19.180366016674423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3.9778580469008396E-2</v>
      </c>
      <c r="M322" s="832"/>
      <c r="N322" s="832"/>
      <c r="O322" s="48">
        <f>IF(t&lt;Tnet,'2023'!Resal+('2023'!Salim-'2023'!Resal)*(1-EXP(('2023'!Tnet-t)/('2023'!Tau_j))),Resal+(Salim-Resal)*(1-EXP((Tnet-t)/(Tau_j))))*Salcycl</f>
        <v>2.4633998409234751E-2</v>
      </c>
      <c r="P322" s="169">
        <f>(INDEX(Models!$BJ322:$BT322,,T322)*(1-R322)+INDEX(Models!$BJ322:$BT322,,T322+1)*R322-ERP_i)*Q322*Ramure*Pc/MaxiM</f>
        <v>7.0865067985376867E-3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30.992010077206533</v>
      </c>
      <c r="W322" s="400">
        <f t="shared" si="111"/>
        <v>17.877133018862086</v>
      </c>
      <c r="X322" s="157">
        <f t="shared" si="112"/>
        <v>45599</v>
      </c>
      <c r="Y322" s="383">
        <f t="shared" si="113"/>
        <v>17.186992400182358</v>
      </c>
      <c r="Z322" s="383">
        <f t="shared" si="114"/>
        <v>17.898988765088301</v>
      </c>
      <c r="AA322" s="384">
        <f t="shared" si="115"/>
        <v>19.087931546336247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6.2287670005614186E-2</v>
      </c>
      <c r="AD322" s="230">
        <f>(INDEX(Models!$BJ322:$BT322,,AH322)*(1-AF322)+INDEX(Models!$BJ322:$BT322,,AH322+1)*AF322-ERP_i)*AE322*Ramure*Pc/MaxiM</f>
        <v>7.0865067985376867E-3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'2023'!Wh/'2023'!Env_an*'2024'!Env_an</f>
        <v>30.450637461126192</v>
      </c>
      <c r="C323" s="829"/>
      <c r="D323" s="391">
        <f t="shared" si="102"/>
        <v>31.712707540625512</v>
      </c>
      <c r="E323" s="383">
        <f t="shared" si="125"/>
        <v>32.515426178262473</v>
      </c>
      <c r="F323" s="383">
        <f t="shared" si="103"/>
        <v>32.74883813961015</v>
      </c>
      <c r="G323" s="110">
        <f t="shared" si="126"/>
        <v>0.99238226827719045</v>
      </c>
      <c r="H323" s="412" t="b">
        <f>Wh_hp&gt;='2023'!Maxi_hp</f>
        <v>0</v>
      </c>
      <c r="I323" s="388">
        <f>IF(H323,Wh_hp,'2023'!Maxi_hp)</f>
        <v>32.750043405506759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3.9796982893452015E-2</v>
      </c>
      <c r="M323" s="832"/>
      <c r="N323" s="832"/>
      <c r="O323" s="48">
        <f>IF(t&lt;Tnet,'2023'!Resal+('2023'!Salim-'2023'!Resal)*(1-EXP(('2023'!Tnet-t)/('2023'!Tau_j))),Resal+(Salim-Resal)*(1-EXP((Tnet-t)/(Tau_j))))*Salcycl</f>
        <v>2.4687317128680473E-2</v>
      </c>
      <c r="P323" s="169">
        <f>(INDEX(Models!$BJ323:$BT323,,T323)*(1-R323)+INDEX(Models!$BJ323:$BT323,,T323+1)*R323-ERP_i)*Q323*Ramure*Pc/MaxiM</f>
        <v>7.2049447852018181E-3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30.681984374395917</v>
      </c>
      <c r="W323" s="400">
        <f t="shared" si="111"/>
        <v>30.450637461126192</v>
      </c>
      <c r="X323" s="157">
        <f t="shared" si="112"/>
        <v>45600</v>
      </c>
      <c r="Y323" s="383">
        <f t="shared" si="113"/>
        <v>29.276936491298159</v>
      </c>
      <c r="Z323" s="383">
        <f t="shared" si="114"/>
        <v>30.490360860894349</v>
      </c>
      <c r="AA323" s="384">
        <f t="shared" si="115"/>
        <v>32.515426178262473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6.2280140702013598E-2</v>
      </c>
      <c r="AD323" s="230">
        <f>(INDEX(Models!$BJ323:$BT323,,AH323)*(1-AF323)+INDEX(Models!$BJ323:$BT323,,AH323+1)*AF323-ERP_i)*AE323*Ramure*Pc/MaxiM</f>
        <v>7.2049447852018181E-3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'2023'!Wh/'2023'!Env_an*'2024'!Env_an</f>
        <v>30.405697304082501</v>
      </c>
      <c r="C324" s="829"/>
      <c r="D324" s="391">
        <f t="shared" si="102"/>
        <v>31.666511656178802</v>
      </c>
      <c r="E324" s="383">
        <f t="shared" si="125"/>
        <v>32.469833655778189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Wh_hp&gt;='2023'!Maxi_hp</f>
        <v>1</v>
      </c>
      <c r="I324" s="388">
        <f>IF(H324,Wh_hp,'2023'!Maxi_hp)</f>
        <v>32.709345157525121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3.9815384965217304E-2</v>
      </c>
      <c r="M324" s="832"/>
      <c r="N324" s="832"/>
      <c r="O324" s="48">
        <f>IF(t&lt;Tnet,'2023'!Resal+('2023'!Salim-'2023'!Resal)*(1-EXP(('2023'!Tnet-t)/('2023'!Tau_j))),Resal+(Salim-Resal)*(1-EXP((Tnet-t)/(Tau_j))))*Salcycl</f>
        <v>2.4740564060648576E-2</v>
      </c>
      <c r="P324" s="169">
        <f>(INDEX(Models!$BJ324:$BT324,,T324)*(1-R324)+INDEX(Models!$BJ324:$BT324,,T324+1)*R324-ERP_i)*Q324*Ramure*Pc/MaxiM</f>
        <v>7.3224181222054565E-3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30.375203572529209</v>
      </c>
      <c r="W324" s="400">
        <f t="shared" si="111"/>
        <v>30.405697304082501</v>
      </c>
      <c r="X324" s="157">
        <f t="shared" si="112"/>
        <v>45601</v>
      </c>
      <c r="Y324" s="383">
        <f t="shared" si="113"/>
        <v>29.235554753386612</v>
      </c>
      <c r="Z324" s="383">
        <f t="shared" si="114"/>
        <v>30.447847523913467</v>
      </c>
      <c r="AA324" s="384">
        <f t="shared" si="115"/>
        <v>32.469833655778189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6.2272759180116655E-2</v>
      </c>
      <c r="AD324" s="230">
        <f>(INDEX(Models!$BJ324:$BT324,,AH324)*(1-AF324)+INDEX(Models!$BJ324:$BT324,,AH324+1)*AF324-ERP_i)*AE324*Ramure*Pc/MaxiM</f>
        <v>7.3224181222054565E-3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'2023'!Wh/'2023'!Env_an*'2024'!Env_an</f>
        <v>28.519411178968223</v>
      </c>
      <c r="C325" s="829"/>
      <c r="D325" s="391">
        <f t="shared" si="102"/>
        <v>29.702577307405683</v>
      </c>
      <c r="E325" s="383">
        <f t="shared" si="125"/>
        <v>30.45773936577838</v>
      </c>
      <c r="F325" s="383">
        <f t="shared" si="103"/>
        <v>30.669120152931288</v>
      </c>
      <c r="G325" s="110">
        <f t="shared" si="126"/>
        <v>0.9478498874991913</v>
      </c>
      <c r="H325" s="412" t="b">
        <f>Wh_hp&gt;='2023'!Maxi_hp</f>
        <v>0</v>
      </c>
      <c r="I325" s="388">
        <f>IF(H325,Wh_hp,'2023'!Maxi_hp)</f>
        <v>30.677102433110111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3.9833786684311145E-2</v>
      </c>
      <c r="M325" s="832"/>
      <c r="N325" s="832"/>
      <c r="O325" s="48">
        <f>IF(t&lt;Tnet,'2023'!Resal+('2023'!Salim-'2023'!Resal)*(1-EXP(('2023'!Tnet-t)/('2023'!Tau_j))),Resal+(Salim-Resal)*(1-EXP((Tnet-t)/(Tau_j))))*Salcycl</f>
        <v>2.4793765857133242E-2</v>
      </c>
      <c r="P325" s="169">
        <f>(INDEX(Models!$BJ325:$BT325,,T325)*(1-R325)+INDEX(Models!$BJ325:$BT325,,T325+1)*R325-ERP_i)*Q325*Ramure*Pc/MaxiM</f>
        <v>7.4410919301130894E-3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30.071904549729432</v>
      </c>
      <c r="W325" s="400">
        <f t="shared" si="111"/>
        <v>28.519411178968223</v>
      </c>
      <c r="X325" s="157">
        <f t="shared" si="112"/>
        <v>45602</v>
      </c>
      <c r="Y325" s="383">
        <f t="shared" si="113"/>
        <v>27.423566695412433</v>
      </c>
      <c r="Z325" s="383">
        <f t="shared" si="114"/>
        <v>28.561270241651336</v>
      </c>
      <c r="AA325" s="384">
        <f t="shared" si="115"/>
        <v>30.45773936577838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6.2265590408783794E-2</v>
      </c>
      <c r="AD325" s="230">
        <f>(INDEX(Models!$BJ325:$BT325,,AH325)*(1-AF325)+INDEX(Models!$BJ325:$BT325,,AH325+1)*AF325-ERP_i)*AE325*Ramure*Pc/MaxiM</f>
        <v>7.4410919301130894E-3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'2023'!Wh/'2023'!Env_an*'2024'!Env_an</f>
        <v>20.565257970674047</v>
      </c>
      <c r="C326" s="829"/>
      <c r="D326" s="391">
        <f t="shared" si="102"/>
        <v>21.418845843040721</v>
      </c>
      <c r="E326" s="383">
        <f t="shared" si="125"/>
        <v>21.96459912125847</v>
      </c>
      <c r="F326" s="383">
        <f t="shared" si="103"/>
        <v>22.057696542880876</v>
      </c>
      <c r="G326" s="110">
        <f t="shared" si="126"/>
        <v>0.68843216532708096</v>
      </c>
      <c r="H326" s="412" t="b">
        <f>Wh_hp&gt;='2023'!Maxi_hp</f>
        <v>0</v>
      </c>
      <c r="I326" s="388">
        <f>IF(H326,Wh_hp,'2023'!Maxi_hp)</f>
        <v>24.301685975957074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3.98521880507402E-2</v>
      </c>
      <c r="M326" s="832"/>
      <c r="N326" s="832"/>
      <c r="O326" s="48">
        <f>IF(t&lt;Tnet,'2023'!Resal+('2023'!Salim-'2023'!Resal)*(1-EXP(('2023'!Tnet-t)/('2023'!Tau_j))),Resal+(Salim-Resal)*(1-EXP((Tnet-t)/(Tau_j))))*Salcycl</f>
        <v>2.4846949184223442E-2</v>
      </c>
      <c r="P326" s="169">
        <f>(INDEX(Models!$BJ326:$BT326,,T326)*(1-R326)+INDEX(Models!$BJ326:$BT326,,T326+1)*R326-ERP_i)*Q326*Ramure*Pc/MaxiM</f>
        <v>7.5609671314103913E-3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29.772391509749145</v>
      </c>
      <c r="W326" s="400">
        <f t="shared" si="111"/>
        <v>20.565257970674047</v>
      </c>
      <c r="X326" s="157">
        <f t="shared" si="112"/>
        <v>45603</v>
      </c>
      <c r="Y326" s="383">
        <f t="shared" si="113"/>
        <v>19.776271788813172</v>
      </c>
      <c r="Z326" s="383">
        <f t="shared" si="114"/>
        <v>20.59711175997376</v>
      </c>
      <c r="AA326" s="384">
        <f t="shared" si="115"/>
        <v>21.96459912125847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6.2258698815093945E-2</v>
      </c>
      <c r="AD326" s="230">
        <f>(INDEX(Models!$BJ326:$BT326,,AH326)*(1-AF326)+INDEX(Models!$BJ326:$BT326,,AH326+1)*AF326-ERP_i)*AE326*Ramure*Pc/MaxiM</f>
        <v>7.5609671314103913E-3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'2023'!Wh/'2023'!Env_an*'2024'!Env_an</f>
        <v>10.129284940959311</v>
      </c>
      <c r="C327" s="829"/>
      <c r="D327" s="391">
        <f t="shared" si="102"/>
        <v>10.549916319186581</v>
      </c>
      <c r="E327" s="383">
        <f t="shared" si="125"/>
        <v>10.819318880500751</v>
      </c>
      <c r="F327" s="383">
        <f t="shared" si="103"/>
        <v>10.824502230780075</v>
      </c>
      <c r="G327" s="110">
        <f t="shared" si="126"/>
        <v>0.34115743054023395</v>
      </c>
      <c r="H327" s="412" t="b">
        <f>Wh_hp&gt;='2023'!Maxi_hp</f>
        <v>0</v>
      </c>
      <c r="I327" s="388">
        <f>IF(H327,Wh_hp,'2023'!Maxi_hp)</f>
        <v>24.305673600704964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3.9870589064511353E-2</v>
      </c>
      <c r="M327" s="832"/>
      <c r="N327" s="832"/>
      <c r="O327" s="48">
        <f>IF(t&lt;Tnet,'2023'!Resal+('2023'!Salim-'2023'!Resal)*(1-EXP(('2023'!Tnet-t)/('2023'!Tau_j))),Resal+(Salim-Resal)*(1-EXP((Tnet-t)/(Tau_j))))*Salcycl</f>
        <v>2.4900140599396017E-2</v>
      </c>
      <c r="P327" s="169">
        <f>(INDEX(Models!$BJ327:$BT327,,T327)*(1-R327)+INDEX(Models!$BJ327:$BT327,,T327+1)*R327-ERP_i)*Q327*Ramure*Pc/MaxiM</f>
        <v>7.6820452331939106E-3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29.476968411935761</v>
      </c>
      <c r="W327" s="400">
        <f t="shared" si="111"/>
        <v>10.129284940959311</v>
      </c>
      <c r="X327" s="157">
        <f t="shared" si="112"/>
        <v>45604</v>
      </c>
      <c r="Y327" s="383">
        <f t="shared" si="113"/>
        <v>9.7412742953884859</v>
      </c>
      <c r="Z327" s="383">
        <f t="shared" si="114"/>
        <v>10.145793040437342</v>
      </c>
      <c r="AA327" s="384">
        <f t="shared" si="115"/>
        <v>10.819318880500751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6.2252147986624054E-2</v>
      </c>
      <c r="AD327" s="230">
        <f>(INDEX(Models!$BJ327:$BT327,,AH327)*(1-AF327)+INDEX(Models!$BJ327:$BT327,,AH327+1)*AF327-ERP_i)*AE327*Ramure*Pc/MaxiM</f>
        <v>7.6820452331939106E-3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'2023'!Wh/'2023'!Env_an*'2024'!Env_an</f>
        <v>20.450987564608656</v>
      </c>
      <c r="C328" s="829"/>
      <c r="D328" s="391">
        <f t="shared" si="102"/>
        <v>21.300648930965203</v>
      </c>
      <c r="E328" s="383">
        <f t="shared" si="125"/>
        <v>21.845774548178284</v>
      </c>
      <c r="F328" s="383">
        <f t="shared" si="103"/>
        <v>21.943810122818697</v>
      </c>
      <c r="G328" s="110">
        <f t="shared" si="126"/>
        <v>0.69836510684624398</v>
      </c>
      <c r="H328" s="412" t="b">
        <f>Wh_hp&gt;='2023'!Maxi_hp</f>
        <v>0</v>
      </c>
      <c r="I328" s="388">
        <f>IF(H328,Wh_hp,'2023'!Maxi_hp)</f>
        <v>21.978449121102202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3.9888989725631152E-2</v>
      </c>
      <c r="M328" s="832"/>
      <c r="N328" s="832"/>
      <c r="O328" s="48">
        <f>IF(t&lt;Tnet,'2023'!Resal+('2023'!Salim-'2023'!Resal)*(1-EXP(('2023'!Tnet-t)/('2023'!Tau_j))),Resal+(Salim-Resal)*(1-EXP((Tnet-t)/(Tau_j))))*Salcycl</f>
        <v>2.4953366428408005E-2</v>
      </c>
      <c r="P328" s="169">
        <f>(INDEX(Models!$BJ328:$BT328,,T328)*(1-R328)+INDEX(Models!$BJ328:$BT328,,T328+1)*R328-ERP_i)*Q328*Ramure*Pc/MaxiM</f>
        <v>7.804327780184442E-3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29.185938988404406</v>
      </c>
      <c r="W328" s="400">
        <f t="shared" si="111"/>
        <v>20.450987564608656</v>
      </c>
      <c r="X328" s="157">
        <f t="shared" si="112"/>
        <v>45605</v>
      </c>
      <c r="Y328" s="383">
        <f t="shared" si="113"/>
        <v>19.668798111440097</v>
      </c>
      <c r="Z328" s="383">
        <f t="shared" si="114"/>
        <v>20.485962457423945</v>
      </c>
      <c r="AA328" s="384">
        <f t="shared" si="115"/>
        <v>21.845774548178284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6.2246000376660122E-2</v>
      </c>
      <c r="AD328" s="230">
        <f>(INDEX(Models!$BJ328:$BT328,,AH328)*(1-AF328)+INDEX(Models!$BJ328:$BT328,,AH328+1)*AF328-ERP_i)*AE328*Ramure*Pc/MaxiM</f>
        <v>7.804327780184442E-3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'2023'!Wh/'2023'!Env_an*'2024'!Env_an</f>
        <v>27.973784584344749</v>
      </c>
      <c r="C329" s="829"/>
      <c r="D329" s="391">
        <f t="shared" si="102"/>
        <v>29.136548176679014</v>
      </c>
      <c r="E329" s="383">
        <f t="shared" si="125"/>
        <v>29.883843059700585</v>
      </c>
      <c r="F329" s="383">
        <f t="shared" si="103"/>
        <v>30.111637470084517</v>
      </c>
      <c r="G329" s="110">
        <f t="shared" si="126"/>
        <v>0.9676103209797221</v>
      </c>
      <c r="H329" s="412" t="b">
        <f>Wh_hp&gt;='2023'!Maxi_hp</f>
        <v>0</v>
      </c>
      <c r="I329" s="388">
        <f>IF(H329,Wh_hp,'2023'!Maxi_hp)</f>
        <v>30.116810356519398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3.9907390034106593E-2</v>
      </c>
      <c r="M329" s="832"/>
      <c r="N329" s="832"/>
      <c r="O329" s="48">
        <f>IF(t&lt;Tnet,'2023'!Resal+('2023'!Salim-'2023'!Resal)*(1-EXP(('2023'!Tnet-t)/('2023'!Tau_j))),Resal+(Salim-Resal)*(1-EXP((Tnet-t)/(Tau_j))))*Salcycl</f>
        <v>2.5006652642655832E-2</v>
      </c>
      <c r="P329" s="169">
        <f>(INDEX(Models!$BJ329:$BT329,,T329)*(1-R329)+INDEX(Models!$BJ329:$BT329,,T329+1)*R329-ERP_i)*Q329*Ramure*Pc/MaxiM</f>
        <v>7.9278157234991629E-3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28.899606758315535</v>
      </c>
      <c r="W329" s="400">
        <f t="shared" si="111"/>
        <v>27.973784584344749</v>
      </c>
      <c r="X329" s="157">
        <f t="shared" si="112"/>
        <v>45606</v>
      </c>
      <c r="Y329" s="383">
        <f t="shared" si="113"/>
        <v>26.905503955307864</v>
      </c>
      <c r="Z329" s="383">
        <f t="shared" si="114"/>
        <v>28.02386319405548</v>
      </c>
      <c r="AA329" s="384">
        <f t="shared" si="115"/>
        <v>29.883843059700585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6.2240317014425561E-2</v>
      </c>
      <c r="AD329" s="230">
        <f>(INDEX(Models!$BJ329:$BT329,,AH329)*(1-AF329)+INDEX(Models!$BJ329:$BT329,,AH329+1)*AF329-ERP_i)*AE329*Ramure*Pc/MaxiM</f>
        <v>7.9278157234991629E-3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'2023'!Wh/'2023'!Env_an*'2024'!Env_an</f>
        <v>27.545927876159013</v>
      </c>
      <c r="C330" s="829"/>
      <c r="D330" s="391">
        <f t="shared" si="102"/>
        <v>28.691456961301459</v>
      </c>
      <c r="E330" s="383">
        <f t="shared" si="125"/>
        <v>29.428947103730497</v>
      </c>
      <c r="F330" s="383">
        <f t="shared" si="103"/>
        <v>29.654961240571957</v>
      </c>
      <c r="G330" s="110">
        <f t="shared" si="126"/>
        <v>0.96211120473407075</v>
      </c>
      <c r="H330" s="412" t="b">
        <f>Wh_hp&gt;='2023'!Maxi_hp</f>
        <v>0</v>
      </c>
      <c r="I330" s="388">
        <f>IF(H330,Wh_hp,'2023'!Maxi_hp)</f>
        <v>29.661008081081796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3.9925789989944227E-2</v>
      </c>
      <c r="M330" s="832"/>
      <c r="N330" s="832"/>
      <c r="O330" s="48">
        <f>IF(t&lt;Tnet,'2023'!Resal+('2023'!Salim-'2023'!Resal)*(1-EXP(('2023'!Tnet-t)/('2023'!Tau_j))),Resal+(Salim-Resal)*(1-EXP((Tnet-t)/(Tau_j))))*Salcycl</f>
        <v>2.5060024737872846E-2</v>
      </c>
      <c r="P330" s="169">
        <f>(INDEX(Models!$BJ330:$BT330,,T330)*(1-R330)+INDEX(Models!$BJ330:$BT330,,T330+1)*R330-ERP_i)*Q330*Ramure*Pc/MaxiM</f>
        <v>8.0525087017909013E-3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28.618275048056624</v>
      </c>
      <c r="W330" s="400">
        <f t="shared" si="111"/>
        <v>27.545927876159013</v>
      </c>
      <c r="X330" s="157">
        <f t="shared" si="112"/>
        <v>45607</v>
      </c>
      <c r="Y330" s="383">
        <f t="shared" si="113"/>
        <v>26.495582681389756</v>
      </c>
      <c r="Z330" s="383">
        <f t="shared" si="114"/>
        <v>27.597431953840569</v>
      </c>
      <c r="AA330" s="384">
        <f t="shared" si="115"/>
        <v>29.428947103730497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6.2235157222385255E-2</v>
      </c>
      <c r="AD330" s="230">
        <f>(INDEX(Models!$BJ330:$BT330,,AH330)*(1-AF330)+INDEX(Models!$BJ330:$BT330,,AH330+1)*AF330-ERP_i)*AE330*Ramure*Pc/MaxiM</f>
        <v>8.0525087017909013E-3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'2023'!Wh/'2023'!Env_an*'2024'!Env_an</f>
        <v>26.4904546664362</v>
      </c>
      <c r="C331" s="829"/>
      <c r="D331" s="391">
        <f t="shared" si="102"/>
        <v>27.592619490746241</v>
      </c>
      <c r="E331" s="383">
        <f t="shared" si="125"/>
        <v>28.303417583767654</v>
      </c>
      <c r="F331" s="383">
        <f t="shared" si="103"/>
        <v>28.514891441408611</v>
      </c>
      <c r="G331" s="110">
        <f t="shared" si="126"/>
        <v>0.93400706974571412</v>
      </c>
      <c r="H331" s="412" t="b">
        <f>Wh_hp&gt;='2023'!Maxi_hp</f>
        <v>0</v>
      </c>
      <c r="I331" s="388">
        <f>IF(H331,Wh_hp,'2023'!Maxi_hp)</f>
        <v>29.071978311267806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3.9944189593150936E-2</v>
      </c>
      <c r="M331" s="832"/>
      <c r="N331" s="832"/>
      <c r="O331" s="48">
        <f>IF(t&lt;Tnet,'2023'!Resal+('2023'!Salim-'2023'!Resal)*(1-EXP(('2023'!Tnet-t)/('2023'!Tau_j))),Resal+(Salim-Resal)*(1-EXP((Tnet-t)/(Tau_j))))*Salcycl</f>
        <v>2.5113507615033139E-2</v>
      </c>
      <c r="P331" s="169">
        <f>(INDEX(Models!$BJ331:$BT331,,T331)*(1-R331)+INDEX(Models!$BJ331:$BT331,,T331+1)*R331-ERP_i)*Q331*Ramure*Pc/MaxiM</f>
        <v>8.178943323406563E-3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28.340363523729152</v>
      </c>
      <c r="W331" s="400">
        <f t="shared" si="111"/>
        <v>26.4904546664362</v>
      </c>
      <c r="X331" s="157">
        <f t="shared" si="112"/>
        <v>45608</v>
      </c>
      <c r="Y331" s="383">
        <f t="shared" si="113"/>
        <v>25.481877681175945</v>
      </c>
      <c r="Z331" s="383">
        <f t="shared" si="114"/>
        <v>26.542079538456544</v>
      </c>
      <c r="AA331" s="384">
        <f t="shared" si="115"/>
        <v>28.303417583767654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6.2230578342640105E-2</v>
      </c>
      <c r="AD331" s="230">
        <f>(INDEX(Models!$BJ331:$BT331,,AH331)*(1-AF331)+INDEX(Models!$BJ331:$BT331,,AH331+1)*AF331-ERP_i)*AE331*Ramure*Pc/MaxiM</f>
        <v>8.178943323406563E-3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'2023'!Wh/'2023'!Env_an*'2024'!Env_an</f>
        <v>9.8082744158754895</v>
      </c>
      <c r="C332" s="829"/>
      <c r="D332" s="391">
        <f t="shared" si="102"/>
        <v>10.216554377878285</v>
      </c>
      <c r="E332" s="383">
        <f t="shared" si="125"/>
        <v>10.480313748902331</v>
      </c>
      <c r="F332" s="383">
        <f t="shared" si="103"/>
        <v>10.486468098073139</v>
      </c>
      <c r="G332" s="110">
        <f t="shared" si="126"/>
        <v>0.34679138897276252</v>
      </c>
      <c r="H332" s="412" t="b">
        <f>Wh_hp&gt;='2023'!Maxi_hp</f>
        <v>0</v>
      </c>
      <c r="I332" s="388">
        <f>IF(H332,Wh_hp,'2023'!Maxi_hp)</f>
        <v>19.875209801097167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3.9962588843733493E-2</v>
      </c>
      <c r="M332" s="832"/>
      <c r="N332" s="832"/>
      <c r="O332" s="48">
        <f>IF(t&lt;Tnet,'2023'!Resal+('2023'!Salim-'2023'!Resal)*(1-EXP(('2023'!Tnet-t)/('2023'!Tau_j))),Resal+(Salim-Resal)*(1-EXP((Tnet-t)/(Tau_j))))*Salcycl</f>
        <v>2.5167125464318419E-2</v>
      </c>
      <c r="P332" s="169">
        <f>(INDEX(Models!$BJ332:$BT332,,T332)*(1-R332)+INDEX(Models!$BJ332:$BT332,,T332+1)*R332-ERP_i)*Q332*Ramure*Pc/MaxiM</f>
        <v>8.3012183893131294E-3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28.064611731067881</v>
      </c>
      <c r="W332" s="400">
        <f t="shared" si="111"/>
        <v>9.8082744158754895</v>
      </c>
      <c r="X332" s="157">
        <f t="shared" si="112"/>
        <v>45609</v>
      </c>
      <c r="Y332" s="383">
        <f t="shared" si="113"/>
        <v>9.4354004049640832</v>
      </c>
      <c r="Z332" s="383">
        <f t="shared" si="114"/>
        <v>9.8281590855924161</v>
      </c>
      <c r="AA332" s="384">
        <f t="shared" si="115"/>
        <v>10.480313748902331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6.2226635474364515E-2</v>
      </c>
      <c r="AD332" s="230">
        <f>(INDEX(Models!$BJ332:$BT332,,AH332)*(1-AF332)+INDEX(Models!$BJ332:$BT332,,AH332+1)*AF332-ERP_i)*AE332*Ramure*Pc/MaxiM</f>
        <v>8.3012183893131294E-3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'2023'!Wh/'2023'!Env_an*'2024'!Env_an</f>
        <v>12.585286856646812</v>
      </c>
      <c r="C333" s="829"/>
      <c r="D333" s="391">
        <f t="shared" si="102"/>
        <v>13.109414184456414</v>
      </c>
      <c r="E333" s="383">
        <f t="shared" si="125"/>
        <v>13.448600002489551</v>
      </c>
      <c r="F333" s="383">
        <f t="shared" si="103"/>
        <v>13.473357412497887</v>
      </c>
      <c r="G333" s="110">
        <f t="shared" si="126"/>
        <v>0.4498601910376745</v>
      </c>
      <c r="H333" s="412" t="b">
        <f>Wh_hp&gt;='2023'!Maxi_hp</f>
        <v>0</v>
      </c>
      <c r="I333" s="388">
        <f>IF(H333,Wh_hp,'2023'!Maxi_hp)</f>
        <v>26.911873928380832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3.9980987741698559E-2</v>
      </c>
      <c r="M333" s="832"/>
      <c r="N333" s="832"/>
      <c r="O333" s="48">
        <f>IF(t&lt;Tnet,'2023'!Resal+('2023'!Salim-'2023'!Resal)*(1-EXP(('2023'!Tnet-t)/('2023'!Tau_j))),Resal+(Salim-Resal)*(1-EXP((Tnet-t)/(Tau_j))))*Salcycl</f>
        <v>2.5220901652986016E-2</v>
      </c>
      <c r="P333" s="169">
        <f>(INDEX(Models!$BJ333:$BT333,,T333)*(1-R333)+INDEX(Models!$BJ333:$BT333,,T333+1)*R333-ERP_i)*Q333*Ramure*Pc/MaxiM</f>
        <v>8.4154570976751972E-3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27.791632462687929</v>
      </c>
      <c r="W333" s="400">
        <f t="shared" si="111"/>
        <v>12.585286856646812</v>
      </c>
      <c r="X333" s="157">
        <f t="shared" si="112"/>
        <v>45610</v>
      </c>
      <c r="Y333" s="383">
        <f t="shared" si="113"/>
        <v>12.107551110568405</v>
      </c>
      <c r="Z333" s="383">
        <f t="shared" si="114"/>
        <v>12.611782637603394</v>
      </c>
      <c r="AA333" s="384">
        <f t="shared" si="115"/>
        <v>13.448600002489551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6.2223381224160677E-2</v>
      </c>
      <c r="AD333" s="230">
        <f>(INDEX(Models!$BJ333:$BT333,,AH333)*(1-AF333)+INDEX(Models!$BJ333:$BT333,,AH333+1)*AF333-ERP_i)*AE333*Ramure*Pc/MaxiM</f>
        <v>8.4154570976751972E-3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'2023'!Wh/'2023'!Env_an*'2024'!Env_an</f>
        <v>27.095214156811181</v>
      </c>
      <c r="C334" s="829"/>
      <c r="D334" s="391">
        <f t="shared" si="102"/>
        <v>28.224163370079896</v>
      </c>
      <c r="E334" s="383">
        <f t="shared" si="125"/>
        <v>28.956022751256047</v>
      </c>
      <c r="F334" s="383">
        <f t="shared" si="103"/>
        <v>29.199338201799666</v>
      </c>
      <c r="G334" s="110">
        <f t="shared" si="126"/>
        <v>0.98430816701759249</v>
      </c>
      <c r="H334" s="412" t="b">
        <f>Wh_hp&gt;='2023'!Maxi_hp</f>
        <v>0</v>
      </c>
      <c r="I334" s="388">
        <f>IF(H334,Wh_hp,'2023'!Maxi_hp)</f>
        <v>29.201940874416742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3.9999386287052907E-2</v>
      </c>
      <c r="M334" s="832"/>
      <c r="N334" s="832"/>
      <c r="O334" s="48">
        <f>IF(t&lt;Tnet,'2023'!Resal+('2023'!Salim-'2023'!Resal)*(1-EXP(('2023'!Tnet-t)/('2023'!Tau_j))),Resal+(Salim-Resal)*(1-EXP((Tnet-t)/(Tau_j))))*Salcycl</f>
        <v>2.5274858617950331E-2</v>
      </c>
      <c r="P334" s="169">
        <f>(INDEX(Models!$BJ334:$BT334,,T334)*(1-R334)+INDEX(Models!$BJ334:$BT334,,T334+1)*R334-ERP_i)*Q334*Ramure*Pc/MaxiM</f>
        <v>8.5216577926500777E-3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27.521926488494206</v>
      </c>
      <c r="W334" s="400">
        <f t="shared" si="111"/>
        <v>27.095214156811181</v>
      </c>
      <c r="X334" s="157">
        <f t="shared" si="112"/>
        <v>45611</v>
      </c>
      <c r="Y334" s="383">
        <f t="shared" si="113"/>
        <v>26.068196461847496</v>
      </c>
      <c r="Z334" s="383">
        <f t="shared" si="114"/>
        <v>27.154353955071773</v>
      </c>
      <c r="AA334" s="384">
        <f t="shared" si="115"/>
        <v>28.956022751256047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6.2220865471108958E-2</v>
      </c>
      <c r="AD334" s="230">
        <f>(INDEX(Models!$BJ334:$BT334,,AH334)*(1-AF334)+INDEX(Models!$BJ334:$BT334,,AH334+1)*AF334-ERP_i)*AE334*Ramure*Pc/MaxiM</f>
        <v>8.5216577926500777E-3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'2023'!Wh/'2023'!Env_an*'2024'!Env_an</f>
        <v>13.870542501010808</v>
      </c>
      <c r="C335" s="829"/>
      <c r="D335" s="391">
        <f t="shared" ref="D335:D379" si="127">Wh/(1-Ppv)</f>
        <v>14.448749442191092</v>
      </c>
      <c r="E335" s="383">
        <f t="shared" si="125"/>
        <v>14.824232695470203</v>
      </c>
      <c r="F335" s="383">
        <f t="shared" ref="F335:F379" si="128">Wh_sa/(1-Pvg*MEDIAN((-Sdif+Wh/Env_an)/Csdif,0,1))</f>
        <v>14.862464616106495</v>
      </c>
      <c r="G335" s="110">
        <f t="shared" si="126"/>
        <v>0.50581331681630448</v>
      </c>
      <c r="H335" s="412" t="b">
        <f>Wh_hp&gt;='2023'!Maxi_hp</f>
        <v>0</v>
      </c>
      <c r="I335" s="388">
        <f>IF(H335,Wh_hp,'2023'!Maxi_hp)</f>
        <v>23.200751935750731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4.001778447980342E-2</v>
      </c>
      <c r="M335" s="832"/>
      <c r="N335" s="832"/>
      <c r="O335" s="48">
        <f>IF(t&lt;Tnet,'2023'!Resal+('2023'!Salim-'2023'!Resal)*(1-EXP(('2023'!Tnet-t)/('2023'!Tau_j))),Resal+(Salim-Resal)*(1-EXP((Tnet-t)/(Tau_j))))*Salcycl</f>
        <v>2.5329017763856709E-2</v>
      </c>
      <c r="P335" s="169">
        <f>(INDEX(Models!$BJ335:$BT335,,T335)*(1-R335)+INDEX(Models!$BJ335:$BT335,,T335+1)*R335-ERP_i)*Q335*Ramure*Pc/MaxiM</f>
        <v>8.6198045408182565E-3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27.255994783136785</v>
      </c>
      <c r="W335" s="400">
        <f t="shared" ref="W335:W380" si="136">Wh*(A335&gt;Tmaj)</f>
        <v>13.870542501010808</v>
      </c>
      <c r="X335" s="157">
        <f t="shared" ref="X335:X379" si="137">t</f>
        <v>45612</v>
      </c>
      <c r="Y335" s="383">
        <f t="shared" ref="Y335:Y379" si="138">Wh_pvt_s*(1-Ppv)</f>
        <v>13.345559249870375</v>
      </c>
      <c r="Z335" s="383">
        <f t="shared" ref="Z335:Z379" si="139">Wh_sa_s*(1-Psa_s)</f>
        <v>13.901881757922633</v>
      </c>
      <c r="AA335" s="384">
        <f t="shared" ref="AA335:AA379" si="140">Wh_hp*(1-Pvg_s*MEDIAN((-Sdif+Wh/Env_an)/Csdif,0,1))</f>
        <v>14.824232695470203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6.2219135148182766E-2</v>
      </c>
      <c r="AD335" s="230">
        <f>(INDEX(Models!$BJ335:$BT335,,AH335)*(1-AF335)+INDEX(Models!$BJ335:$BT335,,AH335+1)*AF335-ERP_i)*AE335*Ramure*Pc/MaxiM</f>
        <v>8.6198045408182565E-3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'2023'!Wh/'2023'!Env_an*'2024'!Env_an</f>
        <v>15.877131262387127</v>
      </c>
      <c r="C336" s="829"/>
      <c r="D336" s="391">
        <f t="shared" si="127"/>
        <v>16.539301763224362</v>
      </c>
      <c r="E336" s="383">
        <f t="shared" si="125"/>
        <v>16.970059562384719</v>
      </c>
      <c r="F336" s="383">
        <f t="shared" si="128"/>
        <v>17.03112540510967</v>
      </c>
      <c r="G336" s="110">
        <f t="shared" si="126"/>
        <v>0.58514043247326875</v>
      </c>
      <c r="H336" s="412" t="b">
        <f>Wh_hp&gt;='2023'!Maxi_hp</f>
        <v>0</v>
      </c>
      <c r="I336" s="388">
        <f>IF(H336,Wh_hp,'2023'!Maxi_hp)</f>
        <v>27.250192771666942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4.0036182319956759E-2</v>
      </c>
      <c r="M336" s="832"/>
      <c r="N336" s="832"/>
      <c r="O336" s="48">
        <f>IF(t&lt;Tnet,'2023'!Resal+('2023'!Salim-'2023'!Resal)*(1-EXP(('2023'!Tnet-t)/('2023'!Tau_j))),Resal+(Salim-Resal)*(1-EXP((Tnet-t)/(Tau_j))))*Salcycl</f>
        <v>2.5383399367387045E-2</v>
      </c>
      <c r="P336" s="169">
        <f>(INDEX(Models!$BJ336:$BT336,,T336)*(1-R336)+INDEX(Models!$BJ336:$BT336,,T336+1)*R336-ERP_i)*Q336*Ramure*Pc/MaxiM</f>
        <v>8.7098660500544399E-3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26.994338585641454</v>
      </c>
      <c r="W336" s="400">
        <f t="shared" si="136"/>
        <v>15.877131262387127</v>
      </c>
      <c r="X336" s="157">
        <f t="shared" si="137"/>
        <v>45613</v>
      </c>
      <c r="Y336" s="383">
        <f t="shared" si="138"/>
        <v>15.277068114713716</v>
      </c>
      <c r="Z336" s="383">
        <f t="shared" si="139"/>
        <v>15.914212424832845</v>
      </c>
      <c r="AA336" s="384">
        <f t="shared" si="140"/>
        <v>16.970059562384719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6.2218234041572243E-2</v>
      </c>
      <c r="AD336" s="230">
        <f>(INDEX(Models!$BJ336:$BT336,,AH336)*(1-AF336)+INDEX(Models!$BJ336:$BT336,,AH336+1)*AF336-ERP_i)*AE336*Ramure*Pc/MaxiM</f>
        <v>8.7098660500544399E-3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'2023'!Wh/'2023'!Env_an*'2024'!Env_an</f>
        <v>7.2557497146785055</v>
      </c>
      <c r="C337" s="829"/>
      <c r="D337" s="391">
        <f t="shared" si="127"/>
        <v>7.5585023502936677</v>
      </c>
      <c r="E337" s="383">
        <f t="shared" si="125"/>
        <v>7.7557944232483615</v>
      </c>
      <c r="F337" s="383">
        <f t="shared" si="128"/>
        <v>7.7557944232483615</v>
      </c>
      <c r="G337" s="110">
        <f t="shared" si="126"/>
        <v>0.26898436888724825</v>
      </c>
      <c r="H337" s="412" t="b">
        <f>Wh_hp&gt;='2023'!Maxi_hp</f>
        <v>0</v>
      </c>
      <c r="I337" s="388">
        <f>IF(H337,Wh_hp,'2023'!Maxi_hp)</f>
        <v>28.562272949049884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4.0054579807519586E-2</v>
      </c>
      <c r="M337" s="832"/>
      <c r="N337" s="832"/>
      <c r="O337" s="48">
        <f>IF(t&lt;Tnet,'2023'!Resal+('2023'!Salim-'2023'!Resal)*(1-EXP(('2023'!Tnet-t)/('2023'!Tau_j))),Resal+(Salim-Resal)*(1-EXP((Tnet-t)/(Tau_j))))*Salcycl</f>
        <v>2.5438022488489569E-2</v>
      </c>
      <c r="P337" s="169">
        <f>(INDEX(Models!$BJ337:$BT337,,T337)*(1-R337)+INDEX(Models!$BJ337:$BT337,,T337+1)*R337-ERP_i)*Q337*Ramure*Pc/MaxiM</f>
        <v>8.791794689142712E-3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26.737459439087118</v>
      </c>
      <c r="W337" s="400">
        <f t="shared" si="136"/>
        <v>7.2557497146785055</v>
      </c>
      <c r="X337" s="157">
        <f t="shared" si="137"/>
        <v>45614</v>
      </c>
      <c r="Y337" s="383">
        <f t="shared" si="138"/>
        <v>6.9819161488554409</v>
      </c>
      <c r="Z337" s="383">
        <f t="shared" si="139"/>
        <v>7.273242834426445</v>
      </c>
      <c r="AA337" s="384">
        <f t="shared" si="140"/>
        <v>7.7557944232483615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6.2218202609322135E-2</v>
      </c>
      <c r="AD337" s="230">
        <f>(INDEX(Models!$BJ337:$BT337,,AH337)*(1-AF337)+INDEX(Models!$BJ337:$BT337,,AH337+1)*AF337-ERP_i)*AE337*Ramure*Pc/MaxiM</f>
        <v>8.791794689142712E-3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'2023'!Wh/'2023'!Env_an*'2024'!Env_an</f>
        <v>15.96611850196369</v>
      </c>
      <c r="C338" s="829"/>
      <c r="D338" s="391">
        <f t="shared" si="127"/>
        <v>16.632637813559391</v>
      </c>
      <c r="E338" s="383">
        <f t="shared" si="125"/>
        <v>17.067744192942815</v>
      </c>
      <c r="F338" s="383">
        <f t="shared" si="128"/>
        <v>17.133481129526452</v>
      </c>
      <c r="G338" s="110">
        <f t="shared" si="126"/>
        <v>0.59977360520382028</v>
      </c>
      <c r="H338" s="412" t="b">
        <f>Wh_hp&gt;='2023'!Maxi_hp</f>
        <v>0</v>
      </c>
      <c r="I338" s="388">
        <f>IF(H338,Wh_hp,'2023'!Maxi_hp)</f>
        <v>28.66422438766487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4.0072976942498895E-2</v>
      </c>
      <c r="M338" s="832"/>
      <c r="N338" s="832"/>
      <c r="O338" s="48">
        <f>IF(t&lt;Tnet,'2023'!Resal+('2023'!Salim-'2023'!Resal)*(1-EXP(('2023'!Tnet-t)/('2023'!Tau_j))),Resal+(Salim-Resal)*(1-EXP((Tnet-t)/(Tau_j))))*Salcycl</f>
        <v>2.5492904889172736E-2</v>
      </c>
      <c r="P338" s="169">
        <f>(INDEX(Models!$BJ338:$BT338,,T338)*(1-R338)+INDEX(Models!$BJ338:$BT338,,T338+1)*R338-ERP_i)*Q338*Ramure*Pc/MaxiM</f>
        <v>8.8690876872541298E-3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26.48576405362985</v>
      </c>
      <c r="W338" s="400">
        <f t="shared" si="136"/>
        <v>15.96611850196369</v>
      </c>
      <c r="X338" s="157">
        <f t="shared" si="137"/>
        <v>45615</v>
      </c>
      <c r="Y338" s="383">
        <f t="shared" si="138"/>
        <v>15.364404638526784</v>
      </c>
      <c r="Z338" s="383">
        <f t="shared" si="139"/>
        <v>16.005804888781043</v>
      </c>
      <c r="AA338" s="384">
        <f t="shared" si="140"/>
        <v>17.067744192942815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6.2219077820539544E-2</v>
      </c>
      <c r="AD338" s="230">
        <f>(INDEX(Models!$BJ338:$BT338,,AH338)*(1-AF338)+INDEX(Models!$BJ338:$BT338,,AH338+1)*AF338-ERP_i)*AE338*Ramure*Pc/MaxiM</f>
        <v>8.8690876872541298E-3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'2023'!Wh/'2023'!Env_an*'2024'!Env_an</f>
        <v>3.2068446301203823</v>
      </c>
      <c r="C339" s="829"/>
      <c r="D339" s="391">
        <f t="shared" si="127"/>
        <v>3.3407811351424792</v>
      </c>
      <c r="E339" s="383">
        <f t="shared" si="125"/>
        <v>3.4283693306536773</v>
      </c>
      <c r="F339" s="383">
        <f t="shared" si="128"/>
        <v>3.4283693306536773</v>
      </c>
      <c r="G339" s="110">
        <f t="shared" si="126"/>
        <v>0.12112040771492029</v>
      </c>
      <c r="H339" s="412" t="b">
        <f>Wh_hp&gt;='2023'!Maxi_hp</f>
        <v>0</v>
      </c>
      <c r="I339" s="388">
        <f>IF(H339,Wh_hp,'2023'!Maxi_hp)</f>
        <v>27.981917732937102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4.0091373724901236E-2</v>
      </c>
      <c r="M339" s="832"/>
      <c r="N339" s="832"/>
      <c r="O339" s="48">
        <f>IF(t&lt;Tnet,'2023'!Resal+('2023'!Salim-'2023'!Resal)*(1-EXP(('2023'!Tnet-t)/('2023'!Tau_j))),Resal+(Salim-Resal)*(1-EXP((Tnet-t)/(Tau_j))))*Salcycl</f>
        <v>2.5548062960444737E-2</v>
      </c>
      <c r="P339" s="169">
        <f>(INDEX(Models!$BJ339:$BT339,,T339)*(1-R339)+INDEX(Models!$BJ339:$BT339,,T339+1)*R339-ERP_i)*Q339*Ramure*Pc/MaxiM</f>
        <v>8.9439622215729524E-3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26.239696454610169</v>
      </c>
      <c r="W339" s="400">
        <f t="shared" si="136"/>
        <v>3.2068446301203823</v>
      </c>
      <c r="X339" s="157">
        <f t="shared" si="137"/>
        <v>45616</v>
      </c>
      <c r="Y339" s="383">
        <f t="shared" si="138"/>
        <v>3.0861572327582145</v>
      </c>
      <c r="Z339" s="383">
        <f t="shared" si="139"/>
        <v>3.215053129310828</v>
      </c>
      <c r="AA339" s="384">
        <f t="shared" si="140"/>
        <v>3.4283693306536773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6.2220893016265745E-2</v>
      </c>
      <c r="AD339" s="230">
        <f>(INDEX(Models!$BJ339:$BT339,,AH339)*(1-AF339)+INDEX(Models!$BJ339:$BT339,,AH339+1)*AF339-ERP_i)*AE339*Ramure*Pc/MaxiM</f>
        <v>8.9439622215729524E-3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'2023'!Wh/'2023'!Env_an*'2024'!Env_an</f>
        <v>7.9333534266870958</v>
      </c>
      <c r="C340" s="829"/>
      <c r="D340" s="391">
        <f t="shared" si="127"/>
        <v>8.2648548552952192</v>
      </c>
      <c r="E340" s="383">
        <f t="shared" si="125"/>
        <v>8.4820244676350462</v>
      </c>
      <c r="F340" s="383">
        <f t="shared" si="128"/>
        <v>8.4825851613361536</v>
      </c>
      <c r="G340" s="110">
        <f t="shared" si="126"/>
        <v>0.30240057710373025</v>
      </c>
      <c r="H340" s="412" t="b">
        <f>Wh_hp&gt;='2023'!Maxi_hp</f>
        <v>0</v>
      </c>
      <c r="I340" s="388">
        <f>IF(H340,Wh_hp,'2023'!Maxi_hp)</f>
        <v>29.203443370360098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4.0109770154733382E-2</v>
      </c>
      <c r="M340" s="832"/>
      <c r="N340" s="832"/>
      <c r="O340" s="48">
        <f>IF(t&lt;Tnet,'2023'!Resal+('2023'!Salim-'2023'!Resal)*(1-EXP(('2023'!Tnet-t)/('2023'!Tau_j))),Resal+(Salim-Resal)*(1-EXP((Tnet-t)/(Tau_j))))*Salcycl</f>
        <v>2.5603511657916512E-2</v>
      </c>
      <c r="P340" s="169">
        <f>(INDEX(Models!$BJ340:$BT340,,T340)*(1-R340)+INDEX(Models!$BJ340:$BT340,,T340+1)*R340-ERP_i)*Q340*Ramure*Pc/MaxiM</f>
        <v>9.0163244435128107E-3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25.999763326085322</v>
      </c>
      <c r="W340" s="400">
        <f t="shared" si="136"/>
        <v>7.9333534266870958</v>
      </c>
      <c r="X340" s="157">
        <f t="shared" si="137"/>
        <v>45617</v>
      </c>
      <c r="Y340" s="383">
        <f t="shared" si="138"/>
        <v>7.635198903380652</v>
      </c>
      <c r="Z340" s="383">
        <f t="shared" si="139"/>
        <v>7.954241710129125</v>
      </c>
      <c r="AA340" s="384">
        <f t="shared" si="140"/>
        <v>8.4820244676350462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6.2223677792935757E-2</v>
      </c>
      <c r="AD340" s="230">
        <f>(INDEX(Models!$BJ340:$BT340,,AH340)*(1-AF340)+INDEX(Models!$BJ340:$BT340,,AH340+1)*AF340-ERP_i)*AE340*Ramure*Pc/MaxiM</f>
        <v>9.0163244435128107E-3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'2023'!Wh/'2023'!Env_an*'2024'!Env_an</f>
        <v>13.304583883656875</v>
      </c>
      <c r="C341" s="829"/>
      <c r="D341" s="391">
        <f t="shared" si="127"/>
        <v>13.860792051194421</v>
      </c>
      <c r="E341" s="383">
        <f t="shared" si="125"/>
        <v>14.225816026588156</v>
      </c>
      <c r="F341" s="383">
        <f t="shared" si="128"/>
        <v>14.26587829203981</v>
      </c>
      <c r="G341" s="110">
        <f t="shared" si="126"/>
        <v>0.51310188361207387</v>
      </c>
      <c r="H341" s="412" t="b">
        <f>Wh_hp&gt;='2023'!Maxi_hp</f>
        <v>0</v>
      </c>
      <c r="I341" s="388">
        <f>IF(H341,Wh_hp,'2023'!Maxi_hp)</f>
        <v>29.107219927904186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4.0128166232002327E-2</v>
      </c>
      <c r="M341" s="832"/>
      <c r="N341" s="832"/>
      <c r="O341" s="48">
        <f>IF(t&lt;Tnet,'2023'!Resal+('2023'!Salim-'2023'!Resal)*(1-EXP(('2023'!Tnet-t)/('2023'!Tau_j))),Resal+(Salim-Resal)*(1-EXP((Tnet-t)/(Tau_j))))*Salcycl</f>
        <v>2.5659264446517688E-2</v>
      </c>
      <c r="P341" s="169">
        <f>(INDEX(Models!$BJ341:$BT341,,T341)*(1-R341)+INDEX(Models!$BJ341:$BT341,,T341+1)*R341-ERP_i)*Q341*Ramure*Pc/MaxiM</f>
        <v>9.0860061062024745E-3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25.766473022529091</v>
      </c>
      <c r="W341" s="400">
        <f t="shared" si="136"/>
        <v>13.304583883656875</v>
      </c>
      <c r="X341" s="157">
        <f t="shared" si="137"/>
        <v>45618</v>
      </c>
      <c r="Y341" s="383">
        <f t="shared" si="138"/>
        <v>12.805246660399666</v>
      </c>
      <c r="Z341" s="383">
        <f t="shared" si="139"/>
        <v>13.340579658570032</v>
      </c>
      <c r="AA341" s="384">
        <f t="shared" si="140"/>
        <v>14.225816026588156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6.2227457909170912E-2</v>
      </c>
      <c r="AD341" s="230">
        <f>(INDEX(Models!$BJ341:$BT341,,AH341)*(1-AF341)+INDEX(Models!$BJ341:$BT341,,AH341+1)*AF341-ERP_i)*AE341*Ramure*Pc/MaxiM</f>
        <v>9.0860061062024745E-3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'2023'!Wh/'2023'!Env_an*'2024'!Env_an</f>
        <v>13.961929299527739</v>
      </c>
      <c r="C342" s="829"/>
      <c r="D342" s="391">
        <f t="shared" si="127"/>
        <v>14.545897056940179</v>
      </c>
      <c r="E342" s="383">
        <f t="shared" si="125"/>
        <v>14.929822415795908</v>
      </c>
      <c r="F342" s="383">
        <f t="shared" si="128"/>
        <v>14.978130348397984</v>
      </c>
      <c r="G342" s="110">
        <f t="shared" si="126"/>
        <v>0.54341109618078598</v>
      </c>
      <c r="H342" s="412" t="b">
        <f>Wh_hp&gt;='2023'!Maxi_hp</f>
        <v>0</v>
      </c>
      <c r="I342" s="388">
        <f>IF(H342,Wh_hp,'2023'!Maxi_hp)</f>
        <v>27.112988230859333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4.014656195671451E-2</v>
      </c>
      <c r="M342" s="832"/>
      <c r="N342" s="832"/>
      <c r="O342" s="48">
        <f>IF(t&lt;Tnet,'2023'!Resal+('2023'!Salim-'2023'!Resal)*(1-EXP(('2023'!Tnet-t)/('2023'!Tau_j))),Resal+(Salim-Resal)*(1-EXP((Tnet-t)/(Tau_j))))*Salcycl</f>
        <v>2.5715333254703043E-2</v>
      </c>
      <c r="P342" s="169">
        <f>(INDEX(Models!$BJ342:$BT342,,T342)*(1-R342)+INDEX(Models!$BJ342:$BT342,,T342+1)*R342-ERP_i)*Q342*Ramure*Pc/MaxiM</f>
        <v>9.1528565859974303E-3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25.540333133679013</v>
      </c>
      <c r="W342" s="400">
        <f t="shared" si="136"/>
        <v>13.961929299527739</v>
      </c>
      <c r="X342" s="157">
        <f t="shared" si="137"/>
        <v>45619</v>
      </c>
      <c r="Y342" s="383">
        <f t="shared" si="138"/>
        <v>13.438625690152776</v>
      </c>
      <c r="Z342" s="383">
        <f t="shared" si="139"/>
        <v>14.000705896879591</v>
      </c>
      <c r="AA342" s="384">
        <f t="shared" si="140"/>
        <v>14.929822415795908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6.2232255216465304E-2</v>
      </c>
      <c r="AD342" s="230">
        <f>(INDEX(Models!$BJ342:$BT342,,AH342)*(1-AF342)+INDEX(Models!$BJ342:$BT342,,AH342+1)*AF342-ERP_i)*AE342*Ramure*Pc/MaxiM</f>
        <v>9.1528565859974303E-3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'2023'!Wh/'2023'!Env_an*'2024'!Env_an</f>
        <v>4.8380706797576023</v>
      </c>
      <c r="C343" s="829"/>
      <c r="D343" s="391">
        <f t="shared" si="127"/>
        <v>5.0405230739375222</v>
      </c>
      <c r="E343" s="383">
        <f t="shared" si="125"/>
        <v>5.1738624520291134</v>
      </c>
      <c r="F343" s="383">
        <f t="shared" si="128"/>
        <v>5.1738624520291134</v>
      </c>
      <c r="G343" s="110">
        <f t="shared" si="126"/>
        <v>0.18930209787836361</v>
      </c>
      <c r="H343" s="412" t="b">
        <f>Wh_hp&gt;='2023'!Maxi_hp</f>
        <v>0</v>
      </c>
      <c r="I343" s="388">
        <f>IF(H343,Wh_hp,'2023'!Maxi_hp)</f>
        <v>25.709723482797013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4.0164957328876816E-2</v>
      </c>
      <c r="M343" s="832"/>
      <c r="N343" s="832"/>
      <c r="O343" s="48">
        <f>IF(t&lt;Tnet,'2023'!Resal+('2023'!Salim-'2023'!Resal)*(1-EXP(('2023'!Tnet-t)/('2023'!Tau_j))),Resal+(Salim-Resal)*(1-EXP((Tnet-t)/(Tau_j))))*Salcycl</f>
        <v>2.5771728438450773E-2</v>
      </c>
      <c r="P343" s="169">
        <f>(INDEX(Models!$BJ343:$BT343,,T343)*(1-R343)+INDEX(Models!$BJ343:$BT343,,T343+1)*R343-ERP_i)*Q343*Ramure*Pc/MaxiM</f>
        <v>9.2167527957110404E-3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25.321850270112474</v>
      </c>
      <c r="W343" s="400">
        <f t="shared" si="136"/>
        <v>4.8380706797576023</v>
      </c>
      <c r="X343" s="157">
        <f t="shared" si="137"/>
        <v>45620</v>
      </c>
      <c r="Y343" s="383">
        <f t="shared" si="138"/>
        <v>4.6569767531333941</v>
      </c>
      <c r="Z343" s="383">
        <f t="shared" si="139"/>
        <v>4.851851147436232</v>
      </c>
      <c r="AA343" s="384">
        <f t="shared" si="140"/>
        <v>5.1738624520291134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6.2238087614136982E-2</v>
      </c>
      <c r="AD343" s="230">
        <f>(INDEX(Models!$BJ343:$BT343,,AH343)*(1-AF343)+INDEX(Models!$BJ343:$BT343,,AH343+1)*AF343-ERP_i)*AE343*Ramure*Pc/MaxiM</f>
        <v>9.2167527957110404E-3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'2023'!Wh/'2023'!Env_an*'2024'!Env_an</f>
        <v>11.117022276054314</v>
      </c>
      <c r="C344" s="829"/>
      <c r="D344" s="391">
        <f t="shared" si="127"/>
        <v>11.582443691986002</v>
      </c>
      <c r="E344" s="383">
        <f t="shared" si="125"/>
        <v>11.889531978307248</v>
      </c>
      <c r="F344" s="383">
        <f t="shared" si="128"/>
        <v>11.912062133307884</v>
      </c>
      <c r="G344" s="110">
        <f t="shared" si="126"/>
        <v>0.43942976734023392</v>
      </c>
      <c r="H344" s="412" t="b">
        <f>Wh_hp&gt;='2023'!Maxi_hp</f>
        <v>0</v>
      </c>
      <c r="I344" s="388">
        <f>IF(H344,Wh_hp,'2023'!Maxi_hp)</f>
        <v>26.915508219914461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4.0183352348496015E-2</v>
      </c>
      <c r="M344" s="832"/>
      <c r="N344" s="832"/>
      <c r="O344" s="48">
        <f>IF(t&lt;Tnet,'2023'!Resal+('2023'!Salim-'2023'!Resal)*(1-EXP(('2023'!Tnet-t)/('2023'!Tau_j))),Resal+(Salim-Resal)*(1-EXP((Tnet-t)/(Tau_j))))*Salcycl</f>
        <v>2.5828458755276184E-2</v>
      </c>
      <c r="P344" s="169">
        <f>(INDEX(Models!$BJ344:$BT344,,T344)*(1-R344)+INDEX(Models!$BJ344:$BT344,,T344+1)*R344-ERP_i)*Q344*Ramure*Pc/MaxiM</f>
        <v>9.2775528243786154E-3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25.111531292046919</v>
      </c>
      <c r="W344" s="400">
        <f t="shared" si="136"/>
        <v>11.117022276054314</v>
      </c>
      <c r="X344" s="157">
        <f t="shared" si="137"/>
        <v>45621</v>
      </c>
      <c r="Y344" s="383">
        <f t="shared" si="138"/>
        <v>10.701445410188578</v>
      </c>
      <c r="Z344" s="383">
        <f t="shared" si="139"/>
        <v>11.149468428551495</v>
      </c>
      <c r="AA344" s="384">
        <f t="shared" si="140"/>
        <v>11.889531978307248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6.2244969028723562E-2</v>
      </c>
      <c r="AD344" s="230">
        <f>(INDEX(Models!$BJ344:$BT344,,AH344)*(1-AF344)+INDEX(Models!$BJ344:$BT344,,AH344+1)*AF344-ERP_i)*AE344*Ramure*Pc/MaxiM</f>
        <v>9.2775528243786154E-3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'2023'!Wh/'2023'!Env_an*'2024'!Env_an</f>
        <v>14.634122947390956</v>
      </c>
      <c r="C345" s="829"/>
      <c r="D345" s="391">
        <f t="shared" si="127"/>
        <v>15.247082292437231</v>
      </c>
      <c r="E345" s="383">
        <f t="shared" si="125"/>
        <v>15.652249076582113</v>
      </c>
      <c r="F345" s="383">
        <f t="shared" si="128"/>
        <v>15.712507286821843</v>
      </c>
      <c r="G345" s="110">
        <f t="shared" si="126"/>
        <v>0.58429978760835177</v>
      </c>
      <c r="H345" s="412" t="b">
        <f>Wh_hp&gt;='2023'!Maxi_hp</f>
        <v>0</v>
      </c>
      <c r="I345" s="388">
        <f>IF(H345,Wh_hp,'2023'!Maxi_hp)</f>
        <v>23.300191289146664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4.0201747015578881E-2</v>
      </c>
      <c r="M345" s="832"/>
      <c r="N345" s="832"/>
      <c r="O345" s="48">
        <f>IF(t&lt;Tnet,'2023'!Resal+('2023'!Salim-'2023'!Resal)*(1-EXP(('2023'!Tnet-t)/('2023'!Tau_j))),Resal+(Salim-Resal)*(1-EXP((Tnet-t)/(Tau_j))))*Salcycl</f>
        <v>2.5885531348403257E-2</v>
      </c>
      <c r="P345" s="169">
        <f>(INDEX(Models!$BJ345:$BT345,,T345)*(1-R345)+INDEX(Models!$BJ345:$BT345,,T345+1)*R345-ERP_i)*Q345*Ramure*Pc/MaxiM</f>
        <v>9.3360673831426443E-3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24.90726632702815</v>
      </c>
      <c r="W345" s="400">
        <f t="shared" si="136"/>
        <v>14.634122947390956</v>
      </c>
      <c r="X345" s="157">
        <f t="shared" si="137"/>
        <v>45622</v>
      </c>
      <c r="Y345" s="383">
        <f t="shared" si="138"/>
        <v>14.087775778686433</v>
      </c>
      <c r="Z345" s="383">
        <f t="shared" si="139"/>
        <v>14.677851032632686</v>
      </c>
      <c r="AA345" s="384">
        <f t="shared" si="140"/>
        <v>15.652249076582113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6.2252909417807471E-2</v>
      </c>
      <c r="AD345" s="230">
        <f>(INDEX(Models!$BJ345:$BT345,,AH345)*(1-AF345)+INDEX(Models!$BJ345:$BT345,,AH345+1)*AF345-ERP_i)*AE345*Ramure*Pc/MaxiM</f>
        <v>9.3360673831426443E-3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'2023'!Wh/'2023'!Env_an*'2024'!Env_an</f>
        <v>10.616783748030919</v>
      </c>
      <c r="C346" s="829"/>
      <c r="D346" s="391">
        <f t="shared" si="127"/>
        <v>11.061686335806655</v>
      </c>
      <c r="E346" s="383">
        <f t="shared" si="125"/>
        <v>11.356302339354501</v>
      </c>
      <c r="F346" s="383">
        <f t="shared" si="128"/>
        <v>11.376103992092517</v>
      </c>
      <c r="G346" s="110">
        <f t="shared" si="126"/>
        <v>0.42641320101678182</v>
      </c>
      <c r="H346" s="412" t="b">
        <f>Wh_hp&gt;='2023'!Maxi_hp</f>
        <v>0</v>
      </c>
      <c r="I346" s="388">
        <f>IF(H346,Wh_hp,'2023'!Maxi_hp)</f>
        <v>16.384266753107251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4.0220141330132186E-2</v>
      </c>
      <c r="M346" s="832"/>
      <c r="N346" s="832"/>
      <c r="O346" s="48">
        <f>IF(t&lt;Tnet,'2023'!Resal+('2023'!Salim-'2023'!Resal)*(1-EXP(('2023'!Tnet-t)/('2023'!Tau_j))),Resal+(Salim-Resal)*(1-EXP((Tnet-t)/(Tau_j))))*Salcycl</f>
        <v>2.5942951741155601E-2</v>
      </c>
      <c r="P346" s="169">
        <f>(INDEX(Models!$BJ346:$BT346,,T346)*(1-R346)+INDEX(Models!$BJ346:$BT346,,T346+1)*R346-ERP_i)*Q346*Ramure*Pc/MaxiM</f>
        <v>9.3937860473583372E-3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24.706998292309255</v>
      </c>
      <c r="W346" s="400">
        <f t="shared" si="136"/>
        <v>10.616783748030919</v>
      </c>
      <c r="X346" s="157">
        <f t="shared" si="137"/>
        <v>45623</v>
      </c>
      <c r="Y346" s="383">
        <f t="shared" si="138"/>
        <v>10.220923385008879</v>
      </c>
      <c r="Z346" s="383">
        <f t="shared" si="139"/>
        <v>10.649237210680553</v>
      </c>
      <c r="AA346" s="384">
        <f t="shared" si="140"/>
        <v>11.356302339354501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6.22619147980642E-2</v>
      </c>
      <c r="AD346" s="230">
        <f>(INDEX(Models!$BJ346:$BT346,,AH346)*(1-AF346)+INDEX(Models!$BJ346:$BT346,,AH346+1)*AF346-ERP_i)*AE346*Ramure*Pc/MaxiM</f>
        <v>9.3937860473583372E-3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'2023'!Wh/'2023'!Env_an*'2024'!Env_an</f>
        <v>15.462022705604261</v>
      </c>
      <c r="C347" s="829"/>
      <c r="D347" s="391">
        <f t="shared" si="127"/>
        <v>16.110276640780821</v>
      </c>
      <c r="E347" s="383">
        <f t="shared" si="125"/>
        <v>16.540337385384191</v>
      </c>
      <c r="F347" s="383">
        <f t="shared" si="128"/>
        <v>16.61459345987058</v>
      </c>
      <c r="G347" s="110">
        <f t="shared" si="126"/>
        <v>0.62765470232177378</v>
      </c>
      <c r="H347" s="412" t="b">
        <f>Wh_hp&gt;='2023'!Maxi_hp</f>
        <v>0</v>
      </c>
      <c r="I347" s="388">
        <f>IF(H347,Wh_hp,'2023'!Maxi_hp)</f>
        <v>16.653825364085652</v>
      </c>
      <c r="J347" s="85">
        <f>IF(H347,An,'2023'!An_max)</f>
        <v>2022</v>
      </c>
      <c r="K347" s="197">
        <f t="shared" si="129"/>
        <v>45624</v>
      </c>
      <c r="L347" s="147">
        <f>IF(t&lt;Tvie,1-EXP((T0-t)*PertePVj)+'2023'!Pspv,1-EXP((T0-t)*PertePVj)+Pspv)</f>
        <v>4.0238535292162592E-2</v>
      </c>
      <c r="M347" s="832"/>
      <c r="N347" s="832"/>
      <c r="O347" s="48">
        <f>IF(t&lt;Tnet,'2023'!Resal+('2023'!Salim-'2023'!Resal)*(1-EXP(('2023'!Tnet-t)/('2023'!Tau_j))),Resal+(Salim-Resal)*(1-EXP((Tnet-t)/(Tau_j))))*Salcycl</f>
        <v>2.600072384154568E-2</v>
      </c>
      <c r="P347" s="169">
        <f>(INDEX(Models!$BJ347:$BT347,,T347)*(1-R347)+INDEX(Models!$BJ347:$BT347,,T347+1)*R347-ERP_i)*Q347*Ramure*Pc/MaxiM</f>
        <v>9.4570333604681641E-3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24.511178549932485</v>
      </c>
      <c r="W347" s="400">
        <f t="shared" si="136"/>
        <v>15.462022705604261</v>
      </c>
      <c r="X347" s="157">
        <f t="shared" si="137"/>
        <v>45624</v>
      </c>
      <c r="Y347" s="383">
        <f t="shared" si="138"/>
        <v>14.886224434661761</v>
      </c>
      <c r="Z347" s="383">
        <f t="shared" si="139"/>
        <v>15.51033770583121</v>
      </c>
      <c r="AA347" s="384">
        <f t="shared" si="140"/>
        <v>16.540337385384191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6.2271987297135595E-2</v>
      </c>
      <c r="AD347" s="230">
        <f>(INDEX(Models!$BJ347:$BT347,,AH347)*(1-AF347)+INDEX(Models!$BJ347:$BT347,,AH347+1)*AF347-ERP_i)*AE347*Ramure*Pc/MaxiM</f>
        <v>9.4570333604681641E-3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'2023'!Wh/'2023'!Env_an*'2024'!Env_an</f>
        <v>4.0404249097827067</v>
      </c>
      <c r="C348" s="829"/>
      <c r="D348" s="391">
        <f t="shared" si="127"/>
        <v>4.2099026619268773</v>
      </c>
      <c r="E348" s="383">
        <f t="shared" si="125"/>
        <v>4.3225431657147171</v>
      </c>
      <c r="F348" s="383">
        <f t="shared" si="128"/>
        <v>4.3225431657147171</v>
      </c>
      <c r="G348" s="110">
        <f t="shared" si="126"/>
        <v>0.16455048351555923</v>
      </c>
      <c r="H348" s="412" t="b">
        <f>Wh_hp&gt;='2023'!Maxi_hp</f>
        <v>0</v>
      </c>
      <c r="I348" s="388">
        <f>IF(H348,Wh_hp,'2023'!Maxi_hp)</f>
        <v>25.310170680267795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4.025692890167698E-2</v>
      </c>
      <c r="M348" s="832"/>
      <c r="N348" s="832"/>
      <c r="O348" s="48">
        <f>IF(t&lt;Tnet,'2023'!Resal+('2023'!Salim-'2023'!Resal)*(1-EXP(('2023'!Tnet-t)/('2023'!Tau_j))),Resal+(Salim-Resal)*(1-EXP((Tnet-t)/(Tau_j))))*Salcycl</f>
        <v>2.6058849956959371E-2</v>
      </c>
      <c r="P348" s="169">
        <f>(INDEX(Models!$BJ348:$BT348,,T348)*(1-R348)+INDEX(Models!$BJ348:$BT348,,T348+1)*R348-ERP_i)*Q348*Ramure*Pc/MaxiM</f>
        <v>9.5256410193733602E-3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24.32042244438604</v>
      </c>
      <c r="W348" s="400">
        <f t="shared" si="136"/>
        <v>4.0404249097827067</v>
      </c>
      <c r="X348" s="157">
        <f t="shared" si="137"/>
        <v>45625</v>
      </c>
      <c r="Y348" s="383">
        <f t="shared" si="138"/>
        <v>3.8901473861967295</v>
      </c>
      <c r="Z348" s="383">
        <f t="shared" si="139"/>
        <v>4.0533216684178539</v>
      </c>
      <c r="AA348" s="384">
        <f t="shared" si="140"/>
        <v>4.3225431657147171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6.2283125228744421E-2</v>
      </c>
      <c r="AD348" s="230">
        <f>(INDEX(Models!$BJ348:$BT348,,AH348)*(1-AF348)+INDEX(Models!$BJ348:$BT348,,AH348+1)*AF348-ERP_i)*AE348*Ramure*Pc/MaxiM</f>
        <v>9.5256410193733602E-3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'2023'!Wh/'2023'!Env_an*'2024'!Env_an</f>
        <v>3.8244231704770075</v>
      </c>
      <c r="C349" s="829"/>
      <c r="D349" s="391">
        <f t="shared" si="127"/>
        <v>3.9849169858580442</v>
      </c>
      <c r="E349" s="383">
        <f t="shared" si="125"/>
        <v>4.0917834478030084</v>
      </c>
      <c r="F349" s="383">
        <f t="shared" si="128"/>
        <v>4.0917834478030084</v>
      </c>
      <c r="G349" s="110">
        <f t="shared" si="126"/>
        <v>0.15693626483044956</v>
      </c>
      <c r="H349" s="412" t="b">
        <f>Wh_hp&gt;='2023'!Maxi_hp</f>
        <v>0</v>
      </c>
      <c r="I349" s="388">
        <f>IF(H349,Wh_hp,'2023'!Maxi_hp)</f>
        <v>26.146261330818092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4.0275322158682014E-2</v>
      </c>
      <c r="M349" s="832"/>
      <c r="N349" s="832"/>
      <c r="O349" s="48">
        <f>IF(t&lt;Tnet,'2023'!Resal+('2023'!Salim-'2023'!Resal)*(1-EXP(('2023'!Tnet-t)/('2023'!Tau_j))),Resal+(Salim-Resal)*(1-EXP((Tnet-t)/(Tau_j))))*Salcycl</f>
        <v>2.6117330818751908E-2</v>
      </c>
      <c r="P349" s="169">
        <f>(INDEX(Models!$BJ349:$BT349,,T349)*(1-R349)+INDEX(Models!$BJ349:$BT349,,T349+1)*R349-ERP_i)*Q349*Ramure*Pc/MaxiM</f>
        <v>9.5994189854125746E-3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24.135345225517103</v>
      </c>
      <c r="W349" s="400">
        <f t="shared" si="136"/>
        <v>3.8244231704770075</v>
      </c>
      <c r="X349" s="157">
        <f t="shared" si="137"/>
        <v>45626</v>
      </c>
      <c r="Y349" s="383">
        <f t="shared" si="138"/>
        <v>3.6823527171611561</v>
      </c>
      <c r="Z349" s="383">
        <f t="shared" si="139"/>
        <v>3.8368844754974623</v>
      </c>
      <c r="AA349" s="384">
        <f t="shared" si="140"/>
        <v>4.0917834478030084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6.2295323190284795E-2</v>
      </c>
      <c r="AD349" s="230">
        <f>(INDEX(Models!$BJ349:$BT349,,AH349)*(1-AF349)+INDEX(Models!$BJ349:$BT349,,AH349+1)*AF349-ERP_i)*AE349*Ramure*Pc/MaxiM</f>
        <v>9.5994189854125746E-3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'2023'!Wh/'2023'!Env_an*'2024'!Env_an</f>
        <v>5.7454322759735703</v>
      </c>
      <c r="C350" s="829"/>
      <c r="D350" s="391">
        <f t="shared" si="127"/>
        <v>5.9866569242607746</v>
      </c>
      <c r="E350" s="383">
        <f t="shared" si="125"/>
        <v>6.1475769157475053</v>
      </c>
      <c r="F350" s="383">
        <f t="shared" si="128"/>
        <v>6.1475769157475053</v>
      </c>
      <c r="G350" s="110">
        <f t="shared" si="126"/>
        <v>0.23750599471898512</v>
      </c>
      <c r="H350" s="412" t="b">
        <f>Wh_hp&gt;='2023'!Maxi_hp</f>
        <v>0</v>
      </c>
      <c r="I350" s="388">
        <f>IF(H350,Wh_hp,'2023'!Maxi_hp)</f>
        <v>9.9498204075695913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4.0293715063184465E-2</v>
      </c>
      <c r="M350" s="832"/>
      <c r="N350" s="832"/>
      <c r="O350" s="48">
        <f>IF(t&lt;Tnet,'2023'!Resal+('2023'!Salim-'2023'!Resal)*(1-EXP(('2023'!Tnet-t)/('2023'!Tau_j))),Resal+(Salim-Resal)*(1-EXP((Tnet-t)/(Tau_j))))*Salcycl</f>
        <v>2.6176165616492116E-2</v>
      </c>
      <c r="P350" s="169">
        <f>(INDEX(Models!$BJ350:$BT350,,T350)*(1-R350)+INDEX(Models!$BJ350:$BT350,,T350+1)*R350-ERP_i)*Q350*Ramure*Pc/MaxiM</f>
        <v>9.6781538150958763E-3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23.956562045537556</v>
      </c>
      <c r="W350" s="400">
        <f t="shared" si="136"/>
        <v>5.7454322759735703</v>
      </c>
      <c r="X350" s="157">
        <f t="shared" si="137"/>
        <v>45627</v>
      </c>
      <c r="Y350" s="383">
        <f t="shared" si="138"/>
        <v>5.5322558393738204</v>
      </c>
      <c r="Z350" s="383">
        <f t="shared" si="139"/>
        <v>5.7645301757485612</v>
      </c>
      <c r="AA350" s="384">
        <f t="shared" si="140"/>
        <v>6.1475769157475053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6.2308572181950218E-2</v>
      </c>
      <c r="AD350" s="230">
        <f>(INDEX(Models!$BJ350:$BT350,,AH350)*(1-AF350)+INDEX(Models!$BJ350:$BT350,,AH350+1)*AF350-ERP_i)*AE350*Ramure*Pc/MaxiM</f>
        <v>9.6781538150958763E-3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'2023'!Wh/'2023'!Env_an*'2024'!Env_an</f>
        <v>9.6287086821805357</v>
      </c>
      <c r="C351" s="829"/>
      <c r="D351" s="391">
        <f t="shared" si="127"/>
        <v>10.033166781184818</v>
      </c>
      <c r="E351" s="383">
        <f t="shared" si="125"/>
        <v>10.303482265678396</v>
      </c>
      <c r="F351" s="383">
        <f t="shared" si="128"/>
        <v>10.318566390780568</v>
      </c>
      <c r="G351" s="110">
        <f t="shared" si="126"/>
        <v>0.40146314703387709</v>
      </c>
      <c r="H351" s="412" t="b">
        <f>Wh_hp&gt;='2023'!Maxi_hp</f>
        <v>0</v>
      </c>
      <c r="I351" s="388">
        <f>IF(H351,Wh_hp,'2023'!Maxi_hp)</f>
        <v>16.647333469246274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4.0312107615191106E-2</v>
      </c>
      <c r="M351" s="832"/>
      <c r="N351" s="832"/>
      <c r="O351" s="48">
        <f>IF(t&lt;Tnet,'2023'!Resal+('2023'!Salim-'2023'!Resal)*(1-EXP(('2023'!Tnet-t)/('2023'!Tau_j))),Resal+(Salim-Resal)*(1-EXP((Tnet-t)/(Tau_j))))*Salcycl</f>
        <v>2.6235352041514792E-2</v>
      </c>
      <c r="P351" s="169">
        <f>(INDEX(Models!$BJ351:$BT351,,T351)*(1-R351)+INDEX(Models!$BJ351:$BT351,,T351+1)*R351-ERP_i)*Q351*Ramure*Pc/MaxiM</f>
        <v>9.7616071062757992E-3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23.784687952817333</v>
      </c>
      <c r="W351" s="400">
        <f t="shared" si="136"/>
        <v>9.6287086821805357</v>
      </c>
      <c r="X351" s="157">
        <f t="shared" si="137"/>
        <v>45628</v>
      </c>
      <c r="Y351" s="383">
        <f t="shared" si="138"/>
        <v>9.2718708163946175</v>
      </c>
      <c r="Z351" s="383">
        <f t="shared" si="139"/>
        <v>9.6613397855360752</v>
      </c>
      <c r="AA351" s="384">
        <f t="shared" si="140"/>
        <v>10.303482265678396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6.2322859746295672E-2</v>
      </c>
      <c r="AD351" s="230">
        <f>(INDEX(Models!$BJ351:$BT351,,AH351)*(1-AF351)+INDEX(Models!$BJ351:$BT351,,AH351+1)*AF351-ERP_i)*AE351*Ramure*Pc/MaxiM</f>
        <v>9.7616071062757992E-3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'2023'!Wh/'2023'!Env_an*'2024'!Env_an</f>
        <v>17.657441439944048</v>
      </c>
      <c r="C352" s="829"/>
      <c r="D352" s="391">
        <f t="shared" si="127"/>
        <v>18.399502575141522</v>
      </c>
      <c r="E352" s="383">
        <f t="shared" si="125"/>
        <v>18.896380759436312</v>
      </c>
      <c r="F352" s="383">
        <f t="shared" si="128"/>
        <v>19.016061406125267</v>
      </c>
      <c r="G352" s="110">
        <f t="shared" si="126"/>
        <v>0.74487742737032814</v>
      </c>
      <c r="H352" s="412" t="b">
        <f>Wh_hp&gt;='2023'!Maxi_hp</f>
        <v>0</v>
      </c>
      <c r="I352" s="388">
        <f>IF(H352,Wh_hp,'2023'!Maxi_hp)</f>
        <v>19.047013282161593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4.0330499814708598E-2</v>
      </c>
      <c r="M352" s="832"/>
      <c r="N352" s="832"/>
      <c r="O352" s="48">
        <f>IF(t&lt;Tnet,'2023'!Resal+('2023'!Salim-'2023'!Resal)*(1-EXP(('2023'!Tnet-t)/('2023'!Tau_j))),Resal+(Salim-Resal)*(1-EXP((Tnet-t)/(Tau_j))))*Salcycl</f>
        <v>2.6294886339367461E-2</v>
      </c>
      <c r="P352" s="169">
        <f>(INDEX(Models!$BJ352:$BT352,,T352)*(1-R352)+INDEX(Models!$BJ352:$BT352,,T352+1)*R352-ERP_i)*Q352*Ramure*Pc/MaxiM</f>
        <v>9.843774636683799E-3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23.620474791665622</v>
      </c>
      <c r="W352" s="400">
        <f t="shared" si="136"/>
        <v>17.657441439944048</v>
      </c>
      <c r="X352" s="157">
        <f t="shared" si="137"/>
        <v>45629</v>
      </c>
      <c r="Y352" s="383">
        <f t="shared" si="138"/>
        <v>17.003822429574143</v>
      </c>
      <c r="Z352" s="383">
        <f t="shared" si="139"/>
        <v>17.718414960870458</v>
      </c>
      <c r="AA352" s="384">
        <f t="shared" si="140"/>
        <v>18.896380759436312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6.2338170126975873E-2</v>
      </c>
      <c r="AD352" s="230">
        <f>(INDEX(Models!$BJ352:$BT352,,AH352)*(1-AF352)+INDEX(Models!$BJ352:$BT352,,AH352+1)*AF352-ERP_i)*AE352*Ramure*Pc/MaxiM</f>
        <v>9.843774636683799E-3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'2023'!Wh/'2023'!Env_an*'2024'!Env_an</f>
        <v>23.407991909543089</v>
      </c>
      <c r="C353" s="829"/>
      <c r="D353" s="391">
        <f t="shared" si="127"/>
        <v>24.392189730366344</v>
      </c>
      <c r="E353" s="383">
        <f t="shared" si="125"/>
        <v>25.05244088166015</v>
      </c>
      <c r="F353" s="383">
        <f t="shared" si="128"/>
        <v>25.302596156183835</v>
      </c>
      <c r="G353" s="110">
        <f t="shared" si="126"/>
        <v>0.99755218310167315</v>
      </c>
      <c r="H353" s="412" t="b">
        <f>Wh_hp&gt;='2023'!Maxi_hp</f>
        <v>0</v>
      </c>
      <c r="I353" s="388">
        <f>IF(H353,Wh_hp,'2023'!Maxi_hp)</f>
        <v>25.302989911833503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4.0348891661743935E-2</v>
      </c>
      <c r="M353" s="832"/>
      <c r="N353" s="832"/>
      <c r="O353" s="48">
        <f>IF(t&lt;Tnet,'2023'!Resal+('2023'!Salim-'2023'!Resal)*(1-EXP(('2023'!Tnet-t)/('2023'!Tau_j))),Resal+(Salim-Resal)*(1-EXP((Tnet-t)/(Tau_j))))*Salcycl</f>
        <v>2.6354763370668072E-2</v>
      </c>
      <c r="P353" s="169">
        <f>(INDEX(Models!$BJ353:$BT353,,T353)*(1-R353)+INDEX(Models!$BJ353:$BT353,,T353+1)*R353-ERP_i)*Q353*Ramure*Pc/MaxiM</f>
        <v>9.9207490281843242E-3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23.464620379287293</v>
      </c>
      <c r="W353" s="400">
        <f t="shared" si="136"/>
        <v>23.407991909543089</v>
      </c>
      <c r="X353" s="157">
        <f t="shared" si="137"/>
        <v>45630</v>
      </c>
      <c r="Y353" s="383">
        <f t="shared" si="138"/>
        <v>22.54250091964505</v>
      </c>
      <c r="Z353" s="383">
        <f t="shared" si="139"/>
        <v>23.490308846388903</v>
      </c>
      <c r="AA353" s="384">
        <f t="shared" si="140"/>
        <v>25.05244088166015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6.2354484445258963E-2</v>
      </c>
      <c r="AD353" s="230">
        <f>(INDEX(Models!$BJ353:$BT353,,AH353)*(1-AF353)+INDEX(Models!$BJ353:$BT353,,AH353+1)*AF353-ERP_i)*AE353*Ramure*Pc/MaxiM</f>
        <v>9.9207490281843242E-3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'2023'!Wh/'2023'!Env_an*'2024'!Env_an</f>
        <v>11.506845177274441</v>
      </c>
      <c r="C354" s="829"/>
      <c r="D354" s="391">
        <f t="shared" si="127"/>
        <v>11.990884611689056</v>
      </c>
      <c r="E354" s="383">
        <f t="shared" si="125"/>
        <v>12.316217201859834</v>
      </c>
      <c r="F354" s="383">
        <f t="shared" si="128"/>
        <v>12.350326891190548</v>
      </c>
      <c r="G354" s="110">
        <f t="shared" si="126"/>
        <v>0.48990246543522575</v>
      </c>
      <c r="H354" s="412" t="b">
        <f>Wh_hp&gt;='2023'!Maxi_hp</f>
        <v>0</v>
      </c>
      <c r="I354" s="388">
        <f>IF(H354,Wh_hp,'2023'!Maxi_hp)</f>
        <v>18.881092862283797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4.0367283156303557E-2</v>
      </c>
      <c r="M354" s="832"/>
      <c r="N354" s="832"/>
      <c r="O354" s="48">
        <f>IF(t&lt;Tnet,'2023'!Resal+('2023'!Salim-'2023'!Resal)*(1-EXP(('2023'!Tnet-t)/('2023'!Tau_j))),Resal+(Salim-Resal)*(1-EXP((Tnet-t)/(Tau_j))))*Salcycl</f>
        <v>2.6414976679824221E-2</v>
      </c>
      <c r="P354" s="169">
        <f>(INDEX(Models!$BJ354:$BT354,,T354)*(1-R354)+INDEX(Models!$BJ354:$BT354,,T354+1)*R354-ERP_i)*Q354*Ramure*Pc/MaxiM</f>
        <v>9.9921840552384331E-3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23.317736027926816</v>
      </c>
      <c r="W354" s="400">
        <f t="shared" si="136"/>
        <v>11.506845177274441</v>
      </c>
      <c r="X354" s="157">
        <f t="shared" si="137"/>
        <v>45631</v>
      </c>
      <c r="Y354" s="383">
        <f t="shared" si="138"/>
        <v>11.081870091136494</v>
      </c>
      <c r="Z354" s="383">
        <f t="shared" si="139"/>
        <v>11.548032801117484</v>
      </c>
      <c r="AA354" s="384">
        <f t="shared" si="140"/>
        <v>12.316217201859834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6.2371780892784889E-2</v>
      </c>
      <c r="AD354" s="230">
        <f>(INDEX(Models!$BJ354:$BT354,,AH354)*(1-AF354)+INDEX(Models!$BJ354:$BT354,,AH354+1)*AF354-ERP_i)*AE354*Ramure*Pc/MaxiM</f>
        <v>9.9921840552384331E-3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'2023'!Wh/'2023'!Env_an*'2024'!Env_an</f>
        <v>20.734702405018997</v>
      </c>
      <c r="C355" s="829"/>
      <c r="D355" s="391">
        <f t="shared" si="127"/>
        <v>21.607328954639328</v>
      </c>
      <c r="E355" s="383">
        <f t="shared" si="125"/>
        <v>22.194951813561836</v>
      </c>
      <c r="F355" s="383">
        <f t="shared" si="128"/>
        <v>22.386168841953989</v>
      </c>
      <c r="G355" s="110">
        <f t="shared" si="126"/>
        <v>0.89312388167339773</v>
      </c>
      <c r="H355" s="412" t="b">
        <f>Wh_hp&gt;='2023'!Maxi_hp</f>
        <v>0</v>
      </c>
      <c r="I355" s="388">
        <f>IF(H355,Wh_hp,'2023'!Maxi_hp)</f>
        <v>22.401278543576364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4.0385674298394458E-2</v>
      </c>
      <c r="M355" s="832"/>
      <c r="N355" s="832"/>
      <c r="O355" s="48">
        <f>IF(t&lt;Tnet,'2023'!Resal+('2023'!Salim-'2023'!Resal)*(1-EXP(('2023'!Tnet-t)/('2023'!Tau_j))),Resal+(Salim-Resal)*(1-EXP((Tnet-t)/(Tau_j))))*Salcycl</f>
        <v>2.6475518571004646E-2</v>
      </c>
      <c r="P355" s="169">
        <f>(INDEX(Models!$BJ355:$BT355,,T355)*(1-R355)+INDEX(Models!$BJ355:$BT355,,T355+1)*R355-ERP_i)*Q355*Ramure*Pc/MaxiM</f>
        <v>1.0057710308378827E-2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23.180433320370781</v>
      </c>
      <c r="W355" s="400">
        <f t="shared" si="136"/>
        <v>20.734702405018997</v>
      </c>
      <c r="X355" s="157">
        <f t="shared" si="137"/>
        <v>45632</v>
      </c>
      <c r="Y355" s="383">
        <f t="shared" si="138"/>
        <v>19.969773712300498</v>
      </c>
      <c r="Z355" s="383">
        <f t="shared" si="139"/>
        <v>20.810207994446039</v>
      </c>
      <c r="AA355" s="384">
        <f t="shared" si="140"/>
        <v>22.194951813561836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6.2390034938921354E-2</v>
      </c>
      <c r="AD355" s="230">
        <f>(INDEX(Models!$BJ355:$BT355,,AH355)*(1-AF355)+INDEX(Models!$BJ355:$BT355,,AH355+1)*AF355-ERP_i)*AE355*Ramure*Pc/MaxiM</f>
        <v>1.0057710308378827E-2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'2023'!Wh/'2023'!Env_an*'2024'!Env_an</f>
        <v>4.1643191085054783</v>
      </c>
      <c r="C356" s="829"/>
      <c r="D356" s="391">
        <f t="shared" si="127"/>
        <v>4.3396589720729377</v>
      </c>
      <c r="E356" s="383">
        <f t="shared" si="125"/>
        <v>4.4579570142775999</v>
      </c>
      <c r="F356" s="383">
        <f t="shared" si="128"/>
        <v>4.4579570142775999</v>
      </c>
      <c r="G356" s="110">
        <f t="shared" si="126"/>
        <v>0.17881104418243327</v>
      </c>
      <c r="H356" s="412" t="b">
        <f>Wh_hp&gt;='2023'!Maxi_hp</f>
        <v>0</v>
      </c>
      <c r="I356" s="388">
        <f>IF(H356,Wh_hp,'2023'!Maxi_hp)</f>
        <v>17.076709643331426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4.0404065088023411E-2</v>
      </c>
      <c r="M356" s="832"/>
      <c r="N356" s="832"/>
      <c r="O356" s="48">
        <f>IF(t&lt;Tnet,'2023'!Resal+('2023'!Salim-'2023'!Resal)*(1-EXP(('2023'!Tnet-t)/('2023'!Tau_j))),Resal+(Salim-Resal)*(1-EXP((Tnet-t)/(Tau_j))))*Salcycl</f>
        <v>2.6536380190698688E-2</v>
      </c>
      <c r="P356" s="169">
        <f>(INDEX(Models!$BJ356:$BT356,,T356)*(1-R356)+INDEX(Models!$BJ356:$BT356,,T356+1)*R356-ERP_i)*Q356*Ramure*Pc/MaxiM</f>
        <v>1.0116938239745254E-2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23.053324072468609</v>
      </c>
      <c r="W356" s="400">
        <f t="shared" si="136"/>
        <v>4.1643191085054783</v>
      </c>
      <c r="X356" s="157">
        <f t="shared" si="137"/>
        <v>45633</v>
      </c>
      <c r="Y356" s="383">
        <f t="shared" si="138"/>
        <v>4.010860933608722</v>
      </c>
      <c r="Z356" s="383">
        <f t="shared" si="139"/>
        <v>4.1797393962247629</v>
      </c>
      <c r="AA356" s="384">
        <f t="shared" si="140"/>
        <v>4.4579570142775999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6.2409219550970021E-2</v>
      </c>
      <c r="AD356" s="230">
        <f>(INDEX(Models!$BJ356:$BT356,,AH356)*(1-AF356)+INDEX(Models!$BJ356:$BT356,,AH356+1)*AF356-ERP_i)*AE356*Ramure*Pc/MaxiM</f>
        <v>1.0116938239745254E-2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'2023'!Wh/'2023'!Env_an*'2024'!Env_an</f>
        <v>5.0823491469313868</v>
      </c>
      <c r="C357" s="829"/>
      <c r="D357" s="391">
        <f t="shared" si="127"/>
        <v>5.2964444366120125</v>
      </c>
      <c r="E357" s="383">
        <f t="shared" si="125"/>
        <v>5.4411661337052877</v>
      </c>
      <c r="F357" s="383">
        <f t="shared" si="128"/>
        <v>5.4411661337052877</v>
      </c>
      <c r="G357" s="110">
        <f t="shared" si="126"/>
        <v>0.21932510521242304</v>
      </c>
      <c r="H357" s="412" t="b">
        <f>Wh_hp&gt;='2023'!Maxi_hp</f>
        <v>0</v>
      </c>
      <c r="I357" s="388">
        <f>IF(H357,Wh_hp,'2023'!Maxi_hp)</f>
        <v>11.827516861952027</v>
      </c>
      <c r="J357" s="85">
        <f>IF(H357,An,'2023'!An_max)</f>
        <v>2018</v>
      </c>
      <c r="K357" s="197">
        <f t="shared" si="129"/>
        <v>45634</v>
      </c>
      <c r="L357" s="147">
        <f>IF(t&lt;Tvie,1-EXP((T0-t)*PertePVj)+'2023'!Pspv,1-EXP((T0-t)*PertePVj)+Pspv)</f>
        <v>4.0422455525196965E-2</v>
      </c>
      <c r="M357" s="832"/>
      <c r="N357" s="832"/>
      <c r="O357" s="48">
        <f>IF(t&lt;Tnet,'2023'!Resal+('2023'!Salim-'2023'!Resal)*(1-EXP(('2023'!Tnet-t)/('2023'!Tau_j))),Resal+(Salim-Resal)*(1-EXP((Tnet-t)/(Tau_j))))*Salcycl</f>
        <v>2.6597551616150239E-2</v>
      </c>
      <c r="P357" s="169">
        <f>(INDEX(Models!$BJ357:$BT357,,T357)*(1-R357)+INDEX(Models!$BJ357:$BT357,,T357+1)*R357-ERP_i)*Q357*Ramure*Pc/MaxiM</f>
        <v>1.0169461754208957E-2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22.937020305029737</v>
      </c>
      <c r="W357" s="400">
        <f t="shared" si="136"/>
        <v>5.0823491469313868</v>
      </c>
      <c r="X357" s="157">
        <f t="shared" si="137"/>
        <v>45634</v>
      </c>
      <c r="Y357" s="383">
        <f t="shared" si="138"/>
        <v>4.8952636472926718</v>
      </c>
      <c r="Z357" s="383">
        <f t="shared" si="139"/>
        <v>5.1014779112739168</v>
      </c>
      <c r="AA357" s="384">
        <f t="shared" si="140"/>
        <v>5.4411661337052877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6.2429305425388999E-2</v>
      </c>
      <c r="AD357" s="230">
        <f>(INDEX(Models!$BJ357:$BT357,,AH357)*(1-AF357)+INDEX(Models!$BJ357:$BT357,,AH357+1)*AF357-ERP_i)*AE357*Ramure*Pc/MaxiM</f>
        <v>1.0169461754208957E-2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'2023'!Wh/'2023'!Env_an*'2024'!Env_an</f>
        <v>12.303316787550674</v>
      </c>
      <c r="C358" s="829"/>
      <c r="D358" s="391">
        <f t="shared" si="127"/>
        <v>12.821842959094063</v>
      </c>
      <c r="E358" s="383">
        <f t="shared" si="125"/>
        <v>13.173022864779739</v>
      </c>
      <c r="F358" s="383">
        <f t="shared" si="128"/>
        <v>13.219099335849942</v>
      </c>
      <c r="G358" s="110">
        <f t="shared" si="126"/>
        <v>0.53522087808087837</v>
      </c>
      <c r="H358" s="412" t="b">
        <f>Wh_hp&gt;='2023'!Maxi_hp</f>
        <v>0</v>
      </c>
      <c r="I358" s="388">
        <f>IF(H358,Wh_hp,'2023'!Maxi_hp)</f>
        <v>21.581579026303849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4.0440845609922005E-2</v>
      </c>
      <c r="M358" s="832"/>
      <c r="N358" s="832"/>
      <c r="O358" s="48">
        <f>IF(t&lt;Tnet,'2023'!Resal+('2023'!Salim-'2023'!Resal)*(1-EXP(('2023'!Tnet-t)/('2023'!Tau_j))),Resal+(Salim-Resal)*(1-EXP((Tnet-t)/(Tau_j))))*Salcycl</f>
        <v>2.6659021948911434E-2</v>
      </c>
      <c r="P358" s="169">
        <f>(INDEX(Models!$BJ358:$BT358,,T358)*(1-R358)+INDEX(Models!$BJ358:$BT358,,T358+1)*R358-ERP_i)*Q358*Ramure*Pc/MaxiM</f>
        <v>1.0214862336946608E-2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22.832134230314917</v>
      </c>
      <c r="W358" s="400">
        <f t="shared" si="136"/>
        <v>12.303316787550674</v>
      </c>
      <c r="X358" s="157">
        <f t="shared" si="137"/>
        <v>45635</v>
      </c>
      <c r="Y358" s="383">
        <f t="shared" si="138"/>
        <v>11.850904976067131</v>
      </c>
      <c r="Z358" s="383">
        <f t="shared" si="139"/>
        <v>12.35036414571011</v>
      </c>
      <c r="AA358" s="384">
        <f t="shared" si="140"/>
        <v>13.173022864779739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6.2450261228130348E-2</v>
      </c>
      <c r="AD358" s="230">
        <f>(INDEX(Models!$BJ358:$BT358,,AH358)*(1-AF358)+INDEX(Models!$BJ358:$BT358,,AH358+1)*AF358-ERP_i)*AE358*Ramure*Pc/MaxiM</f>
        <v>1.0214862336946608E-2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'2023'!Wh/'2023'!Env_an*'2024'!Env_an</f>
        <v>17.604519070238727</v>
      </c>
      <c r="C359" s="829"/>
      <c r="D359" s="391">
        <f t="shared" si="127"/>
        <v>18.346817267859489</v>
      </c>
      <c r="E359" s="383">
        <f t="shared" si="125"/>
        <v>18.850517795693868</v>
      </c>
      <c r="F359" s="383">
        <f t="shared" si="128"/>
        <v>18.982396291842903</v>
      </c>
      <c r="G359" s="110">
        <f t="shared" si="126"/>
        <v>0.77170014367510975</v>
      </c>
      <c r="H359" s="412" t="b">
        <f>Wh_hp&gt;='2023'!Maxi_hp</f>
        <v>0</v>
      </c>
      <c r="I359" s="388">
        <f>IF(H359,Wh_hp,'2023'!Maxi_hp)</f>
        <v>19.008979262712963</v>
      </c>
      <c r="J359" s="85">
        <f>IF(H359,An,'2023'!An_max)</f>
        <v>2022</v>
      </c>
      <c r="K359" s="197">
        <f t="shared" si="129"/>
        <v>45636</v>
      </c>
      <c r="L359" s="147">
        <f>IF(t&lt;Tvie,1-EXP((T0-t)*PertePVj)+'2023'!Pspv,1-EXP((T0-t)*PertePVj)+Pspv)</f>
        <v>4.0459235342205191E-2</v>
      </c>
      <c r="M359" s="832"/>
      <c r="N359" s="832"/>
      <c r="O359" s="48">
        <f>IF(t&lt;Tnet,'2023'!Resal+('2023'!Salim-'2023'!Resal)*(1-EXP(('2023'!Tnet-t)/('2023'!Tau_j))),Resal+(Salim-Resal)*(1-EXP((Tnet-t)/(Tau_j))))*Salcycl</f>
        <v>2.6720779412724761E-2</v>
      </c>
      <c r="P359" s="169">
        <f>(INDEX(Models!$BJ359:$BT359,,T359)*(1-R359)+INDEX(Models!$BJ359:$BT359,,T359+1)*R359-ERP_i)*Q359*Ramure*Pc/MaxiM</f>
        <v>1.0253871025729612E-2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22.736685142757267</v>
      </c>
      <c r="W359" s="400">
        <f t="shared" si="136"/>
        <v>17.604519070238727</v>
      </c>
      <c r="X359" s="157">
        <f t="shared" si="137"/>
        <v>45636</v>
      </c>
      <c r="Y359" s="383">
        <f t="shared" si="138"/>
        <v>16.95785572927252</v>
      </c>
      <c r="Z359" s="383">
        <f t="shared" si="139"/>
        <v>17.672887233009089</v>
      </c>
      <c r="AA359" s="384">
        <f t="shared" si="140"/>
        <v>18.850517795693868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6.2472053842138622E-2</v>
      </c>
      <c r="AD359" s="230">
        <f>(INDEX(Models!$BJ359:$BT359,,AH359)*(1-AF359)+INDEX(Models!$BJ359:$BT359,,AH359+1)*AF359-ERP_i)*AE359*Ramure*Pc/MaxiM</f>
        <v>1.0253871025729612E-2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'2023'!Wh/'2023'!Env_an*'2024'!Env_an</f>
        <v>5.3804703220587964</v>
      </c>
      <c r="C360" s="829"/>
      <c r="D360" s="391">
        <f t="shared" si="127"/>
        <v>5.6074464344828083</v>
      </c>
      <c r="E360" s="383">
        <f t="shared" si="125"/>
        <v>5.7617626368330832</v>
      </c>
      <c r="F360" s="383">
        <f t="shared" si="128"/>
        <v>5.7617626368330832</v>
      </c>
      <c r="G360" s="110">
        <f t="shared" si="126"/>
        <v>0.2351190802983294</v>
      </c>
      <c r="H360" s="412" t="b">
        <f>Wh_hp&gt;='2023'!Maxi_hp</f>
        <v>0</v>
      </c>
      <c r="I360" s="388">
        <f>IF(H360,Wh_hp,'2023'!Maxi_hp)</f>
        <v>23.902821263615333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4.0477624722053518E-2</v>
      </c>
      <c r="M360" s="832"/>
      <c r="N360" s="832"/>
      <c r="O360" s="48">
        <f>IF(t&lt;Tnet,'2023'!Resal+('2023'!Salim-'2023'!Resal)*(1-EXP(('2023'!Tnet-t)/('2023'!Tau_j))),Resal+(Salim-Resal)*(1-EXP((Tnet-t)/(Tau_j))))*Salcycl</f>
        <v>2.6782811454915116E-2</v>
      </c>
      <c r="P360" s="169">
        <f>(INDEX(Models!$BJ360:$BT360,,T360)*(1-R360)+INDEX(Models!$BJ360:$BT360,,T360+1)*R360-ERP_i)*Q360*Ramure*Pc/MaxiM</f>
        <v>1.0287285575710299E-2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22.64860801840241</v>
      </c>
      <c r="W360" s="400">
        <f t="shared" si="136"/>
        <v>5.3804703220587964</v>
      </c>
      <c r="X360" s="157">
        <f t="shared" si="137"/>
        <v>45637</v>
      </c>
      <c r="Y360" s="383">
        <f t="shared" si="138"/>
        <v>5.1830359957083685</v>
      </c>
      <c r="Z360" s="383">
        <f t="shared" si="139"/>
        <v>5.4016833054122264</v>
      </c>
      <c r="AA360" s="384">
        <f t="shared" si="140"/>
        <v>5.7617626368330832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6.249464862002227E-2</v>
      </c>
      <c r="AD360" s="230">
        <f>(INDEX(Models!$BJ360:$BT360,,AH360)*(1-AF360)+INDEX(Models!$BJ360:$BT360,,AH360+1)*AF360-ERP_i)*AE360*Ramure*Pc/MaxiM</f>
        <v>1.0287285575710299E-2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'2023'!Wh/'2023'!Env_an*'2024'!Env_an</f>
        <v>5.4474749572468397</v>
      </c>
      <c r="C361" s="829"/>
      <c r="D361" s="391">
        <f t="shared" si="127"/>
        <v>5.6773864781261087</v>
      </c>
      <c r="E361" s="383">
        <f t="shared" ref="E361:E379" si="150">Wh_pvt/(1-Psa)</f>
        <v>5.8340008424390088</v>
      </c>
      <c r="F361" s="383">
        <f t="shared" si="128"/>
        <v>5.8340008424390088</v>
      </c>
      <c r="G361" s="110">
        <f t="shared" ref="G361:G379" si="151">+Wh_hp/MaxiM</f>
        <v>0.23888659182140973</v>
      </c>
      <c r="H361" s="412" t="b">
        <f>Wh_hp&gt;='2023'!Maxi_hp</f>
        <v>0</v>
      </c>
      <c r="I361" s="388">
        <f>IF(H361,Wh_hp,'2023'!Maxi_hp)</f>
        <v>25.0294040728553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4.0496013749473425E-2</v>
      </c>
      <c r="M361" s="832"/>
      <c r="N361" s="832"/>
      <c r="O361" s="48">
        <f>IF(t&lt;Tnet,'2023'!Resal+('2023'!Salim-'2023'!Resal)*(1-EXP(('2023'!Tnet-t)/('2023'!Tau_j))),Resal+(Salim-Resal)*(1-EXP((Tnet-t)/(Tau_j))))*Salcycl</f>
        <v>2.6845104850451915E-2</v>
      </c>
      <c r="P361" s="169">
        <f>(INDEX(Models!$BJ361:$BT361,,T361)*(1-R361)+INDEX(Models!$BJ361:$BT361,,T361+1)*R361-ERP_i)*Q361*Ramure*Pc/MaxiM</f>
        <v>1.0314299699240295E-2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22.568399619364936</v>
      </c>
      <c r="W361" s="400">
        <f t="shared" si="136"/>
        <v>5.4474749572468397</v>
      </c>
      <c r="X361" s="157">
        <f t="shared" si="137"/>
        <v>45638</v>
      </c>
      <c r="Y361" s="383">
        <f t="shared" si="138"/>
        <v>5.2477870591934987</v>
      </c>
      <c r="Z361" s="383">
        <f t="shared" si="139"/>
        <v>5.4692707215322613</v>
      </c>
      <c r="AA361" s="384">
        <f t="shared" si="140"/>
        <v>5.8340008424390088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6.2518009639893263E-2</v>
      </c>
      <c r="AD361" s="230">
        <f>(INDEX(Models!$BJ361:$BT361,,AH361)*(1-AF361)+INDEX(Models!$BJ361:$BT361,,AH361+1)*AF361-ERP_i)*AE361*Ramure*Pc/MaxiM</f>
        <v>1.0314299699240295E-2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'2023'!Wh/'2023'!Env_an*'2024'!Env_an</f>
        <v>17.394749918589373</v>
      </c>
      <c r="C362" s="829"/>
      <c r="D362" s="391">
        <f t="shared" si="127"/>
        <v>18.129245465010854</v>
      </c>
      <c r="E362" s="383">
        <f t="shared" si="150"/>
        <v>18.630549697475672</v>
      </c>
      <c r="F362" s="383">
        <f t="shared" si="128"/>
        <v>18.76162682579427</v>
      </c>
      <c r="G362" s="110">
        <f t="shared" si="151"/>
        <v>0.77061165018887412</v>
      </c>
      <c r="H362" s="412" t="b">
        <f>Wh_hp&gt;='2023'!Maxi_hp</f>
        <v>0</v>
      </c>
      <c r="I362" s="388">
        <f>IF(H362,Wh_hp,'2023'!Maxi_hp)</f>
        <v>24.68921870882129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4.0514402424471907E-2</v>
      </c>
      <c r="M362" s="832"/>
      <c r="N362" s="832"/>
      <c r="O362" s="48">
        <f>IF(t&lt;Tnet,'2023'!Resal+('2023'!Salim-'2023'!Resal)*(1-EXP(('2023'!Tnet-t)/('2023'!Tau_j))),Resal+(Salim-Resal)*(1-EXP((Tnet-t)/(Tau_j))))*Salcycl</f>
        <v>2.6907645807828388E-2</v>
      </c>
      <c r="P362" s="169">
        <f>(INDEX(Models!$BJ362:$BT362,,T362)*(1-R362)+INDEX(Models!$BJ362:$BT362,,T362+1)*R362-ERP_i)*Q362*Ramure*Pc/MaxiM</f>
        <v>1.0334573745889546E-2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22.496545893660976</v>
      </c>
      <c r="W362" s="400">
        <f t="shared" si="136"/>
        <v>17.394749918589373</v>
      </c>
      <c r="X362" s="157">
        <f t="shared" si="137"/>
        <v>45639</v>
      </c>
      <c r="Y362" s="383">
        <f t="shared" si="138"/>
        <v>16.757757534635964</v>
      </c>
      <c r="Z362" s="383">
        <f t="shared" si="139"/>
        <v>17.465355995942232</v>
      </c>
      <c r="AA362" s="384">
        <f t="shared" si="140"/>
        <v>18.630549697475672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6.2542099962370853E-2</v>
      </c>
      <c r="AD362" s="230">
        <f>(INDEX(Models!$BJ362:$BT362,,AH362)*(1-AF362)+INDEX(Models!$BJ362:$BT362,,AH362+1)*AF362-ERP_i)*AE362*Ramure*Pc/MaxiM</f>
        <v>1.0334573745889546E-2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'2023'!Wh/'2023'!Env_an*'2024'!Env_an</f>
        <v>5.9447949395074584</v>
      </c>
      <c r="C363" s="829"/>
      <c r="D363" s="391">
        <f t="shared" si="127"/>
        <v>6.1959334119778466</v>
      </c>
      <c r="E363" s="383">
        <f t="shared" si="150"/>
        <v>6.3676722062870397</v>
      </c>
      <c r="F363" s="383">
        <f t="shared" si="128"/>
        <v>6.3676722062870397</v>
      </c>
      <c r="G363" s="110">
        <f t="shared" si="151"/>
        <v>0.26225381572155892</v>
      </c>
      <c r="H363" s="412" t="b">
        <f>Wh_hp&gt;='2023'!Maxi_hp</f>
        <v>0</v>
      </c>
      <c r="I363" s="388">
        <f>IF(H363,Wh_hp,'2023'!Maxi_hp)</f>
        <v>24.850474320764231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4.0532790747055625E-2</v>
      </c>
      <c r="M363" s="832"/>
      <c r="N363" s="832"/>
      <c r="O363" s="48">
        <f>IF(t&lt;Tnet,'2023'!Resal+('2023'!Salim-'2023'!Resal)*(1-EXP(('2023'!Tnet-t)/('2023'!Tau_j))),Resal+(Salim-Resal)*(1-EXP((Tnet-t)/(Tau_j))))*Salcycl</f>
        <v>2.6970420075899761E-2</v>
      </c>
      <c r="P363" s="169">
        <f>(INDEX(Models!$BJ363:$BT363,,T363)*(1-R363)+INDEX(Models!$BJ363:$BT363,,T363+1)*R363-ERP_i)*Q363*Ramure*Pc/MaxiM</f>
        <v>1.0347764762820361E-2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22.433532887684066</v>
      </c>
      <c r="W363" s="400">
        <f t="shared" si="136"/>
        <v>5.9447949395074584</v>
      </c>
      <c r="X363" s="157">
        <f t="shared" si="137"/>
        <v>45640</v>
      </c>
      <c r="Y363" s="383">
        <f t="shared" si="138"/>
        <v>5.72731576888029</v>
      </c>
      <c r="Z363" s="383">
        <f t="shared" si="139"/>
        <v>5.9692668114626493</v>
      </c>
      <c r="AA363" s="384">
        <f t="shared" si="140"/>
        <v>6.3676722062870397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6.2566881886763848E-2</v>
      </c>
      <c r="AD363" s="230">
        <f>(INDEX(Models!$BJ363:$BT363,,AH363)*(1-AF363)+INDEX(Models!$BJ363:$BT363,,AH363+1)*AF363-ERP_i)*AE363*Ramure*Pc/MaxiM</f>
        <v>1.0347764762820361E-2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'2023'!Wh/'2023'!Env_an*'2024'!Env_an</f>
        <v>5.2507496641012912</v>
      </c>
      <c r="C364" s="829"/>
      <c r="D364" s="391">
        <f t="shared" si="127"/>
        <v>5.4726730051959596</v>
      </c>
      <c r="E364" s="383">
        <f t="shared" si="150"/>
        <v>5.6247286172036146</v>
      </c>
      <c r="F364" s="383">
        <f t="shared" si="128"/>
        <v>5.6247286172036146</v>
      </c>
      <c r="G364" s="110">
        <f t="shared" si="151"/>
        <v>0.23219041367719367</v>
      </c>
      <c r="H364" s="412" t="b">
        <f>Wh_hp&gt;='2023'!Maxi_hp</f>
        <v>0</v>
      </c>
      <c r="I364" s="388">
        <f>IF(H364,Wh_hp,'2023'!Maxi_hp)</f>
        <v>24.489416018785828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4.055117871723124E-2</v>
      </c>
      <c r="M364" s="832"/>
      <c r="N364" s="832"/>
      <c r="O364" s="48">
        <f>IF(t&lt;Tnet,'2023'!Resal+('2023'!Salim-'2023'!Resal)*(1-EXP(('2023'!Tnet-t)/('2023'!Tau_j))),Resal+(Salim-Resal)*(1-EXP((Tnet-t)/(Tau_j))))*Salcycl</f>
        <v>2.7033413050823921E-2</v>
      </c>
      <c r="P364" s="169">
        <f>(INDEX(Models!$BJ364:$BT364,,T364)*(1-R364)+INDEX(Models!$BJ364:$BT364,,T364+1)*R364-ERP_i)*Q364*Ramure*Pc/MaxiM</f>
        <v>1.0353530609719842E-2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22.37984671475024</v>
      </c>
      <c r="W364" s="400">
        <f t="shared" si="136"/>
        <v>5.2507496641012912</v>
      </c>
      <c r="X364" s="157">
        <f t="shared" si="137"/>
        <v>45641</v>
      </c>
      <c r="Y364" s="383">
        <f t="shared" si="138"/>
        <v>5.0588510865498515</v>
      </c>
      <c r="Z364" s="383">
        <f t="shared" si="139"/>
        <v>5.2726638194064828</v>
      </c>
      <c r="AA364" s="384">
        <f t="shared" si="140"/>
        <v>5.6247286172036146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6.2592317204481246E-2</v>
      </c>
      <c r="AD364" s="230">
        <f>(INDEX(Models!$BJ364:$BT364,,AH364)*(1-AF364)+INDEX(Models!$BJ364:$BT364,,AH364+1)*AF364-ERP_i)*AE364*Ramure*Pc/MaxiM</f>
        <v>1.0353530609719842E-2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'2023'!Wh/'2023'!Env_an*'2024'!Env_an</f>
        <v>3.5598778413931376</v>
      </c>
      <c r="C365" s="829"/>
      <c r="D365" s="391">
        <f t="shared" si="127"/>
        <v>3.710407463097158</v>
      </c>
      <c r="E365" s="383">
        <f t="shared" si="150"/>
        <v>3.8137470799111108</v>
      </c>
      <c r="F365" s="383">
        <f t="shared" si="128"/>
        <v>3.8137470799111108</v>
      </c>
      <c r="G365" s="110">
        <f t="shared" si="151"/>
        <v>0.15772886028160016</v>
      </c>
      <c r="H365" s="412" t="b">
        <f>Wh_hp&gt;='2023'!Maxi_hp</f>
        <v>0</v>
      </c>
      <c r="I365" s="388">
        <f>IF(H365,Wh_hp,'2023'!Maxi_hp)</f>
        <v>24.995973707121568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4.0569566335005747E-2</v>
      </c>
      <c r="M365" s="832"/>
      <c r="N365" s="832"/>
      <c r="O365" s="48">
        <f>IF(t&lt;Tnet,'2023'!Resal+('2023'!Salim-'2023'!Resal)*(1-EXP(('2023'!Tnet-t)/('2023'!Tau_j))),Resal+(Salim-Resal)*(1-EXP((Tnet-t)/(Tau_j))))*Salcycl</f>
        <v>2.7096609882258232E-2</v>
      </c>
      <c r="P365" s="169">
        <f>(INDEX(Models!$BJ365:$BT365,,T365)*(1-R365)+INDEX(Models!$BJ365:$BT365,,T365+1)*R365-ERP_i)*Q365*Ramure*Pc/MaxiM</f>
        <v>1.035153429547366E-2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22.335973502505794</v>
      </c>
      <c r="W365" s="400">
        <f t="shared" si="136"/>
        <v>3.5598778413931376</v>
      </c>
      <c r="X365" s="157">
        <f t="shared" si="137"/>
        <v>45642</v>
      </c>
      <c r="Y365" s="383">
        <f t="shared" si="138"/>
        <v>3.4299028418924027</v>
      </c>
      <c r="Z365" s="383">
        <f t="shared" si="139"/>
        <v>3.5749364639083638</v>
      </c>
      <c r="AA365" s="384">
        <f t="shared" si="140"/>
        <v>3.8137470799111108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6.2618367447773493E-2</v>
      </c>
      <c r="AD365" s="230">
        <f>(INDEX(Models!$BJ365:$BT365,,AH365)*(1-AF365)+INDEX(Models!$BJ365:$BT365,,AH365+1)*AF365-ERP_i)*AE365*Ramure*Pc/MaxiM</f>
        <v>1.035153429547366E-2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'2023'!Wh/'2023'!Env_an*'2024'!Env_an</f>
        <v>21.235221126013432</v>
      </c>
      <c r="C366" s="829"/>
      <c r="D366" s="391">
        <f t="shared" si="127"/>
        <v>22.133577752856919</v>
      </c>
      <c r="E366" s="383">
        <f t="shared" si="150"/>
        <v>22.751508626546368</v>
      </c>
      <c r="F366" s="383">
        <f t="shared" si="128"/>
        <v>22.972845611159897</v>
      </c>
      <c r="G366" s="110">
        <f t="shared" si="151"/>
        <v>0.95147016590705924</v>
      </c>
      <c r="H366" s="412" t="b">
        <f>Wh_hp&gt;='2023'!Maxi_hp</f>
        <v>0</v>
      </c>
      <c r="I366" s="388">
        <f>IF(H366,Wh_hp,'2023'!Maxi_hp)</f>
        <v>25.161787004742354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4.0587953600385696E-2</v>
      </c>
      <c r="M366" s="832"/>
      <c r="N366" s="832"/>
      <c r="O366" s="48">
        <f>IF(t&lt;Tnet,'2023'!Resal+('2023'!Salim-'2023'!Resal)*(1-EXP(('2023'!Tnet-t)/('2023'!Tau_j))),Resal+(Salim-Resal)*(1-EXP((Tnet-t)/(Tau_j))))*Salcycl</f>
        <v>2.7159995577983358E-2</v>
      </c>
      <c r="P366" s="169">
        <f>(INDEX(Models!$BJ366:$BT366,,T366)*(1-R366)+INDEX(Models!$BJ366:$BT366,,T366+1)*R366-ERP_i)*Q366*Ramure*Pc/MaxiM</f>
        <v>1.0341650561472408E-2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22.302394824310696</v>
      </c>
      <c r="W366" s="400">
        <f t="shared" si="136"/>
        <v>21.235221126013432</v>
      </c>
      <c r="X366" s="157">
        <f t="shared" si="137"/>
        <v>45643</v>
      </c>
      <c r="Y366" s="383">
        <f t="shared" si="138"/>
        <v>20.460652042171152</v>
      </c>
      <c r="Z366" s="383">
        <f t="shared" si="139"/>
        <v>21.326240502142788</v>
      </c>
      <c r="AA366" s="384">
        <f t="shared" si="140"/>
        <v>22.751508626546368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6.2644994131975051E-2</v>
      </c>
      <c r="AD366" s="230">
        <f>(INDEX(Models!$BJ366:$BT366,,AH366)*(1-AF366)+INDEX(Models!$BJ366:$BT366,,AH366+1)*AF366-ERP_i)*AE366*Ramure*Pc/MaxiM</f>
        <v>1.0341650561472408E-2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'2023'!Wh/'2023'!Env_an*'2024'!Env_an</f>
        <v>18.070485120573274</v>
      </c>
      <c r="C367" s="829"/>
      <c r="D367" s="391">
        <f t="shared" si="127"/>
        <v>18.835318476299822</v>
      </c>
      <c r="E367" s="383">
        <f t="shared" si="150"/>
        <v>19.362432730734074</v>
      </c>
      <c r="F367" s="383">
        <f t="shared" si="128"/>
        <v>19.509566423905063</v>
      </c>
      <c r="G367" s="110">
        <f t="shared" si="151"/>
        <v>0.80880422248822936</v>
      </c>
      <c r="H367" s="412" t="b">
        <f>Wh_hp&gt;='2023'!Maxi_hp</f>
        <v>0</v>
      </c>
      <c r="I367" s="388">
        <f>IF(H367,Wh_hp,'2023'!Maxi_hp)</f>
        <v>24.884744497458982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4.0606340513377859E-2</v>
      </c>
      <c r="M367" s="832"/>
      <c r="N367" s="832"/>
      <c r="O367" s="48">
        <f>IF(t&lt;Tnet,'2023'!Resal+('2023'!Salim-'2023'!Resal)*(1-EXP(('2023'!Tnet-t)/('2023'!Tau_j))),Resal+(Salim-Resal)*(1-EXP((Tnet-t)/(Tau_j))))*Salcycl</f>
        <v>2.722355510614952E-2</v>
      </c>
      <c r="P367" s="169">
        <f>(INDEX(Models!$BJ367:$BT367,,T367)*(1-R367)+INDEX(Models!$BJ367:$BT367,,T367+1)*R367-ERP_i)*Q367*Ramure*Pc/MaxiM</f>
        <v>1.0329316479379085E-2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22.279467336354205</v>
      </c>
      <c r="W367" s="400">
        <f t="shared" si="136"/>
        <v>18.070485120573274</v>
      </c>
      <c r="X367" s="157">
        <f t="shared" si="137"/>
        <v>45644</v>
      </c>
      <c r="Y367" s="383">
        <f t="shared" si="138"/>
        <v>17.41198493547769</v>
      </c>
      <c r="Z367" s="383">
        <f t="shared" si="139"/>
        <v>18.148947268209962</v>
      </c>
      <c r="AA367" s="384">
        <f t="shared" si="140"/>
        <v>19.362432730734074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6.2672158989502486E-2</v>
      </c>
      <c r="AD367" s="230">
        <f>(INDEX(Models!$BJ367:$BT367,,AH367)*(1-AF367)+INDEX(Models!$BJ367:$BT367,,AH367+1)*AF367-ERP_i)*AE367*Ramure*Pc/MaxiM</f>
        <v>1.0329316479379085E-2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'2023'!Wh/'2023'!Env_an*'2024'!Env_an</f>
        <v>4.6061007303443517</v>
      </c>
      <c r="C368" s="829"/>
      <c r="D368" s="391">
        <f t="shared" si="127"/>
        <v>4.8011459752304706</v>
      </c>
      <c r="E368" s="383">
        <f t="shared" si="150"/>
        <v>4.9358313553458917</v>
      </c>
      <c r="F368" s="383">
        <f t="shared" si="128"/>
        <v>4.9358313553458917</v>
      </c>
      <c r="G368" s="110">
        <f t="shared" si="151"/>
        <v>0.20471790826457381</v>
      </c>
      <c r="H368" s="412" t="b">
        <f>Wh_hp&gt;='2023'!Maxi_hp</f>
        <v>0</v>
      </c>
      <c r="I368" s="388">
        <f>IF(H368,Wh_hp,'2023'!Maxi_hp)</f>
        <v>24.174700505084488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4.0624727073989009E-2</v>
      </c>
      <c r="M368" s="832"/>
      <c r="N368" s="832"/>
      <c r="O368" s="48">
        <f>IF(t&lt;Tnet,'2023'!Resal+('2023'!Salim-'2023'!Resal)*(1-EXP(('2023'!Tnet-t)/('2023'!Tau_j))),Resal+(Salim-Resal)*(1-EXP((Tnet-t)/(Tau_j))))*Salcycl</f>
        <v>2.7287273494372058E-2</v>
      </c>
      <c r="P368" s="169">
        <f>(INDEX(Models!$BJ368:$BT368,,T368)*(1-R368)+INDEX(Models!$BJ368:$BT368,,T368+1)*R368-ERP_i)*Q368*Ramure*Pc/MaxiM</f>
        <v>1.031421294413855E-2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22.267677826592408</v>
      </c>
      <c r="W368" s="400">
        <f t="shared" si="136"/>
        <v>4.6061007303443517</v>
      </c>
      <c r="X368" s="157">
        <f t="shared" si="137"/>
        <v>45645</v>
      </c>
      <c r="Y368" s="383">
        <f t="shared" si="138"/>
        <v>4.4384111636346599</v>
      </c>
      <c r="Z368" s="383">
        <f t="shared" si="139"/>
        <v>4.6263555971146646</v>
      </c>
      <c r="AA368" s="384">
        <f t="shared" si="140"/>
        <v>4.9358313553458917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6.2699824193960918E-2</v>
      </c>
      <c r="AD368" s="230">
        <f>(INDEX(Models!$BJ368:$BT368,,AH368)*(1-AF368)+INDEX(Models!$BJ368:$BT368,,AH368+1)*AF368-ERP_i)*AE368*Ramure*Pc/MaxiM</f>
        <v>1.031421294413855E-2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'2023'!Wh/'2023'!Env_an*'2024'!Env_an</f>
        <v>21.089166796880178</v>
      </c>
      <c r="C369" s="829"/>
      <c r="D369" s="391">
        <f t="shared" si="127"/>
        <v>21.982608442028354</v>
      </c>
      <c r="E369" s="383">
        <f t="shared" si="150"/>
        <v>22.600765038606973</v>
      </c>
      <c r="F369" s="383">
        <f t="shared" si="128"/>
        <v>22.817939011036749</v>
      </c>
      <c r="G369" s="110">
        <f t="shared" si="151"/>
        <v>0.94633803695425989</v>
      </c>
      <c r="H369" s="412" t="b">
        <f>Wh_hp&gt;='2023'!Maxi_hp</f>
        <v>0</v>
      </c>
      <c r="I369" s="388">
        <f>IF(H369,Wh_hp,'2023'!Maxi_hp)</f>
        <v>22.824855300763012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4.0643113282226029E-2</v>
      </c>
      <c r="M369" s="832"/>
      <c r="N369" s="832"/>
      <c r="O369" s="48">
        <f>IF(t&lt;Tnet,'2023'!Resal+('2023'!Salim-'2023'!Resal)*(1-EXP(('2023'!Tnet-t)/('2023'!Tau_j))),Resal+(Salim-Resal)*(1-EXP((Tnet-t)/(Tau_j))))*Salcycl</f>
        <v>2.7351135924942056E-2</v>
      </c>
      <c r="P369" s="169">
        <f>(INDEX(Models!$BJ369:$BT369,,T369)*(1-R369)+INDEX(Models!$BJ369:$BT369,,T369+1)*R369-ERP_i)*Q369*Ramure*Pc/MaxiM</f>
        <v>1.0296032249158316E-2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22.26751283723042</v>
      </c>
      <c r="W369" s="400">
        <f t="shared" si="136"/>
        <v>21.089166796880178</v>
      </c>
      <c r="X369" s="157">
        <f t="shared" si="137"/>
        <v>45646</v>
      </c>
      <c r="Y369" s="383">
        <f t="shared" si="138"/>
        <v>20.32211959764318</v>
      </c>
      <c r="Z369" s="383">
        <f t="shared" si="139"/>
        <v>21.183065321155706</v>
      </c>
      <c r="AA369" s="384">
        <f t="shared" si="140"/>
        <v>22.600765038606973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6.2727952572823487E-2</v>
      </c>
      <c r="AD369" s="230">
        <f>(INDEX(Models!$BJ369:$BT369,,AH369)*(1-AF369)+INDEX(Models!$BJ369:$BT369,,AH369+1)*AF369-ERP_i)*AE369*Ramure*Pc/MaxiM</f>
        <v>1.0296032249158316E-2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'2023'!Wh/'2023'!Env_an*'2024'!Env_an</f>
        <v>17.830627666464448</v>
      </c>
      <c r="C370" s="829"/>
      <c r="D370" s="391">
        <f t="shared" si="127"/>
        <v>18.586377645059347</v>
      </c>
      <c r="E370" s="383">
        <f t="shared" si="150"/>
        <v>19.110288651213846</v>
      </c>
      <c r="F370" s="383">
        <f t="shared" si="128"/>
        <v>19.251664531595559</v>
      </c>
      <c r="G370" s="110">
        <f t="shared" si="151"/>
        <v>0.79795390384341636</v>
      </c>
      <c r="H370" s="412" t="b">
        <f>Wh_hp&gt;='2023'!Maxi_hp</f>
        <v>0</v>
      </c>
      <c r="I370" s="388">
        <f>IF(H370,Wh_hp,'2023'!Maxi_hp)</f>
        <v>24.5370383220707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4.0661499138095469E-2</v>
      </c>
      <c r="M370" s="832"/>
      <c r="N370" s="832"/>
      <c r="O370" s="48">
        <f>IF(t&lt;Tnet,'2023'!Resal+('2023'!Salim-'2023'!Resal)*(1-EXP(('2023'!Tnet-t)/('2023'!Tau_j))),Resal+(Salim-Resal)*(1-EXP((Tnet-t)/(Tau_j))))*Salcycl</f>
        <v>2.7415127825461735E-2</v>
      </c>
      <c r="P370" s="169">
        <f>(INDEX(Models!$BJ370:$BT370,,T370)*(1-R370)+INDEX(Models!$BJ370:$BT370,,T370+1)*R370-ERP_i)*Q370*Ramure*Pc/MaxiM</f>
        <v>1.0274480903223438E-2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22.279458656320923</v>
      </c>
      <c r="W370" s="400">
        <f t="shared" si="136"/>
        <v>17.830627666464448</v>
      </c>
      <c r="X370" s="157">
        <f t="shared" si="137"/>
        <v>45647</v>
      </c>
      <c r="Y370" s="383">
        <f t="shared" si="138"/>
        <v>17.182705818507095</v>
      </c>
      <c r="Z370" s="383">
        <f t="shared" si="139"/>
        <v>17.910993672274728</v>
      </c>
      <c r="AA370" s="384">
        <f t="shared" si="140"/>
        <v>19.110288651213846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6.2756507807271739E-2</v>
      </c>
      <c r="AD370" s="230">
        <f>(INDEX(Models!$BJ370:$BT370,,AH370)*(1-AF370)+INDEX(Models!$BJ370:$BT370,,AH370+1)*AF370-ERP_i)*AE370*Ramure*Pc/MaxiM</f>
        <v>1.0274480903223438E-2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'2023'!Wh/'2023'!Env_an*'2024'!Env_an</f>
        <v>18.0703228585792</v>
      </c>
      <c r="C371" s="829"/>
      <c r="D371" s="391">
        <f t="shared" si="127"/>
        <v>18.836593301109133</v>
      </c>
      <c r="E371" s="383">
        <f t="shared" si="150"/>
        <v>19.368834042554656</v>
      </c>
      <c r="F371" s="383">
        <f t="shared" si="128"/>
        <v>19.514608189264376</v>
      </c>
      <c r="G371" s="110">
        <f t="shared" si="151"/>
        <v>0.80791433446861072</v>
      </c>
      <c r="H371" s="412" t="b">
        <f>Wh_hp&gt;='2023'!Maxi_hp</f>
        <v>0</v>
      </c>
      <c r="I371" s="388">
        <f>IF(H371,Wh_hp,'2023'!Maxi_hp)</f>
        <v>20.621523847427799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4.0679884641604214E-2</v>
      </c>
      <c r="M371" s="832"/>
      <c r="N371" s="832"/>
      <c r="O371" s="48">
        <f>IF(t&lt;Tnet,'2023'!Resal+('2023'!Salim-'2023'!Resal)*(1-EXP(('2023'!Tnet-t)/('2023'!Tau_j))),Resal+(Salim-Resal)*(1-EXP((Tnet-t)/(Tau_j))))*Salcycl</f>
        <v>2.7479234954264978E-2</v>
      </c>
      <c r="P371" s="169">
        <f>(INDEX(Models!$BJ371:$BT371,,T371)*(1-R371)+INDEX(Models!$BJ371:$BT371,,T371+1)*R371-ERP_i)*Q371*Ramure*Pc/MaxiM</f>
        <v>1.0249265278041901E-2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22.304001683442156</v>
      </c>
      <c r="W371" s="400">
        <f t="shared" si="136"/>
        <v>18.0703228585792</v>
      </c>
      <c r="X371" s="157">
        <f t="shared" si="137"/>
        <v>45648</v>
      </c>
      <c r="Y371" s="383">
        <f t="shared" si="138"/>
        <v>17.414301094140903</v>
      </c>
      <c r="Z371" s="383">
        <f t="shared" si="139"/>
        <v>18.152752991773799</v>
      </c>
      <c r="AA371" s="384">
        <f t="shared" si="140"/>
        <v>19.368834042554656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6.2785454617920927E-2</v>
      </c>
      <c r="AD371" s="230">
        <f>(INDEX(Models!$BJ371:$BT371,,AH371)*(1-AF371)+INDEX(Models!$BJ371:$BT371,,AH371+1)*AF371-ERP_i)*AE371*Ramure*Pc/MaxiM</f>
        <v>1.0249265278041901E-2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'2023'!Wh/'2023'!Env_an*'2024'!Env_an</f>
        <v>21.476322742416762</v>
      </c>
      <c r="C372" s="829"/>
      <c r="D372" s="391">
        <f t="shared" si="127"/>
        <v>22.387453359202389</v>
      </c>
      <c r="E372" s="383">
        <f t="shared" si="150"/>
        <v>23.021546010567587</v>
      </c>
      <c r="F372" s="383">
        <f t="shared" si="128"/>
        <v>23.245977946963887</v>
      </c>
      <c r="G372" s="110">
        <f t="shared" si="151"/>
        <v>0.96072051826910565</v>
      </c>
      <c r="H372" s="412" t="b">
        <f>Wh_hp&gt;='2023'!Maxi_hp</f>
        <v>0</v>
      </c>
      <c r="I372" s="388">
        <f>IF(H372,Wh_hp,'2023'!Maxi_hp)</f>
        <v>23.251123518369042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4.0698269792758923E-2</v>
      </c>
      <c r="M372" s="832"/>
      <c r="N372" s="832"/>
      <c r="O372" s="48">
        <f>IF(t&lt;Tnet,'2023'!Resal+('2023'!Salim-'2023'!Resal)*(1-EXP(('2023'!Tnet-t)/('2023'!Tau_j))),Resal+(Salim-Resal)*(1-EXP((Tnet-t)/(Tau_j))))*Salcycl</f>
        <v>2.7543443480039401E-2</v>
      </c>
      <c r="P372" s="169">
        <f>(INDEX(Models!$BJ372:$BT372,,T372)*(1-R372)+INDEX(Models!$BJ372:$BT372,,T372+1)*R372-ERP_i)*Q372*Ramure*Pc/MaxiM</f>
        <v>1.0220130823736228E-2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22.341627598274293</v>
      </c>
      <c r="W372" s="400">
        <f t="shared" si="136"/>
        <v>21.476322742416762</v>
      </c>
      <c r="X372" s="157">
        <f t="shared" si="137"/>
        <v>45649</v>
      </c>
      <c r="Y372" s="383">
        <f t="shared" si="138"/>
        <v>20.697369534494023</v>
      </c>
      <c r="Z372" s="383">
        <f t="shared" si="139"/>
        <v>21.575453147595912</v>
      </c>
      <c r="AA372" s="384">
        <f t="shared" si="140"/>
        <v>23.021546010567587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6.2814758935298087E-2</v>
      </c>
      <c r="AD372" s="230">
        <f>(INDEX(Models!$BJ372:$BT372,,AH372)*(1-AF372)+INDEX(Models!$BJ372:$BT372,,AH372+1)*AF372-ERP_i)*AE372*Ramure*Pc/MaxiM</f>
        <v>1.0220130823736228E-2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'2023'!Wh/'2023'!Env_an*'2024'!Env_an</f>
        <v>12.133193458632686</v>
      </c>
      <c r="C373" s="829"/>
      <c r="D373" s="391">
        <f t="shared" si="127"/>
        <v>12.648185248610506</v>
      </c>
      <c r="E373" s="383">
        <f t="shared" si="150"/>
        <v>13.007287048261317</v>
      </c>
      <c r="F373" s="383">
        <f t="shared" si="128"/>
        <v>13.053225980323999</v>
      </c>
      <c r="G373" s="110">
        <f t="shared" si="151"/>
        <v>0.53821092623829281</v>
      </c>
      <c r="H373" s="412" t="b">
        <f>Wh_hp&gt;='2023'!Maxi_hp</f>
        <v>0</v>
      </c>
      <c r="I373" s="388">
        <f>IF(H373,Wh_hp,'2023'!Maxi_hp)</f>
        <v>13.087340065687096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4.0716654591566481E-2</v>
      </c>
      <c r="M373" s="832"/>
      <c r="N373" s="832"/>
      <c r="O373" s="48">
        <f>IF(t&lt;Tnet,'2023'!Resal+('2023'!Salim-'2023'!Resal)*(1-EXP(('2023'!Tnet-t)/('2023'!Tau_j))),Resal+(Salim-Resal)*(1-EXP((Tnet-t)/(Tau_j))))*Salcycl</f>
        <v>2.7607740055126371E-2</v>
      </c>
      <c r="P373" s="169">
        <f>(INDEX(Models!$BJ373:$BT373,,T373)*(1-R373)+INDEX(Models!$BJ373:$BT373,,T373+1)*R373-ERP_i)*Q373*Ramure*Pc/MaxiM</f>
        <v>1.0186839432634331E-2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22.392726113389941</v>
      </c>
      <c r="W373" s="400">
        <f t="shared" si="136"/>
        <v>12.133193458632686</v>
      </c>
      <c r="X373" s="157">
        <f t="shared" si="137"/>
        <v>45650</v>
      </c>
      <c r="Y373" s="383">
        <f t="shared" si="138"/>
        <v>11.693522057885977</v>
      </c>
      <c r="Z373" s="383">
        <f t="shared" si="139"/>
        <v>12.189852053469387</v>
      </c>
      <c r="AA373" s="384">
        <f t="shared" si="140"/>
        <v>13.007287048261317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6.2844388054094355E-2</v>
      </c>
      <c r="AD373" s="230">
        <f>(INDEX(Models!$BJ373:$BT373,,AH373)*(1-AF373)+INDEX(Models!$BJ373:$BT373,,AH373+1)*AF373-ERP_i)*AE373*Ramure*Pc/MaxiM</f>
        <v>1.0186839432634331E-2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'2023'!Wh/'2023'!Env_an*'2024'!Env_an</f>
        <v>20.976002664199342</v>
      </c>
      <c r="C374" s="829"/>
      <c r="D374" s="391">
        <f t="shared" si="127"/>
        <v>21.866745391350754</v>
      </c>
      <c r="E374" s="383">
        <f t="shared" si="150"/>
        <v>22.489065323093921</v>
      </c>
      <c r="F374" s="383">
        <f t="shared" si="128"/>
        <v>22.697731065091947</v>
      </c>
      <c r="G374" s="110">
        <f t="shared" si="151"/>
        <v>0.93314864662796504</v>
      </c>
      <c r="H374" s="412" t="b">
        <f>Wh_hp&gt;='2023'!Maxi_hp</f>
        <v>0</v>
      </c>
      <c r="I374" s="388">
        <f>IF(H374,Wh_hp,'2023'!Maxi_hp)</f>
        <v>22.706326287460659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4.0735039038033549E-2</v>
      </c>
      <c r="M374" s="832"/>
      <c r="N374" s="832"/>
      <c r="O374" s="48">
        <f>IF(t&lt;Tnet,'2023'!Resal+('2023'!Salim-'2023'!Resal)*(1-EXP(('2023'!Tnet-t)/('2023'!Tau_j))),Resal+(Salim-Resal)*(1-EXP((Tnet-t)/(Tau_j))))*Salcycl</f>
        <v>2.7672111882040371E-2</v>
      </c>
      <c r="P374" s="169">
        <f>(INDEX(Models!$BJ374:$BT374,,T374)*(1-R374)+INDEX(Models!$BJ374:$BT374,,T374+1)*R374-ERP_i)*Q374*Ramure*Pc/MaxiM</f>
        <v>1.0149465614848906E-2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22.457042499203471</v>
      </c>
      <c r="W374" s="400">
        <f t="shared" si="136"/>
        <v>20.976002664199342</v>
      </c>
      <c r="X374" s="157">
        <f t="shared" si="137"/>
        <v>45651</v>
      </c>
      <c r="Y374" s="383">
        <f t="shared" si="138"/>
        <v>20.216586600245265</v>
      </c>
      <c r="Z374" s="383">
        <f t="shared" si="139"/>
        <v>21.07508084103452</v>
      </c>
      <c r="AA374" s="384">
        <f t="shared" si="140"/>
        <v>22.489065323093921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6.2874310770371852E-2</v>
      </c>
      <c r="AD374" s="230">
        <f>(INDEX(Models!$BJ374:$BT374,,AH374)*(1-AF374)+INDEX(Models!$BJ374:$BT374,,AH374+1)*AF374-ERP_i)*AE374*Ramure*Pc/MaxiM</f>
        <v>1.0149465614848906E-2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'2023'!Wh/'2023'!Env_an*'2024'!Env_an</f>
        <v>7.1074468413084881</v>
      </c>
      <c r="C375" s="829"/>
      <c r="D375" s="391">
        <f t="shared" si="127"/>
        <v>7.4094054779074456</v>
      </c>
      <c r="E375" s="383">
        <f t="shared" si="150"/>
        <v>7.620779587378089</v>
      </c>
      <c r="F375" s="383">
        <f t="shared" si="128"/>
        <v>7.6224744771067847</v>
      </c>
      <c r="G375" s="110">
        <f t="shared" si="151"/>
        <v>0.31228977927342377</v>
      </c>
      <c r="H375" s="412" t="b">
        <f>Wh_hp&gt;='2023'!Maxi_hp</f>
        <v>0</v>
      </c>
      <c r="I375" s="388">
        <f>IF(H375,Wh_hp,'2023'!Maxi_hp)</f>
        <v>21.290446008401918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4.0753423132166899E-2</v>
      </c>
      <c r="M375" s="832"/>
      <c r="N375" s="832"/>
      <c r="O375" s="48">
        <f>IF(t&lt;Tnet,'2023'!Resal+('2023'!Salim-'2023'!Resal)*(1-EXP(('2023'!Tnet-t)/('2023'!Tau_j))),Resal+(Salim-Resal)*(1-EXP((Tnet-t)/(Tau_j))))*Salcycl</f>
        <v>2.7736546772817179E-2</v>
      </c>
      <c r="P375" s="169">
        <f>(INDEX(Models!$BJ375:$BT375,,T375)*(1-R375)+INDEX(Models!$BJ375:$BT375,,T375+1)*R375-ERP_i)*Q375*Ramure*Pc/MaxiM</f>
        <v>1.0102576669838549E-2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22.534224732827315</v>
      </c>
      <c r="W375" s="400">
        <f t="shared" si="136"/>
        <v>7.1074468413084881</v>
      </c>
      <c r="X375" s="157">
        <f t="shared" si="137"/>
        <v>45652</v>
      </c>
      <c r="Y375" s="383">
        <f t="shared" si="138"/>
        <v>6.8503618511351325</v>
      </c>
      <c r="Z375" s="383">
        <f t="shared" si="139"/>
        <v>7.1413982768676476</v>
      </c>
      <c r="AA375" s="384">
        <f t="shared" si="140"/>
        <v>7.620779587378089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6.2904497501071549E-2</v>
      </c>
      <c r="AD375" s="230">
        <f>(INDEX(Models!$BJ375:$BT375,,AH375)*(1-AF375)+INDEX(Models!$BJ375:$BT375,,AH375+1)*AF375-ERP_i)*AE375*Ramure*Pc/MaxiM</f>
        <v>1.0102576669838549E-2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'2023'!Wh/'2023'!Env_an*'2024'!Env_an</f>
        <v>22.064435460262693</v>
      </c>
      <c r="C376" s="829"/>
      <c r="D376" s="391">
        <f t="shared" si="127"/>
        <v>23.002279977152202</v>
      </c>
      <c r="E376" s="383">
        <f t="shared" si="150"/>
        <v>23.660053921765613</v>
      </c>
      <c r="F376" s="383">
        <f t="shared" si="128"/>
        <v>23.89159741770839</v>
      </c>
      <c r="G376" s="110">
        <f t="shared" si="151"/>
        <v>0.97492607126565223</v>
      </c>
      <c r="H376" s="412" t="b">
        <f>Wh_hp&gt;='2023'!Maxi_hp</f>
        <v>0</v>
      </c>
      <c r="I376" s="388">
        <f>IF(H376,Wh_hp,'2023'!Maxi_hp)</f>
        <v>23.895018418941333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4.0771806873973193E-2</v>
      </c>
      <c r="M376" s="832"/>
      <c r="N376" s="832"/>
      <c r="O376" s="48">
        <f>IF(t&lt;Tnet,'2023'!Resal+('2023'!Salim-'2023'!Resal)*(1-EXP(('2023'!Tnet-t)/('2023'!Tau_j))),Resal+(Salim-Resal)*(1-EXP((Tnet-t)/(Tau_j))))*Salcycl</f>
        <v>2.7801033200871191E-2</v>
      </c>
      <c r="P376" s="169">
        <f>(INDEX(Models!$BJ376:$BT376,,T376)*(1-R376)+INDEX(Models!$BJ376:$BT376,,T376+1)*R376-ERP_i)*Q376*Ramure*Pc/MaxiM</f>
        <v>1.0046260345038726E-2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22.62379695227126</v>
      </c>
      <c r="W376" s="400">
        <f t="shared" si="136"/>
        <v>22.064435460262693</v>
      </c>
      <c r="X376" s="157">
        <f t="shared" si="137"/>
        <v>45653</v>
      </c>
      <c r="Y376" s="383">
        <f t="shared" si="138"/>
        <v>21.267058161249437</v>
      </c>
      <c r="Z376" s="383">
        <f t="shared" si="139"/>
        <v>22.171010311886544</v>
      </c>
      <c r="AA376" s="384">
        <f t="shared" si="140"/>
        <v>23.660053921765613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6.293492038533563E-2</v>
      </c>
      <c r="AD376" s="230">
        <f>(INDEX(Models!$BJ376:$BT376,,AH376)*(1-AF376)+INDEX(Models!$BJ376:$BT376,,AH376+1)*AF376-ERP_i)*AE376*Ramure*Pc/MaxiM</f>
        <v>1.0046260345038726E-2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'2023'!Wh/'2023'!Env_an*'2024'!Env_an</f>
        <v>10.479614885498062</v>
      </c>
      <c r="C377" s="829"/>
      <c r="D377" s="391">
        <f t="shared" si="127"/>
        <v>10.925258248116148</v>
      </c>
      <c r="E377" s="383">
        <f t="shared" si="150"/>
        <v>11.238423208208424</v>
      </c>
      <c r="F377" s="383">
        <f t="shared" si="128"/>
        <v>11.26430448777718</v>
      </c>
      <c r="G377" s="110">
        <f t="shared" si="151"/>
        <v>0.4575922975525914</v>
      </c>
      <c r="H377" s="412" t="b">
        <f>Wh_hp&gt;='2023'!Maxi_hp</f>
        <v>0</v>
      </c>
      <c r="I377" s="388">
        <f>IF(H377,Wh_hp,'2023'!Maxi_hp)</f>
        <v>25.022994124609578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4.0790190263459314E-2</v>
      </c>
      <c r="M377" s="832"/>
      <c r="N377" s="832"/>
      <c r="O377" s="48">
        <f>IF(t&lt;Tnet,'2023'!Resal+('2023'!Salim-'2023'!Resal)*(1-EXP(('2023'!Tnet-t)/('2023'!Tau_j))),Resal+(Salim-Resal)*(1-EXP((Tnet-t)/(Tau_j))))*Salcycl</f>
        <v>2.7865560345115385E-2</v>
      </c>
      <c r="P377" s="169">
        <f>(INDEX(Models!$BJ377:$BT377,,T377)*(1-R377)+INDEX(Models!$BJ377:$BT377,,T377+1)*R377-ERP_i)*Q377*Ramure*Pc/MaxiM</f>
        <v>9.9808282225585104E-3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22.725278874746792</v>
      </c>
      <c r="W377" s="400">
        <f t="shared" si="136"/>
        <v>10.479614885498062</v>
      </c>
      <c r="X377" s="157">
        <f t="shared" si="137"/>
        <v>45654</v>
      </c>
      <c r="Y377" s="383">
        <f t="shared" si="138"/>
        <v>10.101236757584957</v>
      </c>
      <c r="Z377" s="383">
        <f t="shared" si="139"/>
        <v>10.530789671927346</v>
      </c>
      <c r="AA377" s="384">
        <f t="shared" si="140"/>
        <v>11.238423208208424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6.2965553367329105E-2</v>
      </c>
      <c r="AD377" s="230">
        <f>(INDEX(Models!$BJ377:$BT377,,AH377)*(1-AF377)+INDEX(Models!$BJ377:$BT377,,AH377+1)*AF377-ERP_i)*AE377*Ramure*Pc/MaxiM</f>
        <v>9.9808282225585104E-3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'2023'!Wh/'2023'!Env_an*'2024'!Env_an</f>
        <v>14.198441174106177</v>
      </c>
      <c r="C378" s="829"/>
      <c r="D378" s="391">
        <f t="shared" si="127"/>
        <v>14.80251050925655</v>
      </c>
      <c r="E378" s="383">
        <f t="shared" si="150"/>
        <v>15.227825473537175</v>
      </c>
      <c r="F378" s="383">
        <f t="shared" si="128"/>
        <v>15.297471159383203</v>
      </c>
      <c r="G378" s="110">
        <f t="shared" si="151"/>
        <v>0.61835359724295447</v>
      </c>
      <c r="H378" s="412" t="b">
        <f>Wh_hp&gt;='2023'!Maxi_hp</f>
        <v>0</v>
      </c>
      <c r="I378" s="388">
        <f>IF(H378,Wh_hp,'2023'!Maxi_hp)</f>
        <v>25.027651179472095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4.0808573300632034E-2</v>
      </c>
      <c r="M378" s="832"/>
      <c r="N378" s="832"/>
      <c r="O378" s="48">
        <f>IF(t&lt;Tnet,'2023'!Resal+('2023'!Salim-'2023'!Resal)*(1-EXP(('2023'!Tnet-t)/('2023'!Tau_j))),Resal+(Salim-Resal)*(1-EXP((Tnet-t)/(Tau_j))))*Salcycl</f>
        <v>2.7930118126172118E-2</v>
      </c>
      <c r="P378" s="169">
        <f>(INDEX(Models!$BJ378:$BT378,,T378)*(1-R378)+INDEX(Models!$BJ378:$BT378,,T378+1)*R378-ERP_i)*Q378*Ramure*Pc/MaxiM</f>
        <v>9.9066131421720587E-3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22.838190275276318</v>
      </c>
      <c r="W378" s="400">
        <f t="shared" si="136"/>
        <v>14.198441174106177</v>
      </c>
      <c r="X378" s="157">
        <f t="shared" si="137"/>
        <v>45655</v>
      </c>
      <c r="Y378" s="383">
        <f t="shared" si="138"/>
        <v>13.686249452291317</v>
      </c>
      <c r="Z378" s="383">
        <f t="shared" si="139"/>
        <v>14.268527711289577</v>
      </c>
      <c r="AA378" s="384">
        <f t="shared" si="140"/>
        <v>15.227825473537175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6.2996372260416267E-2</v>
      </c>
      <c r="AD378" s="230">
        <f>(INDEX(Models!$BJ378:$BT378,,AH378)*(1-AF378)+INDEX(Models!$BJ378:$BT378,,AH378+1)*AF378-ERP_i)*AE378*Ramure*Pc/MaxiM</f>
        <v>9.9066131421720587E-3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'2023'!Wh/'2023'!Env_an*'2024'!Env_an</f>
        <v>11.747034762355158</v>
      </c>
      <c r="C379" s="829"/>
      <c r="D379" s="391">
        <f t="shared" si="127"/>
        <v>12.247044300983871</v>
      </c>
      <c r="E379" s="383">
        <f t="shared" si="150"/>
        <v>12.599771077524149</v>
      </c>
      <c r="F379" s="383">
        <f t="shared" si="128"/>
        <v>12.637296648930258</v>
      </c>
      <c r="G379" s="110">
        <f t="shared" si="151"/>
        <v>0.50806761504843867</v>
      </c>
      <c r="H379" s="412" t="b">
        <f>Wh_hp&gt;='2023'!Maxi_hp</f>
        <v>0</v>
      </c>
      <c r="I379" s="388">
        <f>IF(H379,Wh_hp,'2023'!Maxi_hp)</f>
        <v>25.278911318099443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4.0826955985498015E-2</v>
      </c>
      <c r="M379" s="832"/>
      <c r="N379" s="832"/>
      <c r="O379" s="48">
        <f>IF(t&lt;Tnet,'2023'!Resal+('2023'!Salim-'2023'!Resal)*(1-EXP(('2023'!Tnet-t)/('2023'!Tau_j))),Resal+(Salim-Resal)*(1-EXP((Tnet-t)/(Tau_j))))*Salcycl</f>
        <v>2.7994697234577665E-2</v>
      </c>
      <c r="P379" s="169">
        <f>(INDEX(Models!$BJ379:$BT379,,T379)*(1-R379)+INDEX(Models!$BJ379:$BT379,,T379+1)*R379-ERP_i)*Q379*Ramure*Pc/MaxiM</f>
        <v>9.8239658169652268E-3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22.962050990133068</v>
      </c>
      <c r="W379" s="400">
        <f t="shared" si="136"/>
        <v>11.747034762355158</v>
      </c>
      <c r="X379" s="157">
        <f t="shared" si="137"/>
        <v>45656</v>
      </c>
      <c r="Y379" s="383">
        <f t="shared" si="138"/>
        <v>11.3236524567419</v>
      </c>
      <c r="Z379" s="383">
        <f t="shared" si="139"/>
        <v>11.80564083551403</v>
      </c>
      <c r="AA379" s="384">
        <f t="shared" si="140"/>
        <v>12.599771077524149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6.3027354792716248E-2</v>
      </c>
      <c r="AD379" s="230">
        <f>(INDEX(Models!$BJ379:$BT379,,AH379)*(1-AF379)+INDEX(Models!$BJ379:$BT379,,AH379+1)*AF379-ERP_i)*AE379*Ramure*Pc/MaxiM</f>
        <v>9.8239658169652268E-3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15.791744020545305</v>
      </c>
      <c r="C380" s="837"/>
      <c r="D380" s="603">
        <f t="shared" ref="D380" si="152">Wh/(1-Ppv)</f>
        <v>16.464231110396234</v>
      </c>
      <c r="E380" s="599">
        <f t="shared" ref="E380" si="153">Wh_pvt/(1-Psa)</f>
        <v>16.939542635284688</v>
      </c>
      <c r="F380" s="599">
        <f t="shared" ref="F380" si="154">Wh_sa/(1-Pvg*MEDIAN((-Sdif+Wh/Env_an)/Csdif,0,1))</f>
        <v>17.030411167079539</v>
      </c>
      <c r="G380" s="110">
        <f t="shared" ref="G380" si="155">+Wh_hp/MaxiM</f>
        <v>0.68070950051486434</v>
      </c>
      <c r="H380" s="412" t="b">
        <f>Wh_hp&gt;='2023'!Maxi_hp</f>
        <v>1</v>
      </c>
      <c r="I380" s="388">
        <f>IF(H380,Wh_hp,'2023'!Maxi_hp)</f>
        <v>17.030411167079539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4.0845338318064028E-2</v>
      </c>
      <c r="M380" s="832"/>
      <c r="N380" s="832"/>
      <c r="O380" s="323">
        <f>IF(t&lt;Tnet,'2020'!Resal+('2020'!Salim-'2020'!Resal)*(1-EXP(('2020'!Tnet-t)/('2020'!Tau_j))),Resal+(Salim-Resal)*(1-EXP((Tnet-t)/(Tau_j))))*Salcycl</f>
        <v>2.8059289150959264E-2</v>
      </c>
      <c r="P380" s="230">
        <f>(INDEX(Models!$BJ380:$BT380,,T380)*(1-R380)+INDEX(Models!$BJ380:$BT380,,T380+1)*R380-ERP_i)*Q380*Ramure*Pc/MaxiM</f>
        <v>9.7332514647787503E-3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23.096380891749952</v>
      </c>
      <c r="W380" s="400">
        <f t="shared" si="136"/>
        <v>15.791744020545305</v>
      </c>
      <c r="X380" s="325">
        <f t="shared" ref="X380" si="161">t</f>
        <v>45657</v>
      </c>
      <c r="Y380" s="396">
        <f t="shared" ref="Y380" si="162">Wh_pvt_s*(1-Ppv)</f>
        <v>15.223089712046336</v>
      </c>
      <c r="Z380" s="396">
        <f t="shared" ref="Z380" si="163">Wh_sa_s*(1-Psa_s)</f>
        <v>15.871360814064881</v>
      </c>
      <c r="AA380" s="397">
        <f t="shared" ref="AA380" si="164">Wh_hp*(1-Pvg_s*MEDIAN((-Sdif+Wh/Env_an)/Csdif,0,1))</f>
        <v>16.939542635284688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6.3058480634229711E-2</v>
      </c>
      <c r="AD380" s="801">
        <f>(INDEX(Models!$BJ380:$BT380,,AH380)*(1-AF380)+INDEX(Models!$BJ380:$BT380,,AH380+1)*AF380-ERP_i)*AE380*Ramure*Pc/MaxiM</f>
        <v>9.7332514647787503E-3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1.7820361868664694</v>
      </c>
      <c r="C381" s="374"/>
      <c r="D381" s="372">
        <f>MIN(D15:D380)</f>
        <v>1.8452907529549829</v>
      </c>
      <c r="E381" s="372">
        <f>MIN(E15:E380)</f>
        <v>1.9400211720941902</v>
      </c>
      <c r="F381" s="373">
        <f>MIN(F15:F380)</f>
        <v>1.9400211720941902</v>
      </c>
      <c r="G381" s="125">
        <f>+MIN(G15:G380)</f>
        <v>7.2508375451170587E-2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69">MIN(L15:L380)</f>
        <v>3.411232927896013E-2</v>
      </c>
      <c r="M381" s="833"/>
      <c r="N381" s="833"/>
      <c r="O381" s="47">
        <f t="shared" si="169"/>
        <v>1.0115831382539886E-2</v>
      </c>
      <c r="P381" s="168">
        <f t="shared" si="169"/>
        <v>1.9353732291548515E-4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22.26751283723042</v>
      </c>
      <c r="W381" s="793" t="s">
        <v>40</v>
      </c>
      <c r="X381" s="112" t="s">
        <v>7</v>
      </c>
      <c r="Y381" s="372">
        <f>MIN(Y15:Y380)</f>
        <v>1.7025730511076194</v>
      </c>
      <c r="Z381" s="372">
        <f>MIN(Z15:Z380)</f>
        <v>1.7630070200559047</v>
      </c>
      <c r="AA381" s="372">
        <f>MIN(AA15:AA380)</f>
        <v>1.9400211720941902</v>
      </c>
      <c r="AB381" s="200" t="s">
        <v>7</v>
      </c>
      <c r="AC381" s="47">
        <f t="shared" ref="AC381:AH381" si="170">MIN(AC15:AC380)</f>
        <v>5.4372837821769451E-2</v>
      </c>
      <c r="AD381" s="168">
        <f t="shared" si="170"/>
        <v>1.9353732291548515E-4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31.381171762696244</v>
      </c>
      <c r="C382" s="374"/>
      <c r="D382" s="374">
        <f>AVERAGE(D15:D380)</f>
        <v>32.600886212879018</v>
      </c>
      <c r="E382" s="374">
        <f>AVERAGE(E15:E380)</f>
        <v>33.504538870179623</v>
      </c>
      <c r="F382" s="375">
        <f>AVERAGE(F15:F380)</f>
        <v>33.544953657783061</v>
      </c>
      <c r="G382" s="126">
        <f>AVERAGE(G15:G380)</f>
        <v>0.68791354848708264</v>
      </c>
      <c r="H382" s="94"/>
      <c r="I382" s="375">
        <f>AVERAGE(I15:I380)</f>
        <v>43.530570214938173</v>
      </c>
      <c r="J382" s="59">
        <f>AVERAGE(J15:J380)</f>
        <v>2020.5628415300546</v>
      </c>
      <c r="K382" s="200" t="s">
        <v>8</v>
      </c>
      <c r="L382" s="147">
        <f t="shared" ref="L382:V382" si="171">AVERAGE(L15:L380)</f>
        <v>3.7482747942486572E-2</v>
      </c>
      <c r="M382" s="832"/>
      <c r="N382" s="832"/>
      <c r="O382" s="48">
        <f t="shared" si="171"/>
        <v>3.0176802800931733E-2</v>
      </c>
      <c r="P382" s="169">
        <f t="shared" si="171"/>
        <v>3.0124188989545234E-3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44.08669414804087</v>
      </c>
      <c r="X382" s="112" t="s">
        <v>8</v>
      </c>
      <c r="Y382" s="374">
        <f>AVERAGE(Y15:Y380)</f>
        <v>30.051032817844625</v>
      </c>
      <c r="Z382" s="374">
        <f>AVERAGE(Z15:Z380)</f>
        <v>31.219119178970885</v>
      </c>
      <c r="AA382" s="374">
        <f>AVERAGE(AA15:AA380)</f>
        <v>33.504538870179623</v>
      </c>
      <c r="AB382" s="200" t="s">
        <v>8</v>
      </c>
      <c r="AC382" s="48">
        <f t="shared" ref="AC382:AH382" si="172">AVERAGE(AC15:AC380)</f>
        <v>7.0680678953784173E-2</v>
      </c>
      <c r="AD382" s="169">
        <f t="shared" si="172"/>
        <v>3.0124188989545234E-3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61.76187655774612</v>
      </c>
      <c r="C383" s="376"/>
      <c r="D383" s="376">
        <f>MAX(D15:D380)</f>
        <v>64.124752111598156</v>
      </c>
      <c r="E383" s="376">
        <f>MAX(E15:E380)</f>
        <v>64.945731788340439</v>
      </c>
      <c r="F383" s="377">
        <f>MAX(F15:F380)</f>
        <v>64.959236791876066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2024</v>
      </c>
      <c r="K383" s="200" t="s">
        <v>9</v>
      </c>
      <c r="L383" s="148">
        <f t="shared" ref="L383:T383" si="173">MAX(L15:L380)</f>
        <v>4.0845338318064028E-2</v>
      </c>
      <c r="M383" s="834"/>
      <c r="N383" s="834"/>
      <c r="O383" s="49">
        <f t="shared" si="173"/>
        <v>5.4302198100028731E-2</v>
      </c>
      <c r="P383" s="170">
        <f t="shared" si="173"/>
        <v>1.0353530609719842E-2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60.927750554330608</v>
      </c>
      <c r="X383" s="112" t="s">
        <v>9</v>
      </c>
      <c r="Y383" s="376">
        <f>MAX(Y15:Y380)</f>
        <v>59.014108041038995</v>
      </c>
      <c r="Z383" s="376">
        <f>MAX(Z15:Z380)</f>
        <v>61.271859926090237</v>
      </c>
      <c r="AA383" s="376">
        <f>MAX(AA15:AA380)</f>
        <v>64.945731788340439</v>
      </c>
      <c r="AB383" s="200" t="s">
        <v>9</v>
      </c>
      <c r="AC383" s="49">
        <f t="shared" ref="AC383:AH383" si="174">MAX(AC15:AC380)</f>
        <v>9.3075957530235606E-2</v>
      </c>
      <c r="AD383" s="170">
        <f t="shared" si="174"/>
        <v>1.0353530609719842E-2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'2024'!An+1</f>
        <v>2025</v>
      </c>
      <c r="K1" s="1279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358.11069391900639</v>
      </c>
      <c r="AK4" s="822">
        <f>AM12-AK12</f>
        <v>-0.55450378290463576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358.11069391900639</v>
      </c>
      <c r="AA5" s="236">
        <f>Wh_Pvg_s-Wh_Pvg</f>
        <v>-0.55450378290463576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11233.429402278878</v>
      </c>
      <c r="AK6" s="514">
        <f>SUMIF(AK15:AK380,"FAUX",Wh)</f>
        <v>11233.429402278878</v>
      </c>
      <c r="AL6" s="514">
        <f>SUMIF(AJ15:AJ380,"FAUX",Wh_s)</f>
        <v>10875.280104891488</v>
      </c>
      <c r="AM6" s="514">
        <f>SUMIF(AK15:AK380,"FAUX",Wh_s)</f>
        <v>10875.280104891488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11751.855611160072</v>
      </c>
      <c r="AK8" s="514">
        <f>SUMIF(AK15:AK380,"FAUX",Wh_sa)</f>
        <v>12239.279472495935</v>
      </c>
      <c r="AL8" s="514">
        <f>SUMIF(AJ15:AJ380,"FAUX",Wh_pvt_s)</f>
        <v>11377.215154501391</v>
      </c>
      <c r="AM8" s="514">
        <f>SUMIF(AK15:AK380,"FAUX",Wh_sa_s)</f>
        <v>12239.279472495935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11751.855611160072</v>
      </c>
      <c r="E9" s="184">
        <f>SUM(E$15:E$380)</f>
        <v>12239.279472495935</v>
      </c>
      <c r="F9" s="184">
        <f>SUM(F$15:F$380)</f>
        <v>12258.228907318322</v>
      </c>
      <c r="H9" s="1280">
        <f>+SUM(Wh)</f>
        <v>11233.429402278878</v>
      </c>
      <c r="I9" s="1281"/>
      <c r="J9" s="1282"/>
      <c r="K9" s="191"/>
      <c r="L9" s="231"/>
      <c r="M9" s="231"/>
      <c r="N9" s="231"/>
      <c r="O9" s="222">
        <f>Tnet_2025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10875.280104891488</v>
      </c>
      <c r="Y9" s="1275"/>
      <c r="Z9" s="514">
        <f>SUM(Z$15:Z$380)</f>
        <v>11377.215154501391</v>
      </c>
      <c r="AA9" s="514">
        <f>SUM(AA$15:AA$380)</f>
        <v>12239.279472495935</v>
      </c>
      <c r="AB9" s="514">
        <f>F9</f>
        <v>12258.228907318322</v>
      </c>
      <c r="AC9" s="324">
        <f>IF(An_Tnet,Tnet,'2024'!Tnet_s)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0.01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5.375024134508409E-2</v>
      </c>
      <c r="AD10" s="426"/>
      <c r="AE10" s="426"/>
      <c r="AF10" s="259"/>
      <c r="AG10" s="260"/>
      <c r="AH10" s="261"/>
      <c r="AI10" s="471"/>
      <c r="AJ10" s="514">
        <f>SUMIF(AJ15:AJ380,"FAUX",Wh_sa)</f>
        <v>12239.279472495935</v>
      </c>
      <c r="AK10" s="514">
        <f>SUMIF(AK15:AK380,"FAUX",Wh_hp)</f>
        <v>12258.228907318322</v>
      </c>
      <c r="AL10" s="514">
        <f>SUMIF(AJ15:AJ380,"FAUX",Wh_sa_s)</f>
        <v>12239.279472495935</v>
      </c>
      <c r="AM10" s="514">
        <f>SUMIF(AK15:AK380,"FAUX",Wh_hp)</f>
        <v>12258.228907318322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518.42620888119382</v>
      </c>
      <c r="E11" s="51">
        <f>(E$9-D$9)*Prod_an/D$9</f>
        <v>465.92144393799981</v>
      </c>
      <c r="F11" s="186">
        <f>(F$9-E$9)*Prod_an/E$9</f>
        <v>17.392129885482568</v>
      </c>
      <c r="G11" s="185" t="s">
        <v>6</v>
      </c>
      <c r="K11" s="194"/>
      <c r="L11" s="211">
        <f>Tvie_2025</f>
        <v>43481</v>
      </c>
      <c r="M11" s="831"/>
      <c r="N11" s="831"/>
      <c r="O11" s="202">
        <f>IF(An_Tnet,Salim_2025,'2024'!Salim)</f>
        <v>0.1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501.93504960990322</v>
      </c>
      <c r="Z11" s="51">
        <f>(AA$9-Z$9)*Prod_an_s/Z$9</f>
        <v>824.03213785700621</v>
      </c>
      <c r="AA11" s="186">
        <f>(AB$9-AA$9)*Prod_an_s/AA$9</f>
        <v>16.837626102577932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Pspv_2025</f>
        <v>0</v>
      </c>
      <c r="M12" s="212"/>
      <c r="N12" s="212"/>
      <c r="O12" s="205">
        <f>IF(An_Tnet,Tau_2025*365,'2024'!Tau_j)</f>
        <v>1095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465.92144393799981</v>
      </c>
      <c r="AK12" s="822">
        <f>IF($AK8=0,0,($AK10-$AK8)*$AK6/$AK8)</f>
        <v>17.392129885482568</v>
      </c>
      <c r="AL12" s="821">
        <f>IF($AL8=0,0,($AL10-$AL8)*$AL6/$AL8)</f>
        <v>824.03213785700621</v>
      </c>
      <c r="AM12" s="822">
        <f>IF($AM8=0,0,($AM10-$AM8)*$AM6/$AM8)</f>
        <v>16.837626102577932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465.92144393799981</v>
      </c>
      <c r="AK13" s="73">
        <f>+AK11+AK12</f>
        <v>17.392129885482568</v>
      </c>
      <c r="AL13" s="73">
        <f>+AL11+AL12</f>
        <v>824.03213785700621</v>
      </c>
      <c r="AM13" s="73">
        <f>+AM11+AM12</f>
        <v>16.837626102577932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'2024'!Wh/'2024'!Env_an*'2025'!Env_an</f>
        <v>23.496361439616425</v>
      </c>
      <c r="C15" s="829"/>
      <c r="D15" s="391">
        <f t="shared" ref="D15:D78" si="0">Wh/(1-Ppv)</f>
        <v>24.497417037467194</v>
      </c>
      <c r="E15" s="398">
        <f t="shared" ref="E15:E79" si="1">Wh_pvt/(1-Psa)</f>
        <v>25.206345781772413</v>
      </c>
      <c r="F15" s="398">
        <f t="shared" ref="F15:F78" si="2">Wh_sa/(1-Pvg*MEDIAN((-Sdif+Wh/Env_an)/Csdif,0,1))</f>
        <v>25.454097031999805</v>
      </c>
      <c r="G15" s="123">
        <f>+Wh_hp/MaxiM</f>
        <v>1.0174061864224477</v>
      </c>
      <c r="H15" s="412" t="b">
        <f>Wh_hp&gt;='2024'!Maxi_hp</f>
        <v>1</v>
      </c>
      <c r="I15" s="394">
        <f>IF(H15,Wh_hp,'2024'!Maxi_hp)</f>
        <v>25.454097031999805</v>
      </c>
      <c r="J15" s="84">
        <f>IF(H15,An,'2024'!An_max)</f>
        <v>2025</v>
      </c>
      <c r="K15" s="197">
        <f t="shared" ref="K15:K78" si="3">t</f>
        <v>45658</v>
      </c>
      <c r="L15" s="146">
        <f>IF(t&lt;Tvie,1-EXP((T0-t)*PertePVj)+'2024'!Pspv,1-EXP((T0-t)*PertePVj)+Pspv)</f>
        <v>4.0863720298336736E-2</v>
      </c>
      <c r="M15" s="832"/>
      <c r="N15" s="832"/>
      <c r="O15" s="48">
        <f>IF(t&lt;Tnet,'2024'!Resal+('2024'!Salim-'2024'!Resal)*(1-EXP(('2024'!Tnet-t)/('2024'!Tau_j))),Resal+(Salim-Resal)*(1-EXP((Tnet-t)/(Tau_j))))*Salcycl</f>
        <v>2.8125010679567443E-2</v>
      </c>
      <c r="P15" s="301">
        <f>(INDEX(Models!$BJ15:$BT15,,T15)*(1-R15)+INDEX(Models!$BJ15:$BT15,,T15+1)*R15-ERP_i)*Q15*Ramure*Pc/MaxiM</f>
        <v>9.7332562972447263E-3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23.094376418368125</v>
      </c>
      <c r="W15" s="400">
        <f t="shared" ref="W15:W78" si="10">Wh*(A15&gt;Tmaj)</f>
        <v>23.496361439616425</v>
      </c>
      <c r="X15" s="156">
        <f t="shared" ref="X15:X78" si="11">t</f>
        <v>45658</v>
      </c>
      <c r="Y15" s="383">
        <f t="shared" ref="Y15:Y78" si="12">Wh_pvt_s*(1-Ppv)</f>
        <v>22.650982149962186</v>
      </c>
      <c r="Z15" s="383">
        <f>Wh_sa_s*(1-Psa_s)</f>
        <v>23.616020610760039</v>
      </c>
      <c r="AA15" s="384">
        <f t="shared" ref="AA15:AA78" si="13">Wh_hp*(1-Pvg_s*MEDIAN((-Sdif+Wh/Env_an)/Csdif,0,1))</f>
        <v>25.206345781772413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6.3092254021302599E-2</v>
      </c>
      <c r="AD15" s="230">
        <f>(INDEX(Models!$BJ15:$BT15,,AH15)*(1-AF15)+INDEX(Models!$BJ15:$BT15,,AH15+1)*AF15-ERP_i)*AE15*Ramure*Pc/MaxiM</f>
        <v>9.7332562972447263E-3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'2024'!Wh/'2024'!Env_an*'2025'!Env_an</f>
        <v>16.204710361062556</v>
      </c>
      <c r="C16" s="829"/>
      <c r="D16" s="391">
        <f t="shared" si="0"/>
        <v>16.895431097270333</v>
      </c>
      <c r="E16" s="383">
        <f t="shared" si="1"/>
        <v>17.385521025778733</v>
      </c>
      <c r="F16" s="383">
        <f t="shared" si="2"/>
        <v>17.481125570845816</v>
      </c>
      <c r="G16" s="110">
        <f t="shared" ref="G16:G79" si="21">+Wh_hp/MaxiM</f>
        <v>0.69439529273232548</v>
      </c>
      <c r="H16" s="412" t="b">
        <f>Wh_hp&gt;='2024'!Maxi_hp</f>
        <v>0</v>
      </c>
      <c r="I16" s="388">
        <f>IF(H16,Wh_hp,'2024'!Maxi_hp)</f>
        <v>24.084283353934023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4.0882101926323133E-2</v>
      </c>
      <c r="M16" s="832"/>
      <c r="N16" s="832"/>
      <c r="O16" s="48">
        <f>IF(t&lt;Tnet,'2024'!Resal+('2024'!Salim-'2024'!Resal)*(1-EXP(('2024'!Tnet-t)/('2024'!Tau_j))),Resal+(Salim-Resal)*(1-EXP((Tnet-t)/(Tau_j))))*Salcycl</f>
        <v>2.818954506923951E-2</v>
      </c>
      <c r="P16" s="169">
        <f>(INDEX(Models!$BJ16:$BT16,,T16)*(1-R16)+INDEX(Models!$BJ16:$BT16,,T16+1)*R16-ERP_i)*Q16*Ramure*Pc/MaxiM</f>
        <v>9.6354168772449754E-3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23.238671010586788</v>
      </c>
      <c r="W16" s="400">
        <f t="shared" si="10"/>
        <v>16.204710361062556</v>
      </c>
      <c r="X16" s="157">
        <f t="shared" si="11"/>
        <v>45659</v>
      </c>
      <c r="Y16" s="383">
        <f t="shared" si="12"/>
        <v>15.622195350264617</v>
      </c>
      <c r="Z16" s="383">
        <f t="shared" ref="Z16:Z78" si="22">Wh_sa_s*(1-Psa_s)</f>
        <v>16.288086565416759</v>
      </c>
      <c r="AA16" s="384">
        <f t="shared" si="13"/>
        <v>17.385521025778733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6.3123472614638923E-2</v>
      </c>
      <c r="AD16" s="230">
        <f>(INDEX(Models!$BJ16:$BT16,,AH16)*(1-AF16)+INDEX(Models!$BJ16:$BT16,,AH16+1)*AF16-ERP_i)*AE16*Ramure*Pc/MaxiM</f>
        <v>9.6354168772449754E-3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'2024'!Wh/'2024'!Env_an*'2025'!Env_an</f>
        <v>17.497138367709798</v>
      </c>
      <c r="C17" s="829"/>
      <c r="D17" s="391">
        <f t="shared" si="0"/>
        <v>18.243298074140817</v>
      </c>
      <c r="E17" s="383">
        <f t="shared" si="1"/>
        <v>18.773732575807436</v>
      </c>
      <c r="F17" s="383">
        <f t="shared" si="2"/>
        <v>18.888944014951608</v>
      </c>
      <c r="G17" s="110">
        <f t="shared" si="21"/>
        <v>0.74539956785547734</v>
      </c>
      <c r="H17" s="412" t="b">
        <f>Wh_hp&gt;='2024'!Maxi_hp</f>
        <v>0</v>
      </c>
      <c r="I17" s="388">
        <f>IF(H17,Wh_hp,'2024'!Maxi_hp)</f>
        <v>25.872417420672249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4.0900483202029769E-2</v>
      </c>
      <c r="M17" s="832"/>
      <c r="N17" s="832"/>
      <c r="O17" s="48">
        <f>IF(t&lt;Tnet,'2024'!Resal+('2024'!Salim-'2024'!Resal)*(1-EXP(('2024'!Tnet-t)/('2024'!Tau_j))),Resal+(Salim-Resal)*(1-EXP((Tnet-t)/(Tau_j))))*Salcycl</f>
        <v>2.8254077846520294E-2</v>
      </c>
      <c r="P17" s="169">
        <f>(INDEX(Models!$BJ17:$BT17,,T17)*(1-R17)+INDEX(Models!$BJ17:$BT17,,T17+1)*R17-ERP_i)*Q17*Ramure*Pc/MaxiM</f>
        <v>9.5307158579139104E-3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23.392463137544446</v>
      </c>
      <c r="W17" s="400">
        <f t="shared" si="10"/>
        <v>17.497138367709798</v>
      </c>
      <c r="X17" s="157">
        <f t="shared" si="11"/>
        <v>45660</v>
      </c>
      <c r="Y17" s="383">
        <f t="shared" si="12"/>
        <v>16.868720231476868</v>
      </c>
      <c r="Z17" s="383">
        <f t="shared" si="22"/>
        <v>17.588081253334824</v>
      </c>
      <c r="AA17" s="384">
        <f t="shared" si="13"/>
        <v>18.773732575807436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6.3154799807923587E-2</v>
      </c>
      <c r="AD17" s="230">
        <f>(INDEX(Models!$BJ17:$BT17,,AH17)*(1-AF17)+INDEX(Models!$BJ17:$BT17,,AH17+1)*AF17-ERP_i)*AE17*Ramure*Pc/MaxiM</f>
        <v>9.5307158579139104E-3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'2024'!Wh/'2024'!Env_an*'2025'!Env_an</f>
        <v>18.593014047988166</v>
      </c>
      <c r="C18" s="829"/>
      <c r="D18" s="391">
        <f t="shared" si="0"/>
        <v>19.386278545697969</v>
      </c>
      <c r="E18" s="383">
        <f t="shared" si="1"/>
        <v>19.951270656542082</v>
      </c>
      <c r="F18" s="383">
        <f t="shared" si="2"/>
        <v>20.083515210390214</v>
      </c>
      <c r="G18" s="110">
        <f t="shared" si="21"/>
        <v>0.78708310210569465</v>
      </c>
      <c r="H18" s="412" t="b">
        <f>Wh_hp&gt;='2024'!Maxi_hp</f>
        <v>0</v>
      </c>
      <c r="I18" s="388">
        <f>IF(H18,Wh_hp,'2024'!Maxi_hp)</f>
        <v>21.824345162432092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4.0918864125463417E-2</v>
      </c>
      <c r="M18" s="832"/>
      <c r="N18" s="832"/>
      <c r="O18" s="48">
        <f>IF(t&lt;Tnet,'2024'!Resal+('2024'!Salim-'2024'!Resal)*(1-EXP(('2024'!Tnet-t)/('2024'!Tau_j))),Resal+(Salim-Resal)*(1-EXP((Tnet-t)/(Tau_j))))*Salcycl</f>
        <v>2.831860288852572E-2</v>
      </c>
      <c r="P18" s="169">
        <f>(INDEX(Models!$BJ18:$BT18,,T18)*(1-R18)+INDEX(Models!$BJ18:$BT18,,T18+1)*R18-ERP_i)*Q18*Ramure*Pc/MaxiM</f>
        <v>9.4195323999522011E-3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23.555272802804051</v>
      </c>
      <c r="W18" s="400">
        <f t="shared" si="10"/>
        <v>18.593014047988166</v>
      </c>
      <c r="X18" s="157">
        <f t="shared" si="11"/>
        <v>45661</v>
      </c>
      <c r="Y18" s="383">
        <f t="shared" si="12"/>
        <v>17.925826102784885</v>
      </c>
      <c r="Z18" s="383">
        <f>Wh_sa_s*(1-Psa_s)</f>
        <v>18.690625258142784</v>
      </c>
      <c r="AA18" s="384">
        <f t="shared" si="13"/>
        <v>19.951270656542082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6.3186221073389559E-2</v>
      </c>
      <c r="AD18" s="230">
        <f>(INDEX(Models!$BJ18:$BT18,,AH18)*(1-AF18)+INDEX(Models!$BJ18:$BT18,,AH18+1)*AF18-ERP_i)*AE18*Ramure*Pc/MaxiM</f>
        <v>9.4195323999522011E-3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'2024'!Wh/'2024'!Env_an*'2025'!Env_an</f>
        <v>14.703547057770054</v>
      </c>
      <c r="C19" s="829"/>
      <c r="D19" s="391">
        <f t="shared" si="0"/>
        <v>15.331162613148345</v>
      </c>
      <c r="E19" s="383">
        <f t="shared" si="1"/>
        <v>15.779020360531044</v>
      </c>
      <c r="F19" s="383">
        <f t="shared" si="2"/>
        <v>15.846344490865361</v>
      </c>
      <c r="G19" s="110">
        <f t="shared" si="21"/>
        <v>0.61656160277329142</v>
      </c>
      <c r="H19" s="412" t="b">
        <f>Wh_hp&gt;='2024'!Maxi_hp</f>
        <v>0</v>
      </c>
      <c r="I19" s="388">
        <f>IF(H19,Wh_hp,'2024'!Maxi_hp)</f>
        <v>15.89891096179743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4.0937244696630848E-2</v>
      </c>
      <c r="M19" s="832"/>
      <c r="N19" s="832"/>
      <c r="O19" s="48">
        <f>IF(t&lt;Tnet,'2024'!Resal+('2024'!Salim-'2024'!Resal)*(1-EXP(('2024'!Tnet-t)/('2024'!Tau_j))),Resal+(Salim-Resal)*(1-EXP((Tnet-t)/(Tau_j))))*Salcycl</f>
        <v>2.8383114867064269E-2</v>
      </c>
      <c r="P19" s="169">
        <f>(INDEX(Models!$BJ19:$BT19,,T19)*(1-R19)+INDEX(Models!$BJ19:$BT19,,T19+1)*R19-ERP_i)*Q19*Ramure*Pc/MaxiM</f>
        <v>9.3022469880538316E-3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23.726620030085165</v>
      </c>
      <c r="W19" s="400">
        <f t="shared" si="10"/>
        <v>14.703547057770054</v>
      </c>
      <c r="X19" s="157">
        <f t="shared" si="11"/>
        <v>45662</v>
      </c>
      <c r="Y19" s="383">
        <f t="shared" si="12"/>
        <v>14.176392457093165</v>
      </c>
      <c r="Z19" s="383">
        <f t="shared" si="22"/>
        <v>14.781506610178926</v>
      </c>
      <c r="AA19" s="384">
        <f t="shared" si="13"/>
        <v>15.779020360531044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6.3217723759787695E-2</v>
      </c>
      <c r="AD19" s="230">
        <f>(INDEX(Models!$BJ19:$BT19,,AH19)*(1-AF19)+INDEX(Models!$BJ19:$BT19,,AH19+1)*AF19-ERP_i)*AE19*Ramure*Pc/MaxiM</f>
        <v>9.3022469880538316E-3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'2024'!Wh/'2024'!Env_an*'2025'!Env_an</f>
        <v>21.100045780989873</v>
      </c>
      <c r="C20" s="829"/>
      <c r="D20" s="391">
        <f t="shared" si="0"/>
        <v>22.001115202966115</v>
      </c>
      <c r="E20" s="383">
        <f t="shared" si="1"/>
        <v>22.645320429449754</v>
      </c>
      <c r="F20" s="383">
        <f t="shared" si="2"/>
        <v>22.819664306991193</v>
      </c>
      <c r="G20" s="110">
        <f t="shared" si="21"/>
        <v>0.88125564108226095</v>
      </c>
      <c r="H20" s="412" t="b">
        <f>Wh_hp&gt;='2024'!Maxi_hp</f>
        <v>0</v>
      </c>
      <c r="I20" s="388">
        <f>IF(H20,Wh_hp,'2024'!Maxi_hp)</f>
        <v>25.97684931198668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4.0955624915538946E-2</v>
      </c>
      <c r="M20" s="832"/>
      <c r="N20" s="832"/>
      <c r="O20" s="48">
        <f>IF(t&lt;Tnet,'2024'!Resal+('2024'!Salim-'2024'!Resal)*(1-EXP(('2024'!Tnet-t)/('2024'!Tau_j))),Resal+(Salim-Resal)*(1-EXP((Tnet-t)/(Tau_j))))*Salcycl</f>
        <v>2.8447609230817628E-2</v>
      </c>
      <c r="P20" s="169">
        <f>(INDEX(Models!$BJ20:$BT20,,T20)*(1-R20)+INDEX(Models!$BJ20:$BT20,,T20+1)*R20-ERP_i)*Q20*Ramure*Pc/MaxiM</f>
        <v>9.1792387684372246E-3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23.906024853499755</v>
      </c>
      <c r="W20" s="400">
        <f t="shared" si="10"/>
        <v>21.100045780989873</v>
      </c>
      <c r="X20" s="157">
        <f t="shared" si="11"/>
        <v>45663</v>
      </c>
      <c r="Y20" s="383">
        <f t="shared" si="12"/>
        <v>20.344227347610001</v>
      </c>
      <c r="Z20" s="383">
        <f t="shared" si="22"/>
        <v>21.213019831140063</v>
      </c>
      <c r="AA20" s="384">
        <f t="shared" si="13"/>
        <v>22.645320429449754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6.3249297035647772E-2</v>
      </c>
      <c r="AD20" s="230">
        <f>(INDEX(Models!$BJ20:$BT20,,AH20)*(1-AF20)+INDEX(Models!$BJ20:$BT20,,AH20+1)*AF20-ERP_i)*AE20*Ramure*Pc/MaxiM</f>
        <v>9.1792387684372246E-3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'2024'!Wh/'2024'!Env_an*'2025'!Env_an</f>
        <v>10.347088315126236</v>
      </c>
      <c r="C21" s="829"/>
      <c r="D21" s="391">
        <f t="shared" si="0"/>
        <v>10.789163554191557</v>
      </c>
      <c r="E21" s="383">
        <f t="shared" si="1"/>
        <v>11.105813419081461</v>
      </c>
      <c r="F21" s="383">
        <f t="shared" si="2"/>
        <v>11.124435197787539</v>
      </c>
      <c r="G21" s="110">
        <f t="shared" si="21"/>
        <v>0.42629093327411077</v>
      </c>
      <c r="H21" s="412" t="b">
        <f>Wh_hp&gt;='2024'!Maxi_hp</f>
        <v>0</v>
      </c>
      <c r="I21" s="388">
        <f>IF(H21,Wh_hp,'2024'!Maxi_hp)</f>
        <v>15.082360291680677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4.0974004782194262E-2</v>
      </c>
      <c r="M21" s="832"/>
      <c r="N21" s="832"/>
      <c r="O21" s="48">
        <f>IF(t&lt;Tnet,'2024'!Resal+('2024'!Salim-'2024'!Resal)*(1-EXP(('2024'!Tnet-t)/('2024'!Tau_j))),Resal+(Salim-Resal)*(1-EXP((Tnet-t)/(Tau_j))))*Salcycl</f>
        <v>2.8512082180838009E-2</v>
      </c>
      <c r="P21" s="169">
        <f>(INDEX(Models!$BJ21:$BT21,,T21)*(1-R21)+INDEX(Models!$BJ21:$BT21,,T21+1)*R21-ERP_i)*Q21*Ramure*Pc/MaxiM</f>
        <v>9.05088307298243E-3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24.093007326914925</v>
      </c>
      <c r="W21" s="400">
        <f t="shared" si="10"/>
        <v>10.347088315126236</v>
      </c>
      <c r="X21" s="157">
        <f t="shared" si="11"/>
        <v>45664</v>
      </c>
      <c r="Y21" s="383">
        <f t="shared" si="12"/>
        <v>9.9767735111882985</v>
      </c>
      <c r="Z21" s="383">
        <f t="shared" si="22"/>
        <v>10.403027197320609</v>
      </c>
      <c r="AA21" s="384">
        <f t="shared" si="13"/>
        <v>11.105813419081461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6.3280931818407646E-2</v>
      </c>
      <c r="AD21" s="230">
        <f>(INDEX(Models!$BJ21:$BT21,,AH21)*(1-AF21)+INDEX(Models!$BJ21:$BT21,,AH21+1)*AF21-ERP_i)*AE21*Ramure*Pc/MaxiM</f>
        <v>9.05088307298243E-3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'2024'!Wh/'2024'!Env_an*'2025'!Env_an</f>
        <v>7.3640952094862371</v>
      </c>
      <c r="C22" s="829"/>
      <c r="D22" s="391">
        <f t="shared" si="0"/>
        <v>7.6788704165659283</v>
      </c>
      <c r="E22" s="383">
        <f t="shared" si="1"/>
        <v>7.9047610632914482</v>
      </c>
      <c r="F22" s="383">
        <f t="shared" si="2"/>
        <v>7.9050843592185229</v>
      </c>
      <c r="G22" s="110">
        <f t="shared" si="21"/>
        <v>0.30051870226840305</v>
      </c>
      <c r="H22" s="412" t="b">
        <f>Wh_hp&gt;='2024'!Maxi_hp</f>
        <v>0</v>
      </c>
      <c r="I22" s="388">
        <f>IF(H22,Wh_hp,'2024'!Maxi_hp)</f>
        <v>20.347217475948305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4.0992384296603568E-2</v>
      </c>
      <c r="M22" s="832"/>
      <c r="N22" s="832"/>
      <c r="O22" s="48">
        <f>IF(t&lt;Tnet,'2024'!Resal+('2024'!Salim-'2024'!Resal)*(1-EXP(('2024'!Tnet-t)/('2024'!Tau_j))),Resal+(Salim-Resal)*(1-EXP((Tnet-t)/(Tau_j))))*Salcycl</f>
        <v>2.8576530639809312E-2</v>
      </c>
      <c r="P22" s="169">
        <f>(INDEX(Models!$BJ22:$BT22,,T22)*(1-R22)+INDEX(Models!$BJ22:$BT22,,T22+1)*R22-ERP_i)*Q22*Ramure*Pc/MaxiM</f>
        <v>8.9175491518658934E-3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24.287087528604573</v>
      </c>
      <c r="W22" s="400">
        <f t="shared" si="10"/>
        <v>7.3640952094862371</v>
      </c>
      <c r="X22" s="157">
        <f t="shared" si="11"/>
        <v>45665</v>
      </c>
      <c r="Y22" s="383">
        <f t="shared" si="12"/>
        <v>7.1007704264155134</v>
      </c>
      <c r="Z22" s="383">
        <f t="shared" si="22"/>
        <v>7.4042899244416969</v>
      </c>
      <c r="AA22" s="384">
        <f t="shared" si="13"/>
        <v>7.9047610632914482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6.3312620690569102E-2</v>
      </c>
      <c r="AD22" s="230">
        <f>(INDEX(Models!$BJ22:$BT22,,AH22)*(1-AF22)+INDEX(Models!$BJ22:$BT22,,AH22+1)*AF22-ERP_i)*AE22*Ramure*Pc/MaxiM</f>
        <v>8.9175491518658934E-3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'2024'!Wh/'2024'!Env_an*'2025'!Env_an</f>
        <v>2.1986041387598663</v>
      </c>
      <c r="C23" s="829"/>
      <c r="D23" s="391">
        <f t="shared" si="0"/>
        <v>2.2926265019298264</v>
      </c>
      <c r="E23" s="383">
        <f t="shared" si="1"/>
        <v>2.3602256108686794</v>
      </c>
      <c r="F23" s="383">
        <f t="shared" si="2"/>
        <v>2.3602256108686794</v>
      </c>
      <c r="G23" s="110">
        <f t="shared" si="21"/>
        <v>8.8984669636305844E-2</v>
      </c>
      <c r="H23" s="412" t="b">
        <f>Wh_hp&gt;='2024'!Maxi_hp</f>
        <v>0</v>
      </c>
      <c r="I23" s="388">
        <f>IF(H23,Wh_hp,'2024'!Maxi_hp)</f>
        <v>25.649292652260151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4.1010763458773747E-2</v>
      </c>
      <c r="M23" s="832"/>
      <c r="N23" s="832"/>
      <c r="O23" s="48">
        <f>IF(t&lt;Tnet,'2024'!Resal+('2024'!Salim-'2024'!Resal)*(1-EXP(('2024'!Tnet-t)/('2024'!Tau_j))),Resal+(Salim-Resal)*(1-EXP((Tnet-t)/(Tau_j))))*Salcycl</f>
        <v>2.8640952215569542E-2</v>
      </c>
      <c r="P23" s="169">
        <f>(INDEX(Models!$BJ23:$BT23,,T23)*(1-R23)+INDEX(Models!$BJ23:$BT23,,T23+1)*R23-ERP_i)*Q23*Ramure*Pc/MaxiM</f>
        <v>8.7785354922680723E-3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24.490776031438532</v>
      </c>
      <c r="W23" s="400">
        <f t="shared" si="10"/>
        <v>2.1986041387598663</v>
      </c>
      <c r="X23" s="157">
        <f t="shared" si="11"/>
        <v>45666</v>
      </c>
      <c r="Y23" s="383">
        <f t="shared" si="12"/>
        <v>2.1200553762501522</v>
      </c>
      <c r="Z23" s="383">
        <f t="shared" si="22"/>
        <v>2.2107186352753319</v>
      </c>
      <c r="AA23" s="384">
        <f t="shared" si="13"/>
        <v>2.3602256108686794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6.3344357804134527E-2</v>
      </c>
      <c r="AD23" s="230">
        <f>(INDEX(Models!$BJ23:$BT23,,AH23)*(1-AF23)+INDEX(Models!$BJ23:$BT23,,AH23+1)*AF23-ERP_i)*AE23*Ramure*Pc/MaxiM</f>
        <v>8.7785354922680723E-3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'2024'!Wh/'2024'!Env_an*'2025'!Env_an</f>
        <v>1.8030837448861432</v>
      </c>
      <c r="C24" s="829"/>
      <c r="D24" s="391">
        <f t="shared" si="0"/>
        <v>1.8802278821609217</v>
      </c>
      <c r="E24" s="383">
        <f t="shared" si="1"/>
        <v>1.9357955619240601</v>
      </c>
      <c r="F24" s="383">
        <f t="shared" si="2"/>
        <v>1.9357955619240601</v>
      </c>
      <c r="G24" s="110">
        <f t="shared" si="21"/>
        <v>7.2350443087785432E-2</v>
      </c>
      <c r="H24" s="412" t="b">
        <f>Wh_hp&gt;='2024'!Maxi_hp</f>
        <v>0</v>
      </c>
      <c r="I24" s="388">
        <f>IF(H24,Wh_hp,'2024'!Maxi_hp)</f>
        <v>9.0351524420219071</v>
      </c>
      <c r="J24" s="85">
        <f>IF(H24,An,'2024'!An_max)</f>
        <v>2020</v>
      </c>
      <c r="K24" s="197">
        <f t="shared" si="3"/>
        <v>45667</v>
      </c>
      <c r="L24" s="147">
        <f>IF(t&lt;Tvie,1-EXP((T0-t)*PertePVj)+'2024'!Pspv,1-EXP((T0-t)*PertePVj)+Pspv)</f>
        <v>4.102914226871146E-2</v>
      </c>
      <c r="M24" s="832"/>
      <c r="N24" s="832"/>
      <c r="O24" s="48">
        <f>IF(t&lt;Tnet,'2024'!Resal+('2024'!Salim-'2024'!Resal)*(1-EXP(('2024'!Tnet-t)/('2024'!Tau_j))),Resal+(Salim-Resal)*(1-EXP((Tnet-t)/(Tau_j))))*Salcycl</f>
        <v>2.870534515943798E-2</v>
      </c>
      <c r="P24" s="169">
        <f>(INDEX(Models!$BJ24:$BT24,,T24)*(1-R24)+INDEX(Models!$BJ24:$BT24,,T24+1)*R24-ERP_i)*Q24*Ramure*Pc/MaxiM</f>
        <v>8.6365053040295039E-3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24.706295169346397</v>
      </c>
      <c r="W24" s="400">
        <f t="shared" si="10"/>
        <v>1.8030837448861432</v>
      </c>
      <c r="X24" s="157">
        <f t="shared" si="11"/>
        <v>45667</v>
      </c>
      <c r="Y24" s="383">
        <f t="shared" si="12"/>
        <v>1.7387218706820986</v>
      </c>
      <c r="Z24" s="383">
        <f t="shared" si="22"/>
        <v>1.8131123137521898</v>
      </c>
      <c r="AA24" s="384">
        <f t="shared" si="13"/>
        <v>1.9357955619240601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6.3376138774660126E-2</v>
      </c>
      <c r="AD24" s="230">
        <f>(INDEX(Models!$BJ24:$BT24,,AH24)*(1-AF24)+INDEX(Models!$BJ24:$BT24,,AH24+1)*AF24-ERP_i)*AE24*Ramure*Pc/MaxiM</f>
        <v>8.6365053040295039E-3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'2024'!Wh/'2024'!Env_an*'2025'!Env_an</f>
        <v>25.276833301788471</v>
      </c>
      <c r="C25" s="829"/>
      <c r="D25" s="391">
        <f t="shared" si="0"/>
        <v>26.358796549476697</v>
      </c>
      <c r="E25" s="383">
        <f t="shared" si="1"/>
        <v>27.139594775076745</v>
      </c>
      <c r="F25" s="383">
        <f t="shared" si="2"/>
        <v>27.372177107233075</v>
      </c>
      <c r="G25" s="110">
        <f t="shared" si="21"/>
        <v>1.0138014686256271</v>
      </c>
      <c r="H25" s="412" t="b">
        <f>Wh_hp&gt;='2024'!Maxi_hp</f>
        <v>1</v>
      </c>
      <c r="I25" s="388">
        <f>IF(H25,Wh_hp,'2024'!Maxi_hp)</f>
        <v>27.372177107233075</v>
      </c>
      <c r="J25" s="85">
        <f>IF(H25,An,'2024'!An_max)</f>
        <v>2025</v>
      </c>
      <c r="K25" s="197">
        <f t="shared" si="3"/>
        <v>45668</v>
      </c>
      <c r="L25" s="147">
        <f>IF(t&lt;Tvie,1-EXP((T0-t)*PertePVj)+'2024'!Pspv,1-EXP((T0-t)*PertePVj)+Pspv)</f>
        <v>4.1047520726423481E-2</v>
      </c>
      <c r="M25" s="832"/>
      <c r="N25" s="832"/>
      <c r="O25" s="48">
        <f>IF(t&lt;Tnet,'2024'!Resal+('2024'!Salim-'2024'!Resal)*(1-EXP(('2024'!Tnet-t)/('2024'!Tau_j))),Resal+(Salim-Resal)*(1-EXP((Tnet-t)/(Tau_j))))*Salcycl</f>
        <v>2.8769708319929765E-2</v>
      </c>
      <c r="P25" s="169">
        <f>(INDEX(Models!$BJ25:$BT25,,T25)*(1-R25)+INDEX(Models!$BJ25:$BT25,,T25+1)*R25-ERP_i)*Q25*Ramure*Pc/MaxiM</f>
        <v>8.4970344611305666E-3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24.932725078861182</v>
      </c>
      <c r="W25" s="400">
        <f t="shared" si="10"/>
        <v>25.276833301788471</v>
      </c>
      <c r="X25" s="157">
        <f t="shared" si="11"/>
        <v>45668</v>
      </c>
      <c r="Y25" s="383">
        <f t="shared" si="12"/>
        <v>24.375352638141777</v>
      </c>
      <c r="Z25" s="383">
        <f t="shared" si="22"/>
        <v>25.41872841979254</v>
      </c>
      <c r="AA25" s="384">
        <f t="shared" si="13"/>
        <v>27.139594775076745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6.3407960566328747E-2</v>
      </c>
      <c r="AD25" s="230">
        <f>(INDEX(Models!$BJ25:$BT25,,AH25)*(1-AF25)+INDEX(Models!$BJ25:$BT25,,AH25+1)*AF25-ERP_i)*AE25*Ramure*Pc/MaxiM</f>
        <v>8.4970344611305666E-3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'2024'!Wh/'2024'!Env_an*'2025'!Env_an</f>
        <v>21.973521100807307</v>
      </c>
      <c r="C26" s="829"/>
      <c r="D26" s="391">
        <f t="shared" si="0"/>
        <v>22.914526737594613</v>
      </c>
      <c r="E26" s="383">
        <f t="shared" si="1"/>
        <v>23.59486195682906</v>
      </c>
      <c r="F26" s="383">
        <f t="shared" si="2"/>
        <v>23.757457846406218</v>
      </c>
      <c r="G26" s="110">
        <f t="shared" si="21"/>
        <v>0.87169656503927795</v>
      </c>
      <c r="H26" s="412" t="b">
        <f>Wh_hp&gt;='2024'!Maxi_hp</f>
        <v>0</v>
      </c>
      <c r="I26" s="388">
        <f>IF(H26,Wh_hp,'2024'!Maxi_hp)</f>
        <v>27.37093962937724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4.106589883191647E-2</v>
      </c>
      <c r="M26" s="832"/>
      <c r="N26" s="832"/>
      <c r="O26" s="48">
        <f>IF(t&lt;Tnet,'2024'!Resal+('2024'!Salim-'2024'!Resal)*(1-EXP(('2024'!Tnet-t)/('2024'!Tau_j))),Resal+(Salim-Resal)*(1-EXP((Tnet-t)/(Tau_j))))*Salcycl</f>
        <v>2.8834041092473492E-2</v>
      </c>
      <c r="P26" s="169">
        <f>(INDEX(Models!$BJ26:$BT26,,T26)*(1-R26)+INDEX(Models!$BJ26:$BT26,,T26+1)*R26-ERP_i)*Q26*Ramure*Pc/MaxiM</f>
        <v>8.3604675870620412E-3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25.169273436080278</v>
      </c>
      <c r="W26" s="400">
        <f t="shared" si="10"/>
        <v>21.973521100807307</v>
      </c>
      <c r="X26" s="157">
        <f t="shared" si="11"/>
        <v>45669</v>
      </c>
      <c r="Y26" s="383">
        <f t="shared" si="12"/>
        <v>21.190533562835441</v>
      </c>
      <c r="Z26" s="383">
        <f t="shared" si="22"/>
        <v>22.09800812904987</v>
      </c>
      <c r="AA26" s="384">
        <f t="shared" si="13"/>
        <v>23.59486195682906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6.3439821369497593E-2</v>
      </c>
      <c r="AD26" s="230">
        <f>(INDEX(Models!$BJ26:$BT26,,AH26)*(1-AF26)+INDEX(Models!$BJ26:$BT26,,AH26+1)*AF26-ERP_i)*AE26*Ramure*Pc/MaxiM</f>
        <v>8.3604675870620412E-3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'2024'!Wh/'2024'!Env_an*'2025'!Env_an</f>
        <v>5.6330206064397927</v>
      </c>
      <c r="C27" s="829"/>
      <c r="D27" s="391">
        <f t="shared" si="0"/>
        <v>5.8743646275608006</v>
      </c>
      <c r="E27" s="383">
        <f t="shared" si="1"/>
        <v>6.0491757865195748</v>
      </c>
      <c r="F27" s="383">
        <f t="shared" si="2"/>
        <v>6.0491757865195748</v>
      </c>
      <c r="G27" s="110">
        <f t="shared" si="21"/>
        <v>0.21981682234002881</v>
      </c>
      <c r="H27" s="412" t="b">
        <f>Wh_hp&gt;='2024'!Maxi_hp</f>
        <v>0</v>
      </c>
      <c r="I27" s="388">
        <f>IF(H27,Wh_hp,'2024'!Maxi_hp)</f>
        <v>16.17097757884445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4.1084276585197421E-2</v>
      </c>
      <c r="M27" s="832"/>
      <c r="N27" s="832"/>
      <c r="O27" s="48">
        <f>IF(t&lt;Tnet,'2024'!Resal+('2024'!Salim-'2024'!Resal)*(1-EXP(('2024'!Tnet-t)/('2024'!Tau_j))),Resal+(Salim-Resal)*(1-EXP((Tnet-t)/(Tau_j))))*Salcycl</f>
        <v>2.8898343365774955E-2</v>
      </c>
      <c r="P27" s="169">
        <f>(INDEX(Models!$BJ27:$BT27,,T27)*(1-R27)+INDEX(Models!$BJ27:$BT27,,T27+1)*R27-ERP_i)*Q27*Ramure*Pc/MaxiM</f>
        <v>8.2271164597705129E-3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25.415148078377928</v>
      </c>
      <c r="W27" s="400">
        <f t="shared" si="10"/>
        <v>5.6330206064397927</v>
      </c>
      <c r="X27" s="157">
        <f t="shared" si="11"/>
        <v>45670</v>
      </c>
      <c r="Y27" s="383">
        <f t="shared" si="12"/>
        <v>5.4324725542927181</v>
      </c>
      <c r="Z27" s="383">
        <f t="shared" si="22"/>
        <v>5.6652241919103128</v>
      </c>
      <c r="AA27" s="384">
        <f t="shared" si="13"/>
        <v>6.0491757865195748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6.3471720472215012E-2</v>
      </c>
      <c r="AD27" s="230">
        <f>(INDEX(Models!$BJ27:$BT27,,AH27)*(1-AF27)+INDEX(Models!$BJ27:$BT27,,AH27+1)*AF27-ERP_i)*AE27*Ramure*Pc/MaxiM</f>
        <v>8.2271164597705129E-3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'2024'!Wh/'2024'!Env_an*'2025'!Env_an</f>
        <v>26.733015253760399</v>
      </c>
      <c r="C28" s="829"/>
      <c r="D28" s="391">
        <f t="shared" si="0"/>
        <v>27.878912549808746</v>
      </c>
      <c r="E28" s="383">
        <f t="shared" si="1"/>
        <v>28.710442042530783</v>
      </c>
      <c r="F28" s="383">
        <f t="shared" si="2"/>
        <v>28.944815761904703</v>
      </c>
      <c r="G28" s="110">
        <f t="shared" si="21"/>
        <v>1.0414287719294832</v>
      </c>
      <c r="H28" s="412" t="b">
        <f>Wh_hp&gt;='2024'!Maxi_hp</f>
        <v>1</v>
      </c>
      <c r="I28" s="388">
        <f>IF(H28,Wh_hp,'2024'!Maxi_hp)</f>
        <v>28.944815761904703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4.1102653986272775E-2</v>
      </c>
      <c r="M28" s="832"/>
      <c r="N28" s="832"/>
      <c r="O28" s="48">
        <f>IF(t&lt;Tnet,'2024'!Resal+('2024'!Salim-'2024'!Resal)*(1-EXP(('2024'!Tnet-t)/('2024'!Tau_j))),Resal+(Salim-Resal)*(1-EXP((Tnet-t)/(Tau_j))))*Salcycl</f>
        <v>2.89626154654893E-2</v>
      </c>
      <c r="P28" s="169">
        <f>(INDEX(Models!$BJ28:$BT28,,T28)*(1-R28)+INDEX(Models!$BJ28:$BT28,,T28+1)*R28-ERP_i)*Q28*Ramure*Pc/MaxiM</f>
        <v>8.0972607081640398E-3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25.669557030032326</v>
      </c>
      <c r="W28" s="400">
        <f t="shared" si="10"/>
        <v>26.733015253760399</v>
      </c>
      <c r="X28" s="157">
        <f t="shared" si="11"/>
        <v>45671</v>
      </c>
      <c r="Y28" s="383">
        <f t="shared" si="12"/>
        <v>25.782087683860968</v>
      </c>
      <c r="Z28" s="383">
        <f t="shared" si="22"/>
        <v>26.887223946380473</v>
      </c>
      <c r="AA28" s="384">
        <f t="shared" si="13"/>
        <v>28.710442042530783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6.3503658127222432E-2</v>
      </c>
      <c r="AD28" s="230">
        <f>(INDEX(Models!$BJ28:$BT28,,AH28)*(1-AF28)+INDEX(Models!$BJ28:$BT28,,AH28+1)*AF28-ERP_i)*AE28*Ramure*Pc/MaxiM</f>
        <v>8.0972607081640398E-3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'2024'!Wh/'2024'!Env_an*'2025'!Env_an</f>
        <v>27.048189063010764</v>
      </c>
      <c r="C29" s="829"/>
      <c r="D29" s="391">
        <f t="shared" si="0"/>
        <v>28.208136728882899</v>
      </c>
      <c r="E29" s="383">
        <f t="shared" si="1"/>
        <v>29.051407821194179</v>
      </c>
      <c r="F29" s="383">
        <f t="shared" si="2"/>
        <v>29.284841653101807</v>
      </c>
      <c r="G29" s="110">
        <f t="shared" si="21"/>
        <v>1.0430546469739899</v>
      </c>
      <c r="H29" s="412" t="b">
        <f>Wh_hp&gt;='2024'!Maxi_hp</f>
        <v>1</v>
      </c>
      <c r="I29" s="388">
        <f>IF(H29,Wh_hp,'2024'!Maxi_hp)</f>
        <v>29.284841653101807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4.1121031035149525E-2</v>
      </c>
      <c r="M29" s="832"/>
      <c r="N29" s="832"/>
      <c r="O29" s="48">
        <f>IF(t&lt;Tnet,'2024'!Resal+('2024'!Salim-'2024'!Resal)*(1-EXP(('2024'!Tnet-t)/('2024'!Tau_j))),Resal+(Salim-Resal)*(1-EXP((Tnet-t)/(Tau_j))))*Salcycl</f>
        <v>2.9026858095877864E-2</v>
      </c>
      <c r="P29" s="169">
        <f>(INDEX(Models!$BJ29:$BT29,,T29)*(1-R29)+INDEX(Models!$BJ29:$BT29,,T29+1)*R29-ERP_i)*Q29*Ramure*Pc/MaxiM</f>
        <v>7.9711488514366598E-3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25.931708507776062</v>
      </c>
      <c r="W29" s="400">
        <f t="shared" si="10"/>
        <v>27.048189063010764</v>
      </c>
      <c r="X29" s="157">
        <f t="shared" si="11"/>
        <v>45672</v>
      </c>
      <c r="Y29" s="383">
        <f t="shared" si="12"/>
        <v>26.086885507840709</v>
      </c>
      <c r="Z29" s="383">
        <f t="shared" si="22"/>
        <v>27.205608165546252</v>
      </c>
      <c r="AA29" s="384">
        <f t="shared" si="13"/>
        <v>29.051407821194179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6.3535635415965616E-2</v>
      </c>
      <c r="AD29" s="230">
        <f>(INDEX(Models!$BJ29:$BT29,,AH29)*(1-AF29)+INDEX(Models!$BJ29:$BT29,,AH29+1)*AF29-ERP_i)*AE29*Ramure*Pc/MaxiM</f>
        <v>7.9711488514366598E-3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'2024'!Wh/'2024'!Env_an*'2025'!Env_an</f>
        <v>26.464121758416528</v>
      </c>
      <c r="C30" s="829"/>
      <c r="D30" s="391">
        <f t="shared" si="0"/>
        <v>27.5995509376563</v>
      </c>
      <c r="E30" s="383">
        <f t="shared" si="1"/>
        <v>28.426508552632725</v>
      </c>
      <c r="F30" s="383">
        <f t="shared" si="2"/>
        <v>28.651235386050473</v>
      </c>
      <c r="G30" s="110">
        <f t="shared" si="21"/>
        <v>1.0100441522862182</v>
      </c>
      <c r="H30" s="412" t="b">
        <f>Wh_hp&gt;='2024'!Maxi_hp</f>
        <v>1</v>
      </c>
      <c r="I30" s="388">
        <f>IF(H30,Wh_hp,'2024'!Maxi_hp)</f>
        <v>28.651235386050473</v>
      </c>
      <c r="J30" s="85">
        <f>IF(H30,An,'2024'!An_max)</f>
        <v>2025</v>
      </c>
      <c r="K30" s="197">
        <f t="shared" si="3"/>
        <v>45673</v>
      </c>
      <c r="L30" s="147">
        <f>IF(t&lt;Tvie,1-EXP((T0-t)*PertePVj)+'2024'!Pspv,1-EXP((T0-t)*PertePVj)+Pspv)</f>
        <v>4.1139407731834221E-2</v>
      </c>
      <c r="M30" s="832"/>
      <c r="N30" s="832"/>
      <c r="O30" s="48">
        <f>IF(t&lt;Tnet,'2024'!Resal+('2024'!Salim-'2024'!Resal)*(1-EXP(('2024'!Tnet-t)/('2024'!Tau_j))),Resal+(Salim-Resal)*(1-EXP((Tnet-t)/(Tau_j))))*Salcycl</f>
        <v>2.9091072280131868E-2</v>
      </c>
      <c r="P30" s="169">
        <f>(INDEX(Models!$BJ30:$BT30,,T30)*(1-R30)+INDEX(Models!$BJ30:$BT30,,T30+1)*R30-ERP_i)*Q30*Ramure*Pc/MaxiM</f>
        <v>7.8435303186668547E-3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26.200955372609634</v>
      </c>
      <c r="W30" s="400">
        <f t="shared" si="10"/>
        <v>26.464121758416528</v>
      </c>
      <c r="X30" s="157">
        <f t="shared" si="11"/>
        <v>45673</v>
      </c>
      <c r="Y30" s="383">
        <f t="shared" si="12"/>
        <v>25.524391539298733</v>
      </c>
      <c r="Z30" s="383">
        <f t="shared" si="22"/>
        <v>26.619502089371814</v>
      </c>
      <c r="AA30" s="384">
        <f t="shared" si="13"/>
        <v>28.426508552632725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6.3567654111132618E-2</v>
      </c>
      <c r="AD30" s="230">
        <f>(INDEX(Models!$BJ30:$BT30,,AH30)*(1-AF30)+INDEX(Models!$BJ30:$BT30,,AH30+1)*AF30-ERP_i)*AE30*Ramure*Pc/MaxiM</f>
        <v>7.8435303186668547E-3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'2024'!Wh/'2024'!Env_an*'2025'!Env_an</f>
        <v>12.220982304957838</v>
      </c>
      <c r="C31" s="829"/>
      <c r="D31" s="391">
        <f t="shared" si="0"/>
        <v>12.745561367659636</v>
      </c>
      <c r="E31" s="383">
        <f t="shared" si="1"/>
        <v>13.128320969705623</v>
      </c>
      <c r="F31" s="383">
        <f t="shared" si="2"/>
        <v>13.151739478224018</v>
      </c>
      <c r="G31" s="110">
        <f t="shared" si="21"/>
        <v>0.4588344089845644</v>
      </c>
      <c r="H31" s="412" t="b">
        <f>Wh_hp&gt;='2024'!Maxi_hp</f>
        <v>0</v>
      </c>
      <c r="I31" s="388">
        <f>IF(H31,Wh_hp,'2024'!Maxi_hp)</f>
        <v>13.20492175837156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4.1157784076333859E-2</v>
      </c>
      <c r="M31" s="832"/>
      <c r="N31" s="832"/>
      <c r="O31" s="48">
        <f>IF(t&lt;Tnet,'2024'!Resal+('2024'!Salim-'2024'!Resal)*(1-EXP(('2024'!Tnet-t)/('2024'!Tau_j))),Resal+(Salim-Resal)*(1-EXP((Tnet-t)/(Tau_j))))*Salcycl</f>
        <v>2.9155259300045075E-2</v>
      </c>
      <c r="P31" s="169">
        <f>(INDEX(Models!$BJ31:$BT31,,T31)*(1-R31)+INDEX(Models!$BJ31:$BT31,,T31+1)*R31-ERP_i)*Q31*Ramure*Pc/MaxiM</f>
        <v>7.7142120656121171E-3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26.476521009664737</v>
      </c>
      <c r="W31" s="400">
        <f t="shared" si="10"/>
        <v>12.220982304957838</v>
      </c>
      <c r="X31" s="157">
        <f t="shared" si="11"/>
        <v>45674</v>
      </c>
      <c r="Y31" s="383">
        <f t="shared" si="12"/>
        <v>11.787395877821961</v>
      </c>
      <c r="Z31" s="383">
        <f t="shared" si="22"/>
        <v>12.293363477396536</v>
      </c>
      <c r="AA31" s="384">
        <f t="shared" si="13"/>
        <v>13.128320969705623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6.3599716539213313E-2</v>
      </c>
      <c r="AD31" s="230">
        <f>(INDEX(Models!$BJ31:$BT31,,AH31)*(1-AF31)+INDEX(Models!$BJ31:$BT31,,AH31+1)*AF31-ERP_i)*AE31*Ramure*Pc/MaxiM</f>
        <v>7.7142120656121171E-3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'2024'!Wh/'2024'!Env_an*'2025'!Env_an</f>
        <v>3.8825753105881389</v>
      </c>
      <c r="C32" s="829"/>
      <c r="D32" s="391">
        <f t="shared" si="0"/>
        <v>4.0493103622310267</v>
      </c>
      <c r="E32" s="383">
        <f t="shared" si="1"/>
        <v>4.1711901209258775</v>
      </c>
      <c r="F32" s="383">
        <f t="shared" si="2"/>
        <v>4.1711901209258775</v>
      </c>
      <c r="G32" s="110">
        <f t="shared" si="21"/>
        <v>0.14400131447909972</v>
      </c>
      <c r="H32" s="412" t="b">
        <f>Wh_hp&gt;='2024'!Maxi_hp</f>
        <v>0</v>
      </c>
      <c r="I32" s="388">
        <f>IF(H32,Wh_hp,'2024'!Maxi_hp)</f>
        <v>29.066008249734857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4.1176160068654988E-2</v>
      </c>
      <c r="M32" s="832"/>
      <c r="N32" s="832"/>
      <c r="O32" s="48">
        <f>IF(t&lt;Tnet,'2024'!Resal+('2024'!Salim-'2024'!Resal)*(1-EXP(('2024'!Tnet-t)/('2024'!Tau_j))),Resal+(Salim-Resal)*(1-EXP((Tnet-t)/(Tau_j))))*Salcycl</f>
        <v>2.9219420635709953E-2</v>
      </c>
      <c r="P32" s="169">
        <f>(INDEX(Models!$BJ32:$BT32,,T32)*(1-R32)+INDEX(Models!$BJ32:$BT32,,T32+1)*R32-ERP_i)*Q32*Ramure*Pc/MaxiM</f>
        <v>7.5835476669024373E-3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26.757614189759334</v>
      </c>
      <c r="W32" s="400">
        <f t="shared" si="10"/>
        <v>3.8825753105881389</v>
      </c>
      <c r="X32" s="157">
        <f t="shared" si="11"/>
        <v>45675</v>
      </c>
      <c r="Y32" s="383">
        <f t="shared" si="12"/>
        <v>3.7449450817508239</v>
      </c>
      <c r="Z32" s="383">
        <f t="shared" si="22"/>
        <v>3.9057696792551324</v>
      </c>
      <c r="AA32" s="384">
        <f t="shared" si="13"/>
        <v>4.1711901209258775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6.3631825444539977E-2</v>
      </c>
      <c r="AD32" s="230">
        <f>(INDEX(Models!$BJ32:$BT32,,AH32)*(1-AF32)+INDEX(Models!$BJ32:$BT32,,AH32+1)*AF32-ERP_i)*AE32*Ramure*Pc/MaxiM</f>
        <v>7.5835476669024373E-3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'2024'!Wh/'2024'!Env_an*'2025'!Env_an</f>
        <v>10.594253107775202</v>
      </c>
      <c r="C33" s="829"/>
      <c r="D33" s="391">
        <f t="shared" si="0"/>
        <v>11.049429214097238</v>
      </c>
      <c r="E33" s="383">
        <f t="shared" si="1"/>
        <v>11.382756832943501</v>
      </c>
      <c r="F33" s="383">
        <f t="shared" si="2"/>
        <v>11.39388547011281</v>
      </c>
      <c r="G33" s="110">
        <f t="shared" si="21"/>
        <v>0.38921029280688513</v>
      </c>
      <c r="H33" s="412" t="b">
        <f>Wh_hp&gt;='2024'!Maxi_hp</f>
        <v>0</v>
      </c>
      <c r="I33" s="388">
        <f>IF(H33,Wh_hp,'2024'!Maxi_hp)</f>
        <v>30.468754573897851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4.1194535708804381E-2</v>
      </c>
      <c r="M33" s="832"/>
      <c r="N33" s="832"/>
      <c r="O33" s="48">
        <f>IF(t&lt;Tnet,'2024'!Resal+('2024'!Salim-'2024'!Resal)*(1-EXP(('2024'!Tnet-t)/('2024'!Tau_j))),Resal+(Salim-Resal)*(1-EXP((Tnet-t)/(Tau_j))))*Salcycl</f>
        <v>2.9283557905898667E-2</v>
      </c>
      <c r="P33" s="169">
        <f>(INDEX(Models!$BJ33:$BT33,,T33)*(1-R33)+INDEX(Models!$BJ33:$BT33,,T33+1)*R33-ERP_i)*Q33*Ramure*Pc/MaxiM</f>
        <v>7.4518638223633714E-3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27.043443925205572</v>
      </c>
      <c r="W33" s="400">
        <f t="shared" si="10"/>
        <v>10.594253107775202</v>
      </c>
      <c r="X33" s="157">
        <f t="shared" si="11"/>
        <v>45676</v>
      </c>
      <c r="Y33" s="383">
        <f t="shared" si="12"/>
        <v>10.219030314922263</v>
      </c>
      <c r="Z33" s="383">
        <f t="shared" si="22"/>
        <v>10.65808518569172</v>
      </c>
      <c r="AA33" s="384">
        <f t="shared" si="13"/>
        <v>11.382756832943501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6.3663983856219117E-2</v>
      </c>
      <c r="AD33" s="230">
        <f>(INDEX(Models!$BJ33:$BT33,,AH33)*(1-AF33)+INDEX(Models!$BJ33:$BT33,,AH33+1)*AF33-ERP_i)*AE33*Ramure*Pc/MaxiM</f>
        <v>7.4518638223633714E-3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'2024'!Wh/'2024'!Env_an*'2025'!Env_an</f>
        <v>6.6350060065586449</v>
      </c>
      <c r="C34" s="829"/>
      <c r="D34" s="391">
        <f t="shared" si="0"/>
        <v>6.9202079196296129</v>
      </c>
      <c r="E34" s="383">
        <f t="shared" si="1"/>
        <v>7.1294404039206265</v>
      </c>
      <c r="F34" s="383">
        <f t="shared" si="2"/>
        <v>7.1294404039206265</v>
      </c>
      <c r="G34" s="110">
        <f t="shared" si="21"/>
        <v>0.24096836996638027</v>
      </c>
      <c r="H34" s="412" t="b">
        <f>Wh_hp&gt;='2024'!Maxi_hp</f>
        <v>0</v>
      </c>
      <c r="I34" s="388">
        <f>IF(H34,Wh_hp,'2024'!Maxi_hp)</f>
        <v>12.26188245483894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4.121291099678881E-2</v>
      </c>
      <c r="M34" s="832"/>
      <c r="N34" s="832"/>
      <c r="O34" s="48">
        <f>IF(t&lt;Tnet,'2024'!Resal+('2024'!Salim-'2024'!Resal)*(1-EXP(('2024'!Tnet-t)/('2024'!Tau_j))),Resal+(Salim-Resal)*(1-EXP((Tnet-t)/(Tau_j))))*Salcycl</f>
        <v>2.9347672809769521E-2</v>
      </c>
      <c r="P34" s="169">
        <f>(INDEX(Models!$BJ34:$BT34,,T34)*(1-R34)+INDEX(Models!$BJ34:$BT34,,T34+1)*R34-ERP_i)*Q34*Ramure*Pc/MaxiM</f>
        <v>7.3195013220691734E-3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27.33321834828628</v>
      </c>
      <c r="W34" s="400">
        <f t="shared" si="10"/>
        <v>6.6350060065586449</v>
      </c>
      <c r="X34" s="157">
        <f t="shared" si="11"/>
        <v>45677</v>
      </c>
      <c r="Y34" s="383">
        <f t="shared" si="12"/>
        <v>6.4002127192048999</v>
      </c>
      <c r="Z34" s="383">
        <f t="shared" si="22"/>
        <v>6.6753221780017773</v>
      </c>
      <c r="AA34" s="384">
        <f t="shared" si="13"/>
        <v>7.1294404039206265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6.3696194959301428E-2</v>
      </c>
      <c r="AD34" s="230">
        <f>(INDEX(Models!$BJ34:$BT34,,AH34)*(1-AF34)+INDEX(Models!$BJ34:$BT34,,AH34+1)*AF34-ERP_i)*AE34*Ramure*Pc/MaxiM</f>
        <v>7.3195013220691734E-3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'2024'!Wh/'2024'!Env_an*'2025'!Env_an</f>
        <v>21.155696206652959</v>
      </c>
      <c r="C35" s="829"/>
      <c r="D35" s="391">
        <f t="shared" si="0"/>
        <v>22.065484507628685</v>
      </c>
      <c r="E35" s="383">
        <f t="shared" si="1"/>
        <v>22.734135608701276</v>
      </c>
      <c r="F35" s="383">
        <f t="shared" si="2"/>
        <v>22.843375930785889</v>
      </c>
      <c r="G35" s="110">
        <f t="shared" si="21"/>
        <v>0.76393501627950589</v>
      </c>
      <c r="H35" s="412" t="b">
        <f>Wh_hp&gt;='2024'!Maxi_hp</f>
        <v>0</v>
      </c>
      <c r="I35" s="388">
        <f>IF(H35,Wh_hp,'2024'!Maxi_hp)</f>
        <v>22.880726638611495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4.1231285932615047E-2</v>
      </c>
      <c r="M35" s="832"/>
      <c r="N35" s="832"/>
      <c r="O35" s="48">
        <f>IF(t&lt;Tnet,'2024'!Resal+('2024'!Salim-'2024'!Resal)*(1-EXP(('2024'!Tnet-t)/('2024'!Tau_j))),Resal+(Salim-Resal)*(1-EXP((Tnet-t)/(Tau_j))))*Salcycl</f>
        <v>2.9411767070513663E-2</v>
      </c>
      <c r="P35" s="169">
        <f>(INDEX(Models!$BJ35:$BT35,,T35)*(1-R35)+INDEX(Models!$BJ35:$BT35,,T35+1)*R35-ERP_i)*Q35*Ramure*Pc/MaxiM</f>
        <v>7.1867897624008506E-3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27.626145370986283</v>
      </c>
      <c r="W35" s="400">
        <f t="shared" si="10"/>
        <v>21.155696206652959</v>
      </c>
      <c r="X35" s="157">
        <f t="shared" si="11"/>
        <v>45678</v>
      </c>
      <c r="Y35" s="383">
        <f t="shared" si="12"/>
        <v>20.407702827473354</v>
      </c>
      <c r="Z35" s="383">
        <f t="shared" si="22"/>
        <v>21.285324112108068</v>
      </c>
      <c r="AA35" s="384">
        <f t="shared" si="13"/>
        <v>22.734135608701276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6.3728461971463229E-2</v>
      </c>
      <c r="AD35" s="230">
        <f>(INDEX(Models!$BJ35:$BT35,,AH35)*(1-AF35)+INDEX(Models!$BJ35:$BT35,,AH35+1)*AF35-ERP_i)*AE35*Ramure*Pc/MaxiM</f>
        <v>7.1867897624008506E-3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'2024'!Wh/'2024'!Env_an*'2025'!Env_an</f>
        <v>28.241471218306039</v>
      </c>
      <c r="C36" s="829"/>
      <c r="D36" s="391">
        <f t="shared" si="0"/>
        <v>29.456543643587292</v>
      </c>
      <c r="E36" s="383">
        <f t="shared" si="1"/>
        <v>30.351169944980406</v>
      </c>
      <c r="F36" s="383">
        <f t="shared" si="2"/>
        <v>30.566788013971937</v>
      </c>
      <c r="G36" s="110">
        <f t="shared" si="21"/>
        <v>1.011462059241816</v>
      </c>
      <c r="H36" s="412" t="b">
        <f>Wh_hp&gt;='2024'!Maxi_hp</f>
        <v>1</v>
      </c>
      <c r="I36" s="388">
        <f>IF(H36,Wh_hp,'2024'!Maxi_hp)</f>
        <v>30.566788013971937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4.1249660516289866E-2</v>
      </c>
      <c r="M36" s="832"/>
      <c r="N36" s="832"/>
      <c r="O36" s="48">
        <f>IF(t&lt;Tnet,'2024'!Resal+('2024'!Salim-'2024'!Resal)*(1-EXP(('2024'!Tnet-t)/('2024'!Tau_j))),Resal+(Salim-Resal)*(1-EXP((Tnet-t)/(Tau_j))))*Salcycl</f>
        <v>2.9475842381524814E-2</v>
      </c>
      <c r="P36" s="169">
        <f>(INDEX(Models!$BJ36:$BT36,,T36)*(1-R36)+INDEX(Models!$BJ36:$BT36,,T36+1)*R36-ERP_i)*Q36*Ramure*Pc/MaxiM</f>
        <v>7.0539982445317244E-3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27.92143408668796</v>
      </c>
      <c r="W36" s="400">
        <f t="shared" si="10"/>
        <v>28.241471218306039</v>
      </c>
      <c r="X36" s="157">
        <f t="shared" si="11"/>
        <v>45679</v>
      </c>
      <c r="Y36" s="383">
        <f t="shared" si="12"/>
        <v>27.243806916959315</v>
      </c>
      <c r="Z36" s="383">
        <f t="shared" si="22"/>
        <v>28.415955431765671</v>
      </c>
      <c r="AA36" s="384">
        <f t="shared" si="13"/>
        <v>30.351169944980406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6.3760788026386711E-2</v>
      </c>
      <c r="AD36" s="230">
        <f>(INDEX(Models!$BJ36:$BT36,,AH36)*(1-AF36)+INDEX(Models!$BJ36:$BT36,,AH36+1)*AF36-ERP_i)*AE36*Ramure*Pc/MaxiM</f>
        <v>7.0539982445317244E-3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'2024'!Wh/'2024'!Env_an*'2025'!Env_an</f>
        <v>28.368414662167865</v>
      </c>
      <c r="C37" s="829"/>
      <c r="D37" s="391">
        <f t="shared" si="0"/>
        <v>29.589515829594752</v>
      </c>
      <c r="E37" s="383">
        <f t="shared" si="1"/>
        <v>30.490193095458746</v>
      </c>
      <c r="F37" s="383">
        <f t="shared" si="2"/>
        <v>30.702667936607373</v>
      </c>
      <c r="G37" s="110">
        <f t="shared" si="21"/>
        <v>1.0051787273423884</v>
      </c>
      <c r="H37" s="412" t="b">
        <f>Wh_hp&gt;='2024'!Maxi_hp</f>
        <v>1</v>
      </c>
      <c r="I37" s="388">
        <f>IF(H37,Wh_hp,'2024'!Maxi_hp)</f>
        <v>30.702667936607373</v>
      </c>
      <c r="J37" s="85">
        <f>IF(H37,An,'2024'!An_max)</f>
        <v>2025</v>
      </c>
      <c r="K37" s="197">
        <f t="shared" si="3"/>
        <v>45680</v>
      </c>
      <c r="L37" s="147">
        <f>IF(t&lt;Tvie,1-EXP((T0-t)*PertePVj)+'2024'!Pspv,1-EXP((T0-t)*PertePVj)+Pspv)</f>
        <v>4.1268034747820037E-2</v>
      </c>
      <c r="M37" s="832"/>
      <c r="N37" s="832"/>
      <c r="O37" s="48">
        <f>IF(t&lt;Tnet,'2024'!Resal+('2024'!Salim-'2024'!Resal)*(1-EXP(('2024'!Tnet-t)/('2024'!Tau_j))),Resal+(Salim-Resal)*(1-EXP((Tnet-t)/(Tau_j))))*Salcycl</f>
        <v>2.9539900355637413E-2</v>
      </c>
      <c r="P37" s="169">
        <f>(INDEX(Models!$BJ37:$BT37,,T37)*(1-R37)+INDEX(Models!$BJ37:$BT37,,T37+1)*R37-ERP_i)*Q37*Ramure*Pc/MaxiM</f>
        <v>6.920403190606406E-3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28.222259276389252</v>
      </c>
      <c r="W37" s="400">
        <f t="shared" si="10"/>
        <v>28.368414662167865</v>
      </c>
      <c r="X37" s="157">
        <f t="shared" si="11"/>
        <v>45680</v>
      </c>
      <c r="Y37" s="383">
        <f t="shared" si="12"/>
        <v>27.367125552790903</v>
      </c>
      <c r="Z37" s="383">
        <f t="shared" si="22"/>
        <v>28.545126839066427</v>
      </c>
      <c r="AA37" s="384">
        <f t="shared" si="13"/>
        <v>30.490193095458746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6.3793176064930138E-2</v>
      </c>
      <c r="AD37" s="230">
        <f>(INDEX(Models!$BJ37:$BT37,,AH37)*(1-AF37)+INDEX(Models!$BJ37:$BT37,,AH37+1)*AF37-ERP_i)*AE37*Ramure*Pc/MaxiM</f>
        <v>6.920403190606406E-3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'2024'!Wh/'2024'!Env_an*'2025'!Env_an</f>
        <v>28.920382770543082</v>
      </c>
      <c r="C38" s="829"/>
      <c r="D38" s="391">
        <f t="shared" si="0"/>
        <v>30.165821190801946</v>
      </c>
      <c r="E38" s="383">
        <f t="shared" si="1"/>
        <v>31.086092072376424</v>
      </c>
      <c r="F38" s="383">
        <f t="shared" si="2"/>
        <v>31.298408115461402</v>
      </c>
      <c r="G38" s="110">
        <f t="shared" si="21"/>
        <v>1.013620723408297</v>
      </c>
      <c r="H38" s="412" t="b">
        <f>Wh_hp&gt;='2024'!Maxi_hp</f>
        <v>1</v>
      </c>
      <c r="I38" s="388">
        <f>IF(H38,Wh_hp,'2024'!Maxi_hp)</f>
        <v>31.298408115461402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4.1286408627212112E-2</v>
      </c>
      <c r="M38" s="832"/>
      <c r="N38" s="832"/>
      <c r="O38" s="48">
        <f>IF(t&lt;Tnet,'2024'!Resal+('2024'!Salim-'2024'!Resal)*(1-EXP(('2024'!Tnet-t)/('2024'!Tau_j))),Resal+(Salim-Resal)*(1-EXP((Tnet-t)/(Tau_j))))*Salcycl</f>
        <v>2.9603942477936716E-2</v>
      </c>
      <c r="P38" s="169">
        <f>(INDEX(Models!$BJ38:$BT38,,T38)*(1-R38)+INDEX(Models!$BJ38:$BT38,,T38+1)*R38-ERP_i)*Q38*Ramure*Pc/MaxiM</f>
        <v>6.7836051693662483E-3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28.531759565154086</v>
      </c>
      <c r="W38" s="400">
        <f t="shared" si="10"/>
        <v>28.920382770543082</v>
      </c>
      <c r="X38" s="157">
        <f t="shared" si="11"/>
        <v>45681</v>
      </c>
      <c r="Y38" s="383">
        <f t="shared" si="12"/>
        <v>27.900485525559272</v>
      </c>
      <c r="Z38" s="383">
        <f t="shared" si="22"/>
        <v>29.102002700940535</v>
      </c>
      <c r="AA38" s="384">
        <f t="shared" si="13"/>
        <v>31.086092072376424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6.3825628735076023E-2</v>
      </c>
      <c r="AD38" s="230">
        <f>(INDEX(Models!$BJ38:$BT38,,AH38)*(1-AF38)+INDEX(Models!$BJ38:$BT38,,AH38+1)*AF38-ERP_i)*AE38*Ramure*Pc/MaxiM</f>
        <v>6.7836051693662483E-3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'2024'!Wh/'2024'!Env_an*'2025'!Env_an</f>
        <v>27.966687850478273</v>
      </c>
      <c r="C39" s="829"/>
      <c r="D39" s="391">
        <f t="shared" si="0"/>
        <v>29.171615055437258</v>
      </c>
      <c r="E39" s="383">
        <f t="shared" si="1"/>
        <v>30.063539237511467</v>
      </c>
      <c r="F39" s="383">
        <f t="shared" si="2"/>
        <v>30.255696814862212</v>
      </c>
      <c r="G39" s="110">
        <f t="shared" si="21"/>
        <v>0.96912996140061713</v>
      </c>
      <c r="H39" s="412" t="b">
        <f>Wh_hp&gt;='2024'!Maxi_hp</f>
        <v>0</v>
      </c>
      <c r="I39" s="388">
        <f>IF(H39,Wh_hp,'2024'!Maxi_hp)</f>
        <v>30.261651120262506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4.1304782154473085E-2</v>
      </c>
      <c r="M39" s="832"/>
      <c r="N39" s="832"/>
      <c r="O39" s="48">
        <f>IF(t&lt;Tnet,'2024'!Resal+('2024'!Salim-'2024'!Resal)*(1-EXP(('2024'!Tnet-t)/('2024'!Tau_j))),Resal+(Salim-Resal)*(1-EXP((Tnet-t)/(Tau_j))))*Salcycl</f>
        <v>2.9667970062597231E-2</v>
      </c>
      <c r="P39" s="169">
        <f>(INDEX(Models!$BJ39:$BT39,,T39)*(1-R39)+INDEX(Models!$BJ39:$BT39,,T39+1)*R39-ERP_i)*Q39*Ramure*Pc/MaxiM</f>
        <v>6.6413168639215796E-3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28.849092753112224</v>
      </c>
      <c r="W39" s="400">
        <f t="shared" si="10"/>
        <v>27.966687850478273</v>
      </c>
      <c r="X39" s="157">
        <f t="shared" si="11"/>
        <v>45682</v>
      </c>
      <c r="Y39" s="383">
        <f t="shared" si="12"/>
        <v>26.981266352620334</v>
      </c>
      <c r="Z39" s="383">
        <f t="shared" si="22"/>
        <v>28.14373729041359</v>
      </c>
      <c r="AA39" s="384">
        <f t="shared" si="13"/>
        <v>30.063539237511467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6.3858148301530165E-2</v>
      </c>
      <c r="AD39" s="230">
        <f>(INDEX(Models!$BJ39:$BT39,,AH39)*(1-AF39)+INDEX(Models!$BJ39:$BT39,,AH39+1)*AF39-ERP_i)*AE39*Ramure*Pc/MaxiM</f>
        <v>6.6413168639215796E-3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'2024'!Wh/'2024'!Env_an*'2025'!Env_an</f>
        <v>28.649261604131169</v>
      </c>
      <c r="C40" s="829"/>
      <c r="D40" s="391">
        <f t="shared" si="0"/>
        <v>29.884169794443377</v>
      </c>
      <c r="E40" s="383">
        <f t="shared" si="1"/>
        <v>30.799912300767183</v>
      </c>
      <c r="F40" s="383">
        <f t="shared" si="2"/>
        <v>30.996036162615731</v>
      </c>
      <c r="G40" s="110">
        <f t="shared" si="21"/>
        <v>0.98187108437304593</v>
      </c>
      <c r="H40" s="412" t="b">
        <f>Wh_hp&gt;='2024'!Maxi_hp</f>
        <v>0</v>
      </c>
      <c r="I40" s="388">
        <f>IF(H40,Wh_hp,'2024'!Maxi_hp)</f>
        <v>30.999537323642969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4.1323155329609507E-2</v>
      </c>
      <c r="M40" s="832"/>
      <c r="N40" s="832"/>
      <c r="O40" s="48">
        <f>IF(t&lt;Tnet,'2024'!Resal+('2024'!Salim-'2024'!Resal)*(1-EXP(('2024'!Tnet-t)/('2024'!Tau_j))),Resal+(Salim-Resal)*(1-EXP((Tnet-t)/(Tau_j))))*Salcycl</f>
        <v>2.9731984214156224E-2</v>
      </c>
      <c r="P40" s="169">
        <f>(INDEX(Models!$BJ40:$BT40,,T40)*(1-R40)+INDEX(Models!$BJ40:$BT40,,T40+1)*R40-ERP_i)*Q40*Ramure*Pc/MaxiM</f>
        <v>6.4940428846183952E-3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29.173337557714639</v>
      </c>
      <c r="W40" s="400">
        <f t="shared" si="10"/>
        <v>28.649261604131169</v>
      </c>
      <c r="X40" s="157">
        <f t="shared" si="11"/>
        <v>45683</v>
      </c>
      <c r="Y40" s="383">
        <f t="shared" si="12"/>
        <v>27.640650564429613</v>
      </c>
      <c r="Z40" s="383">
        <f t="shared" si="22"/>
        <v>28.832083217711325</v>
      </c>
      <c r="AA40" s="384">
        <f t="shared" si="13"/>
        <v>30.799912300767183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6.3890736565728565E-2</v>
      </c>
      <c r="AD40" s="230">
        <f>(INDEX(Models!$BJ40:$BT40,,AH40)*(1-AF40)+INDEX(Models!$BJ40:$BT40,,AH40+1)*AF40-ERP_i)*AE40*Ramure*Pc/MaxiM</f>
        <v>6.4940428846183952E-3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'2024'!Wh/'2024'!Env_an*'2025'!Env_an</f>
        <v>27.378219810462621</v>
      </c>
      <c r="C41" s="829"/>
      <c r="D41" s="391">
        <f t="shared" si="0"/>
        <v>28.558887877664858</v>
      </c>
      <c r="E41" s="383">
        <f t="shared" si="1"/>
        <v>29.435961364295625</v>
      </c>
      <c r="F41" s="383">
        <f t="shared" si="2"/>
        <v>29.604397666847767</v>
      </c>
      <c r="G41" s="110">
        <f t="shared" si="21"/>
        <v>0.92735372097525137</v>
      </c>
      <c r="H41" s="412" t="b">
        <f>Wh_hp&gt;='2024'!Maxi_hp</f>
        <v>0</v>
      </c>
      <c r="I41" s="388">
        <f>IF(H41,Wh_hp,'2024'!Maxi_hp)</f>
        <v>29.617485688648788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4.1341528152628371E-2</v>
      </c>
      <c r="M41" s="832"/>
      <c r="N41" s="832"/>
      <c r="O41" s="48">
        <f>IF(t&lt;Tnet,'2024'!Resal+('2024'!Salim-'2024'!Resal)*(1-EXP(('2024'!Tnet-t)/('2024'!Tau_j))),Resal+(Salim-Resal)*(1-EXP((Tnet-t)/(Tau_j))))*Salcycl</f>
        <v>2.9795985793574686E-2</v>
      </c>
      <c r="P41" s="169">
        <f>(INDEX(Models!$BJ41:$BT41,,T41)*(1-R41)+INDEX(Models!$BJ41:$BT41,,T41+1)*R41-ERP_i)*Q41*Ramure*Pc/MaxiM</f>
        <v>6.3422529182547826E-3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29.503573074518705</v>
      </c>
      <c r="W41" s="400">
        <f t="shared" si="10"/>
        <v>27.378219810462621</v>
      </c>
      <c r="X41" s="157">
        <f t="shared" si="11"/>
        <v>45684</v>
      </c>
      <c r="Y41" s="383">
        <f t="shared" si="12"/>
        <v>26.415177304378613</v>
      </c>
      <c r="Z41" s="383">
        <f t="shared" si="22"/>
        <v>27.554314784779979</v>
      </c>
      <c r="AA41" s="384">
        <f t="shared" si="13"/>
        <v>29.435961364295625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6.3923394796882374E-2</v>
      </c>
      <c r="AD41" s="230">
        <f>(INDEX(Models!$BJ41:$BT41,,AH41)*(1-AF41)+INDEX(Models!$BJ41:$BT41,,AH41+1)*AF41-ERP_i)*AE41*Ramure*Pc/MaxiM</f>
        <v>6.3422529182547826E-3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'2024'!Wh/'2024'!Env_an*'2025'!Env_an</f>
        <v>4.3270288288500787</v>
      </c>
      <c r="C42" s="829"/>
      <c r="D42" s="391">
        <f t="shared" si="0"/>
        <v>4.5137156599901704</v>
      </c>
      <c r="E42" s="383">
        <f t="shared" si="1"/>
        <v>4.6526434797923386</v>
      </c>
      <c r="F42" s="383">
        <f t="shared" si="2"/>
        <v>4.6526434797923386</v>
      </c>
      <c r="G42" s="110">
        <f t="shared" si="21"/>
        <v>0.14411601087134487</v>
      </c>
      <c r="H42" s="412" t="b">
        <f>Wh_hp&gt;='2024'!Maxi_hp</f>
        <v>0</v>
      </c>
      <c r="I42" s="388">
        <f>IF(H42,Wh_hp,'2024'!Maxi_hp)</f>
        <v>18.471919028830147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4.1359900623536117E-2</v>
      </c>
      <c r="M42" s="832"/>
      <c r="N42" s="832"/>
      <c r="O42" s="48">
        <f>IF(t&lt;Tnet,'2024'!Resal+('2024'!Salim-'2024'!Resal)*(1-EXP(('2024'!Tnet-t)/('2024'!Tau_j))),Resal+(Salim-Resal)*(1-EXP((Tnet-t)/(Tau_j))))*Salcycl</f>
        <v>2.9859975389381961E-2</v>
      </c>
      <c r="P42" s="169">
        <f>(INDEX(Models!$BJ42:$BT42,,T42)*(1-R42)+INDEX(Models!$BJ42:$BT42,,T42+1)*R42-ERP_i)*Q42*Ramure*Pc/MaxiM</f>
        <v>6.186381018126047E-3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29.838878788265387</v>
      </c>
      <c r="W42" s="400">
        <f t="shared" si="10"/>
        <v>4.3270288288500787</v>
      </c>
      <c r="X42" s="157">
        <f t="shared" si="11"/>
        <v>45685</v>
      </c>
      <c r="Y42" s="383">
        <f t="shared" si="12"/>
        <v>4.1749528265823166</v>
      </c>
      <c r="Z42" s="383">
        <f t="shared" si="22"/>
        <v>4.3550784379850844</v>
      </c>
      <c r="AA42" s="384">
        <f t="shared" si="13"/>
        <v>4.6526434797923386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6.395612367456438E-2</v>
      </c>
      <c r="AD42" s="230">
        <f>(INDEX(Models!$BJ42:$BT42,,AH42)*(1-AF42)+INDEX(Models!$BJ42:$BT42,,AH42+1)*AF42-ERP_i)*AE42*Ramure*Pc/MaxiM</f>
        <v>6.186381018126047E-3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'2024'!Wh/'2024'!Env_an*'2025'!Env_an</f>
        <v>9.1335808582147635</v>
      </c>
      <c r="C43" s="829"/>
      <c r="D43" s="391">
        <f t="shared" si="0"/>
        <v>9.5278258342248296</v>
      </c>
      <c r="E43" s="383">
        <f t="shared" si="1"/>
        <v>9.821730849430832</v>
      </c>
      <c r="F43" s="383">
        <f t="shared" si="2"/>
        <v>9.8219552479351862</v>
      </c>
      <c r="G43" s="110">
        <f t="shared" si="21"/>
        <v>0.30083640829190944</v>
      </c>
      <c r="H43" s="412" t="b">
        <f>Wh_hp&gt;='2024'!Maxi_hp</f>
        <v>0</v>
      </c>
      <c r="I43" s="388">
        <f>IF(H43,Wh_hp,'2024'!Maxi_hp)</f>
        <v>19.775703807846384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4.1378272742339739E-2</v>
      </c>
      <c r="M43" s="832"/>
      <c r="N43" s="832"/>
      <c r="O43" s="48">
        <f>IF(t&lt;Tnet,'2024'!Resal+('2024'!Salim-'2024'!Resal)*(1-EXP(('2024'!Tnet-t)/('2024'!Tau_j))),Resal+(Salim-Resal)*(1-EXP((Tnet-t)/(Tau_j))))*Salcycl</f>
        <v>2.9923953294141954E-2</v>
      </c>
      <c r="P43" s="169">
        <f>(INDEX(Models!$BJ43:$BT43,,T43)*(1-R43)+INDEX(Models!$BJ43:$BT43,,T43+1)*R43-ERP_i)*Q43*Ramure*Pc/MaxiM</f>
        <v>6.0268253682517056E-3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30.178334569042345</v>
      </c>
      <c r="W43" s="400">
        <f t="shared" si="10"/>
        <v>9.1335808582147635</v>
      </c>
      <c r="X43" s="157">
        <f t="shared" si="11"/>
        <v>45686</v>
      </c>
      <c r="Y43" s="383">
        <f t="shared" si="12"/>
        <v>8.8128481089431965</v>
      </c>
      <c r="Z43" s="383">
        <f t="shared" si="22"/>
        <v>9.1932488679911391</v>
      </c>
      <c r="AA43" s="384">
        <f t="shared" si="13"/>
        <v>9.821730849430832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6.398892324320965E-2</v>
      </c>
      <c r="AD43" s="230">
        <f>(INDEX(Models!$BJ43:$BT43,,AH43)*(1-AF43)+INDEX(Models!$BJ43:$BT43,,AH43+1)*AF43-ERP_i)*AE43*Ramure*Pc/MaxiM</f>
        <v>6.0268253682517056E-3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'2024'!Wh/'2024'!Env_an*'2025'!Env_an</f>
        <v>4.7172509857042408</v>
      </c>
      <c r="C44" s="829"/>
      <c r="D44" s="391">
        <f t="shared" si="0"/>
        <v>4.9209623132273244</v>
      </c>
      <c r="E44" s="383">
        <f t="shared" si="1"/>
        <v>5.0730938429363448</v>
      </c>
      <c r="F44" s="383">
        <f t="shared" si="2"/>
        <v>5.0730938429363448</v>
      </c>
      <c r="G44" s="110">
        <f t="shared" si="21"/>
        <v>0.15365112845411738</v>
      </c>
      <c r="H44" s="412" t="b">
        <f>Wh_hp&gt;='2024'!Maxi_hp</f>
        <v>0</v>
      </c>
      <c r="I44" s="388">
        <f>IF(H44,Wh_hp,'2024'!Maxi_hp)</f>
        <v>11.80160840972839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4.1396644509045899E-2</v>
      </c>
      <c r="M44" s="832"/>
      <c r="N44" s="832"/>
      <c r="O44" s="48">
        <f>IF(t&lt;Tnet,'2024'!Resal+('2024'!Salim-'2024'!Resal)*(1-EXP(('2024'!Tnet-t)/('2024'!Tau_j))),Resal+(Salim-Resal)*(1-EXP((Tnet-t)/(Tau_j))))*Salcycl</f>
        <v>2.998791948641848E-2</v>
      </c>
      <c r="P44" s="169">
        <f>(INDEX(Models!$BJ44:$BT44,,T44)*(1-R44)+INDEX(Models!$BJ44:$BT44,,T44+1)*R44-ERP_i)*Q44*Ramure*Pc/MaxiM</f>
        <v>5.8667779833699663E-3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30.520933810646639</v>
      </c>
      <c r="W44" s="400">
        <f t="shared" si="10"/>
        <v>4.7172509857042408</v>
      </c>
      <c r="X44" s="157">
        <f t="shared" si="11"/>
        <v>45687</v>
      </c>
      <c r="Y44" s="383">
        <f t="shared" si="12"/>
        <v>4.5517413739864105</v>
      </c>
      <c r="Z44" s="383">
        <f t="shared" si="22"/>
        <v>4.7483052796693066</v>
      </c>
      <c r="AA44" s="384">
        <f t="shared" si="13"/>
        <v>5.0730938429363448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6.4021792878770897E-2</v>
      </c>
      <c r="AD44" s="230">
        <f>(INDEX(Models!$BJ44:$BT44,,AH44)*(1-AF44)+INDEX(Models!$BJ44:$BT44,,AH44+1)*AF44-ERP_i)*AE44*Ramure*Pc/MaxiM</f>
        <v>5.8667779833699663E-3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'2024'!Wh/'2024'!Env_an*'2025'!Env_an</f>
        <v>7.8228883405555099</v>
      </c>
      <c r="C45" s="829"/>
      <c r="D45" s="391">
        <f t="shared" si="0"/>
        <v>8.160870940507575</v>
      </c>
      <c r="E45" s="383">
        <f t="shared" si="1"/>
        <v>8.4137189593338491</v>
      </c>
      <c r="F45" s="383">
        <f t="shared" si="2"/>
        <v>8.4137189593338491</v>
      </c>
      <c r="G45" s="110">
        <f t="shared" si="21"/>
        <v>0.25200247637208639</v>
      </c>
      <c r="H45" s="412" t="b">
        <f>Wh_hp&gt;='2024'!Maxi_hp</f>
        <v>0</v>
      </c>
      <c r="I45" s="388">
        <f>IF(H45,Wh_hp,'2024'!Maxi_hp)</f>
        <v>23.12427848668732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4.1415015923661258E-2</v>
      </c>
      <c r="M45" s="832"/>
      <c r="N45" s="832"/>
      <c r="O45" s="48">
        <f>IF(t&lt;Tnet,'2024'!Resal+('2024'!Salim-'2024'!Resal)*(1-EXP(('2024'!Tnet-t)/('2024'!Tau_j))),Resal+(Salim-Resal)*(1-EXP((Tnet-t)/(Tau_j))))*Salcycl</f>
        <v>3.0051873618356959E-2</v>
      </c>
      <c r="P45" s="169">
        <f>(INDEX(Models!$BJ45:$BT45,,T45)*(1-R45)+INDEX(Models!$BJ45:$BT45,,T45+1)*R45-ERP_i)*Q45*Ramure*Pc/MaxiM</f>
        <v>5.7111132946704168E-3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30.865613111937702</v>
      </c>
      <c r="W45" s="400">
        <f t="shared" si="10"/>
        <v>7.8228883405555099</v>
      </c>
      <c r="X45" s="157">
        <f t="shared" si="11"/>
        <v>45688</v>
      </c>
      <c r="Y45" s="383">
        <f t="shared" si="12"/>
        <v>7.5486462945994699</v>
      </c>
      <c r="Z45" s="383">
        <f t="shared" si="22"/>
        <v>7.8747804524322893</v>
      </c>
      <c r="AA45" s="384">
        <f t="shared" si="13"/>
        <v>8.4137189593338491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6.4054731267637902E-2</v>
      </c>
      <c r="AD45" s="230">
        <f>(INDEX(Models!$BJ45:$BT45,,AH45)*(1-AF45)+INDEX(Models!$BJ45:$BT45,,AH45+1)*AF45-ERP_i)*AE45*Ramure*Pc/MaxiM</f>
        <v>5.7111132946704168E-3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'2024'!Wh/'2024'!Env_an*'2025'!Env_an</f>
        <v>12.982706851503053</v>
      </c>
      <c r="C46" s="829"/>
      <c r="D46" s="391">
        <f t="shared" si="0"/>
        <v>13.543875485798971</v>
      </c>
      <c r="E46" s="383">
        <f t="shared" si="1"/>
        <v>13.964425542131911</v>
      </c>
      <c r="F46" s="383">
        <f t="shared" si="2"/>
        <v>13.977299075556859</v>
      </c>
      <c r="G46" s="110">
        <f t="shared" si="21"/>
        <v>0.41402834665506871</v>
      </c>
      <c r="H46" s="412" t="b">
        <f>Wh_hp&gt;='2024'!Maxi_hp</f>
        <v>0</v>
      </c>
      <c r="I46" s="388">
        <f>IF(H46,Wh_hp,'2024'!Maxi_hp)</f>
        <v>14.021130827306354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4.14333869861927E-2</v>
      </c>
      <c r="M46" s="832"/>
      <c r="N46" s="832"/>
      <c r="O46" s="48">
        <f>IF(t&lt;Tnet,'2024'!Resal+('2024'!Salim-'2024'!Resal)*(1-EXP(('2024'!Tnet-t)/('2024'!Tau_j))),Resal+(Salim-Resal)*(1-EXP((Tnet-t)/(Tau_j))))*Salcycl</f>
        <v>3.0115815008938399E-2</v>
      </c>
      <c r="P46" s="169">
        <f>(INDEX(Models!$BJ46:$BT46,,T46)*(1-R46)+INDEX(Models!$BJ46:$BT46,,T46+1)*R46-ERP_i)*Q46*Ramure*Pc/MaxiM</f>
        <v>5.5598805966500806E-3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31.211453559889641</v>
      </c>
      <c r="W46" s="400">
        <f t="shared" si="10"/>
        <v>12.982706851503053</v>
      </c>
      <c r="X46" s="157">
        <f t="shared" si="11"/>
        <v>45689</v>
      </c>
      <c r="Y46" s="383">
        <f t="shared" si="12"/>
        <v>12.527964415860634</v>
      </c>
      <c r="Z46" s="383">
        <f t="shared" si="22"/>
        <v>13.069477119041052</v>
      </c>
      <c r="AA46" s="384">
        <f t="shared" si="13"/>
        <v>13.964425542131911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6.4087736397800327E-2</v>
      </c>
      <c r="AD46" s="230">
        <f>(INDEX(Models!$BJ46:$BT46,,AH46)*(1-AF46)+INDEX(Models!$BJ46:$BT46,,AH46+1)*AF46-ERP_i)*AE46*Ramure*Pc/MaxiM</f>
        <v>5.5598805966500806E-3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'2024'!Wh/'2024'!Env_an*'2025'!Env_an</f>
        <v>5.4810915329702805</v>
      </c>
      <c r="C47" s="829"/>
      <c r="D47" s="391">
        <f t="shared" si="0"/>
        <v>5.7181175563990783</v>
      </c>
      <c r="E47" s="383">
        <f t="shared" si="1"/>
        <v>5.8960591027267073</v>
      </c>
      <c r="F47" s="383">
        <f t="shared" si="2"/>
        <v>5.8960591027267073</v>
      </c>
      <c r="G47" s="110">
        <f t="shared" si="21"/>
        <v>0.17274547964766626</v>
      </c>
      <c r="H47" s="412" t="b">
        <f>Wh_hp&gt;='2024'!Maxi_hp</f>
        <v>0</v>
      </c>
      <c r="I47" s="388">
        <f>IF(H47,Wh_hp,'2024'!Maxi_hp)</f>
        <v>29.977059055663016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4.1451757696646996E-2</v>
      </c>
      <c r="M47" s="832"/>
      <c r="N47" s="832"/>
      <c r="O47" s="48">
        <f>IF(t&lt;Tnet,'2024'!Resal+('2024'!Salim-'2024'!Resal)*(1-EXP(('2024'!Tnet-t)/('2024'!Tau_j))),Resal+(Salim-Resal)*(1-EXP((Tnet-t)/(Tau_j))))*Salcycl</f>
        <v>3.0179742642901568E-2</v>
      </c>
      <c r="P47" s="169">
        <f>(INDEX(Models!$BJ47:$BT47,,T47)*(1-R47)+INDEX(Models!$BJ47:$BT47,,T47+1)*R47-ERP_i)*Q47*Ramure*Pc/MaxiM</f>
        <v>5.4131069615218266E-3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31.557536610249976</v>
      </c>
      <c r="W47" s="400">
        <f t="shared" si="10"/>
        <v>5.4810915329702805</v>
      </c>
      <c r="X47" s="157">
        <f t="shared" si="11"/>
        <v>45690</v>
      </c>
      <c r="Y47" s="383">
        <f t="shared" si="12"/>
        <v>5.2892682840999869</v>
      </c>
      <c r="Z47" s="383">
        <f t="shared" si="22"/>
        <v>5.517999043418083</v>
      </c>
      <c r="AA47" s="384">
        <f t="shared" si="13"/>
        <v>5.8960591027267073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6.412080556210599E-2</v>
      </c>
      <c r="AD47" s="230">
        <f>(INDEX(Models!$BJ47:$BT47,,AH47)*(1-AF47)+INDEX(Models!$BJ47:$BT47,,AH47+1)*AF47-ERP_i)*AE47*Ramure*Pc/MaxiM</f>
        <v>5.4131069615218266E-3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'2024'!Wh/'2024'!Env_an*'2025'!Env_an</f>
        <v>10.757814671768246</v>
      </c>
      <c r="C48" s="829"/>
      <c r="D48" s="391">
        <f t="shared" si="0"/>
        <v>11.223244039269618</v>
      </c>
      <c r="E48" s="383">
        <f t="shared" si="1"/>
        <v>11.573261777728359</v>
      </c>
      <c r="F48" s="383">
        <f t="shared" si="2"/>
        <v>11.576504806591871</v>
      </c>
      <c r="G48" s="110">
        <f t="shared" si="21"/>
        <v>0.33552110413017172</v>
      </c>
      <c r="H48" s="412" t="b">
        <f>Wh_hp&gt;='2024'!Maxi_hp</f>
        <v>0</v>
      </c>
      <c r="I48" s="388">
        <f>IF(H48,Wh_hp,'2024'!Maxi_hp)</f>
        <v>27.588451395254136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4.1470128055030697E-2</v>
      </c>
      <c r="M48" s="832"/>
      <c r="N48" s="832"/>
      <c r="O48" s="48">
        <f>IF(t&lt;Tnet,'2024'!Resal+('2024'!Salim-'2024'!Resal)*(1-EXP(('2024'!Tnet-t)/('2024'!Tau_j))),Resal+(Salim-Resal)*(1-EXP((Tnet-t)/(Tau_j))))*Salcycl</f>
        <v>3.0243655175269311E-2</v>
      </c>
      <c r="P48" s="169">
        <f>(INDEX(Models!$BJ48:$BT48,,T48)*(1-R48)+INDEX(Models!$BJ48:$BT48,,T48+1)*R48-ERP_i)*Q48*Ramure*Pc/MaxiM</f>
        <v>5.2707998284726495E-3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31.902944076362651</v>
      </c>
      <c r="W48" s="400">
        <f t="shared" si="10"/>
        <v>10.757814671768246</v>
      </c>
      <c r="X48" s="157">
        <f t="shared" si="11"/>
        <v>45691</v>
      </c>
      <c r="Y48" s="383">
        <f t="shared" si="12"/>
        <v>10.381637179570916</v>
      </c>
      <c r="Z48" s="383">
        <f t="shared" si="22"/>
        <v>10.830791489581184</v>
      </c>
      <c r="AA48" s="384">
        <f t="shared" si="13"/>
        <v>11.573261777728359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6.415393537334374E-2</v>
      </c>
      <c r="AD48" s="230">
        <f>(INDEX(Models!$BJ48:$BT48,,AH48)*(1-AF48)+INDEX(Models!$BJ48:$BT48,,AH48+1)*AF48-ERP_i)*AE48*Ramure*Pc/MaxiM</f>
        <v>5.2707998284726495E-3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'2024'!Wh/'2024'!Env_an*'2025'!Env_an</f>
        <v>10.596538820471709</v>
      </c>
      <c r="C49" s="829"/>
      <c r="D49" s="391">
        <f t="shared" si="0"/>
        <v>11.055202570902434</v>
      </c>
      <c r="E49" s="383">
        <f t="shared" si="1"/>
        <v>11.400730800404398</v>
      </c>
      <c r="F49" s="383">
        <f t="shared" si="2"/>
        <v>11.40312289541453</v>
      </c>
      <c r="G49" s="110">
        <f t="shared" si="21"/>
        <v>0.32698974661575897</v>
      </c>
      <c r="H49" s="412" t="b">
        <f>Wh_hp&gt;='2024'!Maxi_hp</f>
        <v>0</v>
      </c>
      <c r="I49" s="388">
        <f>IF(H49,Wh_hp,'2024'!Maxi_hp)</f>
        <v>19.347515119040757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4.1488498061350687E-2</v>
      </c>
      <c r="M49" s="832"/>
      <c r="N49" s="832"/>
      <c r="O49" s="48">
        <f>IF(t&lt;Tnet,'2024'!Resal+('2024'!Salim-'2024'!Resal)*(1-EXP(('2024'!Tnet-t)/('2024'!Tau_j))),Resal+(Salim-Resal)*(1-EXP((Tnet-t)/(Tau_j))))*Salcycl</f>
        <v>3.0307550941357789E-2</v>
      </c>
      <c r="P49" s="169">
        <f>(INDEX(Models!$BJ49:$BT49,,T49)*(1-R49)+INDEX(Models!$BJ49:$BT49,,T49+1)*R49-ERP_i)*Q49*Ramure*Pc/MaxiM</f>
        <v>5.1329494503525698E-3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32.246758129236589</v>
      </c>
      <c r="W49" s="400">
        <f t="shared" si="10"/>
        <v>10.596538820471709</v>
      </c>
      <c r="X49" s="157">
        <f t="shared" si="11"/>
        <v>45692</v>
      </c>
      <c r="Y49" s="383">
        <f t="shared" si="12"/>
        <v>10.226311963414965</v>
      </c>
      <c r="Z49" s="383">
        <f t="shared" si="22"/>
        <v>10.668950704015144</v>
      </c>
      <c r="AA49" s="384">
        <f t="shared" si="13"/>
        <v>11.400730800404398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6.4187121790762608E-2</v>
      </c>
      <c r="AD49" s="230">
        <f>(INDEX(Models!$BJ49:$BT49,,AH49)*(1-AF49)+INDEX(Models!$BJ49:$BT49,,AH49+1)*AF49-ERP_i)*AE49*Ramure*Pc/MaxiM</f>
        <v>5.1329494503525698E-3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'2024'!Wh/'2024'!Env_an*'2025'!Env_an</f>
        <v>9.3119367253234877</v>
      </c>
      <c r="C50" s="829"/>
      <c r="D50" s="391">
        <f t="shared" si="0"/>
        <v>9.7151835643623823</v>
      </c>
      <c r="E50" s="383">
        <f t="shared" si="1"/>
        <v>10.019489776424159</v>
      </c>
      <c r="F50" s="383">
        <f t="shared" si="2"/>
        <v>10.019489776424159</v>
      </c>
      <c r="G50" s="110">
        <f t="shared" si="21"/>
        <v>0.28431827608222049</v>
      </c>
      <c r="H50" s="412" t="b">
        <f>Wh_hp&gt;='2024'!Maxi_hp</f>
        <v>0</v>
      </c>
      <c r="I50" s="388">
        <f>IF(H50,Wh_hp,'2024'!Maxi_hp)</f>
        <v>35.681802082367859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4.1506867715613738E-2</v>
      </c>
      <c r="M50" s="832"/>
      <c r="N50" s="832"/>
      <c r="O50" s="48">
        <f>IF(t&lt;Tnet,'2024'!Resal+('2024'!Salim-'2024'!Resal)*(1-EXP(('2024'!Tnet-t)/('2024'!Tau_j))),Resal+(Salim-Resal)*(1-EXP((Tnet-t)/(Tau_j))))*Salcycl</f>
        <v>3.0371427972091816E-2</v>
      </c>
      <c r="P50" s="169">
        <f>(INDEX(Models!$BJ50:$BT50,,T50)*(1-R50)+INDEX(Models!$BJ50:$BT50,,T50+1)*R50-ERP_i)*Q50*Ramure*Pc/MaxiM</f>
        <v>4.9995311906437471E-3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32.58806129135548</v>
      </c>
      <c r="W50" s="400">
        <f t="shared" si="10"/>
        <v>9.3119367253234877</v>
      </c>
      <c r="X50" s="157">
        <f t="shared" si="11"/>
        <v>45693</v>
      </c>
      <c r="Y50" s="383">
        <f t="shared" si="12"/>
        <v>8.9868647092716891</v>
      </c>
      <c r="Z50" s="383">
        <f t="shared" si="22"/>
        <v>9.3760345343875393</v>
      </c>
      <c r="AA50" s="384">
        <f t="shared" si="13"/>
        <v>10.019489776424159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6.422036015752712E-2</v>
      </c>
      <c r="AD50" s="230">
        <f>(INDEX(Models!$BJ50:$BT50,,AH50)*(1-AF50)+INDEX(Models!$BJ50:$BT50,,AH50+1)*AF50-ERP_i)*AE50*Ramure*Pc/MaxiM</f>
        <v>4.9995311906437471E-3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'2024'!Wh/'2024'!Env_an*'2025'!Env_an</f>
        <v>21.695687484142155</v>
      </c>
      <c r="C51" s="829"/>
      <c r="D51" s="391">
        <f t="shared" si="0"/>
        <v>22.635637704887252</v>
      </c>
      <c r="E51" s="383">
        <f t="shared" si="1"/>
        <v>23.346185490957321</v>
      </c>
      <c r="F51" s="383">
        <f t="shared" si="2"/>
        <v>23.404622272746941</v>
      </c>
      <c r="G51" s="110">
        <f t="shared" si="21"/>
        <v>0.65730594126424791</v>
      </c>
      <c r="H51" s="412" t="b">
        <f>Wh_hp&gt;='2024'!Maxi_hp</f>
        <v>0</v>
      </c>
      <c r="I51" s="388">
        <f>IF(H51,Wh_hp,'2024'!Maxi_hp)</f>
        <v>37.076232391062831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4.1525237017826622E-2</v>
      </c>
      <c r="M51" s="832"/>
      <c r="N51" s="832"/>
      <c r="O51" s="48">
        <f>IF(t&lt;Tnet,'2024'!Resal+('2024'!Salim-'2024'!Resal)*(1-EXP(('2024'!Tnet-t)/('2024'!Tau_j))),Resal+(Salim-Resal)*(1-EXP((Tnet-t)/(Tau_j))))*Salcycl</f>
        <v>3.0435284014396598E-2</v>
      </c>
      <c r="P51" s="169">
        <f>(INDEX(Models!$BJ51:$BT51,,T51)*(1-R51)+INDEX(Models!$BJ51:$BT51,,T51+1)*R51-ERP_i)*Q51*Ramure*Pc/MaxiM</f>
        <v>4.8701373059208226E-3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32.928452594120486</v>
      </c>
      <c r="W51" s="400">
        <f t="shared" si="10"/>
        <v>21.695687484142155</v>
      </c>
      <c r="X51" s="157">
        <f t="shared" si="11"/>
        <v>45694</v>
      </c>
      <c r="Y51" s="383">
        <f t="shared" si="12"/>
        <v>20.938943159122857</v>
      </c>
      <c r="Z51" s="383">
        <f t="shared" si="22"/>
        <v>21.846107970515547</v>
      </c>
      <c r="AA51" s="384">
        <f t="shared" si="13"/>
        <v>23.346185490957321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6.4253645248505409E-2</v>
      </c>
      <c r="AD51" s="230">
        <f>(INDEX(Models!$BJ51:$BT51,,AH51)*(1-AF51)+INDEX(Models!$BJ51:$BT51,,AH51+1)*AF51-ERP_i)*AE51*Ramure*Pc/MaxiM</f>
        <v>4.8701373059208226E-3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'2024'!Wh/'2024'!Env_an*'2025'!Env_an</f>
        <v>9.1441156449304923</v>
      </c>
      <c r="C52" s="829"/>
      <c r="D52" s="391">
        <f t="shared" si="0"/>
        <v>9.5404607886888986</v>
      </c>
      <c r="E52" s="383">
        <f t="shared" si="1"/>
        <v>9.8405900929163845</v>
      </c>
      <c r="F52" s="383">
        <f t="shared" si="2"/>
        <v>9.8405900929163845</v>
      </c>
      <c r="G52" s="110">
        <f t="shared" si="21"/>
        <v>0.27354110610737942</v>
      </c>
      <c r="H52" s="412" t="b">
        <f>Wh_hp&gt;='2024'!Maxi_hp</f>
        <v>0</v>
      </c>
      <c r="I52" s="388">
        <f>IF(H52,Wh_hp,'2024'!Maxi_hp)</f>
        <v>24.451684563184926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4.1543605967995889E-2</v>
      </c>
      <c r="M52" s="832"/>
      <c r="N52" s="832"/>
      <c r="O52" s="48">
        <f>IF(t&lt;Tnet,'2024'!Resal+('2024'!Salim-'2024'!Resal)*(1-EXP(('2024'!Tnet-t)/('2024'!Tau_j))),Resal+(Salim-Resal)*(1-EXP((Tnet-t)/(Tau_j))))*Salcycl</f>
        <v>3.0499116556387186E-2</v>
      </c>
      <c r="P52" s="169">
        <f>(INDEX(Models!$BJ52:$BT52,,T52)*(1-R52)+INDEX(Models!$BJ52:$BT52,,T52+1)*R52-ERP_i)*Q52*Ramure*Pc/MaxiM</f>
        <v>4.7428784089482649E-3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33.270122892230681</v>
      </c>
      <c r="W52" s="400">
        <f t="shared" si="10"/>
        <v>9.1441156449304923</v>
      </c>
      <c r="X52" s="157">
        <f t="shared" si="11"/>
        <v>45695</v>
      </c>
      <c r="Y52" s="383">
        <f t="shared" si="12"/>
        <v>8.8254361504616377</v>
      </c>
      <c r="Z52" s="383">
        <f t="shared" si="22"/>
        <v>9.2079683597655091</v>
      </c>
      <c r="AA52" s="384">
        <f t="shared" si="13"/>
        <v>9.8405900929163845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6.4286971327690887E-2</v>
      </c>
      <c r="AD52" s="230">
        <f>(INDEX(Models!$BJ52:$BT52,,AH52)*(1-AF52)+INDEX(Models!$BJ52:$BT52,,AH52+1)*AF52-ERP_i)*AE52*Ramure*Pc/MaxiM</f>
        <v>4.7428784089482649E-3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'2024'!Wh/'2024'!Env_an*'2025'!Env_an</f>
        <v>33.914250109213469</v>
      </c>
      <c r="C53" s="829"/>
      <c r="D53" s="391">
        <f t="shared" si="0"/>
        <v>35.384917135211701</v>
      </c>
      <c r="E53" s="383">
        <f t="shared" si="1"/>
        <v>36.500478442081778</v>
      </c>
      <c r="F53" s="383">
        <f t="shared" si="2"/>
        <v>36.669864928426435</v>
      </c>
      <c r="G53" s="110">
        <f t="shared" si="21"/>
        <v>1.008964741193527</v>
      </c>
      <c r="H53" s="412" t="b">
        <f>Wh_hp&gt;='2024'!Maxi_hp</f>
        <v>1</v>
      </c>
      <c r="I53" s="388">
        <f>IF(H53,Wh_hp,'2024'!Maxi_hp)</f>
        <v>36.669864928426435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4.1561974566128423E-2</v>
      </c>
      <c r="M53" s="832"/>
      <c r="N53" s="832"/>
      <c r="O53" s="48">
        <f>IF(t&lt;Tnet,'2024'!Resal+('2024'!Salim-'2024'!Resal)*(1-EXP(('2024'!Tnet-t)/('2024'!Tau_j))),Resal+(Salim-Resal)*(1-EXP((Tnet-t)/(Tau_j))))*Salcycl</f>
        <v>3.0562922857031376E-2</v>
      </c>
      <c r="P53" s="169">
        <f>(INDEX(Models!$BJ53:$BT53,,T53)*(1-R53)+INDEX(Models!$BJ53:$BT53,,T53+1)*R53-ERP_i)*Q53*Ramure*Pc/MaxiM</f>
        <v>4.61922853207324E-3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33.612918989711709</v>
      </c>
      <c r="W53" s="400">
        <f t="shared" si="10"/>
        <v>33.914250109213469</v>
      </c>
      <c r="X53" s="157">
        <f t="shared" si="11"/>
        <v>45696</v>
      </c>
      <c r="Y53" s="383">
        <f t="shared" si="12"/>
        <v>32.733299585471002</v>
      </c>
      <c r="Z53" s="383">
        <f t="shared" si="22"/>
        <v>34.152755542699893</v>
      </c>
      <c r="AA53" s="384">
        <f t="shared" si="13"/>
        <v>36.500478442081778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6.4320332214472392E-2</v>
      </c>
      <c r="AD53" s="230">
        <f>(INDEX(Models!$BJ53:$BT53,,AH53)*(1-AF53)+INDEX(Models!$BJ53:$BT53,,AH53+1)*AF53-ERP_i)*AE53*Ramure*Pc/MaxiM</f>
        <v>4.61922853207324E-3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'2024'!Wh/'2024'!Env_an*'2025'!Env_an</f>
        <v>34.206143063022303</v>
      </c>
      <c r="C54" s="829"/>
      <c r="D54" s="391">
        <f t="shared" si="0"/>
        <v>35.690151810315804</v>
      </c>
      <c r="E54" s="383">
        <f t="shared" si="1"/>
        <v>36.817758246050829</v>
      </c>
      <c r="F54" s="383">
        <f t="shared" si="2"/>
        <v>36.984153600859251</v>
      </c>
      <c r="G54" s="110">
        <f t="shared" si="21"/>
        <v>1.0073447597282734</v>
      </c>
      <c r="H54" s="412" t="b">
        <f>Wh_hp&gt;='2024'!Maxi_hp</f>
        <v>1</v>
      </c>
      <c r="I54" s="388">
        <f>IF(H54,Wh_hp,'2024'!Maxi_hp)</f>
        <v>36.984153600859251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4.1580342812231108E-2</v>
      </c>
      <c r="M54" s="832"/>
      <c r="N54" s="832"/>
      <c r="O54" s="48">
        <f>IF(t&lt;Tnet,'2024'!Resal+('2024'!Salim-'2024'!Resal)*(1-EXP(('2024'!Tnet-t)/('2024'!Tau_j))),Resal+(Salim-Resal)*(1-EXP((Tnet-t)/(Tau_j))))*Salcycl</f>
        <v>3.0626699979920048E-2</v>
      </c>
      <c r="P54" s="169">
        <f>(INDEX(Models!$BJ54:$BT54,,T54)*(1-R54)+INDEX(Models!$BJ54:$BT54,,T54+1)*R54-ERP_i)*Q54*Ramure*Pc/MaxiM</f>
        <v>4.4990986302998956E-3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33.956738974101825</v>
      </c>
      <c r="W54" s="400">
        <f t="shared" si="10"/>
        <v>34.206143063022303</v>
      </c>
      <c r="X54" s="157">
        <f t="shared" si="11"/>
        <v>45697</v>
      </c>
      <c r="Y54" s="383">
        <f t="shared" si="12"/>
        <v>33.016022272279891</v>
      </c>
      <c r="Z54" s="383">
        <f t="shared" si="22"/>
        <v>34.448398490862289</v>
      </c>
      <c r="AA54" s="384">
        <f t="shared" si="13"/>
        <v>36.817758246050829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6.4353721357890872E-2</v>
      </c>
      <c r="AD54" s="230">
        <f>(INDEX(Models!$BJ54:$BT54,,AH54)*(1-AF54)+INDEX(Models!$BJ54:$BT54,,AH54+1)*AF54-ERP_i)*AE54*Ramure*Pc/MaxiM</f>
        <v>4.4990986302998956E-3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'2024'!Wh/'2024'!Env_an*'2025'!Env_an</f>
        <v>31.900841502204759</v>
      </c>
      <c r="C55" s="829"/>
      <c r="D55" s="391">
        <f t="shared" si="0"/>
        <v>33.285474319128511</v>
      </c>
      <c r="E55" s="383">
        <f t="shared" si="1"/>
        <v>34.339364696880892</v>
      </c>
      <c r="F55" s="383">
        <f t="shared" si="2"/>
        <v>34.47534392295124</v>
      </c>
      <c r="G55" s="110">
        <f t="shared" si="21"/>
        <v>0.92960442868308457</v>
      </c>
      <c r="H55" s="412" t="b">
        <f>Wh_hp&gt;='2024'!Maxi_hp</f>
        <v>0</v>
      </c>
      <c r="I55" s="388">
        <f>IF(H55,Wh_hp,'2024'!Maxi_hp)</f>
        <v>34.485478690767295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4.1598710706310382E-2</v>
      </c>
      <c r="M55" s="832"/>
      <c r="N55" s="832"/>
      <c r="O55" s="48">
        <f>IF(t&lt;Tnet,'2024'!Resal+('2024'!Salim-'2024'!Resal)*(1-EXP(('2024'!Tnet-t)/('2024'!Tau_j))),Resal+(Salim-Resal)*(1-EXP((Tnet-t)/(Tau_j))))*Salcycl</f>
        <v>3.0690444830742902E-2</v>
      </c>
      <c r="P55" s="169">
        <f>(INDEX(Models!$BJ55:$BT55,,T55)*(1-R55)+INDEX(Models!$BJ55:$BT55,,T55+1)*R55-ERP_i)*Q55*Ramure*Pc/MaxiM</f>
        <v>4.3824010552440283E-3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34.301480978149762</v>
      </c>
      <c r="W55" s="400">
        <f t="shared" si="10"/>
        <v>31.900841502204759</v>
      </c>
      <c r="X55" s="157">
        <f t="shared" si="11"/>
        <v>45698</v>
      </c>
      <c r="Y55" s="383">
        <f t="shared" si="12"/>
        <v>30.79185349297083</v>
      </c>
      <c r="Z55" s="383">
        <f t="shared" si="22"/>
        <v>32.128351492164015</v>
      </c>
      <c r="AA55" s="384">
        <f t="shared" si="13"/>
        <v>34.339364696880892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6.4387131917956086E-2</v>
      </c>
      <c r="AD55" s="230">
        <f>(INDEX(Models!$BJ55:$BT55,,AH55)*(1-AF55)+INDEX(Models!$BJ55:$BT55,,AH55+1)*AF55-ERP_i)*AE55*Ramure*Pc/MaxiM</f>
        <v>4.3824010552440283E-3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'2024'!Wh/'2024'!Env_an*'2025'!Env_an</f>
        <v>17.672512924997342</v>
      </c>
      <c r="C56" s="829"/>
      <c r="D56" s="391">
        <f t="shared" si="0"/>
        <v>18.439928888442076</v>
      </c>
      <c r="E56" s="383">
        <f t="shared" si="1"/>
        <v>19.025027518363686</v>
      </c>
      <c r="F56" s="383">
        <f t="shared" si="2"/>
        <v>19.049432864258684</v>
      </c>
      <c r="G56" s="110">
        <f t="shared" si="21"/>
        <v>0.5085467627328053</v>
      </c>
      <c r="H56" s="412" t="b">
        <f>Wh_hp&gt;='2024'!Maxi_hp</f>
        <v>0</v>
      </c>
      <c r="I56" s="388">
        <f>IF(H56,Wh_hp,'2024'!Maxi_hp)</f>
        <v>31.561088268066062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4.161707824837324E-2</v>
      </c>
      <c r="M56" s="832"/>
      <c r="N56" s="832"/>
      <c r="O56" s="48">
        <f>IF(t&lt;Tnet,'2024'!Resal+('2024'!Salim-'2024'!Resal)*(1-EXP(('2024'!Tnet-t)/('2024'!Tau_j))),Resal+(Salim-Resal)*(1-EXP((Tnet-t)/(Tau_j))))*Salcycl</f>
        <v>3.0754154198034726E-2</v>
      </c>
      <c r="P56" s="169">
        <f>(INDEX(Models!$BJ56:$BT56,,T56)*(1-R56)+INDEX(Models!$BJ56:$BT56,,T56+1)*R56-ERP_i)*Q56*Ramure*Pc/MaxiM</f>
        <v>4.2690497523126458E-3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34.647043174317822</v>
      </c>
      <c r="W56" s="400">
        <f t="shared" si="10"/>
        <v>17.672512924997342</v>
      </c>
      <c r="X56" s="157">
        <f t="shared" si="11"/>
        <v>45699</v>
      </c>
      <c r="Y56" s="383">
        <f t="shared" si="12"/>
        <v>17.058664602989349</v>
      </c>
      <c r="Z56" s="383">
        <f t="shared" si="22"/>
        <v>17.799424651486277</v>
      </c>
      <c r="AA56" s="384">
        <f t="shared" si="13"/>
        <v>19.025027518363686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6.4420556853040573E-2</v>
      </c>
      <c r="AD56" s="230">
        <f>(INDEX(Models!$BJ56:$BT56,,AH56)*(1-AF56)+INDEX(Models!$BJ56:$BT56,,AH56+1)*AF56-ERP_i)*AE56*Ramure*Pc/MaxiM</f>
        <v>4.2690497523126458E-3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'2024'!Wh/'2024'!Env_an*'2025'!Env_an</f>
        <v>27.082121213353293</v>
      </c>
      <c r="C57" s="829"/>
      <c r="D57" s="391">
        <f t="shared" si="0"/>
        <v>28.258684113941008</v>
      </c>
      <c r="E57" s="383">
        <f t="shared" si="1"/>
        <v>29.157247044926567</v>
      </c>
      <c r="F57" s="383">
        <f t="shared" si="2"/>
        <v>29.239578387660387</v>
      </c>
      <c r="G57" s="110">
        <f t="shared" si="21"/>
        <v>0.77288004096398588</v>
      </c>
      <c r="H57" s="412" t="b">
        <f>Wh_hp&gt;='2024'!Maxi_hp</f>
        <v>0</v>
      </c>
      <c r="I57" s="388">
        <f>IF(H57,Wh_hp,'2024'!Maxi_hp)</f>
        <v>29.265897627745993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4.1635445438426344E-2</v>
      </c>
      <c r="M57" s="832"/>
      <c r="N57" s="832"/>
      <c r="O57" s="48">
        <f>IF(t&lt;Tnet,'2024'!Resal+('2024'!Salim-'2024'!Resal)*(1-EXP(('2024'!Tnet-t)/('2024'!Tau_j))),Resal+(Salim-Resal)*(1-EXP((Tnet-t)/(Tau_j))))*Salcycl</f>
        <v>3.0817824796731376E-2</v>
      </c>
      <c r="P57" s="169">
        <f>(INDEX(Models!$BJ57:$BT57,,T57)*(1-R57)+INDEX(Models!$BJ57:$BT57,,T57+1)*R57-ERP_i)*Q57*Ramure*Pc/MaxiM</f>
        <v>4.158960433698889E-3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34.993323768596447</v>
      </c>
      <c r="W57" s="400">
        <f t="shared" si="10"/>
        <v>27.082121213353293</v>
      </c>
      <c r="X57" s="157">
        <f t="shared" si="11"/>
        <v>45700</v>
      </c>
      <c r="Y57" s="383">
        <f t="shared" si="12"/>
        <v>26.142216725068675</v>
      </c>
      <c r="Z57" s="383">
        <f t="shared" si="22"/>
        <v>27.277946164263184</v>
      </c>
      <c r="AA57" s="384">
        <f t="shared" si="13"/>
        <v>29.157247044926567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6.4453989012326393E-2</v>
      </c>
      <c r="AD57" s="230">
        <f>(INDEX(Models!$BJ57:$BT57,,AH57)*(1-AF57)+INDEX(Models!$BJ57:$BT57,,AH57+1)*AF57-ERP_i)*AE57*Ramure*Pc/MaxiM</f>
        <v>4.158960433698889E-3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'2024'!Wh/'2024'!Env_an*'2025'!Env_an</f>
        <v>33.135391113484289</v>
      </c>
      <c r="C58" s="829"/>
      <c r="D58" s="391">
        <f t="shared" si="0"/>
        <v>34.57559652028754</v>
      </c>
      <c r="E58" s="383">
        <f t="shared" si="1"/>
        <v>35.677365414710323</v>
      </c>
      <c r="F58" s="383">
        <f t="shared" si="2"/>
        <v>35.809493840581588</v>
      </c>
      <c r="G58" s="110">
        <f t="shared" si="21"/>
        <v>0.93727036976665745</v>
      </c>
      <c r="H58" s="412" t="b">
        <f>Wh_hp&gt;='2024'!Maxi_hp</f>
        <v>0</v>
      </c>
      <c r="I58" s="388">
        <f>IF(H58,Wh_hp,'2024'!Maxi_hp)</f>
        <v>35.818160403759038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4.1653812276476465E-2</v>
      </c>
      <c r="M58" s="832"/>
      <c r="N58" s="832"/>
      <c r="O58" s="48">
        <f>IF(t&lt;Tnet,'2024'!Resal+('2024'!Salim-'2024'!Resal)*(1-EXP(('2024'!Tnet-t)/('2024'!Tau_j))),Resal+(Salim-Resal)*(1-EXP((Tnet-t)/(Tau_j))))*Salcycl</f>
        <v>3.088145331405286E-2</v>
      </c>
      <c r="P58" s="169">
        <f>(INDEX(Models!$BJ58:$BT58,,T58)*(1-R58)+INDEX(Models!$BJ58:$BT58,,T58+1)*R58-ERP_i)*Q58*Ramure*Pc/MaxiM</f>
        <v>4.0508009571691064E-3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35.340265341171857</v>
      </c>
      <c r="W58" s="400">
        <f t="shared" si="10"/>
        <v>33.135391113484289</v>
      </c>
      <c r="X58" s="157">
        <f t="shared" si="11"/>
        <v>45701</v>
      </c>
      <c r="Y58" s="383">
        <f t="shared" si="12"/>
        <v>31.986360487123321</v>
      </c>
      <c r="Z58" s="383">
        <f t="shared" si="22"/>
        <v>33.376624122755075</v>
      </c>
      <c r="AA58" s="384">
        <f t="shared" si="13"/>
        <v>35.677365414710323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6.4487421232247613E-2</v>
      </c>
      <c r="AD58" s="230">
        <f>(INDEX(Models!$BJ58:$BT58,,AH58)*(1-AF58)+INDEX(Models!$BJ58:$BT58,,AH58+1)*AF58-ERP_i)*AE58*Ramure*Pc/MaxiM</f>
        <v>4.0508009571691064E-3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'2024'!Wh/'2024'!Env_an*'2025'!Env_an</f>
        <v>15.55693794234614</v>
      </c>
      <c r="C59" s="829"/>
      <c r="D59" s="391">
        <f t="shared" si="0"/>
        <v>16.233419919143927</v>
      </c>
      <c r="E59" s="383">
        <f t="shared" si="1"/>
        <v>16.751805139923</v>
      </c>
      <c r="F59" s="383">
        <f t="shared" si="2"/>
        <v>16.764637224432356</v>
      </c>
      <c r="G59" s="110">
        <f t="shared" si="21"/>
        <v>0.43453106339780573</v>
      </c>
      <c r="H59" s="412" t="b">
        <f>Wh_hp&gt;='2024'!Maxi_hp</f>
        <v>0</v>
      </c>
      <c r="I59" s="388">
        <f>IF(H59,Wh_hp,'2024'!Maxi_hp)</f>
        <v>38.116109222133424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4.1672178762530265E-2</v>
      </c>
      <c r="M59" s="832"/>
      <c r="N59" s="832"/>
      <c r="O59" s="48">
        <f>IF(t&lt;Tnet,'2024'!Resal+('2024'!Salim-'2024'!Resal)*(1-EXP(('2024'!Tnet-t)/('2024'!Tau_j))),Resal+(Salim-Resal)*(1-EXP((Tnet-t)/(Tau_j))))*Salcycl</f>
        <v>3.0945036457214713E-2</v>
      </c>
      <c r="P59" s="169">
        <f>(INDEX(Models!$BJ59:$BT59,,T59)*(1-R59)+INDEX(Models!$BJ59:$BT59,,T59+1)*R59-ERP_i)*Q59*Ramure*Pc/MaxiM</f>
        <v>3.9421002259546895E-3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35.687853101053115</v>
      </c>
      <c r="W59" s="400">
        <f t="shared" si="10"/>
        <v>15.55693794234614</v>
      </c>
      <c r="X59" s="157">
        <f t="shared" si="11"/>
        <v>45702</v>
      </c>
      <c r="Y59" s="383">
        <f t="shared" si="12"/>
        <v>15.017921259234543</v>
      </c>
      <c r="Z59" s="383">
        <f t="shared" si="22"/>
        <v>15.670964492966716</v>
      </c>
      <c r="AA59" s="384">
        <f t="shared" si="13"/>
        <v>16.751805139923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6.4520846435851723E-2</v>
      </c>
      <c r="AD59" s="230">
        <f>(INDEX(Models!$BJ59:$BT59,,AH59)*(1-AF59)+INDEX(Models!$BJ59:$BT59,,AH59+1)*AF59-ERP_i)*AE59*Ramure*Pc/MaxiM</f>
        <v>3.9421002259546895E-3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'2024'!Wh/'2024'!Env_an*'2025'!Env_an</f>
        <v>18.764176017743253</v>
      </c>
      <c r="C60" s="829"/>
      <c r="D60" s="391">
        <f t="shared" si="0"/>
        <v>19.580497633427317</v>
      </c>
      <c r="E60" s="383">
        <f t="shared" si="1"/>
        <v>20.207090638236192</v>
      </c>
      <c r="F60" s="383">
        <f t="shared" si="2"/>
        <v>20.231540238401802</v>
      </c>
      <c r="G60" s="110">
        <f t="shared" si="21"/>
        <v>0.5193384239685026</v>
      </c>
      <c r="H60" s="412" t="b">
        <f>Wh_hp&gt;='2024'!Maxi_hp</f>
        <v>0</v>
      </c>
      <c r="I60" s="388">
        <f>IF(H60,Wh_hp,'2024'!Maxi_hp)</f>
        <v>37.957548920378891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4.1690544896594517E-2</v>
      </c>
      <c r="M60" s="832"/>
      <c r="N60" s="832"/>
      <c r="O60" s="48">
        <f>IF(t&lt;Tnet,'2024'!Resal+('2024'!Salim-'2024'!Resal)*(1-EXP(('2024'!Tnet-t)/('2024'!Tau_j))),Resal+(Salim-Resal)*(1-EXP((Tnet-t)/(Tau_j))))*Salcycl</f>
        <v>3.1008571002459111E-2</v>
      </c>
      <c r="P60" s="169">
        <f>(INDEX(Models!$BJ60:$BT60,,T60)*(1-R60)+INDEX(Models!$BJ60:$BT60,,T60+1)*R60-ERP_i)*Q60*Ramure*Pc/MaxiM</f>
        <v>3.8328824635280125E-3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36.035985391127426</v>
      </c>
      <c r="W60" s="400">
        <f t="shared" si="10"/>
        <v>18.764176017743253</v>
      </c>
      <c r="X60" s="157">
        <f t="shared" si="11"/>
        <v>45703</v>
      </c>
      <c r="Y60" s="383">
        <f t="shared" si="12"/>
        <v>18.114575668731067</v>
      </c>
      <c r="Z60" s="383">
        <f t="shared" si="22"/>
        <v>18.902636901121287</v>
      </c>
      <c r="AA60" s="384">
        <f t="shared" si="13"/>
        <v>20.207090638236192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6.4554257733995382E-2</v>
      </c>
      <c r="AD60" s="230">
        <f>(INDEX(Models!$BJ60:$BT60,,AH60)*(1-AF60)+INDEX(Models!$BJ60:$BT60,,AH60+1)*AF60-ERP_i)*AE60*Ramure*Pc/MaxiM</f>
        <v>3.8328824635280125E-3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'2024'!Wh/'2024'!Env_an*'2025'!Env_an</f>
        <v>9.2300464176496533</v>
      </c>
      <c r="C61" s="829"/>
      <c r="D61" s="391">
        <f t="shared" si="0"/>
        <v>9.6317773592014824</v>
      </c>
      <c r="E61" s="383">
        <f t="shared" si="1"/>
        <v>9.9406538921931382</v>
      </c>
      <c r="F61" s="383">
        <f t="shared" si="2"/>
        <v>9.9406538921931382</v>
      </c>
      <c r="G61" s="110">
        <f t="shared" si="21"/>
        <v>0.25273580987412125</v>
      </c>
      <c r="H61" s="412" t="b">
        <f>Wh_hp&gt;='2024'!Maxi_hp</f>
        <v>0</v>
      </c>
      <c r="I61" s="388">
        <f>IF(H61,Wh_hp,'2024'!Maxi_hp)</f>
        <v>33.411514000889703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4.1708910678676103E-2</v>
      </c>
      <c r="M61" s="832"/>
      <c r="N61" s="832"/>
      <c r="O61" s="48">
        <f>IF(t&lt;Tnet,'2024'!Resal+('2024'!Salim-'2024'!Resal)*(1-EXP(('2024'!Tnet-t)/('2024'!Tau_j))),Resal+(Salim-Resal)*(1-EXP((Tnet-t)/(Tau_j))))*Salcycl</f>
        <v>3.1072053844891572E-2</v>
      </c>
      <c r="P61" s="169">
        <f>(INDEX(Models!$BJ61:$BT61,,T61)*(1-R61)+INDEX(Models!$BJ61:$BT61,,T61+1)*R61-ERP_i)*Q61*Ramure*Pc/MaxiM</f>
        <v>3.723170223096517E-3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36.384560574339282</v>
      </c>
      <c r="W61" s="400">
        <f t="shared" si="10"/>
        <v>9.2300464176496533</v>
      </c>
      <c r="X61" s="157">
        <f t="shared" si="11"/>
        <v>45704</v>
      </c>
      <c r="Y61" s="383">
        <f t="shared" si="12"/>
        <v>8.9107755205088939</v>
      </c>
      <c r="Z61" s="383">
        <f t="shared" si="22"/>
        <v>9.298610432472703</v>
      </c>
      <c r="AA61" s="384">
        <f t="shared" si="13"/>
        <v>9.9406538921931382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6.458764852729279E-2</v>
      </c>
      <c r="AD61" s="230">
        <f>(INDEX(Models!$BJ61:$BT61,,AH61)*(1-AF61)+INDEX(Models!$BJ61:$BT61,,AH61+1)*AF61-ERP_i)*AE61*Ramure*Pc/MaxiM</f>
        <v>3.723170223096517E-3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'2024'!Wh/'2024'!Env_an*'2025'!Env_an</f>
        <v>11.500107844970502</v>
      </c>
      <c r="C62" s="829"/>
      <c r="D62" s="391">
        <f t="shared" si="0"/>
        <v>12.000871524624525</v>
      </c>
      <c r="E62" s="383">
        <f t="shared" si="1"/>
        <v>12.386532174797466</v>
      </c>
      <c r="F62" s="383">
        <f t="shared" si="2"/>
        <v>12.387367748690403</v>
      </c>
      <c r="G62" s="110">
        <f t="shared" si="21"/>
        <v>0.31195879167965973</v>
      </c>
      <c r="H62" s="412" t="b">
        <f>Wh_hp&gt;='2024'!Maxi_hp</f>
        <v>0</v>
      </c>
      <c r="I62" s="388">
        <f>IF(H62,Wh_hp,'2024'!Maxi_hp)</f>
        <v>36.826584894030596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4.1727276108781575E-2</v>
      </c>
      <c r="M62" s="832"/>
      <c r="N62" s="832"/>
      <c r="O62" s="48">
        <f>IF(t&lt;Tnet,'2024'!Resal+('2024'!Salim-'2024'!Resal)*(1-EXP(('2024'!Tnet-t)/('2024'!Tau_j))),Resal+(Salim-Resal)*(1-EXP((Tnet-t)/(Tau_j))))*Salcycl</f>
        <v>3.1135482048610347E-2</v>
      </c>
      <c r="P62" s="169">
        <f>(INDEX(Models!$BJ62:$BT62,,T62)*(1-R62)+INDEX(Models!$BJ62:$BT62,,T62+1)*R62-ERP_i)*Q62*Ramure*Pc/MaxiM</f>
        <v>3.6129845455604818E-3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36.733477026675487</v>
      </c>
      <c r="W62" s="400">
        <f t="shared" si="10"/>
        <v>11.500107844970502</v>
      </c>
      <c r="X62" s="157">
        <f t="shared" si="11"/>
        <v>45705</v>
      </c>
      <c r="Y62" s="383">
        <f t="shared" si="12"/>
        <v>11.102645448999592</v>
      </c>
      <c r="Z62" s="383">
        <f t="shared" si="22"/>
        <v>11.586101922963579</v>
      </c>
      <c r="AA62" s="384">
        <f t="shared" si="13"/>
        <v>12.386532174797466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6.4621012607749884E-2</v>
      </c>
      <c r="AD62" s="230">
        <f>(INDEX(Models!$BJ62:$BT62,,AH62)*(1-AF62)+INDEX(Models!$BJ62:$BT62,,AH62+1)*AF62-ERP_i)*AE62*Ramure*Pc/MaxiM</f>
        <v>3.6129845455604818E-3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'2024'!Wh/'2024'!Env_an*'2025'!Env_an</f>
        <v>29.690173745148112</v>
      </c>
      <c r="C63" s="829"/>
      <c r="D63" s="391">
        <f t="shared" si="0"/>
        <v>30.983604167397793</v>
      </c>
      <c r="E63" s="383">
        <f t="shared" si="1"/>
        <v>31.981386747977911</v>
      </c>
      <c r="F63" s="383">
        <f t="shared" si="2"/>
        <v>32.061698812967862</v>
      </c>
      <c r="G63" s="110">
        <f t="shared" si="21"/>
        <v>0.79984842546310364</v>
      </c>
      <c r="H63" s="412" t="b">
        <f>Wh_hp&gt;='2024'!Maxi_hp</f>
        <v>0</v>
      </c>
      <c r="I63" s="388">
        <f>IF(H63,Wh_hp,'2024'!Maxi_hp)</f>
        <v>32.083253619797951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4.1745641186917815E-2</v>
      </c>
      <c r="M63" s="832"/>
      <c r="N63" s="832"/>
      <c r="O63" s="48">
        <f>IF(t&lt;Tnet,'2024'!Resal+('2024'!Salim-'2024'!Resal)*(1-EXP(('2024'!Tnet-t)/('2024'!Tau_j))),Resal+(Salim-Resal)*(1-EXP((Tnet-t)/(Tau_j))))*Salcycl</f>
        <v>3.1198852896621349E-2</v>
      </c>
      <c r="P63" s="169">
        <f>(INDEX(Models!$BJ63:$BT63,,T63)*(1-R63)+INDEX(Models!$BJ63:$BT63,,T63+1)*R63-ERP_i)*Q63*Ramure*Pc/MaxiM</f>
        <v>3.5023450896224683E-3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37.082633133240058</v>
      </c>
      <c r="W63" s="400">
        <f t="shared" si="10"/>
        <v>29.690173745148112</v>
      </c>
      <c r="X63" s="157">
        <f t="shared" si="11"/>
        <v>45706</v>
      </c>
      <c r="Y63" s="383">
        <f t="shared" si="12"/>
        <v>28.664886611406093</v>
      </c>
      <c r="Z63" s="383">
        <f t="shared" si="22"/>
        <v>29.913651159292549</v>
      </c>
      <c r="AA63" s="384">
        <f t="shared" si="13"/>
        <v>31.981386747977915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6.4654344259043137E-2</v>
      </c>
      <c r="AD63" s="230">
        <f>(INDEX(Models!$BJ63:$BT63,,AH63)*(1-AF63)+INDEX(Models!$BJ63:$BT63,,AH63+1)*AF63-ERP_i)*AE63*Ramure*Pc/MaxiM</f>
        <v>3.5023450896224683E-3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'2024'!Wh/'2024'!Env_an*'2025'!Env_an</f>
        <v>20.146453182744015</v>
      </c>
      <c r="C64" s="829"/>
      <c r="D64" s="391">
        <f t="shared" si="0"/>
        <v>21.024521419633508</v>
      </c>
      <c r="E64" s="383">
        <f t="shared" si="1"/>
        <v>21.703004297988684</v>
      </c>
      <c r="F64" s="383">
        <f t="shared" si="2"/>
        <v>21.728080179160248</v>
      </c>
      <c r="G64" s="110">
        <f t="shared" si="21"/>
        <v>0.53701027599711959</v>
      </c>
      <c r="H64" s="412" t="b">
        <f>Wh_hp&gt;='2024'!Maxi_hp</f>
        <v>0</v>
      </c>
      <c r="I64" s="388">
        <f>IF(H64,Wh_hp,'2024'!Maxi_hp)</f>
        <v>39.436937045771522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4.1764005913091484E-2</v>
      </c>
      <c r="M64" s="832"/>
      <c r="N64" s="832"/>
      <c r="O64" s="48">
        <f>IF(t&lt;Tnet,'2024'!Resal+('2024'!Salim-'2024'!Resal)*(1-EXP(('2024'!Tnet-t)/('2024'!Tau_j))),Resal+(Salim-Resal)*(1-EXP((Tnet-t)/(Tau_j))))*Salcycl</f>
        <v>3.1262163940042727E-2</v>
      </c>
      <c r="P64" s="169">
        <f>(INDEX(Models!$BJ64:$BT64,,T64)*(1-R64)+INDEX(Models!$BJ64:$BT64,,T64+1)*R64-ERP_i)*Q64*Ramure*Pc/MaxiM</f>
        <v>3.3912702339496496E-3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37.431927282766075</v>
      </c>
      <c r="W64" s="400">
        <f t="shared" si="10"/>
        <v>20.146453182744015</v>
      </c>
      <c r="X64" s="157">
        <f t="shared" si="11"/>
        <v>45707</v>
      </c>
      <c r="Y64" s="383">
        <f t="shared" si="12"/>
        <v>19.451316964941814</v>
      </c>
      <c r="Z64" s="383">
        <f t="shared" si="22"/>
        <v>20.299088204755591</v>
      </c>
      <c r="AA64" s="384">
        <f t="shared" si="13"/>
        <v>21.703004297988684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6.4687638354437388E-2</v>
      </c>
      <c r="AD64" s="230">
        <f>(INDEX(Models!$BJ64:$BT64,,AH64)*(1-AF64)+INDEX(Models!$BJ64:$BT64,,AH64+1)*AF64-ERP_i)*AE64*Ramure*Pc/MaxiM</f>
        <v>3.3912702339496496E-3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'2024'!Wh/'2024'!Env_an*'2025'!Env_an</f>
        <v>20.025494352550428</v>
      </c>
      <c r="C65" s="829"/>
      <c r="D65" s="391">
        <f t="shared" si="0"/>
        <v>20.89869120708499</v>
      </c>
      <c r="E65" s="383">
        <f t="shared" si="1"/>
        <v>21.574522020654609</v>
      </c>
      <c r="F65" s="383">
        <f t="shared" si="2"/>
        <v>21.597800002740154</v>
      </c>
      <c r="G65" s="110">
        <f t="shared" si="21"/>
        <v>0.52886584083591559</v>
      </c>
      <c r="H65" s="412" t="b">
        <f>Wh_hp&gt;='2024'!Maxi_hp</f>
        <v>0</v>
      </c>
      <c r="I65" s="388">
        <f>IF(H65,Wh_hp,'2024'!Maxi_hp)</f>
        <v>41.467946828147284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4.1782370287309467E-2</v>
      </c>
      <c r="M65" s="832"/>
      <c r="N65" s="832"/>
      <c r="O65" s="48">
        <f>IF(t&lt;Tnet,'2024'!Resal+('2024'!Salim-'2024'!Resal)*(1-EXP(('2024'!Tnet-t)/('2024'!Tau_j))),Resal+(Salim-Resal)*(1-EXP((Tnet-t)/(Tau_j))))*Salcycl</f>
        <v>3.1325413046120028E-2</v>
      </c>
      <c r="P65" s="169">
        <f>(INDEX(Models!$BJ65:$BT65,,T65)*(1-R65)+INDEX(Models!$BJ65:$BT65,,T65+1)*R65-ERP_i)*Q65*Ramure*Pc/MaxiM</f>
        <v>3.2797551115776881E-3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37.781512579431997</v>
      </c>
      <c r="W65" s="400">
        <f t="shared" si="10"/>
        <v>20.025494352550428</v>
      </c>
      <c r="X65" s="157">
        <f t="shared" si="11"/>
        <v>45708</v>
      </c>
      <c r="Y65" s="383">
        <f t="shared" si="12"/>
        <v>19.335106730962433</v>
      </c>
      <c r="Z65" s="383">
        <f t="shared" si="22"/>
        <v>20.178199744414869</v>
      </c>
      <c r="AA65" s="384">
        <f t="shared" si="13"/>
        <v>21.574522020654609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6.4720890451383239E-2</v>
      </c>
      <c r="AD65" s="230">
        <f>(INDEX(Models!$BJ65:$BT65,,AH65)*(1-AF65)+INDEX(Models!$BJ65:$BT65,,AH65+1)*AF65-ERP_i)*AE65*Ramure*Pc/MaxiM</f>
        <v>3.2797551115776881E-3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'2024'!Wh/'2024'!Env_an*'2025'!Env_an</f>
        <v>22.172508883595565</v>
      </c>
      <c r="C66" s="829"/>
      <c r="D66" s="391">
        <f t="shared" si="0"/>
        <v>23.139768185503009</v>
      </c>
      <c r="E66" s="383">
        <f t="shared" si="1"/>
        <v>23.88963019467344</v>
      </c>
      <c r="F66" s="383">
        <f t="shared" si="2"/>
        <v>23.920094720415019</v>
      </c>
      <c r="G66" s="110">
        <f t="shared" si="21"/>
        <v>0.58037036111140561</v>
      </c>
      <c r="H66" s="412" t="b">
        <f>Wh_hp&gt;='2024'!Maxi_hp</f>
        <v>0</v>
      </c>
      <c r="I66" s="388">
        <f>IF(H66,Wh_hp,'2024'!Maxi_hp)</f>
        <v>23.950887388071926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4.1800734309578313E-2</v>
      </c>
      <c r="M66" s="832"/>
      <c r="N66" s="832"/>
      <c r="O66" s="48">
        <f>IF(t&lt;Tnet,'2024'!Resal+('2024'!Salim-'2024'!Resal)*(1-EXP(('2024'!Tnet-t)/('2024'!Tau_j))),Resal+(Salim-Resal)*(1-EXP((Tnet-t)/(Tau_j))))*Salcycl</f>
        <v>3.1388598444593033E-2</v>
      </c>
      <c r="P66" s="169">
        <f>(INDEX(Models!$BJ66:$BT66,,T66)*(1-R66)+INDEX(Models!$BJ66:$BT66,,T66+1)*R66-ERP_i)*Q66*Ramure*Pc/MaxiM</f>
        <v>3.1673273390792813E-3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38.131627726402783</v>
      </c>
      <c r="W66" s="400">
        <f t="shared" si="10"/>
        <v>22.172508883595565</v>
      </c>
      <c r="X66" s="157">
        <f t="shared" si="11"/>
        <v>45709</v>
      </c>
      <c r="Y66" s="383">
        <f t="shared" si="12"/>
        <v>21.408738387689198</v>
      </c>
      <c r="Z66" s="383">
        <f t="shared" si="22"/>
        <v>22.342678766575059</v>
      </c>
      <c r="AA66" s="384">
        <f t="shared" si="13"/>
        <v>23.88963019467344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6.4754096881888781E-2</v>
      </c>
      <c r="AD66" s="230">
        <f>(INDEX(Models!$BJ66:$BT66,,AH66)*(1-AF66)+INDEX(Models!$BJ66:$BT66,,AH66+1)*AF66-ERP_i)*AE66*Ramure*Pc/MaxiM</f>
        <v>3.1673273390792813E-3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'2024'!Wh/'2024'!Env_an*'2025'!Env_an</f>
        <v>33.884367533829909</v>
      </c>
      <c r="C67" s="829"/>
      <c r="D67" s="391">
        <f t="shared" si="0"/>
        <v>35.363225735759116</v>
      </c>
      <c r="E67" s="383">
        <f t="shared" si="1"/>
        <v>36.511577606562106</v>
      </c>
      <c r="F67" s="383">
        <f t="shared" si="2"/>
        <v>36.604324262244866</v>
      </c>
      <c r="G67" s="110">
        <f t="shared" si="21"/>
        <v>0.88005961994120607</v>
      </c>
      <c r="H67" s="412" t="b">
        <f>Wh_hp&gt;='2024'!Maxi_hp</f>
        <v>0</v>
      </c>
      <c r="I67" s="388">
        <f>IF(H67,Wh_hp,'2024'!Maxi_hp)</f>
        <v>39.949310572645629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4.1819097979904907E-2</v>
      </c>
      <c r="M67" s="832"/>
      <c r="N67" s="832"/>
      <c r="O67" s="48">
        <f>IF(t&lt;Tnet,'2024'!Resal+('2024'!Salim-'2024'!Resal)*(1-EXP(('2024'!Tnet-t)/('2024'!Tau_j))),Resal+(Salim-Resal)*(1-EXP((Tnet-t)/(Tau_j))))*Salcycl</f>
        <v>3.1451718771982003E-2</v>
      </c>
      <c r="P67" s="169">
        <f>(INDEX(Models!$BJ67:$BT67,,T67)*(1-R67)+INDEX(Models!$BJ67:$BT67,,T67+1)*R67-ERP_i)*Q67*Ramure*Pc/MaxiM</f>
        <v>3.0552499309320132E-3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38.482225068409427</v>
      </c>
      <c r="W67" s="400">
        <f t="shared" si="10"/>
        <v>33.884367533829909</v>
      </c>
      <c r="X67" s="157">
        <f t="shared" si="11"/>
        <v>45710</v>
      </c>
      <c r="Y67" s="383">
        <f t="shared" si="12"/>
        <v>32.718133926394181</v>
      </c>
      <c r="Z67" s="383">
        <f t="shared" si="22"/>
        <v>34.14609272363478</v>
      </c>
      <c r="AA67" s="384">
        <f t="shared" si="13"/>
        <v>36.511577606562106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6.4787254837824035E-2</v>
      </c>
      <c r="AD67" s="230">
        <f>(INDEX(Models!$BJ67:$BT67,,AH67)*(1-AF67)+INDEX(Models!$BJ67:$BT67,,AH67+1)*AF67-ERP_i)*AE67*Ramure*Pc/MaxiM</f>
        <v>3.0552499309320132E-3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'2024'!Wh/'2024'!Env_an*'2025'!Env_an</f>
        <v>35.607700167715791</v>
      </c>
      <c r="C68" s="829"/>
      <c r="D68" s="391">
        <f t="shared" si="0"/>
        <v>37.162484160530518</v>
      </c>
      <c r="E68" s="383">
        <f t="shared" si="1"/>
        <v>38.371761518755179</v>
      </c>
      <c r="F68" s="383">
        <f t="shared" si="2"/>
        <v>38.471565139527534</v>
      </c>
      <c r="G68" s="110">
        <f t="shared" si="21"/>
        <v>0.91661604501608096</v>
      </c>
      <c r="H68" s="412" t="b">
        <f>Wh_hp&gt;='2024'!Maxi_hp</f>
        <v>0</v>
      </c>
      <c r="I68" s="388">
        <f>IF(H68,Wh_hp,'2024'!Maxi_hp)</f>
        <v>41.571938803017574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4.1837461298295908E-2</v>
      </c>
      <c r="M68" s="832"/>
      <c r="N68" s="832"/>
      <c r="O68" s="48">
        <f>IF(t&lt;Tnet,'2024'!Resal+('2024'!Salim-'2024'!Resal)*(1-EXP(('2024'!Tnet-t)/('2024'!Tau_j))),Resal+(Salim-Resal)*(1-EXP((Tnet-t)/(Tau_j))))*Salcycl</f>
        <v>3.1514773113389537E-2</v>
      </c>
      <c r="P68" s="169">
        <f>(INDEX(Models!$BJ68:$BT68,,T68)*(1-R68)+INDEX(Models!$BJ68:$BT68,,T68+1)*R68-ERP_i)*Q68*Ramure*Pc/MaxiM</f>
        <v>2.9434967662630733E-3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38.83330538873318</v>
      </c>
      <c r="W68" s="400">
        <f t="shared" si="10"/>
        <v>35.607700167715791</v>
      </c>
      <c r="X68" s="157">
        <f t="shared" si="11"/>
        <v>45711</v>
      </c>
      <c r="Y68" s="383">
        <f t="shared" si="12"/>
        <v>34.383174066441853</v>
      </c>
      <c r="Z68" s="383">
        <f t="shared" si="22"/>
        <v>35.884490029249669</v>
      </c>
      <c r="AA68" s="384">
        <f t="shared" si="13"/>
        <v>38.371761518755179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6.4820362450386568E-2</v>
      </c>
      <c r="AD68" s="230">
        <f>(INDEX(Models!$BJ68:$BT68,,AH68)*(1-AF68)+INDEX(Models!$BJ68:$BT68,,AH68+1)*AF68-ERP_i)*AE68*Ramure*Pc/MaxiM</f>
        <v>2.9434967662630733E-3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'2024'!Wh/'2024'!Env_an*'2025'!Env_an</f>
        <v>22.166168199721088</v>
      </c>
      <c r="C69" s="829"/>
      <c r="D69" s="391">
        <f t="shared" si="0"/>
        <v>23.134480969642851</v>
      </c>
      <c r="E69" s="383">
        <f t="shared" si="1"/>
        <v>23.888836954551802</v>
      </c>
      <c r="F69" s="383">
        <f t="shared" si="2"/>
        <v>23.914542584392947</v>
      </c>
      <c r="G69" s="110">
        <f t="shared" si="21"/>
        <v>0.56468676238745141</v>
      </c>
      <c r="H69" s="412" t="b">
        <f>Wh_hp&gt;='2024'!Maxi_hp</f>
        <v>0</v>
      </c>
      <c r="I69" s="388">
        <f>IF(H69,Wh_hp,'2024'!Maxi_hp)</f>
        <v>41.52507944394246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4.185582426475809E-2</v>
      </c>
      <c r="M69" s="832"/>
      <c r="N69" s="832"/>
      <c r="O69" s="48">
        <f>IF(t&lt;Tnet,'2024'!Resal+('2024'!Salim-'2024'!Resal)*(1-EXP(('2024'!Tnet-t)/('2024'!Tau_j))),Resal+(Salim-Resal)*(1-EXP((Tnet-t)/(Tau_j))))*Salcycl</f>
        <v>3.1577761041448049E-2</v>
      </c>
      <c r="P69" s="169">
        <f>(INDEX(Models!$BJ69:$BT69,,T69)*(1-R69)+INDEX(Models!$BJ69:$BT69,,T69+1)*R69-ERP_i)*Q69*Ramure*Pc/MaxiM</f>
        <v>2.8320594165434252E-3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39.184868792398142</v>
      </c>
      <c r="W69" s="400">
        <f t="shared" si="10"/>
        <v>22.166168199721088</v>
      </c>
      <c r="X69" s="157">
        <f t="shared" si="11"/>
        <v>45712</v>
      </c>
      <c r="Y69" s="383">
        <f t="shared" si="12"/>
        <v>21.404523331855568</v>
      </c>
      <c r="Z69" s="383">
        <f t="shared" si="22"/>
        <v>22.33956420538755</v>
      </c>
      <c r="AA69" s="384">
        <f t="shared" si="13"/>
        <v>23.888836954551802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6.4853418863033238E-2</v>
      </c>
      <c r="AD69" s="230">
        <f>(INDEX(Models!$BJ69:$BT69,,AH69)*(1-AF69)+INDEX(Models!$BJ69:$BT69,,AH69+1)*AF69-ERP_i)*AE69*Ramure*Pc/MaxiM</f>
        <v>2.8320594165434252E-3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'2024'!Wh/'2024'!Env_an*'2025'!Env_an</f>
        <v>31.743780561196029</v>
      </c>
      <c r="C70" s="829"/>
      <c r="D70" s="391">
        <f t="shared" si="0"/>
        <v>33.131119239762143</v>
      </c>
      <c r="E70" s="383">
        <f t="shared" si="1"/>
        <v>34.213662889617758</v>
      </c>
      <c r="F70" s="383">
        <f t="shared" si="2"/>
        <v>34.280673179741108</v>
      </c>
      <c r="G70" s="110">
        <f t="shared" si="21"/>
        <v>0.80227330144590214</v>
      </c>
      <c r="H70" s="412" t="b">
        <f>Wh_hp&gt;='2024'!Maxi_hp</f>
        <v>0</v>
      </c>
      <c r="I70" s="388">
        <f>IF(H70,Wh_hp,'2024'!Maxi_hp)</f>
        <v>36.519009293012743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4.1874186879298336E-2</v>
      </c>
      <c r="M70" s="832"/>
      <c r="N70" s="832"/>
      <c r="O70" s="48">
        <f>IF(t&lt;Tnet,'2024'!Resal+('2024'!Salim-'2024'!Resal)*(1-EXP(('2024'!Tnet-t)/('2024'!Tau_j))),Resal+(Salim-Resal)*(1-EXP((Tnet-t)/(Tau_j))))*Salcycl</f>
        <v>3.1640682652079158E-2</v>
      </c>
      <c r="P70" s="169">
        <f>(INDEX(Models!$BJ70:$BT70,,T70)*(1-R70)+INDEX(Models!$BJ70:$BT70,,T70+1)*R70-ERP_i)*Q70*Ramure*Pc/MaxiM</f>
        <v>2.7209307523564786E-3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39.536915323682372</v>
      </c>
      <c r="W70" s="400">
        <f t="shared" si="10"/>
        <v>31.743780561196029</v>
      </c>
      <c r="X70" s="157">
        <f t="shared" si="11"/>
        <v>45713</v>
      </c>
      <c r="Y70" s="383">
        <f t="shared" si="12"/>
        <v>30.653952117897362</v>
      </c>
      <c r="Z70" s="383">
        <f t="shared" si="22"/>
        <v>31.993660642598378</v>
      </c>
      <c r="AA70" s="384">
        <f t="shared" si="13"/>
        <v>34.213662889617758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6.4886424297266557E-2</v>
      </c>
      <c r="AD70" s="230">
        <f>(INDEX(Models!$BJ70:$BT70,,AH70)*(1-AF70)+INDEX(Models!$BJ70:$BT70,,AH70+1)*AF70-ERP_i)*AE70*Ramure*Pc/MaxiM</f>
        <v>2.7209307523564786E-3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'2024'!Wh/'2024'!Env_an*'2025'!Env_an</f>
        <v>40.233675936916363</v>
      </c>
      <c r="C71" s="829"/>
      <c r="D71" s="391">
        <f t="shared" si="0"/>
        <v>41.992864058079554</v>
      </c>
      <c r="E71" s="383">
        <f t="shared" si="1"/>
        <v>43.367776018952505</v>
      </c>
      <c r="F71" s="383">
        <f t="shared" si="2"/>
        <v>43.481266681339847</v>
      </c>
      <c r="G71" s="110">
        <f t="shared" si="21"/>
        <v>1.0086296254599769</v>
      </c>
      <c r="H71" s="412" t="b">
        <f>Wh_hp&gt;='2024'!Maxi_hp</f>
        <v>1</v>
      </c>
      <c r="I71" s="388">
        <f>IF(H71,Wh_hp,'2024'!Maxi_hp)</f>
        <v>43.481266681339847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4.1892549141923086E-2</v>
      </c>
      <c r="M71" s="832"/>
      <c r="N71" s="832"/>
      <c r="O71" s="48">
        <f>IF(t&lt;Tnet,'2024'!Resal+('2024'!Salim-'2024'!Resal)*(1-EXP(('2024'!Tnet-t)/('2024'!Tau_j))),Resal+(Salim-Resal)*(1-EXP((Tnet-t)/(Tau_j))))*Salcycl</f>
        <v>3.1703538596770185E-2</v>
      </c>
      <c r="P71" s="169">
        <f>(INDEX(Models!$BJ71:$BT71,,T71)*(1-R71)+INDEX(Models!$BJ71:$BT71,,T71+1)*R71-ERP_i)*Q71*Ramure*Pc/MaxiM</f>
        <v>2.610104788783625E-3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39.889444967044412</v>
      </c>
      <c r="W71" s="400">
        <f t="shared" si="10"/>
        <v>40.233675936916363</v>
      </c>
      <c r="X71" s="157">
        <f t="shared" si="11"/>
        <v>45714</v>
      </c>
      <c r="Y71" s="383">
        <f t="shared" si="12"/>
        <v>38.853524860552064</v>
      </c>
      <c r="Z71" s="383">
        <f t="shared" si="22"/>
        <v>40.552366883020284</v>
      </c>
      <c r="AA71" s="384">
        <f t="shared" si="13"/>
        <v>43.367776018952505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6.4919380110749353E-2</v>
      </c>
      <c r="AD71" s="230">
        <f>(INDEX(Models!$BJ71:$BT71,,AH71)*(1-AF71)+INDEX(Models!$BJ71:$BT71,,AH71+1)*AF71-ERP_i)*AE71*Ramure*Pc/MaxiM</f>
        <v>2.610104788783625E-3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'2024'!Wh/'2024'!Env_an*'2025'!Env_an</f>
        <v>28.760982676197049</v>
      </c>
      <c r="C72" s="829"/>
      <c r="D72" s="391">
        <f t="shared" si="0"/>
        <v>30.01911096576243</v>
      </c>
      <c r="E72" s="383">
        <f t="shared" si="1"/>
        <v>31.00399407635496</v>
      </c>
      <c r="F72" s="383">
        <f t="shared" si="2"/>
        <v>31.050001954374402</v>
      </c>
      <c r="G72" s="110">
        <f t="shared" si="21"/>
        <v>0.71396397719647431</v>
      </c>
      <c r="H72" s="412" t="b">
        <f>Wh_hp&gt;='2024'!Maxi_hp</f>
        <v>0</v>
      </c>
      <c r="I72" s="388">
        <f>IF(H72,Wh_hp,'2024'!Maxi_hp)</f>
        <v>42.979805880549684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4.1910911052639332E-2</v>
      </c>
      <c r="M72" s="832"/>
      <c r="N72" s="832"/>
      <c r="O72" s="48">
        <f>IF(t&lt;Tnet,'2024'!Resal+('2024'!Salim-'2024'!Resal)*(1-EXP(('2024'!Tnet-t)/('2024'!Tau_j))),Resal+(Salim-Resal)*(1-EXP((Tnet-t)/(Tau_j))))*Salcycl</f>
        <v>3.1766330111114502E-2</v>
      </c>
      <c r="P72" s="169">
        <f>(INDEX(Models!$BJ72:$BT72,,T72)*(1-R72)+INDEX(Models!$BJ72:$BT72,,T72+1)*R72-ERP_i)*Q72*Ramure*Pc/MaxiM</f>
        <v>2.5011586658515166E-3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40.242393821276785</v>
      </c>
      <c r="W72" s="400">
        <f t="shared" si="10"/>
        <v>28.760982676197049</v>
      </c>
      <c r="X72" s="157">
        <f t="shared" si="11"/>
        <v>45715</v>
      </c>
      <c r="Y72" s="383">
        <f t="shared" si="12"/>
        <v>27.775207430006404</v>
      </c>
      <c r="Z72" s="383">
        <f t="shared" si="22"/>
        <v>28.990213697687178</v>
      </c>
      <c r="AA72" s="384">
        <f t="shared" si="13"/>
        <v>31.00399407635496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6.4952288847312731E-2</v>
      </c>
      <c r="AD72" s="230">
        <f>(INDEX(Models!$BJ72:$BT72,,AH72)*(1-AF72)+INDEX(Models!$BJ72:$BT72,,AH72+1)*AF72-ERP_i)*AE72*Ramure*Pc/MaxiM</f>
        <v>2.5011586658515166E-3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'2024'!Wh/'2024'!Env_an*'2025'!Env_an</f>
        <v>34.723302296213163</v>
      </c>
      <c r="C73" s="829"/>
      <c r="D73" s="391">
        <f t="shared" si="0"/>
        <v>36.24294251308558</v>
      </c>
      <c r="E73" s="383">
        <f t="shared" si="1"/>
        <v>37.434445695226351</v>
      </c>
      <c r="F73" s="383">
        <f t="shared" si="2"/>
        <v>37.505713414980754</v>
      </c>
      <c r="G73" s="110">
        <f t="shared" si="21"/>
        <v>0.85491981286863417</v>
      </c>
      <c r="H73" s="412" t="b">
        <f>Wh_hp&gt;='2024'!Maxi_hp</f>
        <v>0</v>
      </c>
      <c r="I73" s="388">
        <f>IF(H73,Wh_hp,'2024'!Maxi_hp)</f>
        <v>37.518611340462861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4.1929272611453849E-2</v>
      </c>
      <c r="M73" s="832"/>
      <c r="N73" s="832"/>
      <c r="O73" s="48">
        <f>IF(t&lt;Tnet,'2024'!Resal+('2024'!Salim-'2024'!Resal)*(1-EXP(('2024'!Tnet-t)/('2024'!Tau_j))),Resal+(Salim-Resal)*(1-EXP((Tnet-t)/(Tau_j))))*Salcycl</f>
        <v>3.1829059039405326E-2</v>
      </c>
      <c r="P73" s="169">
        <f>(INDEX(Models!$BJ73:$BT73,,T73)*(1-R73)+INDEX(Models!$BJ73:$BT73,,T73+1)*R73-ERP_i)*Q73*Ramure*Pc/MaxiM</f>
        <v>2.3951427620857225E-3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40.595717185513884</v>
      </c>
      <c r="W73" s="400">
        <f t="shared" si="10"/>
        <v>34.723302296213163</v>
      </c>
      <c r="X73" s="157">
        <f t="shared" si="11"/>
        <v>45716</v>
      </c>
      <c r="Y73" s="383">
        <f t="shared" si="12"/>
        <v>33.534164026056729</v>
      </c>
      <c r="Z73" s="383">
        <f t="shared" si="22"/>
        <v>35.001762466391405</v>
      </c>
      <c r="AA73" s="384">
        <f t="shared" si="13"/>
        <v>37.434445695226351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6.4985154278514298E-2</v>
      </c>
      <c r="AD73" s="230">
        <f>(INDEX(Models!$BJ73:$BT73,,AH73)*(1-AF73)+INDEX(Models!$BJ73:$BT73,,AH73+1)*AF73-ERP_i)*AE73*Ramure*Pc/MaxiM</f>
        <v>2.3951427620857225E-3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'2024'!Wh/'2024'!Env_an*'2025'!Env_an</f>
        <v>40.289021897255317</v>
      </c>
      <c r="C74" s="829"/>
      <c r="D74" s="391">
        <f t="shared" si="0"/>
        <v>42.053047745009543</v>
      </c>
      <c r="E74" s="383">
        <f t="shared" si="1"/>
        <v>43.438372499223981</v>
      </c>
      <c r="F74" s="383">
        <f t="shared" si="2"/>
        <v>43.535857287183241</v>
      </c>
      <c r="G74" s="110">
        <f t="shared" si="21"/>
        <v>0.98382088955498737</v>
      </c>
      <c r="H74" s="412" t="b">
        <f>Wh_hp&gt;='2024'!Maxi_hp</f>
        <v>0</v>
      </c>
      <c r="I74" s="388">
        <f>IF(H74,Wh_hp,'2024'!Maxi_hp)</f>
        <v>43.537458266027507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4.1947633818373187E-2</v>
      </c>
      <c r="M74" s="832"/>
      <c r="N74" s="832"/>
      <c r="O74" s="48">
        <f>IF(t&lt;Tnet,'2024'!Resal+('2024'!Salim-'2024'!Resal)*(1-EXP(('2024'!Tnet-t)/('2024'!Tau_j))),Resal+(Salim-Resal)*(1-EXP((Tnet-t)/(Tau_j))))*Salcycl</f>
        <v>3.1891727855116785E-2</v>
      </c>
      <c r="P74" s="169">
        <f>(INDEX(Models!$BJ74:$BT74,,T74)*(1-R74)+INDEX(Models!$BJ74:$BT74,,T74+1)*R74-ERP_i)*Q74*Ramure*Pc/MaxiM</f>
        <v>2.291988103219525E-3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40.949414795237928</v>
      </c>
      <c r="W74" s="400">
        <f t="shared" si="10"/>
        <v>40.289021897255317</v>
      </c>
      <c r="X74" s="157">
        <f t="shared" si="11"/>
        <v>45717</v>
      </c>
      <c r="Y74" s="383">
        <f t="shared" si="12"/>
        <v>38.910431925126147</v>
      </c>
      <c r="Z74" s="383">
        <f t="shared" si="22"/>
        <v>40.614097202437826</v>
      </c>
      <c r="AA74" s="384">
        <f t="shared" si="13"/>
        <v>43.438372499223981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6.5017981436496314E-2</v>
      </c>
      <c r="AD74" s="230">
        <f>(INDEX(Models!$BJ74:$BT74,,AH74)*(1-AF74)+INDEX(Models!$BJ74:$BT74,,AH74+1)*AF74-ERP_i)*AE74*Ramure*Pc/MaxiM</f>
        <v>2.291988103219525E-3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'2024'!Wh/'2024'!Env_an*'2025'!Env_an</f>
        <v>11.739842725178198</v>
      </c>
      <c r="C75" s="829"/>
      <c r="D75" s="391">
        <f t="shared" si="0"/>
        <v>12.254098142556078</v>
      </c>
      <c r="E75" s="383">
        <f t="shared" si="1"/>
        <v>12.658595193194985</v>
      </c>
      <c r="F75" s="383">
        <f t="shared" si="2"/>
        <v>12.658595193194985</v>
      </c>
      <c r="G75" s="110">
        <f t="shared" si="21"/>
        <v>0.28361076491042791</v>
      </c>
      <c r="H75" s="412" t="b">
        <f>Wh_hp&gt;='2024'!Maxi_hp</f>
        <v>0</v>
      </c>
      <c r="I75" s="388">
        <f>IF(H75,Wh_hp,'2024'!Maxi_hp)</f>
        <v>30.966593074683484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4.1965994673404117E-2</v>
      </c>
      <c r="M75" s="832"/>
      <c r="N75" s="832"/>
      <c r="O75" s="48">
        <f>IF(t&lt;Tnet,'2024'!Resal+('2024'!Salim-'2024'!Resal)*(1-EXP(('2024'!Tnet-t)/('2024'!Tau_j))),Resal+(Salim-Resal)*(1-EXP((Tnet-t)/(Tau_j))))*Salcycl</f>
        <v>3.1954339677151319E-2</v>
      </c>
      <c r="P75" s="169">
        <f>(INDEX(Models!$BJ75:$BT75,,T75)*(1-R75)+INDEX(Models!$BJ75:$BT75,,T75+1)*R75-ERP_i)*Q75*Ramure*Pc/MaxiM</f>
        <v>2.1916282278596519E-3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41.303486340409904</v>
      </c>
      <c r="W75" s="400">
        <f t="shared" si="10"/>
        <v>11.739842725178198</v>
      </c>
      <c r="X75" s="157">
        <f t="shared" si="11"/>
        <v>45718</v>
      </c>
      <c r="Y75" s="383">
        <f t="shared" si="12"/>
        <v>11.338470165381356</v>
      </c>
      <c r="Z75" s="383">
        <f t="shared" si="22"/>
        <v>11.83514374473174</v>
      </c>
      <c r="AA75" s="384">
        <f t="shared" si="13"/>
        <v>12.658595193194985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6.5050776637988902E-2</v>
      </c>
      <c r="AD75" s="230">
        <f>(INDEX(Models!$BJ75:$BT75,,AH75)*(1-AF75)+INDEX(Models!$BJ75:$BT75,,AH75+1)*AF75-ERP_i)*AE75*Ramure*Pc/MaxiM</f>
        <v>2.1916282278596519E-3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'2024'!Wh/'2024'!Env_an*'2025'!Env_an</f>
        <v>36.024246638702643</v>
      </c>
      <c r="C76" s="829"/>
      <c r="D76" s="391">
        <f t="shared" si="0"/>
        <v>37.602983660398969</v>
      </c>
      <c r="E76" s="383">
        <f t="shared" si="1"/>
        <v>38.846735644095027</v>
      </c>
      <c r="F76" s="383">
        <f t="shared" si="2"/>
        <v>38.912476247768979</v>
      </c>
      <c r="G76" s="110">
        <f t="shared" si="21"/>
        <v>0.86441277953471152</v>
      </c>
      <c r="H76" s="412" t="b">
        <f>Wh_hp&gt;='2024'!Maxi_hp</f>
        <v>0</v>
      </c>
      <c r="I76" s="388">
        <f>IF(H76,Wh_hp,'2024'!Maxi_hp)</f>
        <v>38.923472241989082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4.1984355176553523E-2</v>
      </c>
      <c r="M76" s="832"/>
      <c r="N76" s="832"/>
      <c r="O76" s="48">
        <f>IF(t&lt;Tnet,'2024'!Resal+('2024'!Salim-'2024'!Resal)*(1-EXP(('2024'!Tnet-t)/('2024'!Tau_j))),Resal+(Salim-Resal)*(1-EXP((Tnet-t)/(Tau_j))))*Salcycl</f>
        <v>3.2016898281776632E-2</v>
      </c>
      <c r="P76" s="169">
        <f>(INDEX(Models!$BJ76:$BT76,,T76)*(1-R76)+INDEX(Models!$BJ76:$BT76,,T76+1)*R76-ERP_i)*Q76*Ramure*Pc/MaxiM</f>
        <v>2.0939989488019347E-3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41.657931469338372</v>
      </c>
      <c r="W76" s="400">
        <f t="shared" si="10"/>
        <v>36.024246638702643</v>
      </c>
      <c r="X76" s="157">
        <f t="shared" si="11"/>
        <v>45719</v>
      </c>
      <c r="Y76" s="383">
        <f t="shared" si="12"/>
        <v>34.793645479636496</v>
      </c>
      <c r="Z76" s="383">
        <f t="shared" si="22"/>
        <v>36.318452279606191</v>
      </c>
      <c r="AA76" s="384">
        <f t="shared" si="13"/>
        <v>38.846735644095027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6.5083547499393393E-2</v>
      </c>
      <c r="AD76" s="230">
        <f>(INDEX(Models!$BJ76:$BT76,,AH76)*(1-AF76)+INDEX(Models!$BJ76:$BT76,,AH76+1)*AF76-ERP_i)*AE76*Ramure*Pc/MaxiM</f>
        <v>2.0939989488019347E-3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'2024'!Wh/'2024'!Env_an*'2025'!Env_an</f>
        <v>3.8712670326332388</v>
      </c>
      <c r="C77" s="829"/>
      <c r="D77" s="391">
        <f t="shared" si="0"/>
        <v>4.0410000055041824</v>
      </c>
      <c r="E77" s="383">
        <f t="shared" si="1"/>
        <v>4.174929265234959</v>
      </c>
      <c r="F77" s="383">
        <f t="shared" si="2"/>
        <v>4.174929265234959</v>
      </c>
      <c r="G77" s="110">
        <f t="shared" si="21"/>
        <v>9.1960850961376212E-2</v>
      </c>
      <c r="H77" s="412" t="b">
        <f>Wh_hp&gt;='2024'!Maxi_hp</f>
        <v>0</v>
      </c>
      <c r="I77" s="388">
        <f>IF(H77,Wh_hp,'2024'!Maxi_hp)</f>
        <v>32.038386239307918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4.2002715327828066E-2</v>
      </c>
      <c r="M77" s="832"/>
      <c r="N77" s="832"/>
      <c r="O77" s="48">
        <f>IF(t&lt;Tnet,'2024'!Resal+('2024'!Salim-'2024'!Resal)*(1-EXP(('2024'!Tnet-t)/('2024'!Tau_j))),Resal+(Salim-Resal)*(1-EXP((Tnet-t)/(Tau_j))))*Salcycl</f>
        <v>3.2079408110220926E-2</v>
      </c>
      <c r="P77" s="169">
        <f>(INDEX(Models!$BJ77:$BT77,,T77)*(1-R77)+INDEX(Models!$BJ77:$BT77,,T77+1)*R77-ERP_i)*Q77*Ramure*Pc/MaxiM</f>
        <v>1.9990381247614653E-3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42.012749793567735</v>
      </c>
      <c r="W77" s="400">
        <f t="shared" si="10"/>
        <v>3.8712670326332388</v>
      </c>
      <c r="X77" s="157">
        <f t="shared" si="11"/>
        <v>45720</v>
      </c>
      <c r="Y77" s="383">
        <f t="shared" si="12"/>
        <v>3.7391336294406217</v>
      </c>
      <c r="Z77" s="383">
        <f t="shared" si="22"/>
        <v>3.9030733064344316</v>
      </c>
      <c r="AA77" s="384">
        <f t="shared" si="13"/>
        <v>4.174929265234959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6.5116302942974019E-2</v>
      </c>
      <c r="AD77" s="230">
        <f>(INDEX(Models!$BJ77:$BT77,,AH77)*(1-AF77)+INDEX(Models!$BJ77:$BT77,,AH77+1)*AF77-ERP_i)*AE77*Ramure*Pc/MaxiM</f>
        <v>1.9990381247614653E-3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'2024'!Wh/'2024'!Env_an*'2025'!Env_an</f>
        <v>13.330483185209015</v>
      </c>
      <c r="C78" s="829"/>
      <c r="D78" s="391">
        <f t="shared" si="0"/>
        <v>13.91521550119645</v>
      </c>
      <c r="E78" s="383">
        <f t="shared" si="1"/>
        <v>14.377329828923905</v>
      </c>
      <c r="F78" s="383">
        <f t="shared" si="2"/>
        <v>14.377903022847311</v>
      </c>
      <c r="G78" s="110">
        <f t="shared" si="21"/>
        <v>0.31404869606826769</v>
      </c>
      <c r="H78" s="412" t="b">
        <f>Wh_hp&gt;='2024'!Maxi_hp</f>
        <v>0</v>
      </c>
      <c r="I78" s="388">
        <f>IF(H78,Wh_hp,'2024'!Maxi_hp)</f>
        <v>38.035034481034316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4.202107512723452E-2</v>
      </c>
      <c r="M78" s="832"/>
      <c r="N78" s="832"/>
      <c r="O78" s="48">
        <f>IF(t&lt;Tnet,'2024'!Resal+('2024'!Salim-'2024'!Resal)*(1-EXP(('2024'!Tnet-t)/('2024'!Tau_j))),Resal+(Salim-Resal)*(1-EXP((Tnet-t)/(Tau_j))))*Salcycl</f>
        <v>3.2141874271937952E-2</v>
      </c>
      <c r="P78" s="169">
        <f>(INDEX(Models!$BJ78:$BT78,,T78)*(1-R78)+INDEX(Models!$BJ78:$BT78,,T78+1)*R78-ERP_i)*Q78*Ramure*Pc/MaxiM</f>
        <v>1.9066854436727723E-3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42.367940891224968</v>
      </c>
      <c r="W78" s="400">
        <f t="shared" si="10"/>
        <v>13.330483185209015</v>
      </c>
      <c r="X78" s="157">
        <f t="shared" si="11"/>
        <v>45721</v>
      </c>
      <c r="Y78" s="383">
        <f t="shared" si="12"/>
        <v>12.875869402549121</v>
      </c>
      <c r="Z78" s="383">
        <f t="shared" si="22"/>
        <v>13.440660403107758</v>
      </c>
      <c r="AA78" s="384">
        <f t="shared" si="13"/>
        <v>14.377329828923905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6.5149053194271361E-2</v>
      </c>
      <c r="AD78" s="230">
        <f>(INDEX(Models!$BJ78:$BT78,,AH78)*(1-AF78)+INDEX(Models!$BJ78:$BT78,,AH78+1)*AF78-ERP_i)*AE78*Ramure*Pc/MaxiM</f>
        <v>1.9066854436727723E-3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'2024'!Wh/'2024'!Env_an*'2025'!Env_an</f>
        <v>16.072248952042507</v>
      </c>
      <c r="C79" s="829"/>
      <c r="D79" s="391">
        <f t="shared" ref="D79:D142" si="25">Wh/(1-Ppv)</f>
        <v>16.777568442922643</v>
      </c>
      <c r="E79" s="383">
        <f t="shared" si="1"/>
        <v>17.335857647453967</v>
      </c>
      <c r="F79" s="383">
        <f t="shared" ref="F79:F142" si="26">Wh_sa/(1-Pvg*MEDIAN((-Sdif+Wh/Env_an)/Csdif,0,1))</f>
        <v>17.339286145639456</v>
      </c>
      <c r="G79" s="110">
        <f t="shared" si="21"/>
        <v>0.37557329023498898</v>
      </c>
      <c r="H79" s="412" t="b">
        <f>Wh_hp&gt;='2024'!Maxi_hp</f>
        <v>0</v>
      </c>
      <c r="I79" s="388">
        <f>IF(H79,Wh_hp,'2024'!Maxi_hp)</f>
        <v>17.358899888574093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4.2039434574779655E-2</v>
      </c>
      <c r="M79" s="832"/>
      <c r="N79" s="832"/>
      <c r="O79" s="48">
        <f>IF(t&lt;Tnet,'2024'!Resal+('2024'!Salim-'2024'!Resal)*(1-EXP(('2024'!Tnet-t)/('2024'!Tau_j))),Resal+(Salim-Resal)*(1-EXP((Tnet-t)/(Tau_j))))*Salcycl</f>
        <v>3.2204302543596242E-2</v>
      </c>
      <c r="P79" s="169">
        <f>(INDEX(Models!$BJ79:$BT79,,T79)*(1-R79)+INDEX(Models!$BJ79:$BT79,,T79+1)*R79-ERP_i)*Q79*Ramure*Pc/MaxiM</f>
        <v>1.8168354206465891E-3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42.72460677694793</v>
      </c>
      <c r="W79" s="400">
        <f t="shared" ref="W79:W142" si="34">Wh*(A79&gt;Tmaj)</f>
        <v>16.072248952042507</v>
      </c>
      <c r="X79" s="157">
        <f t="shared" ref="X79:X142" si="35">t</f>
        <v>45722</v>
      </c>
      <c r="Y79" s="383">
        <f t="shared" ref="Y79:Y142" si="36">Wh_pvt_s*(1-Ppv)</f>
        <v>15.524589247242609</v>
      </c>
      <c r="Z79" s="383">
        <f t="shared" ref="Z79:Z142" si="37">Wh_sa_s*(1-Psa_s)</f>
        <v>16.205875072061595</v>
      </c>
      <c r="AA79" s="384">
        <f t="shared" ref="AA79:AA142" si="38">Wh_hp*(1-Pvg_s*MEDIAN((-Sdif+Wh/Env_an)/Csdif,0,1))</f>
        <v>17.335857647453967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6.5181809770936114E-2</v>
      </c>
      <c r="AD79" s="230">
        <f>(INDEX(Models!$BJ79:$BT79,,AH79)*(1-AF79)+INDEX(Models!$BJ79:$BT79,,AH79+1)*AF79-ERP_i)*AE79*Ramure*Pc/MaxiM</f>
        <v>1.8168354206465891E-3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'2024'!Wh/'2024'!Env_an*'2025'!Env_an</f>
        <v>39.593044664876317</v>
      </c>
      <c r="C80" s="829"/>
      <c r="D80" s="391">
        <f t="shared" si="25"/>
        <v>41.331350057726134</v>
      </c>
      <c r="E80" s="383">
        <f t="shared" ref="E80:E143" si="47">Wh_pvt/(1-Psa)</f>
        <v>42.709442808838027</v>
      </c>
      <c r="F80" s="383">
        <f t="shared" si="26"/>
        <v>42.774936423767123</v>
      </c>
      <c r="G80" s="110">
        <f t="shared" ref="G80:G143" si="48">+Wh_hp/MaxiM</f>
        <v>0.91880122945008491</v>
      </c>
      <c r="H80" s="412" t="b">
        <f>Wh_hp&gt;='2024'!Maxi_hp</f>
        <v>0</v>
      </c>
      <c r="I80" s="388">
        <f>IF(H80,Wh_hp,'2024'!Maxi_hp)</f>
        <v>42.780921418940942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4.2057793670470023E-2</v>
      </c>
      <c r="M80" s="832"/>
      <c r="N80" s="832"/>
      <c r="O80" s="48">
        <f>IF(t&lt;Tnet,'2024'!Resal+('2024'!Salim-'2024'!Resal)*(1-EXP(('2024'!Tnet-t)/('2024'!Tau_j))),Resal+(Salim-Resal)*(1-EXP((Tnet-t)/(Tau_j))))*Salcycl</f>
        <v>3.2266699363886805E-2</v>
      </c>
      <c r="P80" s="169">
        <f>(INDEX(Models!$BJ80:$BT80,,T80)*(1-R80)+INDEX(Models!$BJ80:$BT80,,T80+1)*R80-ERP_i)*Q80*Ramure*Pc/MaxiM</f>
        <v>1.7315180847544847E-3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43.083418816763526</v>
      </c>
      <c r="W80" s="400">
        <f t="shared" si="34"/>
        <v>39.593044664876317</v>
      </c>
      <c r="X80" s="157">
        <f t="shared" si="35"/>
        <v>45723</v>
      </c>
      <c r="Y80" s="383">
        <f t="shared" si="36"/>
        <v>38.245041940274177</v>
      </c>
      <c r="Z80" s="383">
        <f t="shared" si="37"/>
        <v>39.924164200692886</v>
      </c>
      <c r="AA80" s="384">
        <f t="shared" si="38"/>
        <v>42.709442808838027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6.5214585463258951E-2</v>
      </c>
      <c r="AD80" s="230">
        <f>(INDEX(Models!$BJ80:$BT80,,AH80)*(1-AF80)+INDEX(Models!$BJ80:$BT80,,AH80+1)*AF80-ERP_i)*AE80*Ramure*Pc/MaxiM</f>
        <v>1.7315180847544847E-3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'2024'!Wh/'2024'!Env_an*'2025'!Env_an</f>
        <v>32.269169875514379</v>
      </c>
      <c r="C81" s="829"/>
      <c r="D81" s="391">
        <f t="shared" si="25"/>
        <v>33.686571178746924</v>
      </c>
      <c r="E81" s="383">
        <f t="shared" si="47"/>
        <v>34.812011188817912</v>
      </c>
      <c r="F81" s="383">
        <f t="shared" si="26"/>
        <v>34.84840590277927</v>
      </c>
      <c r="G81" s="110">
        <f t="shared" si="48"/>
        <v>0.74232767745683115</v>
      </c>
      <c r="H81" s="412" t="b">
        <f>Wh_hp&gt;='2024'!Maxi_hp</f>
        <v>0</v>
      </c>
      <c r="I81" s="388">
        <f>IF(H81,Wh_hp,'2024'!Maxi_hp)</f>
        <v>34.863147641201927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4.2076152414312618E-2</v>
      </c>
      <c r="M81" s="832"/>
      <c r="N81" s="832"/>
      <c r="O81" s="48">
        <f>IF(t&lt;Tnet,'2024'!Resal+('2024'!Salim-'2024'!Resal)*(1-EXP(('2024'!Tnet-t)/('2024'!Tau_j))),Resal+(Salim-Resal)*(1-EXP((Tnet-t)/(Tau_j))))*Salcycl</f>
        <v>3.2329071824281699E-2</v>
      </c>
      <c r="P81" s="169">
        <f>(INDEX(Models!$BJ81:$BT81,,T81)*(1-R81)+INDEX(Models!$BJ81:$BT81,,T81+1)*R81-ERP_i)*Q81*Ramure*Pc/MaxiM</f>
        <v>1.6510743133851418E-3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43.443849152494728</v>
      </c>
      <c r="W81" s="400">
        <f t="shared" si="34"/>
        <v>32.269169875514379</v>
      </c>
      <c r="X81" s="157">
        <f t="shared" si="35"/>
        <v>45724</v>
      </c>
      <c r="Y81" s="383">
        <f t="shared" si="36"/>
        <v>31.171434158470372</v>
      </c>
      <c r="Z81" s="383">
        <f t="shared" si="37"/>
        <v>32.540618168170255</v>
      </c>
      <c r="AA81" s="384">
        <f t="shared" si="38"/>
        <v>34.812011188817912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6.5247394306745976E-2</v>
      </c>
      <c r="AD81" s="230">
        <f>(INDEX(Models!$BJ81:$BT81,,AH81)*(1-AF81)+INDEX(Models!$BJ81:$BT81,,AH81+1)*AF81-ERP_i)*AE81*Ramure*Pc/MaxiM</f>
        <v>1.6510743133851418E-3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'2024'!Wh/'2024'!Env_an*'2025'!Env_an</f>
        <v>31.46238674370553</v>
      </c>
      <c r="C82" s="829"/>
      <c r="D82" s="391">
        <f t="shared" si="25"/>
        <v>32.844980114049562</v>
      </c>
      <c r="E82" s="383">
        <f t="shared" si="47"/>
        <v>33.944490626494414</v>
      </c>
      <c r="F82" s="383">
        <f t="shared" si="26"/>
        <v>33.976471672025369</v>
      </c>
      <c r="G82" s="110">
        <f t="shared" si="48"/>
        <v>0.71777508482946761</v>
      </c>
      <c r="H82" s="412" t="b">
        <f>Wh_hp&gt;='2024'!Maxi_hp</f>
        <v>0</v>
      </c>
      <c r="I82" s="388">
        <f>IF(H82,Wh_hp,'2024'!Maxi_hp)</f>
        <v>45.223150143497143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4.20945108063141E-2</v>
      </c>
      <c r="M82" s="832"/>
      <c r="N82" s="832"/>
      <c r="O82" s="48">
        <f>IF(t&lt;Tnet,'2024'!Resal+('2024'!Salim-'2024'!Resal)*(1-EXP(('2024'!Tnet-t)/('2024'!Tau_j))),Resal+(Salim-Resal)*(1-EXP((Tnet-t)/(Tau_j))))*Salcycl</f>
        <v>3.2391427655911138E-2</v>
      </c>
      <c r="P82" s="169">
        <f>(INDEX(Models!$BJ82:$BT82,,T82)*(1-R82)+INDEX(Models!$BJ82:$BT82,,T82+1)*R82-ERP_i)*Q82*Ramure*Pc/MaxiM</f>
        <v>1.5754195177219788E-3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43.805388016735101</v>
      </c>
      <c r="W82" s="400">
        <f t="shared" si="34"/>
        <v>31.46238674370553</v>
      </c>
      <c r="X82" s="157">
        <f t="shared" si="35"/>
        <v>45725</v>
      </c>
      <c r="Y82" s="383">
        <f t="shared" si="36"/>
        <v>30.392986444465539</v>
      </c>
      <c r="Z82" s="383">
        <f t="shared" si="37"/>
        <v>31.728585739756795</v>
      </c>
      <c r="AA82" s="384">
        <f t="shared" si="38"/>
        <v>33.944490626494414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6.5280251547155554E-2</v>
      </c>
      <c r="AD82" s="230">
        <f>(INDEX(Models!$BJ82:$BT82,,AH82)*(1-AF82)+INDEX(Models!$BJ82:$BT82,,AH82+1)*AF82-ERP_i)*AE82*Ramure*Pc/MaxiM</f>
        <v>1.5754195177219788E-3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'2024'!Wh/'2024'!Env_an*'2025'!Env_an</f>
        <v>25.046671951623569</v>
      </c>
      <c r="C83" s="829"/>
      <c r="D83" s="391">
        <f t="shared" si="25"/>
        <v>26.147832178788697</v>
      </c>
      <c r="E83" s="383">
        <f t="shared" si="47"/>
        <v>27.024891947191961</v>
      </c>
      <c r="F83" s="383">
        <f t="shared" si="26"/>
        <v>27.04041385221274</v>
      </c>
      <c r="G83" s="110">
        <f t="shared" si="48"/>
        <v>0.5665554878153084</v>
      </c>
      <c r="H83" s="412" t="b">
        <f>Wh_hp&gt;='2024'!Maxi_hp</f>
        <v>0</v>
      </c>
      <c r="I83" s="388">
        <f>IF(H83,Wh_hp,'2024'!Maxi_hp)</f>
        <v>44.941946667610743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4.2112868846481133E-2</v>
      </c>
      <c r="M83" s="832"/>
      <c r="N83" s="832"/>
      <c r="O83" s="48">
        <f>IF(t&lt;Tnet,'2024'!Resal+('2024'!Salim-'2024'!Resal)*(1-EXP(('2024'!Tnet-t)/('2024'!Tau_j))),Resal+(Salim-Resal)*(1-EXP((Tnet-t)/(Tau_j))))*Salcycl</f>
        <v>3.2453775212758808E-2</v>
      </c>
      <c r="P83" s="169">
        <f>(INDEX(Models!$BJ83:$BT83,,T83)*(1-R83)+INDEX(Models!$BJ83:$BT83,,T83+1)*R83-ERP_i)*Q83*Ramure*Pc/MaxiM</f>
        <v>1.5044674107175702E-3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44.167525772935932</v>
      </c>
      <c r="W83" s="400">
        <f t="shared" si="34"/>
        <v>25.046671951623569</v>
      </c>
      <c r="X83" s="157">
        <f t="shared" si="35"/>
        <v>45726</v>
      </c>
      <c r="Y83" s="383">
        <f t="shared" si="36"/>
        <v>24.196047401798449</v>
      </c>
      <c r="Z83" s="383">
        <f t="shared" si="37"/>
        <v>25.25981048796509</v>
      </c>
      <c r="AA83" s="384">
        <f t="shared" si="38"/>
        <v>27.024891947191961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6.5313173598471025E-2</v>
      </c>
      <c r="AD83" s="230">
        <f>(INDEX(Models!$BJ83:$BT83,,AH83)*(1-AF83)+INDEX(Models!$BJ83:$BT83,,AH83+1)*AF83-ERP_i)*AE83*Ramure*Pc/MaxiM</f>
        <v>1.5044674107175702E-3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'2024'!Wh/'2024'!Env_an*'2025'!Env_an</f>
        <v>15.534074956986304</v>
      </c>
      <c r="C84" s="829"/>
      <c r="D84" s="391">
        <f t="shared" si="25"/>
        <v>16.217331003275472</v>
      </c>
      <c r="E84" s="383">
        <f t="shared" si="47"/>
        <v>16.762378574337809</v>
      </c>
      <c r="F84" s="383">
        <f t="shared" si="26"/>
        <v>16.764060931818669</v>
      </c>
      <c r="G84" s="110">
        <f t="shared" si="48"/>
        <v>0.34838036927394084</v>
      </c>
      <c r="H84" s="412" t="b">
        <f>Wh_hp&gt;='2024'!Maxi_hp</f>
        <v>0</v>
      </c>
      <c r="I84" s="388">
        <f>IF(H84,Wh_hp,'2024'!Maxi_hp)</f>
        <v>33.644561072825525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4.2131226534820487E-2</v>
      </c>
      <c r="M84" s="832"/>
      <c r="N84" s="832"/>
      <c r="O84" s="48">
        <f>IF(t&lt;Tnet,'2024'!Resal+('2024'!Salim-'2024'!Resal)*(1-EXP(('2024'!Tnet-t)/('2024'!Tau_j))),Resal+(Salim-Resal)*(1-EXP((Tnet-t)/(Tau_j))))*Salcycl</f>
        <v>3.2516123451404005E-2</v>
      </c>
      <c r="P84" s="169">
        <f>(INDEX(Models!$BJ84:$BT84,,T84)*(1-R84)+INDEX(Models!$BJ84:$BT84,,T84+1)*R84-ERP_i)*Q84*Ramure*Pc/MaxiM</f>
        <v>1.4381306751900418E-3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44.529752913866254</v>
      </c>
      <c r="W84" s="400">
        <f t="shared" si="34"/>
        <v>15.534074956986304</v>
      </c>
      <c r="X84" s="157">
        <f t="shared" si="35"/>
        <v>45727</v>
      </c>
      <c r="Y84" s="383">
        <f t="shared" si="36"/>
        <v>15.006950381090341</v>
      </c>
      <c r="Z84" s="383">
        <f t="shared" si="37"/>
        <v>15.667021200410678</v>
      </c>
      <c r="AA84" s="384">
        <f t="shared" si="38"/>
        <v>16.762378574337809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6.5346177994336563E-2</v>
      </c>
      <c r="AD84" s="230">
        <f>(INDEX(Models!$BJ84:$BT84,,AH84)*(1-AF84)+INDEX(Models!$BJ84:$BT84,,AH84+1)*AF84-ERP_i)*AE84*Ramure*Pc/MaxiM</f>
        <v>1.4381306751900418E-3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'2024'!Wh/'2024'!Env_an*'2025'!Env_an</f>
        <v>16.168537447632193</v>
      </c>
      <c r="C85" s="829"/>
      <c r="D85" s="391">
        <f t="shared" si="25"/>
        <v>16.880023410106649</v>
      </c>
      <c r="E85" s="383">
        <f t="shared" si="47"/>
        <v>17.448468009467803</v>
      </c>
      <c r="F85" s="383">
        <f t="shared" si="26"/>
        <v>17.450532446392138</v>
      </c>
      <c r="G85" s="110">
        <f t="shared" si="48"/>
        <v>0.35971560548894616</v>
      </c>
      <c r="H85" s="412" t="b">
        <f>Wh_hp&gt;='2024'!Maxi_hp</f>
        <v>0</v>
      </c>
      <c r="I85" s="388">
        <f>IF(H85,Wh_hp,'2024'!Maxi_hp)</f>
        <v>43.401527185164618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4.2149583871338936E-2</v>
      </c>
      <c r="M85" s="832"/>
      <c r="N85" s="832"/>
      <c r="O85" s="48">
        <f>IF(t&lt;Tnet,'2024'!Resal+('2024'!Salim-'2024'!Resal)*(1-EXP(('2024'!Tnet-t)/('2024'!Tau_j))),Resal+(Salim-Resal)*(1-EXP((Tnet-t)/(Tau_j))))*Salcycl</f>
        <v>3.2578481907563898E-2</v>
      </c>
      <c r="P85" s="169">
        <f>(INDEX(Models!$BJ85:$BT85,,T85)*(1-R85)+INDEX(Models!$BJ85:$BT85,,T85+1)*R85-ERP_i)*Q85*Ramure*Pc/MaxiM</f>
        <v>1.3763216009811947E-3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44.891560058400145</v>
      </c>
      <c r="W85" s="400">
        <f t="shared" si="34"/>
        <v>16.168537447632193</v>
      </c>
      <c r="X85" s="157">
        <f t="shared" si="35"/>
        <v>45728</v>
      </c>
      <c r="Y85" s="383">
        <f t="shared" si="36"/>
        <v>15.620336920509594</v>
      </c>
      <c r="Z85" s="383">
        <f t="shared" si="37"/>
        <v>16.307699675740839</v>
      </c>
      <c r="AA85" s="384">
        <f t="shared" si="38"/>
        <v>17.448468009467803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6.5379283333526231E-2</v>
      </c>
      <c r="AD85" s="230">
        <f>(INDEX(Models!$BJ85:$BT85,,AH85)*(1-AF85)+INDEX(Models!$BJ85:$BT85,,AH85+1)*AF85-ERP_i)*AE85*Ramure*Pc/MaxiM</f>
        <v>1.3763216009811947E-3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'2024'!Wh/'2024'!Env_an*'2025'!Env_an</f>
        <v>9.0666400999869161</v>
      </c>
      <c r="C86" s="829"/>
      <c r="D86" s="391">
        <f t="shared" si="25"/>
        <v>9.4657931037410084</v>
      </c>
      <c r="E86" s="383">
        <f t="shared" si="47"/>
        <v>9.7851901314482355</v>
      </c>
      <c r="F86" s="383">
        <f t="shared" si="26"/>
        <v>9.7851901314482355</v>
      </c>
      <c r="G86" s="110">
        <f t="shared" si="48"/>
        <v>0.20009268099554106</v>
      </c>
      <c r="H86" s="412" t="b">
        <f>Wh_hp&gt;='2024'!Maxi_hp</f>
        <v>0</v>
      </c>
      <c r="I86" s="388">
        <f>IF(H86,Wh_hp,'2024'!Maxi_hp)</f>
        <v>43.4645843753053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4.2167940856043251E-2</v>
      </c>
      <c r="M86" s="832"/>
      <c r="N86" s="832"/>
      <c r="O86" s="48">
        <f>IF(t&lt;Tnet,'2024'!Resal+('2024'!Salim-'2024'!Resal)*(1-EXP(('2024'!Tnet-t)/('2024'!Tau_j))),Resal+(Salim-Resal)*(1-EXP((Tnet-t)/(Tau_j))))*Salcycl</f>
        <v>3.2640860669710427E-2</v>
      </c>
      <c r="P86" s="169">
        <f>(INDEX(Models!$BJ86:$BT86,,T86)*(1-R86)+INDEX(Models!$BJ86:$BT86,,T86+1)*R86-ERP_i)*Q86*Ramure*Pc/MaxiM</f>
        <v>1.3192454529713923E-3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45.252424682455313</v>
      </c>
      <c r="W86" s="400">
        <f t="shared" si="34"/>
        <v>9.0666400999869161</v>
      </c>
      <c r="X86" s="157">
        <f t="shared" si="35"/>
        <v>45729</v>
      </c>
      <c r="Y86" s="383">
        <f t="shared" si="36"/>
        <v>8.759485568842555</v>
      </c>
      <c r="Z86" s="383">
        <f t="shared" si="37"/>
        <v>9.1451162917549134</v>
      </c>
      <c r="AA86" s="384">
        <f t="shared" si="38"/>
        <v>9.7851901314482355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6.5412509220052248E-2</v>
      </c>
      <c r="AD86" s="230">
        <f>(INDEX(Models!$BJ86:$BT86,,AH86)*(1-AF86)+INDEX(Models!$BJ86:$BT86,,AH86+1)*AF86-ERP_i)*AE86*Ramure*Pc/MaxiM</f>
        <v>1.3192454529713923E-3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'2024'!Wh/'2024'!Env_an*'2025'!Env_an</f>
        <v>14.608882579340092</v>
      </c>
      <c r="C87" s="829"/>
      <c r="D87" s="391">
        <f t="shared" si="25"/>
        <v>15.252321553805924</v>
      </c>
      <c r="E87" s="383">
        <f t="shared" si="47"/>
        <v>15.767986271726114</v>
      </c>
      <c r="F87" s="383">
        <f t="shared" si="26"/>
        <v>15.768564545346052</v>
      </c>
      <c r="G87" s="110">
        <f t="shared" si="48"/>
        <v>0.31989307511702586</v>
      </c>
      <c r="H87" s="412" t="b">
        <f>Wh_hp&gt;='2024'!Maxi_hp</f>
        <v>0</v>
      </c>
      <c r="I87" s="388">
        <f>IF(H87,Wh_hp,'2024'!Maxi_hp)</f>
        <v>41.9627960937136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4.2186297488940205E-2</v>
      </c>
      <c r="M87" s="832"/>
      <c r="N87" s="832"/>
      <c r="O87" s="48">
        <f>IF(t&lt;Tnet,'2024'!Resal+('2024'!Salim-'2024'!Resal)*(1-EXP(('2024'!Tnet-t)/('2024'!Tau_j))),Resal+(Salim-Resal)*(1-EXP((Tnet-t)/(Tau_j))))*Salcycl</f>
        <v>3.2703270350053423E-2</v>
      </c>
      <c r="P87" s="169">
        <f>(INDEX(Models!$BJ87:$BT87,,T87)*(1-R87)+INDEX(Models!$BJ87:$BT87,,T87+1)*R87-ERP_i)*Q87*Ramure*Pc/MaxiM</f>
        <v>1.2654040715318587E-3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45.611901793463339</v>
      </c>
      <c r="W87" s="400">
        <f t="shared" si="34"/>
        <v>14.608882579340092</v>
      </c>
      <c r="X87" s="157">
        <f t="shared" si="35"/>
        <v>45730</v>
      </c>
      <c r="Y87" s="383">
        <f t="shared" si="36"/>
        <v>14.114377770711897</v>
      </c>
      <c r="Z87" s="383">
        <f t="shared" si="37"/>
        <v>14.736036594286372</v>
      </c>
      <c r="AA87" s="384">
        <f t="shared" si="38"/>
        <v>15.767986271726114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6.5445876198544875E-2</v>
      </c>
      <c r="AD87" s="230">
        <f>(INDEX(Models!$BJ87:$BT87,,AH87)*(1-AF87)+INDEX(Models!$BJ87:$BT87,,AH87+1)*AF87-ERP_i)*AE87*Ramure*Pc/MaxiM</f>
        <v>1.2654040715318587E-3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'2024'!Wh/'2024'!Env_an*'2025'!Env_an</f>
        <v>13.905671715082351</v>
      </c>
      <c r="C88" s="829"/>
      <c r="D88" s="391">
        <f t="shared" si="25"/>
        <v>14.518416454848428</v>
      </c>
      <c r="E88" s="383">
        <f t="shared" si="47"/>
        <v>15.010237732338597</v>
      </c>
      <c r="F88" s="383">
        <f t="shared" si="26"/>
        <v>15.010302797380341</v>
      </c>
      <c r="G88" s="110">
        <f t="shared" si="48"/>
        <v>0.30213175035117668</v>
      </c>
      <c r="H88" s="412" t="b">
        <f>Wh_hp&gt;='2024'!Maxi_hp</f>
        <v>0</v>
      </c>
      <c r="I88" s="388">
        <f>IF(H88,Wh_hp,'2024'!Maxi_hp)</f>
        <v>33.906662518762403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4.2204653770036349E-2</v>
      </c>
      <c r="M88" s="832"/>
      <c r="N88" s="832"/>
      <c r="O88" s="48">
        <f>IF(t&lt;Tnet,'2024'!Resal+('2024'!Salim-'2024'!Resal)*(1-EXP(('2024'!Tnet-t)/('2024'!Tau_j))),Resal+(Salim-Resal)*(1-EXP((Tnet-t)/(Tau_j))))*Salcycl</f>
        <v>3.2765722053193877E-2</v>
      </c>
      <c r="P88" s="169">
        <f>(INDEX(Models!$BJ88:$BT88,,T88)*(1-R88)+INDEX(Models!$BJ88:$BT88,,T88+1)*R88-ERP_i)*Q88*Ramure*Pc/MaxiM</f>
        <v>1.2147361989174304E-3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45.96948245254918</v>
      </c>
      <c r="W88" s="400">
        <f t="shared" si="34"/>
        <v>13.905671715082351</v>
      </c>
      <c r="X88" s="157">
        <f t="shared" si="35"/>
        <v>45731</v>
      </c>
      <c r="Y88" s="383">
        <f t="shared" si="36"/>
        <v>13.435355726955551</v>
      </c>
      <c r="Z88" s="383">
        <f t="shared" si="37"/>
        <v>14.027376286426186</v>
      </c>
      <c r="AA88" s="384">
        <f t="shared" si="38"/>
        <v>15.010237732338597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6.5479405685554118E-2</v>
      </c>
      <c r="AD88" s="230">
        <f>(INDEX(Models!$BJ88:$BT88,,AH88)*(1-AF88)+INDEX(Models!$BJ88:$BT88,,AH88+1)*AF88-ERP_i)*AE88*Ramure*Pc/MaxiM</f>
        <v>1.2147361989174304E-3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'2024'!Wh/'2024'!Env_an*'2025'!Env_an</f>
        <v>13.878411839737012</v>
      </c>
      <c r="C89" s="829"/>
      <c r="D89" s="391">
        <f t="shared" si="25"/>
        <v>14.490233092131771</v>
      </c>
      <c r="E89" s="383">
        <f t="shared" si="47"/>
        <v>14.982067820611453</v>
      </c>
      <c r="F89" s="383">
        <f t="shared" si="26"/>
        <v>14.982067820611453</v>
      </c>
      <c r="G89" s="110">
        <f t="shared" si="48"/>
        <v>0.29924048801001585</v>
      </c>
      <c r="H89" s="412" t="b">
        <f>Wh_hp&gt;='2024'!Maxi_hp</f>
        <v>0</v>
      </c>
      <c r="I89" s="388">
        <f>IF(H89,Wh_hp,'2024'!Maxi_hp)</f>
        <v>50.695816320188271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4.2223009699338676E-2</v>
      </c>
      <c r="M89" s="832"/>
      <c r="N89" s="832"/>
      <c r="O89" s="48">
        <f>IF(t&lt;Tnet,'2024'!Resal+('2024'!Salim-'2024'!Resal)*(1-EXP(('2024'!Tnet-t)/('2024'!Tau_j))),Resal+(Salim-Resal)*(1-EXP((Tnet-t)/(Tau_j))))*Salcycl</f>
        <v>3.2828227342760009E-2</v>
      </c>
      <c r="P89" s="169">
        <f>(INDEX(Models!$BJ89:$BT89,,T89)*(1-R89)+INDEX(Models!$BJ89:$BT89,,T89+1)*R89-ERP_i)*Q89*Ramure*Pc/MaxiM</f>
        <v>1.1671809825572195E-3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46.324657848123792</v>
      </c>
      <c r="W89" s="400">
        <f t="shared" si="34"/>
        <v>13.878411839737012</v>
      </c>
      <c r="X89" s="157">
        <f t="shared" si="35"/>
        <v>45732</v>
      </c>
      <c r="Y89" s="383">
        <f t="shared" si="36"/>
        <v>13.409400633418374</v>
      </c>
      <c r="Z89" s="383">
        <f t="shared" si="37"/>
        <v>14.000545815168259</v>
      </c>
      <c r="AA89" s="384">
        <f t="shared" si="38"/>
        <v>14.982067820611453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6.5513119897433303E-2</v>
      </c>
      <c r="AD89" s="230">
        <f>(INDEX(Models!$BJ89:$BT89,,AH89)*(1-AF89)+INDEX(Models!$BJ89:$BT89,,AH89+1)*AF89-ERP_i)*AE89*Ramure*Pc/MaxiM</f>
        <v>1.1671809825572195E-3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'2024'!Wh/'2024'!Env_an*'2025'!Env_an</f>
        <v>11.655964770419287</v>
      </c>
      <c r="C90" s="829"/>
      <c r="D90" s="391">
        <f t="shared" si="25"/>
        <v>12.170044046419491</v>
      </c>
      <c r="E90" s="383">
        <f t="shared" si="47"/>
        <v>12.583939873437474</v>
      </c>
      <c r="F90" s="383">
        <f t="shared" si="26"/>
        <v>12.583939873437474</v>
      </c>
      <c r="G90" s="110">
        <f t="shared" si="48"/>
        <v>0.24943546074660239</v>
      </c>
      <c r="H90" s="412" t="b">
        <f>Wh_hp&gt;='2024'!Maxi_hp</f>
        <v>0</v>
      </c>
      <c r="I90" s="388">
        <f>IF(H90,Wh_hp,'2024'!Maxi_hp)</f>
        <v>27.308423529990701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4.2241365276853737E-2</v>
      </c>
      <c r="M90" s="832"/>
      <c r="N90" s="832"/>
      <c r="O90" s="48">
        <f>IF(t&lt;Tnet,'2024'!Resal+('2024'!Salim-'2024'!Resal)*(1-EXP(('2024'!Tnet-t)/('2024'!Tau_j))),Resal+(Salim-Resal)*(1-EXP((Tnet-t)/(Tau_j))))*Salcycl</f>
        <v>3.2890798206342775E-2</v>
      </c>
      <c r="P90" s="169">
        <f>(INDEX(Models!$BJ90:$BT90,,T90)*(1-R90)+INDEX(Models!$BJ90:$BT90,,T90+1)*R90-ERP_i)*Q90*Ramure*Pc/MaxiM</f>
        <v>1.1226783511480262E-3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46.676919297122765</v>
      </c>
      <c r="W90" s="400">
        <f t="shared" si="34"/>
        <v>11.655964770419287</v>
      </c>
      <c r="X90" s="157">
        <f t="shared" si="35"/>
        <v>45733</v>
      </c>
      <c r="Y90" s="383">
        <f t="shared" si="36"/>
        <v>11.262379409148862</v>
      </c>
      <c r="Z90" s="383">
        <f t="shared" si="37"/>
        <v>11.75909984085334</v>
      </c>
      <c r="AA90" s="384">
        <f t="shared" si="38"/>
        <v>12.583939873437474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6.5547041775464138E-2</v>
      </c>
      <c r="AD90" s="230">
        <f>(INDEX(Models!$BJ90:$BT90,,AH90)*(1-AF90)+INDEX(Models!$BJ90:$BT90,,AH90+1)*AF90-ERP_i)*AE90*Ramure*Pc/MaxiM</f>
        <v>1.1226783511480262E-3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'2024'!Wh/'2024'!Env_an*'2025'!Env_an</f>
        <v>15.068794273623563</v>
      </c>
      <c r="C91" s="829"/>
      <c r="D91" s="391">
        <f t="shared" si="25"/>
        <v>15.73369586327844</v>
      </c>
      <c r="E91" s="383">
        <f t="shared" si="47"/>
        <v>16.269843281875939</v>
      </c>
      <c r="F91" s="383">
        <f t="shared" si="26"/>
        <v>16.270356864760913</v>
      </c>
      <c r="G91" s="110">
        <f t="shared" si="48"/>
        <v>0.32010068682199849</v>
      </c>
      <c r="H91" s="412" t="b">
        <f>Wh_hp&gt;='2024'!Maxi_hp</f>
        <v>0</v>
      </c>
      <c r="I91" s="388">
        <f>IF(H91,Wh_hp,'2024'!Maxi_hp)</f>
        <v>34.112652515484889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4.2259720502588305E-2</v>
      </c>
      <c r="M91" s="832"/>
      <c r="N91" s="832"/>
      <c r="O91" s="48">
        <f>IF(t&lt;Tnet,'2024'!Resal+('2024'!Salim-'2024'!Resal)*(1-EXP(('2024'!Tnet-t)/('2024'!Tau_j))),Resal+(Salim-Resal)*(1-EXP((Tnet-t)/(Tau_j))))*Salcycl</f>
        <v>3.2953447019047268E-2</v>
      </c>
      <c r="P91" s="169">
        <f>(INDEX(Models!$BJ91:$BT91,,T91)*(1-R91)+INDEX(Models!$BJ91:$BT91,,T91+1)*R91-ERP_i)*Q91*Ramure*Pc/MaxiM</f>
        <v>1.0811693737128715E-3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47.025758238231376</v>
      </c>
      <c r="W91" s="400">
        <f t="shared" si="34"/>
        <v>15.068794273623563</v>
      </c>
      <c r="X91" s="157">
        <f t="shared" si="35"/>
        <v>45734</v>
      </c>
      <c r="Y91" s="383">
        <f t="shared" si="36"/>
        <v>14.560379431496335</v>
      </c>
      <c r="Z91" s="383">
        <f t="shared" si="37"/>
        <v>15.20284751847036</v>
      </c>
      <c r="AA91" s="384">
        <f t="shared" si="38"/>
        <v>16.269843281875939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6.5581194908876386E-2</v>
      </c>
      <c r="AD91" s="230">
        <f>(INDEX(Models!$BJ91:$BT91,,AH91)*(1-AF91)+INDEX(Models!$BJ91:$BT91,,AH91+1)*AF91-ERP_i)*AE91*Ramure*Pc/MaxiM</f>
        <v>1.0811693737128715E-3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'2024'!Wh/'2024'!Env_an*'2025'!Env_an</f>
        <v>28.790518380185802</v>
      </c>
      <c r="C92" s="829"/>
      <c r="D92" s="391">
        <f t="shared" si="25"/>
        <v>30.061459010145789</v>
      </c>
      <c r="E92" s="383">
        <f t="shared" si="47"/>
        <v>31.087861648401258</v>
      </c>
      <c r="F92" s="383">
        <f t="shared" si="26"/>
        <v>31.102118905257019</v>
      </c>
      <c r="G92" s="110">
        <f t="shared" si="48"/>
        <v>0.60741580550513719</v>
      </c>
      <c r="H92" s="412" t="b">
        <f>Wh_hp&gt;='2024'!Maxi_hp</f>
        <v>0</v>
      </c>
      <c r="I92" s="388">
        <f>IF(H92,Wh_hp,'2024'!Maxi_hp)</f>
        <v>46.811989092410982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4.2278075376549151E-2</v>
      </c>
      <c r="M92" s="832"/>
      <c r="N92" s="832"/>
      <c r="O92" s="48">
        <f>IF(t&lt;Tnet,'2024'!Resal+('2024'!Salim-'2024'!Resal)*(1-EXP(('2024'!Tnet-t)/('2024'!Tau_j))),Resal+(Salim-Resal)*(1-EXP((Tnet-t)/(Tau_j))))*Salcycl</f>
        <v>3.3016186505971962E-2</v>
      </c>
      <c r="P92" s="169">
        <f>(INDEX(Models!$BJ92:$BT92,,T92)*(1-R92)+INDEX(Models!$BJ92:$BT92,,T92+1)*R92-ERP_i)*Q92*Ramure*Pc/MaxiM</f>
        <v>1.0425966022523281E-3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47.370666230668263</v>
      </c>
      <c r="W92" s="400">
        <f t="shared" si="34"/>
        <v>28.790518380185802</v>
      </c>
      <c r="X92" s="157">
        <f t="shared" si="35"/>
        <v>45735</v>
      </c>
      <c r="Y92" s="383">
        <f t="shared" si="36"/>
        <v>27.819918769522971</v>
      </c>
      <c r="Z92" s="383">
        <f t="shared" si="37"/>
        <v>29.048012846172416</v>
      </c>
      <c r="AA92" s="384">
        <f t="shared" si="38"/>
        <v>31.087861648401258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6.5615603456397428E-2</v>
      </c>
      <c r="AD92" s="230">
        <f>(INDEX(Models!$BJ92:$BT92,,AH92)*(1-AF92)+INDEX(Models!$BJ92:$BT92,,AH92+1)*AF92-ERP_i)*AE92*Ramure*Pc/MaxiM</f>
        <v>1.0425966022523281E-3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'2024'!Wh/'2024'!Env_an*'2025'!Env_an</f>
        <v>31.969087891619647</v>
      </c>
      <c r="C93" s="829"/>
      <c r="D93" s="391">
        <f t="shared" si="25"/>
        <v>33.380984356401214</v>
      </c>
      <c r="E93" s="383">
        <f t="shared" si="47"/>
        <v>34.522970730668554</v>
      </c>
      <c r="F93" s="383">
        <f t="shared" si="26"/>
        <v>34.541353814691441</v>
      </c>
      <c r="G93" s="110">
        <f t="shared" si="48"/>
        <v>0.66969430434793431</v>
      </c>
      <c r="H93" s="412" t="b">
        <f>Wh_hp&gt;='2024'!Maxi_hp</f>
        <v>0</v>
      </c>
      <c r="I93" s="388">
        <f>IF(H93,Wh_hp,'2024'!Maxi_hp)</f>
        <v>50.974512464979433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4.229642989874316E-2</v>
      </c>
      <c r="M93" s="832"/>
      <c r="N93" s="832"/>
      <c r="O93" s="48">
        <f>IF(t&lt;Tnet,'2024'!Resal+('2024'!Salim-'2024'!Resal)*(1-EXP(('2024'!Tnet-t)/('2024'!Tau_j))),Resal+(Salim-Resal)*(1-EXP((Tnet-t)/(Tau_j))))*Salcycl</f>
        <v>3.3079029703919793E-2</v>
      </c>
      <c r="P93" s="169">
        <f>(INDEX(Models!$BJ93:$BT93,,T93)*(1-R93)+INDEX(Models!$BJ93:$BT93,,T93+1)*R93-ERP_i)*Q93*Ramure*Pc/MaxiM</f>
        <v>1.0068405035577857E-3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47.714167408679181</v>
      </c>
      <c r="W93" s="400">
        <f t="shared" si="34"/>
        <v>31.969087891619647</v>
      </c>
      <c r="X93" s="157">
        <f t="shared" si="35"/>
        <v>45736</v>
      </c>
      <c r="Y93" s="383">
        <f t="shared" si="36"/>
        <v>30.892191659959977</v>
      </c>
      <c r="Z93" s="383">
        <f t="shared" si="37"/>
        <v>32.256527619181561</v>
      </c>
      <c r="AA93" s="384">
        <f t="shared" si="38"/>
        <v>34.522970730668554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6.5650292066945212E-2</v>
      </c>
      <c r="AD93" s="230">
        <f>(INDEX(Models!$BJ93:$BT93,,AH93)*(1-AF93)+INDEX(Models!$BJ93:$BT93,,AH93+1)*AF93-ERP_i)*AE93*Ramure*Pc/MaxiM</f>
        <v>1.0068405035577857E-3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'2024'!Wh/'2024'!Env_an*'2025'!Env_an</f>
        <v>45.255100764747574</v>
      </c>
      <c r="C94" s="829"/>
      <c r="D94" s="391">
        <f t="shared" si="25"/>
        <v>47.254672006982823</v>
      </c>
      <c r="E94" s="383">
        <f t="shared" si="47"/>
        <v>48.874469171746853</v>
      </c>
      <c r="F94" s="383">
        <f t="shared" si="26"/>
        <v>48.918151878910692</v>
      </c>
      <c r="G94" s="110">
        <f t="shared" si="48"/>
        <v>0.94158916565407369</v>
      </c>
      <c r="H94" s="412" t="b">
        <f>Wh_hp&gt;='2024'!Maxi_hp</f>
        <v>0</v>
      </c>
      <c r="I94" s="388">
        <f>IF(H94,Wh_hp,'2024'!Maxi_hp)</f>
        <v>52.150714918937091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4.231478406917677E-2</v>
      </c>
      <c r="M94" s="832"/>
      <c r="N94" s="832"/>
      <c r="O94" s="48">
        <f>IF(t&lt;Tnet,'2024'!Resal+('2024'!Salim-'2024'!Resal)*(1-EXP(('2024'!Tnet-t)/('2024'!Tau_j))),Resal+(Salim-Resal)*(1-EXP((Tnet-t)/(Tau_j))))*Salcycl</f>
        <v>3.3141989922632197E-2</v>
      </c>
      <c r="P94" s="169">
        <f>(INDEX(Models!$BJ94:$BT94,,T94)*(1-R94)+INDEX(Models!$BJ94:$BT94,,T94+1)*R94-ERP_i)*Q94*Ramure*Pc/MaxiM</f>
        <v>9.7415650119812706E-4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48.058564471326655</v>
      </c>
      <c r="W94" s="400">
        <f t="shared" si="34"/>
        <v>45.255100764747574</v>
      </c>
      <c r="X94" s="157">
        <f t="shared" si="35"/>
        <v>45737</v>
      </c>
      <c r="Y94" s="383">
        <f t="shared" si="36"/>
        <v>43.731867654198595</v>
      </c>
      <c r="Z94" s="383">
        <f t="shared" si="37"/>
        <v>45.664135695875139</v>
      </c>
      <c r="AA94" s="384">
        <f t="shared" si="38"/>
        <v>48.874469171746853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6.5685285800045623E-2</v>
      </c>
      <c r="AD94" s="230">
        <f>(INDEX(Models!$BJ94:$BT94,,AH94)*(1-AF94)+INDEX(Models!$BJ94:$BT94,,AH94+1)*AF94-ERP_i)*AE94*Ramure*Pc/MaxiM</f>
        <v>9.7415650119812706E-4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'2024'!Wh/'2024'!Env_an*'2025'!Env_an</f>
        <v>42.966109405015921</v>
      </c>
      <c r="C95" s="829"/>
      <c r="D95" s="391">
        <f t="shared" si="25"/>
        <v>44.865402683197971</v>
      </c>
      <c r="E95" s="383">
        <f t="shared" si="47"/>
        <v>46.406328568578523</v>
      </c>
      <c r="F95" s="383">
        <f t="shared" si="26"/>
        <v>46.443081090184577</v>
      </c>
      <c r="G95" s="110">
        <f t="shared" si="48"/>
        <v>0.88753766129117106</v>
      </c>
      <c r="H95" s="412" t="b">
        <f>Wh_hp&gt;='2024'!Maxi_hp</f>
        <v>0</v>
      </c>
      <c r="I95" s="388">
        <f>IF(H95,Wh_hp,'2024'!Maxi_hp)</f>
        <v>50.892769880316351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4.2333137887856975E-2</v>
      </c>
      <c r="M95" s="832"/>
      <c r="N95" s="832"/>
      <c r="O95" s="48">
        <f>IF(t&lt;Tnet,'2024'!Resal+('2024'!Salim-'2024'!Resal)*(1-EXP(('2024'!Tnet-t)/('2024'!Tau_j))),Resal+(Salim-Resal)*(1-EXP((Tnet-t)/(Tau_j))))*Salcycl</f>
        <v>3.320508070582219E-2</v>
      </c>
      <c r="P95" s="169">
        <f>(INDEX(Models!$BJ95:$BT95,,T95)*(1-R95)+INDEX(Models!$BJ95:$BT95,,T95+1)*R95-ERP_i)*Q95*Ramure*Pc/MaxiM</f>
        <v>9.426036841630993E-4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48.403135049301902</v>
      </c>
      <c r="W95" s="400">
        <f t="shared" si="34"/>
        <v>42.966109405015921</v>
      </c>
      <c r="X95" s="157">
        <f t="shared" si="35"/>
        <v>45738</v>
      </c>
      <c r="Y95" s="383">
        <f t="shared" si="36"/>
        <v>41.521060653586503</v>
      </c>
      <c r="Z95" s="383">
        <f t="shared" si="37"/>
        <v>43.35647634503237</v>
      </c>
      <c r="AA95" s="384">
        <f t="shared" si="38"/>
        <v>46.406328568578523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6.5720610046518427E-2</v>
      </c>
      <c r="AD95" s="230">
        <f>(INDEX(Models!$BJ95:$BT95,,AH95)*(1-AF95)+INDEX(Models!$BJ95:$BT95,,AH95+1)*AF95-ERP_i)*AE95*Ramure*Pc/MaxiM</f>
        <v>9.426036841630993E-4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'2024'!Wh/'2024'!Env_an*'2025'!Env_an</f>
        <v>48.974805358097825</v>
      </c>
      <c r="C96" s="829"/>
      <c r="D96" s="391">
        <f t="shared" si="25"/>
        <v>51.140689841811316</v>
      </c>
      <c r="E96" s="383">
        <f t="shared" si="47"/>
        <v>52.900603835822864</v>
      </c>
      <c r="F96" s="383">
        <f t="shared" si="26"/>
        <v>52.948902458584236</v>
      </c>
      <c r="G96" s="110">
        <f t="shared" si="48"/>
        <v>1.0046718730909368</v>
      </c>
      <c r="H96" s="412" t="b">
        <f>Wh_hp&gt;='2024'!Maxi_hp</f>
        <v>0</v>
      </c>
      <c r="I96" s="388">
        <f>IF(H96,Wh_hp,'2024'!Maxi_hp)</f>
        <v>53.286062169656844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4.2351491354790438E-2</v>
      </c>
      <c r="M96" s="832"/>
      <c r="N96" s="832"/>
      <c r="O96" s="48">
        <f>IF(t&lt;Tnet,'2024'!Resal+('2024'!Salim-'2024'!Resal)*(1-EXP(('2024'!Tnet-t)/('2024'!Tau_j))),Resal+(Salim-Resal)*(1-EXP((Tnet-t)/(Tau_j))))*Salcycl</f>
        <v>3.3268315792262824E-2</v>
      </c>
      <c r="P96" s="169">
        <f>(INDEX(Models!$BJ96:$BT96,,T96)*(1-R96)+INDEX(Models!$BJ96:$BT96,,T96+1)*R96-ERP_i)*Q96*Ramure*Pc/MaxiM</f>
        <v>9.121742003840534E-4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48.747065255667735</v>
      </c>
      <c r="W96" s="400">
        <f t="shared" si="34"/>
        <v>48.974805358097825</v>
      </c>
      <c r="X96" s="157">
        <f t="shared" si="35"/>
        <v>45739</v>
      </c>
      <c r="Y96" s="383">
        <f t="shared" si="36"/>
        <v>47.328958572138689</v>
      </c>
      <c r="Z96" s="383">
        <f t="shared" si="37"/>
        <v>49.422056365017703</v>
      </c>
      <c r="AA96" s="384">
        <f t="shared" si="38"/>
        <v>52.900603835822864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6.57562904499321E-2</v>
      </c>
      <c r="AD96" s="230">
        <f>(INDEX(Models!$BJ96:$BT96,,AH96)*(1-AF96)+INDEX(Models!$BJ96:$BT96,,AH96+1)*AF96-ERP_i)*AE96*Ramure*Pc/MaxiM</f>
        <v>9.121742003840534E-4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'2024'!Wh/'2024'!Env_an*'2025'!Env_an</f>
        <v>48.17115299493711</v>
      </c>
      <c r="C97" s="829"/>
      <c r="D97" s="391">
        <f t="shared" si="25"/>
        <v>50.302460419363044</v>
      </c>
      <c r="E97" s="383">
        <f t="shared" si="47"/>
        <v>52.036940584180719</v>
      </c>
      <c r="F97" s="383">
        <f t="shared" si="26"/>
        <v>52.081692436269819</v>
      </c>
      <c r="G97" s="110">
        <f t="shared" si="48"/>
        <v>0.98126839151531309</v>
      </c>
      <c r="H97" s="412" t="b">
        <f>Wh_hp&gt;='2024'!Maxi_hp</f>
        <v>0</v>
      </c>
      <c r="I97" s="388">
        <f>IF(H97,Wh_hp,'2024'!Maxi_hp)</f>
        <v>52.432685420203406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4.2369844469983931E-2</v>
      </c>
      <c r="M97" s="832"/>
      <c r="N97" s="832"/>
      <c r="O97" s="48">
        <f>IF(t&lt;Tnet,'2024'!Resal+('2024'!Salim-'2024'!Resal)*(1-EXP(('2024'!Tnet-t)/('2024'!Tau_j))),Resal+(Salim-Resal)*(1-EXP((Tnet-t)/(Tau_j))))*Salcycl</f>
        <v>3.3331709077165927E-2</v>
      </c>
      <c r="P97" s="169">
        <f>(INDEX(Models!$BJ97:$BT97,,T97)*(1-R97)+INDEX(Models!$BJ97:$BT97,,T97+1)*R97-ERP_i)*Q97*Ramure*Pc/MaxiM</f>
        <v>8.828581951838652E-4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49.089541463306425</v>
      </c>
      <c r="W97" s="400">
        <f t="shared" si="34"/>
        <v>48.17115299493711</v>
      </c>
      <c r="X97" s="157">
        <f t="shared" si="35"/>
        <v>45740</v>
      </c>
      <c r="Y97" s="383">
        <f t="shared" si="36"/>
        <v>46.553569537219225</v>
      </c>
      <c r="Z97" s="383">
        <f t="shared" si="37"/>
        <v>48.61330782911007</v>
      </c>
      <c r="AA97" s="384">
        <f t="shared" si="38"/>
        <v>52.036940584180719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6.5792352829279088E-2</v>
      </c>
      <c r="AD97" s="230">
        <f>(INDEX(Models!$BJ97:$BT97,,AH97)*(1-AF97)+INDEX(Models!$BJ97:$BT97,,AH97+1)*AF97-ERP_i)*AE97*Ramure*Pc/MaxiM</f>
        <v>8.828581951838652E-4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'2024'!Wh/'2024'!Env_an*'2025'!Env_an</f>
        <v>42.868815777546324</v>
      </c>
      <c r="C98" s="829"/>
      <c r="D98" s="391">
        <f t="shared" si="25"/>
        <v>44.766382007508291</v>
      </c>
      <c r="E98" s="383">
        <f t="shared" si="47"/>
        <v>46.313017958588773</v>
      </c>
      <c r="F98" s="383">
        <f t="shared" si="26"/>
        <v>46.345116043737249</v>
      </c>
      <c r="G98" s="110">
        <f t="shared" si="48"/>
        <v>0.86712685289744107</v>
      </c>
      <c r="H98" s="412" t="b">
        <f>Wh_hp&gt;='2024'!Maxi_hp</f>
        <v>0</v>
      </c>
      <c r="I98" s="388">
        <f>IF(H98,Wh_hp,'2024'!Maxi_hp)</f>
        <v>46.350209045253081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4.2388197233444114E-2</v>
      </c>
      <c r="M98" s="832"/>
      <c r="N98" s="832"/>
      <c r="O98" s="48">
        <f>IF(t&lt;Tnet,'2024'!Resal+('2024'!Salim-'2024'!Resal)*(1-EXP(('2024'!Tnet-t)/('2024'!Tau_j))),Resal+(Salim-Resal)*(1-EXP((Tnet-t)/(Tau_j))))*Salcycl</f>
        <v>3.3395274574060801E-2</v>
      </c>
      <c r="P98" s="169">
        <f>(INDEX(Models!$BJ98:$BT98,,T98)*(1-R98)+INDEX(Models!$BJ98:$BT98,,T98+1)*R98-ERP_i)*Q98*Ramure*Pc/MaxiM</f>
        <v>8.5464408523247516E-4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49.429750306883911</v>
      </c>
      <c r="W98" s="400">
        <f t="shared" si="34"/>
        <v>42.868815777546324</v>
      </c>
      <c r="X98" s="157">
        <f t="shared" si="35"/>
        <v>45741</v>
      </c>
      <c r="Y98" s="383">
        <f t="shared" si="36"/>
        <v>41.430391383026546</v>
      </c>
      <c r="Z98" s="383">
        <f t="shared" si="37"/>
        <v>43.264286492014278</v>
      </c>
      <c r="AA98" s="384">
        <f t="shared" si="38"/>
        <v>46.313017958588773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6.5828823103269762E-2</v>
      </c>
      <c r="AD98" s="230">
        <f>(INDEX(Models!$BJ98:$BT98,,AH98)*(1-AF98)+INDEX(Models!$BJ98:$BT98,,AH98+1)*AF98-ERP_i)*AE98*Ramure*Pc/MaxiM</f>
        <v>8.5464408523247516E-4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'2024'!Wh/'2024'!Env_an*'2025'!Env_an</f>
        <v>47.455357016556434</v>
      </c>
      <c r="C99" s="829"/>
      <c r="D99" s="391">
        <f t="shared" si="25"/>
        <v>49.556893897898469</v>
      </c>
      <c r="E99" s="383">
        <f t="shared" si="47"/>
        <v>51.272419121723075</v>
      </c>
      <c r="F99" s="383">
        <f t="shared" si="26"/>
        <v>51.312063365576094</v>
      </c>
      <c r="G99" s="110">
        <f t="shared" si="48"/>
        <v>0.95350061257687058</v>
      </c>
      <c r="H99" s="412" t="b">
        <f>Wh_hp&gt;='2024'!Maxi_hp</f>
        <v>0</v>
      </c>
      <c r="I99" s="388">
        <f>IF(H99,Wh_hp,'2024'!Maxi_hp)</f>
        <v>54.664172365947202</v>
      </c>
      <c r="J99" s="85">
        <f>IF(H99,An,'2024'!An_max)</f>
        <v>2018</v>
      </c>
      <c r="K99" s="197">
        <f t="shared" si="27"/>
        <v>45742</v>
      </c>
      <c r="L99" s="147">
        <f>IF(t&lt;Tvie,1-EXP((T0-t)*PertePVj)+'2024'!Pspv,1-EXP((T0-t)*PertePVj)+Pspv)</f>
        <v>4.240654964517776E-2</v>
      </c>
      <c r="M99" s="832"/>
      <c r="N99" s="832"/>
      <c r="O99" s="48">
        <f>IF(t&lt;Tnet,'2024'!Resal+('2024'!Salim-'2024'!Resal)*(1-EXP(('2024'!Tnet-t)/('2024'!Tau_j))),Resal+(Salim-Resal)*(1-EXP((Tnet-t)/(Tau_j))))*Salcycl</f>
        <v>3.3459026377356392E-2</v>
      </c>
      <c r="P99" s="169">
        <f>(INDEX(Models!$BJ99:$BT99,,T99)*(1-R99)+INDEX(Models!$BJ99:$BT99,,T99+1)*R99-ERP_i)*Q99*Ramure*Pc/MaxiM</f>
        <v>8.2751882104041422E-4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49.766878685212284</v>
      </c>
      <c r="W99" s="400">
        <f t="shared" si="34"/>
        <v>47.455357016556434</v>
      </c>
      <c r="X99" s="157">
        <f t="shared" si="35"/>
        <v>45742</v>
      </c>
      <c r="Y99" s="383">
        <f t="shared" si="36"/>
        <v>45.864248517254666</v>
      </c>
      <c r="Z99" s="383">
        <f t="shared" si="37"/>
        <v>47.895323950117181</v>
      </c>
      <c r="AA99" s="384">
        <f t="shared" si="38"/>
        <v>51.272419121723075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6.5865727216586317E-2</v>
      </c>
      <c r="AD99" s="230">
        <f>(INDEX(Models!$BJ99:$BT99,,AH99)*(1-AF99)+INDEX(Models!$BJ99:$BT99,,AH99+1)*AF99-ERP_i)*AE99*Ramure*Pc/MaxiM</f>
        <v>8.2751882104041422E-4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'2024'!Wh/'2024'!Env_an*'2025'!Env_an</f>
        <v>45.88040857246385</v>
      </c>
      <c r="C100" s="829"/>
      <c r="D100" s="391">
        <f t="shared" si="25"/>
        <v>47.913117889306953</v>
      </c>
      <c r="E100" s="383">
        <f t="shared" si="47"/>
        <v>49.575020232946727</v>
      </c>
      <c r="F100" s="383">
        <f t="shared" si="26"/>
        <v>49.610011366881238</v>
      </c>
      <c r="G100" s="110">
        <f t="shared" si="48"/>
        <v>0.91568643029477037</v>
      </c>
      <c r="H100" s="412" t="b">
        <f>Wh_hp&gt;='2024'!Maxi_hp</f>
        <v>0</v>
      </c>
      <c r="I100" s="388">
        <f>IF(H100,Wh_hp,'2024'!Maxi_hp)</f>
        <v>53.82661692337178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4.2424901705191642E-2</v>
      </c>
      <c r="M100" s="832"/>
      <c r="N100" s="832"/>
      <c r="O100" s="48">
        <f>IF(t&lt;Tnet,'2024'!Resal+('2024'!Salim-'2024'!Resal)*(1-EXP(('2024'!Tnet-t)/('2024'!Tau_j))),Resal+(Salim-Resal)*(1-EXP((Tnet-t)/(Tau_j))))*Salcycl</f>
        <v>3.3522978625741509E-2</v>
      </c>
      <c r="P100" s="169">
        <f>(INDEX(Models!$BJ100:$BT100,,T100)*(1-R100)+INDEX(Models!$BJ100:$BT100,,T100+1)*R100-ERP_i)*Q100*Ramure*Pc/MaxiM</f>
        <v>8.0179766928095274E-4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50.100097239941782</v>
      </c>
      <c r="W100" s="400">
        <f t="shared" si="34"/>
        <v>45.88040857246385</v>
      </c>
      <c r="X100" s="157">
        <f t="shared" si="35"/>
        <v>45743</v>
      </c>
      <c r="Y100" s="383">
        <f t="shared" si="36"/>
        <v>44.343266192836381</v>
      </c>
      <c r="Z100" s="383">
        <f t="shared" si="37"/>
        <v>46.307873159818151</v>
      </c>
      <c r="AA100" s="384">
        <f t="shared" si="38"/>
        <v>49.575020232946727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6.5903091068378106E-2</v>
      </c>
      <c r="AD100" s="230">
        <f>(INDEX(Models!$BJ100:$BT100,,AH100)*(1-AF100)+INDEX(Models!$BJ100:$BT100,,AH100+1)*AF100-ERP_i)*AE100*Ramure*Pc/MaxiM</f>
        <v>8.0179766928095274E-4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'2024'!Wh/'2024'!Env_an*'2025'!Env_an</f>
        <v>14.774294943281692</v>
      </c>
      <c r="C101" s="829"/>
      <c r="D101" s="391">
        <f t="shared" si="25"/>
        <v>15.42915863310348</v>
      </c>
      <c r="E101" s="383">
        <f t="shared" si="47"/>
        <v>15.965390527169772</v>
      </c>
      <c r="F101" s="383">
        <f t="shared" si="26"/>
        <v>15.965390527169772</v>
      </c>
      <c r="G101" s="110">
        <f t="shared" si="48"/>
        <v>0.29274678388394137</v>
      </c>
      <c r="H101" s="412" t="b">
        <f>Wh_hp&gt;='2024'!Maxi_hp</f>
        <v>0</v>
      </c>
      <c r="I101" s="388">
        <f>IF(H101,Wh_hp,'2024'!Maxi_hp)</f>
        <v>53.283033319082513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4.2443253413492532E-2</v>
      </c>
      <c r="M101" s="832"/>
      <c r="N101" s="832"/>
      <c r="O101" s="48">
        <f>IF(t&lt;Tnet,'2024'!Resal+('2024'!Salim-'2024'!Resal)*(1-EXP(('2024'!Tnet-t)/('2024'!Tau_j))),Resal+(Salim-Resal)*(1-EXP((Tnet-t)/(Tau_j))))*Salcycl</f>
        <v>3.3587145466547584E-2</v>
      </c>
      <c r="P101" s="169">
        <f>(INDEX(Models!$BJ101:$BT101,,T101)*(1-R101)+INDEX(Models!$BJ101:$BT101,,T101+1)*R101-ERP_i)*Q101*Ramure*Pc/MaxiM</f>
        <v>7.7719244838865011E-4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50.428606855931108</v>
      </c>
      <c r="W101" s="400">
        <f t="shared" si="34"/>
        <v>14.774294943281692</v>
      </c>
      <c r="X101" s="157">
        <f t="shared" si="35"/>
        <v>45744</v>
      </c>
      <c r="Y101" s="383">
        <f t="shared" si="36"/>
        <v>14.279677650809349</v>
      </c>
      <c r="Z101" s="383">
        <f t="shared" si="37"/>
        <v>14.912617661264941</v>
      </c>
      <c r="AA101" s="384">
        <f t="shared" si="38"/>
        <v>15.965390527169772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6.5940940443218798E-2</v>
      </c>
      <c r="AD101" s="230">
        <f>(INDEX(Models!$BJ101:$BT101,,AH101)*(1-AF101)+INDEX(Models!$BJ101:$BT101,,AH101+1)*AF101-ERP_i)*AE101*Ramure*Pc/MaxiM</f>
        <v>7.7719244838865011E-4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'2024'!Wh/'2024'!Env_an*'2025'!Env_an</f>
        <v>28.356562793800233</v>
      </c>
      <c r="C102" s="829"/>
      <c r="D102" s="391">
        <f t="shared" si="25"/>
        <v>29.614021677941786</v>
      </c>
      <c r="E102" s="383">
        <f t="shared" si="47"/>
        <v>30.645282664636088</v>
      </c>
      <c r="F102" s="383">
        <f t="shared" si="26"/>
        <v>30.653822084335147</v>
      </c>
      <c r="G102" s="110">
        <f t="shared" si="48"/>
        <v>0.55846690960447964</v>
      </c>
      <c r="H102" s="412" t="b">
        <f>Wh_hp&gt;='2024'!Maxi_hp</f>
        <v>0</v>
      </c>
      <c r="I102" s="388">
        <f>IF(H102,Wh_hp,'2024'!Maxi_hp)</f>
        <v>55.473113479022246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4.246160477008698E-2</v>
      </c>
      <c r="M102" s="832"/>
      <c r="N102" s="832"/>
      <c r="O102" s="48">
        <f>IF(t&lt;Tnet,'2024'!Resal+('2024'!Salim-'2024'!Resal)*(1-EXP(('2024'!Tnet-t)/('2024'!Tau_j))),Resal+(Salim-Resal)*(1-EXP((Tnet-t)/(Tau_j))))*Salcycl</f>
        <v>3.3651541021168463E-2</v>
      </c>
      <c r="P102" s="169">
        <f>(INDEX(Models!$BJ102:$BT102,,T102)*(1-R102)+INDEX(Models!$BJ102:$BT102,,T102+1)*R102-ERP_i)*Q102*Ramure*Pc/MaxiM</f>
        <v>7.5368674379526805E-4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50.75159520657391</v>
      </c>
      <c r="W102" s="400">
        <f t="shared" si="34"/>
        <v>28.356562793800233</v>
      </c>
      <c r="X102" s="157">
        <f t="shared" si="35"/>
        <v>45745</v>
      </c>
      <c r="Y102" s="383">
        <f t="shared" si="36"/>
        <v>27.407935882113797</v>
      </c>
      <c r="Z102" s="383">
        <f t="shared" si="37"/>
        <v>28.623328337171191</v>
      </c>
      <c r="AA102" s="384">
        <f t="shared" si="38"/>
        <v>30.645282664636088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6.5979300944682892E-2</v>
      </c>
      <c r="AD102" s="230">
        <f>(INDEX(Models!$BJ102:$BT102,,AH102)*(1-AF102)+INDEX(Models!$BJ102:$BT102,,AH102+1)*AF102-ERP_i)*AE102*Ramure*Pc/MaxiM</f>
        <v>7.5368674379526805E-4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'2024'!Wh/'2024'!Env_an*'2025'!Env_an</f>
        <v>7.9509773107105364</v>
      </c>
      <c r="C103" s="829"/>
      <c r="D103" s="391">
        <f t="shared" si="25"/>
        <v>8.3037189233419841</v>
      </c>
      <c r="E103" s="383">
        <f t="shared" si="47"/>
        <v>8.5934574768829162</v>
      </c>
      <c r="F103" s="383">
        <f t="shared" si="26"/>
        <v>8.5934574768829162</v>
      </c>
      <c r="G103" s="110">
        <f t="shared" si="48"/>
        <v>0.15557930832035094</v>
      </c>
      <c r="H103" s="412" t="b">
        <f>Wh_hp&gt;='2024'!Maxi_hp</f>
        <v>0</v>
      </c>
      <c r="I103" s="388">
        <f>IF(H103,Wh_hp,'2024'!Maxi_hp)</f>
        <v>54.228775027955102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4.2479955774981981E-2</v>
      </c>
      <c r="M103" s="832"/>
      <c r="N103" s="832"/>
      <c r="O103" s="48">
        <f>IF(t&lt;Tnet,'2024'!Resal+('2024'!Salim-'2024'!Resal)*(1-EXP(('2024'!Tnet-t)/('2024'!Tau_j))),Resal+(Salim-Resal)*(1-EXP((Tnet-t)/(Tau_j))))*Salcycl</f>
        <v>3.3716179351599901E-2</v>
      </c>
      <c r="P103" s="169">
        <f>(INDEX(Models!$BJ103:$BT103,,T103)*(1-R103)+INDEX(Models!$BJ103:$BT103,,T103+1)*R103-ERP_i)*Q103*Ramure*Pc/MaxiM</f>
        <v>7.312637464803966E-4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51.068250238613764</v>
      </c>
      <c r="W103" s="400">
        <f t="shared" si="34"/>
        <v>7.9509773107105364</v>
      </c>
      <c r="X103" s="157">
        <f t="shared" si="35"/>
        <v>45746</v>
      </c>
      <c r="Y103" s="383">
        <f t="shared" si="36"/>
        <v>7.6851831296099125</v>
      </c>
      <c r="Z103" s="383">
        <f t="shared" si="37"/>
        <v>8.0261329002569557</v>
      </c>
      <c r="AA103" s="384">
        <f t="shared" si="38"/>
        <v>8.5934574768829162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6.6018197931636838E-2</v>
      </c>
      <c r="AD103" s="230">
        <f>(INDEX(Models!$BJ103:$BT103,,AH103)*(1-AF103)+INDEX(Models!$BJ103:$BT103,,AH103+1)*AF103-ERP_i)*AE103*Ramure*Pc/MaxiM</f>
        <v>7.312637464803966E-4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'2024'!Wh/'2024'!Env_an*'2025'!Env_an</f>
        <v>28.320948752625096</v>
      </c>
      <c r="C104" s="829"/>
      <c r="D104" s="391">
        <f t="shared" si="25"/>
        <v>29.577962047229452</v>
      </c>
      <c r="E104" s="383">
        <f t="shared" si="47"/>
        <v>30.612070685453972</v>
      </c>
      <c r="F104" s="383">
        <f t="shared" si="26"/>
        <v>30.619872174292905</v>
      </c>
      <c r="G104" s="110">
        <f t="shared" si="48"/>
        <v>0.55097878748419038</v>
      </c>
      <c r="H104" s="412" t="b">
        <f>Wh_hp&gt;='2024'!Maxi_hp</f>
        <v>0</v>
      </c>
      <c r="I104" s="388">
        <f>IF(H104,Wh_hp,'2024'!Maxi_hp)</f>
        <v>49.948595361830613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4.2498306428184085E-2</v>
      </c>
      <c r="M104" s="832"/>
      <c r="N104" s="832"/>
      <c r="O104" s="48">
        <f>IF(t&lt;Tnet,'2024'!Resal+('2024'!Salim-'2024'!Resal)*(1-EXP(('2024'!Tnet-t)/('2024'!Tau_j))),Resal+(Salim-Resal)*(1-EXP((Tnet-t)/(Tau_j))))*Salcycl</f>
        <v>3.3781074428130706E-2</v>
      </c>
      <c r="P104" s="169">
        <f>(INDEX(Models!$BJ104:$BT104,,T104)*(1-R104)+INDEX(Models!$BJ104:$BT104,,T104+1)*R104-ERP_i)*Q104*Ramure*Pc/MaxiM</f>
        <v>7.0990646352757554E-4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51.377760166972564</v>
      </c>
      <c r="W104" s="400">
        <f t="shared" si="34"/>
        <v>28.320948752625096</v>
      </c>
      <c r="X104" s="157">
        <f t="shared" si="35"/>
        <v>45747</v>
      </c>
      <c r="Y104" s="383">
        <f t="shared" si="36"/>
        <v>27.374886321674076</v>
      </c>
      <c r="Z104" s="383">
        <f t="shared" si="37"/>
        <v>28.589909036668317</v>
      </c>
      <c r="AA104" s="384">
        <f t="shared" si="38"/>
        <v>30.612070685453972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6.6057656457278915E-2</v>
      </c>
      <c r="AD104" s="230">
        <f>(INDEX(Models!$BJ104:$BT104,,AH104)*(1-AF104)+INDEX(Models!$BJ104:$BT104,,AH104+1)*AF104-ERP_i)*AE104*Ramure*Pc/MaxiM</f>
        <v>7.0990646352757554E-4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'2024'!Wh/'2024'!Env_an*'2025'!Env_an</f>
        <v>33.164494051702583</v>
      </c>
      <c r="C105" s="829"/>
      <c r="D105" s="391">
        <f t="shared" si="25"/>
        <v>34.637149862501751</v>
      </c>
      <c r="E105" s="383">
        <f t="shared" si="47"/>
        <v>35.850556402142253</v>
      </c>
      <c r="F105" s="383">
        <f t="shared" si="26"/>
        <v>35.862629847260102</v>
      </c>
      <c r="G105" s="110">
        <f t="shared" si="48"/>
        <v>0.64150978031438366</v>
      </c>
      <c r="H105" s="412" t="b">
        <f>Wh_hp&gt;='2024'!Maxi_hp</f>
        <v>0</v>
      </c>
      <c r="I105" s="388">
        <f>IF(H105,Wh_hp,'2024'!Maxi_hp)</f>
        <v>50.703405728850484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4.2516656729700175E-2</v>
      </c>
      <c r="M105" s="832"/>
      <c r="N105" s="832"/>
      <c r="O105" s="48">
        <f>IF(t&lt;Tnet,'2024'!Resal+('2024'!Salim-'2024'!Resal)*(1-EXP(('2024'!Tnet-t)/('2024'!Tau_j))),Resal+(Salim-Resal)*(1-EXP((Tnet-t)/(Tau_j))))*Salcycl</f>
        <v>3.3846240098187021E-2</v>
      </c>
      <c r="P105" s="169">
        <f>(INDEX(Models!$BJ105:$BT105,,T105)*(1-R105)+INDEX(Models!$BJ105:$BT105,,T105+1)*R105-ERP_i)*Q105*Ramure*Pc/MaxiM</f>
        <v>6.8959791690500235E-4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51.679313483472825</v>
      </c>
      <c r="W105" s="400">
        <f t="shared" si="34"/>
        <v>33.164494051702583</v>
      </c>
      <c r="X105" s="157">
        <f t="shared" si="35"/>
        <v>45748</v>
      </c>
      <c r="Y105" s="383">
        <f t="shared" si="36"/>
        <v>32.057420380178449</v>
      </c>
      <c r="Z105" s="383">
        <f t="shared" si="37"/>
        <v>33.48091703682887</v>
      </c>
      <c r="AA105" s="384">
        <f t="shared" si="38"/>
        <v>35.850556402142253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6.6097701210901763E-2</v>
      </c>
      <c r="AD105" s="230">
        <f>(INDEX(Models!$BJ105:$BT105,,AH105)*(1-AF105)+INDEX(Models!$BJ105:$BT105,,AH105+1)*AF105-ERP_i)*AE105*Ramure*Pc/MaxiM</f>
        <v>6.8959791690500235E-4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'2024'!Wh/'2024'!Env_an*'2025'!Env_an</f>
        <v>20.703860130203385</v>
      </c>
      <c r="C106" s="829"/>
      <c r="D106" s="391">
        <f t="shared" si="25"/>
        <v>21.623620993602021</v>
      </c>
      <c r="E106" s="383">
        <f t="shared" si="47"/>
        <v>22.38265464040467</v>
      </c>
      <c r="F106" s="383">
        <f t="shared" si="26"/>
        <v>22.384763160135524</v>
      </c>
      <c r="G106" s="110">
        <f t="shared" si="48"/>
        <v>0.39813537208402933</v>
      </c>
      <c r="H106" s="412" t="b">
        <f>Wh_hp&gt;='2024'!Maxi_hp</f>
        <v>0</v>
      </c>
      <c r="I106" s="388">
        <f>IF(H106,Wh_hp,'2024'!Maxi_hp)</f>
        <v>45.942881049826532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4.2535006679536913E-2</v>
      </c>
      <c r="M106" s="832"/>
      <c r="N106" s="832"/>
      <c r="O106" s="48">
        <f>IF(t&lt;Tnet,'2024'!Resal+('2024'!Salim-'2024'!Resal)*(1-EXP(('2024'!Tnet-t)/('2024'!Tau_j))),Resal+(Salim-Resal)*(1-EXP((Tnet-t)/(Tau_j))))*Salcycl</f>
        <v>3.3911690056301909E-2</v>
      </c>
      <c r="P106" s="169">
        <f>(INDEX(Models!$BJ106:$BT106,,T106)*(1-R106)+INDEX(Models!$BJ106:$BT106,,T106+1)*R106-ERP_i)*Q106*Ramure*Pc/MaxiM</f>
        <v>6.7032133147727248E-4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51.972098955161684</v>
      </c>
      <c r="W106" s="400">
        <f t="shared" si="34"/>
        <v>20.703860130203385</v>
      </c>
      <c r="X106" s="157">
        <f t="shared" si="35"/>
        <v>45749</v>
      </c>
      <c r="Y106" s="383">
        <f t="shared" si="36"/>
        <v>20.013223066422643</v>
      </c>
      <c r="Z106" s="383">
        <f t="shared" si="37"/>
        <v>20.902302649225138</v>
      </c>
      <c r="AA106" s="384">
        <f t="shared" si="38"/>
        <v>22.38265464040467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6.6138356462295239E-2</v>
      </c>
      <c r="AD106" s="230">
        <f>(INDEX(Models!$BJ106:$BT106,,AH106)*(1-AF106)+INDEX(Models!$BJ106:$BT106,,AH106+1)*AF106-ERP_i)*AE106*Ramure*Pc/MaxiM</f>
        <v>6.7032133147727248E-4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'2024'!Wh/'2024'!Env_an*'2025'!Env_an</f>
        <v>23.033640937355447</v>
      </c>
      <c r="C107" s="829"/>
      <c r="D107" s="391">
        <f t="shared" si="25"/>
        <v>24.057362452916177</v>
      </c>
      <c r="E107" s="383">
        <f t="shared" si="47"/>
        <v>24.903520264066941</v>
      </c>
      <c r="F107" s="383">
        <f t="shared" si="26"/>
        <v>24.906786168263093</v>
      </c>
      <c r="G107" s="110">
        <f t="shared" si="48"/>
        <v>0.44054186023108294</v>
      </c>
      <c r="H107" s="412" t="b">
        <f>Wh_hp&gt;='2024'!Maxi_hp</f>
        <v>0</v>
      </c>
      <c r="I107" s="388">
        <f>IF(H107,Wh_hp,'2024'!Maxi_hp)</f>
        <v>55.561785950469968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4.2553356277701071E-2</v>
      </c>
      <c r="M107" s="832"/>
      <c r="N107" s="832"/>
      <c r="O107" s="48">
        <f>IF(t&lt;Tnet,'2024'!Resal+('2024'!Salim-'2024'!Resal)*(1-EXP(('2024'!Tnet-t)/('2024'!Tau_j))),Resal+(Salim-Resal)*(1-EXP((Tnet-t)/(Tau_j))))*Salcycl</f>
        <v>3.3977437815153999E-2</v>
      </c>
      <c r="P107" s="169">
        <f>(INDEX(Models!$BJ107:$BT107,,T107)*(1-R107)+INDEX(Models!$BJ107:$BT107,,T107+1)*R107-ERP_i)*Q107*Ramure*Pc/MaxiM</f>
        <v>6.5203225009833937E-4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52.257556099080333</v>
      </c>
      <c r="W107" s="400">
        <f t="shared" si="34"/>
        <v>23.033640937355447</v>
      </c>
      <c r="X107" s="157">
        <f t="shared" si="35"/>
        <v>45750</v>
      </c>
      <c r="Y107" s="383">
        <f t="shared" si="36"/>
        <v>22.265818186672018</v>
      </c>
      <c r="Z107" s="383">
        <f t="shared" si="37"/>
        <v>23.255414108621672</v>
      </c>
      <c r="AA107" s="384">
        <f t="shared" si="38"/>
        <v>24.903520264066941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6.6179646008653142E-2</v>
      </c>
      <c r="AD107" s="230">
        <f>(INDEX(Models!$BJ107:$BT107,,AH107)*(1-AF107)+INDEX(Models!$BJ107:$BT107,,AH107+1)*AF107-ERP_i)*AE107*Ramure*Pc/MaxiM</f>
        <v>6.5203225009833937E-4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'2024'!Wh/'2024'!Env_an*'2025'!Env_an</f>
        <v>46.367491177127519</v>
      </c>
      <c r="C108" s="829"/>
      <c r="D108" s="391">
        <f t="shared" si="25"/>
        <v>48.429205032544054</v>
      </c>
      <c r="E108" s="383">
        <f t="shared" si="47"/>
        <v>50.136010126720883</v>
      </c>
      <c r="F108" s="383">
        <f t="shared" si="26"/>
        <v>50.16251217107186</v>
      </c>
      <c r="G108" s="110">
        <f t="shared" si="48"/>
        <v>0.88246434821646447</v>
      </c>
      <c r="H108" s="412" t="b">
        <f>Wh_hp&gt;='2024'!Maxi_hp</f>
        <v>0</v>
      </c>
      <c r="I108" s="388">
        <f>IF(H108,Wh_hp,'2024'!Maxi_hp)</f>
        <v>57.558924699627966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4.257170552419931E-2</v>
      </c>
      <c r="M108" s="832"/>
      <c r="N108" s="832"/>
      <c r="O108" s="48">
        <f>IF(t&lt;Tnet,'2024'!Resal+('2024'!Salim-'2024'!Resal)*(1-EXP(('2024'!Tnet-t)/('2024'!Tau_j))),Resal+(Salim-Resal)*(1-EXP((Tnet-t)/(Tau_j))))*Salcycl</f>
        <v>3.404349667759371E-2</v>
      </c>
      <c r="P108" s="169">
        <f>(INDEX(Models!$BJ108:$BT108,,T108)*(1-R108)+INDEX(Models!$BJ108:$BT108,,T108+1)*R108-ERP_i)*Q108*Ramure*Pc/MaxiM</f>
        <v>6.3483179718222104E-4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52.537589929107519</v>
      </c>
      <c r="W108" s="400">
        <f t="shared" si="34"/>
        <v>46.367491177127519</v>
      </c>
      <c r="X108" s="157">
        <f t="shared" si="35"/>
        <v>45751</v>
      </c>
      <c r="Y108" s="383">
        <f t="shared" si="36"/>
        <v>44.822889947222869</v>
      </c>
      <c r="Z108" s="383">
        <f t="shared" si="37"/>
        <v>46.815923663258502</v>
      </c>
      <c r="AA108" s="384">
        <f t="shared" si="38"/>
        <v>50.136010126720883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6.6221593123799119E-2</v>
      </c>
      <c r="AD108" s="230">
        <f>(INDEX(Models!$BJ108:$BT108,,AH108)*(1-AF108)+INDEX(Models!$BJ108:$BT108,,AH108+1)*AF108-ERP_i)*AE108*Ramure*Pc/MaxiM</f>
        <v>6.3483179718222104E-4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'2024'!Wh/'2024'!Env_an*'2025'!Env_an</f>
        <v>53.207262369168781</v>
      </c>
      <c r="C109" s="829"/>
      <c r="D109" s="391">
        <f t="shared" si="25"/>
        <v>55.574169262344903</v>
      </c>
      <c r="E109" s="383">
        <f t="shared" si="47"/>
        <v>57.536740561787092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Wh_hp&gt;='2024'!Maxi_hp</f>
        <v>0</v>
      </c>
      <c r="I109" s="388">
        <f>IF(H109,Wh_hp,'2024'!Maxi_hp)</f>
        <v>59.132284614261103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4.2590054419038403E-2</v>
      </c>
      <c r="M109" s="832"/>
      <c r="N109" s="832"/>
      <c r="O109" s="48">
        <f>IF(t&lt;Tnet,'2024'!Resal+('2024'!Salim-'2024'!Resal)*(1-EXP(('2024'!Tnet-t)/('2024'!Tau_j))),Resal+(Salim-Resal)*(1-EXP((Tnet-t)/(Tau_j))))*Salcycl</f>
        <v>3.4109879709550837E-2</v>
      </c>
      <c r="P109" s="169">
        <f>(INDEX(Models!$BJ109:$BT109,,T109)*(1-R109)+INDEX(Models!$BJ109:$BT109,,T109+1)*R109-ERP_i)*Q109*Ramure*Pc/MaxiM</f>
        <v>6.1836579840882468E-4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52.812116937235317</v>
      </c>
      <c r="W109" s="400">
        <f t="shared" si="34"/>
        <v>53.207262369168781</v>
      </c>
      <c r="X109" s="157">
        <f t="shared" si="35"/>
        <v>45752</v>
      </c>
      <c r="Y109" s="383">
        <f t="shared" si="36"/>
        <v>51.436000388834799</v>
      </c>
      <c r="Z109" s="383">
        <f t="shared" si="37"/>
        <v>53.724113297802802</v>
      </c>
      <c r="AA109" s="384">
        <f t="shared" si="38"/>
        <v>57.536740561787092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6.6264220509502439E-2</v>
      </c>
      <c r="AD109" s="230">
        <f>(INDEX(Models!$BJ109:$BT109,,AH109)*(1-AF109)+INDEX(Models!$BJ109:$BT109,,AH109+1)*AF109-ERP_i)*AE109*Ramure*Pc/MaxiM</f>
        <v>6.1836579840882468E-4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'2024'!Wh/'2024'!Env_an*'2025'!Env_an</f>
        <v>11.517195221759206</v>
      </c>
      <c r="C110" s="829"/>
      <c r="D110" s="391">
        <f t="shared" si="25"/>
        <v>12.029764265107481</v>
      </c>
      <c r="E110" s="383">
        <f t="shared" si="47"/>
        <v>12.45544916549076</v>
      </c>
      <c r="F110" s="383">
        <f t="shared" si="26"/>
        <v>12.45544916549076</v>
      </c>
      <c r="G110" s="110">
        <f t="shared" si="48"/>
        <v>0.21684306851461446</v>
      </c>
      <c r="H110" s="412" t="b">
        <f>Wh_hp&gt;='2024'!Maxi_hp</f>
        <v>0</v>
      </c>
      <c r="I110" s="388">
        <f>IF(H110,Wh_hp,'2024'!Maxi_hp)</f>
        <v>59.680123270108488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4.2608402962225123E-2</v>
      </c>
      <c r="M110" s="832"/>
      <c r="N110" s="832"/>
      <c r="O110" s="48">
        <f>IF(t&lt;Tnet,'2024'!Resal+('2024'!Salim-'2024'!Resal)*(1-EXP(('2024'!Tnet-t)/('2024'!Tau_j))),Resal+(Salim-Resal)*(1-EXP((Tnet-t)/(Tau_j))))*Salcycl</f>
        <v>3.4176599713697048E-2</v>
      </c>
      <c r="P110" s="169">
        <f>(INDEX(Models!$BJ110:$BT110,,T110)*(1-R110)+INDEX(Models!$BJ110:$BT110,,T110+1)*R110-ERP_i)*Q110*Ramure*Pc/MaxiM</f>
        <v>6.0261817951658375E-4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53.081036112370739</v>
      </c>
      <c r="W110" s="400">
        <f t="shared" si="34"/>
        <v>11.517195221759206</v>
      </c>
      <c r="X110" s="157">
        <f t="shared" si="35"/>
        <v>45753</v>
      </c>
      <c r="Y110" s="383">
        <f t="shared" si="36"/>
        <v>11.134041914579392</v>
      </c>
      <c r="Z110" s="383">
        <f t="shared" si="37"/>
        <v>11.629558844080899</v>
      </c>
      <c r="AA110" s="384">
        <f t="shared" si="38"/>
        <v>12.45544916549076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6.6307550248615982E-2</v>
      </c>
      <c r="AD110" s="230">
        <f>(INDEX(Models!$BJ110:$BT110,,AH110)*(1-AF110)+INDEX(Models!$BJ110:$BT110,,AH110+1)*AF110-ERP_i)*AE110*Ramure*Pc/MaxiM</f>
        <v>6.0261817951658375E-4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'2024'!Wh/'2024'!Env_an*'2025'!Env_an</f>
        <v>38.662853590675404</v>
      </c>
      <c r="C111" s="829"/>
      <c r="D111" s="391">
        <f t="shared" si="25"/>
        <v>40.384305324249922</v>
      </c>
      <c r="E111" s="383">
        <f t="shared" si="47"/>
        <v>41.816247055768621</v>
      </c>
      <c r="F111" s="383">
        <f t="shared" si="26"/>
        <v>41.831162234910387</v>
      </c>
      <c r="G111" s="110">
        <f t="shared" si="48"/>
        <v>0.72461270287010104</v>
      </c>
      <c r="H111" s="412" t="b">
        <f>Wh_hp&gt;='2024'!Maxi_hp</f>
        <v>0</v>
      </c>
      <c r="I111" s="388">
        <f>IF(H111,Wh_hp,'2024'!Maxi_hp)</f>
        <v>57.850737846912956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4.262675115376624E-2</v>
      </c>
      <c r="M111" s="832"/>
      <c r="N111" s="832"/>
      <c r="O111" s="48">
        <f>IF(t&lt;Tnet,'2024'!Resal+('2024'!Salim-'2024'!Resal)*(1-EXP(('2024'!Tnet-t)/('2024'!Tau_j))),Resal+(Salim-Resal)*(1-EXP((Tnet-t)/(Tau_j))))*Salcycl</f>
        <v>3.4243669203718255E-2</v>
      </c>
      <c r="P111" s="169">
        <f>(INDEX(Models!$BJ111:$BT111,,T111)*(1-R111)+INDEX(Models!$BJ111:$BT111,,T111+1)*R111-ERP_i)*Q111*Ramure*Pc/MaxiM</f>
        <v>5.8757365966758974E-4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53.344246485045538</v>
      </c>
      <c r="W111" s="400">
        <f t="shared" si="34"/>
        <v>38.662853590675404</v>
      </c>
      <c r="X111" s="157">
        <f t="shared" si="35"/>
        <v>45754</v>
      </c>
      <c r="Y111" s="383">
        <f t="shared" si="36"/>
        <v>37.377452363416751</v>
      </c>
      <c r="Z111" s="383">
        <f t="shared" si="37"/>
        <v>39.041672000404979</v>
      </c>
      <c r="AA111" s="384">
        <f t="shared" si="38"/>
        <v>41.816247055768621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6.6351603759737282E-2</v>
      </c>
      <c r="AD111" s="230">
        <f>(INDEX(Models!$BJ111:$BT111,,AH111)*(1-AF111)+INDEX(Models!$BJ111:$BT111,,AH111+1)*AF111-ERP_i)*AE111*Ramure*Pc/MaxiM</f>
        <v>5.8757365966758974E-4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'2024'!Wh/'2024'!Env_an*'2025'!Env_an</f>
        <v>31.411230514589189</v>
      </c>
      <c r="C112" s="829"/>
      <c r="D112" s="391">
        <f t="shared" si="25"/>
        <v>32.810434752640859</v>
      </c>
      <c r="E112" s="383">
        <f t="shared" si="47"/>
        <v>33.976195403632687</v>
      </c>
      <c r="F112" s="383">
        <f t="shared" si="26"/>
        <v>33.984154851756436</v>
      </c>
      <c r="G112" s="110">
        <f t="shared" si="48"/>
        <v>0.58581370292069701</v>
      </c>
      <c r="H112" s="412" t="b">
        <f>Wh_hp&gt;='2024'!Maxi_hp</f>
        <v>0</v>
      </c>
      <c r="I112" s="388">
        <f>IF(H112,Wh_hp,'2024'!Maxi_hp)</f>
        <v>57.096062387011123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4.2645098993668529E-2</v>
      </c>
      <c r="M112" s="832"/>
      <c r="N112" s="832"/>
      <c r="O112" s="48">
        <f>IF(t&lt;Tnet,'2024'!Resal+('2024'!Salim-'2024'!Resal)*(1-EXP(('2024'!Tnet-t)/('2024'!Tau_j))),Resal+(Salim-Resal)*(1-EXP((Tnet-t)/(Tau_j))))*Salcycl</f>
        <v>3.4311100379037236E-2</v>
      </c>
      <c r="P112" s="169">
        <f>(INDEX(Models!$BJ112:$BT112,,T112)*(1-R112)+INDEX(Models!$BJ112:$BT112,,T112+1)*R112-ERP_i)*Q112*Ramure*Pc/MaxiM</f>
        <v>5.7321776605531586E-4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53.601647127924132</v>
      </c>
      <c r="W112" s="400">
        <f t="shared" si="34"/>
        <v>31.411230514589189</v>
      </c>
      <c r="X112" s="157">
        <f t="shared" si="35"/>
        <v>45755</v>
      </c>
      <c r="Y112" s="383">
        <f t="shared" si="36"/>
        <v>30.367583023160734</v>
      </c>
      <c r="Z112" s="383">
        <f t="shared" si="37"/>
        <v>31.720298283572372</v>
      </c>
      <c r="AA112" s="384">
        <f t="shared" si="38"/>
        <v>33.976195403632687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6.6396401753067311E-2</v>
      </c>
      <c r="AD112" s="230">
        <f>(INDEX(Models!$BJ112:$BT112,,AH112)*(1-AF112)+INDEX(Models!$BJ112:$BT112,,AH112+1)*AF112-ERP_i)*AE112*Ramure*Pc/MaxiM</f>
        <v>5.7321776605531586E-4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'2024'!Wh/'2024'!Env_an*'2025'!Env_an</f>
        <v>36.851930966776294</v>
      </c>
      <c r="C113" s="829"/>
      <c r="D113" s="391">
        <f t="shared" si="25"/>
        <v>38.494227376309027</v>
      </c>
      <c r="E113" s="383">
        <f t="shared" si="47"/>
        <v>39.864733257808695</v>
      </c>
      <c r="F113" s="383">
        <f t="shared" si="26"/>
        <v>39.876983033621734</v>
      </c>
      <c r="G113" s="110">
        <f t="shared" si="48"/>
        <v>0.68413152056713444</v>
      </c>
      <c r="H113" s="412" t="b">
        <f>Wh_hp&gt;='2024'!Maxi_hp</f>
        <v>0</v>
      </c>
      <c r="I113" s="388">
        <f>IF(H113,Wh_hp,'2024'!Maxi_hp)</f>
        <v>45.048186570983958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4.2663446481938538E-2</v>
      </c>
      <c r="M113" s="832"/>
      <c r="N113" s="832"/>
      <c r="O113" s="48">
        <f>IF(t&lt;Tnet,'2024'!Resal+('2024'!Salim-'2024'!Resal)*(1-EXP(('2024'!Tnet-t)/('2024'!Tau_j))),Resal+(Salim-Resal)*(1-EXP((Tnet-t)/(Tau_j))))*Salcycl</f>
        <v>3.4378905099815699E-2</v>
      </c>
      <c r="P113" s="169">
        <f>(INDEX(Models!$BJ113:$BT113,,T113)*(1-R113)+INDEX(Models!$BJ113:$BT113,,T113+1)*R113-ERP_i)*Q113*Ramure*Pc/MaxiM</f>
        <v>5.5953684885959136E-4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53.853137154120866</v>
      </c>
      <c r="W113" s="400">
        <f t="shared" si="34"/>
        <v>36.851930966776294</v>
      </c>
      <c r="X113" s="157">
        <f t="shared" si="35"/>
        <v>45756</v>
      </c>
      <c r="Y113" s="383">
        <f t="shared" si="36"/>
        <v>35.628277458884249</v>
      </c>
      <c r="Z113" s="383">
        <f t="shared" si="37"/>
        <v>37.216042078364111</v>
      </c>
      <c r="AA113" s="384">
        <f t="shared" si="38"/>
        <v>39.864733257808695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6.6441964187124156E-2</v>
      </c>
      <c r="AD113" s="230">
        <f>(INDEX(Models!$BJ113:$BT113,,AH113)*(1-AF113)+INDEX(Models!$BJ113:$BT113,,AH113+1)*AF113-ERP_i)*AE113*Ramure*Pc/MaxiM</f>
        <v>5.5953684885959136E-4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'2024'!Wh/'2024'!Env_an*'2025'!Env_an</f>
        <v>53.887639440739207</v>
      </c>
      <c r="C114" s="829"/>
      <c r="D114" s="391">
        <f t="shared" si="25"/>
        <v>56.290206413633349</v>
      </c>
      <c r="E114" s="383">
        <f t="shared" si="47"/>
        <v>58.298417532689747</v>
      </c>
      <c r="F114" s="383">
        <f t="shared" si="26"/>
        <v>58.330122964102458</v>
      </c>
      <c r="G114" s="110">
        <f t="shared" si="48"/>
        <v>0.99609719719656242</v>
      </c>
      <c r="H114" s="412" t="b">
        <f>Wh_hp&gt;='2024'!Maxi_hp</f>
        <v>0</v>
      </c>
      <c r="I114" s="388">
        <f>IF(H114,Wh_hp,'2024'!Maxi_hp)</f>
        <v>58.33024090130305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4.2681793618583153E-2</v>
      </c>
      <c r="M114" s="832"/>
      <c r="N114" s="832"/>
      <c r="O114" s="48">
        <f>IF(t&lt;Tnet,'2024'!Resal+('2024'!Salim-'2024'!Resal)*(1-EXP(('2024'!Tnet-t)/('2024'!Tau_j))),Resal+(Salim-Resal)*(1-EXP((Tnet-t)/(Tau_j))))*Salcycl</f>
        <v>3.444709486205743E-2</v>
      </c>
      <c r="P114" s="169">
        <f>(INDEX(Models!$BJ114:$BT114,,T114)*(1-R114)+INDEX(Models!$BJ114:$BT114,,T114+1)*R114-ERP_i)*Q114*Ramure*Pc/MaxiM</f>
        <v>5.4659673911146268E-4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54.098611468405373</v>
      </c>
      <c r="W114" s="400">
        <f t="shared" si="34"/>
        <v>53.887639440739207</v>
      </c>
      <c r="X114" s="157">
        <f t="shared" si="35"/>
        <v>45757</v>
      </c>
      <c r="Y114" s="383">
        <f t="shared" si="36"/>
        <v>52.099414837421115</v>
      </c>
      <c r="Z114" s="383">
        <f t="shared" si="37"/>
        <v>54.422254262093865</v>
      </c>
      <c r="AA114" s="384">
        <f t="shared" si="38"/>
        <v>58.298417532689747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6.6488310225957595E-2</v>
      </c>
      <c r="AD114" s="230">
        <f>(INDEX(Models!$BJ114:$BT114,,AH114)*(1-AF114)+INDEX(Models!$BJ114:$BT114,,AH114+1)*AF114-ERP_i)*AE114*Ramure*Pc/MaxiM</f>
        <v>5.4659673911146268E-4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'2024'!Wh/'2024'!Env_an*'2025'!Env_an</f>
        <v>44.662975545435863</v>
      </c>
      <c r="C115" s="829"/>
      <c r="D115" s="391">
        <f t="shared" si="25"/>
        <v>46.655157313264731</v>
      </c>
      <c r="E115" s="383">
        <f t="shared" si="47"/>
        <v>48.323060648567143</v>
      </c>
      <c r="F115" s="383">
        <f t="shared" si="26"/>
        <v>48.342311493584006</v>
      </c>
      <c r="G115" s="110">
        <f t="shared" si="48"/>
        <v>0.82183585772011425</v>
      </c>
      <c r="H115" s="412" t="b">
        <f>Wh_hp&gt;='2024'!Maxi_hp</f>
        <v>0</v>
      </c>
      <c r="I115" s="388">
        <f>IF(H115,Wh_hp,'2024'!Maxi_hp)</f>
        <v>59.403908056990687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4.2700140403609033E-2</v>
      </c>
      <c r="M115" s="832"/>
      <c r="N115" s="832"/>
      <c r="O115" s="48">
        <f>IF(t&lt;Tnet,'2024'!Resal+('2024'!Salim-'2024'!Resal)*(1-EXP(('2024'!Tnet-t)/('2024'!Tau_j))),Resal+(Salim-Resal)*(1-EXP((Tnet-t)/(Tau_j))))*Salcycl</f>
        <v>3.4515680772630584E-2</v>
      </c>
      <c r="P115" s="169">
        <f>(INDEX(Models!$BJ115:$BT115,,T115)*(1-R115)+INDEX(Models!$BJ115:$BT115,,T115+1)*R115-ERP_i)*Q115*Ramure*Pc/MaxiM</f>
        <v>5.3406430705640624E-4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54.337986679407074</v>
      </c>
      <c r="W115" s="400">
        <f t="shared" si="34"/>
        <v>44.662975545435863</v>
      </c>
      <c r="X115" s="157">
        <f t="shared" si="35"/>
        <v>45758</v>
      </c>
      <c r="Y115" s="383">
        <f t="shared" si="36"/>
        <v>43.181751554975463</v>
      </c>
      <c r="Z115" s="383">
        <f t="shared" si="37"/>
        <v>45.107863666857114</v>
      </c>
      <c r="AA115" s="384">
        <f t="shared" si="38"/>
        <v>48.323060648567143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6.653545819650733E-2</v>
      </c>
      <c r="AD115" s="230">
        <f>(INDEX(Models!$BJ115:$BT115,,AH115)*(1-AF115)+INDEX(Models!$BJ115:$BT115,,AH115+1)*AF115-ERP_i)*AE115*Ramure*Pc/MaxiM</f>
        <v>5.3406430705640624E-4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'2024'!Wh/'2024'!Env_an*'2025'!Env_an</f>
        <v>38.146126940957451</v>
      </c>
      <c r="C116" s="829"/>
      <c r="D116" s="391">
        <f t="shared" si="25"/>
        <v>39.848389858609004</v>
      </c>
      <c r="E116" s="383">
        <f t="shared" si="47"/>
        <v>41.275903505765164</v>
      </c>
      <c r="F116" s="383">
        <f t="shared" si="26"/>
        <v>41.288187190308399</v>
      </c>
      <c r="G116" s="110">
        <f t="shared" si="48"/>
        <v>0.69885929100850197</v>
      </c>
      <c r="H116" s="412" t="b">
        <f>Wh_hp&gt;='2024'!Maxi_hp</f>
        <v>0</v>
      </c>
      <c r="I116" s="388">
        <f>IF(H116,Wh_hp,'2024'!Maxi_hp)</f>
        <v>58.857771528976158</v>
      </c>
      <c r="J116" s="85">
        <f>IF(H116,An,'2024'!An_max)</f>
        <v>2018</v>
      </c>
      <c r="K116" s="197">
        <f t="shared" si="27"/>
        <v>45759</v>
      </c>
      <c r="L116" s="147">
        <f>IF(t&lt;Tvie,1-EXP((T0-t)*PertePVj)+'2024'!Pspv,1-EXP((T0-t)*PertePVj)+Pspv)</f>
        <v>4.2718486837023062E-2</v>
      </c>
      <c r="M116" s="832"/>
      <c r="N116" s="832"/>
      <c r="O116" s="48">
        <f>IF(t&lt;Tnet,'2024'!Resal+('2024'!Salim-'2024'!Resal)*(1-EXP(('2024'!Tnet-t)/('2024'!Tau_j))),Resal+(Salim-Resal)*(1-EXP((Tnet-t)/(Tau_j))))*Salcycl</f>
        <v>3.4584673524027831E-2</v>
      </c>
      <c r="P116" s="169">
        <f>(INDEX(Models!$BJ116:$BT116,,T116)*(1-R116)+INDEX(Models!$BJ116:$BT116,,T116+1)*R116-ERP_i)*Q116*Ramure*Pc/MaxiM</f>
        <v>5.2192769450920627E-4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54.571162251639088</v>
      </c>
      <c r="W116" s="400">
        <f t="shared" si="34"/>
        <v>38.146126940957451</v>
      </c>
      <c r="X116" s="157">
        <f t="shared" si="35"/>
        <v>45759</v>
      </c>
      <c r="Y116" s="383">
        <f t="shared" si="36"/>
        <v>36.881771152212558</v>
      </c>
      <c r="Z116" s="383">
        <f t="shared" si="37"/>
        <v>38.527612457855376</v>
      </c>
      <c r="AA116" s="384">
        <f t="shared" si="38"/>
        <v>41.275903505765164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6.6583425545752695E-2</v>
      </c>
      <c r="AD116" s="230">
        <f>(INDEX(Models!$BJ116:$BT116,,AH116)*(1-AF116)+INDEX(Models!$BJ116:$BT116,,AH116+1)*AF116-ERP_i)*AE116*Ramure*Pc/MaxiM</f>
        <v>5.2192769450920627E-4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'2024'!Wh/'2024'!Env_an*'2025'!Env_an</f>
        <v>8.1519261699054919</v>
      </c>
      <c r="C117" s="829"/>
      <c r="D117" s="391">
        <f t="shared" si="25"/>
        <v>8.515867370894334</v>
      </c>
      <c r="E117" s="383">
        <f t="shared" si="47"/>
        <v>8.8215708215884394</v>
      </c>
      <c r="F117" s="383">
        <f t="shared" si="26"/>
        <v>8.8215708215884394</v>
      </c>
      <c r="G117" s="110">
        <f t="shared" si="48"/>
        <v>0.14868720847833666</v>
      </c>
      <c r="H117" s="412" t="b">
        <f>Wh_hp&gt;='2024'!Maxi_hp</f>
        <v>0</v>
      </c>
      <c r="I117" s="388">
        <f>IF(H117,Wh_hp,'2024'!Maxi_hp)</f>
        <v>58.816606841862637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4.2736832918831791E-2</v>
      </c>
      <c r="M117" s="832"/>
      <c r="N117" s="832"/>
      <c r="O117" s="48">
        <f>IF(t&lt;Tnet,'2024'!Resal+('2024'!Salim-'2024'!Resal)*(1-EXP(('2024'!Tnet-t)/('2024'!Tau_j))),Resal+(Salim-Resal)*(1-EXP((Tnet-t)/(Tau_j))))*Salcycl</f>
        <v>3.4654083368687263E-2</v>
      </c>
      <c r="P117" s="169">
        <f>(INDEX(Models!$BJ117:$BT117,,T117)*(1-R117)+INDEX(Models!$BJ117:$BT117,,T117+1)*R117-ERP_i)*Q117*Ramure*Pc/MaxiM</f>
        <v>5.1017538909270876E-4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54.798037714098413</v>
      </c>
      <c r="W117" s="400">
        <f t="shared" si="34"/>
        <v>8.1519261699054919</v>
      </c>
      <c r="X117" s="157">
        <f t="shared" si="35"/>
        <v>45760</v>
      </c>
      <c r="Y117" s="383">
        <f t="shared" si="36"/>
        <v>7.8818846479043998</v>
      </c>
      <c r="Z117" s="383">
        <f t="shared" si="37"/>
        <v>8.2337698962526567</v>
      </c>
      <c r="AA117" s="384">
        <f t="shared" si="38"/>
        <v>8.8215708215884394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6.6632228797313189E-2</v>
      </c>
      <c r="AD117" s="230">
        <f>(INDEX(Models!$BJ117:$BT117,,AH117)*(1-AF117)+INDEX(Models!$BJ117:$BT117,,AH117+1)*AF117-ERP_i)*AE117*Ramure*Pc/MaxiM</f>
        <v>5.1017538909270876E-4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'2024'!Wh/'2024'!Env_an*'2025'!Env_an</f>
        <v>41.260997991476586</v>
      </c>
      <c r="C118" s="829"/>
      <c r="D118" s="391">
        <f t="shared" si="25"/>
        <v>43.103913514251261</v>
      </c>
      <c r="E118" s="383">
        <f t="shared" si="47"/>
        <v>44.654492545170072</v>
      </c>
      <c r="F118" s="383">
        <f t="shared" si="26"/>
        <v>44.668814141372273</v>
      </c>
      <c r="G118" s="110">
        <f t="shared" si="48"/>
        <v>0.74981386795052396</v>
      </c>
      <c r="H118" s="412" t="b">
        <f>Wh_hp&gt;='2024'!Maxi_hp</f>
        <v>0</v>
      </c>
      <c r="I118" s="388">
        <f>IF(H118,Wh_hp,'2024'!Maxi_hp)</f>
        <v>59.036177217934771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4.2755178649042103E-2</v>
      </c>
      <c r="M118" s="832"/>
      <c r="N118" s="832"/>
      <c r="O118" s="48">
        <f>IF(t&lt;Tnet,'2024'!Resal+('2024'!Salim-'2024'!Resal)*(1-EXP(('2024'!Tnet-t)/('2024'!Tau_j))),Resal+(Salim-Resal)*(1-EXP((Tnet-t)/(Tau_j))))*Salcycl</f>
        <v>3.47239200927058E-2</v>
      </c>
      <c r="P118" s="169">
        <f>(INDEX(Models!$BJ118:$BT118,,T118)*(1-R118)+INDEX(Models!$BJ118:$BT118,,T118+1)*R118-ERP_i)*Q118*Ramure*Pc/MaxiM</f>
        <v>4.9879623196715265E-4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55.018512670742155</v>
      </c>
      <c r="W118" s="400">
        <f t="shared" si="34"/>
        <v>41.260997991476586</v>
      </c>
      <c r="X118" s="157">
        <f t="shared" si="35"/>
        <v>45761</v>
      </c>
      <c r="Y118" s="383">
        <f t="shared" si="36"/>
        <v>39.894945841522841</v>
      </c>
      <c r="Z118" s="383">
        <f t="shared" si="37"/>
        <v>41.676846875200823</v>
      </c>
      <c r="AA118" s="384">
        <f t="shared" si="38"/>
        <v>44.654492545170072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6.6681883507179657E-2</v>
      </c>
      <c r="AD118" s="230">
        <f>(INDEX(Models!$BJ118:$BT118,,AH118)*(1-AF118)+INDEX(Models!$BJ118:$BT118,,AH118+1)*AF118-ERP_i)*AE118*Ramure*Pc/MaxiM</f>
        <v>4.9879623196715265E-4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'2024'!Wh/'2024'!Env_an*'2025'!Env_an</f>
        <v>45.024809902312548</v>
      </c>
      <c r="C119" s="829"/>
      <c r="D119" s="391">
        <f t="shared" si="25"/>
        <v>47.036736898210926</v>
      </c>
      <c r="E119" s="383">
        <f t="shared" si="47"/>
        <v>48.732339317209053</v>
      </c>
      <c r="F119" s="383">
        <f t="shared" si="26"/>
        <v>48.74984034695747</v>
      </c>
      <c r="G119" s="110">
        <f t="shared" si="48"/>
        <v>0.81508206515281734</v>
      </c>
      <c r="H119" s="412" t="b">
        <f>Wh_hp&gt;='2024'!Maxi_hp</f>
        <v>0</v>
      </c>
      <c r="I119" s="388">
        <f>IF(H119,Wh_hp,'2024'!Maxi_hp)</f>
        <v>59.816550107721071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4.2773524027660659E-2</v>
      </c>
      <c r="M119" s="832"/>
      <c r="N119" s="832"/>
      <c r="O119" s="48">
        <f>IF(t&lt;Tnet,'2024'!Resal+('2024'!Salim-'2024'!Resal)*(1-EXP(('2024'!Tnet-t)/('2024'!Tau_j))),Resal+(Salim-Resal)*(1-EXP((Tnet-t)/(Tau_j))))*Salcycl</f>
        <v>3.4794192988789163E-2</v>
      </c>
      <c r="P119" s="169">
        <f>(INDEX(Models!$BJ119:$BT119,,T119)*(1-R119)+INDEX(Models!$BJ119:$BT119,,T119+1)*R119-ERP_i)*Q119*Ramure*Pc/MaxiM</f>
        <v>4.8777942568848878E-4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55.232486794890121</v>
      </c>
      <c r="W119" s="400">
        <f t="shared" si="34"/>
        <v>45.024809902312548</v>
      </c>
      <c r="X119" s="157">
        <f t="shared" si="35"/>
        <v>45762</v>
      </c>
      <c r="Y119" s="383">
        <f t="shared" si="36"/>
        <v>43.534959884023998</v>
      </c>
      <c r="Z119" s="383">
        <f t="shared" si="37"/>
        <v>45.480313151390533</v>
      </c>
      <c r="AA119" s="384">
        <f t="shared" si="38"/>
        <v>48.732339317209053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6.6732404218283095E-2</v>
      </c>
      <c r="AD119" s="230">
        <f>(INDEX(Models!$BJ119:$BT119,,AH119)*(1-AF119)+INDEX(Models!$BJ119:$BT119,,AH119+1)*AF119-ERP_i)*AE119*Ramure*Pc/MaxiM</f>
        <v>4.8777942568848878E-4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'2024'!Wh/'2024'!Env_an*'2025'!Env_an</f>
        <v>46.716664743979784</v>
      </c>
      <c r="C120" s="829"/>
      <c r="D120" s="391">
        <f t="shared" si="25"/>
        <v>48.805127363308138</v>
      </c>
      <c r="E120" s="383">
        <f t="shared" si="47"/>
        <v>50.568182538253495</v>
      </c>
      <c r="F120" s="383">
        <f t="shared" si="26"/>
        <v>50.586893076455546</v>
      </c>
      <c r="G120" s="110">
        <f t="shared" si="48"/>
        <v>0.84256440919751741</v>
      </c>
      <c r="H120" s="412" t="b">
        <f>Wh_hp&gt;='2024'!Maxi_hp</f>
        <v>0</v>
      </c>
      <c r="I120" s="388">
        <f>IF(H120,Wh_hp,'2024'!Maxi_hp)</f>
        <v>51.884062779817704</v>
      </c>
      <c r="J120" s="85">
        <f>IF(H120,An,'2024'!An_max)</f>
        <v>2021</v>
      </c>
      <c r="K120" s="197">
        <f t="shared" si="27"/>
        <v>45763</v>
      </c>
      <c r="L120" s="147">
        <f>IF(t&lt;Tvie,1-EXP((T0-t)*PertePVj)+'2024'!Pspv,1-EXP((T0-t)*PertePVj)+Pspv)</f>
        <v>4.279186905469412E-2</v>
      </c>
      <c r="M120" s="832"/>
      <c r="N120" s="832"/>
      <c r="O120" s="48">
        <f>IF(t&lt;Tnet,'2024'!Resal+('2024'!Salim-'2024'!Resal)*(1-EXP(('2024'!Tnet-t)/('2024'!Tau_j))),Resal+(Salim-Resal)*(1-EXP((Tnet-t)/(Tau_j))))*Salcycl</f>
        <v>3.4864910828298977E-2</v>
      </c>
      <c r="P120" s="169">
        <f>(INDEX(Models!$BJ120:$BT120,,T120)*(1-R120)+INDEX(Models!$BJ120:$BT120,,T120+1)*R120-ERP_i)*Q120*Ramure*Pc/MaxiM</f>
        <v>4.7711454187769668E-4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55.439859837169656</v>
      </c>
      <c r="W120" s="400">
        <f t="shared" si="34"/>
        <v>46.716664743979784</v>
      </c>
      <c r="X120" s="157">
        <f t="shared" si="35"/>
        <v>45763</v>
      </c>
      <c r="Y120" s="383">
        <f t="shared" si="36"/>
        <v>45.171653825451322</v>
      </c>
      <c r="Z120" s="383">
        <f t="shared" si="37"/>
        <v>47.191046926065439</v>
      </c>
      <c r="AA120" s="384">
        <f t="shared" si="38"/>
        <v>50.568182538253495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6.6783804413641693E-2</v>
      </c>
      <c r="AD120" s="230">
        <f>(INDEX(Models!$BJ120:$BT120,,AH120)*(1-AF120)+INDEX(Models!$BJ120:$BT120,,AH120+1)*AF120-ERP_i)*AE120*Ramure*Pc/MaxiM</f>
        <v>4.7711454187769668E-4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'2024'!Wh/'2024'!Env_an*'2025'!Env_an</f>
        <v>54.832731267761602</v>
      </c>
      <c r="C121" s="829"/>
      <c r="D121" s="391">
        <f t="shared" si="25"/>
        <v>57.285119476090173</v>
      </c>
      <c r="E121" s="383">
        <f t="shared" si="47"/>
        <v>59.358886388429198</v>
      </c>
      <c r="F121" s="383">
        <f t="shared" si="26"/>
        <v>59.38603204440227</v>
      </c>
      <c r="G121" s="110">
        <f t="shared" si="48"/>
        <v>0.98546776242702505</v>
      </c>
      <c r="H121" s="412" t="b">
        <f>Wh_hp&gt;='2024'!Maxi_hp</f>
        <v>0</v>
      </c>
      <c r="I121" s="388">
        <f>IF(H121,Wh_hp,'2024'!Maxi_hp)</f>
        <v>59.386411049175642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4.2810213730149482E-2</v>
      </c>
      <c r="M121" s="832"/>
      <c r="N121" s="832"/>
      <c r="O121" s="48">
        <f>IF(t&lt;Tnet,'2024'!Resal+('2024'!Salim-'2024'!Resal)*(1-EXP(('2024'!Tnet-t)/('2024'!Tau_j))),Resal+(Salim-Resal)*(1-EXP((Tnet-t)/(Tau_j))))*Salcycl</f>
        <v>3.493608183227747E-2</v>
      </c>
      <c r="P121" s="169">
        <f>(INDEX(Models!$BJ121:$BT121,,T121)*(1-R121)+INDEX(Models!$BJ121:$BT121,,T121+1)*R121-ERP_i)*Q121*Ramure*Pc/MaxiM</f>
        <v>4.6678940329884517E-4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55.640785114165965</v>
      </c>
      <c r="W121" s="400">
        <f t="shared" si="34"/>
        <v>54.832731267761602</v>
      </c>
      <c r="X121" s="157">
        <f t="shared" si="35"/>
        <v>45764</v>
      </c>
      <c r="Y121" s="383">
        <f t="shared" si="36"/>
        <v>53.020245175366796</v>
      </c>
      <c r="Z121" s="383">
        <f t="shared" si="37"/>
        <v>55.391570131546885</v>
      </c>
      <c r="AA121" s="384">
        <f t="shared" si="38"/>
        <v>59.358886388429198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6.6836096467868714E-2</v>
      </c>
      <c r="AD121" s="230">
        <f>(INDEX(Models!$BJ121:$BT121,,AH121)*(1-AF121)+INDEX(Models!$BJ121:$BT121,,AH121+1)*AF121-ERP_i)*AE121*Ramure*Pc/MaxiM</f>
        <v>4.6678940329884517E-4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'2024'!Wh/'2024'!Env_an*'2025'!Env_an</f>
        <v>40.563338758816755</v>
      </c>
      <c r="C122" s="829"/>
      <c r="D122" s="391">
        <f t="shared" si="25"/>
        <v>42.378342041160266</v>
      </c>
      <c r="E122" s="383">
        <f t="shared" si="47"/>
        <v>43.915731390012446</v>
      </c>
      <c r="F122" s="383">
        <f t="shared" si="26"/>
        <v>43.927959956847978</v>
      </c>
      <c r="G122" s="110">
        <f t="shared" si="48"/>
        <v>0.72634993225032429</v>
      </c>
      <c r="H122" s="412" t="b">
        <f>Wh_hp&gt;='2024'!Maxi_hp</f>
        <v>0</v>
      </c>
      <c r="I122" s="388">
        <f>IF(H122,Wh_hp,'2024'!Maxi_hp)</f>
        <v>43.933124779978819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4.2828558054033294E-2</v>
      </c>
      <c r="M122" s="832"/>
      <c r="N122" s="832"/>
      <c r="O122" s="48">
        <f>IF(t&lt;Tnet,'2024'!Resal+('2024'!Salim-'2024'!Resal)*(1-EXP(('2024'!Tnet-t)/('2024'!Tau_j))),Resal+(Salim-Resal)*(1-EXP((Tnet-t)/(Tau_j))))*Salcycl</f>
        <v>3.5007713641354112E-2</v>
      </c>
      <c r="P122" s="169">
        <f>(INDEX(Models!$BJ122:$BT122,,T122)*(1-R122)+INDEX(Models!$BJ122:$BT122,,T122+1)*R122-ERP_i)*Q122*Ramure*Pc/MaxiM</f>
        <v>4.5691375477987682E-4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55.835476710675138</v>
      </c>
      <c r="W122" s="400">
        <f t="shared" si="34"/>
        <v>40.563338758816755</v>
      </c>
      <c r="X122" s="157">
        <f t="shared" si="35"/>
        <v>45765</v>
      </c>
      <c r="Y122" s="383">
        <f t="shared" si="36"/>
        <v>39.223200329674349</v>
      </c>
      <c r="Z122" s="383">
        <f t="shared" si="37"/>
        <v>40.978239227376093</v>
      </c>
      <c r="AA122" s="384">
        <f t="shared" si="38"/>
        <v>43.915731390012446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6.6889291596869863E-2</v>
      </c>
      <c r="AD122" s="230">
        <f>(INDEX(Models!$BJ122:$BT122,,AH122)*(1-AF122)+INDEX(Models!$BJ122:$BT122,,AH122+1)*AF122-ERP_i)*AE122*Ramure*Pc/MaxiM</f>
        <v>4.5691375477987682E-4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'2024'!Wh/'2024'!Env_an*'2025'!Env_an</f>
        <v>9.4819836765656067</v>
      </c>
      <c r="C123" s="829"/>
      <c r="D123" s="391">
        <f t="shared" si="25"/>
        <v>9.9064441170796513</v>
      </c>
      <c r="E123" s="383">
        <f t="shared" si="47"/>
        <v>10.266594329215886</v>
      </c>
      <c r="F123" s="383">
        <f t="shared" si="26"/>
        <v>10.266594329215886</v>
      </c>
      <c r="G123" s="110">
        <f t="shared" si="48"/>
        <v>0.16917306095091539</v>
      </c>
      <c r="H123" s="412" t="b">
        <f>Wh_hp&gt;='2024'!Maxi_hp</f>
        <v>0</v>
      </c>
      <c r="I123" s="388">
        <f>IF(H123,Wh_hp,'2024'!Maxi_hp)</f>
        <v>59.533076172726751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4.2846902026352218E-2</v>
      </c>
      <c r="M123" s="832"/>
      <c r="N123" s="832"/>
      <c r="O123" s="48">
        <f>IF(t&lt;Tnet,'2024'!Resal+('2024'!Salim-'2024'!Resal)*(1-EXP(('2024'!Tnet-t)/('2024'!Tau_j))),Resal+(Salim-Resal)*(1-EXP((Tnet-t)/(Tau_j))))*Salcycl</f>
        <v>3.5079813284464578E-2</v>
      </c>
      <c r="P123" s="169">
        <f>(INDEX(Models!$BJ123:$BT123,,T123)*(1-R123)+INDEX(Models!$BJ123:$BT123,,T123+1)*R123-ERP_i)*Q123*Ramure*Pc/MaxiM</f>
        <v>4.4732856907776694E-4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56.023944126219142</v>
      </c>
      <c r="W123" s="400">
        <f t="shared" si="34"/>
        <v>9.4819836765656067</v>
      </c>
      <c r="X123" s="157">
        <f t="shared" si="35"/>
        <v>45766</v>
      </c>
      <c r="Y123" s="383">
        <f t="shared" si="36"/>
        <v>9.1688696890774093</v>
      </c>
      <c r="Z123" s="383">
        <f t="shared" si="37"/>
        <v>9.5793136003931583</v>
      </c>
      <c r="AA123" s="384">
        <f t="shared" si="38"/>
        <v>10.266594329215886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6.6943399805612022E-2</v>
      </c>
      <c r="AD123" s="230">
        <f>(INDEX(Models!$BJ123:$BT123,,AH123)*(1-AF123)+INDEX(Models!$BJ123:$BT123,,AH123+1)*AF123-ERP_i)*AE123*Ramure*Pc/MaxiM</f>
        <v>4.4732856907776694E-4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'2024'!Wh/'2024'!Env_an*'2025'!Env_an</f>
        <v>9.8928456037400689</v>
      </c>
      <c r="C124" s="829"/>
      <c r="D124" s="391">
        <f t="shared" si="25"/>
        <v>10.335896339307586</v>
      </c>
      <c r="E124" s="383">
        <f t="shared" si="47"/>
        <v>10.712465058329661</v>
      </c>
      <c r="F124" s="383">
        <f t="shared" si="26"/>
        <v>10.712465058329661</v>
      </c>
      <c r="G124" s="110">
        <f t="shared" si="48"/>
        <v>0.1759328027126173</v>
      </c>
      <c r="H124" s="412" t="b">
        <f>Wh_hp&gt;='2024'!Maxi_hp</f>
        <v>0</v>
      </c>
      <c r="I124" s="388">
        <f>IF(H124,Wh_hp,'2024'!Maxi_hp)</f>
        <v>52.580415314681325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4.2865245647113248E-2</v>
      </c>
      <c r="M124" s="832"/>
      <c r="N124" s="832"/>
      <c r="O124" s="48">
        <f>IF(t&lt;Tnet,'2024'!Resal+('2024'!Salim-'2024'!Resal)*(1-EXP(('2024'!Tnet-t)/('2024'!Tau_j))),Resal+(Salim-Resal)*(1-EXP((Tnet-t)/(Tau_j))))*Salcycl</f>
        <v>3.5152387146342889E-2</v>
      </c>
      <c r="P124" s="169">
        <f>(INDEX(Models!$BJ124:$BT124,,T124)*(1-R124)+INDEX(Models!$BJ124:$BT124,,T124+1)*R124-ERP_i)*Q124*Ramure*Pc/MaxiM</f>
        <v>4.3802406980207663E-4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56.206188651467571</v>
      </c>
      <c r="W124" s="400">
        <f t="shared" si="34"/>
        <v>9.8928456037400689</v>
      </c>
      <c r="X124" s="157">
        <f t="shared" si="35"/>
        <v>45767</v>
      </c>
      <c r="Y124" s="383">
        <f t="shared" si="36"/>
        <v>9.5663194464473644</v>
      </c>
      <c r="Z124" s="383">
        <f t="shared" si="37"/>
        <v>9.9947467197710296</v>
      </c>
      <c r="AA124" s="384">
        <f t="shared" si="38"/>
        <v>10.712465058329661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6.6998429833902404E-2</v>
      </c>
      <c r="AD124" s="230">
        <f>(INDEX(Models!$BJ124:$BT124,,AH124)*(1-AF124)+INDEX(Models!$BJ124:$BT124,,AH124+1)*AF124-ERP_i)*AE124*Ramure*Pc/MaxiM</f>
        <v>4.3802406980207663E-4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'2024'!Wh/'2024'!Env_an*'2025'!Env_an</f>
        <v>9.5228089579709518</v>
      </c>
      <c r="C125" s="829"/>
      <c r="D125" s="391">
        <f t="shared" si="25"/>
        <v>9.9494782951103407</v>
      </c>
      <c r="E125" s="383">
        <f t="shared" si="47"/>
        <v>10.312749441424083</v>
      </c>
      <c r="F125" s="383">
        <f t="shared" si="26"/>
        <v>10.312749441424083</v>
      </c>
      <c r="G125" s="110">
        <f t="shared" si="48"/>
        <v>0.16882494470660039</v>
      </c>
      <c r="H125" s="412" t="b">
        <f>Wh_hp&gt;='2024'!Maxi_hp</f>
        <v>0</v>
      </c>
      <c r="I125" s="388">
        <f>IF(H125,Wh_hp,'2024'!Maxi_hp)</f>
        <v>55.246951602065522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4.2883588916322823E-2</v>
      </c>
      <c r="M125" s="832"/>
      <c r="N125" s="832"/>
      <c r="O125" s="48">
        <f>IF(t&lt;Tnet,'2024'!Resal+('2024'!Salim-'2024'!Resal)*(1-EXP(('2024'!Tnet-t)/('2024'!Tau_j))),Resal+(Salim-Resal)*(1-EXP((Tnet-t)/(Tau_j))))*Salcycl</f>
        <v>3.5225440933778579E-2</v>
      </c>
      <c r="P125" s="169">
        <f>(INDEX(Models!$BJ125:$BT125,,T125)*(1-R125)+INDEX(Models!$BJ125:$BT125,,T125+1)*R125-ERP_i)*Q125*Ramure*Pc/MaxiM</f>
        <v>4.2899207139871664E-4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56.382211556313891</v>
      </c>
      <c r="W125" s="400">
        <f t="shared" si="34"/>
        <v>9.5228089579709518</v>
      </c>
      <c r="X125" s="157">
        <f t="shared" si="35"/>
        <v>45768</v>
      </c>
      <c r="Y125" s="383">
        <f t="shared" si="36"/>
        <v>9.2086412699100784</v>
      </c>
      <c r="Z125" s="383">
        <f t="shared" si="37"/>
        <v>9.6212343276861869</v>
      </c>
      <c r="AA125" s="384">
        <f t="shared" si="38"/>
        <v>10.312749441424083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6.7054389100178191E-2</v>
      </c>
      <c r="AD125" s="230">
        <f>(INDEX(Models!$BJ125:$BT125,,AH125)*(1-AF125)+INDEX(Models!$BJ125:$BT125,,AH125+1)*AF125-ERP_i)*AE125*Ramure*Pc/MaxiM</f>
        <v>4.2899207139871664E-4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'2024'!Wh/'2024'!Env_an*'2025'!Env_an</f>
        <v>27.678004010604237</v>
      </c>
      <c r="C126" s="829"/>
      <c r="D126" s="391">
        <f t="shared" si="25"/>
        <v>28.918670856415719</v>
      </c>
      <c r="E126" s="383">
        <f t="shared" si="47"/>
        <v>29.97682208902819</v>
      </c>
      <c r="F126" s="383">
        <f t="shared" si="26"/>
        <v>29.980231326049086</v>
      </c>
      <c r="G126" s="110">
        <f t="shared" si="48"/>
        <v>0.48927557949483652</v>
      </c>
      <c r="H126" s="412" t="b">
        <f>Wh_hp&gt;='2024'!Maxi_hp</f>
        <v>0</v>
      </c>
      <c r="I126" s="388">
        <f>IF(H126,Wh_hp,'2024'!Maxi_hp)</f>
        <v>61.484611749803321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4.2901931833987939E-2</v>
      </c>
      <c r="M126" s="832"/>
      <c r="N126" s="832"/>
      <c r="O126" s="48">
        <f>IF(t&lt;Tnet,'2024'!Resal+('2024'!Salim-'2024'!Resal)*(1-EXP(('2024'!Tnet-t)/('2024'!Tau_j))),Resal+(Salim-Resal)*(1-EXP((Tnet-t)/(Tau_j))))*Salcycl</f>
        <v>3.5298979640665848E-2</v>
      </c>
      <c r="P126" s="169">
        <f>(INDEX(Models!$BJ126:$BT126,,T126)*(1-R126)+INDEX(Models!$BJ126:$BT126,,T126+1)*R126-ERP_i)*Q126*Ramure*Pc/MaxiM</f>
        <v>4.2022468718723894E-4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56.552014164127932</v>
      </c>
      <c r="W126" s="400">
        <f t="shared" si="34"/>
        <v>27.678004010604237</v>
      </c>
      <c r="X126" s="157">
        <f t="shared" si="35"/>
        <v>45769</v>
      </c>
      <c r="Y126" s="383">
        <f t="shared" si="36"/>
        <v>26.765284878778807</v>
      </c>
      <c r="Z126" s="383">
        <f t="shared" si="37"/>
        <v>27.965039079084498</v>
      </c>
      <c r="AA126" s="384">
        <f t="shared" si="38"/>
        <v>29.97682208902819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6.7111283643372766E-2</v>
      </c>
      <c r="AD126" s="230">
        <f>(INDEX(Models!$BJ126:$BT126,,AH126)*(1-AF126)+INDEX(Models!$BJ126:$BT126,,AH126+1)*AF126-ERP_i)*AE126*Ramure*Pc/MaxiM</f>
        <v>4.2022468718723894E-4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'2024'!Wh/'2024'!Env_an*'2025'!Env_an</f>
        <v>9.2180502151668975</v>
      </c>
      <c r="C127" s="829"/>
      <c r="D127" s="391">
        <f t="shared" si="25"/>
        <v>9.63143400555178</v>
      </c>
      <c r="E127" s="383">
        <f t="shared" si="47"/>
        <v>9.9846200454220284</v>
      </c>
      <c r="F127" s="383">
        <f t="shared" si="26"/>
        <v>9.9846200454220284</v>
      </c>
      <c r="G127" s="110">
        <f t="shared" si="48"/>
        <v>0.16246421372681247</v>
      </c>
      <c r="H127" s="412" t="b">
        <f>Wh_hp&gt;='2024'!Maxi_hp</f>
        <v>0</v>
      </c>
      <c r="I127" s="388">
        <f>IF(H127,Wh_hp,'2024'!Maxi_hp)</f>
        <v>61.411826255045938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4.2920274400115144E-2</v>
      </c>
      <c r="M127" s="832"/>
      <c r="N127" s="832"/>
      <c r="O127" s="48">
        <f>IF(t&lt;Tnet,'2024'!Resal+('2024'!Salim-'2024'!Resal)*(1-EXP(('2024'!Tnet-t)/('2024'!Tau_j))),Resal+(Salim-Resal)*(1-EXP((Tnet-t)/(Tau_j))))*Salcycl</f>
        <v>3.5373007511906772E-2</v>
      </c>
      <c r="P127" s="169">
        <f>(INDEX(Models!$BJ127:$BT127,,T127)*(1-R127)+INDEX(Models!$BJ127:$BT127,,T127+1)*R127-ERP_i)*Q127*Ramure*Pc/MaxiM</f>
        <v>4.1171314686421948E-4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56.715597923607056</v>
      </c>
      <c r="W127" s="400">
        <f t="shared" si="34"/>
        <v>9.2180502151668975</v>
      </c>
      <c r="X127" s="157">
        <f t="shared" si="35"/>
        <v>45770</v>
      </c>
      <c r="Y127" s="383">
        <f t="shared" si="36"/>
        <v>8.9142041212991643</v>
      </c>
      <c r="Z127" s="383">
        <f t="shared" si="37"/>
        <v>9.3139619227769757</v>
      </c>
      <c r="AA127" s="384">
        <f t="shared" si="38"/>
        <v>9.9846200454220284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6.7169118062990377E-2</v>
      </c>
      <c r="AD127" s="230">
        <f>(INDEX(Models!$BJ127:$BT127,,AH127)*(1-AF127)+INDEX(Models!$BJ127:$BT127,,AH127+1)*AF127-ERP_i)*AE127*Ramure*Pc/MaxiM</f>
        <v>4.1171314686421948E-4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'2024'!Wh/'2024'!Env_an*'2025'!Env_an</f>
        <v>31.853111581872653</v>
      </c>
      <c r="C128" s="829"/>
      <c r="D128" s="391">
        <f t="shared" si="25"/>
        <v>33.282203351683449</v>
      </c>
      <c r="E128" s="383">
        <f t="shared" si="47"/>
        <v>34.505332076842912</v>
      </c>
      <c r="F128" s="383">
        <f t="shared" si="26"/>
        <v>34.510507253158224</v>
      </c>
      <c r="G128" s="110">
        <f t="shared" si="48"/>
        <v>0.55993276078689258</v>
      </c>
      <c r="H128" s="412" t="b">
        <f>Wh_hp&gt;='2024'!Maxi_hp</f>
        <v>0</v>
      </c>
      <c r="I128" s="388">
        <f>IF(H128,Wh_hp,'2024'!Maxi_hp)</f>
        <v>58.10105142457774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4.2938616614711322E-2</v>
      </c>
      <c r="M128" s="832"/>
      <c r="N128" s="832"/>
      <c r="O128" s="48">
        <f>IF(t&lt;Tnet,'2024'!Resal+('2024'!Salim-'2024'!Resal)*(1-EXP(('2024'!Tnet-t)/('2024'!Tau_j))),Resal+(Salim-Resal)*(1-EXP((Tnet-t)/(Tau_j))))*Salcycl</f>
        <v>3.5447528006267846E-2</v>
      </c>
      <c r="P128" s="169">
        <f>(INDEX(Models!$BJ128:$BT128,,T128)*(1-R128)+INDEX(Models!$BJ128:$BT128,,T128+1)*R128-ERP_i)*Q128*Ramure*Pc/MaxiM</f>
        <v>4.0362075337418843E-4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56.872954572504497</v>
      </c>
      <c r="W128" s="400">
        <f t="shared" si="34"/>
        <v>31.853111581872653</v>
      </c>
      <c r="X128" s="157">
        <f t="shared" si="35"/>
        <v>45771</v>
      </c>
      <c r="Y128" s="383">
        <f t="shared" si="36"/>
        <v>30.803605598597887</v>
      </c>
      <c r="Z128" s="383">
        <f t="shared" si="37"/>
        <v>32.185611219251477</v>
      </c>
      <c r="AA128" s="384">
        <f t="shared" si="38"/>
        <v>34.505332076842912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6.7227895457590461E-2</v>
      </c>
      <c r="AD128" s="230">
        <f>(INDEX(Models!$BJ128:$BT128,,AH128)*(1-AF128)+INDEX(Models!$BJ128:$BT128,,AH128+1)*AF128-ERP_i)*AE128*Ramure*Pc/MaxiM</f>
        <v>4.0362075337418843E-4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'2024'!Wh/'2024'!Env_an*'2025'!Env_an</f>
        <v>48.208428547142709</v>
      </c>
      <c r="C129" s="829"/>
      <c r="D129" s="391">
        <f t="shared" si="25"/>
        <v>50.37226797079596</v>
      </c>
      <c r="E129" s="383">
        <f t="shared" si="47"/>
        <v>52.227522421399094</v>
      </c>
      <c r="F129" s="383">
        <f t="shared" si="26"/>
        <v>52.243636123936803</v>
      </c>
      <c r="G129" s="110">
        <f t="shared" si="48"/>
        <v>0.84533067437590392</v>
      </c>
      <c r="H129" s="412" t="b">
        <f>Wh_hp&gt;='2024'!Maxi_hp</f>
        <v>0</v>
      </c>
      <c r="I129" s="388">
        <f>IF(H129,Wh_hp,'2024'!Maxi_hp)</f>
        <v>57.415722541484826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4.2956958477783136E-2</v>
      </c>
      <c r="M129" s="832"/>
      <c r="N129" s="832"/>
      <c r="O129" s="48">
        <f>IF(t&lt;Tnet,'2024'!Resal+('2024'!Salim-'2024'!Resal)*(1-EXP(('2024'!Tnet-t)/('2024'!Tau_j))),Resal+(Salim-Resal)*(1-EXP((Tnet-t)/(Tau_j))))*Salcycl</f>
        <v>3.5522543758326697E-2</v>
      </c>
      <c r="P129" s="169">
        <f>(INDEX(Models!$BJ129:$BT129,,T129)*(1-R129)+INDEX(Models!$BJ129:$BT129,,T129+1)*R129-ERP_i)*Q129*Ramure*Pc/MaxiM</f>
        <v>3.9585960221462867E-4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57.02409015409448</v>
      </c>
      <c r="W129" s="400">
        <f t="shared" si="34"/>
        <v>48.208428547142709</v>
      </c>
      <c r="X129" s="157">
        <f t="shared" si="35"/>
        <v>45772</v>
      </c>
      <c r="Y129" s="383">
        <f t="shared" si="36"/>
        <v>46.620683523964694</v>
      </c>
      <c r="Z129" s="383">
        <f t="shared" si="37"/>
        <v>48.713256876945209</v>
      </c>
      <c r="AA129" s="384">
        <f t="shared" si="38"/>
        <v>52.227522421399094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6.7287617361952282E-2</v>
      </c>
      <c r="AD129" s="230">
        <f>(INDEX(Models!$BJ129:$BT129,,AH129)*(1-AF129)+INDEX(Models!$BJ129:$BT129,,AH129+1)*AF129-ERP_i)*AE129*Ramure*Pc/MaxiM</f>
        <v>3.9585960221462867E-4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'2024'!Wh/'2024'!Env_an*'2025'!Env_an</f>
        <v>55.272647343250881</v>
      </c>
      <c r="C130" s="829"/>
      <c r="D130" s="391">
        <f t="shared" si="25"/>
        <v>57.754671684685938</v>
      </c>
      <c r="E130" s="383">
        <f t="shared" si="47"/>
        <v>59.886515240170141</v>
      </c>
      <c r="F130" s="383">
        <f t="shared" si="26"/>
        <v>59.908682502743439</v>
      </c>
      <c r="G130" s="110">
        <f t="shared" si="48"/>
        <v>0.96681109785724928</v>
      </c>
      <c r="H130" s="412" t="b">
        <f>Wh_hp&gt;='2024'!Maxi_hp</f>
        <v>0</v>
      </c>
      <c r="I130" s="388">
        <f>IF(H130,Wh_hp,'2024'!Maxi_hp)</f>
        <v>59.909404473598052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4.2975299989337246E-2</v>
      </c>
      <c r="M130" s="832"/>
      <c r="N130" s="832"/>
      <c r="O130" s="48">
        <f>IF(t&lt;Tnet,'2024'!Resal+('2024'!Salim-'2024'!Resal)*(1-EXP(('2024'!Tnet-t)/('2024'!Tau_j))),Resal+(Salim-Resal)*(1-EXP((Tnet-t)/(Tau_j))))*Salcycl</f>
        <v>3.5598056539683641E-2</v>
      </c>
      <c r="P130" s="169">
        <f>(INDEX(Models!$BJ130:$BT130,,T130)*(1-R130)+INDEX(Models!$BJ130:$BT130,,T130+1)*R130-ERP_i)*Q130*Ramure*Pc/MaxiM</f>
        <v>3.8842388074679618E-4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57.16900614948738</v>
      </c>
      <c r="W130" s="400">
        <f t="shared" si="34"/>
        <v>55.272647343250881</v>
      </c>
      <c r="X130" s="157">
        <f t="shared" si="35"/>
        <v>45773</v>
      </c>
      <c r="Y130" s="383">
        <f t="shared" si="36"/>
        <v>53.452950566533275</v>
      </c>
      <c r="Z130" s="383">
        <f t="shared" si="37"/>
        <v>55.853261222973373</v>
      </c>
      <c r="AA130" s="384">
        <f t="shared" si="38"/>
        <v>59.886515240170141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6.7348283683258597E-2</v>
      </c>
      <c r="AD130" s="230">
        <f>(INDEX(Models!$BJ130:$BT130,,AH130)*(1-AF130)+INDEX(Models!$BJ130:$BT130,,AH130+1)*AF130-ERP_i)*AE130*Ramure*Pc/MaxiM</f>
        <v>3.8842388074679618E-4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'2024'!Wh/'2024'!Env_an*'2025'!Env_an</f>
        <v>40.123342035408228</v>
      </c>
      <c r="C131" s="829"/>
      <c r="D131" s="391">
        <f t="shared" si="25"/>
        <v>41.92588864675573</v>
      </c>
      <c r="E131" s="383">
        <f t="shared" si="47"/>
        <v>43.476886000436366</v>
      </c>
      <c r="F131" s="383">
        <f t="shared" si="26"/>
        <v>43.486364551388249</v>
      </c>
      <c r="G131" s="110">
        <f t="shared" si="48"/>
        <v>0.70002432309036755</v>
      </c>
      <c r="H131" s="412" t="b">
        <f>Wh_hp&gt;='2024'!Maxi_hp</f>
        <v>0</v>
      </c>
      <c r="I131" s="388">
        <f>IF(H131,Wh_hp,'2024'!Maxi_hp)</f>
        <v>43.491010827693984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4.2993641149380535E-2</v>
      </c>
      <c r="M131" s="832"/>
      <c r="N131" s="832"/>
      <c r="O131" s="48">
        <f>IF(t&lt;Tnet,'2024'!Resal+('2024'!Salim-'2024'!Resal)*(1-EXP(('2024'!Tnet-t)/('2024'!Tau_j))),Resal+(Salim-Resal)*(1-EXP((Tnet-t)/(Tau_j))))*Salcycl</f>
        <v>3.5674067219650198E-2</v>
      </c>
      <c r="P131" s="169">
        <f>(INDEX(Models!$BJ131:$BT131,,T131)*(1-R131)+INDEX(Models!$BJ131:$BT131,,T131+1)*R131-ERP_i)*Q131*Ramure*Pc/MaxiM</f>
        <v>3.8130835264704391E-4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57.307704095561334</v>
      </c>
      <c r="W131" s="400">
        <f t="shared" si="34"/>
        <v>40.123342035408228</v>
      </c>
      <c r="X131" s="157">
        <f t="shared" si="35"/>
        <v>45774</v>
      </c>
      <c r="Y131" s="383">
        <f t="shared" si="36"/>
        <v>38.802888716981776</v>
      </c>
      <c r="Z131" s="383">
        <f t="shared" si="37"/>
        <v>40.546113782968682</v>
      </c>
      <c r="AA131" s="384">
        <f t="shared" si="38"/>
        <v>43.476886000436366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6.7409892636705146E-2</v>
      </c>
      <c r="AD131" s="230">
        <f>(INDEX(Models!$BJ131:$BT131,,AH131)*(1-AF131)+INDEX(Models!$BJ131:$BT131,,AH131+1)*AF131-ERP_i)*AE131*Ramure*Pc/MaxiM</f>
        <v>3.8130835264704391E-4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'2024'!Wh/'2024'!Env_an*'2025'!Env_an</f>
        <v>24.176397013237217</v>
      </c>
      <c r="C132" s="829"/>
      <c r="D132" s="391">
        <f t="shared" si="25"/>
        <v>25.263009105067123</v>
      </c>
      <c r="E132" s="383">
        <f t="shared" si="47"/>
        <v>26.199662109292163</v>
      </c>
      <c r="F132" s="383">
        <f t="shared" si="26"/>
        <v>26.201356846965869</v>
      </c>
      <c r="G132" s="110">
        <f t="shared" si="48"/>
        <v>0.42076650311174724</v>
      </c>
      <c r="H132" s="412" t="b">
        <f>Wh_hp&gt;='2024'!Maxi_hp</f>
        <v>0</v>
      </c>
      <c r="I132" s="388">
        <f>IF(H132,Wh_hp,'2024'!Maxi_hp)</f>
        <v>46.721279625112096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4.3011981957919665E-2</v>
      </c>
      <c r="M132" s="832"/>
      <c r="N132" s="832"/>
      <c r="O132" s="48">
        <f>IF(t&lt;Tnet,'2024'!Resal+('2024'!Salim-'2024'!Resal)*(1-EXP(('2024'!Tnet-t)/('2024'!Tau_j))),Resal+(Salim-Resal)*(1-EXP((Tnet-t)/(Tau_j))))*Salcycl</f>
        <v>3.575057572566321E-2</v>
      </c>
      <c r="P132" s="169">
        <f>(INDEX(Models!$BJ132:$BT132,,T132)*(1-R132)+INDEX(Models!$BJ132:$BT132,,T132+1)*R132-ERP_i)*Q132*Ramure*Pc/MaxiM</f>
        <v>3.7450835983653742E-4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57.440185584711948</v>
      </c>
      <c r="W132" s="400">
        <f t="shared" si="34"/>
        <v>24.176397013237217</v>
      </c>
      <c r="X132" s="157">
        <f t="shared" si="35"/>
        <v>45775</v>
      </c>
      <c r="Y132" s="383">
        <f t="shared" si="36"/>
        <v>23.381042220323696</v>
      </c>
      <c r="Z132" s="383">
        <f t="shared" si="37"/>
        <v>24.431906961760511</v>
      </c>
      <c r="AA132" s="384">
        <f t="shared" si="38"/>
        <v>26.199662109292163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6.7472440681007356E-2</v>
      </c>
      <c r="AD132" s="230">
        <f>(INDEX(Models!$BJ132:$BT132,,AH132)*(1-AF132)+INDEX(Models!$BJ132:$BT132,,AH132+1)*AF132-ERP_i)*AE132*Ramure*Pc/MaxiM</f>
        <v>3.7450835983653742E-4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'2024'!Wh/'2024'!Env_an*'2025'!Env_an</f>
        <v>44.21664953306373</v>
      </c>
      <c r="C133" s="829"/>
      <c r="D133" s="391">
        <f t="shared" si="25"/>
        <v>46.204859536037425</v>
      </c>
      <c r="E133" s="383">
        <f t="shared" si="47"/>
        <v>47.921781027647427</v>
      </c>
      <c r="F133" s="383">
        <f t="shared" si="26"/>
        <v>47.933577424154265</v>
      </c>
      <c r="G133" s="110">
        <f t="shared" si="48"/>
        <v>0.76800385507556235</v>
      </c>
      <c r="H133" s="412" t="b">
        <f>Wh_hp&gt;='2024'!Maxi_hp</f>
        <v>0</v>
      </c>
      <c r="I133" s="388">
        <f>IF(H133,Wh_hp,'2024'!Maxi_hp)</f>
        <v>51.783140656081144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4.3030322414961408E-2</v>
      </c>
      <c r="M133" s="832"/>
      <c r="N133" s="832"/>
      <c r="O133" s="48">
        <f>IF(t&lt;Tnet,'2024'!Resal+('2024'!Salim-'2024'!Resal)*(1-EXP(('2024'!Tnet-t)/('2024'!Tau_j))),Resal+(Salim-Resal)*(1-EXP((Tnet-t)/(Tau_j))))*Salcycl</f>
        <v>3.5827581003708156E-2</v>
      </c>
      <c r="P133" s="169">
        <f>(INDEX(Models!$BJ133:$BT133,,T133)*(1-R133)+INDEX(Models!$BJ133:$BT133,,T133+1)*R133-ERP_i)*Q133*Ramure*Pc/MaxiM</f>
        <v>3.6801982443317822E-4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57.566452271324025</v>
      </c>
      <c r="W133" s="400">
        <f t="shared" si="34"/>
        <v>44.21664953306373</v>
      </c>
      <c r="X133" s="157">
        <f t="shared" si="35"/>
        <v>45776</v>
      </c>
      <c r="Y133" s="383">
        <f t="shared" si="36"/>
        <v>42.762514781255852</v>
      </c>
      <c r="Z133" s="383">
        <f t="shared" si="37"/>
        <v>44.685339340290511</v>
      </c>
      <c r="AA133" s="384">
        <f t="shared" si="38"/>
        <v>47.921781027647427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6.753592245433708E-2</v>
      </c>
      <c r="AD133" s="230">
        <f>(INDEX(Models!$BJ133:$BT133,,AH133)*(1-AF133)+INDEX(Models!$BJ133:$BT133,,AH133+1)*AF133-ERP_i)*AE133*Ramure*Pc/MaxiM</f>
        <v>3.6801982443317822E-4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'2024'!Wh/'2024'!Env_an*'2025'!Env_an</f>
        <v>46.806359894997179</v>
      </c>
      <c r="C134" s="829"/>
      <c r="D134" s="391">
        <f t="shared" si="25"/>
        <v>48.911954100278876</v>
      </c>
      <c r="E134" s="383">
        <f t="shared" si="47"/>
        <v>50.733546184384537</v>
      </c>
      <c r="F134" s="383">
        <f t="shared" si="26"/>
        <v>50.746960899822497</v>
      </c>
      <c r="G134" s="110">
        <f t="shared" si="48"/>
        <v>0.81131270903431041</v>
      </c>
      <c r="H134" s="412" t="b">
        <f>Wh_hp&gt;='2024'!Maxi_hp</f>
        <v>0</v>
      </c>
      <c r="I134" s="388">
        <f>IF(H134,Wh_hp,'2024'!Maxi_hp)</f>
        <v>61.648626642094747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4.3048662520512426E-2</v>
      </c>
      <c r="M134" s="832"/>
      <c r="N134" s="832"/>
      <c r="O134" s="48">
        <f>IF(t&lt;Tnet,'2024'!Resal+('2024'!Salim-'2024'!Resal)*(1-EXP(('2024'!Tnet-t)/('2024'!Tau_j))),Resal+(Salim-Resal)*(1-EXP((Tnet-t)/(Tau_j))))*Salcycl</f>
        <v>3.5905080979068998E-2</v>
      </c>
      <c r="P134" s="169">
        <f>(INDEX(Models!$BJ134:$BT134,,T134)*(1-R134)+INDEX(Models!$BJ134:$BT134,,T134+1)*R134-ERP_i)*Q134*Ramure*Pc/MaxiM</f>
        <v>3.6183925081945806E-4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57.686505863286989</v>
      </c>
      <c r="W134" s="400">
        <f t="shared" si="34"/>
        <v>46.806359894997179</v>
      </c>
      <c r="X134" s="157">
        <f t="shared" si="35"/>
        <v>45777</v>
      </c>
      <c r="Y134" s="383">
        <f t="shared" si="36"/>
        <v>45.267570262712539</v>
      </c>
      <c r="Z134" s="383">
        <f t="shared" si="37"/>
        <v>47.303941684164123</v>
      </c>
      <c r="AA134" s="384">
        <f t="shared" si="38"/>
        <v>50.733546184384537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6.7600330711280479E-2</v>
      </c>
      <c r="AD134" s="230">
        <f>(INDEX(Models!$BJ134:$BT134,,AH134)*(1-AF134)+INDEX(Models!$BJ134:$BT134,,AH134+1)*AF134-ERP_i)*AE134*Ramure*Pc/MaxiM</f>
        <v>3.6183925081945806E-4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'2024'!Wh/'2024'!Env_an*'2025'!Env_an</f>
        <v>47.360211366731527</v>
      </c>
      <c r="C135" s="829"/>
      <c r="D135" s="391">
        <f t="shared" si="25"/>
        <v>49.491669196593982</v>
      </c>
      <c r="E135" s="383">
        <f t="shared" si="47"/>
        <v>51.339004311732211</v>
      </c>
      <c r="F135" s="383">
        <f t="shared" si="26"/>
        <v>51.352567714070297</v>
      </c>
      <c r="G135" s="110">
        <f t="shared" si="48"/>
        <v>0.81931304767682711</v>
      </c>
      <c r="H135" s="412" t="b">
        <f>Wh_hp&gt;='2024'!Maxi_hp</f>
        <v>0</v>
      </c>
      <c r="I135" s="388">
        <f>IF(H135,Wh_hp,'2024'!Maxi_hp)</f>
        <v>57.098058064772587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4.3067002274579602E-2</v>
      </c>
      <c r="M135" s="832"/>
      <c r="N135" s="832"/>
      <c r="O135" s="48">
        <f>IF(t&lt;Tnet,'2024'!Resal+('2024'!Salim-'2024'!Resal)*(1-EXP(('2024'!Tnet-t)/('2024'!Tau_j))),Resal+(Salim-Resal)*(1-EXP((Tnet-t)/(Tau_j))))*Salcycl</f>
        <v>3.5983072517751818E-2</v>
      </c>
      <c r="P135" s="169">
        <f>(INDEX(Models!$BJ135:$BT135,,T135)*(1-R135)+INDEX(Models!$BJ135:$BT135,,T135+1)*R135-ERP_i)*Q135*Ramure*Pc/MaxiM</f>
        <v>3.5596913027985101E-4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57.799470552964493</v>
      </c>
      <c r="W135" s="400">
        <f t="shared" si="34"/>
        <v>47.360211366731527</v>
      </c>
      <c r="X135" s="157">
        <f t="shared" si="35"/>
        <v>45778</v>
      </c>
      <c r="Y135" s="383">
        <f t="shared" si="36"/>
        <v>45.803709795057848</v>
      </c>
      <c r="Z135" s="383">
        <f t="shared" si="37"/>
        <v>47.865116893168974</v>
      </c>
      <c r="AA135" s="384">
        <f t="shared" si="38"/>
        <v>51.339004311732211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6.7665656261459067E-2</v>
      </c>
      <c r="AD135" s="230">
        <f>(INDEX(Models!$BJ135:$BT135,,AH135)*(1-AF135)+INDEX(Models!$BJ135:$BT135,,AH135+1)*AF135-ERP_i)*AE135*Ramure*Pc/MaxiM</f>
        <v>3.5596913027985101E-4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'2024'!Wh/'2024'!Env_an*'2025'!Env_an</f>
        <v>28.137708988419757</v>
      </c>
      <c r="C136" s="829"/>
      <c r="D136" s="391">
        <f t="shared" si="25"/>
        <v>29.404616956893818</v>
      </c>
      <c r="E136" s="383">
        <f t="shared" si="47"/>
        <v>30.504662407919838</v>
      </c>
      <c r="F136" s="383">
        <f t="shared" si="26"/>
        <v>30.507503441094091</v>
      </c>
      <c r="G136" s="110">
        <f t="shared" si="48"/>
        <v>0.48580597115052621</v>
      </c>
      <c r="H136" s="412" t="b">
        <f>Wh_hp&gt;='2024'!Maxi_hp</f>
        <v>0</v>
      </c>
      <c r="I136" s="388">
        <f>IF(H136,Wh_hp,'2024'!Maxi_hp)</f>
        <v>49.564429764978506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4.3085341677169486E-2</v>
      </c>
      <c r="M136" s="832"/>
      <c r="N136" s="832"/>
      <c r="O136" s="48">
        <f>IF(t&lt;Tnet,'2024'!Resal+('2024'!Salim-'2024'!Resal)*(1-EXP(('2024'!Tnet-t)/('2024'!Tau_j))),Resal+(Salim-Resal)*(1-EXP((Tnet-t)/(Tau_j))))*Salcycl</f>
        <v>3.6061551388958092E-2</v>
      </c>
      <c r="P136" s="169">
        <f>(INDEX(Models!$BJ136:$BT136,,T136)*(1-R136)+INDEX(Models!$BJ136:$BT136,,T136+1)*R136-ERP_i)*Q136*Ramure*Pc/MaxiM</f>
        <v>3.506030094737478E-4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57.90472979566146</v>
      </c>
      <c r="W136" s="400">
        <f t="shared" si="34"/>
        <v>28.137708988419757</v>
      </c>
      <c r="X136" s="157">
        <f t="shared" si="35"/>
        <v>45779</v>
      </c>
      <c r="Y136" s="383">
        <f t="shared" si="36"/>
        <v>27.213240508204454</v>
      </c>
      <c r="Z136" s="383">
        <f t="shared" si="37"/>
        <v>28.438524032958881</v>
      </c>
      <c r="AA136" s="384">
        <f t="shared" si="38"/>
        <v>30.504662407919838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6.7731887910502928E-2</v>
      </c>
      <c r="AD136" s="230">
        <f>(INDEX(Models!$BJ136:$BT136,,AH136)*(1-AF136)+INDEX(Models!$BJ136:$BT136,,AH136+1)*AF136-ERP_i)*AE136*Ramure*Pc/MaxiM</f>
        <v>3.506030094737478E-4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'2024'!Wh/'2024'!Env_an*'2025'!Env_an</f>
        <v>39.274064280591595</v>
      </c>
      <c r="C137" s="829"/>
      <c r="D137" s="391">
        <f t="shared" si="25"/>
        <v>41.043176245554889</v>
      </c>
      <c r="E137" s="383">
        <f t="shared" si="47"/>
        <v>42.582115719450712</v>
      </c>
      <c r="F137" s="383">
        <f t="shared" si="26"/>
        <v>42.590045461669341</v>
      </c>
      <c r="G137" s="110">
        <f t="shared" si="48"/>
        <v>0.67699957385716403</v>
      </c>
      <c r="H137" s="412" t="b">
        <f>Wh_hp&gt;='2024'!Maxi_hp</f>
        <v>0</v>
      </c>
      <c r="I137" s="388">
        <f>IF(H137,Wh_hp,'2024'!Maxi_hp)</f>
        <v>61.404519088032231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4.3103680728288962E-2</v>
      </c>
      <c r="M137" s="832"/>
      <c r="N137" s="832"/>
      <c r="O137" s="48">
        <f>IF(t&lt;Tnet,'2024'!Resal+('2024'!Salim-'2024'!Resal)*(1-EXP(('2024'!Tnet-t)/('2024'!Tau_j))),Resal+(Salim-Resal)*(1-EXP((Tnet-t)/(Tau_j))))*Salcycl</f>
        <v>3.6140512229007445E-2</v>
      </c>
      <c r="P137" s="169">
        <f>(INDEX(Models!$BJ137:$BT137,,T137)*(1-R137)+INDEX(Models!$BJ137:$BT137,,T137+1)*R137-ERP_i)*Q137*Ramure*Pc/MaxiM</f>
        <v>3.4560800368808804E-4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58.002698299053144</v>
      </c>
      <c r="W137" s="400">
        <f t="shared" si="34"/>
        <v>39.274064280591595</v>
      </c>
      <c r="X137" s="157">
        <f t="shared" si="35"/>
        <v>45780</v>
      </c>
      <c r="Y137" s="383">
        <f t="shared" si="36"/>
        <v>37.984085827633422</v>
      </c>
      <c r="Z137" s="383">
        <f t="shared" si="37"/>
        <v>39.695090327594656</v>
      </c>
      <c r="AA137" s="384">
        <f t="shared" si="38"/>
        <v>42.582115719450712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6.7799012404104533E-2</v>
      </c>
      <c r="AD137" s="230">
        <f>(INDEX(Models!$BJ137:$BT137,,AH137)*(1-AF137)+INDEX(Models!$BJ137:$BT137,,AH137+1)*AF137-ERP_i)*AE137*Ramure*Pc/MaxiM</f>
        <v>3.4560800368808804E-4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'2024'!Wh/'2024'!Env_an*'2025'!Env_an</f>
        <v>21.267479775317263</v>
      </c>
      <c r="C138" s="829"/>
      <c r="D138" s="391">
        <f t="shared" si="25"/>
        <v>22.225905713289393</v>
      </c>
      <c r="E138" s="383">
        <f t="shared" si="47"/>
        <v>23.061180482893427</v>
      </c>
      <c r="F138" s="383">
        <f t="shared" si="26"/>
        <v>23.061922914776279</v>
      </c>
      <c r="G138" s="110">
        <f t="shared" si="48"/>
        <v>0.36597569031547961</v>
      </c>
      <c r="H138" s="412" t="b">
        <f>Wh_hp&gt;='2024'!Maxi_hp</f>
        <v>0</v>
      </c>
      <c r="I138" s="388">
        <f>IF(H138,Wh_hp,'2024'!Maxi_hp)</f>
        <v>54.000058250195806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4.312201942794458E-2</v>
      </c>
      <c r="M138" s="832"/>
      <c r="N138" s="832"/>
      <c r="O138" s="48">
        <f>IF(t&lt;Tnet,'2024'!Resal+('2024'!Salim-'2024'!Resal)*(1-EXP(('2024'!Tnet-t)/('2024'!Tau_j))),Resal+(Salim-Resal)*(1-EXP((Tnet-t)/(Tau_j))))*Salcycl</f>
        <v>3.6219948507130229E-2</v>
      </c>
      <c r="P138" s="169">
        <f>(INDEX(Models!$BJ138:$BT138,,T138)*(1-R138)+INDEX(Models!$BJ138:$BT138,,T138+1)*R138-ERP_i)*Q138*Ramure*Pc/MaxiM</f>
        <v>3.4098217568779833E-4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58.093783162108025</v>
      </c>
      <c r="W138" s="400">
        <f t="shared" si="34"/>
        <v>21.267479775317263</v>
      </c>
      <c r="X138" s="157">
        <f t="shared" si="35"/>
        <v>45781</v>
      </c>
      <c r="Y138" s="383">
        <f t="shared" si="36"/>
        <v>20.569132333626683</v>
      </c>
      <c r="Z138" s="383">
        <f t="shared" si="37"/>
        <v>21.496087015535387</v>
      </c>
      <c r="AA138" s="384">
        <f t="shared" si="38"/>
        <v>23.061180482893427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6.7867014375912471E-2</v>
      </c>
      <c r="AD138" s="230">
        <f>(INDEX(Models!$BJ138:$BT138,,AH138)*(1-AF138)+INDEX(Models!$BJ138:$BT138,,AH138+1)*AF138-ERP_i)*AE138*Ramure*Pc/MaxiM</f>
        <v>3.4098217568779833E-4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'2024'!Wh/'2024'!Env_an*'2025'!Env_an</f>
        <v>43.626989276207055</v>
      </c>
      <c r="C139" s="829"/>
      <c r="D139" s="391">
        <f t="shared" si="25"/>
        <v>45.593927626430869</v>
      </c>
      <c r="E139" s="383">
        <f t="shared" si="47"/>
        <v>47.311321622607224</v>
      </c>
      <c r="F139" s="383">
        <f t="shared" si="26"/>
        <v>47.321562457437579</v>
      </c>
      <c r="G139" s="110">
        <f t="shared" si="48"/>
        <v>0.74979280302956319</v>
      </c>
      <c r="H139" s="412" t="b">
        <f>Wh_hp&gt;='2024'!Maxi_hp</f>
        <v>0</v>
      </c>
      <c r="I139" s="388">
        <f>IF(H139,Wh_hp,'2024'!Maxi_hp)</f>
        <v>59.96671405061354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4.3140357776143334E-2</v>
      </c>
      <c r="M139" s="832"/>
      <c r="N139" s="832"/>
      <c r="O139" s="48">
        <f>IF(t&lt;Tnet,'2024'!Resal+('2024'!Salim-'2024'!Resal)*(1-EXP(('2024'!Tnet-t)/('2024'!Tau_j))),Resal+(Salim-Resal)*(1-EXP((Tnet-t)/(Tau_j))))*Salcycl</f>
        <v>3.6299852493567153E-2</v>
      </c>
      <c r="P139" s="169">
        <f>(INDEX(Models!$BJ139:$BT139,,T139)*(1-R139)+INDEX(Models!$BJ139:$BT139,,T139+1)*R139-ERP_i)*Q139*Ramure*Pc/MaxiM</f>
        <v>3.367244872663566E-4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58.178391393386001</v>
      </c>
      <c r="W139" s="400">
        <f t="shared" si="34"/>
        <v>43.626989276207055</v>
      </c>
      <c r="X139" s="157">
        <f t="shared" si="35"/>
        <v>45782</v>
      </c>
      <c r="Y139" s="383">
        <f t="shared" si="36"/>
        <v>42.194817168608608</v>
      </c>
      <c r="Z139" s="383">
        <f t="shared" si="37"/>
        <v>44.097185529261942</v>
      </c>
      <c r="AA139" s="384">
        <f t="shared" si="38"/>
        <v>47.311321622607224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6.7935876300049075E-2</v>
      </c>
      <c r="AD139" s="230">
        <f>(INDEX(Models!$BJ139:$BT139,,AH139)*(1-AF139)+INDEX(Models!$BJ139:$BT139,,AH139+1)*AF139-ERP_i)*AE139*Ramure*Pc/MaxiM</f>
        <v>3.367244872663566E-4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'2024'!Wh/'2024'!Env_an*'2025'!Env_an</f>
        <v>38.284686406227713</v>
      </c>
      <c r="C140" s="829"/>
      <c r="D140" s="391">
        <f t="shared" si="25"/>
        <v>40.011531940662088</v>
      </c>
      <c r="E140" s="383">
        <f t="shared" si="47"/>
        <v>41.52211543708578</v>
      </c>
      <c r="F140" s="383">
        <f t="shared" si="26"/>
        <v>41.529168186156213</v>
      </c>
      <c r="G140" s="110">
        <f t="shared" si="48"/>
        <v>0.65706251063045917</v>
      </c>
      <c r="H140" s="412" t="b">
        <f>Wh_hp&gt;='2024'!Maxi_hp</f>
        <v>0</v>
      </c>
      <c r="I140" s="388">
        <f>IF(H140,Wh_hp,'2024'!Maxi_hp)</f>
        <v>63.959766591204975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4.3158695772891775E-2</v>
      </c>
      <c r="M140" s="832"/>
      <c r="N140" s="832"/>
      <c r="O140" s="48">
        <f>IF(t&lt;Tnet,'2024'!Resal+('2024'!Salim-'2024'!Resal)*(1-EXP(('2024'!Tnet-t)/('2024'!Tau_j))),Resal+(Salim-Resal)*(1-EXP((Tnet-t)/(Tau_j))))*Salcycl</f>
        <v>3.6380215230424007E-2</v>
      </c>
      <c r="P140" s="169">
        <f>(INDEX(Models!$BJ140:$BT140,,T140)*(1-R140)+INDEX(Models!$BJ140:$BT140,,T140+1)*R140-ERP_i)*Q140*Ramure*Pc/MaxiM</f>
        <v>3.3283476923882824E-4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58.256929900213478</v>
      </c>
      <c r="W140" s="400">
        <f t="shared" si="34"/>
        <v>38.284686406227713</v>
      </c>
      <c r="X140" s="157">
        <f t="shared" si="35"/>
        <v>45783</v>
      </c>
      <c r="Y140" s="383">
        <f t="shared" si="36"/>
        <v>37.028208350831974</v>
      </c>
      <c r="Z140" s="383">
        <f t="shared" si="37"/>
        <v>38.698379958358544</v>
      </c>
      <c r="AA140" s="384">
        <f t="shared" si="38"/>
        <v>41.52211543708578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6.8005578449049739E-2</v>
      </c>
      <c r="AD140" s="230">
        <f>(INDEX(Models!$BJ140:$BT140,,AH140)*(1-AF140)+INDEX(Models!$BJ140:$BT140,,AH140+1)*AF140-ERP_i)*AE140*Ramure*Pc/MaxiM</f>
        <v>3.3283476923882824E-4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'2024'!Wh/'2024'!Env_an*'2025'!Env_an</f>
        <v>52.37698945408254</v>
      </c>
      <c r="C141" s="829"/>
      <c r="D141" s="391">
        <f t="shared" si="25"/>
        <v>54.740522837987911</v>
      </c>
      <c r="E141" s="383">
        <f t="shared" si="47"/>
        <v>56.811944658005963</v>
      </c>
      <c r="F141" s="383">
        <f t="shared" si="26"/>
        <v>56.827930489386411</v>
      </c>
      <c r="G141" s="110">
        <f t="shared" si="48"/>
        <v>0.89790242936221976</v>
      </c>
      <c r="H141" s="412" t="b">
        <f>Wh_hp&gt;='2024'!Maxi_hp</f>
        <v>0</v>
      </c>
      <c r="I141" s="388">
        <f>IF(H141,Wh_hp,'2024'!Maxi_hp)</f>
        <v>60.392486037860046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4.3177033418196786E-2</v>
      </c>
      <c r="M141" s="832"/>
      <c r="N141" s="832"/>
      <c r="O141" s="48">
        <f>IF(t&lt;Tnet,'2024'!Resal+('2024'!Salim-'2024'!Resal)*(1-EXP(('2024'!Tnet-t)/('2024'!Tau_j))),Resal+(Salim-Resal)*(1-EXP((Tnet-t)/(Tau_j))))*Salcycl</f>
        <v>3.6461026505737598E-2</v>
      </c>
      <c r="P141" s="169">
        <f>(INDEX(Models!$BJ141:$BT141,,T141)*(1-R141)+INDEX(Models!$BJ141:$BT141,,T141+1)*R141-ERP_i)*Q141*Ramure*Pc/MaxiM</f>
        <v>3.293136911350585E-4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58.329805494679057</v>
      </c>
      <c r="W141" s="400">
        <f t="shared" si="34"/>
        <v>52.37698945408254</v>
      </c>
      <c r="X141" s="157">
        <f t="shared" si="35"/>
        <v>45784</v>
      </c>
      <c r="Y141" s="383">
        <f t="shared" si="36"/>
        <v>50.65842657625636</v>
      </c>
      <c r="Z141" s="383">
        <f t="shared" si="37"/>
        <v>52.944409097150718</v>
      </c>
      <c r="AA141" s="384">
        <f t="shared" si="38"/>
        <v>56.811944658005963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6.8076098858028289E-2</v>
      </c>
      <c r="AD141" s="230">
        <f>(INDEX(Models!$BJ141:$BT141,,AH141)*(1-AF141)+INDEX(Models!$BJ141:$BT141,,AH141+1)*AF141-ERP_i)*AE141*Ramure*Pc/MaxiM</f>
        <v>3.293136911350585E-4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'2024'!Wh/'2024'!Env_an*'2025'!Env_an</f>
        <v>48.29786279240848</v>
      </c>
      <c r="C142" s="829"/>
      <c r="D142" s="391">
        <f t="shared" si="25"/>
        <v>50.478291297934355</v>
      </c>
      <c r="E142" s="383">
        <f t="shared" si="47"/>
        <v>52.392845040596832</v>
      </c>
      <c r="F142" s="383">
        <f t="shared" si="26"/>
        <v>52.40571433662852</v>
      </c>
      <c r="G142" s="110">
        <f t="shared" si="48"/>
        <v>0.82698799645825893</v>
      </c>
      <c r="H142" s="412" t="b">
        <f>Wh_hp&gt;='2024'!Maxi_hp</f>
        <v>0</v>
      </c>
      <c r="I142" s="388">
        <f>IF(H142,Wh_hp,'2024'!Maxi_hp)</f>
        <v>59.443974291396984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4.3195370712064918E-2</v>
      </c>
      <c r="M142" s="832"/>
      <c r="N142" s="832"/>
      <c r="O142" s="48">
        <f>IF(t&lt;Tnet,'2024'!Resal+('2024'!Salim-'2024'!Resal)*(1-EXP(('2024'!Tnet-t)/('2024'!Tau_j))),Resal+(Salim-Resal)*(1-EXP((Tnet-t)/(Tau_j))))*Salcycl</f>
        <v>3.6542274831209885E-2</v>
      </c>
      <c r="P142" s="169">
        <f>(INDEX(Models!$BJ142:$BT142,,T142)*(1-R142)+INDEX(Models!$BJ142:$BT142,,T142+1)*R142-ERP_i)*Q142*Ramure*Pc/MaxiM</f>
        <v>3.261508619675184E-4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58.397425576528669</v>
      </c>
      <c r="W142" s="400">
        <f t="shared" si="34"/>
        <v>48.29786279240848</v>
      </c>
      <c r="X142" s="157">
        <f t="shared" si="35"/>
        <v>45785</v>
      </c>
      <c r="Y142" s="383">
        <f t="shared" si="36"/>
        <v>46.713506155656503</v>
      </c>
      <c r="Z142" s="383">
        <f t="shared" si="37"/>
        <v>48.822408175868908</v>
      </c>
      <c r="AA142" s="384">
        <f t="shared" si="38"/>
        <v>52.392845040596832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6.8147413295868084E-2</v>
      </c>
      <c r="AD142" s="230">
        <f>(INDEX(Models!$BJ142:$BT142,,AH142)*(1-AF142)+INDEX(Models!$BJ142:$BT142,,AH142+1)*AF142-ERP_i)*AE142*Ramure*Pc/MaxiM</f>
        <v>3.261508619675184E-4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'2024'!Wh/'2024'!Env_an*'2025'!Env_an</f>
        <v>55.46113230091737</v>
      </c>
      <c r="C143" s="829"/>
      <c r="D143" s="391">
        <f t="shared" ref="D143:D206" si="50">Wh/(1-Ppv)</f>
        <v>57.966060701975721</v>
      </c>
      <c r="E143" s="383">
        <f t="shared" si="47"/>
        <v>60.169713111492015</v>
      </c>
      <c r="F143" s="383">
        <f t="shared" ref="F143:F206" si="51">Wh_sa/(1-Pvg*MEDIAN((-Sdif+Wh/Env_an)/Csdif,0,1))</f>
        <v>60.187737624845155</v>
      </c>
      <c r="G143" s="110">
        <f t="shared" si="48"/>
        <v>0.94867637691295148</v>
      </c>
      <c r="H143" s="412" t="b">
        <f>Wh_hp&gt;='2024'!Maxi_hp</f>
        <v>0</v>
      </c>
      <c r="I143" s="388">
        <f>IF(H143,Wh_hp,'2024'!Maxi_hp)</f>
        <v>60.188657093420851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4.3213707654502942E-2</v>
      </c>
      <c r="M143" s="832"/>
      <c r="N143" s="832"/>
      <c r="O143" s="48">
        <f>IF(t&lt;Tnet,'2024'!Resal+('2024'!Salim-'2024'!Resal)*(1-EXP(('2024'!Tnet-t)/('2024'!Tau_j))),Resal+(Salim-Resal)*(1-EXP((Tnet-t)/(Tau_j))))*Salcycl</f>
        <v>3.662394742406392E-2</v>
      </c>
      <c r="P143" s="169">
        <f>(INDEX(Models!$BJ143:$BT143,,T143)*(1-R143)+INDEX(Models!$BJ143:$BT143,,T143+1)*R143-ERP_i)*Q143*Ramure*Pc/MaxiM</f>
        <v>3.2315467239763342E-4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58.460208099142662</v>
      </c>
      <c r="W143" s="400">
        <f t="shared" ref="W143:W206" si="59">Wh*(A143&gt;Tmaj)</f>
        <v>55.46113230091737</v>
      </c>
      <c r="X143" s="157">
        <f t="shared" ref="X143:X206" si="60">t</f>
        <v>45786</v>
      </c>
      <c r="Y143" s="383">
        <f t="shared" ref="Y143:Y206" si="61">Wh_pvt_s*(1-Ppv)</f>
        <v>53.642190618602932</v>
      </c>
      <c r="Z143" s="383">
        <f t="shared" ref="Z143:Z206" si="62">Wh_sa_s*(1-Psa_s)</f>
        <v>56.0649656540362</v>
      </c>
      <c r="AA143" s="384">
        <f t="shared" ref="AA143:AA206" si="63">Wh_hp*(1-Pvg_s*MEDIAN((-Sdif+Wh/Env_an)/Csdif,0,1))</f>
        <v>60.169713111492015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6.8219495244224951E-2</v>
      </c>
      <c r="AD143" s="230">
        <f>(INDEX(Models!$BJ143:$BT143,,AH143)*(1-AF143)+INDEX(Models!$BJ143:$BT143,,AH143+1)*AF143-ERP_i)*AE143*Ramure*Pc/MaxiM</f>
        <v>3.2315467239763342E-4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'2024'!Wh/'2024'!Env_an*'2025'!Env_an</f>
        <v>51.80714294191057</v>
      </c>
      <c r="C144" s="829"/>
      <c r="D144" s="391">
        <f t="shared" si="50"/>
        <v>54.148074912330031</v>
      </c>
      <c r="E144" s="383">
        <f t="shared" ref="E144:E169" si="72">Wh_pvt/(1-Psa)</f>
        <v>56.21137120084439</v>
      </c>
      <c r="F144" s="383">
        <f t="shared" si="51"/>
        <v>56.226430898381317</v>
      </c>
      <c r="G144" s="110">
        <f t="shared" ref="G144:G169" si="73">+Wh_hp/MaxiM</f>
        <v>0.88526483409515866</v>
      </c>
      <c r="H144" s="412" t="b">
        <f>Wh_hp&gt;='2024'!Maxi_hp</f>
        <v>0</v>
      </c>
      <c r="I144" s="388">
        <f>IF(H144,Wh_hp,'2024'!Maxi_hp)</f>
        <v>56.228332022395691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4.3232044245517742E-2</v>
      </c>
      <c r="M144" s="832"/>
      <c r="N144" s="832"/>
      <c r="O144" s="48">
        <f>IF(t&lt;Tnet,'2024'!Resal+('2024'!Salim-'2024'!Resal)*(1-EXP(('2024'!Tnet-t)/('2024'!Tau_j))),Resal+(Salim-Resal)*(1-EXP((Tnet-t)/(Tau_j))))*Salcycl</f>
        <v>3.6706030193466695E-2</v>
      </c>
      <c r="P144" s="169">
        <f>(INDEX(Models!$BJ144:$BT144,,T144)*(1-R144)+INDEX(Models!$BJ144:$BT144,,T144+1)*R144-ERP_i)*Q144*Ramure*Pc/MaxiM</f>
        <v>3.2032206631178424E-4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58.518559962895687</v>
      </c>
      <c r="W144" s="400">
        <f t="shared" si="59"/>
        <v>51.80714294191057</v>
      </c>
      <c r="X144" s="157">
        <f t="shared" si="60"/>
        <v>45787</v>
      </c>
      <c r="Y144" s="383">
        <f t="shared" si="61"/>
        <v>50.10839337104035</v>
      </c>
      <c r="Z144" s="383">
        <f t="shared" si="62"/>
        <v>52.372566482461444</v>
      </c>
      <c r="AA144" s="384">
        <f t="shared" si="63"/>
        <v>56.21137120084439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6.8292315885104815E-2</v>
      </c>
      <c r="AD144" s="230">
        <f>(INDEX(Models!$BJ144:$BT144,,AH144)*(1-AF144)+INDEX(Models!$BJ144:$BT144,,AH144+1)*AF144-ERP_i)*AE144*Ramure*Pc/MaxiM</f>
        <v>3.2032206631178424E-4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'2024'!Wh/'2024'!Env_an*'2025'!Env_an</f>
        <v>55.865238646519764</v>
      </c>
      <c r="C145" s="829"/>
      <c r="D145" s="391">
        <f t="shared" si="50"/>
        <v>58.390656768534697</v>
      </c>
      <c r="E145" s="383">
        <f t="shared" si="72"/>
        <v>60.620805749569698</v>
      </c>
      <c r="F145" s="383">
        <f t="shared" si="51"/>
        <v>60.638795654712148</v>
      </c>
      <c r="G145" s="110">
        <f t="shared" si="73"/>
        <v>0.95375297905699508</v>
      </c>
      <c r="H145" s="412" t="b">
        <f>Wh_hp&gt;='2024'!Maxi_hp</f>
        <v>0</v>
      </c>
      <c r="I145" s="388">
        <f>IF(H145,Wh_hp,'2024'!Maxi_hp)</f>
        <v>60.639614204775107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4.3250380485115869E-2</v>
      </c>
      <c r="M145" s="832"/>
      <c r="N145" s="832"/>
      <c r="O145" s="48">
        <f>IF(t&lt;Tnet,'2024'!Resal+('2024'!Salim-'2024'!Resal)*(1-EXP(('2024'!Tnet-t)/('2024'!Tau_j))),Resal+(Salim-Resal)*(1-EXP((Tnet-t)/(Tau_j))))*Salcycl</f>
        <v>3.6788507731948646E-2</v>
      </c>
      <c r="P145" s="169">
        <f>(INDEX(Models!$BJ145:$BT145,,T145)*(1-R145)+INDEX(Models!$BJ145:$BT145,,T145+1)*R145-ERP_i)*Q145*Ramure*Pc/MaxiM</f>
        <v>3.1765037356662593E-4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58.572887980698496</v>
      </c>
      <c r="W145" s="400">
        <f t="shared" si="59"/>
        <v>55.865238646519764</v>
      </c>
      <c r="X145" s="157">
        <f t="shared" si="60"/>
        <v>45788</v>
      </c>
      <c r="Y145" s="383">
        <f t="shared" si="61"/>
        <v>54.033786835513268</v>
      </c>
      <c r="Z145" s="383">
        <f t="shared" si="62"/>
        <v>56.476413194614985</v>
      </c>
      <c r="AA145" s="384">
        <f t="shared" si="63"/>
        <v>60.620805749569698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6.8365844097744211E-2</v>
      </c>
      <c r="AD145" s="230">
        <f>(INDEX(Models!$BJ145:$BT145,,AH145)*(1-AF145)+INDEX(Models!$BJ145:$BT145,,AH145+1)*AF145-ERP_i)*AE145*Ramure*Pc/MaxiM</f>
        <v>3.1765037356662593E-4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'2024'!Wh/'2024'!Env_an*'2025'!Env_an</f>
        <v>41.65108526674031</v>
      </c>
      <c r="C146" s="829"/>
      <c r="D146" s="391">
        <f t="shared" si="50"/>
        <v>43.534779283952034</v>
      </c>
      <c r="E146" s="383">
        <f t="shared" si="72"/>
        <v>45.201417158220444</v>
      </c>
      <c r="F146" s="383">
        <f t="shared" si="51"/>
        <v>45.209771832581886</v>
      </c>
      <c r="G146" s="110">
        <f t="shared" si="73"/>
        <v>0.71039063252583479</v>
      </c>
      <c r="H146" s="412" t="b">
        <f>Wh_hp&gt;='2024'!Maxi_hp</f>
        <v>0</v>
      </c>
      <c r="I146" s="388">
        <f>IF(H146,Wh_hp,'2024'!Maxi_hp)</f>
        <v>56.127004376201441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4.3268716373304317E-2</v>
      </c>
      <c r="M146" s="832"/>
      <c r="N146" s="832"/>
      <c r="O146" s="48">
        <f>IF(t&lt;Tnet,'2024'!Resal+('2024'!Salim-'2024'!Resal)*(1-EXP(('2024'!Tnet-t)/('2024'!Tau_j))),Resal+(Salim-Resal)*(1-EXP((Tnet-t)/(Tau_j))))*Salcycl</f>
        <v>3.687136331223001E-2</v>
      </c>
      <c r="P146" s="169">
        <f>(INDEX(Models!$BJ146:$BT146,,T146)*(1-R146)+INDEX(Models!$BJ146:$BT146,,T146+1)*R146-ERP_i)*Q146*Ramure*Pc/MaxiM</f>
        <v>3.1513729870220756E-4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58.623598879732235</v>
      </c>
      <c r="W146" s="400">
        <f t="shared" si="59"/>
        <v>41.65108526674031</v>
      </c>
      <c r="X146" s="157">
        <f t="shared" si="60"/>
        <v>45789</v>
      </c>
      <c r="Y146" s="383">
        <f t="shared" si="61"/>
        <v>40.285878311315763</v>
      </c>
      <c r="Z146" s="383">
        <f t="shared" si="62"/>
        <v>42.107830067606315</v>
      </c>
      <c r="AA146" s="384">
        <f t="shared" si="63"/>
        <v>45.201417158220444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6.8440046465479437E-2</v>
      </c>
      <c r="AD146" s="230">
        <f>(INDEX(Models!$BJ146:$BT146,,AH146)*(1-AF146)+INDEX(Models!$BJ146:$BT146,,AH146+1)*AF146-ERP_i)*AE146*Ramure*Pc/MaxiM</f>
        <v>3.1513729870220756E-4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'2024'!Wh/'2024'!Env_an*'2025'!Env_an</f>
        <v>43.626850726131082</v>
      </c>
      <c r="C147" s="829"/>
      <c r="D147" s="391">
        <f t="shared" si="50"/>
        <v>45.600773788243004</v>
      </c>
      <c r="E147" s="383">
        <f t="shared" si="72"/>
        <v>47.350595089976345</v>
      </c>
      <c r="F147" s="383">
        <f t="shared" si="51"/>
        <v>47.359982135717175</v>
      </c>
      <c r="G147" s="110">
        <f t="shared" si="73"/>
        <v>0.74349810603600885</v>
      </c>
      <c r="H147" s="412" t="b">
        <f>Wh_hp&gt;='2024'!Maxi_hp</f>
        <v>0</v>
      </c>
      <c r="I147" s="388">
        <f>IF(H147,Wh_hp,'2024'!Maxi_hp)</f>
        <v>64.735176440204555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4.3287051910089525E-2</v>
      </c>
      <c r="M147" s="832"/>
      <c r="N147" s="832"/>
      <c r="O147" s="48">
        <f>IF(t&lt;Tnet,'2024'!Resal+('2024'!Salim-'2024'!Resal)*(1-EXP(('2024'!Tnet-t)/('2024'!Tau_j))),Resal+(Salim-Resal)*(1-EXP((Tnet-t)/(Tau_j))))*Salcycl</f>
        <v>3.6954578889838718E-2</v>
      </c>
      <c r="P147" s="169">
        <f>(INDEX(Models!$BJ147:$BT147,,T147)*(1-R147)+INDEX(Models!$BJ147:$BT147,,T147+1)*R147-ERP_i)*Q147*Ramure*Pc/MaxiM</f>
        <v>3.1278090967505579E-4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58.671099294888947</v>
      </c>
      <c r="W147" s="400">
        <f t="shared" si="59"/>
        <v>43.626850726131082</v>
      </c>
      <c r="X147" s="157">
        <f t="shared" si="60"/>
        <v>45790</v>
      </c>
      <c r="Y147" s="383">
        <f t="shared" si="61"/>
        <v>42.197139485722033</v>
      </c>
      <c r="Z147" s="383">
        <f t="shared" si="62"/>
        <v>44.106374404118974</v>
      </c>
      <c r="AA147" s="384">
        <f t="shared" si="63"/>
        <v>47.350595089976345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6.8514887293235724E-2</v>
      </c>
      <c r="AD147" s="230">
        <f>(INDEX(Models!$BJ147:$BT147,,AH147)*(1-AF147)+INDEX(Models!$BJ147:$BT147,,AH147+1)*AF147-ERP_i)*AE147*Ramure*Pc/MaxiM</f>
        <v>3.1278090967505579E-4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'2024'!Wh/'2024'!Env_an*'2025'!Env_an</f>
        <v>49.713822862167113</v>
      </c>
      <c r="C148" s="829"/>
      <c r="D148" s="391">
        <f t="shared" si="50"/>
        <v>51.964150515320782</v>
      </c>
      <c r="E148" s="383">
        <f t="shared" si="72"/>
        <v>53.962833223263473</v>
      </c>
      <c r="F148" s="383">
        <f t="shared" si="51"/>
        <v>53.975925425645947</v>
      </c>
      <c r="G148" s="110">
        <f t="shared" si="73"/>
        <v>0.84662806138786029</v>
      </c>
      <c r="H148" s="412" t="b">
        <f>Wh_hp&gt;='2024'!Maxi_hp</f>
        <v>0</v>
      </c>
      <c r="I148" s="388">
        <f>IF(H148,Wh_hp,'2024'!Maxi_hp)</f>
        <v>63.17753058579234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4.3305387095478376E-2</v>
      </c>
      <c r="M148" s="832"/>
      <c r="N148" s="832"/>
      <c r="O148" s="48">
        <f>IF(t&lt;Tnet,'2024'!Resal+('2024'!Salim-'2024'!Resal)*(1-EXP(('2024'!Tnet-t)/('2024'!Tau_j))),Resal+(Salim-Resal)*(1-EXP((Tnet-t)/(Tau_j))))*Salcycl</f>
        <v>3.7038135111872809E-2</v>
      </c>
      <c r="P148" s="169">
        <f>(INDEX(Models!$BJ148:$BT148,,T148)*(1-R148)+INDEX(Models!$BJ148:$BT148,,T148+1)*R148-ERP_i)*Q148*Ramure*Pc/MaxiM</f>
        <v>3.1057962636357489E-4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58.715795767651777</v>
      </c>
      <c r="W148" s="400">
        <f t="shared" si="59"/>
        <v>49.713822862167113</v>
      </c>
      <c r="X148" s="157">
        <f t="shared" si="60"/>
        <v>45791</v>
      </c>
      <c r="Y148" s="383">
        <f t="shared" si="61"/>
        <v>48.084910838777951</v>
      </c>
      <c r="Z148" s="383">
        <f t="shared" si="62"/>
        <v>50.261504758339051</v>
      </c>
      <c r="AA148" s="384">
        <f t="shared" si="63"/>
        <v>53.962833223263473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6.8590328636206024E-2</v>
      </c>
      <c r="AD148" s="230">
        <f>(INDEX(Models!$BJ148:$BT148,,AH148)*(1-AF148)+INDEX(Models!$BJ148:$BT148,,AH148+1)*AF148-ERP_i)*AE148*Ramure*Pc/MaxiM</f>
        <v>3.1057962636357489E-4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'2024'!Wh/'2024'!Env_an*'2025'!Env_an</f>
        <v>52.316039248632727</v>
      </c>
      <c r="C149" s="829"/>
      <c r="D149" s="391">
        <f t="shared" si="50"/>
        <v>54.685205902822844</v>
      </c>
      <c r="E149" s="383">
        <f t="shared" si="72"/>
        <v>56.793494655002519</v>
      </c>
      <c r="F149" s="383">
        <f t="shared" si="51"/>
        <v>56.808277572631667</v>
      </c>
      <c r="G149" s="110">
        <f t="shared" si="73"/>
        <v>0.89034202899404824</v>
      </c>
      <c r="H149" s="412" t="b">
        <f>Wh_hp&gt;='2024'!Maxi_hp</f>
        <v>0</v>
      </c>
      <c r="I149" s="388">
        <f>IF(H149,Wh_hp,'2024'!Maxi_hp)</f>
        <v>63.749746861981109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4.3323721929477532E-2</v>
      </c>
      <c r="M149" s="832"/>
      <c r="N149" s="832"/>
      <c r="O149" s="48">
        <f>IF(t&lt;Tnet,'2024'!Resal+('2024'!Salim-'2024'!Resal)*(1-EXP(('2024'!Tnet-t)/('2024'!Tau_j))),Resal+(Salim-Resal)*(1-EXP((Tnet-t)/(Tau_j))))*Salcycl</f>
        <v>3.7122011332225105E-2</v>
      </c>
      <c r="P149" s="169">
        <f>(INDEX(Models!$BJ149:$BT149,,T149)*(1-R149)+INDEX(Models!$BJ149:$BT149,,T149+1)*R149-ERP_i)*Q149*Ramure*Pc/MaxiM</f>
        <v>3.0853981658075476E-4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58.75664546001935</v>
      </c>
      <c r="W149" s="400">
        <f t="shared" si="59"/>
        <v>52.316039248632727</v>
      </c>
      <c r="X149" s="157">
        <f t="shared" si="60"/>
        <v>45792</v>
      </c>
      <c r="Y149" s="383">
        <f t="shared" si="61"/>
        <v>50.602142108272524</v>
      </c>
      <c r="Z149" s="383">
        <f t="shared" si="62"/>
        <v>52.893693789846779</v>
      </c>
      <c r="AA149" s="384">
        <f t="shared" si="63"/>
        <v>56.793494655002519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6.8666330340216811E-2</v>
      </c>
      <c r="AD149" s="230">
        <f>(INDEX(Models!$BJ149:$BT149,,AH149)*(1-AF149)+INDEX(Models!$BJ149:$BT149,,AH149+1)*AF149-ERP_i)*AE149*Ramure*Pc/MaxiM</f>
        <v>3.0853981658075476E-4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'2024'!Wh/'2024'!Env_an*'2025'!Env_an</f>
        <v>50.750772435437675</v>
      </c>
      <c r="C150" s="829"/>
      <c r="D150" s="391">
        <f t="shared" si="50"/>
        <v>53.050071632812653</v>
      </c>
      <c r="E150" s="383">
        <f t="shared" si="72"/>
        <v>55.100137580049918</v>
      </c>
      <c r="F150" s="383">
        <f t="shared" si="51"/>
        <v>55.113736188733171</v>
      </c>
      <c r="G150" s="110">
        <f t="shared" si="73"/>
        <v>0.86316715454551063</v>
      </c>
      <c r="H150" s="412" t="b">
        <f>Wh_hp&gt;='2024'!Maxi_hp</f>
        <v>0</v>
      </c>
      <c r="I150" s="388">
        <f>IF(H150,Wh_hp,'2024'!Maxi_hp)</f>
        <v>55.11584961334696</v>
      </c>
      <c r="J150" s="85">
        <f>IF(H150,An,'2024'!An_max)</f>
        <v>2022</v>
      </c>
      <c r="K150" s="197">
        <f t="shared" si="52"/>
        <v>45793</v>
      </c>
      <c r="L150" s="147">
        <f>IF(t&lt;Tvie,1-EXP((T0-t)*PertePVj)+'2024'!Pspv,1-EXP((T0-t)*PertePVj)+Pspv)</f>
        <v>4.3342056412093766E-2</v>
      </c>
      <c r="M150" s="832"/>
      <c r="N150" s="832"/>
      <c r="O150" s="48">
        <f>IF(t&lt;Tnet,'2024'!Resal+('2024'!Salim-'2024'!Resal)*(1-EXP(('2024'!Tnet-t)/('2024'!Tau_j))),Resal+(Salim-Resal)*(1-EXP((Tnet-t)/(Tau_j))))*Salcycl</f>
        <v>3.7206185633546066E-2</v>
      </c>
      <c r="P150" s="169">
        <f>(INDEX(Models!$BJ150:$BT150,,T150)*(1-R150)+INDEX(Models!$BJ150:$BT150,,T150+1)*R150-ERP_i)*Q150*Ramure*Pc/MaxiM</f>
        <v>3.0665881212632953E-4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58.792471828104844</v>
      </c>
      <c r="W150" s="400">
        <f t="shared" si="59"/>
        <v>50.750772435437675</v>
      </c>
      <c r="X150" s="157">
        <f t="shared" si="60"/>
        <v>45793</v>
      </c>
      <c r="Y150" s="383">
        <f t="shared" si="61"/>
        <v>49.088412273237694</v>
      </c>
      <c r="Z150" s="383">
        <f t="shared" si="62"/>
        <v>51.312397082214801</v>
      </c>
      <c r="AA150" s="384">
        <f t="shared" si="63"/>
        <v>55.100137580049918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6.8742850094199101E-2</v>
      </c>
      <c r="AD150" s="230">
        <f>(INDEX(Models!$BJ150:$BT150,,AH150)*(1-AF150)+INDEX(Models!$BJ150:$BT150,,AH150+1)*AF150-ERP_i)*AE150*Ramure*Pc/MaxiM</f>
        <v>3.0665881212632953E-4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'2024'!Wh/'2024'!Env_an*'2025'!Env_an</f>
        <v>54.127197352913115</v>
      </c>
      <c r="C151" s="829"/>
      <c r="D151" s="391">
        <f t="shared" si="50"/>
        <v>56.580552193166298</v>
      </c>
      <c r="E151" s="383">
        <f t="shared" si="72"/>
        <v>58.772205030656792</v>
      </c>
      <c r="F151" s="383">
        <f t="shared" si="51"/>
        <v>58.78807548321727</v>
      </c>
      <c r="G151" s="110">
        <f t="shared" si="73"/>
        <v>0.92013093671433865</v>
      </c>
      <c r="H151" s="412" t="b">
        <f>Wh_hp&gt;='2024'!Maxi_hp</f>
        <v>0</v>
      </c>
      <c r="I151" s="388">
        <f>IF(H151,Wh_hp,'2024'!Maxi_hp)</f>
        <v>58.789381900861969</v>
      </c>
      <c r="J151" s="85">
        <f>IF(H151,An,'2024'!An_max)</f>
        <v>2022</v>
      </c>
      <c r="K151" s="197">
        <f t="shared" si="52"/>
        <v>45794</v>
      </c>
      <c r="L151" s="147">
        <f>IF(t&lt;Tvie,1-EXP((T0-t)*PertePVj)+'2024'!Pspv,1-EXP((T0-t)*PertePVj)+Pspv)</f>
        <v>4.336039054333396E-2</v>
      </c>
      <c r="M151" s="832"/>
      <c r="N151" s="832"/>
      <c r="O151" s="48">
        <f>IF(t&lt;Tnet,'2024'!Resal+('2024'!Salim-'2024'!Resal)*(1-EXP(('2024'!Tnet-t)/('2024'!Tau_j))),Resal+(Salim-Resal)*(1-EXP((Tnet-t)/(Tau_j))))*Salcycl</f>
        <v>3.7290634856175384E-2</v>
      </c>
      <c r="P151" s="169">
        <f>(INDEX(Models!$BJ151:$BT151,,T151)*(1-R151)+INDEX(Models!$BJ151:$BT151,,T151+1)*R151-ERP_i)*Q151*Ramure*Pc/MaxiM</f>
        <v>3.0471393055710817E-4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58.823493020667591</v>
      </c>
      <c r="W151" s="400">
        <f t="shared" si="59"/>
        <v>54.127197352913115</v>
      </c>
      <c r="X151" s="157">
        <f t="shared" si="60"/>
        <v>45794</v>
      </c>
      <c r="Y151" s="383">
        <f t="shared" si="61"/>
        <v>52.354504824753299</v>
      </c>
      <c r="Z151" s="383">
        <f t="shared" si="62"/>
        <v>54.727511078585401</v>
      </c>
      <c r="AA151" s="384">
        <f t="shared" si="63"/>
        <v>58.772205030656792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6.8819843495094263E-2</v>
      </c>
      <c r="AD151" s="230">
        <f>(INDEX(Models!$BJ151:$BT151,,AH151)*(1-AF151)+INDEX(Models!$BJ151:$BT151,,AH151+1)*AF151-ERP_i)*AE151*Ramure*Pc/MaxiM</f>
        <v>3.0471393055710817E-4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'2024'!Wh/'2024'!Env_an*'2025'!Env_an</f>
        <v>52.352148152248397</v>
      </c>
      <c r="C152" s="829"/>
      <c r="D152" s="391">
        <f t="shared" si="50"/>
        <v>54.726096401326664</v>
      </c>
      <c r="E152" s="383">
        <f t="shared" si="72"/>
        <v>56.850918504702847</v>
      </c>
      <c r="F152" s="383">
        <f t="shared" si="51"/>
        <v>56.86541651307833</v>
      </c>
      <c r="G152" s="110">
        <f t="shared" si="73"/>
        <v>0.88954501253170148</v>
      </c>
      <c r="H152" s="412" t="b">
        <f>Wh_hp&gt;='2024'!Maxi_hp</f>
        <v>0</v>
      </c>
      <c r="I152" s="388">
        <f>IF(H152,Wh_hp,'2024'!Maxi_hp)</f>
        <v>65.112138934007149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4.3378724323204554E-2</v>
      </c>
      <c r="M152" s="832"/>
      <c r="N152" s="832"/>
      <c r="O152" s="48">
        <f>IF(t&lt;Tnet,'2024'!Resal+('2024'!Salim-'2024'!Resal)*(1-EXP(('2024'!Tnet-t)/('2024'!Tau_j))),Resal+(Salim-Resal)*(1-EXP((Tnet-t)/(Tau_j))))*Salcycl</f>
        <v>3.7375334634222546E-2</v>
      </c>
      <c r="P152" s="169">
        <f>(INDEX(Models!$BJ152:$BT152,,T152)*(1-R152)+INDEX(Models!$BJ152:$BT152,,T152+1)*R152-ERP_i)*Q152*Ramure*Pc/MaxiM</f>
        <v>3.0269824063214611E-4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58.849914519518755</v>
      </c>
      <c r="W152" s="400">
        <f t="shared" si="59"/>
        <v>52.352148152248397</v>
      </c>
      <c r="X152" s="157">
        <f t="shared" si="60"/>
        <v>45795</v>
      </c>
      <c r="Y152" s="383">
        <f t="shared" si="61"/>
        <v>50.637834378518733</v>
      </c>
      <c r="Z152" s="383">
        <f t="shared" si="62"/>
        <v>52.934045756710994</v>
      </c>
      <c r="AA152" s="384">
        <f t="shared" si="63"/>
        <v>56.850918504702847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6.8897264125430693E-2</v>
      </c>
      <c r="AD152" s="230">
        <f>(INDEX(Models!$BJ152:$BT152,,AH152)*(1-AF152)+INDEX(Models!$BJ152:$BT152,,AH152+1)*AF152-ERP_i)*AE152*Ramure*Pc/MaxiM</f>
        <v>3.0269824063214611E-4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'2024'!Wh/'2024'!Env_an*'2025'!Env_an</f>
        <v>55.034485695214833</v>
      </c>
      <c r="C153" s="829"/>
      <c r="D153" s="391">
        <f t="shared" si="50"/>
        <v>57.531169166036882</v>
      </c>
      <c r="E153" s="383">
        <f t="shared" si="72"/>
        <v>59.770175444913278</v>
      </c>
      <c r="F153" s="383">
        <f t="shared" si="51"/>
        <v>59.786474010542719</v>
      </c>
      <c r="G153" s="110">
        <f t="shared" si="73"/>
        <v>0.93479071821675241</v>
      </c>
      <c r="H153" s="412" t="b">
        <f>Wh_hp&gt;='2024'!Maxi_hp</f>
        <v>0</v>
      </c>
      <c r="I153" s="388">
        <f>IF(H153,Wh_hp,'2024'!Maxi_hp)</f>
        <v>63.796579298765408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4.3397057751712542E-2</v>
      </c>
      <c r="M153" s="832"/>
      <c r="N153" s="832"/>
      <c r="O153" s="48">
        <f>IF(t&lt;Tnet,'2024'!Resal+('2024'!Salim-'2024'!Resal)*(1-EXP(('2024'!Tnet-t)/('2024'!Tau_j))),Resal+(Salim-Resal)*(1-EXP((Tnet-t)/(Tau_j))))*Salcycl</f>
        <v>3.746025943892297E-2</v>
      </c>
      <c r="P153" s="169">
        <f>(INDEX(Models!$BJ153:$BT153,,T153)*(1-R153)+INDEX(Models!$BJ153:$BT153,,T153+1)*R153-ERP_i)*Q153*Ramure*Pc/MaxiM</f>
        <v>3.0060486821154373E-4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58.871941794615978</v>
      </c>
      <c r="W153" s="400">
        <f t="shared" si="59"/>
        <v>55.034485695214833</v>
      </c>
      <c r="X153" s="157">
        <f t="shared" si="60"/>
        <v>45796</v>
      </c>
      <c r="Y153" s="383">
        <f t="shared" si="61"/>
        <v>53.232584985967627</v>
      </c>
      <c r="Z153" s="383">
        <f t="shared" si="62"/>
        <v>55.647523789604911</v>
      </c>
      <c r="AA153" s="384">
        <f t="shared" si="63"/>
        <v>59.770175444913278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6.8975063643706008E-2</v>
      </c>
      <c r="AD153" s="230">
        <f>(INDEX(Models!$BJ153:$BT153,,AH153)*(1-AF153)+INDEX(Models!$BJ153:$BT153,,AH153+1)*AF153-ERP_i)*AE153*Ramure*Pc/MaxiM</f>
        <v>3.0060486821154373E-4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'2024'!Wh/'2024'!Env_an*'2025'!Env_an</f>
        <v>49.108993364213866</v>
      </c>
      <c r="C154" s="829"/>
      <c r="D154" s="391">
        <f t="shared" si="50"/>
        <v>51.337846013188511</v>
      </c>
      <c r="E154" s="383">
        <f t="shared" si="72"/>
        <v>53.34053688000256</v>
      </c>
      <c r="F154" s="383">
        <f t="shared" si="51"/>
        <v>53.352681037447823</v>
      </c>
      <c r="G154" s="110">
        <f t="shared" si="73"/>
        <v>0.83385461921679693</v>
      </c>
      <c r="H154" s="412" t="b">
        <f>Wh_hp&gt;='2024'!Maxi_hp</f>
        <v>0</v>
      </c>
      <c r="I154" s="388">
        <f>IF(H154,Wh_hp,'2024'!Maxi_hp)</f>
        <v>63.305602398396879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4.3415390828864586E-2</v>
      </c>
      <c r="M154" s="832"/>
      <c r="N154" s="832"/>
      <c r="O154" s="48">
        <f>IF(t&lt;Tnet,'2024'!Resal+('2024'!Salim-'2024'!Resal)*(1-EXP(('2024'!Tnet-t)/('2024'!Tau_j))),Resal+(Salim-Resal)*(1-EXP((Tnet-t)/(Tau_j))))*Salcycl</f>
        <v>3.754538262933875E-2</v>
      </c>
      <c r="P154" s="169">
        <f>(INDEX(Models!$BJ154:$BT154,,T154)*(1-R154)+INDEX(Models!$BJ154:$BT154,,T154+1)*R154-ERP_i)*Q154*Ramure*Pc/MaxiM</f>
        <v>2.984270136690381E-4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58.889780302569328</v>
      </c>
      <c r="W154" s="400">
        <f t="shared" si="59"/>
        <v>49.108993364213866</v>
      </c>
      <c r="X154" s="157">
        <f t="shared" si="60"/>
        <v>45797</v>
      </c>
      <c r="Y154" s="383">
        <f t="shared" si="61"/>
        <v>47.501315695201086</v>
      </c>
      <c r="Z154" s="383">
        <f t="shared" si="62"/>
        <v>49.657202551439944</v>
      </c>
      <c r="AA154" s="384">
        <f t="shared" si="63"/>
        <v>53.34053688000256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6.9053191887603657E-2</v>
      </c>
      <c r="AD154" s="230">
        <f>(INDEX(Models!$BJ154:$BT154,,AH154)*(1-AF154)+INDEX(Models!$BJ154:$BT154,,AH154+1)*AF154-ERP_i)*AE154*Ramure*Pc/MaxiM</f>
        <v>2.984270136690381E-4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'2024'!Wh/'2024'!Env_an*'2025'!Env_an</f>
        <v>49.204578775874673</v>
      </c>
      <c r="C155" s="829"/>
      <c r="D155" s="391">
        <f t="shared" si="50"/>
        <v>51.43875546054408</v>
      </c>
      <c r="E155" s="383">
        <f t="shared" si="72"/>
        <v>53.450119621462214</v>
      </c>
      <c r="F155" s="383">
        <f t="shared" si="51"/>
        <v>53.462228456317838</v>
      </c>
      <c r="G155" s="110">
        <f t="shared" si="73"/>
        <v>0.83528206322023568</v>
      </c>
      <c r="H155" s="412" t="b">
        <f>Wh_hp&gt;='2024'!Maxi_hp</f>
        <v>0</v>
      </c>
      <c r="I155" s="388">
        <f>IF(H155,Wh_hp,'2024'!Maxi_hp)</f>
        <v>61.653025263591708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4.3433723554667347E-2</v>
      </c>
      <c r="M155" s="832"/>
      <c r="N155" s="832"/>
      <c r="O155" s="48">
        <f>IF(t&lt;Tnet,'2024'!Resal+('2024'!Salim-'2024'!Resal)*(1-EXP(('2024'!Tnet-t)/('2024'!Tau_j))),Resal+(Salim-Resal)*(1-EXP((Tnet-t)/(Tau_j))))*Salcycl</f>
        <v>3.7630676510413234E-2</v>
      </c>
      <c r="P155" s="169">
        <f>(INDEX(Models!$BJ155:$BT155,,T155)*(1-R155)+INDEX(Models!$BJ155:$BT155,,T155+1)*R155-ERP_i)*Q155*Ramure*Pc/MaxiM</f>
        <v>2.9615797032345035E-4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58.903635482509586</v>
      </c>
      <c r="W155" s="400">
        <f t="shared" si="59"/>
        <v>49.204578775874673</v>
      </c>
      <c r="X155" s="157">
        <f t="shared" si="60"/>
        <v>45798</v>
      </c>
      <c r="Y155" s="383">
        <f t="shared" si="61"/>
        <v>47.593981383152041</v>
      </c>
      <c r="Z155" s="383">
        <f t="shared" si="62"/>
        <v>49.755027492725972</v>
      </c>
      <c r="AA155" s="384">
        <f t="shared" si="63"/>
        <v>53.450119621462214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6.9131596989963129E-2</v>
      </c>
      <c r="AD155" s="230">
        <f>(INDEX(Models!$BJ155:$BT155,,AH155)*(1-AF155)+INDEX(Models!$BJ155:$BT155,,AH155+1)*AF155-ERP_i)*AE155*Ramure*Pc/MaxiM</f>
        <v>2.9615797032345035E-4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'2024'!Wh/'2024'!Env_an*'2025'!Env_an</f>
        <v>37.37605408045242</v>
      </c>
      <c r="C156" s="829"/>
      <c r="D156" s="391">
        <f t="shared" si="50"/>
        <v>39.073895158237001</v>
      </c>
      <c r="E156" s="383">
        <f t="shared" si="72"/>
        <v>40.605371929921752</v>
      </c>
      <c r="F156" s="383">
        <f t="shared" si="51"/>
        <v>40.611074289982703</v>
      </c>
      <c r="G156" s="110">
        <f t="shared" si="73"/>
        <v>0.63432295977575759</v>
      </c>
      <c r="H156" s="412" t="b">
        <f>Wh_hp&gt;='2024'!Maxi_hp</f>
        <v>0</v>
      </c>
      <c r="I156" s="388">
        <f>IF(H156,Wh_hp,'2024'!Maxi_hp)</f>
        <v>60.757180610940942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4.3452055929127487E-2</v>
      </c>
      <c r="M156" s="832"/>
      <c r="N156" s="832"/>
      <c r="O156" s="48">
        <f>IF(t&lt;Tnet,'2024'!Resal+('2024'!Salim-'2024'!Resal)*(1-EXP(('2024'!Tnet-t)/('2024'!Tau_j))),Resal+(Salim-Resal)*(1-EXP((Tnet-t)/(Tau_j))))*Salcycl</f>
        <v>3.7716112398325827E-2</v>
      </c>
      <c r="P156" s="169">
        <f>(INDEX(Models!$BJ156:$BT156,,T156)*(1-R156)+INDEX(Models!$BJ156:$BT156,,T156+1)*R156-ERP_i)*Q156*Ramure*Pc/MaxiM</f>
        <v>2.9391076600416113E-4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58.91370569574481</v>
      </c>
      <c r="W156" s="400">
        <f t="shared" si="59"/>
        <v>37.37605408045242</v>
      </c>
      <c r="X156" s="157">
        <f t="shared" si="60"/>
        <v>45799</v>
      </c>
      <c r="Y156" s="383">
        <f t="shared" si="61"/>
        <v>36.152791704407612</v>
      </c>
      <c r="Z156" s="383">
        <f t="shared" si="62"/>
        <v>37.795064981843694</v>
      </c>
      <c r="AA156" s="384">
        <f t="shared" si="63"/>
        <v>40.605371929921752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6.9210225507309375E-2</v>
      </c>
      <c r="AD156" s="230">
        <f>(INDEX(Models!$BJ156:$BT156,,AH156)*(1-AF156)+INDEX(Models!$BJ156:$BT156,,AH156+1)*AF156-ERP_i)*AE156*Ramure*Pc/MaxiM</f>
        <v>2.9391076600416113E-4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'2024'!Wh/'2024'!Env_an*'2025'!Env_an</f>
        <v>19.734076501484175</v>
      </c>
      <c r="C157" s="829"/>
      <c r="D157" s="391">
        <f t="shared" si="50"/>
        <v>20.630910170399503</v>
      </c>
      <c r="E157" s="383">
        <f t="shared" si="72"/>
        <v>21.441431904007494</v>
      </c>
      <c r="F157" s="383">
        <f t="shared" si="51"/>
        <v>21.441743989920578</v>
      </c>
      <c r="G157" s="110">
        <f t="shared" si="73"/>
        <v>0.33483608119900427</v>
      </c>
      <c r="H157" s="412" t="b">
        <f>Wh_hp&gt;='2024'!Maxi_hp</f>
        <v>0</v>
      </c>
      <c r="I157" s="388">
        <f>IF(H157,Wh_hp,'2024'!Maxi_hp)</f>
        <v>57.940082195716684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4.3470387952251999E-2</v>
      </c>
      <c r="M157" s="832"/>
      <c r="N157" s="832"/>
      <c r="O157" s="48">
        <f>IF(t&lt;Tnet,'2024'!Resal+('2024'!Salim-'2024'!Resal)*(1-EXP(('2024'!Tnet-t)/('2024'!Tau_j))),Resal+(Salim-Resal)*(1-EXP((Tnet-t)/(Tau_j))))*Salcycl</f>
        <v>3.7801660693029697E-2</v>
      </c>
      <c r="P157" s="169">
        <f>(INDEX(Models!$BJ157:$BT157,,T157)*(1-R157)+INDEX(Models!$BJ157:$BT157,,T157+1)*R157-ERP_i)*Q157*Ramure*Pc/MaxiM</f>
        <v>2.9169375904437042E-4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58.920195443052719</v>
      </c>
      <c r="W157" s="400">
        <f t="shared" si="59"/>
        <v>19.734076501484175</v>
      </c>
      <c r="X157" s="157">
        <f t="shared" si="60"/>
        <v>45800</v>
      </c>
      <c r="Y157" s="383">
        <f t="shared" si="61"/>
        <v>19.088290718510645</v>
      </c>
      <c r="Z157" s="383">
        <f t="shared" si="62"/>
        <v>19.955776045078462</v>
      </c>
      <c r="AA157" s="384">
        <f t="shared" si="63"/>
        <v>21.441431904007494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6.9289022560632033E-2</v>
      </c>
      <c r="AD157" s="230">
        <f>(INDEX(Models!$BJ157:$BT157,,AH157)*(1-AF157)+INDEX(Models!$BJ157:$BT157,,AH157+1)*AF157-ERP_i)*AE157*Ramure*Pc/MaxiM</f>
        <v>2.9169375904437042E-4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'2024'!Wh/'2024'!Env_an*'2025'!Env_an</f>
        <v>16.31403599650713</v>
      </c>
      <c r="C158" s="829"/>
      <c r="D158" s="391">
        <f t="shared" si="50"/>
        <v>17.055769577641541</v>
      </c>
      <c r="E158" s="383">
        <f t="shared" si="72"/>
        <v>17.727413241033549</v>
      </c>
      <c r="F158" s="383">
        <f t="shared" si="51"/>
        <v>17.727413241033549</v>
      </c>
      <c r="G158" s="110">
        <f t="shared" si="73"/>
        <v>0.27678881337842504</v>
      </c>
      <c r="H158" s="412" t="b">
        <f>Wh_hp&gt;='2024'!Maxi_hp</f>
        <v>0</v>
      </c>
      <c r="I158" s="388">
        <f>IF(H158,Wh_hp,'2024'!Maxi_hp)</f>
        <v>27.39141049073487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4.3488719624047434E-2</v>
      </c>
      <c r="M158" s="832"/>
      <c r="N158" s="832"/>
      <c r="O158" s="48">
        <f>IF(t&lt;Tnet,'2024'!Resal+('2024'!Salim-'2024'!Resal)*(1-EXP(('2024'!Tnet-t)/('2024'!Tau_j))),Resal+(Salim-Resal)*(1-EXP((Tnet-t)/(Tau_j))))*Salcycl</f>
        <v>3.7887290957789366E-2</v>
      </c>
      <c r="P158" s="169">
        <f>(INDEX(Models!$BJ158:$BT158,,T158)*(1-R158)+INDEX(Models!$BJ158:$BT158,,T158+1)*R158-ERP_i)*Q158*Ramure*Pc/MaxiM</f>
        <v>2.8950339880734499E-4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58.92330990031676</v>
      </c>
      <c r="W158" s="400">
        <f t="shared" si="59"/>
        <v>16.31403599650713</v>
      </c>
      <c r="X158" s="157">
        <f t="shared" si="60"/>
        <v>45801</v>
      </c>
      <c r="Y158" s="383">
        <f t="shared" si="61"/>
        <v>15.780235428098599</v>
      </c>
      <c r="Z158" s="383">
        <f t="shared" si="62"/>
        <v>16.497699245006547</v>
      </c>
      <c r="AA158" s="384">
        <f t="shared" si="63"/>
        <v>17.727413241033549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6.9367931987989601E-2</v>
      </c>
      <c r="AD158" s="230">
        <f>(INDEX(Models!$BJ158:$BT158,,AH158)*(1-AF158)+INDEX(Models!$BJ158:$BT158,,AH158+1)*AF158-ERP_i)*AE158*Ramure*Pc/MaxiM</f>
        <v>2.8950339880734499E-4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'2024'!Wh/'2024'!Env_an*'2025'!Env_an</f>
        <v>41.037949419038483</v>
      </c>
      <c r="C159" s="829"/>
      <c r="D159" s="391">
        <f t="shared" si="50"/>
        <v>42.904602129647436</v>
      </c>
      <c r="E159" s="383">
        <f t="shared" si="72"/>
        <v>44.598125500785201</v>
      </c>
      <c r="F159" s="383">
        <f t="shared" si="51"/>
        <v>44.605384666619287</v>
      </c>
      <c r="G159" s="110">
        <f t="shared" si="73"/>
        <v>0.69637761950126675</v>
      </c>
      <c r="H159" s="412" t="b">
        <f>Wh_hp&gt;='2024'!Maxi_hp</f>
        <v>0</v>
      </c>
      <c r="I159" s="388">
        <f>IF(H159,Wh_hp,'2024'!Maxi_hp)</f>
        <v>59.825577923222795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4.3507050944520564E-2</v>
      </c>
      <c r="M159" s="832"/>
      <c r="N159" s="832"/>
      <c r="O159" s="48">
        <f>IF(t&lt;Tnet,'2024'!Resal+('2024'!Salim-'2024'!Resal)*(1-EXP(('2024'!Tnet-t)/('2024'!Tau_j))),Resal+(Salim-Resal)*(1-EXP((Tnet-t)/(Tau_j))))*Salcycl</f>
        <v>3.7972972005470187E-2</v>
      </c>
      <c r="P159" s="169">
        <f>(INDEX(Models!$BJ159:$BT159,,T159)*(1-R159)+INDEX(Models!$BJ159:$BT159,,T159+1)*R159-ERP_i)*Q159*Ramure*Pc/MaxiM</f>
        <v>2.8733812994911141E-4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58.923254086052545</v>
      </c>
      <c r="W159" s="400">
        <f t="shared" si="59"/>
        <v>41.037949419038483</v>
      </c>
      <c r="X159" s="157">
        <f t="shared" si="60"/>
        <v>45802</v>
      </c>
      <c r="Y159" s="383">
        <f t="shared" si="61"/>
        <v>39.695341275832448</v>
      </c>
      <c r="Z159" s="383">
        <f t="shared" si="62"/>
        <v>41.50092409466366</v>
      </c>
      <c r="AA159" s="384">
        <f t="shared" si="63"/>
        <v>44.598125500785201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6.9446896508397166E-2</v>
      </c>
      <c r="AD159" s="230">
        <f>(INDEX(Models!$BJ159:$BT159,,AH159)*(1-AF159)+INDEX(Models!$BJ159:$BT159,,AH159+1)*AF159-ERP_i)*AE159*Ramure*Pc/MaxiM</f>
        <v>2.8733812994911141E-4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'2024'!Wh/'2024'!Env_an*'2025'!Env_an</f>
        <v>24.946114227270854</v>
      </c>
      <c r="C160" s="829"/>
      <c r="D160" s="391">
        <f t="shared" si="50"/>
        <v>26.081313351714542</v>
      </c>
      <c r="E160" s="383">
        <f t="shared" si="72"/>
        <v>27.113205964135187</v>
      </c>
      <c r="F160" s="383">
        <f t="shared" si="51"/>
        <v>27.114569045037285</v>
      </c>
      <c r="G160" s="110">
        <f t="shared" si="73"/>
        <v>0.42328843930147009</v>
      </c>
      <c r="H160" s="412" t="b">
        <f>Wh_hp&gt;='2024'!Maxi_hp</f>
        <v>0</v>
      </c>
      <c r="I160" s="388">
        <f>IF(H160,Wh_hp,'2024'!Maxi_hp)</f>
        <v>62.596709791929555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4.3525381913678052E-2</v>
      </c>
      <c r="M160" s="832"/>
      <c r="N160" s="832"/>
      <c r="O160" s="48">
        <f>IF(t&lt;Tnet,'2024'!Resal+('2024'!Salim-'2024'!Resal)*(1-EXP(('2024'!Tnet-t)/('2024'!Tau_j))),Resal+(Salim-Resal)*(1-EXP((Tnet-t)/(Tau_j))))*Salcycl</f>
        <v>3.8058671991265544E-2</v>
      </c>
      <c r="P160" s="169">
        <f>(INDEX(Models!$BJ160:$BT160,,T160)*(1-R160)+INDEX(Models!$BJ160:$BT160,,T160+1)*R160-ERP_i)*Q160*Ramure*Pc/MaxiM</f>
        <v>2.8519661244639502E-4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58.920232966171277</v>
      </c>
      <c r="W160" s="400">
        <f t="shared" si="59"/>
        <v>24.946114227270854</v>
      </c>
      <c r="X160" s="157">
        <f t="shared" si="60"/>
        <v>45803</v>
      </c>
      <c r="Y160" s="383">
        <f t="shared" si="61"/>
        <v>24.130072758687941</v>
      </c>
      <c r="Z160" s="383">
        <f t="shared" si="62"/>
        <v>25.228137059158428</v>
      </c>
      <c r="AA160" s="384">
        <f t="shared" si="63"/>
        <v>27.113205964135187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6.9525857896343565E-2</v>
      </c>
      <c r="AD160" s="230">
        <f>(INDEX(Models!$BJ160:$BT160,,AH160)*(1-AF160)+INDEX(Models!$BJ160:$BT160,,AH160+1)*AF160-ERP_i)*AE160*Ramure*Pc/MaxiM</f>
        <v>2.8519661244639502E-4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'2024'!Wh/'2024'!Env_an*'2025'!Env_an</f>
        <v>45.928787020643512</v>
      </c>
      <c r="C161" s="829"/>
      <c r="D161" s="391">
        <f t="shared" si="50"/>
        <v>48.019744992431157</v>
      </c>
      <c r="E161" s="383">
        <f t="shared" si="72"/>
        <v>49.924066482698358</v>
      </c>
      <c r="F161" s="383">
        <f t="shared" si="51"/>
        <v>49.933750752688539</v>
      </c>
      <c r="G161" s="110">
        <f t="shared" si="73"/>
        <v>0.77951489360605875</v>
      </c>
      <c r="H161" s="412" t="b">
        <f>Wh_hp&gt;='2024'!Maxi_hp</f>
        <v>0</v>
      </c>
      <c r="I161" s="388">
        <f>IF(H161,Wh_hp,'2024'!Maxi_hp)</f>
        <v>62.270971233570506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4.3543712531526779E-2</v>
      </c>
      <c r="M161" s="832"/>
      <c r="N161" s="832"/>
      <c r="O161" s="48">
        <f>IF(t&lt;Tnet,'2024'!Resal+('2024'!Salim-'2024'!Resal)*(1-EXP(('2024'!Tnet-t)/('2024'!Tau_j))),Resal+(Salim-Resal)*(1-EXP((Tnet-t)/(Tau_j))))*Salcycl</f>
        <v>3.8144358511483921E-2</v>
      </c>
      <c r="P161" s="169">
        <f>(INDEX(Models!$BJ161:$BT161,,T161)*(1-R161)+INDEX(Models!$BJ161:$BT161,,T161+1)*R161-ERP_i)*Q161*Ramure*Pc/MaxiM</f>
        <v>2.8307772439705939E-4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58.914451442203998</v>
      </c>
      <c r="W161" s="400">
        <f t="shared" si="59"/>
        <v>45.928787020643512</v>
      </c>
      <c r="X161" s="157">
        <f t="shared" si="60"/>
        <v>45804</v>
      </c>
      <c r="Y161" s="383">
        <f t="shared" si="61"/>
        <v>44.426547092872674</v>
      </c>
      <c r="Z161" s="383">
        <f t="shared" si="62"/>
        <v>46.449113958422345</v>
      </c>
      <c r="AA161" s="384">
        <f t="shared" si="63"/>
        <v>49.924066482698358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6.9604757166171261E-2</v>
      </c>
      <c r="AD161" s="230">
        <f>(INDEX(Models!$BJ161:$BT161,,AH161)*(1-AF161)+INDEX(Models!$BJ161:$BT161,,AH161+1)*AF161-ERP_i)*AE161*Ramure*Pc/MaxiM</f>
        <v>2.8307772439705939E-4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'2024'!Wh/'2024'!Env_an*'2025'!Env_an</f>
        <v>55.242756785117976</v>
      </c>
      <c r="C162" s="829"/>
      <c r="D162" s="391">
        <f t="shared" si="50"/>
        <v>57.75885029357417</v>
      </c>
      <c r="E162" s="383">
        <f t="shared" si="72"/>
        <v>60.054743042495325</v>
      </c>
      <c r="F162" s="383">
        <f t="shared" si="51"/>
        <v>60.070122047453488</v>
      </c>
      <c r="G162" s="110">
        <f t="shared" si="73"/>
        <v>0.93778681586120838</v>
      </c>
      <c r="H162" s="412" t="b">
        <f>Wh_hp&gt;='2024'!Maxi_hp</f>
        <v>0</v>
      </c>
      <c r="I162" s="388">
        <f>IF(H162,Wh_hp,'2024'!Maxi_hp)</f>
        <v>61.405954695216622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4.3562042798073408E-2</v>
      </c>
      <c r="M162" s="832"/>
      <c r="N162" s="832"/>
      <c r="O162" s="48">
        <f>IF(t&lt;Tnet,'2024'!Resal+('2024'!Salim-'2024'!Resal)*(1-EXP(('2024'!Tnet-t)/('2024'!Tau_j))),Resal+(Salim-Resal)*(1-EXP((Tnet-t)/(Tau_j))))*Salcycl</f>
        <v>3.82299987079548E-2</v>
      </c>
      <c r="P162" s="169">
        <f>(INDEX(Models!$BJ162:$BT162,,T162)*(1-R162)+INDEX(Models!$BJ162:$BT162,,T162+1)*R162-ERP_i)*Q162*Ramure*Pc/MaxiM</f>
        <v>2.8098056422777118E-4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58.906114344381685</v>
      </c>
      <c r="W162" s="400">
        <f t="shared" si="59"/>
        <v>55.242756785117976</v>
      </c>
      <c r="X162" s="157">
        <f t="shared" si="60"/>
        <v>45805</v>
      </c>
      <c r="Y162" s="383">
        <f t="shared" si="61"/>
        <v>53.436108584278166</v>
      </c>
      <c r="Z162" s="383">
        <f t="shared" si="62"/>
        <v>55.869916267863616</v>
      </c>
      <c r="AA162" s="384">
        <f t="shared" si="63"/>
        <v>60.054743042495325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6.9683534765446919E-2</v>
      </c>
      <c r="AD162" s="230">
        <f>(INDEX(Models!$BJ162:$BT162,,AH162)*(1-AF162)+INDEX(Models!$BJ162:$BT162,,AH162+1)*AF162-ERP_i)*AE162*Ramure*Pc/MaxiM</f>
        <v>2.8098056422777118E-4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'2024'!Wh/'2024'!Env_an*'2025'!Env_an</f>
        <v>59.731144573311511</v>
      </c>
      <c r="C163" s="829"/>
      <c r="D163" s="391">
        <f t="shared" si="50"/>
        <v>62.452863648110615</v>
      </c>
      <c r="E163" s="383">
        <f t="shared" si="72"/>
        <v>64.941118947175781</v>
      </c>
      <c r="F163" s="383">
        <f t="shared" si="51"/>
        <v>64.959236791876066</v>
      </c>
      <c r="G163" s="110">
        <f t="shared" si="73"/>
        <v>1.0142136258336654</v>
      </c>
      <c r="H163" s="412" t="b">
        <f>Wh_hp&gt;='2024'!Maxi_hp</f>
        <v>1</v>
      </c>
      <c r="I163" s="388">
        <f>IF(H163,Wh_hp,'2024'!Maxi_hp)</f>
        <v>64.959236791876066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4.35803727133246E-2</v>
      </c>
      <c r="M163" s="832"/>
      <c r="N163" s="832"/>
      <c r="O163" s="48">
        <f>IF(t&lt;Tnet,'2024'!Resal+('2024'!Salim-'2024'!Resal)*(1-EXP(('2024'!Tnet-t)/('2024'!Tau_j))),Resal+(Salim-Resal)*(1-EXP((Tnet-t)/(Tau_j))))*Salcycl</f>
        <v>3.8315559377551822E-2</v>
      </c>
      <c r="P163" s="169">
        <f>(INDEX(Models!$BJ163:$BT163,,T163)*(1-R163)+INDEX(Models!$BJ163:$BT163,,T163+1)*R163-ERP_i)*Q163*Ramure*Pc/MaxiM</f>
        <v>2.7891098472001646E-4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58.894046630672705</v>
      </c>
      <c r="W163" s="400">
        <f t="shared" si="59"/>
        <v>59.731144573311511</v>
      </c>
      <c r="X163" s="157">
        <f t="shared" si="60"/>
        <v>45806</v>
      </c>
      <c r="Y163" s="383">
        <f t="shared" si="61"/>
        <v>57.777967810525759</v>
      </c>
      <c r="Z163" s="383">
        <f t="shared" si="62"/>
        <v>60.410688114420616</v>
      </c>
      <c r="AA163" s="384">
        <f t="shared" si="63"/>
        <v>64.941118947175781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6.9762130776346715E-2</v>
      </c>
      <c r="AD163" s="230">
        <f>(INDEX(Models!$BJ163:$BT163,,AH163)*(1-AF163)+INDEX(Models!$BJ163:$BT163,,AH163+1)*AF163-ERP_i)*AE163*Ramure*Pc/MaxiM</f>
        <v>2.7891098472001646E-4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'2024'!Wh/'2024'!Env_an*'2025'!Env_an</f>
        <v>50.681700049059046</v>
      </c>
      <c r="C164" s="829"/>
      <c r="D164" s="391">
        <f t="shared" si="50"/>
        <v>52.992086240093194</v>
      </c>
      <c r="E164" s="383">
        <f t="shared" si="72"/>
        <v>55.108300477231907</v>
      </c>
      <c r="F164" s="383">
        <f t="shared" si="51"/>
        <v>55.120528722661412</v>
      </c>
      <c r="G164" s="110">
        <f t="shared" si="73"/>
        <v>0.86075600201187441</v>
      </c>
      <c r="H164" s="412" t="b">
        <f>Wh_hp&gt;='2024'!Maxi_hp</f>
        <v>0</v>
      </c>
      <c r="I164" s="388">
        <f>IF(H164,Wh_hp,'2024'!Maxi_hp)</f>
        <v>59.25879141798292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4.3598702277287127E-2</v>
      </c>
      <c r="M164" s="832"/>
      <c r="N164" s="832"/>
      <c r="O164" s="48">
        <f>IF(t&lt;Tnet,'2024'!Resal+('2024'!Salim-'2024'!Resal)*(1-EXP(('2024'!Tnet-t)/('2024'!Tau_j))),Resal+(Salim-Resal)*(1-EXP((Tnet-t)/(Tau_j))))*Salcycl</f>
        <v>3.8401007086274253E-2</v>
      </c>
      <c r="P164" s="169">
        <f>(INDEX(Models!$BJ164:$BT164,,T164)*(1-R164)+INDEX(Models!$BJ164:$BT164,,T164+1)*R164-ERP_i)*Q164*Ramure*Pc/MaxiM</f>
        <v>2.7690969726331652E-4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58.87720627920514</v>
      </c>
      <c r="W164" s="400">
        <f t="shared" si="59"/>
        <v>50.681700049059046</v>
      </c>
      <c r="X164" s="157">
        <f t="shared" si="60"/>
        <v>45807</v>
      </c>
      <c r="Y164" s="383">
        <f t="shared" si="61"/>
        <v>49.024661920537142</v>
      </c>
      <c r="Z164" s="383">
        <f t="shared" si="62"/>
        <v>51.25951003754362</v>
      </c>
      <c r="AA164" s="384">
        <f t="shared" si="63"/>
        <v>55.108300477231907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6.9840485123986412E-2</v>
      </c>
      <c r="AD164" s="230">
        <f>(INDEX(Models!$BJ164:$BT164,,AH164)*(1-AF164)+INDEX(Models!$BJ164:$BT164,,AH164+1)*AF164-ERP_i)*AE164*Ramure*Pc/MaxiM</f>
        <v>2.7690969726331652E-4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'2024'!Wh/'2024'!Env_an*'2025'!Env_an</f>
        <v>54.941273355448971</v>
      </c>
      <c r="C165" s="829"/>
      <c r="D165" s="391">
        <f t="shared" si="50"/>
        <v>57.446938271018205</v>
      </c>
      <c r="E165" s="383">
        <f t="shared" si="72"/>
        <v>59.746354904930222</v>
      </c>
      <c r="F165" s="383">
        <f t="shared" si="51"/>
        <v>59.761226950157386</v>
      </c>
      <c r="G165" s="110">
        <f t="shared" si="73"/>
        <v>0.93346196677266013</v>
      </c>
      <c r="H165" s="412" t="b">
        <f>Wh_hp&gt;='2024'!Maxi_hp</f>
        <v>0</v>
      </c>
      <c r="I165" s="388">
        <f>IF(H165,Wh_hp,'2024'!Maxi_hp)</f>
        <v>62.682352866116169</v>
      </c>
      <c r="J165" s="85">
        <f>IF(H165,An,'2024'!An_max)</f>
        <v>2018</v>
      </c>
      <c r="K165" s="197">
        <f t="shared" si="52"/>
        <v>45808</v>
      </c>
      <c r="L165" s="147">
        <f>IF(t&lt;Tvie,1-EXP((T0-t)*PertePVj)+'2024'!Pspv,1-EXP((T0-t)*PertePVj)+Pspv)</f>
        <v>4.3617031489967761E-2</v>
      </c>
      <c r="M165" s="832"/>
      <c r="N165" s="832"/>
      <c r="O165" s="48">
        <f>IF(t&lt;Tnet,'2024'!Resal+('2024'!Salim-'2024'!Resal)*(1-EXP(('2024'!Tnet-t)/('2024'!Tau_j))),Resal+(Salim-Resal)*(1-EXP((Tnet-t)/(Tau_j))))*Salcycl</f>
        <v>3.8486308287273889E-2</v>
      </c>
      <c r="P165" s="169">
        <f>(INDEX(Models!$BJ165:$BT165,,T165)*(1-R165)+INDEX(Models!$BJ165:$BT165,,T165+1)*R165-ERP_i)*Q165*Ramure*Pc/MaxiM</f>
        <v>2.7498687216370504E-4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58.855999909137886</v>
      </c>
      <c r="W165" s="400">
        <f t="shared" si="59"/>
        <v>54.941273355448971</v>
      </c>
      <c r="X165" s="157">
        <f t="shared" si="60"/>
        <v>45808</v>
      </c>
      <c r="Y165" s="383">
        <f t="shared" si="61"/>
        <v>53.145223306245938</v>
      </c>
      <c r="Z165" s="383">
        <f t="shared" si="62"/>
        <v>55.568977131662983</v>
      </c>
      <c r="AA165" s="384">
        <f t="shared" si="63"/>
        <v>59.746354904930222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6.9918537790537652E-2</v>
      </c>
      <c r="AD165" s="230">
        <f>(INDEX(Models!$BJ165:$BT165,,AH165)*(1-AF165)+INDEX(Models!$BJ165:$BT165,,AH165+1)*AF165-ERP_i)*AE165*Ramure*Pc/MaxiM</f>
        <v>2.7498687216370504E-4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'2024'!Wh/'2024'!Env_an*'2025'!Env_an</f>
        <v>55.984687232359228</v>
      </c>
      <c r="C166" s="829"/>
      <c r="D166" s="391">
        <f t="shared" si="50"/>
        <v>58.539060219675513</v>
      </c>
      <c r="E166" s="383">
        <f t="shared" si="72"/>
        <v>60.887581264316154</v>
      </c>
      <c r="F166" s="383">
        <f t="shared" si="51"/>
        <v>60.903066793255114</v>
      </c>
      <c r="G166" s="110">
        <f t="shared" si="73"/>
        <v>0.95160353477720805</v>
      </c>
      <c r="H166" s="412" t="b">
        <f>Wh_hp&gt;='2024'!Maxi_hp</f>
        <v>0</v>
      </c>
      <c r="I166" s="388">
        <f>IF(H166,Wh_hp,'2024'!Maxi_hp)</f>
        <v>63.124729427681508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4.3635360351373276E-2</v>
      </c>
      <c r="M166" s="832"/>
      <c r="N166" s="832"/>
      <c r="O166" s="48">
        <f>IF(t&lt;Tnet,'2024'!Resal+('2024'!Salim-'2024'!Resal)*(1-EXP(('2024'!Tnet-t)/('2024'!Tau_j))),Resal+(Salim-Resal)*(1-EXP((Tnet-t)/(Tau_j))))*Salcycl</f>
        <v>3.8571429442164712E-2</v>
      </c>
      <c r="P166" s="169">
        <f>(INDEX(Models!$BJ166:$BT166,,T166)*(1-R166)+INDEX(Models!$BJ166:$BT166,,T166+1)*R166-ERP_i)*Q166*Ramure*Pc/MaxiM</f>
        <v>2.7314264731987184E-4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58.830834552644738</v>
      </c>
      <c r="W166" s="400">
        <f t="shared" si="59"/>
        <v>55.984687232359228</v>
      </c>
      <c r="X166" s="157">
        <f t="shared" si="60"/>
        <v>45809</v>
      </c>
      <c r="Y166" s="383">
        <f t="shared" si="61"/>
        <v>54.154798220987736</v>
      </c>
      <c r="Z166" s="383">
        <f t="shared" si="62"/>
        <v>56.625680180819408</v>
      </c>
      <c r="AA166" s="384">
        <f t="shared" si="63"/>
        <v>60.887581264316154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6.9996229033891355E-2</v>
      </c>
      <c r="AD166" s="230">
        <f>(INDEX(Models!$BJ166:$BT166,,AH166)*(1-AF166)+INDEX(Models!$BJ166:$BT166,,AH166+1)*AF166-ERP_i)*AE166*Ramure*Pc/MaxiM</f>
        <v>2.7314264731987184E-4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'2024'!Wh/'2024'!Env_an*'2025'!Env_an</f>
        <v>44.650476812827435</v>
      </c>
      <c r="C167" s="829"/>
      <c r="D167" s="391">
        <f t="shared" si="50"/>
        <v>46.688606724140485</v>
      </c>
      <c r="E167" s="383">
        <f t="shared" si="72"/>
        <v>48.565990007652523</v>
      </c>
      <c r="F167" s="383">
        <f t="shared" si="51"/>
        <v>48.574639972122831</v>
      </c>
      <c r="G167" s="110">
        <f t="shared" si="73"/>
        <v>0.75926365155944264</v>
      </c>
      <c r="H167" s="412" t="b">
        <f>Wh_hp&gt;='2024'!Maxi_hp</f>
        <v>0</v>
      </c>
      <c r="I167" s="388">
        <f>IF(H167,Wh_hp,'2024'!Maxi_hp)</f>
        <v>62.353294055215706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4.3653688861510331E-2</v>
      </c>
      <c r="M167" s="832"/>
      <c r="N167" s="832"/>
      <c r="O167" s="48">
        <f>IF(t&lt;Tnet,'2024'!Resal+('2024'!Salim-'2024'!Resal)*(1-EXP(('2024'!Tnet-t)/('2024'!Tau_j))),Resal+(Salim-Resal)*(1-EXP((Tnet-t)/(Tau_j))))*Salcycl</f>
        <v>3.8656337144907849E-2</v>
      </c>
      <c r="P167" s="169">
        <f>(INDEX(Models!$BJ167:$BT167,,T167)*(1-R167)+INDEX(Models!$BJ167:$BT167,,T167+1)*R167-ERP_i)*Q167*Ramure*Pc/MaxiM</f>
        <v>2.7137741206876984E-4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58.802117043988268</v>
      </c>
      <c r="W167" s="400">
        <f t="shared" si="59"/>
        <v>44.650476812827435</v>
      </c>
      <c r="X167" s="157">
        <f t="shared" si="60"/>
        <v>45810</v>
      </c>
      <c r="Y167" s="383">
        <f t="shared" si="61"/>
        <v>43.191278257352828</v>
      </c>
      <c r="Z167" s="383">
        <f t="shared" si="62"/>
        <v>45.162801125813353</v>
      </c>
      <c r="AA167" s="384">
        <f t="shared" si="63"/>
        <v>48.565990007652523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7.0073499609560733E-2</v>
      </c>
      <c r="AD167" s="230">
        <f>(INDEX(Models!$BJ167:$BT167,,AH167)*(1-AF167)+INDEX(Models!$BJ167:$BT167,,AH167+1)*AF167-ERP_i)*AE167*Ramure*Pc/MaxiM</f>
        <v>2.7137741206876984E-4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'2024'!Wh/'2024'!Env_an*'2025'!Env_an</f>
        <v>54.614088566831661</v>
      </c>
      <c r="C168" s="829"/>
      <c r="D168" s="391">
        <f t="shared" si="50"/>
        <v>57.108115143375286</v>
      </c>
      <c r="E168" s="383">
        <f t="shared" si="72"/>
        <v>59.409706477922441</v>
      </c>
      <c r="F168" s="383">
        <f t="shared" si="51"/>
        <v>59.424113596220081</v>
      </c>
      <c r="G168" s="110">
        <f t="shared" si="73"/>
        <v>0.92925581319881445</v>
      </c>
      <c r="H168" s="412" t="b">
        <f>Wh_hp&gt;='2024'!Maxi_hp</f>
        <v>0</v>
      </c>
      <c r="I168" s="388">
        <f>IF(H168,Wh_hp,'2024'!Maxi_hp)</f>
        <v>59.425155204871523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4.367201702038559E-2</v>
      </c>
      <c r="M168" s="832"/>
      <c r="N168" s="832"/>
      <c r="O168" s="48">
        <f>IF(t&lt;Tnet,'2024'!Resal+('2024'!Salim-'2024'!Resal)*(1-EXP(('2024'!Tnet-t)/('2024'!Tau_j))),Resal+(Salim-Resal)*(1-EXP((Tnet-t)/(Tau_j))))*Salcycl</f>
        <v>3.8740998247524777E-2</v>
      </c>
      <c r="P168" s="169">
        <f>(INDEX(Models!$BJ168:$BT168,,T168)*(1-R168)+INDEX(Models!$BJ168:$BT168,,T168+1)*R168-ERP_i)*Q168*Ramure*Pc/MaxiM</f>
        <v>2.6969179574532561E-4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58.770254011090977</v>
      </c>
      <c r="W168" s="400">
        <f t="shared" si="59"/>
        <v>54.614088566831661</v>
      </c>
      <c r="X168" s="157">
        <f t="shared" si="60"/>
        <v>45811</v>
      </c>
      <c r="Y168" s="383">
        <f t="shared" si="61"/>
        <v>52.829564424248829</v>
      </c>
      <c r="Z168" s="383">
        <f t="shared" si="62"/>
        <v>55.242098280601056</v>
      </c>
      <c r="AA168" s="384">
        <f t="shared" si="63"/>
        <v>59.409706477922441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7.0150290994454453E-2</v>
      </c>
      <c r="AD168" s="230">
        <f>(INDEX(Models!$BJ168:$BT168,,AH168)*(1-AF168)+INDEX(Models!$BJ168:$BT168,,AH168+1)*AF168-ERP_i)*AE168*Ramure*Pc/MaxiM</f>
        <v>2.6969179574532561E-4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'2024'!Wh/'2024'!Env_an*'2025'!Env_an</f>
        <v>26.036134751184459</v>
      </c>
      <c r="C169" s="829"/>
      <c r="D169" s="391">
        <f t="shared" si="50"/>
        <v>27.225632001489949</v>
      </c>
      <c r="E169" s="383">
        <f t="shared" si="72"/>
        <v>28.325375467277432</v>
      </c>
      <c r="F169" s="383">
        <f t="shared" si="51"/>
        <v>28.326929827438743</v>
      </c>
      <c r="G169" s="110">
        <f t="shared" si="73"/>
        <v>0.44318199149297133</v>
      </c>
      <c r="H169" s="412" t="b">
        <f>Wh_hp&gt;='2024'!Maxi_hp</f>
        <v>0</v>
      </c>
      <c r="I169" s="388">
        <f>IF(H169,Wh_hp,'2024'!Maxi_hp)</f>
        <v>57.206955445857666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4.3690344828005934E-2</v>
      </c>
      <c r="M169" s="832"/>
      <c r="N169" s="832"/>
      <c r="O169" s="48">
        <f>IF(t&lt;Tnet,'2024'!Resal+('2024'!Salim-'2024'!Resal)*(1-EXP(('2024'!Tnet-t)/('2024'!Tau_j))),Resal+(Salim-Resal)*(1-EXP((Tnet-t)/(Tau_j))))*Salcycl</f>
        <v>3.8825379986858428E-2</v>
      </c>
      <c r="P169" s="169">
        <f>(INDEX(Models!$BJ169:$BT169,,T169)*(1-R169)+INDEX(Models!$BJ169:$BT169,,T169+1)*R169-ERP_i)*Q169*Ramure*Pc/MaxiM</f>
        <v>2.6808665554689558E-4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58.735651865811754</v>
      </c>
      <c r="W169" s="400">
        <f t="shared" si="59"/>
        <v>26.036134751184459</v>
      </c>
      <c r="X169" s="157">
        <f t="shared" si="60"/>
        <v>45812</v>
      </c>
      <c r="Y169" s="383">
        <f t="shared" si="61"/>
        <v>25.185545313517107</v>
      </c>
      <c r="Z169" s="383">
        <f t="shared" si="62"/>
        <v>26.336182195073039</v>
      </c>
      <c r="AA169" s="384">
        <f t="shared" si="63"/>
        <v>28.325375467277432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7.0226545611103586E-2</v>
      </c>
      <c r="AD169" s="230">
        <f>(INDEX(Models!$BJ169:$BT169,,AH169)*(1-AF169)+INDEX(Models!$BJ169:$BT169,,AH169+1)*AF169-ERP_i)*AE169*Ramure*Pc/MaxiM</f>
        <v>2.6808665554689558E-4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'2024'!Wh/'2024'!Env_an*'2025'!Env_an</f>
        <v>35.876759282014852</v>
      </c>
      <c r="C170" s="829"/>
      <c r="D170" s="391">
        <f t="shared" si="50"/>
        <v>37.516558230970112</v>
      </c>
      <c r="E170" s="383">
        <f t="shared" ref="E170:E232" si="75">Wh_pvt/(1-Psa)</f>
        <v>39.035404349075584</v>
      </c>
      <c r="F170" s="383">
        <f t="shared" si="51"/>
        <v>39.040033515503616</v>
      </c>
      <c r="G170" s="110">
        <f t="shared" ref="G170:G232" si="76">+Wh_hp/MaxiM</f>
        <v>0.61111130310200301</v>
      </c>
      <c r="H170" s="412" t="b">
        <f>Wh_hp&gt;='2024'!Maxi_hp</f>
        <v>0</v>
      </c>
      <c r="I170" s="388">
        <f>IF(H170,Wh_hp,'2024'!Maxi_hp)</f>
        <v>45.501902889660293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4.3708672284378025E-2</v>
      </c>
      <c r="M170" s="832"/>
      <c r="N170" s="832"/>
      <c r="O170" s="48">
        <f>IF(t&lt;Tnet,'2024'!Resal+('2024'!Salim-'2024'!Resal)*(1-EXP(('2024'!Tnet-t)/('2024'!Tau_j))),Resal+(Salim-Resal)*(1-EXP((Tnet-t)/(Tau_j))))*Salcycl</f>
        <v>3.8909450111573846E-2</v>
      </c>
      <c r="P170" s="169">
        <f>(INDEX(Models!$BJ170:$BT170,,T170)*(1-R170)+INDEX(Models!$BJ170:$BT170,,T170+1)*R170-ERP_i)*Q170*Ramure*Pc/MaxiM</f>
        <v>2.6671563324091066E-4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58.698707843756516</v>
      </c>
      <c r="W170" s="400">
        <f t="shared" si="59"/>
        <v>35.876759282014852</v>
      </c>
      <c r="X170" s="157">
        <f t="shared" si="60"/>
        <v>45813</v>
      </c>
      <c r="Y170" s="383">
        <f t="shared" si="61"/>
        <v>34.704892194110087</v>
      </c>
      <c r="Z170" s="383">
        <f t="shared" si="62"/>
        <v>36.291129270211769</v>
      </c>
      <c r="AA170" s="384">
        <f t="shared" si="63"/>
        <v>39.035404349075584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7.0302207050887189E-2</v>
      </c>
      <c r="AD170" s="230">
        <f>(INDEX(Models!$BJ170:$BT170,,AH170)*(1-AF170)+INDEX(Models!$BJ170:$BT170,,AH170+1)*AF170-ERP_i)*AE170*Ramure*Pc/MaxiM</f>
        <v>2.6671563324091066E-4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'2024'!Wh/'2024'!Env_an*'2025'!Env_an</f>
        <v>46.797861934757975</v>
      </c>
      <c r="C171" s="829"/>
      <c r="D171" s="391">
        <f t="shared" si="50"/>
        <v>48.937763488963817</v>
      </c>
      <c r="E171" s="383">
        <f t="shared" si="75"/>
        <v>50.923429801080864</v>
      </c>
      <c r="F171" s="383">
        <f t="shared" si="51"/>
        <v>50.933044087164291</v>
      </c>
      <c r="G171" s="110">
        <f t="shared" si="76"/>
        <v>0.79772253091155898</v>
      </c>
      <c r="H171" s="412" t="b">
        <f>Wh_hp&gt;='2024'!Maxi_hp</f>
        <v>0</v>
      </c>
      <c r="I171" s="388">
        <f>IF(H171,Wh_hp,'2024'!Maxi_hp)</f>
        <v>58.87079114151684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4.3726999389508636E-2</v>
      </c>
      <c r="M171" s="832"/>
      <c r="N171" s="832"/>
      <c r="O171" s="48">
        <f>IF(t&lt;Tnet,'2024'!Resal+('2024'!Salim-'2024'!Resal)*(1-EXP(('2024'!Tnet-t)/('2024'!Tau_j))),Resal+(Salim-Resal)*(1-EXP((Tnet-t)/(Tau_j))))*Salcycl</f>
        <v>3.8993177008570239E-2</v>
      </c>
      <c r="P171" s="169">
        <f>(INDEX(Models!$BJ171:$BT171,,T171)*(1-R171)+INDEX(Models!$BJ171:$BT171,,T171+1)*R171-ERP_i)*Q171*Ramure*Pc/MaxiM</f>
        <v>2.6544512911999855E-4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58.659835839158738</v>
      </c>
      <c r="W171" s="400">
        <f t="shared" si="59"/>
        <v>46.797861934757975</v>
      </c>
      <c r="X171" s="157">
        <f t="shared" si="60"/>
        <v>45814</v>
      </c>
      <c r="Y171" s="383">
        <f t="shared" si="61"/>
        <v>45.269562562136834</v>
      </c>
      <c r="Z171" s="383">
        <f t="shared" si="62"/>
        <v>47.339580363804508</v>
      </c>
      <c r="AA171" s="384">
        <f t="shared" si="63"/>
        <v>50.923429801080864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7.0377220294778511E-2</v>
      </c>
      <c r="AD171" s="230">
        <f>(INDEX(Models!$BJ171:$BT171,,AH171)*(1-AF171)+INDEX(Models!$BJ171:$BT171,,AH171+1)*AF171-ERP_i)*AE171*Ramure*Pc/MaxiM</f>
        <v>2.6544512911999855E-4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'2024'!Wh/'2024'!Env_an*'2025'!Env_an</f>
        <v>28.388021989333353</v>
      </c>
      <c r="C172" s="829"/>
      <c r="D172" s="391">
        <f t="shared" si="50"/>
        <v>29.686675281642128</v>
      </c>
      <c r="E172" s="383">
        <f t="shared" si="75"/>
        <v>30.893901755076502</v>
      </c>
      <c r="F172" s="383">
        <f t="shared" si="51"/>
        <v>30.896051240700167</v>
      </c>
      <c r="G172" s="110">
        <f t="shared" si="76"/>
        <v>0.48418227034241418</v>
      </c>
      <c r="H172" s="412" t="b">
        <f>Wh_hp&gt;='2024'!Maxi_hp</f>
        <v>0</v>
      </c>
      <c r="I172" s="388">
        <f>IF(H172,Wh_hp,'2024'!Maxi_hp)</f>
        <v>52.613805955532094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4.3745326143404317E-2</v>
      </c>
      <c r="M172" s="832"/>
      <c r="N172" s="832"/>
      <c r="O172" s="48">
        <f>IF(t&lt;Tnet,'2024'!Resal+('2024'!Salim-'2024'!Resal)*(1-EXP(('2024'!Tnet-t)/('2024'!Tau_j))),Resal+(Salim-Resal)*(1-EXP((Tnet-t)/(Tau_j))))*Salcycl</f>
        <v>3.9076529827962059E-2</v>
      </c>
      <c r="P172" s="169">
        <f>(INDEX(Models!$BJ172:$BT172,,T172)*(1-R172)+INDEX(Models!$BJ172:$BT172,,T172+1)*R172-ERP_i)*Q172*Ramure*Pc/MaxiM</f>
        <v>2.6427707551004482E-4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58.619441557507614</v>
      </c>
      <c r="W172" s="400">
        <f t="shared" si="59"/>
        <v>28.388021989333353</v>
      </c>
      <c r="X172" s="157">
        <f t="shared" si="60"/>
        <v>45815</v>
      </c>
      <c r="Y172" s="383">
        <f t="shared" si="61"/>
        <v>27.461127936644658</v>
      </c>
      <c r="Z172" s="383">
        <f t="shared" si="62"/>
        <v>28.717379049132735</v>
      </c>
      <c r="AA172" s="384">
        <f t="shared" si="63"/>
        <v>30.893901755076502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7.0451531930120173E-2</v>
      </c>
      <c r="AD172" s="230">
        <f>(INDEX(Models!$BJ172:$BT172,,AH172)*(1-AF172)+INDEX(Models!$BJ172:$BT172,,AH172+1)*AF172-ERP_i)*AE172*Ramure*Pc/MaxiM</f>
        <v>2.6427707551004482E-4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'2024'!Wh/'2024'!Env_an*'2025'!Env_an</f>
        <v>21.164086084853288</v>
      </c>
      <c r="C173" s="829"/>
      <c r="D173" s="391">
        <f t="shared" si="50"/>
        <v>22.132693597356681</v>
      </c>
      <c r="E173" s="383">
        <f t="shared" si="75"/>
        <v>23.034721272205744</v>
      </c>
      <c r="F173" s="383">
        <f t="shared" si="51"/>
        <v>23.035252216713918</v>
      </c>
      <c r="G173" s="110">
        <f t="shared" si="76"/>
        <v>0.3612111752896916</v>
      </c>
      <c r="H173" s="412" t="b">
        <f>Wh_hp&gt;='2024'!Maxi_hp</f>
        <v>0</v>
      </c>
      <c r="I173" s="388">
        <f>IF(H173,Wh_hp,'2024'!Maxi_hp)</f>
        <v>63.747853574878313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4.3763652546072063E-2</v>
      </c>
      <c r="M173" s="832"/>
      <c r="N173" s="832"/>
      <c r="O173" s="48">
        <f>IF(t&lt;Tnet,'2024'!Resal+('2024'!Salim-'2024'!Resal)*(1-EXP(('2024'!Tnet-t)/('2024'!Tau_j))),Resal+(Salim-Resal)*(1-EXP((Tnet-t)/(Tau_j))))*Salcycl</f>
        <v>3.9159478605780673E-2</v>
      </c>
      <c r="P173" s="169">
        <f>(INDEX(Models!$BJ173:$BT173,,T173)*(1-R173)+INDEX(Models!$BJ173:$BT173,,T173+1)*R173-ERP_i)*Q173*Ramure*Pc/MaxiM</f>
        <v>2.6321356274535763E-4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58.577930463585417</v>
      </c>
      <c r="W173" s="400">
        <f t="shared" si="59"/>
        <v>21.164086084853288</v>
      </c>
      <c r="X173" s="157">
        <f t="shared" si="60"/>
        <v>45816</v>
      </c>
      <c r="Y173" s="383">
        <f t="shared" si="61"/>
        <v>20.473207117396552</v>
      </c>
      <c r="Z173" s="383">
        <f t="shared" si="62"/>
        <v>21.410195473021343</v>
      </c>
      <c r="AA173" s="384">
        <f t="shared" si="63"/>
        <v>23.034721272205744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7.0525090361939505E-2</v>
      </c>
      <c r="AD173" s="230">
        <f>(INDEX(Models!$BJ173:$BT173,,AH173)*(1-AF173)+INDEX(Models!$BJ173:$BT173,,AH173+1)*AF173-ERP_i)*AE173*Ramure*Pc/MaxiM</f>
        <v>2.6321356274535763E-4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'2024'!Wh/'2024'!Env_an*'2025'!Env_an</f>
        <v>46.110253634465188</v>
      </c>
      <c r="C174" s="829"/>
      <c r="D174" s="391">
        <f t="shared" si="50"/>
        <v>48.221485688834271</v>
      </c>
      <c r="E174" s="383">
        <f t="shared" si="75"/>
        <v>50.191083922214041</v>
      </c>
      <c r="F174" s="383">
        <f t="shared" si="51"/>
        <v>50.200256955159318</v>
      </c>
      <c r="G174" s="110">
        <f t="shared" si="76"/>
        <v>0.78766598469175653</v>
      </c>
      <c r="H174" s="412" t="b">
        <f>Wh_hp&gt;='2024'!Maxi_hp</f>
        <v>0</v>
      </c>
      <c r="I174" s="388">
        <f>IF(H174,Wh_hp,'2024'!Maxi_hp)</f>
        <v>60.451525350346095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4.3781978597518423E-2</v>
      </c>
      <c r="M174" s="832"/>
      <c r="N174" s="832"/>
      <c r="O174" s="48">
        <f>IF(t&lt;Tnet,'2024'!Resal+('2024'!Salim-'2024'!Resal)*(1-EXP(('2024'!Tnet-t)/('2024'!Tau_j))),Resal+(Salim-Resal)*(1-EXP((Tnet-t)/(Tau_j))))*Salcycl</f>
        <v>3.9241994383549181E-2</v>
      </c>
      <c r="P174" s="169">
        <f>(INDEX(Models!$BJ174:$BT174,,T174)*(1-R174)+INDEX(Models!$BJ174:$BT174,,T174+1)*R174-ERP_i)*Q174*Ramure*Pc/MaxiM</f>
        <v>2.6225682081278318E-4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58.535707778864619</v>
      </c>
      <c r="W174" s="400">
        <f t="shared" si="59"/>
        <v>46.110253634465188</v>
      </c>
      <c r="X174" s="157">
        <f t="shared" si="60"/>
        <v>45817</v>
      </c>
      <c r="Y174" s="383">
        <f t="shared" si="61"/>
        <v>44.605372838982738</v>
      </c>
      <c r="Z174" s="383">
        <f t="shared" si="62"/>
        <v>46.647701508030771</v>
      </c>
      <c r="AA174" s="384">
        <f t="shared" si="63"/>
        <v>50.191083922214041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7.0597846017328283E-2</v>
      </c>
      <c r="AD174" s="230">
        <f>(INDEX(Models!$BJ174:$BT174,,AH174)*(1-AF174)+INDEX(Models!$BJ174:$BT174,,AH174+1)*AF174-ERP_i)*AE174*Ramure*Pc/MaxiM</f>
        <v>2.6225682081278318E-4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'2024'!Wh/'2024'!Env_an*'2025'!Env_an</f>
        <v>57.523773077813424</v>
      </c>
      <c r="C175" s="829"/>
      <c r="D175" s="391">
        <f t="shared" si="50"/>
        <v>60.15874438818657</v>
      </c>
      <c r="E175" s="383">
        <f t="shared" si="75"/>
        <v>62.621266146870667</v>
      </c>
      <c r="F175" s="383">
        <f t="shared" si="51"/>
        <v>62.637252436707058</v>
      </c>
      <c r="G175" s="110">
        <f t="shared" si="76"/>
        <v>0.98342094701905169</v>
      </c>
      <c r="H175" s="412" t="b">
        <f>Wh_hp&gt;='2024'!Maxi_hp</f>
        <v>0</v>
      </c>
      <c r="I175" s="388">
        <f>IF(H175,Wh_hp,'2024'!Maxi_hp)</f>
        <v>62.637503037871667</v>
      </c>
      <c r="J175" s="85">
        <f>IF(H175,An,'2024'!An_max)</f>
        <v>2022</v>
      </c>
      <c r="K175" s="197">
        <f t="shared" si="52"/>
        <v>45818</v>
      </c>
      <c r="L175" s="147">
        <f>IF(t&lt;Tvie,1-EXP((T0-t)*PertePVj)+'2024'!Pspv,1-EXP((T0-t)*PertePVj)+Pspv)</f>
        <v>4.3800304297750281E-2</v>
      </c>
      <c r="M175" s="832"/>
      <c r="N175" s="832"/>
      <c r="O175" s="48">
        <f>IF(t&lt;Tnet,'2024'!Resal+('2024'!Salim-'2024'!Resal)*(1-EXP(('2024'!Tnet-t)/('2024'!Tau_j))),Resal+(Salim-Resal)*(1-EXP((Tnet-t)/(Tau_j))))*Salcycl</f>
        <v>3.9324049323891802E-2</v>
      </c>
      <c r="P175" s="169">
        <f>(INDEX(Models!$BJ175:$BT175,,T175)*(1-R175)+INDEX(Models!$BJ175:$BT175,,T175+1)*R175-ERP_i)*Q175*Ramure*Pc/MaxiM</f>
        <v>2.6140920040746996E-4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58.493178475162722</v>
      </c>
      <c r="W175" s="400">
        <f t="shared" si="59"/>
        <v>57.523773077813424</v>
      </c>
      <c r="X175" s="157">
        <f t="shared" si="60"/>
        <v>45818</v>
      </c>
      <c r="Y175" s="383">
        <f t="shared" si="61"/>
        <v>55.646841465173402</v>
      </c>
      <c r="Z175" s="383">
        <f t="shared" si="62"/>
        <v>58.195836827060894</v>
      </c>
      <c r="AA175" s="384">
        <f t="shared" si="63"/>
        <v>62.621266146870667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7.0669751541440451E-2</v>
      </c>
      <c r="AD175" s="230">
        <f>(INDEX(Models!$BJ175:$BT175,,AH175)*(1-AF175)+INDEX(Models!$BJ175:$BT175,,AH175+1)*AF175-ERP_i)*AE175*Ramure*Pc/MaxiM</f>
        <v>2.6140920040746996E-4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'2024'!Wh/'2024'!Env_an*'2025'!Env_an</f>
        <v>55.589377126293897</v>
      </c>
      <c r="C176" s="829"/>
      <c r="D176" s="391">
        <f t="shared" si="50"/>
        <v>58.136854418904292</v>
      </c>
      <c r="E176" s="383">
        <f t="shared" si="75"/>
        <v>60.521751362450352</v>
      </c>
      <c r="F176" s="383">
        <f t="shared" si="51"/>
        <v>60.536428016211367</v>
      </c>
      <c r="G176" s="110">
        <f t="shared" si="76"/>
        <v>0.95102913293206448</v>
      </c>
      <c r="H176" s="412" t="b">
        <f>Wh_hp&gt;='2024'!Maxi_hp</f>
        <v>0</v>
      </c>
      <c r="I176" s="388">
        <f>IF(H176,Wh_hp,'2024'!Maxi_hp)</f>
        <v>60.537141760881475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4.3818629646774188E-2</v>
      </c>
      <c r="M176" s="832"/>
      <c r="N176" s="832"/>
      <c r="O176" s="48">
        <f>IF(t&lt;Tnet,'2024'!Resal+('2024'!Salim-'2024'!Resal)*(1-EXP(('2024'!Tnet-t)/('2024'!Tau_j))),Resal+(Salim-Resal)*(1-EXP((Tnet-t)/(Tau_j))))*Salcycl</f>
        <v>3.9405616821355398E-2</v>
      </c>
      <c r="P176" s="169">
        <f>(INDEX(Models!$BJ176:$BT176,,T176)*(1-R176)+INDEX(Models!$BJ176:$BT176,,T176+1)*R176-ERP_i)*Q176*Ramure*Pc/MaxiM</f>
        <v>2.6067315343478224E-4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58.450747271174606</v>
      </c>
      <c r="W176" s="400">
        <f t="shared" si="59"/>
        <v>55.589377126293897</v>
      </c>
      <c r="X176" s="157">
        <f t="shared" si="60"/>
        <v>45819</v>
      </c>
      <c r="Y176" s="383">
        <f t="shared" si="61"/>
        <v>53.776019446673914</v>
      </c>
      <c r="Z176" s="383">
        <f t="shared" si="62"/>
        <v>56.240396554482494</v>
      </c>
      <c r="AA176" s="384">
        <f t="shared" si="63"/>
        <v>60.521751362450352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7.0740761983701411E-2</v>
      </c>
      <c r="AD176" s="230">
        <f>(INDEX(Models!$BJ176:$BT176,,AH176)*(1-AF176)+INDEX(Models!$BJ176:$BT176,,AH176+1)*AF176-ERP_i)*AE176*Ramure*Pc/MaxiM</f>
        <v>2.6067315343478224E-4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'2024'!Wh/'2024'!Env_an*'2025'!Env_an</f>
        <v>43.151309329942052</v>
      </c>
      <c r="C177" s="829"/>
      <c r="D177" s="391">
        <f t="shared" si="50"/>
        <v>45.129656013742753</v>
      </c>
      <c r="E177" s="383">
        <f t="shared" si="75"/>
        <v>46.984934700779043</v>
      </c>
      <c r="F177" s="383">
        <f t="shared" si="51"/>
        <v>46.992595215105645</v>
      </c>
      <c r="G177" s="110">
        <f t="shared" si="76"/>
        <v>0.73872177099331893</v>
      </c>
      <c r="H177" s="412" t="b">
        <f>Wh_hp&gt;='2024'!Maxi_hp</f>
        <v>0</v>
      </c>
      <c r="I177" s="388">
        <f>IF(H177,Wh_hp,'2024'!Maxi_hp)</f>
        <v>56.41651381708197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4.3836954644596915E-2</v>
      </c>
      <c r="M177" s="832"/>
      <c r="N177" s="832"/>
      <c r="O177" s="48">
        <f>IF(t&lt;Tnet,'2024'!Resal+('2024'!Salim-'2024'!Resal)*(1-EXP(('2024'!Tnet-t)/('2024'!Tau_j))),Resal+(Salim-Resal)*(1-EXP((Tnet-t)/(Tau_j))))*Salcycl</f>
        <v>3.9486671607644581E-2</v>
      </c>
      <c r="P177" s="169">
        <f>(INDEX(Models!$BJ177:$BT177,,T177)*(1-R177)+INDEX(Models!$BJ177:$BT177,,T177+1)*R177-ERP_i)*Q177*Ramure*Pc/MaxiM</f>
        <v>2.6005570031878173E-4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58.40781052248979</v>
      </c>
      <c r="W177" s="400">
        <f t="shared" si="59"/>
        <v>43.151309329942052</v>
      </c>
      <c r="X177" s="157">
        <f t="shared" si="60"/>
        <v>45820</v>
      </c>
      <c r="Y177" s="383">
        <f t="shared" si="61"/>
        <v>41.744063201315036</v>
      </c>
      <c r="Z177" s="383">
        <f t="shared" si="62"/>
        <v>43.657892243470762</v>
      </c>
      <c r="AA177" s="384">
        <f t="shared" si="63"/>
        <v>46.984934700779043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7.0810834972877323E-2</v>
      </c>
      <c r="AD177" s="230">
        <f>(INDEX(Models!$BJ177:$BT177,,AH177)*(1-AF177)+INDEX(Models!$BJ177:$BT177,,AH177+1)*AF177-ERP_i)*AE177*Ramure*Pc/MaxiM</f>
        <v>2.6005570031878173E-4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'2024'!Wh/'2024'!Env_an*'2025'!Env_an</f>
        <v>54.26662042106117</v>
      </c>
      <c r="C178" s="829"/>
      <c r="D178" s="391">
        <f t="shared" si="50"/>
        <v>56.755655546405357</v>
      </c>
      <c r="E178" s="383">
        <f t="shared" si="75"/>
        <v>59.093832433287041</v>
      </c>
      <c r="F178" s="383">
        <f t="shared" si="51"/>
        <v>59.107642791558192</v>
      </c>
      <c r="G178" s="110">
        <f t="shared" si="76"/>
        <v>0.92978004079140986</v>
      </c>
      <c r="H178" s="412" t="b">
        <f>Wh_hp&gt;='2024'!Maxi_hp</f>
        <v>0</v>
      </c>
      <c r="I178" s="388">
        <f>IF(H178,Wh_hp,'2024'!Maxi_hp)</f>
        <v>64.279104061315721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4.3855279291225346E-2</v>
      </c>
      <c r="M178" s="832"/>
      <c r="N178" s="832"/>
      <c r="O178" s="48">
        <f>IF(t&lt;Tnet,'2024'!Resal+('2024'!Salim-'2024'!Resal)*(1-EXP(('2024'!Tnet-t)/('2024'!Tau_j))),Resal+(Salim-Resal)*(1-EXP((Tnet-t)/(Tau_j))))*Salcycl</f>
        <v>3.9567189850503136E-2</v>
      </c>
      <c r="P178" s="169">
        <f>(INDEX(Models!$BJ178:$BT178,,T178)*(1-R178)+INDEX(Models!$BJ178:$BT178,,T178+1)*R178-ERP_i)*Q178*Ramure*Pc/MaxiM</f>
        <v>2.5968911800838167E-4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58.363488700913905</v>
      </c>
      <c r="W178" s="400">
        <f t="shared" si="59"/>
        <v>54.26662042106117</v>
      </c>
      <c r="X178" s="157">
        <f t="shared" si="60"/>
        <v>45821</v>
      </c>
      <c r="Y178" s="383">
        <f t="shared" si="61"/>
        <v>52.497379914261948</v>
      </c>
      <c r="Z178" s="383">
        <f t="shared" si="62"/>
        <v>54.905265674997906</v>
      </c>
      <c r="AA178" s="384">
        <f t="shared" si="63"/>
        <v>59.093832433287041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7.0879930879719874E-2</v>
      </c>
      <c r="AD178" s="230">
        <f>(INDEX(Models!$BJ178:$BT178,,AH178)*(1-AF178)+INDEX(Models!$BJ178:$BT178,,AH178+1)*AF178-ERP_i)*AE178*Ramure*Pc/MaxiM</f>
        <v>2.5968911800838167E-4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'2024'!Wh/'2024'!Env_an*'2025'!Env_an</f>
        <v>48.241291052271386</v>
      </c>
      <c r="C179" s="829"/>
      <c r="D179" s="391">
        <f t="shared" si="50"/>
        <v>50.454930679914675</v>
      </c>
      <c r="E179" s="383">
        <f t="shared" si="75"/>
        <v>52.537908999047083</v>
      </c>
      <c r="F179" s="383">
        <f t="shared" si="51"/>
        <v>52.548180875733891</v>
      </c>
      <c r="G179" s="110">
        <f t="shared" si="76"/>
        <v>0.82716103615480763</v>
      </c>
      <c r="H179" s="412" t="b">
        <f>Wh_hp&gt;='2024'!Maxi_hp</f>
        <v>0</v>
      </c>
      <c r="I179" s="388">
        <f>IF(H179,Wh_hp,'2024'!Maxi_hp)</f>
        <v>56.161235442538548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4.3873603586666032E-2</v>
      </c>
      <c r="M179" s="832"/>
      <c r="N179" s="832"/>
      <c r="O179" s="48">
        <f>IF(t&lt;Tnet,'2024'!Resal+('2024'!Salim-'2024'!Resal)*(1-EXP(('2024'!Tnet-t)/('2024'!Tau_j))),Resal+(Salim-Resal)*(1-EXP((Tnet-t)/(Tau_j))))*Salcycl</f>
        <v>3.9647149245513123E-2</v>
      </c>
      <c r="P179" s="169">
        <f>(INDEX(Models!$BJ179:$BT179,,T179)*(1-R179)+INDEX(Models!$BJ179:$BT179,,T179+1)*R179-ERP_i)*Q179*Ramure*Pc/MaxiM</f>
        <v>2.5953933218287228E-4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58.317785549336307</v>
      </c>
      <c r="W179" s="400">
        <f t="shared" si="59"/>
        <v>48.241291052271386</v>
      </c>
      <c r="X179" s="157">
        <f t="shared" si="60"/>
        <v>45822</v>
      </c>
      <c r="Y179" s="383">
        <f t="shared" si="61"/>
        <v>46.668958470824627</v>
      </c>
      <c r="Z179" s="383">
        <f t="shared" si="62"/>
        <v>48.81044875017718</v>
      </c>
      <c r="AA179" s="384">
        <f t="shared" si="63"/>
        <v>52.537908999047083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7.0948012965980661E-2</v>
      </c>
      <c r="AD179" s="230">
        <f>(INDEX(Models!$BJ179:$BT179,,AH179)*(1-AF179)+INDEX(Models!$BJ179:$BT179,,AH179+1)*AF179-ERP_i)*AE179*Ramure*Pc/MaxiM</f>
        <v>2.5953933218287228E-4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'2024'!Wh/'2024'!Env_an*'2025'!Env_an</f>
        <v>54.383818524495197</v>
      </c>
      <c r="C180" s="829"/>
      <c r="D180" s="391">
        <f t="shared" si="50"/>
        <v>56.880409328678972</v>
      </c>
      <c r="E180" s="383">
        <f t="shared" si="75"/>
        <v>59.233552787182987</v>
      </c>
      <c r="F180" s="383">
        <f t="shared" si="51"/>
        <v>59.24746846693764</v>
      </c>
      <c r="G180" s="110">
        <f t="shared" si="76"/>
        <v>0.93327299358185656</v>
      </c>
      <c r="H180" s="412" t="b">
        <f>Wh_hp&gt;='2024'!Maxi_hp</f>
        <v>0</v>
      </c>
      <c r="I180" s="388">
        <f>IF(H180,Wh_hp,'2024'!Maxi_hp)</f>
        <v>59.248417323391159</v>
      </c>
      <c r="J180" s="85">
        <f>IF(H180,An,'2024'!An_max)</f>
        <v>2022</v>
      </c>
      <c r="K180" s="197">
        <f t="shared" si="52"/>
        <v>45823</v>
      </c>
      <c r="L180" s="147">
        <f>IF(t&lt;Tvie,1-EXP((T0-t)*PertePVj)+'2024'!Pspv,1-EXP((T0-t)*PertePVj)+Pspv)</f>
        <v>4.3891927530925856E-2</v>
      </c>
      <c r="M180" s="832"/>
      <c r="N180" s="832"/>
      <c r="O180" s="48">
        <f>IF(t&lt;Tnet,'2024'!Resal+('2024'!Salim-'2024'!Resal)*(1-EXP(('2024'!Tnet-t)/('2024'!Tau_j))),Resal+(Salim-Resal)*(1-EXP((Tnet-t)/(Tau_j))))*Salcycl</f>
        <v>3.9726529100128367E-2</v>
      </c>
      <c r="P180" s="169">
        <f>(INDEX(Models!$BJ180:$BT180,,T180)*(1-R180)+INDEX(Models!$BJ180:$BT180,,T180+1)*R180-ERP_i)*Q180*Ramure*Pc/MaxiM</f>
        <v>2.5961265707396023E-4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58.270702345890186</v>
      </c>
      <c r="W180" s="400">
        <f t="shared" si="59"/>
        <v>54.383818524495197</v>
      </c>
      <c r="X180" s="157">
        <f t="shared" si="60"/>
        <v>45823</v>
      </c>
      <c r="Y180" s="383">
        <f t="shared" si="61"/>
        <v>52.611834647881047</v>
      </c>
      <c r="Z180" s="383">
        <f t="shared" si="62"/>
        <v>55.027079221300902</v>
      </c>
      <c r="AA180" s="384">
        <f t="shared" si="63"/>
        <v>59.233552787182987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7.1015047518680804E-2</v>
      </c>
      <c r="AD180" s="230">
        <f>(INDEX(Models!$BJ180:$BT180,,AH180)*(1-AF180)+INDEX(Models!$BJ180:$BT180,,AH180+1)*AF180-ERP_i)*AE180*Ramure*Pc/MaxiM</f>
        <v>2.5961265707396023E-4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'2024'!Wh/'2024'!Env_an*'2025'!Env_an</f>
        <v>52.233886334651103</v>
      </c>
      <c r="C181" s="829"/>
      <c r="D181" s="391">
        <f t="shared" si="50"/>
        <v>54.63282751024056</v>
      </c>
      <c r="E181" s="383">
        <f t="shared" si="75"/>
        <v>56.897656384174965</v>
      </c>
      <c r="F181" s="383">
        <f t="shared" si="51"/>
        <v>56.910274822183695</v>
      </c>
      <c r="G181" s="110">
        <f t="shared" si="76"/>
        <v>0.89711235484455953</v>
      </c>
      <c r="H181" s="412" t="b">
        <f>Wh_hp&gt;='2024'!Maxi_hp</f>
        <v>0</v>
      </c>
      <c r="I181" s="388">
        <f>IF(H181,Wh_hp,'2024'!Maxi_hp)</f>
        <v>63.760579589282713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4.3910251124011368E-2</v>
      </c>
      <c r="M181" s="832"/>
      <c r="N181" s="832"/>
      <c r="O181" s="48">
        <f>IF(t&lt;Tnet,'2024'!Resal+('2024'!Salim-'2024'!Resal)*(1-EXP(('2024'!Tnet-t)/('2024'!Tau_j))),Resal+(Salim-Resal)*(1-EXP((Tnet-t)/(Tau_j))))*Salcycl</f>
        <v>3.9805310409311116E-2</v>
      </c>
      <c r="P181" s="169">
        <f>(INDEX(Models!$BJ181:$BT181,,T181)*(1-R181)+INDEX(Models!$BJ181:$BT181,,T181+1)*R181-ERP_i)*Q181*Ramure*Pc/MaxiM</f>
        <v>2.5991537700162419E-4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58.222240263551875</v>
      </c>
      <c r="W181" s="400">
        <f t="shared" si="59"/>
        <v>52.233886334651103</v>
      </c>
      <c r="X181" s="157">
        <f t="shared" si="60"/>
        <v>45824</v>
      </c>
      <c r="Y181" s="383">
        <f t="shared" si="61"/>
        <v>50.53251156125922</v>
      </c>
      <c r="Z181" s="383">
        <f t="shared" si="62"/>
        <v>52.853313844926113</v>
      </c>
      <c r="AA181" s="384">
        <f t="shared" si="63"/>
        <v>56.897656384174965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7.1081003968622408E-2</v>
      </c>
      <c r="AD181" s="230">
        <f>(INDEX(Models!$BJ181:$BT181,,AH181)*(1-AF181)+INDEX(Models!$BJ181:$BT181,,AH181+1)*AF181-ERP_i)*AE181*Ramure*Pc/MaxiM</f>
        <v>2.5991537700162419E-4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'2024'!Wh/'2024'!Env_an*'2025'!Env_an</f>
        <v>52.374519865829051</v>
      </c>
      <c r="C182" s="829"/>
      <c r="D182" s="391">
        <f t="shared" si="50"/>
        <v>54.780969770217794</v>
      </c>
      <c r="E182" s="383">
        <f t="shared" si="75"/>
        <v>57.056584691983439</v>
      </c>
      <c r="F182" s="383">
        <f t="shared" si="51"/>
        <v>57.069332262026499</v>
      </c>
      <c r="G182" s="110">
        <f t="shared" si="76"/>
        <v>0.90029940066050784</v>
      </c>
      <c r="H182" s="412" t="b">
        <f>Wh_hp&gt;='2024'!Maxi_hp</f>
        <v>0</v>
      </c>
      <c r="I182" s="388">
        <f>IF(H182,Wh_hp,'2024'!Maxi_hp)</f>
        <v>62.238525909161851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4.3928574365929451E-2</v>
      </c>
      <c r="M182" s="832"/>
      <c r="N182" s="832"/>
      <c r="O182" s="48">
        <f>IF(t&lt;Tnet,'2024'!Resal+('2024'!Salim-'2024'!Resal)*(1-EXP(('2024'!Tnet-t)/('2024'!Tau_j))),Resal+(Salim-Resal)*(1-EXP((Tnet-t)/(Tau_j))))*Salcycl</f>
        <v>3.988347592219927E-2</v>
      </c>
      <c r="P182" s="169">
        <f>(INDEX(Models!$BJ182:$BT182,,T182)*(1-R182)+INDEX(Models!$BJ182:$BT182,,T182+1)*R182-ERP_i)*Q182*Ramure*Pc/MaxiM</f>
        <v>2.6045373304162995E-4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58.172400364371256</v>
      </c>
      <c r="W182" s="400">
        <f t="shared" si="59"/>
        <v>52.374519865829051</v>
      </c>
      <c r="X182" s="157">
        <f t="shared" si="60"/>
        <v>45825</v>
      </c>
      <c r="Y182" s="383">
        <f t="shared" si="61"/>
        <v>50.669151764566905</v>
      </c>
      <c r="Z182" s="383">
        <f t="shared" si="62"/>
        <v>52.997245191135079</v>
      </c>
      <c r="AA182" s="384">
        <f t="shared" si="63"/>
        <v>57.056584691983439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7.114585499224077E-2</v>
      </c>
      <c r="AD182" s="230">
        <f>(INDEX(Models!$BJ182:$BT182,,AH182)*(1-AF182)+INDEX(Models!$BJ182:$BT182,,AH182+1)*AF182-ERP_i)*AE182*Ramure*Pc/MaxiM</f>
        <v>2.6045373304162995E-4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'2024'!Wh/'2024'!Env_an*'2025'!Env_an</f>
        <v>54.764773083386046</v>
      </c>
      <c r="C183" s="829"/>
      <c r="D183" s="391">
        <f t="shared" si="50"/>
        <v>57.282145653042896</v>
      </c>
      <c r="E183" s="383">
        <f t="shared" si="75"/>
        <v>59.666478405146997</v>
      </c>
      <c r="F183" s="383">
        <f t="shared" si="51"/>
        <v>59.680782854963603</v>
      </c>
      <c r="G183" s="110">
        <f t="shared" si="76"/>
        <v>0.94223119971000358</v>
      </c>
      <c r="H183" s="412" t="b">
        <f>Wh_hp&gt;='2024'!Maxi_hp</f>
        <v>0</v>
      </c>
      <c r="I183" s="388">
        <f>IF(H183,Wh_hp,'2024'!Maxi_hp)</f>
        <v>59.681614719407001</v>
      </c>
      <c r="J183" s="85">
        <f>IF(H183,An,'2024'!An_max)</f>
        <v>2022</v>
      </c>
      <c r="K183" s="197">
        <f t="shared" si="52"/>
        <v>45826</v>
      </c>
      <c r="L183" s="147">
        <f>IF(t&lt;Tvie,1-EXP((T0-t)*PertePVj)+'2024'!Pspv,1-EXP((T0-t)*PertePVj)+Pspv)</f>
        <v>4.3946897256686879E-2</v>
      </c>
      <c r="M183" s="832"/>
      <c r="N183" s="832"/>
      <c r="O183" s="48">
        <f>IF(t&lt;Tnet,'2024'!Resal+('2024'!Salim-'2024'!Resal)*(1-EXP(('2024'!Tnet-t)/('2024'!Tau_j))),Resal+(Salim-Resal)*(1-EXP((Tnet-t)/(Tau_j))))*Salcycl</f>
        <v>3.9961010199295113E-2</v>
      </c>
      <c r="P183" s="169">
        <f>(INDEX(Models!$BJ183:$BT183,,T183)*(1-R183)+INDEX(Models!$BJ183:$BT183,,T183+1)*R183-ERP_i)*Q183*Ramure*Pc/MaxiM</f>
        <v>2.6123391093912739E-4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58.121183600019656</v>
      </c>
      <c r="W183" s="400">
        <f t="shared" si="59"/>
        <v>54.764773083386046</v>
      </c>
      <c r="X183" s="157">
        <f t="shared" si="60"/>
        <v>45826</v>
      </c>
      <c r="Y183" s="383">
        <f t="shared" si="61"/>
        <v>52.982219805781313</v>
      </c>
      <c r="Z183" s="383">
        <f t="shared" si="62"/>
        <v>55.417653740941098</v>
      </c>
      <c r="AA183" s="384">
        <f t="shared" si="63"/>
        <v>59.666478405146997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7.1209576596016802E-2</v>
      </c>
      <c r="AD183" s="230">
        <f>(INDEX(Models!$BJ183:$BT183,,AH183)*(1-AF183)+INDEX(Models!$BJ183:$BT183,,AH183+1)*AF183-ERP_i)*AE183*Ramure*Pc/MaxiM</f>
        <v>2.6123391093912739E-4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'2024'!Wh/'2024'!Env_an*'2025'!Env_an</f>
        <v>56.096549311159137</v>
      </c>
      <c r="C184" s="829"/>
      <c r="D184" s="391">
        <f t="shared" si="50"/>
        <v>58.676264161860523</v>
      </c>
      <c r="E184" s="383">
        <f t="shared" si="75"/>
        <v>61.123521585969286</v>
      </c>
      <c r="F184" s="383">
        <f t="shared" si="51"/>
        <v>61.138785623622113</v>
      </c>
      <c r="G184" s="110">
        <f t="shared" si="76"/>
        <v>0.96602727124142684</v>
      </c>
      <c r="H184" s="412" t="b">
        <f>Wh_hp&gt;='2024'!Maxi_hp</f>
        <v>0</v>
      </c>
      <c r="I184" s="388">
        <f>IF(H184,Wh_hp,'2024'!Maxi_hp)</f>
        <v>61.139288627331723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4.39652197962902E-2</v>
      </c>
      <c r="M184" s="832"/>
      <c r="N184" s="832"/>
      <c r="O184" s="48">
        <f>IF(t&lt;Tnet,'2024'!Resal+('2024'!Salim-'2024'!Resal)*(1-EXP(('2024'!Tnet-t)/('2024'!Tau_j))),Resal+(Salim-Resal)*(1-EXP((Tnet-t)/(Tau_j))))*Salcycl</f>
        <v>4.0037899659736219E-2</v>
      </c>
      <c r="P184" s="169">
        <f>(INDEX(Models!$BJ184:$BT184,,T184)*(1-R184)+INDEX(Models!$BJ184:$BT184,,T184+1)*R184-ERP_i)*Q184*Ramure*Pc/MaxiM</f>
        <v>2.6239202271956572E-4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58.068583256498904</v>
      </c>
      <c r="W184" s="400">
        <f t="shared" si="59"/>
        <v>56.096549311159137</v>
      </c>
      <c r="X184" s="157">
        <f t="shared" si="60"/>
        <v>45827</v>
      </c>
      <c r="Y184" s="383">
        <f t="shared" si="61"/>
        <v>54.271338126415635</v>
      </c>
      <c r="Z184" s="383">
        <f t="shared" si="62"/>
        <v>56.767116898039646</v>
      </c>
      <c r="AA184" s="384">
        <f t="shared" si="63"/>
        <v>61.123521585969286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7.1272148182797673E-2</v>
      </c>
      <c r="AD184" s="230">
        <f>(INDEX(Models!$BJ184:$BT184,,AH184)*(1-AF184)+INDEX(Models!$BJ184:$BT184,,AH184+1)*AF184-ERP_i)*AE184*Ramure*Pc/MaxiM</f>
        <v>2.6239202271956572E-4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'2024'!Wh/'2024'!Env_an*'2025'!Env_an</f>
        <v>31.645682485215129</v>
      </c>
      <c r="C185" s="829"/>
      <c r="D185" s="391">
        <f t="shared" si="50"/>
        <v>33.101608471169442</v>
      </c>
      <c r="E185" s="383">
        <f t="shared" si="75"/>
        <v>34.48494200822099</v>
      </c>
      <c r="F185" s="383">
        <f t="shared" si="51"/>
        <v>34.488132068846909</v>
      </c>
      <c r="G185" s="110">
        <f t="shared" si="76"/>
        <v>0.54538438096909947</v>
      </c>
      <c r="H185" s="412" t="b">
        <f>Wh_hp&gt;='2024'!Maxi_hp</f>
        <v>0</v>
      </c>
      <c r="I185" s="388">
        <f>IF(H185,Wh_hp,'2024'!Maxi_hp)</f>
        <v>56.990075158502776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4.3983541984746188E-2</v>
      </c>
      <c r="M185" s="832"/>
      <c r="N185" s="832"/>
      <c r="O185" s="48">
        <f>IF(t&lt;Tnet,'2024'!Resal+('2024'!Salim-'2024'!Resal)*(1-EXP(('2024'!Tnet-t)/('2024'!Tau_j))),Resal+(Salim-Resal)*(1-EXP((Tnet-t)/(Tau_j))))*Salcycl</f>
        <v>4.0114132618282249E-2</v>
      </c>
      <c r="P185" s="169">
        <f>(INDEX(Models!$BJ185:$BT185,,T185)*(1-R185)+INDEX(Models!$BJ185:$BT185,,T185+1)*R185-ERP_i)*Q185*Ramure*Pc/MaxiM</f>
        <v>2.6376372095020549E-4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58.014609964168272</v>
      </c>
      <c r="W185" s="400">
        <f t="shared" si="59"/>
        <v>31.645682485215129</v>
      </c>
      <c r="X185" s="157">
        <f t="shared" si="60"/>
        <v>45828</v>
      </c>
      <c r="Y185" s="383">
        <f t="shared" si="61"/>
        <v>30.616435273988486</v>
      </c>
      <c r="Z185" s="383">
        <f t="shared" si="62"/>
        <v>32.025008583586519</v>
      </c>
      <c r="AA185" s="384">
        <f t="shared" si="63"/>
        <v>34.48494200822099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7.1333552599509617E-2</v>
      </c>
      <c r="AD185" s="230">
        <f>(INDEX(Models!$BJ185:$BT185,,AH185)*(1-AF185)+INDEX(Models!$BJ185:$BT185,,AH185+1)*AF185-ERP_i)*AE185*Ramure*Pc/MaxiM</f>
        <v>2.6376372095020549E-4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'2024'!Wh/'2024'!Env_an*'2025'!Env_an</f>
        <v>22.774168112529054</v>
      </c>
      <c r="C186" s="829"/>
      <c r="D186" s="391">
        <f t="shared" si="50"/>
        <v>23.822398026401732</v>
      </c>
      <c r="E186" s="383">
        <f t="shared" si="75"/>
        <v>24.819902442512785</v>
      </c>
      <c r="F186" s="383">
        <f t="shared" si="51"/>
        <v>24.82077685805152</v>
      </c>
      <c r="G186" s="110">
        <f t="shared" si="76"/>
        <v>0.39284361646816929</v>
      </c>
      <c r="H186" s="412" t="b">
        <f>Wh_hp&gt;='2024'!Maxi_hp</f>
        <v>0</v>
      </c>
      <c r="I186" s="388">
        <f>IF(H186,Wh_hp,'2024'!Maxi_hp)</f>
        <v>52.195932812822107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4.4001863822061615E-2</v>
      </c>
      <c r="M186" s="832"/>
      <c r="N186" s="832"/>
      <c r="O186" s="48">
        <f>IF(t&lt;Tnet,'2024'!Resal+('2024'!Salim-'2024'!Resal)*(1-EXP(('2024'!Tnet-t)/('2024'!Tau_j))),Resal+(Salim-Resal)*(1-EXP((Tnet-t)/(Tau_j))))*Salcycl</f>
        <v>4.0189699311729707E-2</v>
      </c>
      <c r="P186" s="169">
        <f>(INDEX(Models!$BJ186:$BT186,,T186)*(1-R186)+INDEX(Models!$BJ186:$BT186,,T186+1)*R186-ERP_i)*Q186*Ramure*Pc/MaxiM</f>
        <v>2.6535403915680961E-4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57.959264376731582</v>
      </c>
      <c r="W186" s="400">
        <f t="shared" si="59"/>
        <v>22.774168112529054</v>
      </c>
      <c r="X186" s="157">
        <f t="shared" si="60"/>
        <v>45829</v>
      </c>
      <c r="Y186" s="383">
        <f t="shared" si="61"/>
        <v>22.033764627003549</v>
      </c>
      <c r="Z186" s="383">
        <f t="shared" si="62"/>
        <v>23.04791588307285</v>
      </c>
      <c r="AA186" s="384">
        <f t="shared" si="63"/>
        <v>24.819902442512785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7.1393776165888045E-2</v>
      </c>
      <c r="AD186" s="230">
        <f>(INDEX(Models!$BJ186:$BT186,,AH186)*(1-AF186)+INDEX(Models!$BJ186:$BT186,,AH186+1)*AF186-ERP_i)*AE186*Ramure*Pc/MaxiM</f>
        <v>2.6535403915680961E-4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'2024'!Wh/'2024'!Env_an*'2025'!Env_an</f>
        <v>44.11067829948</v>
      </c>
      <c r="C187" s="829"/>
      <c r="D187" s="391">
        <f t="shared" si="50"/>
        <v>46.141851136995939</v>
      </c>
      <c r="E187" s="383">
        <f t="shared" si="75"/>
        <v>48.077679273126876</v>
      </c>
      <c r="F187" s="383">
        <f t="shared" si="51"/>
        <v>48.086154839320194</v>
      </c>
      <c r="G187" s="110">
        <f t="shared" si="76"/>
        <v>0.76173967732815606</v>
      </c>
      <c r="H187" s="412" t="b">
        <f>Wh_hp&gt;='2024'!Maxi_hp</f>
        <v>0</v>
      </c>
      <c r="I187" s="388">
        <f>IF(H187,Wh_hp,'2024'!Maxi_hp)</f>
        <v>63.676809848065162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4.4020185308243254E-2</v>
      </c>
      <c r="M187" s="832"/>
      <c r="N187" s="832"/>
      <c r="O187" s="48">
        <f>IF(t&lt;Tnet,'2024'!Resal+('2024'!Salim-'2024'!Resal)*(1-EXP(('2024'!Tnet-t)/('2024'!Tau_j))),Resal+(Salim-Resal)*(1-EXP((Tnet-t)/(Tau_j))))*Salcycl</f>
        <v>4.0264591914547072E-2</v>
      </c>
      <c r="P187" s="169">
        <f>(INDEX(Models!$BJ187:$BT187,,T187)*(1-R187)+INDEX(Models!$BJ187:$BT187,,T187+1)*R187-ERP_i)*Q187*Ramure*Pc/MaxiM</f>
        <v>2.6716795621542131E-4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57.902547028142273</v>
      </c>
      <c r="W187" s="400">
        <f t="shared" si="59"/>
        <v>44.11067829948</v>
      </c>
      <c r="X187" s="157">
        <f t="shared" si="60"/>
        <v>45830</v>
      </c>
      <c r="Y187" s="383">
        <f t="shared" si="61"/>
        <v>42.677227595190587</v>
      </c>
      <c r="Z187" s="383">
        <f t="shared" si="62"/>
        <v>44.642394054053646</v>
      </c>
      <c r="AA187" s="384">
        <f t="shared" si="63"/>
        <v>48.077679273126876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7.1452808683995464E-2</v>
      </c>
      <c r="AD187" s="230">
        <f>(INDEX(Models!$BJ187:$BT187,,AH187)*(1-AF187)+INDEX(Models!$BJ187:$BT187,,AH187+1)*AF187-ERP_i)*AE187*Ramure*Pc/MaxiM</f>
        <v>2.6716795621542131E-4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'2024'!Wh/'2024'!Env_an*'2025'!Env_an</f>
        <v>41.607753703808832</v>
      </c>
      <c r="C188" s="829"/>
      <c r="D188" s="391">
        <f t="shared" si="50"/>
        <v>43.524508031181377</v>
      </c>
      <c r="E188" s="383">
        <f t="shared" si="75"/>
        <v>45.354035608871385</v>
      </c>
      <c r="F188" s="383">
        <f t="shared" si="51"/>
        <v>45.361350441295166</v>
      </c>
      <c r="G188" s="110">
        <f t="shared" si="76"/>
        <v>0.71922639568372737</v>
      </c>
      <c r="H188" s="412" t="b">
        <f>Wh_hp&gt;='2024'!Maxi_hp</f>
        <v>0</v>
      </c>
      <c r="I188" s="388">
        <f>IF(H188,Wh_hp,'2024'!Maxi_hp)</f>
        <v>54.409239843799597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4.4038506443297765E-2</v>
      </c>
      <c r="M188" s="832"/>
      <c r="N188" s="832"/>
      <c r="O188" s="48">
        <f>IF(t&lt;Tnet,'2024'!Resal+('2024'!Salim-'2024'!Resal)*(1-EXP(('2024'!Tnet-t)/('2024'!Tau_j))),Resal+(Salim-Resal)*(1-EXP((Tnet-t)/(Tau_j))))*Salcycl</f>
        <v>4.0338804543605937E-2</v>
      </c>
      <c r="P188" s="169">
        <f>(INDEX(Models!$BJ188:$BT188,,T188)*(1-R188)+INDEX(Models!$BJ188:$BT188,,T188+1)*R188-ERP_i)*Q188*Ramure*Pc/MaxiM</f>
        <v>2.6920764003207322E-4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57.844458494286478</v>
      </c>
      <c r="W188" s="400">
        <f t="shared" si="59"/>
        <v>41.607753703808832</v>
      </c>
      <c r="X188" s="157">
        <f t="shared" si="60"/>
        <v>45831</v>
      </c>
      <c r="Y188" s="383">
        <f t="shared" si="61"/>
        <v>40.256245274629897</v>
      </c>
      <c r="Z188" s="383">
        <f t="shared" si="62"/>
        <v>42.110739340404322</v>
      </c>
      <c r="AA188" s="384">
        <f t="shared" si="63"/>
        <v>45.354035608871385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7.1510643428446416E-2</v>
      </c>
      <c r="AD188" s="230">
        <f>(INDEX(Models!$BJ188:$BT188,,AH188)*(1-AF188)+INDEX(Models!$BJ188:$BT188,,AH188+1)*AF188-ERP_i)*AE188*Ramure*Pc/MaxiM</f>
        <v>2.6920764003207322E-4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'2024'!Wh/'2024'!Env_an*'2025'!Env_an</f>
        <v>39.245934391153725</v>
      </c>
      <c r="C189" s="829"/>
      <c r="D189" s="391">
        <f t="shared" si="50"/>
        <v>41.054673027601254</v>
      </c>
      <c r="E189" s="383">
        <f t="shared" si="75"/>
        <v>42.783660576560351</v>
      </c>
      <c r="F189" s="383">
        <f t="shared" si="51"/>
        <v>42.789952876612148</v>
      </c>
      <c r="G189" s="110">
        <f t="shared" si="76"/>
        <v>0.67908715143291409</v>
      </c>
      <c r="H189" s="412" t="b">
        <f>Wh_hp&gt;='2024'!Maxi_hp</f>
        <v>0</v>
      </c>
      <c r="I189" s="388">
        <f>IF(H189,Wh_hp,'2024'!Maxi_hp)</f>
        <v>62.441537989908561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4.4056827227231921E-2</v>
      </c>
      <c r="M189" s="832"/>
      <c r="N189" s="832"/>
      <c r="O189" s="48">
        <f>IF(t&lt;Tnet,'2024'!Resal+('2024'!Salim-'2024'!Resal)*(1-EXP(('2024'!Tnet-t)/('2024'!Tau_j))),Resal+(Salim-Resal)*(1-EXP((Tnet-t)/(Tau_j))))*Salcycl</f>
        <v>4.0412333251969294E-2</v>
      </c>
      <c r="P189" s="169">
        <f>(INDEX(Models!$BJ189:$BT189,,T189)*(1-R189)+INDEX(Models!$BJ189:$BT189,,T189+1)*R189-ERP_i)*Q189*Ramure*Pc/MaxiM</f>
        <v>2.7147495850683701E-4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57.784999246114481</v>
      </c>
      <c r="W189" s="400">
        <f t="shared" si="59"/>
        <v>39.245934391153725</v>
      </c>
      <c r="X189" s="157">
        <f t="shared" si="60"/>
        <v>45832</v>
      </c>
      <c r="Y189" s="383">
        <f t="shared" si="61"/>
        <v>37.971736185744554</v>
      </c>
      <c r="Z189" s="383">
        <f t="shared" si="62"/>
        <v>39.7217504839805</v>
      </c>
      <c r="AA189" s="384">
        <f t="shared" si="63"/>
        <v>42.783660576560351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7.1567277117408734E-2</v>
      </c>
      <c r="AD189" s="230">
        <f>(INDEX(Models!$BJ189:$BT189,,AH189)*(1-AF189)+INDEX(Models!$BJ189:$BT189,,AH189+1)*AF189-ERP_i)*AE189*Ramure*Pc/MaxiM</f>
        <v>2.7147495850683701E-4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'2024'!Wh/'2024'!Env_an*'2025'!Env_an</f>
        <v>34.058283612608953</v>
      </c>
      <c r="C190" s="829"/>
      <c r="D190" s="391">
        <f t="shared" si="50"/>
        <v>35.628620313866563</v>
      </c>
      <c r="E190" s="383">
        <f t="shared" si="75"/>
        <v>37.131912319787247</v>
      </c>
      <c r="F190" s="383">
        <f t="shared" si="51"/>
        <v>37.136127663513584</v>
      </c>
      <c r="G190" s="110">
        <f t="shared" si="76"/>
        <v>0.5899230456746537</v>
      </c>
      <c r="H190" s="412" t="b">
        <f>Wh_hp&gt;='2024'!Maxi_hp</f>
        <v>0</v>
      </c>
      <c r="I190" s="388">
        <f>IF(H190,Wh_hp,'2024'!Maxi_hp)</f>
        <v>58.359170518097258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4.4075147660052383E-2</v>
      </c>
      <c r="M190" s="832"/>
      <c r="N190" s="832"/>
      <c r="O190" s="48">
        <f>IF(t&lt;Tnet,'2024'!Resal+('2024'!Salim-'2024'!Resal)*(1-EXP(('2024'!Tnet-t)/('2024'!Tau_j))),Resal+(Salim-Resal)*(1-EXP((Tnet-t)/(Tau_j))))*Salcycl</f>
        <v>4.0485176011783044E-2</v>
      </c>
      <c r="P190" s="169">
        <f>(INDEX(Models!$BJ190:$BT190,,T190)*(1-R190)+INDEX(Models!$BJ190:$BT190,,T190+1)*R190-ERP_i)*Q190*Ramure*Pc/MaxiM</f>
        <v>2.739743240947974E-4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57.724169486968059</v>
      </c>
      <c r="W190" s="400">
        <f t="shared" si="59"/>
        <v>34.058283612608953</v>
      </c>
      <c r="X190" s="157">
        <f t="shared" si="60"/>
        <v>45833</v>
      </c>
      <c r="Y190" s="383">
        <f t="shared" si="61"/>
        <v>32.953046952951581</v>
      </c>
      <c r="Z190" s="383">
        <f t="shared" si="62"/>
        <v>34.472424136989339</v>
      </c>
      <c r="AA190" s="384">
        <f t="shared" si="63"/>
        <v>37.131912319787247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7.1622709864600523E-2</v>
      </c>
      <c r="AD190" s="230">
        <f>(INDEX(Models!$BJ190:$BT190,,AH190)*(1-AF190)+INDEX(Models!$BJ190:$BT190,,AH190+1)*AF190-ERP_i)*AE190*Ramure*Pc/MaxiM</f>
        <v>2.739743240947974E-4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'2024'!Wh/'2024'!Env_an*'2025'!Env_an</f>
        <v>12.092012439364245</v>
      </c>
      <c r="C191" s="829"/>
      <c r="D191" s="391">
        <f t="shared" si="50"/>
        <v>12.649785341248867</v>
      </c>
      <c r="E191" s="383">
        <f t="shared" si="75"/>
        <v>13.184514064470148</v>
      </c>
      <c r="F191" s="383">
        <f t="shared" si="51"/>
        <v>13.184514064470148</v>
      </c>
      <c r="G191" s="110">
        <f t="shared" si="76"/>
        <v>0.20964713142028382</v>
      </c>
      <c r="H191" s="412" t="b">
        <f>Wh_hp&gt;='2024'!Maxi_hp</f>
        <v>0</v>
      </c>
      <c r="I191" s="388">
        <f>IF(H191,Wh_hp,'2024'!Maxi_hp)</f>
        <v>60.460509614669505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4.4093467741766035E-2</v>
      </c>
      <c r="M191" s="832"/>
      <c r="N191" s="832"/>
      <c r="O191" s="48">
        <f>IF(t&lt;Tnet,'2024'!Resal+('2024'!Salim-'2024'!Resal)*(1-EXP(('2024'!Tnet-t)/('2024'!Tau_j))),Resal+(Salim-Resal)*(1-EXP((Tnet-t)/(Tau_j))))*Salcycl</f>
        <v>4.0557332686403484E-2</v>
      </c>
      <c r="P191" s="169">
        <f>(INDEX(Models!$BJ191:$BT191,,T191)*(1-R191)+INDEX(Models!$BJ191:$BT191,,T191+1)*R191-ERP_i)*Q191*Ramure*Pc/MaxiM</f>
        <v>2.7671005013696749E-4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57.661969310524448</v>
      </c>
      <c r="W191" s="400">
        <f t="shared" si="59"/>
        <v>12.092012439364245</v>
      </c>
      <c r="X191" s="157">
        <f t="shared" si="60"/>
        <v>45834</v>
      </c>
      <c r="Y191" s="383">
        <f t="shared" si="61"/>
        <v>11.699806887759991</v>
      </c>
      <c r="Z191" s="383">
        <f t="shared" si="62"/>
        <v>12.239488373534138</v>
      </c>
      <c r="AA191" s="384">
        <f t="shared" si="63"/>
        <v>13.184514064470148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7.1676945112651588E-2</v>
      </c>
      <c r="AD191" s="230">
        <f>(INDEX(Models!$BJ191:$BT191,,AH191)*(1-AF191)+INDEX(Models!$BJ191:$BT191,,AH191+1)*AF191-ERP_i)*AE191*Ramure*Pc/MaxiM</f>
        <v>2.7671005013696749E-4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'2024'!Wh/'2024'!Env_an*'2025'!Env_an</f>
        <v>14.692935491272417</v>
      </c>
      <c r="C192" s="829"/>
      <c r="D192" s="391">
        <f t="shared" si="50"/>
        <v>15.370976750953357</v>
      </c>
      <c r="E192" s="383">
        <f t="shared" si="75"/>
        <v>16.021928562098253</v>
      </c>
      <c r="F192" s="383">
        <f t="shared" si="51"/>
        <v>16.021928562098253</v>
      </c>
      <c r="G192" s="110">
        <f t="shared" si="76"/>
        <v>0.25502143131402816</v>
      </c>
      <c r="H192" s="412" t="b">
        <f>Wh_hp&gt;='2024'!Maxi_hp</f>
        <v>0</v>
      </c>
      <c r="I192" s="388">
        <f>IF(H192,Wh_hp,'2024'!Maxi_hp)</f>
        <v>59.284461981263078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4.4111787472379427E-2</v>
      </c>
      <c r="M192" s="832"/>
      <c r="N192" s="832"/>
      <c r="O192" s="48">
        <f>IF(t&lt;Tnet,'2024'!Resal+('2024'!Salim-'2024'!Resal)*(1-EXP(('2024'!Tnet-t)/('2024'!Tau_j))),Resal+(Salim-Resal)*(1-EXP((Tnet-t)/(Tau_j))))*Salcycl</f>
        <v>4.0628804991978268E-2</v>
      </c>
      <c r="P192" s="169">
        <f>(INDEX(Models!$BJ192:$BT192,,T192)*(1-R192)+INDEX(Models!$BJ192:$BT192,,T192+1)*R192-ERP_i)*Q192*Ramure*Pc/MaxiM</f>
        <v>2.7986746023891756E-4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57.598388265045479</v>
      </c>
      <c r="W192" s="400">
        <f t="shared" si="59"/>
        <v>14.692935491272417</v>
      </c>
      <c r="X192" s="157">
        <f t="shared" si="60"/>
        <v>45835</v>
      </c>
      <c r="Y192" s="383">
        <f t="shared" si="61"/>
        <v>14.216615480033163</v>
      </c>
      <c r="Z192" s="383">
        <f t="shared" si="62"/>
        <v>14.872675793794633</v>
      </c>
      <c r="AA192" s="384">
        <f t="shared" si="63"/>
        <v>16.021928562098253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7.1729989548343906E-2</v>
      </c>
      <c r="AD192" s="230">
        <f>(INDEX(Models!$BJ192:$BT192,,AH192)*(1-AF192)+INDEX(Models!$BJ192:$BT192,,AH192+1)*AF192-ERP_i)*AE192*Ramure*Pc/MaxiM</f>
        <v>2.7986746023891756E-4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'2024'!Wh/'2024'!Env_an*'2025'!Env_an</f>
        <v>58.288908905224808</v>
      </c>
      <c r="C193" s="829"/>
      <c r="D193" s="391">
        <f t="shared" si="50"/>
        <v>60.979961104595262</v>
      </c>
      <c r="E193" s="383">
        <f t="shared" si="75"/>
        <v>63.567117118740441</v>
      </c>
      <c r="F193" s="383">
        <f t="shared" si="51"/>
        <v>63.585131804859884</v>
      </c>
      <c r="G193" s="110">
        <f t="shared" si="76"/>
        <v>1.0131310585480504</v>
      </c>
      <c r="H193" s="412" t="b">
        <f>Wh_hp&gt;='2024'!Maxi_hp</f>
        <v>1</v>
      </c>
      <c r="I193" s="388">
        <f>IF(H193,Wh_hp,'2024'!Maxi_hp)</f>
        <v>63.585131804859884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4.4130106851899331E-2</v>
      </c>
      <c r="M193" s="832"/>
      <c r="N193" s="832"/>
      <c r="O193" s="48">
        <f>IF(t&lt;Tnet,'2024'!Resal+('2024'!Salim-'2024'!Resal)*(1-EXP(('2024'!Tnet-t)/('2024'!Tau_j))),Resal+(Salim-Resal)*(1-EXP((Tnet-t)/(Tau_j))))*Salcycl</f>
        <v>4.069959644878178E-2</v>
      </c>
      <c r="P193" s="169">
        <f>(INDEX(Models!$BJ193:$BT193,,T193)*(1-R193)+INDEX(Models!$BJ193:$BT193,,T193+1)*R193-ERP_i)*Q193*Ramure*Pc/MaxiM</f>
        <v>2.8331601442187671E-4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57.533434014707289</v>
      </c>
      <c r="W193" s="400">
        <f t="shared" si="59"/>
        <v>58.288908905224808</v>
      </c>
      <c r="X193" s="157">
        <f t="shared" si="60"/>
        <v>45836</v>
      </c>
      <c r="Y193" s="383">
        <f t="shared" si="61"/>
        <v>56.400292144511958</v>
      </c>
      <c r="Z193" s="383">
        <f t="shared" si="62"/>
        <v>59.004151662064537</v>
      </c>
      <c r="AA193" s="384">
        <f t="shared" si="63"/>
        <v>63.567117118740441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7.1781853000388557E-2</v>
      </c>
      <c r="AD193" s="230">
        <f>(INDEX(Models!$BJ193:$BT193,,AH193)*(1-AF193)+INDEX(Models!$BJ193:$BT193,,AH193+1)*AF193-ERP_i)*AE193*Ramure*Pc/MaxiM</f>
        <v>2.8331601442187671E-4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'2024'!Wh/'2024'!Env_an*'2025'!Env_an</f>
        <v>56.617722346922108</v>
      </c>
      <c r="C194" s="829"/>
      <c r="D194" s="391">
        <f t="shared" si="50"/>
        <v>59.232755251846122</v>
      </c>
      <c r="E194" s="383">
        <f t="shared" si="75"/>
        <v>61.750297100472878</v>
      </c>
      <c r="F194" s="383">
        <f t="shared" si="51"/>
        <v>61.767653758050344</v>
      </c>
      <c r="G194" s="110">
        <f t="shared" si="76"/>
        <v>0.98521367635578105</v>
      </c>
      <c r="H194" s="412" t="b">
        <f>Wh_hp&gt;='2024'!Maxi_hp</f>
        <v>0</v>
      </c>
      <c r="I194" s="388">
        <f>IF(H194,Wh_hp,'2024'!Maxi_hp)</f>
        <v>61.767891978922982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4.4148425880332631E-2</v>
      </c>
      <c r="M194" s="832"/>
      <c r="N194" s="832"/>
      <c r="O194" s="48">
        <f>IF(t&lt;Tnet,'2024'!Resal+('2024'!Salim-'2024'!Resal)*(1-EXP(('2024'!Tnet-t)/('2024'!Tau_j))),Resal+(Salim-Resal)*(1-EXP((Tnet-t)/(Tau_j))))*Salcycl</f>
        <v>4.07697123226873E-2</v>
      </c>
      <c r="P194" s="169">
        <f>(INDEX(Models!$BJ194:$BT194,,T194)*(1-R194)+INDEX(Models!$BJ194:$BT194,,T194+1)*R194-ERP_i)*Q194*Ramure*Pc/MaxiM</f>
        <v>2.870603579469233E-4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57.467106310911269</v>
      </c>
      <c r="W194" s="400">
        <f t="shared" si="59"/>
        <v>56.617722346922108</v>
      </c>
      <c r="X194" s="157">
        <f t="shared" si="60"/>
        <v>45837</v>
      </c>
      <c r="Y194" s="383">
        <f t="shared" si="61"/>
        <v>54.784265828266371</v>
      </c>
      <c r="Z194" s="383">
        <f t="shared" si="62"/>
        <v>57.314615900195903</v>
      </c>
      <c r="AA194" s="384">
        <f t="shared" si="63"/>
        <v>61.750297100472878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7.1832548320532749E-2</v>
      </c>
      <c r="AD194" s="230">
        <f>(INDEX(Models!$BJ194:$BT194,,AH194)*(1-AF194)+INDEX(Models!$BJ194:$BT194,,AH194+1)*AF194-ERP_i)*AE194*Ramure*Pc/MaxiM</f>
        <v>2.870603579469233E-4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'2024'!Wh/'2024'!Env_an*'2025'!Env_an</f>
        <v>13.962904621888351</v>
      </c>
      <c r="C195" s="829"/>
      <c r="D195" s="391">
        <f t="shared" si="50"/>
        <v>14.608096697186982</v>
      </c>
      <c r="E195" s="383">
        <f t="shared" si="75"/>
        <v>15.230080379890877</v>
      </c>
      <c r="F195" s="383">
        <f t="shared" si="51"/>
        <v>15.230080379890877</v>
      </c>
      <c r="G195" s="110">
        <f t="shared" si="76"/>
        <v>0.24318788664233357</v>
      </c>
      <c r="H195" s="412" t="b">
        <f>Wh_hp&gt;='2024'!Maxi_hp</f>
        <v>0</v>
      </c>
      <c r="I195" s="388">
        <f>IF(H195,Wh_hp,'2024'!Maxi_hp)</f>
        <v>52.702185547178217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4.4166744557685766E-2</v>
      </c>
      <c r="M195" s="832"/>
      <c r="N195" s="832"/>
      <c r="O195" s="48">
        <f>IF(t&lt;Tnet,'2024'!Resal+('2024'!Salim-'2024'!Resal)*(1-EXP(('2024'!Tnet-t)/('2024'!Tau_j))),Resal+(Salim-Resal)*(1-EXP((Tnet-t)/(Tau_j))))*Salcycl</f>
        <v>4.0839159557236167E-2</v>
      </c>
      <c r="P195" s="169">
        <f>(INDEX(Models!$BJ195:$BT195,,T195)*(1-R195)+INDEX(Models!$BJ195:$BT195,,T195+1)*R195-ERP_i)*Q195*Ramure*Pc/MaxiM</f>
        <v>2.9110500183483469E-4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57.399404810991335</v>
      </c>
      <c r="W195" s="400">
        <f t="shared" si="59"/>
        <v>13.962904621888351</v>
      </c>
      <c r="X195" s="157">
        <f t="shared" si="60"/>
        <v>45838</v>
      </c>
      <c r="Y195" s="383">
        <f t="shared" si="61"/>
        <v>13.51099971072173</v>
      </c>
      <c r="Z195" s="383">
        <f t="shared" si="62"/>
        <v>14.135310352295162</v>
      </c>
      <c r="AA195" s="384">
        <f t="shared" si="63"/>
        <v>15.230080379890877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7.1882091248920865E-2</v>
      </c>
      <c r="AD195" s="230">
        <f>(INDEX(Models!$BJ195:$BT195,,AH195)*(1-AF195)+INDEX(Models!$BJ195:$BT195,,AH195+1)*AF195-ERP_i)*AE195*Ramure*Pc/MaxiM</f>
        <v>2.9110500183483469E-4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'2024'!Wh/'2024'!Env_an*'2025'!Env_an</f>
        <v>50.363431219948659</v>
      </c>
      <c r="C196" s="829"/>
      <c r="D196" s="391">
        <f t="shared" si="50"/>
        <v>52.691613474789868</v>
      </c>
      <c r="E196" s="383">
        <f t="shared" si="75"/>
        <v>54.939057511025425</v>
      </c>
      <c r="F196" s="383">
        <f t="shared" si="51"/>
        <v>54.952474850210471</v>
      </c>
      <c r="G196" s="110">
        <f t="shared" si="76"/>
        <v>0.87843290219405901</v>
      </c>
      <c r="H196" s="412" t="b">
        <f>Wh_hp&gt;='2024'!Maxi_hp</f>
        <v>0</v>
      </c>
      <c r="I196" s="388">
        <f>IF(H196,Wh_hp,'2024'!Maxi_hp)</f>
        <v>60.959454139649438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4.4185062883965731E-2</v>
      </c>
      <c r="M196" s="832"/>
      <c r="N196" s="832"/>
      <c r="O196" s="48">
        <f>IF(t&lt;Tnet,'2024'!Resal+('2024'!Salim-'2024'!Resal)*(1-EXP(('2024'!Tnet-t)/('2024'!Tau_j))),Resal+(Salim-Resal)*(1-EXP((Tnet-t)/(Tau_j))))*Salcycl</f>
        <v>4.090794669683815E-2</v>
      </c>
      <c r="P196" s="169">
        <f>(INDEX(Models!$BJ196:$BT196,,T196)*(1-R196)+INDEX(Models!$BJ196:$BT196,,T196+1)*R196-ERP_i)*Q196*Ramure*Pc/MaxiM</f>
        <v>2.9545432832920541E-4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57.330329084776075</v>
      </c>
      <c r="W196" s="400">
        <f t="shared" si="59"/>
        <v>50.363431219948659</v>
      </c>
      <c r="X196" s="157">
        <f t="shared" si="60"/>
        <v>45839</v>
      </c>
      <c r="Y196" s="383">
        <f t="shared" si="61"/>
        <v>48.734388170844056</v>
      </c>
      <c r="Z196" s="383">
        <f t="shared" si="62"/>
        <v>50.987263620183192</v>
      </c>
      <c r="AA196" s="384">
        <f t="shared" si="63"/>
        <v>54.939057511025425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7.193050026475542E-2</v>
      </c>
      <c r="AD196" s="230">
        <f>(INDEX(Models!$BJ196:$BT196,,AH196)*(1-AF196)+INDEX(Models!$BJ196:$BT196,,AH196+1)*AF196-ERP_i)*AE196*Ramure*Pc/MaxiM</f>
        <v>2.9545432832920541E-4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'2024'!Wh/'2024'!Env_an*'2025'!Env_an</f>
        <v>55.634650162185693</v>
      </c>
      <c r="C197" s="829"/>
      <c r="D197" s="391">
        <f t="shared" si="50"/>
        <v>58.20762393174865</v>
      </c>
      <c r="E197" s="383">
        <f t="shared" si="75"/>
        <v>60.694653124493421</v>
      </c>
      <c r="F197" s="383">
        <f t="shared" si="51"/>
        <v>60.71213480302584</v>
      </c>
      <c r="G197" s="110">
        <f t="shared" si="76"/>
        <v>0.97160480077044831</v>
      </c>
      <c r="H197" s="412" t="b">
        <f>Wh_hp&gt;='2024'!Maxi_hp</f>
        <v>0</v>
      </c>
      <c r="I197" s="388">
        <f>IF(H197,Wh_hp,'2024'!Maxi_hp)</f>
        <v>60.712601293017094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4.4203380859179187E-2</v>
      </c>
      <c r="M197" s="832"/>
      <c r="N197" s="832"/>
      <c r="O197" s="48">
        <f>IF(t&lt;Tnet,'2024'!Resal+('2024'!Salim-'2024'!Resal)*(1-EXP(('2024'!Tnet-t)/('2024'!Tau_j))),Resal+(Salim-Resal)*(1-EXP((Tnet-t)/(Tau_j))))*Salcycl</f>
        <v>4.0976083801706836E-2</v>
      </c>
      <c r="P197" s="169">
        <f>(INDEX(Models!$BJ197:$BT197,,T197)*(1-R197)+INDEX(Models!$BJ197:$BT197,,T197+1)*R197-ERP_i)*Q197*Ramure*Pc/MaxiM</f>
        <v>3.001125976970216E-4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57.259878617682986</v>
      </c>
      <c r="W197" s="400">
        <f t="shared" si="59"/>
        <v>55.634650162185693</v>
      </c>
      <c r="X197" s="157">
        <f t="shared" si="60"/>
        <v>45840</v>
      </c>
      <c r="Y197" s="383">
        <f t="shared" si="61"/>
        <v>53.836186738067283</v>
      </c>
      <c r="Z197" s="383">
        <f t="shared" si="62"/>
        <v>56.325985737908759</v>
      </c>
      <c r="AA197" s="384">
        <f t="shared" si="63"/>
        <v>60.694653124493421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7.1977796423416382E-2</v>
      </c>
      <c r="AD197" s="230">
        <f>(INDEX(Models!$BJ197:$BT197,,AH197)*(1-AF197)+INDEX(Models!$BJ197:$BT197,,AH197+1)*AF197-ERP_i)*AE197*Ramure*Pc/MaxiM</f>
        <v>3.001125976970216E-4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'2024'!Wh/'2024'!Env_an*'2025'!Env_an</f>
        <v>45.830451337746396</v>
      </c>
      <c r="C198" s="829"/>
      <c r="D198" s="391">
        <f t="shared" si="50"/>
        <v>47.950922577987804</v>
      </c>
      <c r="E198" s="383">
        <f t="shared" si="75"/>
        <v>50.003234449126779</v>
      </c>
      <c r="F198" s="383">
        <f t="shared" si="51"/>
        <v>50.014165602697851</v>
      </c>
      <c r="G198" s="110">
        <f t="shared" si="76"/>
        <v>0.80132969796255282</v>
      </c>
      <c r="H198" s="412" t="b">
        <f>Wh_hp&gt;='2024'!Maxi_hp</f>
        <v>0</v>
      </c>
      <c r="I198" s="388">
        <f>IF(H198,Wh_hp,'2024'!Maxi_hp)</f>
        <v>50.016891761523738</v>
      </c>
      <c r="J198" s="85">
        <f>IF(H198,An,'2024'!An_max)</f>
        <v>2022</v>
      </c>
      <c r="K198" s="197">
        <f t="shared" si="52"/>
        <v>45841</v>
      </c>
      <c r="L198" s="147">
        <f>IF(t&lt;Tvie,1-EXP((T0-t)*PertePVj)+'2024'!Pspv,1-EXP((T0-t)*PertePVj)+Pspv)</f>
        <v>4.4221698483332683E-2</v>
      </c>
      <c r="M198" s="832"/>
      <c r="N198" s="832"/>
      <c r="O198" s="48">
        <f>IF(t&lt;Tnet,'2024'!Resal+('2024'!Salim-'2024'!Resal)*(1-EXP(('2024'!Tnet-t)/('2024'!Tau_j))),Resal+(Salim-Resal)*(1-EXP((Tnet-t)/(Tau_j))))*Salcycl</f>
        <v>4.1043582355197394E-2</v>
      </c>
      <c r="P198" s="169">
        <f>(INDEX(Models!$BJ198:$BT198,,T198)*(1-R198)+INDEX(Models!$BJ198:$BT198,,T198+1)*R198-ERP_i)*Q198*Ramure*Pc/MaxiM</f>
        <v>3.0513179642047762E-4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57.188050081181679</v>
      </c>
      <c r="W198" s="400">
        <f t="shared" si="59"/>
        <v>45.830451337746396</v>
      </c>
      <c r="X198" s="157">
        <f t="shared" si="60"/>
        <v>45841</v>
      </c>
      <c r="Y198" s="383">
        <f t="shared" si="61"/>
        <v>44.349834864496515</v>
      </c>
      <c r="Z198" s="383">
        <f t="shared" si="62"/>
        <v>46.401801332087594</v>
      </c>
      <c r="AA198" s="384">
        <f t="shared" si="63"/>
        <v>50.003234449126779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7.2024003181299714E-2</v>
      </c>
      <c r="AD198" s="230">
        <f>(INDEX(Models!$BJ198:$BT198,,AH198)*(1-AF198)+INDEX(Models!$BJ198:$BT198,,AH198+1)*AF198-ERP_i)*AE198*Ramure*Pc/MaxiM</f>
        <v>3.0513179642047762E-4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'2024'!Wh/'2024'!Env_an*'2025'!Env_an</f>
        <v>44.340281478393941</v>
      </c>
      <c r="C199" s="829"/>
      <c r="D199" s="391">
        <f t="shared" si="50"/>
        <v>46.392695037851908</v>
      </c>
      <c r="E199" s="383">
        <f t="shared" si="75"/>
        <v>48.381688264000957</v>
      </c>
      <c r="F199" s="383">
        <f t="shared" si="51"/>
        <v>48.391908809875709</v>
      </c>
      <c r="G199" s="110">
        <f t="shared" si="76"/>
        <v>0.77625840883810249</v>
      </c>
      <c r="H199" s="412" t="b">
        <f>Wh_hp&gt;='2024'!Maxi_hp</f>
        <v>0</v>
      </c>
      <c r="I199" s="388">
        <f>IF(H199,Wh_hp,'2024'!Maxi_hp)</f>
        <v>58.082093863284776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4.4240015756433215E-2</v>
      </c>
      <c r="M199" s="832"/>
      <c r="N199" s="832"/>
      <c r="O199" s="48">
        <f>IF(t&lt;Tnet,'2024'!Resal+('2024'!Salim-'2024'!Resal)*(1-EXP(('2024'!Tnet-t)/('2024'!Tau_j))),Resal+(Salim-Resal)*(1-EXP((Tnet-t)/(Tau_j))))*Salcycl</f>
        <v>4.1110455164273009E-2</v>
      </c>
      <c r="P199" s="169">
        <f>(INDEX(Models!$BJ199:$BT199,,T199)*(1-R199)+INDEX(Models!$BJ199:$BT199,,T199+1)*R199-ERP_i)*Q199*Ramure*Pc/MaxiM</f>
        <v>3.103748384838553E-4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57.114850885400912</v>
      </c>
      <c r="W199" s="400">
        <f t="shared" si="59"/>
        <v>44.340281478393941</v>
      </c>
      <c r="X199" s="157">
        <f t="shared" si="60"/>
        <v>45842</v>
      </c>
      <c r="Y199" s="383">
        <f t="shared" si="61"/>
        <v>42.908711927394982</v>
      </c>
      <c r="Z199" s="383">
        <f t="shared" si="62"/>
        <v>44.894861298629223</v>
      </c>
      <c r="AA199" s="384">
        <f t="shared" si="63"/>
        <v>48.381688264000957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7.2069146209727319E-2</v>
      </c>
      <c r="AD199" s="230">
        <f>(INDEX(Models!$BJ199:$BT199,,AH199)*(1-AF199)+INDEX(Models!$BJ199:$BT199,,AH199+1)*AF199-ERP_i)*AE199*Ramure*Pc/MaxiM</f>
        <v>3.103748384838553E-4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'2024'!Wh/'2024'!Env_an*'2025'!Env_an</f>
        <v>55.583495424755704</v>
      </c>
      <c r="C200" s="829"/>
      <c r="D200" s="391">
        <f t="shared" si="50"/>
        <v>58.157447064675637</v>
      </c>
      <c r="E200" s="383">
        <f t="shared" si="75"/>
        <v>60.655021681841561</v>
      </c>
      <c r="F200" s="383">
        <f t="shared" si="51"/>
        <v>60.673485891160873</v>
      </c>
      <c r="G200" s="110">
        <f t="shared" si="76"/>
        <v>0.97444918518532897</v>
      </c>
      <c r="H200" s="412" t="b">
        <f>Wh_hp&gt;='2024'!Maxi_hp</f>
        <v>0</v>
      </c>
      <c r="I200" s="388">
        <f>IF(H200,Wh_hp,'2024'!Maxi_hp)</f>
        <v>61.390169549077257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4.4258332678487333E-2</v>
      </c>
      <c r="M200" s="832"/>
      <c r="N200" s="832"/>
      <c r="O200" s="48">
        <f>IF(t&lt;Tnet,'2024'!Resal+('2024'!Salim-'2024'!Resal)*(1-EXP(('2024'!Tnet-t)/('2024'!Tau_j))),Resal+(Salim-Resal)*(1-EXP((Tnet-t)/(Tau_j))))*Salcycl</f>
        <v>4.1176716253876658E-2</v>
      </c>
      <c r="P200" s="169">
        <f>(INDEX(Models!$BJ200:$BT200,,T200)*(1-R200)+INDEX(Models!$BJ200:$BT200,,T200+1)*R200-ERP_i)*Q200*Ramure*Pc/MaxiM</f>
        <v>3.1584451573303204E-4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57.040280346571365</v>
      </c>
      <c r="W200" s="400">
        <f t="shared" si="59"/>
        <v>55.583495424755704</v>
      </c>
      <c r="X200" s="157">
        <f t="shared" si="60"/>
        <v>45843</v>
      </c>
      <c r="Y200" s="383">
        <f t="shared" si="61"/>
        <v>53.790087933597718</v>
      </c>
      <c r="Z200" s="383">
        <f t="shared" si="62"/>
        <v>56.280990745486321</v>
      </c>
      <c r="AA200" s="384">
        <f t="shared" si="63"/>
        <v>60.655021681841561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7.2113253199358823E-2</v>
      </c>
      <c r="AD200" s="230">
        <f>(INDEX(Models!$BJ200:$BT200,,AH200)*(1-AF200)+INDEX(Models!$BJ200:$BT200,,AH200+1)*AF200-ERP_i)*AE200*Ramure*Pc/MaxiM</f>
        <v>3.1584451573303204E-4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'2024'!Wh/'2024'!Env_an*'2025'!Env_an</f>
        <v>47.24687233171354</v>
      </c>
      <c r="C201" s="829"/>
      <c r="D201" s="391">
        <f t="shared" si="50"/>
        <v>49.435720383531617</v>
      </c>
      <c r="E201" s="383">
        <f t="shared" si="75"/>
        <v>51.562271205223126</v>
      </c>
      <c r="F201" s="383">
        <f t="shared" si="51"/>
        <v>51.574813378947205</v>
      </c>
      <c r="G201" s="110">
        <f t="shared" si="76"/>
        <v>0.82934641357968297</v>
      </c>
      <c r="H201" s="412" t="b">
        <f>Wh_hp&gt;='2024'!Maxi_hp</f>
        <v>0</v>
      </c>
      <c r="I201" s="388">
        <f>IF(H201,Wh_hp,'2024'!Maxi_hp)</f>
        <v>60.936475957669771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4.4276649249501809E-2</v>
      </c>
      <c r="M201" s="832"/>
      <c r="N201" s="832"/>
      <c r="O201" s="48">
        <f>IF(t&lt;Tnet,'2024'!Resal+('2024'!Salim-'2024'!Resal)*(1-EXP(('2024'!Tnet-t)/('2024'!Tau_j))),Resal+(Salim-Resal)*(1-EXP((Tnet-t)/(Tau_j))))*Salcycl</f>
        <v>4.1242380756030241E-2</v>
      </c>
      <c r="P201" s="169">
        <f>(INDEX(Models!$BJ201:$BT201,,T201)*(1-R201)+INDEX(Models!$BJ201:$BT201,,T201+1)*R201-ERP_i)*Q201*Ramure*Pc/MaxiM</f>
        <v>3.2154360766037393E-4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56.964337718445812</v>
      </c>
      <c r="W201" s="400">
        <f t="shared" si="59"/>
        <v>47.24687233171354</v>
      </c>
      <c r="X201" s="157">
        <f t="shared" si="60"/>
        <v>45844</v>
      </c>
      <c r="Y201" s="383">
        <f t="shared" si="61"/>
        <v>45.723454419216409</v>
      </c>
      <c r="Z201" s="383">
        <f t="shared" si="62"/>
        <v>47.841725728801414</v>
      </c>
      <c r="AA201" s="384">
        <f t="shared" si="63"/>
        <v>51.562271205223126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7.2156353656602071E-2</v>
      </c>
      <c r="AD201" s="230">
        <f>(INDEX(Models!$BJ201:$BT201,,AH201)*(1-AF201)+INDEX(Models!$BJ201:$BT201,,AH201+1)*AF201-ERP_i)*AE201*Ramure*Pc/MaxiM</f>
        <v>3.2154360766037393E-4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'2024'!Wh/'2024'!Env_an*'2025'!Env_an</f>
        <v>55.032793537767311</v>
      </c>
      <c r="C202" s="829"/>
      <c r="D202" s="391">
        <f t="shared" si="50"/>
        <v>57.583450488781601</v>
      </c>
      <c r="E202" s="383">
        <f t="shared" si="75"/>
        <v>60.064565409846963</v>
      </c>
      <c r="F202" s="383">
        <f t="shared" si="51"/>
        <v>60.08332500324623</v>
      </c>
      <c r="G202" s="110">
        <f t="shared" si="76"/>
        <v>0.9673903111381027</v>
      </c>
      <c r="H202" s="412" t="b">
        <f>Wh_hp&gt;='2024'!Maxi_hp</f>
        <v>0</v>
      </c>
      <c r="I202" s="388">
        <f>IF(H202,Wh_hp,'2024'!Maxi_hp)</f>
        <v>60.083895316609272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4.4294965469483416E-2</v>
      </c>
      <c r="M202" s="832"/>
      <c r="N202" s="832"/>
      <c r="O202" s="48">
        <f>IF(t&lt;Tnet,'2024'!Resal+('2024'!Salim-'2024'!Resal)*(1-EXP(('2024'!Tnet-t)/('2024'!Tau_j))),Resal+(Salim-Resal)*(1-EXP((Tnet-t)/(Tau_j))))*Salcycl</f>
        <v>4.1307464794519438E-2</v>
      </c>
      <c r="P202" s="169">
        <f>(INDEX(Models!$BJ202:$BT202,,T202)*(1-R202)+INDEX(Models!$BJ202:$BT202,,T202+1)*R202-ERP_i)*Q202*Ramure*Pc/MaxiM</f>
        <v>3.2747488849455485E-4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56.887022196575295</v>
      </c>
      <c r="W202" s="400">
        <f t="shared" si="59"/>
        <v>55.032793537767311</v>
      </c>
      <c r="X202" s="157">
        <f t="shared" si="60"/>
        <v>45845</v>
      </c>
      <c r="Y202" s="383">
        <f t="shared" si="61"/>
        <v>53.259525542398563</v>
      </c>
      <c r="Z202" s="383">
        <f t="shared" si="62"/>
        <v>55.727995163865529</v>
      </c>
      <c r="AA202" s="384">
        <f t="shared" si="63"/>
        <v>60.064565409846963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7.2198478693571044E-2</v>
      </c>
      <c r="AD202" s="230">
        <f>(INDEX(Models!$BJ202:$BT202,,AH202)*(1-AF202)+INDEX(Models!$BJ202:$BT202,,AH202+1)*AF202-ERP_i)*AE202*Ramure*Pc/MaxiM</f>
        <v>3.2747488849455485E-4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'2024'!Wh/'2024'!Env_an*'2025'!Env_an</f>
        <v>57.403917759875199</v>
      </c>
      <c r="C203" s="829"/>
      <c r="D203" s="391">
        <f t="shared" si="50"/>
        <v>60.065622592589094</v>
      </c>
      <c r="E203" s="383">
        <f t="shared" si="75"/>
        <v>62.657904500657786</v>
      </c>
      <c r="F203" s="383">
        <f t="shared" si="51"/>
        <v>62.678816732167256</v>
      </c>
      <c r="G203" s="110">
        <f t="shared" si="76"/>
        <v>1.0104841103494973</v>
      </c>
      <c r="H203" s="412" t="b">
        <f>Wh_hp&gt;='2024'!Maxi_hp</f>
        <v>0</v>
      </c>
      <c r="I203" s="388">
        <f>IF(H203,Wh_hp,'2024'!Maxi_hp)</f>
        <v>63.179240618782657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4.4313281338438926E-2</v>
      </c>
      <c r="M203" s="832"/>
      <c r="N203" s="832"/>
      <c r="O203" s="48">
        <f>IF(t&lt;Tnet,'2024'!Resal+('2024'!Salim-'2024'!Resal)*(1-EXP(('2024'!Tnet-t)/('2024'!Tau_j))),Resal+(Salim-Resal)*(1-EXP((Tnet-t)/(Tau_j))))*Salcycl</f>
        <v>4.1371985366051946E-2</v>
      </c>
      <c r="P203" s="169">
        <f>(INDEX(Models!$BJ203:$BT203,,T203)*(1-R203)+INDEX(Models!$BJ203:$BT203,,T203+1)*R203-ERP_i)*Q203*Ramure*Pc/MaxiM</f>
        <v>3.3364113427387574E-4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56.808332928679938</v>
      </c>
      <c r="W203" s="400">
        <f t="shared" si="59"/>
        <v>57.403917759875199</v>
      </c>
      <c r="X203" s="157">
        <f t="shared" si="60"/>
        <v>45846</v>
      </c>
      <c r="Y203" s="383">
        <f t="shared" si="61"/>
        <v>55.555520388052145</v>
      </c>
      <c r="Z203" s="383">
        <f t="shared" si="62"/>
        <v>58.131518732265768</v>
      </c>
      <c r="AA203" s="384">
        <f t="shared" si="63"/>
        <v>62.657904500657786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7.2239660813177967E-2</v>
      </c>
      <c r="AD203" s="230">
        <f>(INDEX(Models!$BJ203:$BT203,,AH203)*(1-AF203)+INDEX(Models!$BJ203:$BT203,,AH203+1)*AF203-ERP_i)*AE203*Ramure*Pc/MaxiM</f>
        <v>3.3364113427387574E-4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'2024'!Wh/'2024'!Env_an*'2025'!Env_an</f>
        <v>56.733235523712821</v>
      </c>
      <c r="C204" s="829"/>
      <c r="D204" s="391">
        <f t="shared" si="50"/>
        <v>59.364979879099884</v>
      </c>
      <c r="E204" s="383">
        <f t="shared" si="75"/>
        <v>61.93115682980374</v>
      </c>
      <c r="F204" s="383">
        <f t="shared" si="51"/>
        <v>61.952223381648245</v>
      </c>
      <c r="G204" s="110">
        <f t="shared" si="76"/>
        <v>1.0000875490197068</v>
      </c>
      <c r="H204" s="412" t="b">
        <f>Wh_hp&gt;='2024'!Maxi_hp</f>
        <v>0</v>
      </c>
      <c r="I204" s="388">
        <f>IF(H204,Wh_hp,'2024'!Maxi_hp)</f>
        <v>61.95222338164826</v>
      </c>
      <c r="J204" s="85">
        <f>IF(H204,An,'2024'!An_max)</f>
        <v>2023</v>
      </c>
      <c r="K204" s="197">
        <f t="shared" si="52"/>
        <v>45847</v>
      </c>
      <c r="L204" s="147">
        <f>IF(t&lt;Tvie,1-EXP((T0-t)*PertePVj)+'2024'!Pspv,1-EXP((T0-t)*PertePVj)+Pspv)</f>
        <v>4.4331596856374889E-2</v>
      </c>
      <c r="M204" s="832"/>
      <c r="N204" s="832"/>
      <c r="O204" s="48">
        <f>IF(t&lt;Tnet,'2024'!Resal+('2024'!Salim-'2024'!Resal)*(1-EXP(('2024'!Tnet-t)/('2024'!Tau_j))),Resal+(Salim-Resal)*(1-EXP((Tnet-t)/(Tau_j))))*Salcycl</f>
        <v>4.1435960218797419E-2</v>
      </c>
      <c r="P204" s="169">
        <f>(INDEX(Models!$BJ204:$BT204,,T204)*(1-R204)+INDEX(Models!$BJ204:$BT204,,T204+1)*R204-ERP_i)*Q204*Ramure*Pc/MaxiM</f>
        <v>3.4004512985319214E-4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56.728269019370515</v>
      </c>
      <c r="W204" s="400">
        <f t="shared" si="59"/>
        <v>56.733235523712821</v>
      </c>
      <c r="X204" s="157">
        <f t="shared" si="60"/>
        <v>45847</v>
      </c>
      <c r="Y204" s="383">
        <f t="shared" si="61"/>
        <v>54.907714912817248</v>
      </c>
      <c r="Z204" s="383">
        <f t="shared" si="62"/>
        <v>57.454776920740464</v>
      </c>
      <c r="AA204" s="384">
        <f t="shared" si="63"/>
        <v>61.93115682980374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7.2279933690969939E-2</v>
      </c>
      <c r="AD204" s="230">
        <f>(INDEX(Models!$BJ204:$BT204,,AH204)*(1-AF204)+INDEX(Models!$BJ204:$BT204,,AH204+1)*AF204-ERP_i)*AE204*Ramure*Pc/MaxiM</f>
        <v>3.4004512985319214E-4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'2024'!Wh/'2024'!Env_an*'2025'!Env_an</f>
        <v>56.194179480314226</v>
      </c>
      <c r="C205" s="829"/>
      <c r="D205" s="391">
        <f t="shared" si="50"/>
        <v>58.802045002986702</v>
      </c>
      <c r="E205" s="383">
        <f t="shared" si="75"/>
        <v>61.347948532488232</v>
      </c>
      <c r="F205" s="383">
        <f t="shared" si="51"/>
        <v>61.368981258345634</v>
      </c>
      <c r="G205" s="110">
        <f t="shared" si="76"/>
        <v>0.99199769955224704</v>
      </c>
      <c r="H205" s="412" t="b">
        <f>Wh_hp&gt;='2024'!Maxi_hp</f>
        <v>0</v>
      </c>
      <c r="I205" s="388">
        <f>IF(H205,Wh_hp,'2024'!Maxi_hp)</f>
        <v>61.369131281717756</v>
      </c>
      <c r="J205" s="85">
        <f>IF(H205,An,'2024'!An_max)</f>
        <v>2022</v>
      </c>
      <c r="K205" s="197">
        <f t="shared" si="52"/>
        <v>45848</v>
      </c>
      <c r="L205" s="147">
        <f>IF(t&lt;Tvie,1-EXP((T0-t)*PertePVj)+'2024'!Pspv,1-EXP((T0-t)*PertePVj)+Pspv)</f>
        <v>4.4349912023298077E-2</v>
      </c>
      <c r="M205" s="832"/>
      <c r="N205" s="832"/>
      <c r="O205" s="48">
        <f>IF(t&lt;Tnet,'2024'!Resal+('2024'!Salim-'2024'!Resal)*(1-EXP(('2024'!Tnet-t)/('2024'!Tau_j))),Resal+(Salim-Resal)*(1-EXP((Tnet-t)/(Tau_j))))*Salcycl</f>
        <v>4.1499407729229817E-2</v>
      </c>
      <c r="P205" s="169">
        <f>(INDEX(Models!$BJ205:$BT205,,T205)*(1-R205)+INDEX(Models!$BJ205:$BT205,,T205+1)*R205-ERP_i)*Q205*Ramure*Pc/MaxiM</f>
        <v>3.466870101058783E-4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56.647265236288092</v>
      </c>
      <c r="W205" s="400">
        <f t="shared" si="59"/>
        <v>56.194179480314226</v>
      </c>
      <c r="X205" s="157">
        <f t="shared" si="60"/>
        <v>45848</v>
      </c>
      <c r="Y205" s="383">
        <f t="shared" si="61"/>
        <v>54.387294468977828</v>
      </c>
      <c r="Z205" s="383">
        <f t="shared" si="62"/>
        <v>56.911305877788763</v>
      </c>
      <c r="AA205" s="384">
        <f t="shared" si="63"/>
        <v>61.347948532488232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7.2319331955329261E-2</v>
      </c>
      <c r="AD205" s="230">
        <f>(INDEX(Models!$BJ205:$BT205,,AH205)*(1-AF205)+INDEX(Models!$BJ205:$BT205,,AH205+1)*AF205-ERP_i)*AE205*Ramure*Pc/MaxiM</f>
        <v>3.466870101058783E-4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'2024'!Wh/'2024'!Env_an*'2025'!Env_an</f>
        <v>54.718384932328938</v>
      </c>
      <c r="C206" s="829"/>
      <c r="D206" s="391">
        <f t="shared" si="50"/>
        <v>57.258858975927531</v>
      </c>
      <c r="E206" s="383">
        <f t="shared" si="75"/>
        <v>59.741871350161375</v>
      </c>
      <c r="F206" s="383">
        <f t="shared" si="51"/>
        <v>59.762025400862761</v>
      </c>
      <c r="G206" s="110">
        <f t="shared" si="76"/>
        <v>0.96732766429811179</v>
      </c>
      <c r="H206" s="412" t="b">
        <f>Wh_hp&gt;='2024'!Maxi_hp</f>
        <v>0</v>
      </c>
      <c r="I206" s="388">
        <f>IF(H206,Wh_hp,'2024'!Maxi_hp)</f>
        <v>60.983970970198122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4.4368226839215374E-2</v>
      </c>
      <c r="M206" s="832"/>
      <c r="N206" s="832"/>
      <c r="O206" s="48">
        <f>IF(t&lt;Tnet,'2024'!Resal+('2024'!Salim-'2024'!Resal)*(1-EXP(('2024'!Tnet-t)/('2024'!Tau_j))),Resal+(Salim-Resal)*(1-EXP((Tnet-t)/(Tau_j))))*Salcycl</f>
        <v>4.1562346778197069E-2</v>
      </c>
      <c r="P206" s="169">
        <f>(INDEX(Models!$BJ206:$BT206,,T206)*(1-R206)+INDEX(Models!$BJ206:$BT206,,T206+1)*R206-ERP_i)*Q206*Ramure*Pc/MaxiM</f>
        <v>3.5374112885702301E-4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56.565612300081</v>
      </c>
      <c r="W206" s="400">
        <f t="shared" si="59"/>
        <v>54.718384932328938</v>
      </c>
      <c r="X206" s="157">
        <f t="shared" si="60"/>
        <v>45849</v>
      </c>
      <c r="Y206" s="383">
        <f t="shared" si="61"/>
        <v>52.960229422166499</v>
      </c>
      <c r="Z206" s="383">
        <f t="shared" si="62"/>
        <v>55.419075536802985</v>
      </c>
      <c r="AA206" s="384">
        <f t="shared" si="63"/>
        <v>59.741871350161375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7.2357890967650704E-2</v>
      </c>
      <c r="AD206" s="230">
        <f>(INDEX(Models!$BJ206:$BT206,,AH206)*(1-AF206)+INDEX(Models!$BJ206:$BT206,,AH206+1)*AF206-ERP_i)*AE206*Ramure*Pc/MaxiM</f>
        <v>3.5374112885702301E-4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'2024'!Wh/'2024'!Env_an*'2025'!Env_an</f>
        <v>54.481685544350384</v>
      </c>
      <c r="C207" s="829"/>
      <c r="D207" s="391">
        <f t="shared" ref="D207:D270" si="77">Wh/(1-Ppv)</f>
        <v>57.012262697411124</v>
      </c>
      <c r="E207" s="383">
        <f t="shared" si="75"/>
        <v>59.488457648700376</v>
      </c>
      <c r="F207" s="383">
        <f t="shared" ref="F207:F270" si="78">Wh_sa/(1-Pvg*MEDIAN((-Sdif+Wh/Env_an)/Csdif,0,1))</f>
        <v>59.508853983926514</v>
      </c>
      <c r="G207" s="110">
        <f t="shared" si="76"/>
        <v>0.96454818074507032</v>
      </c>
      <c r="H207" s="412" t="b">
        <f>Wh_hp&gt;='2024'!Maxi_hp</f>
        <v>0</v>
      </c>
      <c r="I207" s="388">
        <f>IF(H207,Wh_hp,'2024'!Maxi_hp)</f>
        <v>61.397076269848142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4.4386541304133331E-2</v>
      </c>
      <c r="M207" s="832"/>
      <c r="N207" s="832"/>
      <c r="O207" s="48">
        <f>IF(t&lt;Tnet,'2024'!Resal+('2024'!Salim-'2024'!Resal)*(1-EXP(('2024'!Tnet-t)/('2024'!Tau_j))),Resal+(Salim-Resal)*(1-EXP((Tnet-t)/(Tau_j))))*Salcycl</f>
        <v>4.1624796627137819E-2</v>
      </c>
      <c r="P207" s="169">
        <f>(INDEX(Models!$BJ207:$BT207,,T207)*(1-R207)+INDEX(Models!$BJ207:$BT207,,T207+1)*R207-ERP_i)*Q207*Ramure*Pc/MaxiM</f>
        <v>3.6101944772212003E-4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56.48311887699078</v>
      </c>
      <c r="W207" s="400">
        <f t="shared" ref="W207:W270" si="86">Wh*(A207&gt;Tmaj)</f>
        <v>54.481685544350384</v>
      </c>
      <c r="X207" s="157">
        <f t="shared" ref="X207:X270" si="87">t</f>
        <v>45850</v>
      </c>
      <c r="Y207" s="383">
        <f t="shared" ref="Y207:Y270" si="88">Wh_pvt_s*(1-Ppv)</f>
        <v>52.732425164410934</v>
      </c>
      <c r="Z207" s="383">
        <f t="shared" ref="Z207:Z270" si="89">Wh_sa_s*(1-Psa_s)</f>
        <v>55.181752291742832</v>
      </c>
      <c r="AA207" s="384">
        <f t="shared" ref="AA207:AA270" si="90">Wh_hp*(1-Pvg_s*MEDIAN((-Sdif+Wh/Env_an)/Csdif,0,1))</f>
        <v>59.488457648700376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7.2395646604087635E-2</v>
      </c>
      <c r="AD207" s="230">
        <f>(INDEX(Models!$BJ207:$BT207,,AH207)*(1-AF207)+INDEX(Models!$BJ207:$BT207,,AH207+1)*AF207-ERP_i)*AE207*Ramure*Pc/MaxiM</f>
        <v>3.6101944772212003E-4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'2024'!Wh/'2024'!Env_an*'2025'!Env_an</f>
        <v>54.204921893972731</v>
      </c>
      <c r="C208" s="829"/>
      <c r="D208" s="391">
        <f t="shared" si="77"/>
        <v>56.723730966304345</v>
      </c>
      <c r="E208" s="383">
        <f t="shared" si="75"/>
        <v>59.191222235896255</v>
      </c>
      <c r="F208" s="383">
        <f t="shared" si="78"/>
        <v>59.211830287588633</v>
      </c>
      <c r="G208" s="110">
        <f t="shared" si="76"/>
        <v>0.96106758854994467</v>
      </c>
      <c r="H208" s="412" t="b">
        <f>Wh_hp&gt;='2024'!Maxi_hp</f>
        <v>0</v>
      </c>
      <c r="I208" s="388">
        <f>IF(H208,Wh_hp,'2024'!Maxi_hp)</f>
        <v>59.212572300737307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4.4404855418058831E-2</v>
      </c>
      <c r="M208" s="832"/>
      <c r="N208" s="832"/>
      <c r="O208" s="48">
        <f>IF(t&lt;Tnet,'2024'!Resal+('2024'!Salim-'2024'!Resal)*(1-EXP(('2024'!Tnet-t)/('2024'!Tau_j))),Resal+(Salim-Resal)*(1-EXP((Tnet-t)/(Tau_j))))*Salcycl</f>
        <v>4.1686776795352536E-2</v>
      </c>
      <c r="P208" s="169">
        <f>(INDEX(Models!$BJ208:$BT208,,T208)*(1-R208)+INDEX(Models!$BJ208:$BT208,,T208+1)*R208-ERP_i)*Q208*Ramure*Pc/MaxiM</f>
        <v>3.6852561998072022E-4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56.399582818976349</v>
      </c>
      <c r="W208" s="400">
        <f t="shared" si="86"/>
        <v>54.204921893972731</v>
      </c>
      <c r="X208" s="157">
        <f t="shared" si="87"/>
        <v>45851</v>
      </c>
      <c r="Y208" s="383">
        <f t="shared" si="88"/>
        <v>52.465848692870303</v>
      </c>
      <c r="Z208" s="383">
        <f t="shared" si="89"/>
        <v>54.903846038086911</v>
      </c>
      <c r="AA208" s="384">
        <f t="shared" si="90"/>
        <v>59.191222235896255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7.2432635040424687E-2</v>
      </c>
      <c r="AD208" s="230">
        <f>(INDEX(Models!$BJ208:$BT208,,AH208)*(1-AF208)+INDEX(Models!$BJ208:$BT208,,AH208+1)*AF208-ERP_i)*AE208*Ramure*Pc/MaxiM</f>
        <v>3.6852561998072022E-4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'2024'!Wh/'2024'!Env_an*'2025'!Env_an</f>
        <v>53.638158766703526</v>
      </c>
      <c r="C209" s="829"/>
      <c r="D209" s="391">
        <f t="shared" si="77"/>
        <v>56.13170708704979</v>
      </c>
      <c r="E209" s="383">
        <f t="shared" si="75"/>
        <v>58.577206274227905</v>
      </c>
      <c r="F209" s="383">
        <f t="shared" si="78"/>
        <v>58.597757396166642</v>
      </c>
      <c r="G209" s="110">
        <f t="shared" si="76"/>
        <v>0.95244564446011215</v>
      </c>
      <c r="H209" s="412" t="b">
        <f>Wh_hp&gt;='2024'!Maxi_hp</f>
        <v>0</v>
      </c>
      <c r="I209" s="388">
        <f>IF(H209,Wh_hp,'2024'!Maxi_hp)</f>
        <v>61.162094530225126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4.4423169180998423E-2</v>
      </c>
      <c r="M209" s="832"/>
      <c r="N209" s="832"/>
      <c r="O209" s="48">
        <f>IF(t&lt;Tnet,'2024'!Resal+('2024'!Salim-'2024'!Resal)*(1-EXP(('2024'!Tnet-t)/('2024'!Tau_j))),Resal+(Salim-Resal)*(1-EXP((Tnet-t)/(Tau_j))))*Salcycl</f>
        <v>4.1748306939213921E-2</v>
      </c>
      <c r="P209" s="169">
        <f>(INDEX(Models!$BJ209:$BT209,,T209)*(1-R209)+INDEX(Models!$BJ209:$BT209,,T209+1)*R209-ERP_i)*Q209*Ramure*Pc/MaxiM</f>
        <v>3.7626345706120475E-4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56.314802040791136</v>
      </c>
      <c r="W209" s="400">
        <f t="shared" si="86"/>
        <v>53.638158766703526</v>
      </c>
      <c r="X209" s="157">
        <f t="shared" si="87"/>
        <v>45852</v>
      </c>
      <c r="Y209" s="383">
        <f t="shared" si="88"/>
        <v>51.918573338492322</v>
      </c>
      <c r="Z209" s="383">
        <f t="shared" si="89"/>
        <v>54.33218100735467</v>
      </c>
      <c r="AA209" s="384">
        <f t="shared" si="90"/>
        <v>58.577206274227905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7.2468892541584201E-2</v>
      </c>
      <c r="AD209" s="230">
        <f>(INDEX(Models!$BJ209:$BT209,,AH209)*(1-AF209)+INDEX(Models!$BJ209:$BT209,,AH209+1)*AF209-ERP_i)*AE209*Ramure*Pc/MaxiM</f>
        <v>3.7626345706120475E-4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'2024'!Wh/'2024'!Env_an*'2025'!Env_an</f>
        <v>51.868446699628798</v>
      </c>
      <c r="C210" s="829"/>
      <c r="D210" s="391">
        <f t="shared" si="77"/>
        <v>54.280764343325195</v>
      </c>
      <c r="E210" s="383">
        <f t="shared" si="75"/>
        <v>56.649235261555404</v>
      </c>
      <c r="F210" s="383">
        <f t="shared" si="78"/>
        <v>56.668597383510409</v>
      </c>
      <c r="G210" s="110">
        <f t="shared" si="76"/>
        <v>0.92241780358061343</v>
      </c>
      <c r="H210" s="412" t="b">
        <f>Wh_hp&gt;='2024'!Maxi_hp</f>
        <v>0</v>
      </c>
      <c r="I210" s="388">
        <f>IF(H210,Wh_hp,'2024'!Maxi_hp)</f>
        <v>62.506291921724774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4.4441482592958992E-2</v>
      </c>
      <c r="M210" s="832"/>
      <c r="N210" s="832"/>
      <c r="O210" s="48">
        <f>IF(t&lt;Tnet,'2024'!Resal+('2024'!Salim-'2024'!Resal)*(1-EXP(('2024'!Tnet-t)/('2024'!Tau_j))),Resal+(Salim-Resal)*(1-EXP((Tnet-t)/(Tau_j))))*Salcycl</f>
        <v>4.1809406734172612E-2</v>
      </c>
      <c r="P210" s="169">
        <f>(INDEX(Models!$BJ210:$BT210,,T210)*(1-R210)+INDEX(Models!$BJ210:$BT210,,T210+1)*R210-ERP_i)*Q210*Ramure*Pc/MaxiM</f>
        <v>3.8423694120036291E-4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56.228574525703451</v>
      </c>
      <c r="W210" s="400">
        <f t="shared" si="86"/>
        <v>51.868446699628798</v>
      </c>
      <c r="X210" s="157">
        <f t="shared" si="87"/>
        <v>45853</v>
      </c>
      <c r="Y210" s="383">
        <f t="shared" si="88"/>
        <v>50.206872792048117</v>
      </c>
      <c r="Z210" s="383">
        <f t="shared" si="89"/>
        <v>52.541913318178715</v>
      </c>
      <c r="AA210" s="384">
        <f t="shared" si="90"/>
        <v>56.649235261555404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7.2504455257211498E-2</v>
      </c>
      <c r="AD210" s="230">
        <f>(INDEX(Models!$BJ210:$BT210,,AH210)*(1-AF210)+INDEX(Models!$BJ210:$BT210,,AH210+1)*AF210-ERP_i)*AE210*Ramure*Pc/MaxiM</f>
        <v>3.8423694120036291E-4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'2024'!Wh/'2024'!Env_an*'2025'!Env_an</f>
        <v>53.377479266807626</v>
      </c>
      <c r="C211" s="829"/>
      <c r="D211" s="391">
        <f t="shared" si="77"/>
        <v>55.861050141095632</v>
      </c>
      <c r="E211" s="383">
        <f t="shared" si="75"/>
        <v>58.302167476368673</v>
      </c>
      <c r="F211" s="383">
        <f t="shared" si="78"/>
        <v>58.323447115013167</v>
      </c>
      <c r="G211" s="110">
        <f t="shared" si="76"/>
        <v>0.95075421905141311</v>
      </c>
      <c r="H211" s="412" t="b">
        <f>Wh_hp&gt;='2024'!Maxi_hp</f>
        <v>0</v>
      </c>
      <c r="I211" s="388">
        <f>IF(H211,Wh_hp,'2024'!Maxi_hp)</f>
        <v>60.8270261955942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4.4459795653947087E-2</v>
      </c>
      <c r="M211" s="832"/>
      <c r="N211" s="832"/>
      <c r="O211" s="48">
        <f>IF(t&lt;Tnet,'2024'!Resal+('2024'!Salim-'2024'!Resal)*(1-EXP(('2024'!Tnet-t)/('2024'!Tau_j))),Resal+(Salim-Resal)*(1-EXP((Tnet-t)/(Tau_j))))*Salcycl</f>
        <v>4.1870095760376189E-2</v>
      </c>
      <c r="P211" s="169">
        <f>(INDEX(Models!$BJ211:$BT211,,T211)*(1-R211)+INDEX(Models!$BJ211:$BT211,,T211+1)*R211-ERP_i)*Q211*Ramure*Pc/MaxiM</f>
        <v>3.9245023777984586E-4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56.14069833148541</v>
      </c>
      <c r="W211" s="400">
        <f t="shared" si="86"/>
        <v>53.377479266807626</v>
      </c>
      <c r="X211" s="157">
        <f t="shared" si="87"/>
        <v>45854</v>
      </c>
      <c r="Y211" s="383">
        <f t="shared" si="88"/>
        <v>51.668892616107811</v>
      </c>
      <c r="Z211" s="383">
        <f t="shared" si="89"/>
        <v>54.072965617881742</v>
      </c>
      <c r="AA211" s="384">
        <f t="shared" si="90"/>
        <v>58.302167476368673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7.253935902470747E-2</v>
      </c>
      <c r="AD211" s="230">
        <f>(INDEX(Models!$BJ211:$BT211,,AH211)*(1-AF211)+INDEX(Models!$BJ211:$BT211,,AH211+1)*AF211-ERP_i)*AE211*Ramure*Pc/MaxiM</f>
        <v>3.9245023777984586E-4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'2024'!Wh/'2024'!Env_an*'2025'!Env_an</f>
        <v>52.907997356821006</v>
      </c>
      <c r="C212" s="829"/>
      <c r="D212" s="391">
        <f t="shared" si="77"/>
        <v>55.370785138405068</v>
      </c>
      <c r="E212" s="383">
        <f t="shared" si="75"/>
        <v>57.79411512121932</v>
      </c>
      <c r="F212" s="383">
        <f t="shared" si="78"/>
        <v>57.815436538353339</v>
      </c>
      <c r="G212" s="110">
        <f t="shared" si="76"/>
        <v>0.94389616503346485</v>
      </c>
      <c r="H212" s="412" t="b">
        <f>Wh_hp&gt;='2024'!Maxi_hp</f>
        <v>0</v>
      </c>
      <c r="I212" s="388">
        <f>IF(H212,Wh_hp,'2024'!Maxi_hp)</f>
        <v>61.26677577265081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4.4478108363969704E-2</v>
      </c>
      <c r="M212" s="832"/>
      <c r="N212" s="832"/>
      <c r="O212" s="48">
        <f>IF(t&lt;Tnet,'2024'!Resal+('2024'!Salim-'2024'!Resal)*(1-EXP(('2024'!Tnet-t)/('2024'!Tau_j))),Resal+(Salim-Resal)*(1-EXP((Tnet-t)/(Tau_j))))*Salcycl</f>
        <v>4.1930393392674722E-2</v>
      </c>
      <c r="P212" s="169">
        <f>(INDEX(Models!$BJ212:$BT212,,T212)*(1-R212)+INDEX(Models!$BJ212:$BT212,,T212+1)*R212-ERP_i)*Q212*Ramure*Pc/MaxiM</f>
        <v>4.0089810786676501E-4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56.050972135680198</v>
      </c>
      <c r="W212" s="400">
        <f t="shared" si="86"/>
        <v>52.907997356821006</v>
      </c>
      <c r="X212" s="157">
        <f t="shared" si="87"/>
        <v>45855</v>
      </c>
      <c r="Y212" s="383">
        <f t="shared" si="88"/>
        <v>51.215768779699388</v>
      </c>
      <c r="Z212" s="383">
        <f t="shared" si="89"/>
        <v>53.599785863627382</v>
      </c>
      <c r="AA212" s="384">
        <f t="shared" si="90"/>
        <v>57.79411512121932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7.257363918098951E-2</v>
      </c>
      <c r="AD212" s="230">
        <f>(INDEX(Models!$BJ212:$BT212,,AH212)*(1-AF212)+INDEX(Models!$BJ212:$BT212,,AH212+1)*AF212-ERP_i)*AE212*Ramure*Pc/MaxiM</f>
        <v>4.0089810786676501E-4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'2024'!Wh/'2024'!Env_an*'2025'!Env_an</f>
        <v>53.861872303395359</v>
      </c>
      <c r="C213" s="829"/>
      <c r="D213" s="391">
        <f t="shared" si="77"/>
        <v>56.370141851433822</v>
      </c>
      <c r="E213" s="383">
        <f t="shared" si="75"/>
        <v>58.84088955624086</v>
      </c>
      <c r="F213" s="383">
        <f t="shared" si="78"/>
        <v>58.863705528639528</v>
      </c>
      <c r="G213" s="110">
        <f t="shared" si="76"/>
        <v>0.96249935083788629</v>
      </c>
      <c r="H213" s="412" t="b">
        <f>Wh_hp&gt;='2024'!Maxi_hp</f>
        <v>0</v>
      </c>
      <c r="I213" s="388">
        <f>IF(H213,Wh_hp,'2024'!Maxi_hp)</f>
        <v>58.86448423611867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4.4496420723033281E-2</v>
      </c>
      <c r="M213" s="832"/>
      <c r="N213" s="832"/>
      <c r="O213" s="48">
        <f>IF(t&lt;Tnet,'2024'!Resal+('2024'!Salim-'2024'!Resal)*(1-EXP(('2024'!Tnet-t)/('2024'!Tau_j))),Resal+(Salim-Resal)*(1-EXP((Tnet-t)/(Tau_j))))*Salcycl</f>
        <v>4.199031869573399E-2</v>
      </c>
      <c r="P213" s="169">
        <f>(INDEX(Models!$BJ213:$BT213,,T213)*(1-R213)+INDEX(Models!$BJ213:$BT213,,T213+1)*R213-ERP_i)*Q213*Ramure*Pc/MaxiM</f>
        <v>4.0953415461572048E-4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55.959197011455601</v>
      </c>
      <c r="W213" s="400">
        <f t="shared" si="86"/>
        <v>53.861872303395359</v>
      </c>
      <c r="X213" s="157">
        <f t="shared" si="87"/>
        <v>45856</v>
      </c>
      <c r="Y213" s="383">
        <f t="shared" si="88"/>
        <v>52.140501834958627</v>
      </c>
      <c r="Z213" s="383">
        <f t="shared" si="89"/>
        <v>54.56860964813292</v>
      </c>
      <c r="AA213" s="384">
        <f t="shared" si="90"/>
        <v>58.84088955624086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7.2607330384161589E-2</v>
      </c>
      <c r="AD213" s="230">
        <f>(INDEX(Models!$BJ213:$BT213,,AH213)*(1-AF213)+INDEX(Models!$BJ213:$BT213,,AH213+1)*AF213-ERP_i)*AE213*Ramure*Pc/MaxiM</f>
        <v>4.0953415461572048E-4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'2024'!Wh/'2024'!Env_an*'2025'!Env_an</f>
        <v>44.509558830307988</v>
      </c>
      <c r="C214" s="829"/>
      <c r="D214" s="391">
        <f t="shared" si="77"/>
        <v>46.583197412905633</v>
      </c>
      <c r="E214" s="383">
        <f t="shared" si="75"/>
        <v>48.627999456783613</v>
      </c>
      <c r="F214" s="383">
        <f t="shared" si="78"/>
        <v>48.642440290340126</v>
      </c>
      <c r="G214" s="110">
        <f t="shared" si="76"/>
        <v>0.79663498630044827</v>
      </c>
      <c r="H214" s="412" t="b">
        <f>Wh_hp&gt;='2024'!Maxi_hp</f>
        <v>0</v>
      </c>
      <c r="I214" s="388">
        <f>IF(H214,Wh_hp,'2024'!Maxi_hp)</f>
        <v>60.996282625351171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4.4514732731144702E-2</v>
      </c>
      <c r="M214" s="832"/>
      <c r="N214" s="832"/>
      <c r="O214" s="48">
        <f>IF(t&lt;Tnet,'2024'!Resal+('2024'!Salim-'2024'!Resal)*(1-EXP(('2024'!Tnet-t)/('2024'!Tau_j))),Resal+(Salim-Resal)*(1-EXP((Tnet-t)/(Tau_j))))*Salcycl</f>
        <v>4.2049890324919154E-2</v>
      </c>
      <c r="P214" s="169">
        <f>(INDEX(Models!$BJ214:$BT214,,T214)*(1-R214)+INDEX(Models!$BJ214:$BT214,,T214+1)*R214-ERP_i)*Q214*Ramure*Pc/MaxiM</f>
        <v>4.1836272066342653E-4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55.865171282759611</v>
      </c>
      <c r="W214" s="400">
        <f t="shared" si="86"/>
        <v>44.509558830307988</v>
      </c>
      <c r="X214" s="157">
        <f t="shared" si="87"/>
        <v>45857</v>
      </c>
      <c r="Y214" s="383">
        <f t="shared" si="88"/>
        <v>43.088218581196827</v>
      </c>
      <c r="Z214" s="383">
        <f t="shared" si="89"/>
        <v>45.095638893898951</v>
      </c>
      <c r="AA214" s="384">
        <f t="shared" si="90"/>
        <v>48.627999456783613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7.2640466446165813E-2</v>
      </c>
      <c r="AD214" s="230">
        <f>(INDEX(Models!$BJ214:$BT214,,AH214)*(1-AF214)+INDEX(Models!$BJ214:$BT214,,AH214+1)*AF214-ERP_i)*AE214*Ramure*Pc/MaxiM</f>
        <v>4.1836272066342653E-4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'2024'!Wh/'2024'!Env_an*'2025'!Env_an</f>
        <v>44.075223303750519</v>
      </c>
      <c r="C215" s="829"/>
      <c r="D215" s="391">
        <f t="shared" si="77"/>
        <v>46.129510858419579</v>
      </c>
      <c r="E215" s="383">
        <f t="shared" si="75"/>
        <v>48.157375888412602</v>
      </c>
      <c r="F215" s="383">
        <f t="shared" si="78"/>
        <v>48.171797004487807</v>
      </c>
      <c r="G215" s="110">
        <f t="shared" si="76"/>
        <v>0.79022075730134256</v>
      </c>
      <c r="H215" s="412" t="b">
        <f>Wh_hp&gt;='2024'!Maxi_hp</f>
        <v>0</v>
      </c>
      <c r="I215" s="388">
        <f>IF(H215,Wh_hp,'2024'!Maxi_hp)</f>
        <v>59.776097909915435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4.4533044388310739E-2</v>
      </c>
      <c r="M215" s="832"/>
      <c r="N215" s="832"/>
      <c r="O215" s="48">
        <f>IF(t&lt;Tnet,'2024'!Resal+('2024'!Salim-'2024'!Resal)*(1-EXP(('2024'!Tnet-t)/('2024'!Tau_j))),Resal+(Salim-Resal)*(1-EXP((Tnet-t)/(Tau_j))))*Salcycl</f>
        <v>4.2109126433547292E-2</v>
      </c>
      <c r="P215" s="169">
        <f>(INDEX(Models!$BJ215:$BT215,,T215)*(1-R215)+INDEX(Models!$BJ215:$BT215,,T215+1)*R215-ERP_i)*Q215*Ramure*Pc/MaxiM</f>
        <v>4.2738838617574861E-4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55.768693367617217</v>
      </c>
      <c r="W215" s="400">
        <f t="shared" si="86"/>
        <v>44.075223303750519</v>
      </c>
      <c r="X215" s="157">
        <f t="shared" si="87"/>
        <v>45858</v>
      </c>
      <c r="Y215" s="383">
        <f t="shared" si="88"/>
        <v>42.66889078354518</v>
      </c>
      <c r="Z215" s="383">
        <f t="shared" si="89"/>
        <v>44.657631049342349</v>
      </c>
      <c r="AA215" s="384">
        <f t="shared" si="90"/>
        <v>48.157375888412602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7.2673080177367927E-2</v>
      </c>
      <c r="AD215" s="230">
        <f>(INDEX(Models!$BJ215:$BT215,,AH215)*(1-AF215)+INDEX(Models!$BJ215:$BT215,,AH215+1)*AF215-ERP_i)*AE215*Ramure*Pc/MaxiM</f>
        <v>4.2738838617574861E-4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'2024'!Wh/'2024'!Env_an*'2025'!Env_an</f>
        <v>52.122334326666206</v>
      </c>
      <c r="C216" s="829"/>
      <c r="D216" s="391">
        <f t="shared" si="77"/>
        <v>54.552732517146588</v>
      </c>
      <c r="E216" s="383">
        <f t="shared" si="75"/>
        <v>56.954387676099806</v>
      </c>
      <c r="F216" s="383">
        <f t="shared" si="78"/>
        <v>56.977000244212341</v>
      </c>
      <c r="G216" s="110">
        <f t="shared" si="76"/>
        <v>0.93624343860891035</v>
      </c>
      <c r="H216" s="412" t="b">
        <f>Wh_hp&gt;='2024'!Maxi_hp</f>
        <v>0</v>
      </c>
      <c r="I216" s="388">
        <f>IF(H216,Wh_hp,'2024'!Maxi_hp)</f>
        <v>56.978356977824554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4.4551355694537942E-2</v>
      </c>
      <c r="M216" s="832"/>
      <c r="N216" s="832"/>
      <c r="O216" s="48">
        <f>IF(t&lt;Tnet,'2024'!Resal+('2024'!Salim-'2024'!Resal)*(1-EXP(('2024'!Tnet-t)/('2024'!Tau_j))),Resal+(Salim-Resal)*(1-EXP((Tnet-t)/(Tau_j))))*Salcycl</f>
        <v>4.2168044587037892E-2</v>
      </c>
      <c r="P216" s="169">
        <f>(INDEX(Models!$BJ216:$BT216,,T216)*(1-R216)+INDEX(Models!$BJ216:$BT216,,T216+1)*R216-ERP_i)*Q216*Ramure*Pc/MaxiM</f>
        <v>4.3661597446510313E-4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55.669561781561285</v>
      </c>
      <c r="W216" s="400">
        <f t="shared" si="86"/>
        <v>52.122334326666206</v>
      </c>
      <c r="X216" s="157">
        <f t="shared" si="87"/>
        <v>45859</v>
      </c>
      <c r="Y216" s="383">
        <f t="shared" si="88"/>
        <v>50.460593993297003</v>
      </c>
      <c r="Z216" s="383">
        <f t="shared" si="89"/>
        <v>52.813507344476882</v>
      </c>
      <c r="AA216" s="384">
        <f t="shared" si="90"/>
        <v>56.954387676099806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7.2705203243903685E-2</v>
      </c>
      <c r="AD216" s="230">
        <f>(INDEX(Models!$BJ216:$BT216,,AH216)*(1-AF216)+INDEX(Models!$BJ216:$BT216,,AH216+1)*AF216-ERP_i)*AE216*Ramure*Pc/MaxiM</f>
        <v>4.3661597446510313E-4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'2024'!Wh/'2024'!Env_an*'2025'!Env_an</f>
        <v>42.08549361479669</v>
      </c>
      <c r="C217" s="829"/>
      <c r="D217" s="391">
        <f t="shared" si="77"/>
        <v>44.048730865835182</v>
      </c>
      <c r="E217" s="383">
        <f t="shared" si="75"/>
        <v>45.990767443268766</v>
      </c>
      <c r="F217" s="383">
        <f t="shared" si="78"/>
        <v>46.004175188264064</v>
      </c>
      <c r="G217" s="110">
        <f t="shared" si="76"/>
        <v>0.7572578974193096</v>
      </c>
      <c r="H217" s="412" t="b">
        <f>Wh_hp&gt;='2024'!Maxi_hp</f>
        <v>0</v>
      </c>
      <c r="I217" s="388">
        <f>IF(H217,Wh_hp,'2024'!Maxi_hp)</f>
        <v>55.348148280408218</v>
      </c>
      <c r="J217" s="85">
        <f>IF(H217,An,'2024'!An_max)</f>
        <v>2020</v>
      </c>
      <c r="K217" s="197">
        <f t="shared" si="79"/>
        <v>45860</v>
      </c>
      <c r="L217" s="147">
        <f>IF(t&lt;Tvie,1-EXP((T0-t)*PertePVj)+'2024'!Pspv,1-EXP((T0-t)*PertePVj)+Pspv)</f>
        <v>4.4569666649833195E-2</v>
      </c>
      <c r="M217" s="832"/>
      <c r="N217" s="832"/>
      <c r="O217" s="48">
        <f>IF(t&lt;Tnet,'2024'!Resal+('2024'!Salim-'2024'!Resal)*(1-EXP(('2024'!Tnet-t)/('2024'!Tau_j))),Resal+(Salim-Resal)*(1-EXP((Tnet-t)/(Tau_j))))*Salcycl</f>
        <v>4.2226661684416356E-2</v>
      </c>
      <c r="P217" s="169">
        <f>(INDEX(Models!$BJ217:$BT217,,T217)*(1-R217)+INDEX(Models!$BJ217:$BT217,,T217+1)*R217-ERP_i)*Q217*Ramure*Pc/MaxiM</f>
        <v>4.460505575966091E-4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55.567575146220953</v>
      </c>
      <c r="W217" s="400">
        <f t="shared" si="86"/>
        <v>42.08549361479669</v>
      </c>
      <c r="X217" s="157">
        <f t="shared" si="87"/>
        <v>45860</v>
      </c>
      <c r="Y217" s="383">
        <f t="shared" si="88"/>
        <v>40.744845510322129</v>
      </c>
      <c r="Z217" s="383">
        <f t="shared" si="89"/>
        <v>42.645543152740863</v>
      </c>
      <c r="AA217" s="384">
        <f t="shared" si="90"/>
        <v>45.990767443268766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7.273686603847955E-2</v>
      </c>
      <c r="AD217" s="230">
        <f>(INDEX(Models!$BJ217:$BT217,,AH217)*(1-AF217)+INDEX(Models!$BJ217:$BT217,,AH217+1)*AF217-ERP_i)*AE217*Ramure*Pc/MaxiM</f>
        <v>4.460505575966091E-4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'2024'!Wh/'2024'!Env_an*'2025'!Env_an</f>
        <v>48.361110809141735</v>
      </c>
      <c r="C218" s="829"/>
      <c r="D218" s="391">
        <f t="shared" si="77"/>
        <v>50.618068077220549</v>
      </c>
      <c r="E218" s="383">
        <f t="shared" si="75"/>
        <v>52.852954954406471</v>
      </c>
      <c r="F218" s="383">
        <f t="shared" si="78"/>
        <v>52.872641760093771</v>
      </c>
      <c r="G218" s="110">
        <f t="shared" si="76"/>
        <v>0.87188731432415756</v>
      </c>
      <c r="H218" s="412" t="b">
        <f>Wh_hp&gt;='2024'!Maxi_hp</f>
        <v>0</v>
      </c>
      <c r="I218" s="388">
        <f>IF(H218,Wh_hp,'2024'!Maxi_hp)</f>
        <v>56.109961045476417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4.4587977254203159E-2</v>
      </c>
      <c r="M218" s="832"/>
      <c r="N218" s="832"/>
      <c r="O218" s="48">
        <f>IF(t&lt;Tnet,'2024'!Resal+('2024'!Salim-'2024'!Resal)*(1-EXP(('2024'!Tnet-t)/('2024'!Tau_j))),Resal+(Salim-Resal)*(1-EXP((Tnet-t)/(Tau_j))))*Salcycl</f>
        <v>4.2284993887547889E-2</v>
      </c>
      <c r="P218" s="169">
        <f>(INDEX(Models!$BJ218:$BT218,,T218)*(1-R218)+INDEX(Models!$BJ218:$BT218,,T218+1)*R218-ERP_i)*Q218*Ramure*Pc/MaxiM</f>
        <v>4.5569746220359644E-4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55.462532190080751</v>
      </c>
      <c r="W218" s="400">
        <f t="shared" si="86"/>
        <v>48.361110809141735</v>
      </c>
      <c r="X218" s="157">
        <f t="shared" si="87"/>
        <v>45861</v>
      </c>
      <c r="Y218" s="383">
        <f t="shared" si="88"/>
        <v>46.821825379392948</v>
      </c>
      <c r="Z218" s="383">
        <f t="shared" si="89"/>
        <v>49.006945971676004</v>
      </c>
      <c r="AA218" s="384">
        <f t="shared" si="90"/>
        <v>52.852954954406471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7.2768097565182904E-2</v>
      </c>
      <c r="AD218" s="230">
        <f>(INDEX(Models!$BJ218:$BT218,,AH218)*(1-AF218)+INDEX(Models!$BJ218:$BT218,,AH218+1)*AF218-ERP_i)*AE218*Ramure*Pc/MaxiM</f>
        <v>4.5569746220359644E-4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'2024'!Wh/'2024'!Env_an*'2025'!Env_an</f>
        <v>52.353788120561688</v>
      </c>
      <c r="C219" s="829"/>
      <c r="D219" s="391">
        <f t="shared" si="77"/>
        <v>54.798129227777544</v>
      </c>
      <c r="E219" s="383">
        <f t="shared" si="75"/>
        <v>57.221043091741741</v>
      </c>
      <c r="F219" s="383">
        <f t="shared" si="78"/>
        <v>57.245630159956136</v>
      </c>
      <c r="G219" s="110">
        <f t="shared" si="76"/>
        <v>0.94575289061645385</v>
      </c>
      <c r="H219" s="412" t="b">
        <f>Wh_hp&gt;='2024'!Maxi_hp</f>
        <v>0</v>
      </c>
      <c r="I219" s="388">
        <f>IF(H219,Wh_hp,'2024'!Maxi_hp)</f>
        <v>57.246859486598268</v>
      </c>
      <c r="J219" s="85">
        <f>IF(H219,An,'2024'!An_max)</f>
        <v>2022</v>
      </c>
      <c r="K219" s="197">
        <f t="shared" si="79"/>
        <v>45862</v>
      </c>
      <c r="L219" s="147">
        <f>IF(t&lt;Tvie,1-EXP((T0-t)*PertePVj)+'2024'!Pspv,1-EXP((T0-t)*PertePVj)+Pspv)</f>
        <v>4.4606287507654607E-2</v>
      </c>
      <c r="M219" s="832"/>
      <c r="N219" s="832"/>
      <c r="O219" s="48">
        <f>IF(t&lt;Tnet,'2024'!Resal+('2024'!Salim-'2024'!Resal)*(1-EXP(('2024'!Tnet-t)/('2024'!Tau_j))),Resal+(Salim-Resal)*(1-EXP((Tnet-t)/(Tau_j))))*Salcycl</f>
        <v>4.2343056558398921E-2</v>
      </c>
      <c r="P219" s="169">
        <f>(INDEX(Models!$BJ219:$BT219,,T219)*(1-R219)+INDEX(Models!$BJ219:$BT219,,T219+1)*R219-ERP_i)*Q219*Ramure*Pc/MaxiM</f>
        <v>4.6555730234808831E-4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55.354733944337767</v>
      </c>
      <c r="W219" s="400">
        <f t="shared" si="86"/>
        <v>52.353788120561688</v>
      </c>
      <c r="X219" s="157">
        <f t="shared" si="87"/>
        <v>45862</v>
      </c>
      <c r="Y219" s="383">
        <f t="shared" si="88"/>
        <v>50.688807657493044</v>
      </c>
      <c r="Z219" s="383">
        <f t="shared" si="89"/>
        <v>53.055412647902642</v>
      </c>
      <c r="AA219" s="384">
        <f t="shared" si="90"/>
        <v>57.221043091741741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7.2798925338715029E-2</v>
      </c>
      <c r="AD219" s="230">
        <f>(INDEX(Models!$BJ219:$BT219,,AH219)*(1-AF219)+INDEX(Models!$BJ219:$BT219,,AH219+1)*AF219-ERP_i)*AE219*Ramure*Pc/MaxiM</f>
        <v>4.6555730234808831E-4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'2024'!Wh/'2024'!Env_an*'2025'!Env_an</f>
        <v>26.679643133997796</v>
      </c>
      <c r="C220" s="829"/>
      <c r="D220" s="391">
        <f t="shared" si="77"/>
        <v>27.925821683994943</v>
      </c>
      <c r="E220" s="383">
        <f t="shared" si="75"/>
        <v>29.162329663964748</v>
      </c>
      <c r="F220" s="383">
        <f t="shared" si="78"/>
        <v>29.165954899852455</v>
      </c>
      <c r="G220" s="110">
        <f t="shared" si="76"/>
        <v>0.48276684345958404</v>
      </c>
      <c r="H220" s="412" t="b">
        <f>Wh_hp&gt;='2024'!Maxi_hp</f>
        <v>0</v>
      </c>
      <c r="I220" s="388">
        <f>IF(H220,Wh_hp,'2024'!Maxi_hp)</f>
        <v>59.315557328001788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4.46245974101942E-2</v>
      </c>
      <c r="M220" s="832"/>
      <c r="N220" s="832"/>
      <c r="O220" s="48">
        <f>IF(t&lt;Tnet,'2024'!Resal+('2024'!Salim-'2024'!Resal)*(1-EXP(('2024'!Tnet-t)/('2024'!Tau_j))),Resal+(Salim-Resal)*(1-EXP((Tnet-t)/(Tau_j))))*Salcycl</f>
        <v>4.2400864204540305E-2</v>
      </c>
      <c r="P220" s="169">
        <f>(INDEX(Models!$BJ220:$BT220,,T220)*(1-R220)+INDEX(Models!$BJ220:$BT220,,T220+1)*R220-ERP_i)*Q220*Ramure*Pc/MaxiM</f>
        <v>4.7561733333548336E-4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55.244615956150888</v>
      </c>
      <c r="W220" s="400">
        <f t="shared" si="86"/>
        <v>26.679643133997796</v>
      </c>
      <c r="X220" s="157">
        <f t="shared" si="87"/>
        <v>45863</v>
      </c>
      <c r="Y220" s="383">
        <f t="shared" si="88"/>
        <v>25.831875224927501</v>
      </c>
      <c r="Z220" s="383">
        <f t="shared" si="89"/>
        <v>27.038455412294635</v>
      </c>
      <c r="AA220" s="384">
        <f t="shared" si="90"/>
        <v>29.162329663964748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7.2829375298316304E-2</v>
      </c>
      <c r="AD220" s="230">
        <f>(INDEX(Models!$BJ220:$BT220,,AH220)*(1-AF220)+INDEX(Models!$BJ220:$BT220,,AH220+1)*AF220-ERP_i)*AE220*Ramure*Pc/MaxiM</f>
        <v>4.7561733333548336E-4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'2024'!Wh/'2024'!Env_an*'2025'!Env_an</f>
        <v>56.577423439169472</v>
      </c>
      <c r="C221" s="829"/>
      <c r="D221" s="391">
        <f t="shared" si="77"/>
        <v>59.221231360982756</v>
      </c>
      <c r="E221" s="383">
        <f t="shared" si="75"/>
        <v>61.847164909784567</v>
      </c>
      <c r="F221" s="383">
        <f t="shared" si="78"/>
        <v>61.877218642952471</v>
      </c>
      <c r="G221" s="110">
        <f t="shared" si="76"/>
        <v>1.0262140071219292</v>
      </c>
      <c r="H221" s="412" t="b">
        <f>Wh_hp&gt;='2024'!Maxi_hp</f>
        <v>1</v>
      </c>
      <c r="I221" s="388">
        <f>IF(H221,Wh_hp,'2024'!Maxi_hp)</f>
        <v>61.877218642952471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4.464290696182871E-2</v>
      </c>
      <c r="M221" s="832"/>
      <c r="N221" s="832"/>
      <c r="O221" s="48">
        <f>IF(t&lt;Tnet,'2024'!Resal+('2024'!Salim-'2024'!Resal)*(1-EXP(('2024'!Tnet-t)/('2024'!Tau_j))),Resal+(Salim-Resal)*(1-EXP((Tnet-t)/(Tau_j))))*Salcycl</f>
        <v>4.2458430433023296E-2</v>
      </c>
      <c r="P221" s="169">
        <f>(INDEX(Models!$BJ221:$BT221,,T221)*(1-R221)+INDEX(Models!$BJ221:$BT221,,T221+1)*R221-ERP_i)*Q221*Ramure*Pc/MaxiM</f>
        <v>4.8569948402693293E-4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55.132187873603307</v>
      </c>
      <c r="W221" s="400">
        <f t="shared" si="86"/>
        <v>56.577423439169472</v>
      </c>
      <c r="X221" s="157">
        <f t="shared" si="87"/>
        <v>45864</v>
      </c>
      <c r="Y221" s="383">
        <f t="shared" si="88"/>
        <v>54.781143631080582</v>
      </c>
      <c r="Z221" s="383">
        <f t="shared" si="89"/>
        <v>57.341013146057001</v>
      </c>
      <c r="AA221" s="384">
        <f t="shared" si="90"/>
        <v>61.847164909784567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7.2859471736507489E-2</v>
      </c>
      <c r="AD221" s="230">
        <f>(INDEX(Models!$BJ221:$BT221,,AH221)*(1-AF221)+INDEX(Models!$BJ221:$BT221,,AH221+1)*AF221-ERP_i)*AE221*Ramure*Pc/MaxiM</f>
        <v>4.8569948402693293E-4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'2024'!Wh/'2024'!Env_an*'2025'!Env_an</f>
        <v>56.616485338273861</v>
      </c>
      <c r="C222" s="829"/>
      <c r="D222" s="391">
        <f t="shared" si="77"/>
        <v>59.263254351356871</v>
      </c>
      <c r="E222" s="383">
        <f t="shared" si="75"/>
        <v>61.894757496071129</v>
      </c>
      <c r="F222" s="383">
        <f t="shared" si="78"/>
        <v>61.925460480563892</v>
      </c>
      <c r="G222" s="110">
        <f t="shared" si="76"/>
        <v>1.0290641592934</v>
      </c>
      <c r="H222" s="412" t="b">
        <f>Wh_hp&gt;='2024'!Maxi_hp</f>
        <v>1</v>
      </c>
      <c r="I222" s="388">
        <f>IF(H222,Wh_hp,'2024'!Maxi_hp)</f>
        <v>61.925460480563892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4.4661216162564799E-2</v>
      </c>
      <c r="M222" s="832"/>
      <c r="N222" s="832"/>
      <c r="O222" s="48">
        <f>IF(t&lt;Tnet,'2024'!Resal+('2024'!Salim-'2024'!Resal)*(1-EXP(('2024'!Tnet-t)/('2024'!Tau_j))),Resal+(Salim-Resal)*(1-EXP((Tnet-t)/(Tau_j))))*Salcycl</f>
        <v>4.2515767912674952E-2</v>
      </c>
      <c r="P222" s="169">
        <f>(INDEX(Models!$BJ222:$BT222,,T222)*(1-R222)+INDEX(Models!$BJ222:$BT222,,T222+1)*R222-ERP_i)*Q222*Ramure*Pc/MaxiM</f>
        <v>4.9580550963204814E-4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55.017449424289715</v>
      </c>
      <c r="W222" s="400">
        <f t="shared" si="86"/>
        <v>56.616485338273861</v>
      </c>
      <c r="X222" s="157">
        <f t="shared" si="87"/>
        <v>45865</v>
      </c>
      <c r="Y222" s="383">
        <f t="shared" si="88"/>
        <v>54.820488053553134</v>
      </c>
      <c r="Z222" s="383">
        <f t="shared" si="89"/>
        <v>57.38329583286513</v>
      </c>
      <c r="AA222" s="384">
        <f t="shared" si="90"/>
        <v>61.894757496071129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7.2889237242627067E-2</v>
      </c>
      <c r="AD222" s="230">
        <f>(INDEX(Models!$BJ222:$BT222,,AH222)*(1-AF222)+INDEX(Models!$BJ222:$BT222,,AH222+1)*AF222-ERP_i)*AE222*Ramure*Pc/MaxiM</f>
        <v>4.9580550963204814E-4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'2024'!Wh/'2024'!Env_an*'2025'!Env_an</f>
        <v>44.14281990187402</v>
      </c>
      <c r="C223" s="829"/>
      <c r="D223" s="391">
        <f t="shared" si="77"/>
        <v>46.207341994263672</v>
      </c>
      <c r="E223" s="383">
        <f t="shared" si="75"/>
        <v>48.261994497293131</v>
      </c>
      <c r="F223" s="383">
        <f t="shared" si="78"/>
        <v>48.279583373379495</v>
      </c>
      <c r="G223" s="110">
        <f t="shared" si="76"/>
        <v>0.80393887137539655</v>
      </c>
      <c r="H223" s="412" t="b">
        <f>Wh_hp&gt;='2024'!Maxi_hp</f>
        <v>0</v>
      </c>
      <c r="I223" s="388">
        <f>IF(H223,Wh_hp,'2024'!Maxi_hp)</f>
        <v>56.218409152668862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4.4679525012409238E-2</v>
      </c>
      <c r="M223" s="832"/>
      <c r="N223" s="832"/>
      <c r="O223" s="48">
        <f>IF(t&lt;Tnet,'2024'!Resal+('2024'!Salim-'2024'!Resal)*(1-EXP(('2024'!Tnet-t)/('2024'!Tau_j))),Resal+(Salim-Resal)*(1-EXP((Tnet-t)/(Tau_j))))*Salcycl</f>
        <v>4.2572888344776169E-2</v>
      </c>
      <c r="P223" s="169">
        <f>(INDEX(Models!$BJ223:$BT223,,T223)*(1-R223)+INDEX(Models!$BJ223:$BT223,,T223+1)*R223-ERP_i)*Q223*Ramure*Pc/MaxiM</f>
        <v>5.0593718014561352E-4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54.900400392178142</v>
      </c>
      <c r="W223" s="400">
        <f t="shared" si="86"/>
        <v>44.14281990187402</v>
      </c>
      <c r="X223" s="157">
        <f t="shared" si="87"/>
        <v>45866</v>
      </c>
      <c r="Y223" s="383">
        <f t="shared" si="88"/>
        <v>42.743706216454306</v>
      </c>
      <c r="Z223" s="383">
        <f t="shared" si="89"/>
        <v>44.742792953338018</v>
      </c>
      <c r="AA223" s="384">
        <f t="shared" si="90"/>
        <v>48.261994497293131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7.2918692661002607E-2</v>
      </c>
      <c r="AD223" s="230">
        <f>(INDEX(Models!$BJ223:$BT223,,AH223)*(1-AF223)+INDEX(Models!$BJ223:$BT223,,AH223+1)*AF223-ERP_i)*AE223*Ramure*Pc/MaxiM</f>
        <v>5.0593718014561352E-4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'2024'!Wh/'2024'!Env_an*'2025'!Env_an</f>
        <v>31.528496690007611</v>
      </c>
      <c r="C224" s="829"/>
      <c r="D224" s="391">
        <f t="shared" si="77"/>
        <v>33.003690137012597</v>
      </c>
      <c r="E224" s="383">
        <f t="shared" si="75"/>
        <v>34.473279219675412</v>
      </c>
      <c r="F224" s="383">
        <f t="shared" si="78"/>
        <v>34.480283812359779</v>
      </c>
      <c r="G224" s="110">
        <f t="shared" si="76"/>
        <v>0.57535650164984298</v>
      </c>
      <c r="H224" s="412" t="b">
        <f>Wh_hp&gt;='2024'!Maxi_hp</f>
        <v>0</v>
      </c>
      <c r="I224" s="388">
        <f>IF(H224,Wh_hp,'2024'!Maxi_hp)</f>
        <v>59.204840320642759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4.469783351136869E-2</v>
      </c>
      <c r="M224" s="832"/>
      <c r="N224" s="832"/>
      <c r="O224" s="48">
        <f>IF(t&lt;Tnet,'2024'!Resal+('2024'!Salim-'2024'!Resal)*(1-EXP(('2024'!Tnet-t)/('2024'!Tau_j))),Resal+(Salim-Resal)*(1-EXP((Tnet-t)/(Tau_j))))*Salcycl</f>
        <v>4.2629802442004178E-2</v>
      </c>
      <c r="P224" s="169">
        <f>(INDEX(Models!$BJ224:$BT224,,T224)*(1-R224)+INDEX(Models!$BJ224:$BT224,,T224+1)*R224-ERP_i)*Q224*Ramure*Pc/MaxiM</f>
        <v>5.1609626719075624E-4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54.78104062276298</v>
      </c>
      <c r="W224" s="400">
        <f t="shared" si="86"/>
        <v>31.528496690007611</v>
      </c>
      <c r="X224" s="157">
        <f t="shared" si="87"/>
        <v>45867</v>
      </c>
      <c r="Y224" s="383">
        <f t="shared" si="88"/>
        <v>30.530050438789313</v>
      </c>
      <c r="Z224" s="383">
        <f t="shared" si="89"/>
        <v>31.958527374649936</v>
      </c>
      <c r="AA224" s="384">
        <f t="shared" si="90"/>
        <v>34.473279219675412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7.2947857063455662E-2</v>
      </c>
      <c r="AD224" s="230">
        <f>(INDEX(Models!$BJ224:$BT224,,AH224)*(1-AF224)+INDEX(Models!$BJ224:$BT224,,AH224+1)*AF224-ERP_i)*AE224*Ramure*Pc/MaxiM</f>
        <v>5.1609626719075624E-4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'2024'!Wh/'2024'!Env_an*'2025'!Env_an</f>
        <v>48.763412366106536</v>
      </c>
      <c r="C225" s="829"/>
      <c r="D225" s="391">
        <f t="shared" si="77"/>
        <v>51.045992183741916</v>
      </c>
      <c r="E225" s="383">
        <f t="shared" si="75"/>
        <v>53.322128274254574</v>
      </c>
      <c r="F225" s="383">
        <f t="shared" si="78"/>
        <v>53.345877118795556</v>
      </c>
      <c r="G225" s="110">
        <f t="shared" si="76"/>
        <v>0.8920603356831025</v>
      </c>
      <c r="H225" s="412" t="b">
        <f>Wh_hp&gt;='2024'!Maxi_hp</f>
        <v>0</v>
      </c>
      <c r="I225" s="388">
        <f>IF(H225,Wh_hp,'2024'!Maxi_hp)</f>
        <v>53.348435713615878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4.4716141659450037E-2</v>
      </c>
      <c r="M225" s="832"/>
      <c r="N225" s="832"/>
      <c r="O225" s="48">
        <f>IF(t&lt;Tnet,'2024'!Resal+('2024'!Salim-'2024'!Resal)*(1-EXP(('2024'!Tnet-t)/('2024'!Tau_j))),Resal+(Salim-Resal)*(1-EXP((Tnet-t)/(Tau_j))))*Salcycl</f>
        <v>4.2686519915440847E-2</v>
      </c>
      <c r="P225" s="169">
        <f>(INDEX(Models!$BJ225:$BT225,,T225)*(1-R225)+INDEX(Models!$BJ225:$BT225,,T225+1)*R225-ERP_i)*Q225*Ramure*Pc/MaxiM</f>
        <v>5.2628453166361799E-4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54.659370021863161</v>
      </c>
      <c r="W225" s="400">
        <f t="shared" si="86"/>
        <v>48.763412366106536</v>
      </c>
      <c r="X225" s="157">
        <f t="shared" si="87"/>
        <v>45868</v>
      </c>
      <c r="Y225" s="383">
        <f t="shared" si="88"/>
        <v>47.220495755622295</v>
      </c>
      <c r="Z225" s="383">
        <f t="shared" si="89"/>
        <v>49.430852770453306</v>
      </c>
      <c r="AA225" s="384">
        <f t="shared" si="90"/>
        <v>53.322128274254574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7.297674773570656E-2</v>
      </c>
      <c r="AD225" s="230">
        <f>(INDEX(Models!$BJ225:$BT225,,AH225)*(1-AF225)+INDEX(Models!$BJ225:$BT225,,AH225+1)*AF225-ERP_i)*AE225*Ramure*Pc/MaxiM</f>
        <v>5.2628453166361799E-4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'2024'!Wh/'2024'!Env_an*'2025'!Env_an</f>
        <v>54.143932830451938</v>
      </c>
      <c r="C226" s="829"/>
      <c r="D226" s="391">
        <f t="shared" si="77"/>
        <v>56.679457141164271</v>
      </c>
      <c r="E226" s="383">
        <f t="shared" si="75"/>
        <v>59.210285294607331</v>
      </c>
      <c r="F226" s="383">
        <f t="shared" si="78"/>
        <v>59.241764714938007</v>
      </c>
      <c r="G226" s="110">
        <f t="shared" si="76"/>
        <v>0.99281688951965441</v>
      </c>
      <c r="H226" s="412" t="b">
        <f>Wh_hp&gt;='2024'!Maxi_hp</f>
        <v>0</v>
      </c>
      <c r="I226" s="388">
        <f>IF(H226,Wh_hp,'2024'!Maxi_hp)</f>
        <v>59.241957497118648</v>
      </c>
      <c r="J226" s="85">
        <f>IF(H226,An,'2024'!An_max)</f>
        <v>2022</v>
      </c>
      <c r="K226" s="197">
        <f t="shared" si="79"/>
        <v>45869</v>
      </c>
      <c r="L226" s="147">
        <f>IF(t&lt;Tvie,1-EXP((T0-t)*PertePVj)+'2024'!Pspv,1-EXP((T0-t)*PertePVj)+Pspv)</f>
        <v>4.4734449456659831E-2</v>
      </c>
      <c r="M226" s="832"/>
      <c r="N226" s="832"/>
      <c r="O226" s="48">
        <f>IF(t&lt;Tnet,'2024'!Resal+('2024'!Salim-'2024'!Resal)*(1-EXP(('2024'!Tnet-t)/('2024'!Tau_j))),Resal+(Salim-Resal)*(1-EXP((Tnet-t)/(Tau_j))))*Salcycl</f>
        <v>4.2743049469372428E-2</v>
      </c>
      <c r="P226" s="169">
        <f>(INDEX(Models!$BJ226:$BT226,,T226)*(1-R226)+INDEX(Models!$BJ226:$BT226,,T226+1)*R226-ERP_i)*Q226*Ramure*Pc/MaxiM</f>
        <v>5.3687710670555374E-4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54.535368183477665</v>
      </c>
      <c r="W226" s="400">
        <f t="shared" si="86"/>
        <v>54.143932830451938</v>
      </c>
      <c r="X226" s="157">
        <f t="shared" si="87"/>
        <v>45869</v>
      </c>
      <c r="Y226" s="383">
        <f t="shared" si="88"/>
        <v>52.432248626722874</v>
      </c>
      <c r="Z226" s="383">
        <f t="shared" si="89"/>
        <v>54.887615906278867</v>
      </c>
      <c r="AA226" s="384">
        <f t="shared" si="90"/>
        <v>59.210285294607331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7.3005380177118662E-2</v>
      </c>
      <c r="AD226" s="230">
        <f>(INDEX(Models!$BJ226:$BT226,,AH226)*(1-AF226)+INDEX(Models!$BJ226:$BT226,,AH226+1)*AF226-ERP_i)*AE226*Ramure*Pc/MaxiM</f>
        <v>5.3687710670555374E-4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'2024'!Wh/'2024'!Env_an*'2025'!Env_an</f>
        <v>53.77739951028849</v>
      </c>
      <c r="C227" s="829"/>
      <c r="D227" s="391">
        <f t="shared" si="77"/>
        <v>56.296838225816238</v>
      </c>
      <c r="E227" s="383">
        <f t="shared" si="75"/>
        <v>58.814043947995025</v>
      </c>
      <c r="F227" s="383">
        <f t="shared" si="78"/>
        <v>58.845750145254598</v>
      </c>
      <c r="G227" s="110">
        <f t="shared" si="76"/>
        <v>0.98838200316682867</v>
      </c>
      <c r="H227" s="412" t="b">
        <f>Wh_hp&gt;='2024'!Maxi_hp</f>
        <v>0</v>
      </c>
      <c r="I227" s="388">
        <f>IF(H227,Wh_hp,'2024'!Maxi_hp)</f>
        <v>58.846066079470248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4.4752756903004953E-2</v>
      </c>
      <c r="M227" s="832"/>
      <c r="N227" s="832"/>
      <c r="O227" s="48">
        <f>IF(t&lt;Tnet,'2024'!Resal+('2024'!Salim-'2024'!Resal)*(1-EXP(('2024'!Tnet-t)/('2024'!Tau_j))),Resal+(Salim-Resal)*(1-EXP((Tnet-t)/(Tau_j))))*Salcycl</f>
        <v>4.2799398803533513E-2</v>
      </c>
      <c r="P227" s="169">
        <f>(INDEX(Models!$BJ227:$BT227,,T227)*(1-R227)+INDEX(Models!$BJ227:$BT227,,T227+1)*R227-ERP_i)*Q227*Ramure*Pc/MaxiM</f>
        <v>5.478881622301957E-4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54.409034598656994</v>
      </c>
      <c r="W227" s="400">
        <f t="shared" si="86"/>
        <v>53.77739951028849</v>
      </c>
      <c r="X227" s="157">
        <f t="shared" si="87"/>
        <v>45870</v>
      </c>
      <c r="Y227" s="383">
        <f t="shared" si="88"/>
        <v>52.078773584573462</v>
      </c>
      <c r="Z227" s="383">
        <f t="shared" si="89"/>
        <v>54.518632700503304</v>
      </c>
      <c r="AA227" s="384">
        <f t="shared" si="90"/>
        <v>58.814043947995025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7.303376811310297E-2</v>
      </c>
      <c r="AD227" s="230">
        <f>(INDEX(Models!$BJ227:$BT227,,AH227)*(1-AF227)+INDEX(Models!$BJ227:$BT227,,AH227+1)*AF227-ERP_i)*AE227*Ramure*Pc/MaxiM</f>
        <v>5.478881622301957E-4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'2024'!Wh/'2024'!Env_an*'2025'!Env_an</f>
        <v>53.766769466787181</v>
      </c>
      <c r="C228" s="829"/>
      <c r="D228" s="391">
        <f t="shared" si="77"/>
        <v>56.286788894659594</v>
      </c>
      <c r="E228" s="383">
        <f t="shared" si="75"/>
        <v>58.806996522445296</v>
      </c>
      <c r="F228" s="383">
        <f t="shared" si="78"/>
        <v>58.839461908343189</v>
      </c>
      <c r="G228" s="110">
        <f t="shared" si="76"/>
        <v>0.99053052510799366</v>
      </c>
      <c r="H228" s="412" t="b">
        <f>Wh_hp&gt;='2024'!Maxi_hp</f>
        <v>0</v>
      </c>
      <c r="I228" s="388">
        <f>IF(H228,Wh_hp,'2024'!Maxi_hp)</f>
        <v>58.839724664908012</v>
      </c>
      <c r="J228" s="85">
        <f>IF(H228,An,'2024'!An_max)</f>
        <v>2022</v>
      </c>
      <c r="K228" s="197">
        <f t="shared" si="79"/>
        <v>45871</v>
      </c>
      <c r="L228" s="147">
        <f>IF(t&lt;Tvie,1-EXP((T0-t)*PertePVj)+'2024'!Pspv,1-EXP((T0-t)*PertePVj)+Pspv)</f>
        <v>4.4771063998491956E-2</v>
      </c>
      <c r="M228" s="832"/>
      <c r="N228" s="832"/>
      <c r="O228" s="48">
        <f>IF(t&lt;Tnet,'2024'!Resal+('2024'!Salim-'2024'!Resal)*(1-EXP(('2024'!Tnet-t)/('2024'!Tau_j))),Resal+(Salim-Resal)*(1-EXP((Tnet-t)/(Tau_j))))*Salcycl</f>
        <v>4.2855574622380148E-2</v>
      </c>
      <c r="P228" s="169">
        <f>(INDEX(Models!$BJ228:$BT228,,T228)*(1-R228)+INDEX(Models!$BJ228:$BT228,,T228+1)*R228-ERP_i)*Q228*Ramure*Pc/MaxiM</f>
        <v>5.593225423670212E-4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54.28036933713792</v>
      </c>
      <c r="W228" s="400">
        <f t="shared" si="86"/>
        <v>53.766769466787181</v>
      </c>
      <c r="X228" s="157">
        <f t="shared" si="87"/>
        <v>45871</v>
      </c>
      <c r="Y228" s="383">
        <f t="shared" si="88"/>
        <v>52.06995365245664</v>
      </c>
      <c r="Z228" s="383">
        <f t="shared" si="89"/>
        <v>54.510444240117153</v>
      </c>
      <c r="AA228" s="384">
        <f t="shared" si="90"/>
        <v>58.806996522445296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7.3061923519393585E-2</v>
      </c>
      <c r="AD228" s="230">
        <f>(INDEX(Models!$BJ228:$BT228,,AH228)*(1-AF228)+INDEX(Models!$BJ228:$BT228,,AH228+1)*AF228-ERP_i)*AE228*Ramure*Pc/MaxiM</f>
        <v>5.593225423670212E-4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'2024'!Wh/'2024'!Env_an*'2025'!Env_an</f>
        <v>50.774128900523479</v>
      </c>
      <c r="C229" s="829"/>
      <c r="D229" s="391">
        <f t="shared" si="77"/>
        <v>53.154903583960703</v>
      </c>
      <c r="E229" s="383">
        <f t="shared" si="75"/>
        <v>55.538132758086839</v>
      </c>
      <c r="F229" s="383">
        <f t="shared" si="78"/>
        <v>55.567045593283822</v>
      </c>
      <c r="G229" s="110">
        <f t="shared" si="76"/>
        <v>0.93762019253786744</v>
      </c>
      <c r="H229" s="412" t="b">
        <f>Wh_hp&gt;='2024'!Maxi_hp</f>
        <v>0</v>
      </c>
      <c r="I229" s="388">
        <f>IF(H229,Wh_hp,'2024'!Maxi_hp)</f>
        <v>56.932913500318811</v>
      </c>
      <c r="J229" s="85">
        <f>IF(H229,An,'2024'!An_max)</f>
        <v>2018</v>
      </c>
      <c r="K229" s="197">
        <f t="shared" si="79"/>
        <v>45872</v>
      </c>
      <c r="L229" s="147">
        <f>IF(t&lt;Tvie,1-EXP((T0-t)*PertePVj)+'2024'!Pspv,1-EXP((T0-t)*PertePVj)+Pspv)</f>
        <v>4.4789370743127721E-2</v>
      </c>
      <c r="M229" s="832"/>
      <c r="N229" s="832"/>
      <c r="O229" s="48">
        <f>IF(t&lt;Tnet,'2024'!Resal+('2024'!Salim-'2024'!Resal)*(1-EXP(('2024'!Tnet-t)/('2024'!Tau_j))),Resal+(Salim-Resal)*(1-EXP((Tnet-t)/(Tau_j))))*Salcycl</f>
        <v>4.2911582650915048E-2</v>
      </c>
      <c r="P229" s="169">
        <f>(INDEX(Models!$BJ229:$BT229,,T229)*(1-R229)+INDEX(Models!$BJ229:$BT229,,T229+1)*R229-ERP_i)*Q229*Ramure*Pc/MaxiM</f>
        <v>5.7118507761925097E-4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54.149372532520339</v>
      </c>
      <c r="W229" s="400">
        <f t="shared" si="86"/>
        <v>50.774128900523479</v>
      </c>
      <c r="X229" s="157">
        <f t="shared" si="87"/>
        <v>45872</v>
      </c>
      <c r="Y229" s="383">
        <f t="shared" si="88"/>
        <v>49.173152912704275</v>
      </c>
      <c r="Z229" s="383">
        <f t="shared" si="89"/>
        <v>51.478858595783883</v>
      </c>
      <c r="AA229" s="384">
        <f t="shared" si="90"/>
        <v>55.538132758086839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7.3089856657305233E-2</v>
      </c>
      <c r="AD229" s="230">
        <f>(INDEX(Models!$BJ229:$BT229,,AH229)*(1-AF229)+INDEX(Models!$BJ229:$BT229,,AH229+1)*AF229-ERP_i)*AE229*Ramure*Pc/MaxiM</f>
        <v>5.7118507761925097E-4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'2024'!Wh/'2024'!Env_an*'2025'!Env_an</f>
        <v>50.021975033315016</v>
      </c>
      <c r="C230" s="829"/>
      <c r="D230" s="391">
        <f t="shared" si="77"/>
        <v>52.368485210789579</v>
      </c>
      <c r="E230" s="383">
        <f t="shared" si="75"/>
        <v>54.719647715391538</v>
      </c>
      <c r="F230" s="383">
        <f t="shared" si="78"/>
        <v>54.748217879371879</v>
      </c>
      <c r="G230" s="110">
        <f t="shared" si="76"/>
        <v>0.92600061584091575</v>
      </c>
      <c r="H230" s="412" t="b">
        <f>Wh_hp&gt;='2024'!Maxi_hp</f>
        <v>0</v>
      </c>
      <c r="I230" s="388">
        <f>IF(H230,Wh_hp,'2024'!Maxi_hp)</f>
        <v>54.750209948964994</v>
      </c>
      <c r="J230" s="85">
        <f>IF(H230,An,'2024'!An_max)</f>
        <v>2022</v>
      </c>
      <c r="K230" s="197">
        <f t="shared" si="79"/>
        <v>45873</v>
      </c>
      <c r="L230" s="147">
        <f>IF(t&lt;Tvie,1-EXP((T0-t)*PertePVj)+'2024'!Pspv,1-EXP((T0-t)*PertePVj)+Pspv)</f>
        <v>4.48076771369188E-2</v>
      </c>
      <c r="M230" s="832"/>
      <c r="N230" s="832"/>
      <c r="O230" s="48">
        <f>IF(t&lt;Tnet,'2024'!Resal+('2024'!Salim-'2024'!Resal)*(1-EXP(('2024'!Tnet-t)/('2024'!Tau_j))),Resal+(Salim-Resal)*(1-EXP((Tnet-t)/(Tau_j))))*Salcycl</f>
        <v>4.29674276565312E-2</v>
      </c>
      <c r="P230" s="169">
        <f>(INDEX(Models!$BJ230:$BT230,,T230)*(1-R230)+INDEX(Models!$BJ230:$BT230,,T230+1)*R230-ERP_i)*Q230*Ramure*Pc/MaxiM</f>
        <v>5.8348058433712821E-4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54.016044382219832</v>
      </c>
      <c r="W230" s="400">
        <f t="shared" si="86"/>
        <v>50.021975033315016</v>
      </c>
      <c r="X230" s="157">
        <f t="shared" si="87"/>
        <v>45873</v>
      </c>
      <c r="Y230" s="383">
        <f t="shared" si="88"/>
        <v>48.446093483173939</v>
      </c>
      <c r="Z230" s="383">
        <f t="shared" si="89"/>
        <v>50.718679708356788</v>
      </c>
      <c r="AA230" s="384">
        <f t="shared" si="90"/>
        <v>54.719647715391538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7.3117576118995373E-2</v>
      </c>
      <c r="AD230" s="230">
        <f>(INDEX(Models!$BJ230:$BT230,,AH230)*(1-AF230)+INDEX(Models!$BJ230:$BT230,,AH230+1)*AF230-ERP_i)*AE230*Ramure*Pc/MaxiM</f>
        <v>5.8348058433712821E-4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'2024'!Wh/'2024'!Env_an*'2025'!Env_an</f>
        <v>45.426952084047613</v>
      </c>
      <c r="C231" s="829"/>
      <c r="D231" s="391">
        <f t="shared" si="77"/>
        <v>47.558823087837531</v>
      </c>
      <c r="E231" s="383">
        <f t="shared" si="75"/>
        <v>49.696940184834098</v>
      </c>
      <c r="F231" s="383">
        <f t="shared" si="78"/>
        <v>49.719939788624067</v>
      </c>
      <c r="G231" s="110">
        <f t="shared" si="76"/>
        <v>0.84299469486461309</v>
      </c>
      <c r="H231" s="412" t="b">
        <f>Wh_hp&gt;='2024'!Maxi_hp</f>
        <v>0</v>
      </c>
      <c r="I231" s="388">
        <f>IF(H231,Wh_hp,'2024'!Maxi_hp)</f>
        <v>57.498472641811972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4.4825983179872075E-2</v>
      </c>
      <c r="M231" s="832"/>
      <c r="N231" s="832"/>
      <c r="O231" s="48">
        <f>IF(t&lt;Tnet,'2024'!Resal+('2024'!Salim-'2024'!Resal)*(1-EXP(('2024'!Tnet-t)/('2024'!Tau_j))),Resal+(Salim-Resal)*(1-EXP((Tnet-t)/(Tau_j))))*Salcycl</f>
        <v>4.3023113476291022E-2</v>
      </c>
      <c r="P231" s="169">
        <f>(INDEX(Models!$BJ231:$BT231,,T231)*(1-R231)+INDEX(Models!$BJ231:$BT231,,T231+1)*R231-ERP_i)*Q231*Ramure*Pc/MaxiM</f>
        <v>5.9621386402056349E-4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53.88038514710329</v>
      </c>
      <c r="W231" s="400">
        <f t="shared" si="86"/>
        <v>45.426952084047613</v>
      </c>
      <c r="X231" s="157">
        <f t="shared" si="87"/>
        <v>45874</v>
      </c>
      <c r="Y231" s="383">
        <f t="shared" si="88"/>
        <v>43.997085226564849</v>
      </c>
      <c r="Z231" s="383">
        <f t="shared" si="89"/>
        <v>46.061853077867056</v>
      </c>
      <c r="AA231" s="384">
        <f t="shared" si="90"/>
        <v>49.696940184834098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7.3145088881676326E-2</v>
      </c>
      <c r="AD231" s="230">
        <f>(INDEX(Models!$BJ231:$BT231,,AH231)*(1-AF231)+INDEX(Models!$BJ231:$BT231,,AH231+1)*AF231-ERP_i)*AE231*Ramure*Pc/MaxiM</f>
        <v>5.9621386402056349E-4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'2024'!Wh/'2024'!Env_an*'2025'!Env_an</f>
        <v>49.88218867015329</v>
      </c>
      <c r="C232" s="829"/>
      <c r="D232" s="391">
        <f t="shared" si="77"/>
        <v>52.224143235498389</v>
      </c>
      <c r="E232" s="383">
        <f t="shared" si="75"/>
        <v>54.57516739086995</v>
      </c>
      <c r="F232" s="383">
        <f t="shared" si="78"/>
        <v>54.605028663622328</v>
      </c>
      <c r="G232" s="110">
        <f t="shared" si="76"/>
        <v>0.92811397182466471</v>
      </c>
      <c r="H232" s="412" t="b">
        <f>Wh_hp&gt;='2024'!Maxi_hp</f>
        <v>0</v>
      </c>
      <c r="I232" s="388">
        <f>IF(H232,Wh_hp,'2024'!Maxi_hp)</f>
        <v>58.413322100606401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4.484428887199432E-2</v>
      </c>
      <c r="M232" s="832"/>
      <c r="N232" s="832"/>
      <c r="O232" s="48">
        <f>IF(t&lt;Tnet,'2024'!Resal+('2024'!Salim-'2024'!Resal)*(1-EXP(('2024'!Tnet-t)/('2024'!Tau_j))),Resal+(Salim-Resal)*(1-EXP((Tnet-t)/(Tau_j))))*Salcycl</f>
        <v>4.3078643049015576E-2</v>
      </c>
      <c r="P232" s="169">
        <f>(INDEX(Models!$BJ232:$BT232,,T232)*(1-R232)+INDEX(Models!$BJ232:$BT232,,T232+1)*R232-ERP_i)*Q232*Ramure*Pc/MaxiM</f>
        <v>6.0938970254801759E-4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53.742395146420634</v>
      </c>
      <c r="W232" s="400">
        <f t="shared" si="86"/>
        <v>49.88218867015329</v>
      </c>
      <c r="X232" s="157">
        <f t="shared" si="87"/>
        <v>45875</v>
      </c>
      <c r="Y232" s="383">
        <f t="shared" si="88"/>
        <v>48.313467824330345</v>
      </c>
      <c r="Z232" s="383">
        <f t="shared" si="89"/>
        <v>50.581771392304006</v>
      </c>
      <c r="AA232" s="384">
        <f t="shared" si="90"/>
        <v>54.57516739086995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7.3172400369659829E-2</v>
      </c>
      <c r="AD232" s="230">
        <f>(INDEX(Models!$BJ232:$BT232,,AH232)*(1-AF232)+INDEX(Models!$BJ232:$BT232,,AH232+1)*AF232-ERP_i)*AE232*Ramure*Pc/MaxiM</f>
        <v>6.0938970254801759E-4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'2024'!Wh/'2024'!Env_an*'2025'!Env_an</f>
        <v>52.491934221223026</v>
      </c>
      <c r="C233" s="829"/>
      <c r="D233" s="391">
        <f t="shared" si="77"/>
        <v>54.957468845006176</v>
      </c>
      <c r="E233" s="383">
        <f t="shared" ref="E233:E296" si="100">Wh_pvt/(1-Psa)</f>
        <v>57.434865388431568</v>
      </c>
      <c r="F233" s="383">
        <f t="shared" si="78"/>
        <v>57.469609671368488</v>
      </c>
      <c r="G233" s="110">
        <f t="shared" ref="G233:G296" si="101">+Wh_hp/MaxiM</f>
        <v>0.97926321365965519</v>
      </c>
      <c r="H233" s="412" t="b">
        <f>Wh_hp&gt;='2024'!Maxi_hp</f>
        <v>0</v>
      </c>
      <c r="I233" s="388">
        <f>IF(H233,Wh_hp,'2024'!Maxi_hp)</f>
        <v>57.470235138587057</v>
      </c>
      <c r="J233" s="85">
        <f>IF(H233,An,'2024'!An_max)</f>
        <v>2022</v>
      </c>
      <c r="K233" s="197">
        <f t="shared" si="79"/>
        <v>45876</v>
      </c>
      <c r="L233" s="147">
        <f>IF(t&lt;Tvie,1-EXP((T0-t)*PertePVj)+'2024'!Pspv,1-EXP((T0-t)*PertePVj)+Pspv)</f>
        <v>4.4862594213291973E-2</v>
      </c>
      <c r="M233" s="832"/>
      <c r="N233" s="832"/>
      <c r="O233" s="48">
        <f>IF(t&lt;Tnet,'2024'!Resal+('2024'!Salim-'2024'!Resal)*(1-EXP(('2024'!Tnet-t)/('2024'!Tau_j))),Resal+(Salim-Resal)*(1-EXP((Tnet-t)/(Tau_j))))*Salcycl</f>
        <v>4.3134018451523731E-2</v>
      </c>
      <c r="P233" s="169">
        <f>(INDEX(Models!$BJ233:$BT233,,T233)*(1-R233)+INDEX(Models!$BJ233:$BT233,,T233+1)*R233-ERP_i)*Q233*Ramure*Pc/MaxiM</f>
        <v>6.2300781974591879E-4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53.60250947650291</v>
      </c>
      <c r="W233" s="400">
        <f t="shared" si="86"/>
        <v>52.491934221223026</v>
      </c>
      <c r="X233" s="157">
        <f t="shared" si="87"/>
        <v>45876</v>
      </c>
      <c r="Y233" s="383">
        <f t="shared" si="88"/>
        <v>50.842595575531135</v>
      </c>
      <c r="Z233" s="383">
        <f t="shared" si="89"/>
        <v>53.230661125300756</v>
      </c>
      <c r="AA233" s="384">
        <f t="shared" si="90"/>
        <v>57.434865388431568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7.3199514523065598E-2</v>
      </c>
      <c r="AD233" s="230">
        <f>(INDEX(Models!$BJ233:$BT233,,AH233)*(1-AF233)+INDEX(Models!$BJ233:$BT233,,AH233+1)*AF233-ERP_i)*AE233*Ramure*Pc/MaxiM</f>
        <v>6.2300781974591879E-4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'2024'!Wh/'2024'!Env_an*'2025'!Env_an</f>
        <v>52.934494561137726</v>
      </c>
      <c r="C234" s="829"/>
      <c r="D234" s="391">
        <f t="shared" si="77"/>
        <v>55.421878294559576</v>
      </c>
      <c r="E234" s="383">
        <f t="shared" si="100"/>
        <v>57.923552562171494</v>
      </c>
      <c r="F234" s="383">
        <f t="shared" si="78"/>
        <v>57.959978581015804</v>
      </c>
      <c r="G234" s="110">
        <f t="shared" si="101"/>
        <v>0.99014253182711753</v>
      </c>
      <c r="H234" s="412" t="b">
        <f>Wh_hp&gt;='2024'!Maxi_hp</f>
        <v>0</v>
      </c>
      <c r="I234" s="388">
        <f>IF(H234,Wh_hp,'2024'!Maxi_hp)</f>
        <v>57.960285399615913</v>
      </c>
      <c r="J234" s="85">
        <f>IF(H234,An,'2024'!An_max)</f>
        <v>2022</v>
      </c>
      <c r="K234" s="197">
        <f t="shared" si="79"/>
        <v>45877</v>
      </c>
      <c r="L234" s="147">
        <f>IF(t&lt;Tvie,1-EXP((T0-t)*PertePVj)+'2024'!Pspv,1-EXP((T0-t)*PertePVj)+Pspv)</f>
        <v>4.4880899203772029E-2</v>
      </c>
      <c r="M234" s="832"/>
      <c r="N234" s="832"/>
      <c r="O234" s="48">
        <f>IF(t&lt;Tnet,'2024'!Resal+('2024'!Salim-'2024'!Resal)*(1-EXP(('2024'!Tnet-t)/('2024'!Tau_j))),Resal+(Salim-Resal)*(1-EXP((Tnet-t)/(Tau_j))))*Salcycl</f>
        <v>4.318924093833465E-2</v>
      </c>
      <c r="P234" s="169">
        <f>(INDEX(Models!$BJ234:$BT234,,T234)*(1-R234)+INDEX(Models!$BJ234:$BT234,,T234+1)*R234-ERP_i)*Q234*Ramure*Pc/MaxiM</f>
        <v>6.3743682223414689E-4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53.461009729099047</v>
      </c>
      <c r="W234" s="400">
        <f t="shared" si="86"/>
        <v>52.934494561137726</v>
      </c>
      <c r="X234" s="157">
        <f t="shared" si="87"/>
        <v>45877</v>
      </c>
      <c r="Y234" s="383">
        <f t="shared" si="88"/>
        <v>51.272720160170827</v>
      </c>
      <c r="Z234" s="383">
        <f t="shared" si="89"/>
        <v>53.68201737084695</v>
      </c>
      <c r="AA234" s="384">
        <f t="shared" si="90"/>
        <v>57.923552562171494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7.3226433871989294E-2</v>
      </c>
      <c r="AD234" s="230">
        <f>(INDEX(Models!$BJ234:$BT234,,AH234)*(1-AF234)+INDEX(Models!$BJ234:$BT234,,AH234+1)*AF234-ERP_i)*AE234*Ramure*Pc/MaxiM</f>
        <v>6.3743682223414689E-4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'2024'!Wh/'2024'!Env_an*'2025'!Env_an</f>
        <v>50.948297119445392</v>
      </c>
      <c r="C235" s="829"/>
      <c r="D235" s="391">
        <f t="shared" si="77"/>
        <v>53.343372055041208</v>
      </c>
      <c r="E235" s="383">
        <f t="shared" si="100"/>
        <v>55.754434143904298</v>
      </c>
      <c r="F235" s="383">
        <f t="shared" si="78"/>
        <v>55.78853553730066</v>
      </c>
      <c r="G235" s="110">
        <f t="shared" si="101"/>
        <v>0.95552114058136084</v>
      </c>
      <c r="H235" s="412" t="b">
        <f>Wh_hp&gt;='2024'!Maxi_hp</f>
        <v>0</v>
      </c>
      <c r="I235" s="388">
        <f>IF(H235,Wh_hp,'2024'!Maxi_hp)</f>
        <v>56.144783633335642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4.4899203843441149E-2</v>
      </c>
      <c r="M235" s="832"/>
      <c r="N235" s="832"/>
      <c r="O235" s="48">
        <f>IF(t&lt;Tnet,'2024'!Resal+('2024'!Salim-'2024'!Resal)*(1-EXP(('2024'!Tnet-t)/('2024'!Tau_j))),Resal+(Salim-Resal)*(1-EXP((Tnet-t)/(Tau_j))))*Salcycl</f>
        <v>4.3244310984128211E-2</v>
      </c>
      <c r="P235" s="169">
        <f>(INDEX(Models!$BJ235:$BT235,,T235)*(1-R235)+INDEX(Models!$BJ235:$BT235,,T235+1)*R235-ERP_i)*Q235*Ramure*Pc/MaxiM</f>
        <v>6.5269795764578563E-4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53.317694979435458</v>
      </c>
      <c r="W235" s="400">
        <f t="shared" si="86"/>
        <v>50.948297119445392</v>
      </c>
      <c r="X235" s="157">
        <f t="shared" si="87"/>
        <v>45878</v>
      </c>
      <c r="Y235" s="383">
        <f t="shared" si="88"/>
        <v>49.350292786880814</v>
      </c>
      <c r="Z235" s="383">
        <f t="shared" si="89"/>
        <v>51.670245680322289</v>
      </c>
      <c r="AA235" s="384">
        <f t="shared" si="90"/>
        <v>55.754434143904298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7.3253159614902918E-2</v>
      </c>
      <c r="AD235" s="230">
        <f>(INDEX(Models!$BJ235:$BT235,,AH235)*(1-AF235)+INDEX(Models!$BJ235:$BT235,,AH235+1)*AF235-ERP_i)*AE235*Ramure*Pc/MaxiM</f>
        <v>6.5269795764578563E-4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'2024'!Wh/'2024'!Env_an*'2025'!Env_an</f>
        <v>48.145115829180959</v>
      </c>
      <c r="C236" s="829"/>
      <c r="D236" s="391">
        <f t="shared" si="77"/>
        <v>50.409379544830379</v>
      </c>
      <c r="E236" s="383">
        <f t="shared" si="100"/>
        <v>52.690852811526817</v>
      </c>
      <c r="F236" s="383">
        <f t="shared" si="78"/>
        <v>52.721350468374034</v>
      </c>
      <c r="G236" s="110">
        <f t="shared" si="101"/>
        <v>0.90537188283745829</v>
      </c>
      <c r="H236" s="412" t="b">
        <f>Wh_hp&gt;='2024'!Maxi_hp</f>
        <v>0</v>
      </c>
      <c r="I236" s="388">
        <f>IF(H236,Wh_hp,'2024'!Maxi_hp)</f>
        <v>53.37794367209424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4.4917508132305994E-2</v>
      </c>
      <c r="M236" s="832"/>
      <c r="N236" s="832"/>
      <c r="O236" s="48">
        <f>IF(t&lt;Tnet,'2024'!Resal+('2024'!Salim-'2024'!Resal)*(1-EXP(('2024'!Tnet-t)/('2024'!Tau_j))),Resal+(Salim-Resal)*(1-EXP((Tnet-t)/(Tau_j))))*Salcycl</f>
        <v>4.3299228328248597E-2</v>
      </c>
      <c r="P236" s="169">
        <f>(INDEX(Models!$BJ236:$BT236,,T236)*(1-R236)+INDEX(Models!$BJ236:$BT236,,T236+1)*R236-ERP_i)*Q236*Ramure*Pc/MaxiM</f>
        <v>6.6880118504045747E-4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53.172365037862441</v>
      </c>
      <c r="W236" s="400">
        <f t="shared" si="86"/>
        <v>48.145115829180959</v>
      </c>
      <c r="X236" s="157">
        <f t="shared" si="87"/>
        <v>45879</v>
      </c>
      <c r="Y236" s="383">
        <f t="shared" si="88"/>
        <v>46.636375662570849</v>
      </c>
      <c r="Z236" s="383">
        <f t="shared" si="89"/>
        <v>48.829683362085241</v>
      </c>
      <c r="AA236" s="384">
        <f t="shared" si="90"/>
        <v>52.690852811526817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7.3279691700053357E-2</v>
      </c>
      <c r="AD236" s="230">
        <f>(INDEX(Models!$BJ236:$BT236,,AH236)*(1-AF236)+INDEX(Models!$BJ236:$BT236,,AH236+1)*AF236-ERP_i)*AE236*Ramure*Pc/MaxiM</f>
        <v>6.6880118504045747E-4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'2024'!Wh/'2024'!Env_an*'2025'!Env_an</f>
        <v>46.555767452805192</v>
      </c>
      <c r="C237" s="829"/>
      <c r="D237" s="391">
        <f t="shared" si="77"/>
        <v>48.746218360179597</v>
      </c>
      <c r="E237" s="383">
        <f t="shared" si="100"/>
        <v>50.955335571970437</v>
      </c>
      <c r="F237" s="383">
        <f t="shared" si="78"/>
        <v>50.984204800341544</v>
      </c>
      <c r="G237" s="110">
        <f t="shared" si="101"/>
        <v>0.87789454446764836</v>
      </c>
      <c r="H237" s="412" t="b">
        <f>Wh_hp&gt;='2024'!Maxi_hp</f>
        <v>0</v>
      </c>
      <c r="I237" s="388">
        <f>IF(H237,Wh_hp,'2024'!Maxi_hp)</f>
        <v>51.914944304147305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4.4935812070373227E-2</v>
      </c>
      <c r="M237" s="832"/>
      <c r="N237" s="832"/>
      <c r="O237" s="48">
        <f>IF(t&lt;Tnet,'2024'!Resal+('2024'!Salim-'2024'!Resal)*(1-EXP(('2024'!Tnet-t)/('2024'!Tau_j))),Resal+(Salim-Resal)*(1-EXP((Tnet-t)/(Tau_j))))*Salcycl</f>
        <v>4.3353992020534034E-2</v>
      </c>
      <c r="P237" s="169">
        <f>(INDEX(Models!$BJ237:$BT237,,T237)*(1-R237)+INDEX(Models!$BJ237:$BT237,,T237+1)*R237-ERP_i)*Q237*Ramure*Pc/MaxiM</f>
        <v>6.8575672093347734E-4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53.024819825045704</v>
      </c>
      <c r="W237" s="400">
        <f t="shared" si="86"/>
        <v>46.555767452805192</v>
      </c>
      <c r="X237" s="157">
        <f t="shared" si="87"/>
        <v>45880</v>
      </c>
      <c r="Y237" s="383">
        <f t="shared" si="88"/>
        <v>45.098133121538503</v>
      </c>
      <c r="Z237" s="383">
        <f t="shared" si="89"/>
        <v>47.220002269482571</v>
      </c>
      <c r="AA237" s="384">
        <f t="shared" si="90"/>
        <v>50.955335571970437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7.330602890863111E-2</v>
      </c>
      <c r="AD237" s="230">
        <f>(INDEX(Models!$BJ237:$BT237,,AH237)*(1-AF237)+INDEX(Models!$BJ237:$BT237,,AH237+1)*AF237-ERP_i)*AE237*Ramure*Pc/MaxiM</f>
        <v>6.8575672093347734E-4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'2024'!Wh/'2024'!Env_an*'2025'!Env_an</f>
        <v>47.482039168774236</v>
      </c>
      <c r="C238" s="829"/>
      <c r="D238" s="391">
        <f t="shared" si="77"/>
        <v>49.717024016569241</v>
      </c>
      <c r="E238" s="383">
        <f t="shared" si="100"/>
        <v>51.973103710612889</v>
      </c>
      <c r="F238" s="383">
        <f t="shared" si="78"/>
        <v>52.004361557916639</v>
      </c>
      <c r="G238" s="110">
        <f t="shared" si="101"/>
        <v>0.89791574439586663</v>
      </c>
      <c r="H238" s="412" t="b">
        <f>Wh_hp&gt;='2024'!Maxi_hp</f>
        <v>0</v>
      </c>
      <c r="I238" s="388">
        <f>IF(H238,Wh_hp,'2024'!Maxi_hp)</f>
        <v>52.007510007500251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4.4954115657649729E-2</v>
      </c>
      <c r="M238" s="832"/>
      <c r="N238" s="832"/>
      <c r="O238" s="48">
        <f>IF(t&lt;Tnet,'2024'!Resal+('2024'!Salim-'2024'!Resal)*(1-EXP(('2024'!Tnet-t)/('2024'!Tau_j))),Resal+(Salim-Resal)*(1-EXP((Tnet-t)/(Tau_j))))*Salcycl</f>
        <v>4.3408600467763812E-2</v>
      </c>
      <c r="P238" s="169">
        <f>(INDEX(Models!$BJ238:$BT238,,T238)*(1-R238)+INDEX(Models!$BJ238:$BT238,,T238+1)*R238-ERP_i)*Q238*Ramure*Pc/MaxiM</f>
        <v>7.0357507557778764E-4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52.874859372231803</v>
      </c>
      <c r="W238" s="400">
        <f t="shared" si="86"/>
        <v>47.482039168774236</v>
      </c>
      <c r="X238" s="157">
        <f t="shared" si="87"/>
        <v>45881</v>
      </c>
      <c r="Y238" s="383">
        <f t="shared" si="88"/>
        <v>45.996732013711089</v>
      </c>
      <c r="Z238" s="383">
        <f t="shared" si="89"/>
        <v>48.161803289047924</v>
      </c>
      <c r="AA238" s="384">
        <f t="shared" si="90"/>
        <v>51.973103710612889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7.3332168938502321E-2</v>
      </c>
      <c r="AD238" s="230">
        <f>(INDEX(Models!$BJ238:$BT238,,AH238)*(1-AF238)+INDEX(Models!$BJ238:$BT238,,AH238+1)*AF238-ERP_i)*AE238*Ramure*Pc/MaxiM</f>
        <v>7.0357507557778764E-4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'2024'!Wh/'2024'!Env_an*'2025'!Env_an</f>
        <v>35.734328005279565</v>
      </c>
      <c r="C239" s="829"/>
      <c r="D239" s="391">
        <f t="shared" si="77"/>
        <v>37.417063875685784</v>
      </c>
      <c r="E239" s="383">
        <f t="shared" si="100"/>
        <v>39.117217514263707</v>
      </c>
      <c r="F239" s="383">
        <f t="shared" si="78"/>
        <v>39.132471410560072</v>
      </c>
      <c r="G239" s="110">
        <f t="shared" si="101"/>
        <v>0.67755871621514108</v>
      </c>
      <c r="H239" s="412" t="b">
        <f>Wh_hp&gt;='2024'!Maxi_hp</f>
        <v>0</v>
      </c>
      <c r="I239" s="388">
        <f>IF(H239,Wh_hp,'2024'!Maxi_hp)</f>
        <v>49.870847104426645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4.4972418894142274E-2</v>
      </c>
      <c r="M239" s="832"/>
      <c r="N239" s="832"/>
      <c r="O239" s="48">
        <f>IF(t&lt;Tnet,'2024'!Resal+('2024'!Salim-'2024'!Resal)*(1-EXP(('2024'!Tnet-t)/('2024'!Tau_j))),Resal+(Salim-Resal)*(1-EXP((Tnet-t)/(Tau_j))))*Salcycl</f>
        <v>4.3463051480028554E-2</v>
      </c>
      <c r="P239" s="169">
        <f>(INDEX(Models!$BJ239:$BT239,,T239)*(1-R239)+INDEX(Models!$BJ239:$BT239,,T239+1)*R239-ERP_i)*Q239*Ramure*Pc/MaxiM</f>
        <v>7.2226708999767973E-4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52.722283815912384</v>
      </c>
      <c r="W239" s="400">
        <f t="shared" si="86"/>
        <v>35.734328005279565</v>
      </c>
      <c r="X239" s="157">
        <f t="shared" si="87"/>
        <v>45882</v>
      </c>
      <c r="Y239" s="383">
        <f t="shared" si="88"/>
        <v>34.617507819202622</v>
      </c>
      <c r="Z239" s="383">
        <f t="shared" si="89"/>
        <v>36.247652428129747</v>
      </c>
      <c r="AA239" s="384">
        <f t="shared" si="90"/>
        <v>39.117217514263707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7.3358108487332957E-2</v>
      </c>
      <c r="AD239" s="230">
        <f>(INDEX(Models!$BJ239:$BT239,,AH239)*(1-AF239)+INDEX(Models!$BJ239:$BT239,,AH239+1)*AF239-ERP_i)*AE239*Ramure*Pc/MaxiM</f>
        <v>7.2226708999767973E-4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'2024'!Wh/'2024'!Env_an*'2025'!Env_an</f>
        <v>33.919484638022105</v>
      </c>
      <c r="C240" s="829"/>
      <c r="D240" s="391">
        <f t="shared" si="77"/>
        <v>35.517439894655347</v>
      </c>
      <c r="E240" s="383">
        <f t="shared" si="100"/>
        <v>37.133386172070708</v>
      </c>
      <c r="F240" s="383">
        <f t="shared" si="78"/>
        <v>37.146983126770415</v>
      </c>
      <c r="G240" s="110">
        <f t="shared" si="101"/>
        <v>0.64502066613362263</v>
      </c>
      <c r="H240" s="412" t="b">
        <f>Wh_hp&gt;='2024'!Maxi_hp</f>
        <v>0</v>
      </c>
      <c r="I240" s="388">
        <f>IF(H240,Wh_hp,'2024'!Maxi_hp)</f>
        <v>56.99494858795164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4.4990721779857301E-2</v>
      </c>
      <c r="M240" s="832"/>
      <c r="N240" s="832"/>
      <c r="O240" s="48">
        <f>IF(t&lt;Tnet,'2024'!Resal+('2024'!Salim-'2024'!Resal)*(1-EXP(('2024'!Tnet-t)/('2024'!Tau_j))),Resal+(Salim-Resal)*(1-EXP((Tnet-t)/(Tau_j))))*Salcycl</f>
        <v>4.3517342316353833E-2</v>
      </c>
      <c r="P240" s="169">
        <f>(INDEX(Models!$BJ240:$BT240,,T240)*(1-R240)+INDEX(Models!$BJ240:$BT240,,T240+1)*R240-ERP_i)*Q240*Ramure*Pc/MaxiM</f>
        <v>7.4210536555106019E-4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52.566879644944024</v>
      </c>
      <c r="W240" s="400">
        <f t="shared" si="86"/>
        <v>33.919484638022105</v>
      </c>
      <c r="X240" s="157">
        <f t="shared" si="87"/>
        <v>45883</v>
      </c>
      <c r="Y240" s="383">
        <f t="shared" si="88"/>
        <v>32.860337026384009</v>
      </c>
      <c r="Z240" s="383">
        <f t="shared" si="89"/>
        <v>34.40839557875924</v>
      </c>
      <c r="AA240" s="384">
        <f t="shared" si="90"/>
        <v>37.133386172070708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7.3383843333981416E-2</v>
      </c>
      <c r="AD240" s="230">
        <f>(INDEX(Models!$BJ240:$BT240,,AH240)*(1-AF240)+INDEX(Models!$BJ240:$BT240,,AH240+1)*AF240-ERP_i)*AE240*Ramure*Pc/MaxiM</f>
        <v>7.4210536555106019E-4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'2024'!Wh/'2024'!Env_an*'2025'!Env_an</f>
        <v>38.424533517023733</v>
      </c>
      <c r="C241" s="829"/>
      <c r="D241" s="391">
        <f t="shared" si="77"/>
        <v>40.235493837472596</v>
      </c>
      <c r="E241" s="383">
        <f t="shared" si="100"/>
        <v>42.068479310283102</v>
      </c>
      <c r="F241" s="383">
        <f t="shared" si="78"/>
        <v>42.088344283099339</v>
      </c>
      <c r="G241" s="110">
        <f t="shared" si="101"/>
        <v>0.73296088887109723</v>
      </c>
      <c r="H241" s="412" t="b">
        <f>Wh_hp&gt;='2024'!Maxi_hp</f>
        <v>0</v>
      </c>
      <c r="I241" s="388">
        <f>IF(H241,Wh_hp,'2024'!Maxi_hp)</f>
        <v>50.673625731633024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4.5009024314801804E-2</v>
      </c>
      <c r="M241" s="832"/>
      <c r="N241" s="832"/>
      <c r="O241" s="48">
        <f>IF(t&lt;Tnet,'2024'!Resal+('2024'!Salim-'2024'!Resal)*(1-EXP(('2024'!Tnet-t)/('2024'!Tau_j))),Resal+(Salim-Resal)*(1-EXP((Tnet-t)/(Tau_j))))*Salcycl</f>
        <v>4.3571469728939174E-2</v>
      </c>
      <c r="P241" s="169">
        <f>(INDEX(Models!$BJ241:$BT241,,T241)*(1-R241)+INDEX(Models!$BJ241:$BT241,,T241+1)*R241-ERP_i)*Q241*Ramure*Pc/MaxiM</f>
        <v>7.6271387301020117E-4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52.408467651813261</v>
      </c>
      <c r="W241" s="400">
        <f t="shared" si="86"/>
        <v>38.424533517023733</v>
      </c>
      <c r="X241" s="157">
        <f t="shared" si="87"/>
        <v>45884</v>
      </c>
      <c r="Y241" s="383">
        <f t="shared" si="88"/>
        <v>37.225795397097706</v>
      </c>
      <c r="Z241" s="383">
        <f t="shared" si="89"/>
        <v>38.980258813847435</v>
      </c>
      <c r="AA241" s="384">
        <f t="shared" si="90"/>
        <v>42.068479310283102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7.3409368417098789E-2</v>
      </c>
      <c r="AD241" s="230">
        <f>(INDEX(Models!$BJ241:$BT241,,AH241)*(1-AF241)+INDEX(Models!$BJ241:$BT241,,AH241+1)*AF241-ERP_i)*AE241*Ramure*Pc/MaxiM</f>
        <v>7.6271387301020117E-4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'2024'!Wh/'2024'!Env_an*'2025'!Env_an</f>
        <v>35.539773833420618</v>
      </c>
      <c r="C242" s="829"/>
      <c r="D242" s="391">
        <f t="shared" si="77"/>
        <v>37.215487751213381</v>
      </c>
      <c r="E242" s="383">
        <f t="shared" si="100"/>
        <v>38.913087945682257</v>
      </c>
      <c r="F242" s="383">
        <f t="shared" si="78"/>
        <v>38.929668546491641</v>
      </c>
      <c r="G242" s="110">
        <f t="shared" si="101"/>
        <v>0.67998433447129814</v>
      </c>
      <c r="H242" s="412" t="b">
        <f>Wh_hp&gt;='2024'!Maxi_hp</f>
        <v>0</v>
      </c>
      <c r="I242" s="388">
        <f>IF(H242,Wh_hp,'2024'!Maxi_hp)</f>
        <v>55.891220971481495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4.5027326498982334E-2</v>
      </c>
      <c r="M242" s="832"/>
      <c r="N242" s="832"/>
      <c r="O242" s="48">
        <f>IF(t&lt;Tnet,'2024'!Resal+('2024'!Salim-'2024'!Resal)*(1-EXP(('2024'!Tnet-t)/('2024'!Tau_j))),Resal+(Salim-Resal)*(1-EXP((Tnet-t)/(Tau_j))))*Salcycl</f>
        <v>4.3625430005413912E-2</v>
      </c>
      <c r="P242" s="169">
        <f>(INDEX(Models!$BJ242:$BT242,,T242)*(1-R242)+INDEX(Models!$BJ242:$BT242,,T242+1)*R242-ERP_i)*Q242*Ramure*Pc/MaxiM</f>
        <v>7.8410351176656757E-4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52.246848275433301</v>
      </c>
      <c r="W242" s="400">
        <f t="shared" si="86"/>
        <v>35.539773833420618</v>
      </c>
      <c r="X242" s="157">
        <f t="shared" si="87"/>
        <v>45885</v>
      </c>
      <c r="Y242" s="383">
        <f t="shared" si="88"/>
        <v>34.432034290871357</v>
      </c>
      <c r="Z242" s="383">
        <f t="shared" si="89"/>
        <v>36.055517865909557</v>
      </c>
      <c r="AA242" s="384">
        <f t="shared" si="90"/>
        <v>38.913087945682257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7.343467790994905E-2</v>
      </c>
      <c r="AD242" s="230">
        <f>(INDEX(Models!$BJ242:$BT242,,AH242)*(1-AF242)+INDEX(Models!$BJ242:$BT242,,AH242+1)*AF242-ERP_i)*AE242*Ramure*Pc/MaxiM</f>
        <v>7.8410351176656757E-4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'2024'!Wh/'2024'!Env_an*'2025'!Env_an</f>
        <v>28.513783569046492</v>
      </c>
      <c r="C243" s="829"/>
      <c r="D243" s="391">
        <f t="shared" si="77"/>
        <v>29.858791597816492</v>
      </c>
      <c r="E243" s="383">
        <f t="shared" si="100"/>
        <v>31.222569028418594</v>
      </c>
      <c r="F243" s="383">
        <f t="shared" si="78"/>
        <v>31.231471782472642</v>
      </c>
      <c r="G243" s="110">
        <f t="shared" si="101"/>
        <v>0.54719508678309581</v>
      </c>
      <c r="H243" s="412" t="b">
        <f>Wh_hp&gt;='2024'!Maxi_hp</f>
        <v>0</v>
      </c>
      <c r="I243" s="388">
        <f>IF(H243,Wh_hp,'2024'!Maxi_hp)</f>
        <v>54.973908818601828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4.5045628332405663E-2</v>
      </c>
      <c r="M243" s="832"/>
      <c r="N243" s="832"/>
      <c r="O243" s="48">
        <f>IF(t&lt;Tnet,'2024'!Resal+('2024'!Salim-'2024'!Resal)*(1-EXP(('2024'!Tnet-t)/('2024'!Tau_j))),Resal+(Salim-Resal)*(1-EXP((Tnet-t)/(Tau_j))))*Salcycl</f>
        <v>4.3679219008557542E-2</v>
      </c>
      <c r="P243" s="169">
        <f>(INDEX(Models!$BJ243:$BT243,,T243)*(1-R243)+INDEX(Models!$BJ243:$BT243,,T243+1)*R243-ERP_i)*Q243*Ramure*Pc/MaxiM</f>
        <v>8.0628564265976146E-4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52.081822046535024</v>
      </c>
      <c r="W243" s="400">
        <f t="shared" si="86"/>
        <v>28.513783569046492</v>
      </c>
      <c r="X243" s="157">
        <f t="shared" si="87"/>
        <v>45886</v>
      </c>
      <c r="Y243" s="383">
        <f t="shared" si="88"/>
        <v>27.625842965714345</v>
      </c>
      <c r="Z243" s="383">
        <f t="shared" si="89"/>
        <v>28.928966435823067</v>
      </c>
      <c r="AA243" s="384">
        <f t="shared" si="90"/>
        <v>31.222569028418594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7.3459765290546888E-2</v>
      </c>
      <c r="AD243" s="230">
        <f>(INDEX(Models!$BJ243:$BT243,,AH243)*(1-AF243)+INDEX(Models!$BJ243:$BT243,,AH243+1)*AF243-ERP_i)*AE243*Ramure*Pc/MaxiM</f>
        <v>8.0628564265976146E-4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'2024'!Wh/'2024'!Env_an*'2025'!Env_an</f>
        <v>36.177021067355206</v>
      </c>
      <c r="C244" s="829"/>
      <c r="D244" s="391">
        <f t="shared" si="77"/>
        <v>37.884233507222739</v>
      </c>
      <c r="E244" s="383">
        <f t="shared" si="100"/>
        <v>39.616787842767984</v>
      </c>
      <c r="F244" s="383">
        <f t="shared" si="78"/>
        <v>39.63542315308613</v>
      </c>
      <c r="G244" s="110">
        <f t="shared" si="101"/>
        <v>0.69662496044895272</v>
      </c>
      <c r="H244" s="412" t="b">
        <f>Wh_hp&gt;='2024'!Maxi_hp</f>
        <v>0</v>
      </c>
      <c r="I244" s="388">
        <f>IF(H244,Wh_hp,'2024'!Maxi_hp)</f>
        <v>54.287330596628593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4.5063929815078563E-2</v>
      </c>
      <c r="M244" s="832"/>
      <c r="N244" s="832"/>
      <c r="O244" s="48">
        <f>IF(t&lt;Tnet,'2024'!Resal+('2024'!Salim-'2024'!Resal)*(1-EXP(('2024'!Tnet-t)/('2024'!Tau_j))),Resal+(Salim-Resal)*(1-EXP((Tnet-t)/(Tau_j))))*Salcycl</f>
        <v>4.3732832212986253E-2</v>
      </c>
      <c r="P244" s="169">
        <f>(INDEX(Models!$BJ244:$BT244,,T244)*(1-R244)+INDEX(Models!$BJ244:$BT244,,T244+1)*R244-ERP_i)*Q244*Ramure*Pc/MaxiM</f>
        <v>8.2927212511596364E-4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51.913189584859374</v>
      </c>
      <c r="W244" s="400">
        <f t="shared" si="86"/>
        <v>36.177021067355206</v>
      </c>
      <c r="X244" s="157">
        <f t="shared" si="87"/>
        <v>45887</v>
      </c>
      <c r="Y244" s="383">
        <f t="shared" si="88"/>
        <v>35.051466187871938</v>
      </c>
      <c r="Z244" s="383">
        <f t="shared" si="89"/>
        <v>36.705563107574619</v>
      </c>
      <c r="AA244" s="384">
        <f t="shared" si="90"/>
        <v>39.616787842767984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7.3484623406306945E-2</v>
      </c>
      <c r="AD244" s="230">
        <f>(INDEX(Models!$BJ244:$BT244,,AH244)*(1-AF244)+INDEX(Models!$BJ244:$BT244,,AH244+1)*AF244-ERP_i)*AE244*Ramure*Pc/MaxiM</f>
        <v>8.2927212511596364E-4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'2024'!Wh/'2024'!Env_an*'2025'!Env_an</f>
        <v>41.209038825203386</v>
      </c>
      <c r="C245" s="829"/>
      <c r="D245" s="391">
        <f t="shared" si="77"/>
        <v>43.15454184716981</v>
      </c>
      <c r="E245" s="383">
        <f t="shared" si="100"/>
        <v>45.130644181096272</v>
      </c>
      <c r="F245" s="383">
        <f t="shared" si="78"/>
        <v>45.157965472274398</v>
      </c>
      <c r="G245" s="110">
        <f t="shared" si="101"/>
        <v>0.7962545783370657</v>
      </c>
      <c r="H245" s="412" t="b">
        <f>Wh_hp&gt;='2024'!Maxi_hp</f>
        <v>0</v>
      </c>
      <c r="I245" s="388">
        <f>IF(H245,Wh_hp,'2024'!Maxi_hp)</f>
        <v>46.197672752985881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4.5082230947007806E-2</v>
      </c>
      <c r="M245" s="832"/>
      <c r="N245" s="832"/>
      <c r="O245" s="48">
        <f>IF(t&lt;Tnet,'2024'!Resal+('2024'!Salim-'2024'!Resal)*(1-EXP(('2024'!Tnet-t)/('2024'!Tau_j))),Resal+(Salim-Resal)*(1-EXP((Tnet-t)/(Tau_j))))*Salcycl</f>
        <v>4.37862647383657E-2</v>
      </c>
      <c r="P245" s="169">
        <f>(INDEX(Models!$BJ245:$BT245,,T245)*(1-R245)+INDEX(Models!$BJ245:$BT245,,T245+1)*R245-ERP_i)*Q245*Ramure*Pc/MaxiM</f>
        <v>8.5307535567493852E-4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51.7407516008439</v>
      </c>
      <c r="W245" s="400">
        <f t="shared" si="86"/>
        <v>41.209038825203386</v>
      </c>
      <c r="X245" s="157">
        <f t="shared" si="87"/>
        <v>45888</v>
      </c>
      <c r="Y245" s="383">
        <f t="shared" si="88"/>
        <v>39.928095681250142</v>
      </c>
      <c r="Z245" s="383">
        <f t="shared" si="89"/>
        <v>41.813124622078711</v>
      </c>
      <c r="AA245" s="384">
        <f t="shared" si="90"/>
        <v>45.130644181096272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7.3509244532502363E-2</v>
      </c>
      <c r="AD245" s="230">
        <f>(INDEX(Models!$BJ245:$BT245,,AH245)*(1-AF245)+INDEX(Models!$BJ245:$BT245,,AH245+1)*AF245-ERP_i)*AE245*Ramure*Pc/MaxiM</f>
        <v>8.5307535567493852E-4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'2024'!Wh/'2024'!Env_an*'2025'!Env_an</f>
        <v>49.488089848669276</v>
      </c>
      <c r="C246" s="829"/>
      <c r="D246" s="391">
        <f t="shared" si="77"/>
        <v>51.825444974049475</v>
      </c>
      <c r="E246" s="383">
        <f t="shared" si="100"/>
        <v>54.201617396658285</v>
      </c>
      <c r="F246" s="383">
        <f t="shared" si="78"/>
        <v>54.246491271752745</v>
      </c>
      <c r="G246" s="110">
        <f t="shared" si="101"/>
        <v>0.95968685246215524</v>
      </c>
      <c r="H246" s="412" t="b">
        <f>Wh_hp&gt;='2024'!Maxi_hp</f>
        <v>0</v>
      </c>
      <c r="I246" s="388">
        <f>IF(H246,Wh_hp,'2024'!Maxi_hp)</f>
        <v>54.248110681105196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4.5100531728199944E-2</v>
      </c>
      <c r="M246" s="832"/>
      <c r="N246" s="832"/>
      <c r="O246" s="48">
        <f>IF(t&lt;Tnet,'2024'!Resal+('2024'!Salim-'2024'!Resal)*(1-EXP(('2024'!Tnet-t)/('2024'!Tau_j))),Resal+(Salim-Resal)*(1-EXP((Tnet-t)/(Tau_j))))*Salcycl</f>
        <v>4.3839511378775037E-2</v>
      </c>
      <c r="P246" s="169">
        <f>(INDEX(Models!$BJ246:$BT246,,T246)*(1-R246)+INDEX(Models!$BJ246:$BT246,,T246+1)*R246-ERP_i)*Q246*Ramure*Pc/MaxiM</f>
        <v>8.7770830821560749E-4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51.56430888651586</v>
      </c>
      <c r="W246" s="400">
        <f t="shared" si="86"/>
        <v>49.488089848669276</v>
      </c>
      <c r="X246" s="157">
        <f t="shared" si="87"/>
        <v>45889</v>
      </c>
      <c r="Y246" s="383">
        <f t="shared" si="88"/>
        <v>47.951209007125065</v>
      </c>
      <c r="Z246" s="383">
        <f t="shared" si="89"/>
        <v>50.215976236648565</v>
      </c>
      <c r="AA246" s="384">
        <f t="shared" si="90"/>
        <v>54.201617396658285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7.3533620423944221E-2</v>
      </c>
      <c r="AD246" s="230">
        <f>(INDEX(Models!$BJ246:$BT246,,AH246)*(1-AF246)+INDEX(Models!$BJ246:$BT246,,AH246+1)*AF246-ERP_i)*AE246*Ramure*Pc/MaxiM</f>
        <v>8.7770830821560749E-4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'2024'!Wh/'2024'!Env_an*'2025'!Env_an</f>
        <v>33.429127779385119</v>
      </c>
      <c r="C247" s="829"/>
      <c r="D247" s="391">
        <f t="shared" si="77"/>
        <v>35.008678467245318</v>
      </c>
      <c r="E247" s="383">
        <f t="shared" si="100"/>
        <v>36.615841740476419</v>
      </c>
      <c r="F247" s="383">
        <f t="shared" si="78"/>
        <v>36.632411556874274</v>
      </c>
      <c r="G247" s="110">
        <f t="shared" si="101"/>
        <v>0.65027913780634217</v>
      </c>
      <c r="H247" s="412" t="b">
        <f>Wh_hp&gt;='2024'!Maxi_hp</f>
        <v>0</v>
      </c>
      <c r="I247" s="388">
        <f>IF(H247,Wh_hp,'2024'!Maxi_hp)</f>
        <v>54.553633144965026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4.5118832158661748E-2</v>
      </c>
      <c r="M247" s="832"/>
      <c r="N247" s="832"/>
      <c r="O247" s="48">
        <f>IF(t&lt;Tnet,'2024'!Resal+('2024'!Salim-'2024'!Resal)*(1-EXP(('2024'!Tnet-t)/('2024'!Tau_j))),Resal+(Salim-Resal)*(1-EXP((Tnet-t)/(Tau_j))))*Salcycl</f>
        <v>4.3892566627916317E-2</v>
      </c>
      <c r="P247" s="169">
        <f>(INDEX(Models!$BJ247:$BT247,,T247)*(1-R247)+INDEX(Models!$BJ247:$BT247,,T247+1)*R247-ERP_i)*Q247*Ramure*Pc/MaxiM</f>
        <v>9.0317577613416072E-4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51.384163390350892</v>
      </c>
      <c r="W247" s="400">
        <f t="shared" si="86"/>
        <v>33.429127779385119</v>
      </c>
      <c r="X247" s="157">
        <f t="shared" si="87"/>
        <v>45890</v>
      </c>
      <c r="Y247" s="383">
        <f t="shared" si="88"/>
        <v>32.391921169006032</v>
      </c>
      <c r="Z247" s="383">
        <f t="shared" si="89"/>
        <v>33.922463087457423</v>
      </c>
      <c r="AA247" s="384">
        <f t="shared" si="90"/>
        <v>36.615841740476419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7.3557742359412814E-2</v>
      </c>
      <c r="AD247" s="230">
        <f>(INDEX(Models!$BJ247:$BT247,,AH247)*(1-AF247)+INDEX(Models!$BJ247:$BT247,,AH247+1)*AF247-ERP_i)*AE247*Ramure*Pc/MaxiM</f>
        <v>9.0317577613416072E-4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'2024'!Wh/'2024'!Env_an*'2025'!Env_an</f>
        <v>26.642322350606161</v>
      </c>
      <c r="C248" s="829"/>
      <c r="D248" s="391">
        <f t="shared" si="77"/>
        <v>27.901726258411728</v>
      </c>
      <c r="E248" s="383">
        <f t="shared" si="100"/>
        <v>29.184240083422633</v>
      </c>
      <c r="F248" s="383">
        <f t="shared" si="78"/>
        <v>29.192783257576423</v>
      </c>
      <c r="G248" s="110">
        <f t="shared" si="101"/>
        <v>0.52001875687033372</v>
      </c>
      <c r="H248" s="412" t="b">
        <f>Wh_hp&gt;='2024'!Maxi_hp</f>
        <v>0</v>
      </c>
      <c r="I248" s="388">
        <f>IF(H248,Wh_hp,'2024'!Maxi_hp)</f>
        <v>56.59830554422004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4.5137132238399991E-2</v>
      </c>
      <c r="M248" s="832"/>
      <c r="N248" s="832"/>
      <c r="O248" s="48">
        <f>IF(t&lt;Tnet,'2024'!Resal+('2024'!Salim-'2024'!Resal)*(1-EXP(('2024'!Tnet-t)/('2024'!Tau_j))),Resal+(Salim-Resal)*(1-EXP((Tnet-t)/(Tau_j))))*Salcycl</f>
        <v>4.3945424699936106E-2</v>
      </c>
      <c r="P248" s="169">
        <f>(INDEX(Models!$BJ248:$BT248,,T248)*(1-R248)+INDEX(Models!$BJ248:$BT248,,T248+1)*R248-ERP_i)*Q248*Ramure*Pc/MaxiM</f>
        <v>9.296684546048166E-4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51.200740923255637</v>
      </c>
      <c r="W248" s="400">
        <f t="shared" si="86"/>
        <v>26.642322350606161</v>
      </c>
      <c r="X248" s="157">
        <f t="shared" si="87"/>
        <v>45891</v>
      </c>
      <c r="Y248" s="383">
        <f t="shared" si="88"/>
        <v>25.816452586075773</v>
      </c>
      <c r="Z248" s="383">
        <f t="shared" si="89"/>
        <v>27.036816968906734</v>
      </c>
      <c r="AA248" s="384">
        <f t="shared" si="90"/>
        <v>29.184240083422633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7.3581601178496686E-2</v>
      </c>
      <c r="AD248" s="230">
        <f>(INDEX(Models!$BJ248:$BT248,,AH248)*(1-AF248)+INDEX(Models!$BJ248:$BT248,,AH248+1)*AF248-ERP_i)*AE248*Ramure*Pc/MaxiM</f>
        <v>9.296684546048166E-4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'2024'!Wh/'2024'!Env_an*'2025'!Env_an</f>
        <v>48.317098503110543</v>
      </c>
      <c r="C249" s="829"/>
      <c r="D249" s="391">
        <f t="shared" si="77"/>
        <v>50.602056209699256</v>
      </c>
      <c r="E249" s="383">
        <f t="shared" si="100"/>
        <v>52.930914809933483</v>
      </c>
      <c r="F249" s="383">
        <f t="shared" si="78"/>
        <v>52.97777627245469</v>
      </c>
      <c r="G249" s="110">
        <f t="shared" si="101"/>
        <v>0.94706443009769548</v>
      </c>
      <c r="H249" s="412" t="b">
        <f>Wh_hp&gt;='2024'!Maxi_hp</f>
        <v>0</v>
      </c>
      <c r="I249" s="388">
        <f>IF(H249,Wh_hp,'2024'!Maxi_hp)</f>
        <v>53.920594526150673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4.5155431967421444E-2</v>
      </c>
      <c r="M249" s="832"/>
      <c r="N249" s="832"/>
      <c r="O249" s="48">
        <f>IF(t&lt;Tnet,'2024'!Resal+('2024'!Salim-'2024'!Resal)*(1-EXP(('2024'!Tnet-t)/('2024'!Tau_j))),Resal+(Salim-Resal)*(1-EXP((Tnet-t)/(Tau_j))))*Salcycl</f>
        <v>4.3998079545702055E-2</v>
      </c>
      <c r="P249" s="169">
        <f>(INDEX(Models!$BJ249:$BT249,,T249)*(1-R249)+INDEX(Models!$BJ249:$BT249,,T249+1)*R249-ERP_i)*Q249*Ramure*Pc/MaxiM</f>
        <v>9.5681208431451471E-4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51.014062354592305</v>
      </c>
      <c r="W249" s="400">
        <f t="shared" si="86"/>
        <v>48.317098503110543</v>
      </c>
      <c r="X249" s="157">
        <f t="shared" si="87"/>
        <v>45892</v>
      </c>
      <c r="Y249" s="383">
        <f t="shared" si="88"/>
        <v>46.820731694987224</v>
      </c>
      <c r="Z249" s="383">
        <f t="shared" si="89"/>
        <v>49.03492491082563</v>
      </c>
      <c r="AA249" s="384">
        <f t="shared" si="90"/>
        <v>52.930914809933483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7.3605187310624209E-2</v>
      </c>
      <c r="AD249" s="230">
        <f>(INDEX(Models!$BJ249:$BT249,,AH249)*(1-AF249)+INDEX(Models!$BJ249:$BT249,,AH249+1)*AF249-ERP_i)*AE249*Ramure*Pc/MaxiM</f>
        <v>9.5681208431451471E-4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'2024'!Wh/'2024'!Env_an*'2025'!Env_an</f>
        <v>46.062988150556869</v>
      </c>
      <c r="C250" s="829"/>
      <c r="D250" s="391">
        <f t="shared" si="77"/>
        <v>48.242271565777173</v>
      </c>
      <c r="E250" s="383">
        <f t="shared" si="100"/>
        <v>50.465294265616755</v>
      </c>
      <c r="F250" s="383">
        <f t="shared" si="78"/>
        <v>50.508370174956724</v>
      </c>
      <c r="G250" s="110">
        <f t="shared" si="101"/>
        <v>0.9062017273777857</v>
      </c>
      <c r="H250" s="412" t="b">
        <f>Wh_hp&gt;='2024'!Maxi_hp</f>
        <v>0</v>
      </c>
      <c r="I250" s="388">
        <f>IF(H250,Wh_hp,'2024'!Maxi_hp)</f>
        <v>53.710943273979339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4.517373134573277E-2</v>
      </c>
      <c r="M250" s="832"/>
      <c r="N250" s="832"/>
      <c r="O250" s="48">
        <f>IF(t&lt;Tnet,'2024'!Resal+('2024'!Salim-'2024'!Resal)*(1-EXP(('2024'!Tnet-t)/('2024'!Tau_j))),Resal+(Salim-Resal)*(1-EXP((Tnet-t)/(Tau_j))))*Salcycl</f>
        <v>4.4050524864454842E-2</v>
      </c>
      <c r="P250" s="169">
        <f>(INDEX(Models!$BJ250:$BT250,,T250)*(1-R250)+INDEX(Models!$BJ250:$BT250,,T250+1)*R250-ERP_i)*Q250*Ramure*Pc/MaxiM</f>
        <v>9.8461477341534021E-4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50.824128842880896</v>
      </c>
      <c r="W250" s="400">
        <f t="shared" si="86"/>
        <v>46.062988150556869</v>
      </c>
      <c r="X250" s="157">
        <f t="shared" si="87"/>
        <v>45893</v>
      </c>
      <c r="Y250" s="383">
        <f t="shared" si="88"/>
        <v>44.637756451947951</v>
      </c>
      <c r="Z250" s="383">
        <f t="shared" si="89"/>
        <v>46.749610811253064</v>
      </c>
      <c r="AA250" s="384">
        <f t="shared" si="90"/>
        <v>50.465294265616755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7.3628490796204052E-2</v>
      </c>
      <c r="AD250" s="230">
        <f>(INDEX(Models!$BJ250:$BT250,,AH250)*(1-AF250)+INDEX(Models!$BJ250:$BT250,,AH250+1)*AF250-ERP_i)*AE250*Ramure*Pc/MaxiM</f>
        <v>9.8461477341534021E-4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'2024'!Wh/'2024'!Env_an*'2025'!Env_an</f>
        <v>32.295163638327665</v>
      </c>
      <c r="C251" s="829"/>
      <c r="D251" s="391">
        <f t="shared" si="77"/>
        <v>33.823726514301548</v>
      </c>
      <c r="E251" s="383">
        <f t="shared" si="100"/>
        <v>35.384270286121705</v>
      </c>
      <c r="F251" s="383">
        <f t="shared" si="78"/>
        <v>35.40158040233117</v>
      </c>
      <c r="G251" s="110">
        <f t="shared" si="101"/>
        <v>0.63751982112514616</v>
      </c>
      <c r="H251" s="412" t="b">
        <f>Wh_hp&gt;='2024'!Maxi_hp</f>
        <v>0</v>
      </c>
      <c r="I251" s="388">
        <f>IF(H251,Wh_hp,'2024'!Maxi_hp)</f>
        <v>50.59926404911738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4.519203037334063E-2</v>
      </c>
      <c r="M251" s="832"/>
      <c r="N251" s="832"/>
      <c r="O251" s="48">
        <f>IF(t&lt;Tnet,'2024'!Resal+('2024'!Salim-'2024'!Resal)*(1-EXP(('2024'!Tnet-t)/('2024'!Tau_j))),Resal+(Salim-Resal)*(1-EXP((Tnet-t)/(Tau_j))))*Salcycl</f>
        <v>4.4102754110835155E-2</v>
      </c>
      <c r="P251" s="169">
        <f>(INDEX(Models!$BJ251:$BT251,,T251)*(1-R251)+INDEX(Models!$BJ251:$BT251,,T251+1)*R251-ERP_i)*Q251*Ramure*Pc/MaxiM</f>
        <v>1.0130850953662751E-3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50.630941545576761</v>
      </c>
      <c r="W251" s="400">
        <f t="shared" si="86"/>
        <v>32.295163638327665</v>
      </c>
      <c r="X251" s="157">
        <f t="shared" si="87"/>
        <v>45894</v>
      </c>
      <c r="Y251" s="383">
        <f t="shared" si="88"/>
        <v>31.296853799186433</v>
      </c>
      <c r="Z251" s="383">
        <f t="shared" si="89"/>
        <v>32.778165657146594</v>
      </c>
      <c r="AA251" s="384">
        <f t="shared" si="90"/>
        <v>35.384270286121705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7.3651501299922789E-2</v>
      </c>
      <c r="AD251" s="230">
        <f>(INDEX(Models!$BJ251:$BT251,,AH251)*(1-AF251)+INDEX(Models!$BJ251:$BT251,,AH251+1)*AF251-ERP_i)*AE251*Ramure*Pc/MaxiM</f>
        <v>1.0130850953662751E-3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'2024'!Wh/'2024'!Env_an*'2025'!Env_an</f>
        <v>42.888029647233111</v>
      </c>
      <c r="C252" s="829"/>
      <c r="D252" s="391">
        <f t="shared" si="77"/>
        <v>44.918824482643949</v>
      </c>
      <c r="E252" s="383">
        <f t="shared" si="100"/>
        <v>46.993825596722132</v>
      </c>
      <c r="F252" s="383">
        <f t="shared" si="78"/>
        <v>47.032366176534495</v>
      </c>
      <c r="G252" s="110">
        <f t="shared" si="101"/>
        <v>0.85018123832251491</v>
      </c>
      <c r="H252" s="412" t="b">
        <f>Wh_hp&gt;='2024'!Maxi_hp</f>
        <v>0</v>
      </c>
      <c r="I252" s="388">
        <f>IF(H252,Wh_hp,'2024'!Maxi_hp)</f>
        <v>53.844483293966427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4.5210329050251796E-2</v>
      </c>
      <c r="M252" s="832"/>
      <c r="N252" s="832"/>
      <c r="O252" s="48">
        <f>IF(t&lt;Tnet,'2024'!Resal+('2024'!Salim-'2024'!Resal)*(1-EXP(('2024'!Tnet-t)/('2024'!Tau_j))),Resal+(Salim-Resal)*(1-EXP((Tnet-t)/(Tau_j))))*Salcycl</f>
        <v>4.4154760497364505E-2</v>
      </c>
      <c r="P252" s="169">
        <f>(INDEX(Models!$BJ252:$BT252,,T252)*(1-R252)+INDEX(Models!$BJ252:$BT252,,T252+1)*R252-ERP_i)*Q252*Ramure*Pc/MaxiM</f>
        <v>1.0422311236900463E-3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50.434501669182296</v>
      </c>
      <c r="W252" s="400">
        <f t="shared" si="86"/>
        <v>42.888029647233111</v>
      </c>
      <c r="X252" s="157">
        <f t="shared" si="87"/>
        <v>45895</v>
      </c>
      <c r="Y252" s="383">
        <f t="shared" si="88"/>
        <v>41.563515079045246</v>
      </c>
      <c r="Z252" s="383">
        <f t="shared" si="89"/>
        <v>43.531592709524382</v>
      </c>
      <c r="AA252" s="384">
        <f t="shared" si="90"/>
        <v>46.993825596722132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7.3674208116379425E-2</v>
      </c>
      <c r="AD252" s="230">
        <f>(INDEX(Models!$BJ252:$BT252,,AH252)*(1-AF252)+INDEX(Models!$BJ252:$BT252,,AH252+1)*AF252-ERP_i)*AE252*Ramure*Pc/MaxiM</f>
        <v>1.0422311236900463E-3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'2024'!Wh/'2024'!Env_an*'2025'!Env_an</f>
        <v>48.773543775459594</v>
      </c>
      <c r="C253" s="829"/>
      <c r="D253" s="391">
        <f t="shared" si="77"/>
        <v>51.084003117352935</v>
      </c>
      <c r="E253" s="383">
        <f t="shared" si="100"/>
        <v>53.446696482537085</v>
      </c>
      <c r="F253" s="383">
        <f t="shared" si="78"/>
        <v>53.50167004680678</v>
      </c>
      <c r="G253" s="110">
        <f t="shared" si="101"/>
        <v>0.97086797508992895</v>
      </c>
      <c r="H253" s="412" t="b">
        <f>Wh_hp&gt;='2024'!Maxi_hp</f>
        <v>0</v>
      </c>
      <c r="I253" s="388">
        <f>IF(H253,Wh_hp,'2024'!Maxi_hp)</f>
        <v>53.503080570691075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4.5228627376473041E-2</v>
      </c>
      <c r="M253" s="832"/>
      <c r="N253" s="832"/>
      <c r="O253" s="48">
        <f>IF(t&lt;Tnet,'2024'!Resal+('2024'!Salim-'2024'!Resal)*(1-EXP(('2024'!Tnet-t)/('2024'!Tau_j))),Resal+(Salim-Resal)*(1-EXP((Tnet-t)/(Tau_j))))*Salcycl</f>
        <v>4.4206536992536682E-2</v>
      </c>
      <c r="P253" s="169">
        <f>(INDEX(Models!$BJ253:$BT253,,T253)*(1-R253)+INDEX(Models!$BJ253:$BT253,,T253+1)*R253-ERP_i)*Q253*Ramure*Pc/MaxiM</f>
        <v>1.0720610255322695E-3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50.234810435793534</v>
      </c>
      <c r="W253" s="400">
        <f t="shared" si="86"/>
        <v>48.773543775459594</v>
      </c>
      <c r="X253" s="157">
        <f t="shared" si="87"/>
        <v>45896</v>
      </c>
      <c r="Y253" s="383">
        <f t="shared" si="88"/>
        <v>47.268684260390742</v>
      </c>
      <c r="Z253" s="383">
        <f t="shared" si="89"/>
        <v>49.507856661543535</v>
      </c>
      <c r="AA253" s="384">
        <f t="shared" si="90"/>
        <v>53.446696482537085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7.3696600168365947E-2</v>
      </c>
      <c r="AD253" s="230">
        <f>(INDEX(Models!$BJ253:$BT253,,AH253)*(1-AF253)+INDEX(Models!$BJ253:$BT253,,AH253+1)*AF253-ERP_i)*AE253*Ramure*Pc/MaxiM</f>
        <v>1.0720610255322695E-3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'2024'!Wh/'2024'!Env_an*'2025'!Env_an</f>
        <v>47.712404323675543</v>
      </c>
      <c r="C254" s="829"/>
      <c r="D254" s="391">
        <f t="shared" si="77"/>
        <v>49.973553990665899</v>
      </c>
      <c r="E254" s="383">
        <f t="shared" si="100"/>
        <v>52.28770733209322</v>
      </c>
      <c r="F254" s="383">
        <f t="shared" si="78"/>
        <v>52.341614565955894</v>
      </c>
      <c r="G254" s="110">
        <f t="shared" si="101"/>
        <v>0.95357087970592991</v>
      </c>
      <c r="H254" s="412" t="b">
        <f>Wh_hp&gt;='2024'!Maxi_hp</f>
        <v>0</v>
      </c>
      <c r="I254" s="388">
        <f>IF(H254,Wh_hp,'2024'!Maxi_hp)</f>
        <v>54.734917062438733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4.5246925352011025E-2</v>
      </c>
      <c r="M254" s="832"/>
      <c r="N254" s="832"/>
      <c r="O254" s="48">
        <f>IF(t&lt;Tnet,'2024'!Resal+('2024'!Salim-'2024'!Resal)*(1-EXP(('2024'!Tnet-t)/('2024'!Tau_j))),Resal+(Salim-Resal)*(1-EXP((Tnet-t)/(Tau_j))))*Salcycl</f>
        <v>4.4258076314754272E-2</v>
      </c>
      <c r="P254" s="169">
        <f>(INDEX(Models!$BJ254:$BT254,,T254)*(1-R254)+INDEX(Models!$BJ254:$BT254,,T254+1)*R254-ERP_i)*Q254*Ramure*Pc/MaxiM</f>
        <v>1.1029579231656267E-3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50.031850309401705</v>
      </c>
      <c r="W254" s="400">
        <f t="shared" si="86"/>
        <v>47.712404323675543</v>
      </c>
      <c r="X254" s="157">
        <f t="shared" si="87"/>
        <v>45897</v>
      </c>
      <c r="Y254" s="383">
        <f t="shared" si="88"/>
        <v>46.241677203982171</v>
      </c>
      <c r="Z254" s="383">
        <f t="shared" si="89"/>
        <v>48.433127299465532</v>
      </c>
      <c r="AA254" s="384">
        <f t="shared" si="90"/>
        <v>52.28770733209322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7.3718665998228142E-2</v>
      </c>
      <c r="AD254" s="230">
        <f>(INDEX(Models!$BJ254:$BT254,,AH254)*(1-AF254)+INDEX(Models!$BJ254:$BT254,,AH254+1)*AF254-ERP_i)*AE254*Ramure*Pc/MaxiM</f>
        <v>1.1029579231656267E-3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'2024'!Wh/'2024'!Env_an*'2025'!Env_an</f>
        <v>32.648035703133147</v>
      </c>
      <c r="C255" s="829"/>
      <c r="D255" s="391">
        <f t="shared" si="77"/>
        <v>34.195921724910917</v>
      </c>
      <c r="E255" s="383">
        <f t="shared" si="100"/>
        <v>35.781371800115174</v>
      </c>
      <c r="F255" s="383">
        <f t="shared" si="78"/>
        <v>35.801987766850807</v>
      </c>
      <c r="G255" s="110">
        <f t="shared" si="101"/>
        <v>0.65487935606977188</v>
      </c>
      <c r="H255" s="412" t="b">
        <f>Wh_hp&gt;='2024'!Maxi_hp</f>
        <v>0</v>
      </c>
      <c r="I255" s="388">
        <f>IF(H255,Wh_hp,'2024'!Maxi_hp)</f>
        <v>54.247939934538053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4.5265222976872521E-2</v>
      </c>
      <c r="M255" s="832"/>
      <c r="N255" s="832"/>
      <c r="O255" s="48">
        <f>IF(t&lt;Tnet,'2024'!Resal+('2024'!Salim-'2024'!Resal)*(1-EXP(('2024'!Tnet-t)/('2024'!Tau_j))),Resal+(Salim-Resal)*(1-EXP((Tnet-t)/(Tau_j))))*Salcycl</f>
        <v>4.4309370922418198E-2</v>
      </c>
      <c r="P255" s="169">
        <f>(INDEX(Models!$BJ255:$BT255,,T255)*(1-R255)+INDEX(Models!$BJ255:$BT255,,T255+1)*R255-ERP_i)*Q255*Ramure*Pc/MaxiM</f>
        <v>1.1346599637728962E-3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49.825636259245904</v>
      </c>
      <c r="W255" s="400">
        <f t="shared" si="86"/>
        <v>32.648035703133147</v>
      </c>
      <c r="X255" s="157">
        <f t="shared" si="87"/>
        <v>45898</v>
      </c>
      <c r="Y255" s="383">
        <f t="shared" si="88"/>
        <v>31.642621341086439</v>
      </c>
      <c r="Z255" s="383">
        <f t="shared" si="89"/>
        <v>33.142839354557132</v>
      </c>
      <c r="AA255" s="384">
        <f t="shared" si="90"/>
        <v>35.781371800115174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7.3740393752861927E-2</v>
      </c>
      <c r="AD255" s="230">
        <f>(INDEX(Models!$BJ255:$BT255,,AH255)*(1-AF255)+INDEX(Models!$BJ255:$BT255,,AH255+1)*AF255-ERP_i)*AE255*Ramure*Pc/MaxiM</f>
        <v>1.1346599637728962E-3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'2024'!Wh/'2024'!Env_an*'2025'!Env_an</f>
        <v>47.396868803476558</v>
      </c>
      <c r="C256" s="829"/>
      <c r="D256" s="391">
        <f t="shared" si="77"/>
        <v>49.644967703857617</v>
      </c>
      <c r="E256" s="383">
        <f t="shared" si="100"/>
        <v>51.949467539048428</v>
      </c>
      <c r="F256" s="383">
        <f t="shared" si="78"/>
        <v>52.006289362986287</v>
      </c>
      <c r="G256" s="110">
        <f t="shared" si="101"/>
        <v>0.95519929119741587</v>
      </c>
      <c r="H256" s="412" t="b">
        <f>Wh_hp&gt;='2024'!Maxi_hp</f>
        <v>0</v>
      </c>
      <c r="I256" s="388">
        <f>IF(H256,Wh_hp,'2024'!Maxi_hp)</f>
        <v>52.905760781813107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4.528352025106408E-2</v>
      </c>
      <c r="M256" s="832"/>
      <c r="N256" s="832"/>
      <c r="O256" s="48">
        <f>IF(t&lt;Tnet,'2024'!Resal+('2024'!Salim-'2024'!Resal)*(1-EXP(('2024'!Tnet-t)/('2024'!Tau_j))),Resal+(Salim-Resal)*(1-EXP((Tnet-t)/(Tau_j))))*Salcycl</f>
        <v>4.4360413000549132E-2</v>
      </c>
      <c r="P256" s="169">
        <f>(INDEX(Models!$BJ256:$BT256,,T256)*(1-R256)+INDEX(Models!$BJ256:$BT256,,T256+1)*R256-ERP_i)*Q256*Ramure*Pc/MaxiM</f>
        <v>1.1671768078617122E-3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49.616169568715378</v>
      </c>
      <c r="W256" s="400">
        <f t="shared" si="86"/>
        <v>47.396868803476558</v>
      </c>
      <c r="X256" s="157">
        <f t="shared" si="87"/>
        <v>45899</v>
      </c>
      <c r="Y256" s="383">
        <f t="shared" si="88"/>
        <v>45.938649267128376</v>
      </c>
      <c r="Z256" s="383">
        <f t="shared" si="89"/>
        <v>48.117582802392782</v>
      </c>
      <c r="AA256" s="384">
        <f t="shared" si="90"/>
        <v>51.949467539048428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7.3761771163012649E-2</v>
      </c>
      <c r="AD256" s="230">
        <f>(INDEX(Models!$BJ256:$BT256,,AH256)*(1-AF256)+INDEX(Models!$BJ256:$BT256,,AH256+1)*AF256-ERP_i)*AE256*Ramure*Pc/MaxiM</f>
        <v>1.1671768078617122E-3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'2024'!Wh/'2024'!Env_an*'2025'!Env_an</f>
        <v>24.481674052680617</v>
      </c>
      <c r="C257" s="829"/>
      <c r="D257" s="391">
        <f t="shared" si="77"/>
        <v>25.643365089716276</v>
      </c>
      <c r="E257" s="383">
        <f t="shared" si="100"/>
        <v>26.835145975581312</v>
      </c>
      <c r="F257" s="383">
        <f t="shared" si="78"/>
        <v>26.844148594787711</v>
      </c>
      <c r="G257" s="110">
        <f t="shared" si="101"/>
        <v>0.4951169566317733</v>
      </c>
      <c r="H257" s="412" t="b">
        <f>Wh_hp&gt;='2024'!Maxi_hp</f>
        <v>0</v>
      </c>
      <c r="I257" s="388">
        <f>IF(H257,Wh_hp,'2024'!Maxi_hp)</f>
        <v>52.429420207764473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4.5301817174592696E-2</v>
      </c>
      <c r="M257" s="832"/>
      <c r="N257" s="832"/>
      <c r="O257" s="48">
        <f>IF(t&lt;Tnet,'2024'!Resal+('2024'!Salim-'2024'!Resal)*(1-EXP(('2024'!Tnet-t)/('2024'!Tau_j))),Resal+(Salim-Resal)*(1-EXP((Tnet-t)/(Tau_j))))*Salcycl</f>
        <v>4.4411194444386438E-2</v>
      </c>
      <c r="P257" s="169">
        <f>(INDEX(Models!$BJ257:$BT257,,T257)*(1-R257)+INDEX(Models!$BJ257:$BT257,,T257+1)*R257-ERP_i)*Q257*Ramure*Pc/MaxiM</f>
        <v>1.2005181855276072E-3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49.403451547657944</v>
      </c>
      <c r="W257" s="400">
        <f t="shared" si="86"/>
        <v>24.481674052680617</v>
      </c>
      <c r="X257" s="157">
        <f t="shared" si="87"/>
        <v>45900</v>
      </c>
      <c r="Y257" s="383">
        <f t="shared" si="88"/>
        <v>23.72918960028457</v>
      </c>
      <c r="Z257" s="383">
        <f t="shared" si="89"/>
        <v>24.855174155730118</v>
      </c>
      <c r="AA257" s="384">
        <f t="shared" si="90"/>
        <v>26.835145975581312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7.3782785517651786E-2</v>
      </c>
      <c r="AD257" s="230">
        <f>(INDEX(Models!$BJ257:$BT257,,AH257)*(1-AF257)+INDEX(Models!$BJ257:$BT257,,AH257+1)*AF257-ERP_i)*AE257*Ramure*Pc/MaxiM</f>
        <v>1.2005181855276072E-3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'2024'!Wh/'2024'!Env_an*'2025'!Env_an</f>
        <v>40.074316157796979</v>
      </c>
      <c r="C258" s="829"/>
      <c r="D258" s="391">
        <f t="shared" si="77"/>
        <v>41.976705212784161</v>
      </c>
      <c r="E258" s="383">
        <f t="shared" si="100"/>
        <v>43.929903713211068</v>
      </c>
      <c r="F258" s="383">
        <f t="shared" si="78"/>
        <v>43.96982384741311</v>
      </c>
      <c r="G258" s="110">
        <f t="shared" si="101"/>
        <v>0.81445939655442345</v>
      </c>
      <c r="H258" s="412" t="b">
        <f>Wh_hp&gt;='2024'!Maxi_hp</f>
        <v>0</v>
      </c>
      <c r="I258" s="388">
        <f>IF(H258,Wh_hp,'2024'!Maxi_hp)</f>
        <v>47.872949450269061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4.5320113747464918E-2</v>
      </c>
      <c r="M258" s="832"/>
      <c r="N258" s="832"/>
      <c r="O258" s="48">
        <f>IF(t&lt;Tnet,'2024'!Resal+('2024'!Salim-'2024'!Resal)*(1-EXP(('2024'!Tnet-t)/('2024'!Tau_j))),Resal+(Salim-Resal)*(1-EXP((Tnet-t)/(Tau_j))))*Salcycl</f>
        <v>4.4461706840470891E-2</v>
      </c>
      <c r="P258" s="169">
        <f>(INDEX(Models!$BJ258:$BT258,,T258)*(1-R258)+INDEX(Models!$BJ258:$BT258,,T258+1)*R258-ERP_i)*Q258*Ramure*Pc/MaxiM</f>
        <v>1.2346938815273557E-3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49.187483528884108</v>
      </c>
      <c r="W258" s="400">
        <f t="shared" si="86"/>
        <v>40.074316157796979</v>
      </c>
      <c r="X258" s="157">
        <f t="shared" si="87"/>
        <v>45901</v>
      </c>
      <c r="Y258" s="383">
        <f t="shared" si="88"/>
        <v>38.843754029804735</v>
      </c>
      <c r="Z258" s="383">
        <f t="shared" si="89"/>
        <v>40.687726419250922</v>
      </c>
      <c r="AA258" s="384">
        <f t="shared" si="90"/>
        <v>43.929903713211068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7.3803423634300452E-2</v>
      </c>
      <c r="AD258" s="230">
        <f>(INDEX(Models!$BJ258:$BT258,,AH258)*(1-AF258)+INDEX(Models!$BJ258:$BT258,,AH258+1)*AF258-ERP_i)*AE258*Ramure*Pc/MaxiM</f>
        <v>1.2346938815273557E-3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'2024'!Wh/'2024'!Env_an*'2025'!Env_an</f>
        <v>38.56822445922262</v>
      </c>
      <c r="C259" s="829"/>
      <c r="D259" s="391">
        <f t="shared" si="77"/>
        <v>40.399891293414242</v>
      </c>
      <c r="E259" s="383">
        <f t="shared" si="100"/>
        <v>42.281942648811686</v>
      </c>
      <c r="F259" s="383">
        <f t="shared" si="78"/>
        <v>42.319373143191285</v>
      </c>
      <c r="G259" s="110">
        <f t="shared" si="101"/>
        <v>0.78731300607339549</v>
      </c>
      <c r="H259" s="412" t="b">
        <f>Wh_hp&gt;='2024'!Maxi_hp</f>
        <v>0</v>
      </c>
      <c r="I259" s="388">
        <f>IF(H259,Wh_hp,'2024'!Maxi_hp)</f>
        <v>52.448101483562709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4.533840996968741E-2</v>
      </c>
      <c r="M259" s="832"/>
      <c r="N259" s="832"/>
      <c r="O259" s="48">
        <f>IF(t&lt;Tnet,'2024'!Resal+('2024'!Salim-'2024'!Resal)*(1-EXP(('2024'!Tnet-t)/('2024'!Tau_j))),Resal+(Salim-Resal)*(1-EXP((Tnet-t)/(Tau_j))))*Salcycl</f>
        <v>4.4511941445773209E-2</v>
      </c>
      <c r="P259" s="169">
        <f>(INDEX(Models!$BJ259:$BT259,,T259)*(1-R259)+INDEX(Models!$BJ259:$BT259,,T259+1)*R259-ERP_i)*Q259*Ramure*Pc/MaxiM</f>
        <v>1.2697137177882819E-3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48.968266872600573</v>
      </c>
      <c r="W259" s="400">
        <f t="shared" si="86"/>
        <v>38.56822445922262</v>
      </c>
      <c r="X259" s="157">
        <f t="shared" si="87"/>
        <v>45902</v>
      </c>
      <c r="Y259" s="383">
        <f t="shared" si="88"/>
        <v>37.385058027699415</v>
      </c>
      <c r="Z259" s="383">
        <f t="shared" si="89"/>
        <v>39.160534390529271</v>
      </c>
      <c r="AA259" s="384">
        <f t="shared" si="90"/>
        <v>42.281942648811686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7.3823671826255197E-2</v>
      </c>
      <c r="AD259" s="230">
        <f>(INDEX(Models!$BJ259:$BT259,,AH259)*(1-AF259)+INDEX(Models!$BJ259:$BT259,,AH259+1)*AF259-ERP_i)*AE259*Ramure*Pc/MaxiM</f>
        <v>1.2697137177882819E-3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'2024'!Wh/'2024'!Env_an*'2025'!Env_an</f>
        <v>37.654848764278498</v>
      </c>
      <c r="C260" s="829"/>
      <c r="D260" s="391">
        <f t="shared" si="77"/>
        <v>39.443893855098352</v>
      </c>
      <c r="E260" s="383">
        <f t="shared" si="100"/>
        <v>41.283567619724046</v>
      </c>
      <c r="F260" s="383">
        <f t="shared" si="78"/>
        <v>41.319979713704285</v>
      </c>
      <c r="G260" s="110">
        <f t="shared" si="101"/>
        <v>0.77214555874690372</v>
      </c>
      <c r="H260" s="412" t="b">
        <f>Wh_hp&gt;='2024'!Maxi_hp</f>
        <v>0</v>
      </c>
      <c r="I260" s="388">
        <f>IF(H260,Wh_hp,'2024'!Maxi_hp)</f>
        <v>55.043508007448153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4.5356705841267053E-2</v>
      </c>
      <c r="M260" s="832"/>
      <c r="N260" s="832"/>
      <c r="O260" s="48">
        <f>IF(t&lt;Tnet,'2024'!Resal+('2024'!Salim-'2024'!Resal)*(1-EXP(('2024'!Tnet-t)/('2024'!Tau_j))),Resal+(Salim-Resal)*(1-EXP((Tnet-t)/(Tau_j))))*Salcycl</f>
        <v>4.4561889165478832E-2</v>
      </c>
      <c r="P260" s="169">
        <f>(INDEX(Models!$BJ260:$BT260,,T260)*(1-R260)+INDEX(Models!$BJ260:$BT260,,T260+1)*R260-ERP_i)*Q260*Ramure*Pc/MaxiM</f>
        <v>1.3055875335948779E-3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48.745802965820161</v>
      </c>
      <c r="W260" s="400">
        <f t="shared" si="86"/>
        <v>37.654848764278498</v>
      </c>
      <c r="X260" s="157">
        <f t="shared" si="87"/>
        <v>45903</v>
      </c>
      <c r="Y260" s="383">
        <f t="shared" si="88"/>
        <v>36.500828202880911</v>
      </c>
      <c r="Z260" s="383">
        <f t="shared" si="89"/>
        <v>38.235043839119818</v>
      </c>
      <c r="AA260" s="384">
        <f t="shared" si="90"/>
        <v>41.283567619724046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7.3843515867745263E-2</v>
      </c>
      <c r="AD260" s="230">
        <f>(INDEX(Models!$BJ260:$BT260,,AH260)*(1-AF260)+INDEX(Models!$BJ260:$BT260,,AH260+1)*AF260-ERP_i)*AE260*Ramure*Pc/MaxiM</f>
        <v>1.3055875335948779E-3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'2024'!Wh/'2024'!Env_an*'2025'!Env_an</f>
        <v>45.509460283132576</v>
      </c>
      <c r="C261" s="829"/>
      <c r="D261" s="391">
        <f t="shared" si="77"/>
        <v>47.672604790438861</v>
      </c>
      <c r="E261" s="383">
        <f t="shared" si="100"/>
        <v>49.89866092467684</v>
      </c>
      <c r="F261" s="383">
        <f t="shared" si="78"/>
        <v>49.959778678381511</v>
      </c>
      <c r="G261" s="110">
        <f t="shared" si="101"/>
        <v>0.93783906075957091</v>
      </c>
      <c r="H261" s="412" t="b">
        <f>Wh_hp&gt;='2024'!Maxi_hp</f>
        <v>0</v>
      </c>
      <c r="I261" s="388">
        <f>IF(H261,Wh_hp,'2024'!Maxi_hp)</f>
        <v>53.392231312994895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4.537500136221051E-2</v>
      </c>
      <c r="M261" s="832"/>
      <c r="N261" s="832"/>
      <c r="O261" s="48">
        <f>IF(t&lt;Tnet,'2024'!Resal+('2024'!Salim-'2024'!Resal)*(1-EXP(('2024'!Tnet-t)/('2024'!Tau_j))),Resal+(Salim-Resal)*(1-EXP((Tnet-t)/(Tau_j))))*Salcycl</f>
        <v>4.4611540530080762E-2</v>
      </c>
      <c r="P261" s="169">
        <f>(INDEX(Models!$BJ261:$BT261,,T261)*(1-R261)+INDEX(Models!$BJ261:$BT261,,T261+1)*R261-ERP_i)*Q261*Ramure*Pc/MaxiM</f>
        <v>1.3423251631345156E-3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48.520093229037734</v>
      </c>
      <c r="W261" s="400">
        <f t="shared" si="86"/>
        <v>45.509460283132576</v>
      </c>
      <c r="X261" s="157">
        <f t="shared" si="87"/>
        <v>45904</v>
      </c>
      <c r="Y261" s="383">
        <f t="shared" si="88"/>
        <v>44.116084182751273</v>
      </c>
      <c r="Z261" s="383">
        <f t="shared" si="89"/>
        <v>46.212999078908581</v>
      </c>
      <c r="AA261" s="384">
        <f t="shared" si="90"/>
        <v>49.89866092467684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7.386294095811205E-2</v>
      </c>
      <c r="AD261" s="230">
        <f>(INDEX(Models!$BJ261:$BT261,,AH261)*(1-AF261)+INDEX(Models!$BJ261:$BT261,,AH261+1)*AF261-ERP_i)*AE261*Ramure*Pc/MaxiM</f>
        <v>1.3423251631345156E-3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'2024'!Wh/'2024'!Env_an*'2025'!Env_an</f>
        <v>39.778680992957163</v>
      </c>
      <c r="C262" s="829"/>
      <c r="D262" s="391">
        <f t="shared" si="77"/>
        <v>41.670230104677309</v>
      </c>
      <c r="E262" s="383">
        <f t="shared" si="100"/>
        <v>43.618260238417122</v>
      </c>
      <c r="F262" s="383">
        <f t="shared" si="78"/>
        <v>43.663365963251209</v>
      </c>
      <c r="G262" s="110">
        <f t="shared" si="101"/>
        <v>0.82344024429216833</v>
      </c>
      <c r="H262" s="412" t="b">
        <f>Wh_hp&gt;='2024'!Maxi_hp</f>
        <v>0</v>
      </c>
      <c r="I262" s="388">
        <f>IF(H262,Wh_hp,'2024'!Maxi_hp)</f>
        <v>53.427461866974461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4.5393296532524441E-2</v>
      </c>
      <c r="M262" s="832"/>
      <c r="N262" s="832"/>
      <c r="O262" s="48">
        <f>IF(t&lt;Tnet,'2024'!Resal+('2024'!Salim-'2024'!Resal)*(1-EXP(('2024'!Tnet-t)/('2024'!Tau_j))),Resal+(Salim-Resal)*(1-EXP((Tnet-t)/(Tau_j))))*Salcycl</f>
        <v>4.4660885672465817E-2</v>
      </c>
      <c r="P262" s="169">
        <f>(INDEX(Models!$BJ262:$BT262,,T262)*(1-R262)+INDEX(Models!$BJ262:$BT262,,T262+1)*R262-ERP_i)*Q262*Ramure*Pc/MaxiM</f>
        <v>1.3807262338782905E-3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48.291100917719085</v>
      </c>
      <c r="W262" s="400">
        <f t="shared" si="86"/>
        <v>39.778680992957163</v>
      </c>
      <c r="X262" s="157">
        <f t="shared" si="87"/>
        <v>45905</v>
      </c>
      <c r="Y262" s="383">
        <f t="shared" si="88"/>
        <v>38.561966791448697</v>
      </c>
      <c r="Z262" s="383">
        <f t="shared" si="89"/>
        <v>40.395658915213708</v>
      </c>
      <c r="AA262" s="384">
        <f t="shared" si="90"/>
        <v>43.618260238417122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7.3881931686149219E-2</v>
      </c>
      <c r="AD262" s="230">
        <f>(INDEX(Models!$BJ262:$BT262,,AH262)*(1-AF262)+INDEX(Models!$BJ262:$BT262,,AH262+1)*AF262-ERP_i)*AE262*Ramure*Pc/MaxiM</f>
        <v>1.3807262338782905E-3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'2024'!Wh/'2024'!Env_an*'2025'!Env_an</f>
        <v>45.015039169433827</v>
      </c>
      <c r="C263" s="829"/>
      <c r="D263" s="391">
        <f t="shared" si="77"/>
        <v>47.156490443037718</v>
      </c>
      <c r="E263" s="383">
        <f t="shared" si="100"/>
        <v>49.363529622276822</v>
      </c>
      <c r="F263" s="383">
        <f t="shared" si="78"/>
        <v>49.427393558402727</v>
      </c>
      <c r="G263" s="110">
        <f t="shared" si="101"/>
        <v>0.9365446253429448</v>
      </c>
      <c r="H263" s="412" t="b">
        <f>Wh_hp&gt;='2024'!Maxi_hp</f>
        <v>0</v>
      </c>
      <c r="I263" s="388">
        <f>IF(H263,Wh_hp,'2024'!Maxi_hp)</f>
        <v>54.427802265876565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4.5411591352215619E-2</v>
      </c>
      <c r="M263" s="832"/>
      <c r="N263" s="832"/>
      <c r="O263" s="48">
        <f>IF(t&lt;Tnet,'2024'!Resal+('2024'!Salim-'2024'!Resal)*(1-EXP(('2024'!Tnet-t)/('2024'!Tau_j))),Resal+(Salim-Resal)*(1-EXP((Tnet-t)/(Tau_j))))*Salcycl</f>
        <v>4.4709914305704569E-2</v>
      </c>
      <c r="P263" s="169">
        <f>(INDEX(Models!$BJ263:$BT263,,T263)*(1-R263)+INDEX(Models!$BJ263:$BT263,,T263+1)*R263-ERP_i)*Q263*Ramure*Pc/MaxiM</f>
        <v>1.4206101637420411E-3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48.058837223319649</v>
      </c>
      <c r="W263" s="400">
        <f t="shared" si="86"/>
        <v>45.015039169433827</v>
      </c>
      <c r="X263" s="157">
        <f t="shared" si="87"/>
        <v>45906</v>
      </c>
      <c r="Y263" s="383">
        <f t="shared" si="88"/>
        <v>43.639525995504933</v>
      </c>
      <c r="Z263" s="383">
        <f t="shared" si="89"/>
        <v>45.715541483813112</v>
      </c>
      <c r="AA263" s="384">
        <f t="shared" si="90"/>
        <v>49.363529622276822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7.3900471995775596E-2</v>
      </c>
      <c r="AD263" s="230">
        <f>(INDEX(Models!$BJ263:$BT263,,AH263)*(1-AF263)+INDEX(Models!$BJ263:$BT263,,AH263+1)*AF263-ERP_i)*AE263*Ramure*Pc/MaxiM</f>
        <v>1.4206101637420411E-3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'2024'!Wh/'2024'!Env_an*'2025'!Env_an</f>
        <v>35.834643604736961</v>
      </c>
      <c r="C264" s="829"/>
      <c r="D264" s="391">
        <f t="shared" si="77"/>
        <v>37.540085398093865</v>
      </c>
      <c r="E264" s="383">
        <f t="shared" si="100"/>
        <v>39.299056777876615</v>
      </c>
      <c r="F264" s="383">
        <f t="shared" si="78"/>
        <v>39.335970397174201</v>
      </c>
      <c r="G264" s="110">
        <f t="shared" si="101"/>
        <v>0.74892073644730339</v>
      </c>
      <c r="H264" s="412" t="b">
        <f>Wh_hp&gt;='2024'!Maxi_hp</f>
        <v>0</v>
      </c>
      <c r="I264" s="388">
        <f>IF(H264,Wh_hp,'2024'!Maxi_hp)</f>
        <v>49.351657913110358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4.5429885821290705E-2</v>
      </c>
      <c r="M264" s="832"/>
      <c r="N264" s="832"/>
      <c r="O264" s="48">
        <f>IF(t&lt;Tnet,'2024'!Resal+('2024'!Salim-'2024'!Resal)*(1-EXP(('2024'!Tnet-t)/('2024'!Tau_j))),Resal+(Salim-Resal)*(1-EXP((Tnet-t)/(Tau_j))))*Salcycl</f>
        <v>4.4758615702271985E-2</v>
      </c>
      <c r="P264" s="169">
        <f>(INDEX(Models!$BJ264:$BT264,,T264)*(1-R264)+INDEX(Models!$BJ264:$BT264,,T264+1)*R264-ERP_i)*Q264*Ramure*Pc/MaxiM</f>
        <v>1.4619933733662899E-3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47.823303768903109</v>
      </c>
      <c r="W264" s="400">
        <f t="shared" si="86"/>
        <v>35.834643604736961</v>
      </c>
      <c r="X264" s="157">
        <f t="shared" si="87"/>
        <v>45907</v>
      </c>
      <c r="Y264" s="383">
        <f t="shared" si="88"/>
        <v>34.740746610085203</v>
      </c>
      <c r="Z264" s="383">
        <f t="shared" si="89"/>
        <v>36.394127674922402</v>
      </c>
      <c r="AA264" s="384">
        <f t="shared" si="90"/>
        <v>39.299056777876615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7.3918545154232407E-2</v>
      </c>
      <c r="AD264" s="230">
        <f>(INDEX(Models!$BJ264:$BT264,,AH264)*(1-AF264)+INDEX(Models!$BJ264:$BT264,,AH264+1)*AF264-ERP_i)*AE264*Ramure*Pc/MaxiM</f>
        <v>1.4619933733662899E-3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'2024'!Wh/'2024'!Env_an*'2025'!Env_an</f>
        <v>34.826625132453493</v>
      </c>
      <c r="C265" s="829"/>
      <c r="D265" s="391">
        <f t="shared" si="77"/>
        <v>36.48479254929871</v>
      </c>
      <c r="E265" s="383">
        <f t="shared" si="100"/>
        <v>38.196251160530046</v>
      </c>
      <c r="F265" s="383">
        <f t="shared" si="78"/>
        <v>38.231749233458295</v>
      </c>
      <c r="G265" s="110">
        <f t="shared" si="101"/>
        <v>0.73146782987188952</v>
      </c>
      <c r="H265" s="412" t="b">
        <f>Wh_hp&gt;='2024'!Maxi_hp</f>
        <v>0</v>
      </c>
      <c r="I265" s="388">
        <f>IF(H265,Wh_hp,'2024'!Maxi_hp)</f>
        <v>48.219770599083176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4.5448179939756472E-2</v>
      </c>
      <c r="M265" s="832"/>
      <c r="N265" s="832"/>
      <c r="O265" s="48">
        <f>IF(t&lt;Tnet,'2024'!Resal+('2024'!Salim-'2024'!Resal)*(1-EXP(('2024'!Tnet-t)/('2024'!Tau_j))),Resal+(Salim-Resal)*(1-EXP((Tnet-t)/(Tau_j))))*Salcycl</f>
        <v>4.4806978675432554E-2</v>
      </c>
      <c r="P265" s="169">
        <f>(INDEX(Models!$BJ265:$BT265,,T265)*(1-R265)+INDEX(Models!$BJ265:$BT265,,T265+1)*R265-ERP_i)*Q265*Ramure*Pc/MaxiM</f>
        <v>1.5048922986363907E-3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47.584502229420863</v>
      </c>
      <c r="W265" s="400">
        <f t="shared" si="86"/>
        <v>34.826625132453493</v>
      </c>
      <c r="X265" s="157">
        <f t="shared" si="87"/>
        <v>45908</v>
      </c>
      <c r="Y265" s="383">
        <f t="shared" si="88"/>
        <v>33.764567369620579</v>
      </c>
      <c r="Z265" s="383">
        <f t="shared" si="89"/>
        <v>35.372168026969597</v>
      </c>
      <c r="AA265" s="384">
        <f t="shared" si="90"/>
        <v>38.196251160530046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7.3936133724000333E-2</v>
      </c>
      <c r="AD265" s="230">
        <f>(INDEX(Models!$BJ265:$BT265,,AH265)*(1-AF265)+INDEX(Models!$BJ265:$BT265,,AH265+1)*AF265-ERP_i)*AE265*Ramure*Pc/MaxiM</f>
        <v>1.5048922986363907E-3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'2024'!Wh/'2024'!Env_an*'2025'!Env_an</f>
        <v>23.324904227920978</v>
      </c>
      <c r="C266" s="829"/>
      <c r="D266" s="391">
        <f t="shared" si="77"/>
        <v>24.435919310786364</v>
      </c>
      <c r="E266" s="383">
        <f t="shared" si="100"/>
        <v>25.583465437134702</v>
      </c>
      <c r="F266" s="383">
        <f t="shared" si="78"/>
        <v>25.59438075572961</v>
      </c>
      <c r="G266" s="110">
        <f t="shared" si="101"/>
        <v>0.49213148863776829</v>
      </c>
      <c r="H266" s="412" t="b">
        <f>Wh_hp&gt;='2024'!Maxi_hp</f>
        <v>0</v>
      </c>
      <c r="I266" s="388">
        <f>IF(H266,Wh_hp,'2024'!Maxi_hp)</f>
        <v>50.375328728188094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4.5466473707619692E-2</v>
      </c>
      <c r="M266" s="832"/>
      <c r="N266" s="832"/>
      <c r="O266" s="48">
        <f>IF(t&lt;Tnet,'2024'!Resal+('2024'!Salim-'2024'!Resal)*(1-EXP(('2024'!Tnet-t)/('2024'!Tau_j))),Resal+(Salim-Resal)*(1-EXP((Tnet-t)/(Tau_j))))*Salcycl</f>
        <v>4.4854991563522288E-2</v>
      </c>
      <c r="P266" s="169">
        <f>(INDEX(Models!$BJ266:$BT266,,T266)*(1-R266)+INDEX(Models!$BJ266:$BT266,,T266+1)*R266-ERP_i)*Q266*Ramure*Pc/MaxiM</f>
        <v>1.5493233521734909E-3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47.342434329744073</v>
      </c>
      <c r="W266" s="400">
        <f t="shared" si="86"/>
        <v>23.324904227920978</v>
      </c>
      <c r="X266" s="157">
        <f t="shared" si="87"/>
        <v>45909</v>
      </c>
      <c r="Y266" s="383">
        <f t="shared" si="88"/>
        <v>22.614317484808826</v>
      </c>
      <c r="Z266" s="383">
        <f t="shared" si="89"/>
        <v>23.691485801077985</v>
      </c>
      <c r="AA266" s="384">
        <f t="shared" si="90"/>
        <v>25.583465437134702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7.3953219539620585E-2</v>
      </c>
      <c r="AD266" s="230">
        <f>(INDEX(Models!$BJ266:$BT266,,AH266)*(1-AF266)+INDEX(Models!$BJ266:$BT266,,AH266+1)*AF266-ERP_i)*AE266*Ramure*Pc/MaxiM</f>
        <v>1.5493233521734909E-3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'2024'!Wh/'2024'!Env_an*'2025'!Env_an</f>
        <v>46.138028046834322</v>
      </c>
      <c r="C267" s="829"/>
      <c r="D267" s="391">
        <f t="shared" si="77"/>
        <v>48.336607376983515</v>
      </c>
      <c r="E267" s="383">
        <f t="shared" si="100"/>
        <v>50.60908920241053</v>
      </c>
      <c r="F267" s="383">
        <f t="shared" si="78"/>
        <v>50.687598910220842</v>
      </c>
      <c r="G267" s="110">
        <f t="shared" si="101"/>
        <v>0.97959071133915532</v>
      </c>
      <c r="H267" s="412" t="b">
        <f>Wh_hp&gt;='2024'!Maxi_hp</f>
        <v>0</v>
      </c>
      <c r="I267" s="388">
        <f>IF(H267,Wh_hp,'2024'!Maxi_hp)</f>
        <v>50.689006934365501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4.5484767124887027E-2</v>
      </c>
      <c r="M267" s="832"/>
      <c r="N267" s="832"/>
      <c r="O267" s="48">
        <f>IF(t&lt;Tnet,'2024'!Resal+('2024'!Salim-'2024'!Resal)*(1-EXP(('2024'!Tnet-t)/('2024'!Tau_j))),Resal+(Salim-Resal)*(1-EXP((Tnet-t)/(Tau_j))))*Salcycl</f>
        <v>4.4902642217848364E-2</v>
      </c>
      <c r="P267" s="169">
        <f>(INDEX(Models!$BJ267:$BT267,,T267)*(1-R267)+INDEX(Models!$BJ267:$BT267,,T267+1)*R267-ERP_i)*Q267*Ramure*Pc/MaxiM</f>
        <v>1.5953028818622196E-3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47.097101848466188</v>
      </c>
      <c r="W267" s="400">
        <f t="shared" si="86"/>
        <v>46.138028046834322</v>
      </c>
      <c r="X267" s="157">
        <f t="shared" si="87"/>
        <v>45910</v>
      </c>
      <c r="Y267" s="383">
        <f t="shared" si="88"/>
        <v>44.733877383467075</v>
      </c>
      <c r="Z267" s="383">
        <f t="shared" si="89"/>
        <v>46.86554582133104</v>
      </c>
      <c r="AA267" s="384">
        <f t="shared" si="90"/>
        <v>50.60908920241053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7.3969783690578259E-2</v>
      </c>
      <c r="AD267" s="230">
        <f>(INDEX(Models!$BJ267:$BT267,,AH267)*(1-AF267)+INDEX(Models!$BJ267:$BT267,,AH267+1)*AF267-ERP_i)*AE267*Ramure*Pc/MaxiM</f>
        <v>1.5953028818622196E-3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'2024'!Wh/'2024'!Env_an*'2025'!Env_an</f>
        <v>45.569874216898313</v>
      </c>
      <c r="C268" s="829"/>
      <c r="D268" s="391">
        <f t="shared" si="77"/>
        <v>47.742294727570389</v>
      </c>
      <c r="E268" s="383">
        <f t="shared" si="100"/>
        <v>49.989310117996268</v>
      </c>
      <c r="F268" s="383">
        <f t="shared" si="78"/>
        <v>50.068398010212775</v>
      </c>
      <c r="G268" s="110">
        <f t="shared" si="101"/>
        <v>0.9726454618244359</v>
      </c>
      <c r="H268" s="412" t="b">
        <f>Wh_hp&gt;='2024'!Maxi_hp</f>
        <v>0</v>
      </c>
      <c r="I268" s="388">
        <f>IF(H268,Wh_hp,'2024'!Maxi_hp)</f>
        <v>50.070320857235181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4.5503060191565137E-2</v>
      </c>
      <c r="M268" s="832"/>
      <c r="N268" s="832"/>
      <c r="O268" s="48">
        <f>IF(t&lt;Tnet,'2024'!Resal+('2024'!Salim-'2024'!Resal)*(1-EXP(('2024'!Tnet-t)/('2024'!Tau_j))),Resal+(Salim-Resal)*(1-EXP((Tnet-t)/(Tau_j))))*Salcycl</f>
        <v>4.4949917994906462E-2</v>
      </c>
      <c r="P268" s="169">
        <f>(INDEX(Models!$BJ268:$BT268,,T268)*(1-R268)+INDEX(Models!$BJ268:$BT268,,T268+1)*R268-ERP_i)*Q268*Ramure*Pc/MaxiM</f>
        <v>1.6436820776147389E-3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46.848467439585427</v>
      </c>
      <c r="W268" s="400">
        <f t="shared" si="86"/>
        <v>45.569874216898313</v>
      </c>
      <c r="X268" s="157">
        <f t="shared" si="87"/>
        <v>45911</v>
      </c>
      <c r="Y268" s="383">
        <f t="shared" si="88"/>
        <v>44.184437146736592</v>
      </c>
      <c r="Z268" s="383">
        <f t="shared" si="89"/>
        <v>46.290810691969632</v>
      </c>
      <c r="AA268" s="384">
        <f t="shared" si="90"/>
        <v>49.989310117996268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7.3985806511363911E-2</v>
      </c>
      <c r="AD268" s="230">
        <f>(INDEX(Models!$BJ268:$BT268,,AH268)*(1-AF268)+INDEX(Models!$BJ268:$BT268,,AH268+1)*AF268-ERP_i)*AE268*Ramure*Pc/MaxiM</f>
        <v>1.6436820776147389E-3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'2024'!Wh/'2024'!Env_an*'2025'!Env_an</f>
        <v>33.076443013304676</v>
      </c>
      <c r="C269" s="829"/>
      <c r="D269" s="391">
        <f t="shared" si="77"/>
        <v>34.653937114325785</v>
      </c>
      <c r="E269" s="383">
        <f t="shared" si="100"/>
        <v>36.286723775485335</v>
      </c>
      <c r="F269" s="383">
        <f t="shared" si="78"/>
        <v>36.322751716124351</v>
      </c>
      <c r="G269" s="110">
        <f t="shared" si="101"/>
        <v>0.70934848753884649</v>
      </c>
      <c r="H269" s="412" t="b">
        <f>Wh_hp&gt;='2024'!Maxi_hp</f>
        <v>0</v>
      </c>
      <c r="I269" s="388">
        <f>IF(H269,Wh_hp,'2024'!Maxi_hp)</f>
        <v>50.716513586551613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4.5521352907660795E-2</v>
      </c>
      <c r="M269" s="832"/>
      <c r="N269" s="832"/>
      <c r="O269" s="48">
        <f>IF(t&lt;Tnet,'2024'!Resal+('2024'!Salim-'2024'!Resal)*(1-EXP(('2024'!Tnet-t)/('2024'!Tau_j))),Resal+(Salim-Resal)*(1-EXP((Tnet-t)/(Tau_j))))*Salcycl</f>
        <v>4.4996805753586146E-2</v>
      </c>
      <c r="P269" s="169">
        <f>(INDEX(Models!$BJ269:$BT269,,T269)*(1-R269)+INDEX(Models!$BJ269:$BT269,,T269+1)*R269-ERP_i)*Q269*Ramure*Pc/MaxiM</f>
        <v>1.6940901120995847E-3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46.596551678647501</v>
      </c>
      <c r="W269" s="400">
        <f t="shared" si="86"/>
        <v>33.076443013304676</v>
      </c>
      <c r="X269" s="157">
        <f t="shared" si="87"/>
        <v>45912</v>
      </c>
      <c r="Y269" s="383">
        <f t="shared" si="88"/>
        <v>32.071876290904875</v>
      </c>
      <c r="Z269" s="383">
        <f t="shared" si="89"/>
        <v>33.601460219782311</v>
      </c>
      <c r="AA269" s="384">
        <f t="shared" si="90"/>
        <v>36.286723775485335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7.4001267579773655E-2</v>
      </c>
      <c r="AD269" s="230">
        <f>(INDEX(Models!$BJ269:$BT269,,AH269)*(1-AF269)+INDEX(Models!$BJ269:$BT269,,AH269+1)*AF269-ERP_i)*AE269*Ramure*Pc/MaxiM</f>
        <v>1.6940901120995847E-3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'2024'!Wh/'2024'!Env_an*'2025'!Env_an</f>
        <v>14.040253008540159</v>
      </c>
      <c r="C270" s="829"/>
      <c r="D270" s="391">
        <f t="shared" si="77"/>
        <v>14.710147927054223</v>
      </c>
      <c r="E270" s="383">
        <f t="shared" si="100"/>
        <v>15.403994549318128</v>
      </c>
      <c r="F270" s="383">
        <f t="shared" si="78"/>
        <v>15.404108875199713</v>
      </c>
      <c r="G270" s="110">
        <f t="shared" si="101"/>
        <v>0.30244766394129124</v>
      </c>
      <c r="H270" s="412" t="b">
        <f>Wh_hp&gt;='2024'!Maxi_hp</f>
        <v>0</v>
      </c>
      <c r="I270" s="388">
        <f>IF(H270,Wh_hp,'2024'!Maxi_hp)</f>
        <v>48.946025733501244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4.5539645273180773E-2</v>
      </c>
      <c r="M270" s="832"/>
      <c r="N270" s="832"/>
      <c r="O270" s="48">
        <f>IF(t&lt;Tnet,'2024'!Resal+('2024'!Salim-'2024'!Resal)*(1-EXP(('2024'!Tnet-t)/('2024'!Tau_j))),Resal+(Salim-Resal)*(1-EXP((Tnet-t)/(Tau_j))))*Salcycl</f>
        <v>4.5043291857995237E-2</v>
      </c>
      <c r="P270" s="169">
        <f>(INDEX(Models!$BJ270:$BT270,,T270)*(1-R270)+INDEX(Models!$BJ270:$BT270,,T270+1)*R270-ERP_i)*Q270*Ramure*Pc/MaxiM</f>
        <v>1.746548009205444E-3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46.341356624731652</v>
      </c>
      <c r="W270" s="400">
        <f t="shared" si="86"/>
        <v>14.040253008540159</v>
      </c>
      <c r="X270" s="157">
        <f t="shared" si="87"/>
        <v>45913</v>
      </c>
      <c r="Y270" s="383">
        <f t="shared" si="88"/>
        <v>13.614279563675048</v>
      </c>
      <c r="Z270" s="383">
        <f t="shared" si="89"/>
        <v>14.263850244017371</v>
      </c>
      <c r="AA270" s="384">
        <f t="shared" si="90"/>
        <v>15.403994549318128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7.4016145724436516E-2</v>
      </c>
      <c r="AD270" s="230">
        <f>(INDEX(Models!$BJ270:$BT270,,AH270)*(1-AF270)+INDEX(Models!$BJ270:$BT270,,AH270+1)*AF270-ERP_i)*AE270*Ramure*Pc/MaxiM</f>
        <v>1.746548009205444E-3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'2024'!Wh/'2024'!Env_an*'2025'!Env_an</f>
        <v>35.207237869264283</v>
      </c>
      <c r="C271" s="829"/>
      <c r="D271" s="391">
        <f t="shared" ref="D271:D334" si="102">Wh/(1-Ppv)</f>
        <v>36.887768513920598</v>
      </c>
      <c r="E271" s="383">
        <f t="shared" si="100"/>
        <v>38.62955029842751</v>
      </c>
      <c r="F271" s="383">
        <f t="shared" ref="F271:F334" si="103">Wh_sa/(1-Pvg*MEDIAN((-Sdif+Wh/Env_an)/Csdif,0,1))</f>
        <v>38.675723376985843</v>
      </c>
      <c r="G271" s="110">
        <f t="shared" si="101"/>
        <v>0.76353366455787963</v>
      </c>
      <c r="H271" s="412" t="b">
        <f>Wh_hp&gt;='2024'!Maxi_hp</f>
        <v>0</v>
      </c>
      <c r="I271" s="388">
        <f>IF(H271,Wh_hp,'2024'!Maxi_hp)</f>
        <v>48.424336454195235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4.5557937288131733E-2</v>
      </c>
      <c r="M271" s="832"/>
      <c r="N271" s="832"/>
      <c r="O271" s="48">
        <f>IF(t&lt;Tnet,'2024'!Resal+('2024'!Salim-'2024'!Resal)*(1-EXP(('2024'!Tnet-t)/('2024'!Tau_j))),Resal+(Salim-Resal)*(1-EXP((Tnet-t)/(Tau_j))))*Salcycl</f>
        <v>4.5089362186486827E-2</v>
      </c>
      <c r="P271" s="169">
        <f>(INDEX(Models!$BJ271:$BT271,,T271)*(1-R271)+INDEX(Models!$BJ271:$BT271,,T271+1)*R271-ERP_i)*Q271*Ramure*Pc/MaxiM</f>
        <v>1.8010766212756143E-3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46.082884406008795</v>
      </c>
      <c r="W271" s="400">
        <f t="shared" ref="W271:W334" si="111">Wh*(A271&gt;Tmaj)</f>
        <v>35.207237869264283</v>
      </c>
      <c r="X271" s="157">
        <f t="shared" ref="X271:X334" si="112">t</f>
        <v>45914</v>
      </c>
      <c r="Y271" s="383">
        <f t="shared" ref="Y271:Y334" si="113">Wh_pvt_s*(1-Ppv)</f>
        <v>34.140190721009965</v>
      </c>
      <c r="Z271" s="383">
        <f t="shared" ref="Z271:Z334" si="114">Wh_sa_s*(1-Psa_s)</f>
        <v>35.769788502412617</v>
      </c>
      <c r="AA271" s="384">
        <f t="shared" ref="AA271:AA334" si="115">Wh_hp*(1-Pvg_s*MEDIAN((-Sdif+Wh/Env_an)/Csdif,0,1))</f>
        <v>38.62955029842751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7.4030419042473372E-2</v>
      </c>
      <c r="AD271" s="230">
        <f>(INDEX(Models!$BJ271:$BT271,,AH271)*(1-AF271)+INDEX(Models!$BJ271:$BT271,,AH271+1)*AF271-ERP_i)*AE271*Ramure*Pc/MaxiM</f>
        <v>1.8010766212756143E-3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'2024'!Wh/'2024'!Env_an*'2025'!Env_an</f>
        <v>40.321816960710315</v>
      </c>
      <c r="C272" s="829"/>
      <c r="D272" s="391">
        <f t="shared" si="102"/>
        <v>42.247289080464896</v>
      </c>
      <c r="E272" s="383">
        <f t="shared" si="100"/>
        <v>44.244253559901885</v>
      </c>
      <c r="F272" s="383">
        <f t="shared" si="103"/>
        <v>44.312458804932831</v>
      </c>
      <c r="G272" s="110">
        <f t="shared" si="101"/>
        <v>0.87970218112315279</v>
      </c>
      <c r="H272" s="412" t="b">
        <f>Wh_hp&gt;='2024'!Maxi_hp</f>
        <v>0</v>
      </c>
      <c r="I272" s="388">
        <f>IF(H272,Wh_hp,'2024'!Maxi_hp)</f>
        <v>49.537413864977964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4.5576228952520337E-2</v>
      </c>
      <c r="M272" s="832"/>
      <c r="N272" s="832"/>
      <c r="O272" s="48">
        <f>IF(t&lt;Tnet,'2024'!Resal+('2024'!Salim-'2024'!Resal)*(1-EXP(('2024'!Tnet-t)/('2024'!Tau_j))),Resal+(Salim-Resal)*(1-EXP((Tnet-t)/(Tau_j))))*Salcycl</f>
        <v>4.5135002147415955E-2</v>
      </c>
      <c r="P272" s="169">
        <f>(INDEX(Models!$BJ272:$BT272,,T272)*(1-R272)+INDEX(Models!$BJ272:$BT272,,T272+1)*R272-ERP_i)*Q272*Ramure*Pc/MaxiM</f>
        <v>1.8576965718794744E-3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45.821137221120743</v>
      </c>
      <c r="W272" s="400">
        <f t="shared" si="111"/>
        <v>40.321816960710315</v>
      </c>
      <c r="X272" s="157">
        <f t="shared" si="112"/>
        <v>45915</v>
      </c>
      <c r="Y272" s="383">
        <f t="shared" si="113"/>
        <v>39.101051783884607</v>
      </c>
      <c r="Z272" s="383">
        <f t="shared" si="114"/>
        <v>40.968229176617449</v>
      </c>
      <c r="AA272" s="384">
        <f t="shared" si="115"/>
        <v>44.244253559901885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7.4044064928094219E-2</v>
      </c>
      <c r="AD272" s="230">
        <f>(INDEX(Models!$BJ272:$BT272,,AH272)*(1-AF272)+INDEX(Models!$BJ272:$BT272,,AH272+1)*AF272-ERP_i)*AE272*Ramure*Pc/MaxiM</f>
        <v>1.8576965718794744E-3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'2024'!Wh/'2024'!Env_an*'2025'!Env_an</f>
        <v>32.216261813431778</v>
      </c>
      <c r="C273" s="829"/>
      <c r="D273" s="391">
        <f t="shared" si="102"/>
        <v>33.755319408290298</v>
      </c>
      <c r="E273" s="383">
        <f t="shared" si="100"/>
        <v>35.352554787511451</v>
      </c>
      <c r="F273" s="383">
        <f t="shared" si="103"/>
        <v>35.392008102849914</v>
      </c>
      <c r="G273" s="110">
        <f t="shared" si="101"/>
        <v>0.70660995413897809</v>
      </c>
      <c r="H273" s="412" t="b">
        <f>Wh_hp&gt;='2024'!Maxi_hp</f>
        <v>0</v>
      </c>
      <c r="I273" s="388">
        <f>IF(H273,Wh_hp,'2024'!Maxi_hp)</f>
        <v>43.865326468567289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4.5594520266353356E-2</v>
      </c>
      <c r="M273" s="832"/>
      <c r="N273" s="832"/>
      <c r="O273" s="48">
        <f>IF(t&lt;Tnet,'2024'!Resal+('2024'!Salim-'2024'!Resal)*(1-EXP(('2024'!Tnet-t)/('2024'!Tau_j))),Resal+(Salim-Resal)*(1-EXP((Tnet-t)/(Tau_j))))*Salcycl</f>
        <v>4.5180196702089288E-2</v>
      </c>
      <c r="P273" s="169">
        <f>(INDEX(Models!$BJ273:$BT273,,T273)*(1-R273)+INDEX(Models!$BJ273:$BT273,,T273+1)*R273-ERP_i)*Q273*Ramure*Pc/MaxiM</f>
        <v>1.9164281979262294E-3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45.556117338793641</v>
      </c>
      <c r="W273" s="400">
        <f t="shared" si="111"/>
        <v>32.216261813431778</v>
      </c>
      <c r="X273" s="157">
        <f t="shared" si="112"/>
        <v>45916</v>
      </c>
      <c r="Y273" s="383">
        <f t="shared" si="113"/>
        <v>31.241937036360845</v>
      </c>
      <c r="Z273" s="383">
        <f t="shared" si="114"/>
        <v>32.734448512470586</v>
      </c>
      <c r="AA273" s="384">
        <f t="shared" si="115"/>
        <v>35.352554787511451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7.405706011283035E-2</v>
      </c>
      <c r="AD273" s="230">
        <f>(INDEX(Models!$BJ273:$BT273,,AH273)*(1-AF273)+INDEX(Models!$BJ273:$BT273,,AH273+1)*AF273-ERP_i)*AE273*Ramure*Pc/MaxiM</f>
        <v>1.9164281979262294E-3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'2024'!Wh/'2024'!Env_an*'2025'!Env_an</f>
        <v>45.018153449755658</v>
      </c>
      <c r="C274" s="829"/>
      <c r="D274" s="391">
        <f t="shared" si="102"/>
        <v>47.169695883865842</v>
      </c>
      <c r="E274" s="383">
        <f t="shared" si="100"/>
        <v>49.403987793057084</v>
      </c>
      <c r="F274" s="383">
        <f t="shared" si="103"/>
        <v>49.501033150263616</v>
      </c>
      <c r="G274" s="110">
        <f t="shared" si="101"/>
        <v>0.99402858628520041</v>
      </c>
      <c r="H274" s="412" t="b">
        <f>Wh_hp&gt;='2024'!Maxi_hp</f>
        <v>0</v>
      </c>
      <c r="I274" s="388">
        <f>IF(H274,Wh_hp,'2024'!Maxi_hp)</f>
        <v>49.501535281548286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4.5612811229637562E-2</v>
      </c>
      <c r="M274" s="832"/>
      <c r="N274" s="832"/>
      <c r="O274" s="48">
        <f>IF(t&lt;Tnet,'2024'!Resal+('2024'!Salim-'2024'!Resal)*(1-EXP(('2024'!Tnet-t)/('2024'!Tau_j))),Resal+(Salim-Resal)*(1-EXP((Tnet-t)/(Tau_j))))*Salcycl</f>
        <v>4.5224930395299678E-2</v>
      </c>
      <c r="P274" s="169">
        <f>(INDEX(Models!$BJ274:$BT274,,T274)*(1-R274)+INDEX(Models!$BJ274:$BT274,,T274+1)*R274-ERP_i)*Q274*Ramure*Pc/MaxiM</f>
        <v>1.9772914916794493E-3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45.287827102428643</v>
      </c>
      <c r="W274" s="400">
        <f t="shared" si="111"/>
        <v>45.018153449755658</v>
      </c>
      <c r="X274" s="157">
        <f t="shared" si="112"/>
        <v>45917</v>
      </c>
      <c r="Y274" s="383">
        <f t="shared" si="113"/>
        <v>43.658122242261129</v>
      </c>
      <c r="Z274" s="383">
        <f t="shared" si="114"/>
        <v>45.744665012226839</v>
      </c>
      <c r="AA274" s="384">
        <f t="shared" si="115"/>
        <v>49.403987793057084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7.4069380717977168E-2</v>
      </c>
      <c r="AD274" s="230">
        <f>(INDEX(Models!$BJ274:$BT274,,AH274)*(1-AF274)+INDEX(Models!$BJ274:$BT274,,AH274+1)*AF274-ERP_i)*AE274*Ramure*Pc/MaxiM</f>
        <v>1.9772914916794493E-3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'2024'!Wh/'2024'!Env_an*'2025'!Env_an</f>
        <v>45.010418219256572</v>
      </c>
      <c r="C275" s="829"/>
      <c r="D275" s="391">
        <f t="shared" si="102"/>
        <v>47.162494823697415</v>
      </c>
      <c r="E275" s="383">
        <f t="shared" si="100"/>
        <v>49.398735435124848</v>
      </c>
      <c r="F275" s="383">
        <f t="shared" si="103"/>
        <v>49.499712425490934</v>
      </c>
      <c r="G275" s="110">
        <f t="shared" si="101"/>
        <v>0.99987447904143212</v>
      </c>
      <c r="H275" s="412" t="b">
        <f>Wh_hp&gt;='2024'!Maxi_hp</f>
        <v>0</v>
      </c>
      <c r="I275" s="388">
        <f>IF(H275,Wh_hp,'2024'!Maxi_hp)</f>
        <v>49.499723325417328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4.5631101842379729E-2</v>
      </c>
      <c r="M275" s="832"/>
      <c r="N275" s="832"/>
      <c r="O275" s="48">
        <f>IF(t&lt;Tnet,'2024'!Resal+('2024'!Salim-'2024'!Resal)*(1-EXP(('2024'!Tnet-t)/('2024'!Tau_j))),Resal+(Salim-Resal)*(1-EXP((Tnet-t)/(Tau_j))))*Salcycl</f>
        <v>4.5269187393759833E-2</v>
      </c>
      <c r="P275" s="169">
        <f>(INDEX(Models!$BJ275:$BT275,,T275)*(1-R275)+INDEX(Models!$BJ275:$BT275,,T275+1)*R275-ERP_i)*Q275*Ramure*Pc/MaxiM</f>
        <v>2.0403158458361706E-3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45.016052224132288</v>
      </c>
      <c r="W275" s="400">
        <f t="shared" si="111"/>
        <v>45.010418219256572</v>
      </c>
      <c r="X275" s="157">
        <f t="shared" si="112"/>
        <v>45918</v>
      </c>
      <c r="Y275" s="383">
        <f t="shared" si="113"/>
        <v>43.652096247923154</v>
      </c>
      <c r="Z275" s="383">
        <f t="shared" si="114"/>
        <v>45.739227600765467</v>
      </c>
      <c r="AA275" s="384">
        <f t="shared" si="115"/>
        <v>49.398735435124848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7.4081002319692973E-2</v>
      </c>
      <c r="AD275" s="230">
        <f>(INDEX(Models!$BJ275:$BT275,,AH275)*(1-AF275)+INDEX(Models!$BJ275:$BT275,,AH275+1)*AF275-ERP_i)*AE275*Ramure*Pc/MaxiM</f>
        <v>2.0403158458361706E-3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'2024'!Wh/'2024'!Env_an*'2025'!Env_an</f>
        <v>44.398948208030767</v>
      </c>
      <c r="C276" s="829"/>
      <c r="D276" s="391">
        <f t="shared" si="102"/>
        <v>46.522680281979135</v>
      </c>
      <c r="E276" s="383">
        <f t="shared" si="100"/>
        <v>48.730817451296915</v>
      </c>
      <c r="F276" s="383">
        <f t="shared" si="103"/>
        <v>48.832548258982612</v>
      </c>
      <c r="G276" s="110">
        <f t="shared" si="101"/>
        <v>0.99234056973303542</v>
      </c>
      <c r="H276" s="412" t="b">
        <f>Wh_hp&gt;='2024'!Maxi_hp</f>
        <v>0</v>
      </c>
      <c r="I276" s="388">
        <f>IF(H276,Wh_hp,'2024'!Maxi_hp)</f>
        <v>48.833226198141027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4.5649392104586295E-2</v>
      </c>
      <c r="M276" s="832"/>
      <c r="N276" s="832"/>
      <c r="O276" s="48">
        <f>IF(t&lt;Tnet,'2024'!Resal+('2024'!Salim-'2024'!Resal)*(1-EXP(('2024'!Tnet-t)/('2024'!Tau_j))),Resal+(Salim-Resal)*(1-EXP((Tnet-t)/(Tau_j))))*Salcycl</f>
        <v>4.5312951532665291E-2</v>
      </c>
      <c r="P276" s="169">
        <f>(INDEX(Models!$BJ276:$BT276,,T276)*(1-R276)+INDEX(Models!$BJ276:$BT276,,T276+1)*R276-ERP_i)*Q276*Ramure*Pc/MaxiM</f>
        <v>2.1062359945456396E-3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44.740613498559021</v>
      </c>
      <c r="W276" s="400">
        <f t="shared" si="111"/>
        <v>44.398948208030767</v>
      </c>
      <c r="X276" s="157">
        <f t="shared" si="112"/>
        <v>45919</v>
      </c>
      <c r="Y276" s="383">
        <f t="shared" si="113"/>
        <v>43.060546219928483</v>
      </c>
      <c r="Z276" s="383">
        <f t="shared" si="114"/>
        <v>45.120258596458548</v>
      </c>
      <c r="AA276" s="384">
        <f t="shared" si="115"/>
        <v>48.730817451296915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7.4091900027059301E-2</v>
      </c>
      <c r="AD276" s="230">
        <f>(INDEX(Models!$BJ276:$BT276,,AH276)*(1-AF276)+INDEX(Models!$BJ276:$BT276,,AH276+1)*AF276-ERP_i)*AE276*Ramure*Pc/MaxiM</f>
        <v>2.1062359945456396E-3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'2024'!Wh/'2024'!Env_an*'2025'!Env_an</f>
        <v>46.088482311303366</v>
      </c>
      <c r="C277" s="829"/>
      <c r="D277" s="391">
        <f t="shared" si="102"/>
        <v>48.293955305502742</v>
      </c>
      <c r="E277" s="383">
        <f t="shared" si="100"/>
        <v>50.588455744203181</v>
      </c>
      <c r="F277" s="383">
        <f t="shared" si="103"/>
        <v>50.698686823362124</v>
      </c>
      <c r="G277" s="110">
        <f t="shared" si="101"/>
        <v>1.0365895377792054</v>
      </c>
      <c r="H277" s="412" t="b">
        <f>Wh_hp&gt;='2024'!Maxi_hp</f>
        <v>1</v>
      </c>
      <c r="I277" s="388">
        <f>IF(H277,Wh_hp,'2024'!Maxi_hp)</f>
        <v>50.698686823362124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4.5667682016264255E-2</v>
      </c>
      <c r="M277" s="832"/>
      <c r="N277" s="832"/>
      <c r="O277" s="48">
        <f>IF(t&lt;Tnet,'2024'!Resal+('2024'!Salim-'2024'!Resal)*(1-EXP(('2024'!Tnet-t)/('2024'!Tau_j))),Resal+(Salim-Resal)*(1-EXP((Tnet-t)/(Tau_j))))*Salcycl</f>
        <v>4.5356206370528736E-2</v>
      </c>
      <c r="P277" s="169">
        <f>(INDEX(Models!$BJ277:$BT277,,T277)*(1-R277)+INDEX(Models!$BJ277:$BT277,,T277+1)*R277-ERP_i)*Q277*Ramure*Pc/MaxiM</f>
        <v>2.1742393356852844E-3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44.461651050466479</v>
      </c>
      <c r="W277" s="400">
        <f t="shared" si="111"/>
        <v>46.088482311303366</v>
      </c>
      <c r="X277" s="157">
        <f t="shared" si="112"/>
        <v>45920</v>
      </c>
      <c r="Y277" s="383">
        <f t="shared" si="113"/>
        <v>44.700684843048506</v>
      </c>
      <c r="Z277" s="383">
        <f t="shared" si="114"/>
        <v>46.839747539399916</v>
      </c>
      <c r="AA277" s="384">
        <f t="shared" si="115"/>
        <v>50.588455744203181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7.4102048573262067E-2</v>
      </c>
      <c r="AD277" s="230">
        <f>(INDEX(Models!$BJ277:$BT277,,AH277)*(1-AF277)+INDEX(Models!$BJ277:$BT277,,AH277+1)*AF277-ERP_i)*AE277*Ramure*Pc/MaxiM</f>
        <v>2.1742393356852844E-3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'2024'!Wh/'2024'!Env_an*'2025'!Env_an</f>
        <v>44.901424037775989</v>
      </c>
      <c r="C278" s="829"/>
      <c r="D278" s="391">
        <f t="shared" si="102"/>
        <v>47.050994432089801</v>
      </c>
      <c r="E278" s="383">
        <f t="shared" si="100"/>
        <v>49.288646503371545</v>
      </c>
      <c r="F278" s="383">
        <f t="shared" si="103"/>
        <v>49.399515767454268</v>
      </c>
      <c r="G278" s="110">
        <f t="shared" si="101"/>
        <v>1.0163460501370338</v>
      </c>
      <c r="H278" s="412" t="b">
        <f>Wh_hp&gt;='2024'!Maxi_hp</f>
        <v>1</v>
      </c>
      <c r="I278" s="388">
        <f>IF(H278,Wh_hp,'2024'!Maxi_hp)</f>
        <v>49.399515767454268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4.568597157742027E-2</v>
      </c>
      <c r="M278" s="832"/>
      <c r="N278" s="832"/>
      <c r="O278" s="48">
        <f>IF(t&lt;Tnet,'2024'!Resal+('2024'!Salim-'2024'!Resal)*(1-EXP(('2024'!Tnet-t)/('2024'!Tau_j))),Resal+(Salim-Resal)*(1-EXP((Tnet-t)/(Tau_j))))*Salcycl</f>
        <v>4.5398935252334058E-2</v>
      </c>
      <c r="P278" s="169">
        <f>(INDEX(Models!$BJ278:$BT278,,T278)*(1-R278)+INDEX(Models!$BJ278:$BT278,,T278+1)*R278-ERP_i)*Q278*Ramure*Pc/MaxiM</f>
        <v>2.2443390863310661E-3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44.179267515942954</v>
      </c>
      <c r="W278" s="400">
        <f t="shared" si="111"/>
        <v>44.901424037775989</v>
      </c>
      <c r="X278" s="157">
        <f t="shared" si="112"/>
        <v>45921</v>
      </c>
      <c r="Y278" s="383">
        <f t="shared" si="113"/>
        <v>43.550879177624466</v>
      </c>
      <c r="Z278" s="383">
        <f t="shared" si="114"/>
        <v>45.635794801854999</v>
      </c>
      <c r="AA278" s="384">
        <f t="shared" si="115"/>
        <v>49.288646503371545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7.4111422419900944E-2</v>
      </c>
      <c r="AD278" s="230">
        <f>(INDEX(Models!$BJ278:$BT278,,AH278)*(1-AF278)+INDEX(Models!$BJ278:$BT278,,AH278+1)*AF278-ERP_i)*AE278*Ramure*Pc/MaxiM</f>
        <v>2.2443390863310661E-3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'2024'!Wh/'2024'!Env_an*'2025'!Env_an</f>
        <v>43.449044402087999</v>
      </c>
      <c r="C279" s="829"/>
      <c r="D279" s="391">
        <f t="shared" si="102"/>
        <v>45.529957451102511</v>
      </c>
      <c r="E279" s="383">
        <f t="shared" si="100"/>
        <v>47.697379879773216</v>
      </c>
      <c r="F279" s="383">
        <f t="shared" si="103"/>
        <v>47.806523734313416</v>
      </c>
      <c r="G279" s="110">
        <f t="shared" si="101"/>
        <v>0.9898394977354652</v>
      </c>
      <c r="H279" s="412" t="b">
        <f>Wh_hp&gt;='2024'!Maxi_hp</f>
        <v>0</v>
      </c>
      <c r="I279" s="388">
        <f>IF(H279,Wh_hp,'2024'!Maxi_hp)</f>
        <v>47.807494573948958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4.5704260788061002E-2</v>
      </c>
      <c r="M279" s="832"/>
      <c r="N279" s="832"/>
      <c r="O279" s="48">
        <f>IF(t&lt;Tnet,'2024'!Resal+('2024'!Salim-'2024'!Resal)*(1-EXP(('2024'!Tnet-t)/('2024'!Tau_j))),Resal+(Salim-Resal)*(1-EXP((Tnet-t)/(Tau_j))))*Salcycl</f>
        <v>4.5441121380963623E-2</v>
      </c>
      <c r="P279" s="169">
        <f>(INDEX(Models!$BJ279:$BT279,,T279)*(1-R279)+INDEX(Models!$BJ279:$BT279,,T279+1)*R279-ERP_i)*Q279*Ramure*Pc/MaxiM</f>
        <v>2.3165473011643538E-3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43.893565562681033</v>
      </c>
      <c r="W279" s="400">
        <f t="shared" si="111"/>
        <v>43.449044402087999</v>
      </c>
      <c r="X279" s="157">
        <f t="shared" si="112"/>
        <v>45922</v>
      </c>
      <c r="Y279" s="383">
        <f t="shared" si="113"/>
        <v>42.143656416943884</v>
      </c>
      <c r="Z279" s="383">
        <f t="shared" si="114"/>
        <v>44.162050279870549</v>
      </c>
      <c r="AA279" s="384">
        <f t="shared" si="115"/>
        <v>47.697379879773216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7.4119995874278102E-2</v>
      </c>
      <c r="AD279" s="230">
        <f>(INDEX(Models!$BJ279:$BT279,,AH279)*(1-AF279)+INDEX(Models!$BJ279:$BT279,,AH279+1)*AF279-ERP_i)*AE279*Ramure*Pc/MaxiM</f>
        <v>2.3165473011643538E-3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'2024'!Wh/'2024'!Env_an*'2025'!Env_an</f>
        <v>27.576597216280991</v>
      </c>
      <c r="C280" s="829"/>
      <c r="D280" s="391">
        <f t="shared" si="102"/>
        <v>28.897882063664522</v>
      </c>
      <c r="E280" s="383">
        <f t="shared" si="100"/>
        <v>30.274866169248391</v>
      </c>
      <c r="F280" s="383">
        <f t="shared" si="103"/>
        <v>30.309279621126624</v>
      </c>
      <c r="G280" s="110">
        <f t="shared" si="101"/>
        <v>0.63162845580073346</v>
      </c>
      <c r="H280" s="412" t="b">
        <f>Wh_hp&gt;='2024'!Maxi_hp</f>
        <v>0</v>
      </c>
      <c r="I280" s="388">
        <f>IF(H280,Wh_hp,'2024'!Maxi_hp)</f>
        <v>41.863369362780062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4.5722549648193112E-2</v>
      </c>
      <c r="M280" s="832"/>
      <c r="N280" s="832"/>
      <c r="O280" s="48">
        <f>IF(t&lt;Tnet,'2024'!Resal+('2024'!Salim-'2024'!Resal)*(1-EXP(('2024'!Tnet-t)/('2024'!Tau_j))),Resal+(Salim-Resal)*(1-EXP((Tnet-t)/(Tau_j))))*Salcycl</f>
        <v>4.5482747896753203E-2</v>
      </c>
      <c r="P280" s="169">
        <f>(INDEX(Models!$BJ280:$BT280,,T280)*(1-R280)+INDEX(Models!$BJ280:$BT280,,T280+1)*R280-ERP_i)*Q280*Ramure*Pc/MaxiM</f>
        <v>2.3908874850959599E-3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43.604647328925168</v>
      </c>
      <c r="W280" s="400">
        <f t="shared" si="111"/>
        <v>27.576597216280991</v>
      </c>
      <c r="X280" s="157">
        <f t="shared" si="112"/>
        <v>45923</v>
      </c>
      <c r="Y280" s="383">
        <f t="shared" si="113"/>
        <v>26.74902548142428</v>
      </c>
      <c r="Z280" s="383">
        <f t="shared" si="114"/>
        <v>28.030658663853895</v>
      </c>
      <c r="AA280" s="384">
        <f t="shared" si="115"/>
        <v>30.274866169248391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7.4127743219358819E-2</v>
      </c>
      <c r="AD280" s="230">
        <f>(INDEX(Models!$BJ280:$BT280,,AH280)*(1-AF280)+INDEX(Models!$BJ280:$BT280,,AH280+1)*AF280-ERP_i)*AE280*Ramure*Pc/MaxiM</f>
        <v>2.3908874850959599E-3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'2024'!Wh/'2024'!Env_an*'2025'!Env_an</f>
        <v>16.704424025680609</v>
      </c>
      <c r="C281" s="829"/>
      <c r="D281" s="391">
        <f t="shared" si="102"/>
        <v>17.505123024895127</v>
      </c>
      <c r="E281" s="383">
        <f t="shared" si="100"/>
        <v>18.340030885601845</v>
      </c>
      <c r="F281" s="383">
        <f t="shared" si="103"/>
        <v>18.345570799611334</v>
      </c>
      <c r="G281" s="110">
        <f t="shared" si="101"/>
        <v>0.38483571675903799</v>
      </c>
      <c r="H281" s="412" t="b">
        <f>Wh_hp&gt;='2024'!Maxi_hp</f>
        <v>0</v>
      </c>
      <c r="I281" s="388">
        <f>IF(H281,Wh_hp,'2024'!Maxi_hp)</f>
        <v>40.4343470381435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4.5740838157823482E-2</v>
      </c>
      <c r="M281" s="832"/>
      <c r="N281" s="832"/>
      <c r="O281" s="48">
        <f>IF(t&lt;Tnet,'2024'!Resal+('2024'!Salim-'2024'!Resal)*(1-EXP(('2024'!Tnet-t)/('2024'!Tau_j))),Resal+(Salim-Resal)*(1-EXP((Tnet-t)/(Tau_j))))*Salcycl</f>
        <v>4.5523797964930175E-2</v>
      </c>
      <c r="P281" s="169">
        <f>(INDEX(Models!$BJ281:$BT281,,T281)*(1-R281)+INDEX(Models!$BJ281:$BT281,,T281+1)*R281-ERP_i)*Q281*Ramure*Pc/MaxiM</f>
        <v>2.4673768343981845E-3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43.312615208075954</v>
      </c>
      <c r="W281" s="400">
        <f t="shared" si="111"/>
        <v>16.704424025680609</v>
      </c>
      <c r="X281" s="157">
        <f t="shared" si="112"/>
        <v>45924</v>
      </c>
      <c r="Y281" s="383">
        <f t="shared" si="113"/>
        <v>16.203701622172105</v>
      </c>
      <c r="Z281" s="383">
        <f t="shared" si="114"/>
        <v>16.98039931929101</v>
      </c>
      <c r="AA281" s="384">
        <f t="shared" si="115"/>
        <v>18.340030885601845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7.4134638855937685E-2</v>
      </c>
      <c r="AD281" s="230">
        <f>(INDEX(Models!$BJ281:$BT281,,AH281)*(1-AF281)+INDEX(Models!$BJ281:$BT281,,AH281+1)*AF281-ERP_i)*AE281*Ramure*Pc/MaxiM</f>
        <v>2.4673768343981845E-3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'2024'!Wh/'2024'!Env_an*'2025'!Env_an</f>
        <v>35.177295775841927</v>
      </c>
      <c r="C282" s="829"/>
      <c r="D282" s="391">
        <f t="shared" si="102"/>
        <v>36.864167890932684</v>
      </c>
      <c r="E282" s="383">
        <f t="shared" si="100"/>
        <v>38.624043660408375</v>
      </c>
      <c r="F282" s="383">
        <f t="shared" si="103"/>
        <v>38.697054251992881</v>
      </c>
      <c r="G282" s="110">
        <f t="shared" si="101"/>
        <v>0.81720231763860773</v>
      </c>
      <c r="H282" s="412" t="b">
        <f>Wh_hp&gt;='2024'!Maxi_hp</f>
        <v>0</v>
      </c>
      <c r="I282" s="388">
        <f>IF(H282,Wh_hp,'2024'!Maxi_hp)</f>
        <v>38.712672418777252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4.5759126316958665E-2</v>
      </c>
      <c r="M282" s="832"/>
      <c r="N282" s="832"/>
      <c r="O282" s="48">
        <f>IF(t&lt;Tnet,'2024'!Resal+('2024'!Salim-'2024'!Resal)*(1-EXP(('2024'!Tnet-t)/('2024'!Tau_j))),Resal+(Salim-Resal)*(1-EXP((Tnet-t)/(Tau_j))))*Salcycl</f>
        <v>4.5564254870591236E-2</v>
      </c>
      <c r="P282" s="169">
        <f>(INDEX(Models!$BJ282:$BT282,,T282)*(1-R282)+INDEX(Models!$BJ282:$BT282,,T282+1)*R282-ERP_i)*Q282*Ramure*Pc/MaxiM</f>
        <v>2.5508731948735213E-3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43.017362797972147</v>
      </c>
      <c r="W282" s="400">
        <f t="shared" si="111"/>
        <v>35.177295775841927</v>
      </c>
      <c r="X282" s="157">
        <f t="shared" si="112"/>
        <v>45925</v>
      </c>
      <c r="Y282" s="383">
        <f t="shared" si="113"/>
        <v>34.124065559874147</v>
      </c>
      <c r="Z282" s="383">
        <f t="shared" si="114"/>
        <v>35.760431669801562</v>
      </c>
      <c r="AA282" s="384">
        <f t="shared" si="115"/>
        <v>38.624043660408375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7.41406574563854E-2</v>
      </c>
      <c r="AD282" s="230">
        <f>(INDEX(Models!$BJ282:$BT282,,AH282)*(1-AF282)+INDEX(Models!$BJ282:$BT282,,AH282+1)*AF282-ERP_i)*AE282*Ramure*Pc/MaxiM</f>
        <v>2.5508731948735213E-3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'2024'!Wh/'2024'!Env_an*'2025'!Env_an</f>
        <v>32.207563746516392</v>
      </c>
      <c r="C283" s="829"/>
      <c r="D283" s="391">
        <f t="shared" si="102"/>
        <v>33.752673876402994</v>
      </c>
      <c r="E283" s="383">
        <f t="shared" si="100"/>
        <v>35.365485069042428</v>
      </c>
      <c r="F283" s="383">
        <f t="shared" si="103"/>
        <v>35.426147338338495</v>
      </c>
      <c r="G283" s="110">
        <f t="shared" si="101"/>
        <v>0.75323844061368272</v>
      </c>
      <c r="H283" s="412" t="b">
        <f>Wh_hp&gt;='2024'!Maxi_hp</f>
        <v>0</v>
      </c>
      <c r="I283" s="388">
        <f>IF(H283,Wh_hp,'2024'!Maxi_hp)</f>
        <v>39.693686966189702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4.5777414125605431E-2</v>
      </c>
      <c r="M283" s="832"/>
      <c r="N283" s="832"/>
      <c r="O283" s="48">
        <f>IF(t&lt;Tnet,'2024'!Resal+('2024'!Salim-'2024'!Resal)*(1-EXP(('2024'!Tnet-t)/('2024'!Tau_j))),Resal+(Salim-Resal)*(1-EXP((Tnet-t)/(Tau_j))))*Salcycl</f>
        <v>4.5604102120777291E-2</v>
      </c>
      <c r="P283" s="169">
        <f>(INDEX(Models!$BJ283:$BT283,,T283)*(1-R283)+INDEX(Models!$BJ283:$BT283,,T283+1)*R283-ERP_i)*Q283*Ramure*Pc/MaxiM</f>
        <v>2.6405527489583446E-3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42.719032728407853</v>
      </c>
      <c r="W283" s="400">
        <f t="shared" si="111"/>
        <v>32.207563746516392</v>
      </c>
      <c r="X283" s="157">
        <f t="shared" si="112"/>
        <v>45926</v>
      </c>
      <c r="Y283" s="383">
        <f t="shared" si="113"/>
        <v>31.244380938746563</v>
      </c>
      <c r="Z283" s="383">
        <f t="shared" si="114"/>
        <v>32.743283801143747</v>
      </c>
      <c r="AA283" s="384">
        <f t="shared" si="115"/>
        <v>35.365485069042428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7.4145774129196165E-2</v>
      </c>
      <c r="AD283" s="230">
        <f>(INDEX(Models!$BJ283:$BT283,,AH283)*(1-AF283)+INDEX(Models!$BJ283:$BT283,,AH283+1)*AF283-ERP_i)*AE283*Ramure*Pc/MaxiM</f>
        <v>2.6405527489583446E-3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'2024'!Wh/'2024'!Env_an*'2025'!Env_an</f>
        <v>17.078017350205286</v>
      </c>
      <c r="C284" s="829"/>
      <c r="D284" s="391">
        <f t="shared" si="102"/>
        <v>17.897652922493705</v>
      </c>
      <c r="E284" s="383">
        <f t="shared" si="100"/>
        <v>18.753630968588567</v>
      </c>
      <c r="F284" s="383">
        <f t="shared" si="103"/>
        <v>18.76115694006651</v>
      </c>
      <c r="G284" s="110">
        <f t="shared" si="101"/>
        <v>0.40167446318382294</v>
      </c>
      <c r="H284" s="412" t="b">
        <f>Wh_hp&gt;='2024'!Maxi_hp</f>
        <v>0</v>
      </c>
      <c r="I284" s="388">
        <f>IF(H284,Wh_hp,'2024'!Maxi_hp)</f>
        <v>37.960845399345402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4.5795701583770554E-2</v>
      </c>
      <c r="M284" s="832"/>
      <c r="N284" s="832"/>
      <c r="O284" s="48">
        <f>IF(t&lt;Tnet,'2024'!Resal+('2024'!Salim-'2024'!Resal)*(1-EXP(('2024'!Tnet-t)/('2024'!Tau_j))),Resal+(Salim-Resal)*(1-EXP((Tnet-t)/(Tau_j))))*Salcycl</f>
        <v>4.5643323553107393E-2</v>
      </c>
      <c r="P284" s="169">
        <f>(INDEX(Models!$BJ284:$BT284,,T284)*(1-R284)+INDEX(Models!$BJ284:$BT284,,T284+1)*R284-ERP_i)*Q284*Ramure*Pc/MaxiM</f>
        <v>2.7364645459974596E-3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42.41772953895051</v>
      </c>
      <c r="W284" s="400">
        <f t="shared" si="111"/>
        <v>17.078017350205286</v>
      </c>
      <c r="X284" s="157">
        <f t="shared" si="112"/>
        <v>45927</v>
      </c>
      <c r="Y284" s="383">
        <f t="shared" si="113"/>
        <v>16.567896844636252</v>
      </c>
      <c r="Z284" s="383">
        <f t="shared" si="114"/>
        <v>17.363049896269949</v>
      </c>
      <c r="AA284" s="384">
        <f t="shared" si="115"/>
        <v>18.753630968588567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7.4149964593404574E-2</v>
      </c>
      <c r="AD284" s="230">
        <f>(INDEX(Models!$BJ284:$BT284,,AH284)*(1-AF284)+INDEX(Models!$BJ284:$BT284,,AH284+1)*AF284-ERP_i)*AE284*Ramure*Pc/MaxiM</f>
        <v>2.7364645459974596E-3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'2024'!Wh/'2024'!Env_an*'2025'!Env_an</f>
        <v>19.356039643206113</v>
      </c>
      <c r="C285" s="829"/>
      <c r="D285" s="391">
        <f t="shared" si="102"/>
        <v>20.285394476347307</v>
      </c>
      <c r="E285" s="383">
        <f t="shared" si="100"/>
        <v>21.256428595129023</v>
      </c>
      <c r="F285" s="383">
        <f t="shared" si="103"/>
        <v>21.27019627847239</v>
      </c>
      <c r="G285" s="110">
        <f t="shared" si="101"/>
        <v>0.45860755296379946</v>
      </c>
      <c r="H285" s="412" t="b">
        <f>Wh_hp&gt;='2024'!Maxi_hp</f>
        <v>0</v>
      </c>
      <c r="I285" s="388">
        <f>IF(H285,Wh_hp,'2024'!Maxi_hp)</f>
        <v>38.326040675068562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4.5813988691460694E-2</v>
      </c>
      <c r="M285" s="832"/>
      <c r="N285" s="832"/>
      <c r="O285" s="48">
        <f>IF(t&lt;Tnet,'2024'!Resal+('2024'!Salim-'2024'!Resal)*(1-EXP(('2024'!Tnet-t)/('2024'!Tau_j))),Resal+(Salim-Resal)*(1-EXP((Tnet-t)/(Tau_j))))*Salcycl</f>
        <v>4.5681903450339414E-2</v>
      </c>
      <c r="P285" s="169">
        <f>(INDEX(Models!$BJ285:$BT285,,T285)*(1-R285)+INDEX(Models!$BJ285:$BT285,,T285+1)*R285-ERP_i)*Q285*Ramure*Pc/MaxiM</f>
        <v>2.8386551020987585E-3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42.11355792303403</v>
      </c>
      <c r="W285" s="400">
        <f t="shared" si="111"/>
        <v>19.356039643206113</v>
      </c>
      <c r="X285" s="157">
        <f t="shared" si="112"/>
        <v>45928</v>
      </c>
      <c r="Y285" s="383">
        <f t="shared" si="113"/>
        <v>18.778567990426701</v>
      </c>
      <c r="Z285" s="383">
        <f t="shared" si="114"/>
        <v>19.68019628025608</v>
      </c>
      <c r="AA285" s="384">
        <f t="shared" si="115"/>
        <v>21.256428595129023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7.4153205361795343E-2</v>
      </c>
      <c r="AD285" s="230">
        <f>(INDEX(Models!$BJ285:$BT285,,AH285)*(1-AF285)+INDEX(Models!$BJ285:$BT285,,AH285+1)*AF285-ERP_i)*AE285*Ramure*Pc/MaxiM</f>
        <v>2.8386551020987585E-3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'2024'!Wh/'2024'!Env_an*'2025'!Env_an</f>
        <v>23.255894212011714</v>
      </c>
      <c r="C286" s="829"/>
      <c r="D286" s="391">
        <f t="shared" si="102"/>
        <v>24.372962544868553</v>
      </c>
      <c r="E286" s="383">
        <f t="shared" si="100"/>
        <v>25.540677911777422</v>
      </c>
      <c r="F286" s="383">
        <f t="shared" si="103"/>
        <v>25.568265321800347</v>
      </c>
      <c r="G286" s="110">
        <f t="shared" si="101"/>
        <v>0.55523262024512998</v>
      </c>
      <c r="H286" s="412" t="b">
        <f>Wh_hp&gt;='2024'!Maxi_hp</f>
        <v>0</v>
      </c>
      <c r="I286" s="388">
        <f>IF(H286,Wh_hp,'2024'!Maxi_hp)</f>
        <v>44.025423023353014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4.5832275448682624E-2</v>
      </c>
      <c r="M286" s="832"/>
      <c r="N286" s="832"/>
      <c r="O286" s="48">
        <f>IF(t&lt;Tnet,'2024'!Resal+('2024'!Salim-'2024'!Resal)*(1-EXP(('2024'!Tnet-t)/('2024'!Tau_j))),Resal+(Salim-Resal)*(1-EXP((Tnet-t)/(Tau_j))))*Salcycl</f>
        <v>4.5719826660137582E-2</v>
      </c>
      <c r="P286" s="169">
        <f>(INDEX(Models!$BJ286:$BT286,,T286)*(1-R286)+INDEX(Models!$BJ286:$BT286,,T286+1)*R286-ERP_i)*Q286*Ramure*Pc/MaxiM</f>
        <v>2.9471680650544536E-3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41.806622734164158</v>
      </c>
      <c r="W286" s="400">
        <f t="shared" si="111"/>
        <v>23.255894212011714</v>
      </c>
      <c r="X286" s="157">
        <f t="shared" si="112"/>
        <v>45929</v>
      </c>
      <c r="Y286" s="383">
        <f t="shared" si="113"/>
        <v>22.562914913822038</v>
      </c>
      <c r="Z286" s="383">
        <f t="shared" si="114"/>
        <v>23.646696836692836</v>
      </c>
      <c r="AA286" s="384">
        <f t="shared" si="115"/>
        <v>25.540677911777422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7.4155473931693291E-2</v>
      </c>
      <c r="AD286" s="230">
        <f>(INDEX(Models!$BJ286:$BT286,,AH286)*(1-AF286)+INDEX(Models!$BJ286:$BT286,,AH286+1)*AF286-ERP_i)*AE286*Ramure*Pc/MaxiM</f>
        <v>2.9471680650544536E-3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'2024'!Wh/'2024'!Env_an*'2025'!Env_an</f>
        <v>27.596133113559759</v>
      </c>
      <c r="C287" s="829"/>
      <c r="D287" s="391">
        <f t="shared" si="102"/>
        <v>28.922233782606753</v>
      </c>
      <c r="E287" s="383">
        <f t="shared" si="100"/>
        <v>30.309089161267384</v>
      </c>
      <c r="F287" s="383">
        <f t="shared" si="103"/>
        <v>30.357561120174651</v>
      </c>
      <c r="G287" s="110">
        <f t="shared" si="101"/>
        <v>0.66403863920795969</v>
      </c>
      <c r="H287" s="412" t="b">
        <f>Wh_hp&gt;='2024'!Maxi_hp</f>
        <v>0</v>
      </c>
      <c r="I287" s="388">
        <f>IF(H287,Wh_hp,'2024'!Maxi_hp)</f>
        <v>36.159220038545989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4.5850561855443006E-2</v>
      </c>
      <c r="M287" s="832"/>
      <c r="N287" s="832"/>
      <c r="O287" s="48">
        <f>IF(t&lt;Tnet,'2024'!Resal+('2024'!Salim-'2024'!Resal)*(1-EXP(('2024'!Tnet-t)/('2024'!Tau_j))),Resal+(Salim-Resal)*(1-EXP((Tnet-t)/(Tau_j))))*Salcycl</f>
        <v>4.5757078719241784E-2</v>
      </c>
      <c r="P287" s="169">
        <f>(INDEX(Models!$BJ287:$BT287,,T287)*(1-R287)+INDEX(Models!$BJ287:$BT287,,T287+1)*R287-ERP_i)*Q287*Ramure*Pc/MaxiM</f>
        <v>3.0620438927263668E-3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41.497028980584183</v>
      </c>
      <c r="W287" s="400">
        <f t="shared" si="111"/>
        <v>27.596133113559759</v>
      </c>
      <c r="X287" s="157">
        <f t="shared" si="112"/>
        <v>45930</v>
      </c>
      <c r="Y287" s="383">
        <f t="shared" si="113"/>
        <v>26.774831678176646</v>
      </c>
      <c r="Z287" s="383">
        <f t="shared" si="114"/>
        <v>28.061465644462462</v>
      </c>
      <c r="AA287" s="384">
        <f t="shared" si="115"/>
        <v>30.309089161267384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7.4156748981992079E-2</v>
      </c>
      <c r="AD287" s="230">
        <f>(INDEX(Models!$BJ287:$BT287,,AH287)*(1-AF287)+INDEX(Models!$BJ287:$BT287,,AH287+1)*AF287-ERP_i)*AE287*Ramure*Pc/MaxiM</f>
        <v>3.0620438927263668E-3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'2024'!Wh/'2024'!Env_an*'2025'!Env_an</f>
        <v>36.056525422274987</v>
      </c>
      <c r="C288" s="829"/>
      <c r="D288" s="391">
        <f t="shared" si="102"/>
        <v>37.789904819017977</v>
      </c>
      <c r="E288" s="383">
        <f t="shared" si="100"/>
        <v>39.603493164615536</v>
      </c>
      <c r="F288" s="383">
        <f t="shared" si="103"/>
        <v>39.707409473482485</v>
      </c>
      <c r="G288" s="110">
        <f t="shared" si="101"/>
        <v>0.87498258015787544</v>
      </c>
      <c r="H288" s="412" t="b">
        <f>Wh_hp&gt;='2024'!Maxi_hp</f>
        <v>0</v>
      </c>
      <c r="I288" s="388">
        <f>IF(H288,Wh_hp,'2024'!Maxi_hp)</f>
        <v>44.503895100671492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4.5868847911748611E-2</v>
      </c>
      <c r="M288" s="832"/>
      <c r="N288" s="832"/>
      <c r="O288" s="48">
        <f>IF(t&lt;Tnet,'2024'!Resal+('2024'!Salim-'2024'!Resal)*(1-EXP(('2024'!Tnet-t)/('2024'!Tau_j))),Resal+(Salim-Resal)*(1-EXP((Tnet-t)/(Tau_j))))*Salcycl</f>
        <v>4.5793645981156643E-2</v>
      </c>
      <c r="P288" s="169">
        <f>(INDEX(Models!$BJ288:$BT288,,T288)*(1-R288)+INDEX(Models!$BJ288:$BT288,,T288+1)*R288-ERP_i)*Q288*Ramure*Pc/MaxiM</f>
        <v>3.1833195477444878E-3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41.184881828148221</v>
      </c>
      <c r="W288" s="400">
        <f t="shared" si="111"/>
        <v>36.056525422274987</v>
      </c>
      <c r="X288" s="157">
        <f t="shared" si="112"/>
        <v>45931</v>
      </c>
      <c r="Y288" s="383">
        <f t="shared" si="113"/>
        <v>34.98476104737788</v>
      </c>
      <c r="Z288" s="383">
        <f t="shared" si="114"/>
        <v>36.666616503201645</v>
      </c>
      <c r="AA288" s="384">
        <f t="shared" si="115"/>
        <v>39.603493164615536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7.4157010574963586E-2</v>
      </c>
      <c r="AD288" s="230">
        <f>(INDEX(Models!$BJ288:$BT288,,AH288)*(1-AF288)+INDEX(Models!$BJ288:$BT288,,AH288+1)*AF288-ERP_i)*AE288*Ramure*Pc/MaxiM</f>
        <v>3.1833195477444878E-3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'2024'!Wh/'2024'!Env_an*'2025'!Env_an</f>
        <v>38.445438403446524</v>
      </c>
      <c r="C289" s="829"/>
      <c r="D289" s="391">
        <f t="shared" si="102"/>
        <v>40.294434503557127</v>
      </c>
      <c r="E289" s="383">
        <f t="shared" si="100"/>
        <v>42.229806065608692</v>
      </c>
      <c r="F289" s="383">
        <f t="shared" si="103"/>
        <v>42.358180002163145</v>
      </c>
      <c r="G289" s="110">
        <f t="shared" si="101"/>
        <v>0.9404406583921594</v>
      </c>
      <c r="H289" s="412" t="b">
        <f>Wh_hp&gt;='2024'!Maxi_hp</f>
        <v>0</v>
      </c>
      <c r="I289" s="388">
        <f>IF(H289,Wh_hp,'2024'!Maxi_hp)</f>
        <v>42.365486176879408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4.5887133617606102E-2</v>
      </c>
      <c r="M289" s="832"/>
      <c r="N289" s="832"/>
      <c r="O289" s="48">
        <f>IF(t&lt;Tnet,'2024'!Resal+('2024'!Salim-'2024'!Resal)*(1-EXP(('2024'!Tnet-t)/('2024'!Tau_j))),Resal+(Salim-Resal)*(1-EXP((Tnet-t)/(Tau_j))))*Salcycl</f>
        <v>4.5829515746407881E-2</v>
      </c>
      <c r="P289" s="169">
        <f>(INDEX(Models!$BJ289:$BT289,,T289)*(1-R289)+INDEX(Models!$BJ289:$BT289,,T289+1)*R289-ERP_i)*Q289*Ramure*Pc/MaxiM</f>
        <v>3.3111532861600278E-3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40.868737675671454</v>
      </c>
      <c r="W289" s="400">
        <f t="shared" si="111"/>
        <v>38.445438403446524</v>
      </c>
      <c r="X289" s="157">
        <f t="shared" si="112"/>
        <v>45932</v>
      </c>
      <c r="Y289" s="383">
        <f t="shared" si="113"/>
        <v>37.304097978098355</v>
      </c>
      <c r="Z289" s="383">
        <f t="shared" si="114"/>
        <v>39.098202416596948</v>
      </c>
      <c r="AA289" s="384">
        <f t="shared" si="115"/>
        <v>42.229806065608692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7.415624036128543E-2</v>
      </c>
      <c r="AD289" s="230">
        <f>(INDEX(Models!$BJ289:$BT289,,AH289)*(1-AF289)+INDEX(Models!$BJ289:$BT289,,AH289+1)*AF289-ERP_i)*AE289*Ramure*Pc/MaxiM</f>
        <v>3.3111532861600278E-3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'2024'!Wh/'2024'!Env_an*'2025'!Env_an</f>
        <v>37.111475387149461</v>
      </c>
      <c r="C290" s="829"/>
      <c r="D290" s="391">
        <f t="shared" si="102"/>
        <v>38.897061282124717</v>
      </c>
      <c r="E290" s="383">
        <f t="shared" si="100"/>
        <v>40.766818206807237</v>
      </c>
      <c r="F290" s="383">
        <f t="shared" si="103"/>
        <v>40.890769193356313</v>
      </c>
      <c r="G290" s="110">
        <f t="shared" si="101"/>
        <v>0.91487911852602111</v>
      </c>
      <c r="H290" s="412" t="b">
        <f>Wh_hp&gt;='2024'!Maxi_hp</f>
        <v>0</v>
      </c>
      <c r="I290" s="388">
        <f>IF(H290,Wh_hp,'2024'!Maxi_hp)</f>
        <v>40.901284481395429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4.5905418973022138E-2</v>
      </c>
      <c r="M290" s="832"/>
      <c r="N290" s="832"/>
      <c r="O290" s="48">
        <f>IF(t&lt;Tnet,'2024'!Resal+('2024'!Salim-'2024'!Resal)*(1-EXP(('2024'!Tnet-t)/('2024'!Tau_j))),Resal+(Salim-Resal)*(1-EXP((Tnet-t)/(Tau_j))))*Salcycl</f>
        <v>4.5864676394350289E-2</v>
      </c>
      <c r="P290" s="169">
        <f>(INDEX(Models!$BJ290:$BT290,,T290)*(1-R290)+INDEX(Models!$BJ290:$BT290,,T290+1)*R290-ERP_i)*Q290*Ramure*Pc/MaxiM</f>
        <v>3.4487552978106563E-3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40.547362001437897</v>
      </c>
      <c r="W290" s="400">
        <f t="shared" si="111"/>
        <v>37.111475387149461</v>
      </c>
      <c r="X290" s="157">
        <f t="shared" si="112"/>
        <v>45933</v>
      </c>
      <c r="Y290" s="383">
        <f t="shared" si="113"/>
        <v>36.011134414689749</v>
      </c>
      <c r="Z290" s="383">
        <f t="shared" si="114"/>
        <v>37.743778374600687</v>
      </c>
      <c r="AA290" s="384">
        <f t="shared" si="115"/>
        <v>40.766818206807237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7.4154421786632299E-2</v>
      </c>
      <c r="AD290" s="230">
        <f>(INDEX(Models!$BJ290:$BT290,,AH290)*(1-AF290)+INDEX(Models!$BJ290:$BT290,,AH290+1)*AF290-ERP_i)*AE290*Ramure*Pc/MaxiM</f>
        <v>3.4487552978106563E-3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'2024'!Wh/'2024'!Env_an*'2025'!Env_an</f>
        <v>40.878066485769523</v>
      </c>
      <c r="C291" s="829"/>
      <c r="D291" s="391">
        <f t="shared" si="102"/>
        <v>42.845699716269934</v>
      </c>
      <c r="E291" s="383">
        <f t="shared" si="100"/>
        <v>44.906886161447503</v>
      </c>
      <c r="F291" s="383">
        <f t="shared" si="103"/>
        <v>45.068928153940952</v>
      </c>
      <c r="G291" s="110">
        <f t="shared" si="101"/>
        <v>1.0163264907080043</v>
      </c>
      <c r="H291" s="412" t="b">
        <f>Wh_hp&gt;='2024'!Maxi_hp</f>
        <v>1</v>
      </c>
      <c r="I291" s="388">
        <f>IF(H291,Wh_hp,'2024'!Maxi_hp)</f>
        <v>45.068928153940952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4.5923703978003605E-2</v>
      </c>
      <c r="M291" s="832"/>
      <c r="N291" s="832"/>
      <c r="O291" s="48">
        <f>IF(t&lt;Tnet,'2024'!Resal+('2024'!Salim-'2024'!Resal)*(1-EXP(('2024'!Tnet-t)/('2024'!Tau_j))),Resal+(Salim-Resal)*(1-EXP((Tnet-t)/(Tau_j))))*Salcycl</f>
        <v>4.5899117515457943E-2</v>
      </c>
      <c r="P291" s="169">
        <f>(INDEX(Models!$BJ291:$BT291,,T291)*(1-R291)+INDEX(Models!$BJ291:$BT291,,T291+1)*R291-ERP_i)*Q291*Ramure*Pc/MaxiM</f>
        <v>3.5954259204915772E-3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40.221392298150761</v>
      </c>
      <c r="W291" s="400">
        <f t="shared" si="111"/>
        <v>40.878066485769523</v>
      </c>
      <c r="X291" s="157">
        <f t="shared" si="112"/>
        <v>45934</v>
      </c>
      <c r="Y291" s="383">
        <f t="shared" si="113"/>
        <v>39.667602856508985</v>
      </c>
      <c r="Z291" s="383">
        <f t="shared" si="114"/>
        <v>41.57697138258473</v>
      </c>
      <c r="AA291" s="384">
        <f t="shared" si="115"/>
        <v>44.906886161447503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7.4151540298100171E-2</v>
      </c>
      <c r="AD291" s="230">
        <f>(INDEX(Models!$BJ291:$BT291,,AH291)*(1-AF291)+INDEX(Models!$BJ291:$BT291,,AH291+1)*AF291-ERP_i)*AE291*Ramure*Pc/MaxiM</f>
        <v>3.5954259204915772E-3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'2024'!Wh/'2024'!Env_an*'2025'!Env_an</f>
        <v>41.673678314968654</v>
      </c>
      <c r="C292" s="829"/>
      <c r="D292" s="391">
        <f t="shared" si="102"/>
        <v>43.680444814082257</v>
      </c>
      <c r="E292" s="383">
        <f t="shared" si="100"/>
        <v>45.783406231293107</v>
      </c>
      <c r="F292" s="383">
        <f t="shared" si="103"/>
        <v>45.955795501616805</v>
      </c>
      <c r="G292" s="110">
        <f t="shared" si="101"/>
        <v>1.0446773289765237</v>
      </c>
      <c r="H292" s="412" t="b">
        <f>Wh_hp&gt;='2024'!Maxi_hp</f>
        <v>1</v>
      </c>
      <c r="I292" s="388">
        <f>IF(H292,Wh_hp,'2024'!Maxi_hp)</f>
        <v>45.955795501616805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4.5941988632557051E-2</v>
      </c>
      <c r="M292" s="832"/>
      <c r="N292" s="832"/>
      <c r="O292" s="48">
        <f>IF(t&lt;Tnet,'2024'!Resal+('2024'!Salim-'2024'!Resal)*(1-EXP(('2024'!Tnet-t)/('2024'!Tau_j))),Resal+(Salim-Resal)*(1-EXP((Tnet-t)/(Tau_j))))*Salcycl</f>
        <v>4.593283004298334E-2</v>
      </c>
      <c r="P292" s="169">
        <f>(INDEX(Models!$BJ292:$BT292,,T292)*(1-R292)+INDEX(Models!$BJ292:$BT292,,T292+1)*R292-ERP_i)*Q292*Ramure*Pc/MaxiM</f>
        <v>3.7511976115752158E-3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39.891435526600922</v>
      </c>
      <c r="W292" s="400">
        <f t="shared" si="111"/>
        <v>41.673678314968654</v>
      </c>
      <c r="X292" s="157">
        <f t="shared" si="112"/>
        <v>45935</v>
      </c>
      <c r="Y292" s="383">
        <f t="shared" si="113"/>
        <v>40.441257162289006</v>
      </c>
      <c r="Z292" s="383">
        <f t="shared" si="114"/>
        <v>42.388677292615476</v>
      </c>
      <c r="AA292" s="384">
        <f t="shared" si="115"/>
        <v>45.783406231293107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7.4147583548672666E-2</v>
      </c>
      <c r="AD292" s="230">
        <f>(INDEX(Models!$BJ292:$BT292,,AH292)*(1-AF292)+INDEX(Models!$BJ292:$BT292,,AH292+1)*AF292-ERP_i)*AE292*Ramure*Pc/MaxiM</f>
        <v>3.7511976115752158E-3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'2024'!Wh/'2024'!Env_an*'2025'!Env_an</f>
        <v>11.511173514293917</v>
      </c>
      <c r="C293" s="829"/>
      <c r="D293" s="391">
        <f t="shared" si="102"/>
        <v>12.065717168536766</v>
      </c>
      <c r="E293" s="383">
        <f t="shared" si="100"/>
        <v>12.647048972941237</v>
      </c>
      <c r="F293" s="383">
        <f t="shared" si="103"/>
        <v>12.647048972941237</v>
      </c>
      <c r="G293" s="110">
        <f t="shared" si="101"/>
        <v>0.28985454473694222</v>
      </c>
      <c r="H293" s="412" t="b">
        <f>Wh_hp&gt;='2024'!Maxi_hp</f>
        <v>0</v>
      </c>
      <c r="I293" s="388">
        <f>IF(H293,Wh_hp,'2024'!Maxi_hp)</f>
        <v>29.938480404074163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4.5960272936689361E-2</v>
      </c>
      <c r="M293" s="832"/>
      <c r="N293" s="832"/>
      <c r="O293" s="48">
        <f>IF(t&lt;Tnet,'2024'!Resal+('2024'!Salim-'2024'!Resal)*(1-EXP(('2024'!Tnet-t)/('2024'!Tau_j))),Resal+(Salim-Resal)*(1-EXP((Tnet-t)/(Tau_j))))*Salcycl</f>
        <v>4.5965806382836615E-2</v>
      </c>
      <c r="P293" s="169">
        <f>(INDEX(Models!$BJ293:$BT293,,T293)*(1-R293)+INDEX(Models!$BJ293:$BT293,,T293+1)*R293-ERP_i)*Q293*Ramure*Pc/MaxiM</f>
        <v>3.9160918549546401E-3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39.558098741766109</v>
      </c>
      <c r="W293" s="400">
        <f t="shared" si="111"/>
        <v>11.511173514293917</v>
      </c>
      <c r="X293" s="157">
        <f t="shared" si="112"/>
        <v>45936</v>
      </c>
      <c r="Y293" s="383">
        <f t="shared" si="113"/>
        <v>11.171199024598659</v>
      </c>
      <c r="Z293" s="383">
        <f t="shared" si="114"/>
        <v>11.709364618374357</v>
      </c>
      <c r="AA293" s="384">
        <f t="shared" si="115"/>
        <v>12.647048972941237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7.4142541597892575E-2</v>
      </c>
      <c r="AD293" s="230">
        <f>(INDEX(Models!$BJ293:$BT293,,AH293)*(1-AF293)+INDEX(Models!$BJ293:$BT293,,AH293+1)*AF293-ERP_i)*AE293*Ramure*Pc/MaxiM</f>
        <v>3.9160918549546401E-3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'2024'!Wh/'2024'!Env_an*'2025'!Env_an</f>
        <v>28.912562194286412</v>
      </c>
      <c r="C294" s="829"/>
      <c r="D294" s="391">
        <f t="shared" si="102"/>
        <v>30.305987777431007</v>
      </c>
      <c r="E294" s="383">
        <f t="shared" si="100"/>
        <v>31.767217537584106</v>
      </c>
      <c r="F294" s="383">
        <f t="shared" si="103"/>
        <v>31.848567992882643</v>
      </c>
      <c r="G294" s="110">
        <f t="shared" si="101"/>
        <v>0.73601682167684956</v>
      </c>
      <c r="H294" s="412" t="b">
        <f>Wh_hp&gt;='2024'!Maxi_hp</f>
        <v>0</v>
      </c>
      <c r="I294" s="388">
        <f>IF(H294,Wh_hp,'2024'!Maxi_hp)</f>
        <v>43.826307821277801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4.5978556890407085E-2</v>
      </c>
      <c r="M294" s="832"/>
      <c r="N294" s="832"/>
      <c r="O294" s="48">
        <f>IF(t&lt;Tnet,'2024'!Resal+('2024'!Salim-'2024'!Resal)*(1-EXP(('2024'!Tnet-t)/('2024'!Tau_j))),Resal+(Salim-Resal)*(1-EXP((Tnet-t)/(Tau_j))))*Salcycl</f>
        <v>4.5998040540513263E-2</v>
      </c>
      <c r="P294" s="169">
        <f>(INDEX(Models!$BJ294:$BT294,,T294)*(1-R294)+INDEX(Models!$BJ294:$BT294,,T294+1)*R294-ERP_i)*Q294*Ramure*Pc/MaxiM</f>
        <v>4.0901175317661909E-3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39.221989091532237</v>
      </c>
      <c r="W294" s="400">
        <f t="shared" si="111"/>
        <v>28.912562194286412</v>
      </c>
      <c r="X294" s="157">
        <f t="shared" si="112"/>
        <v>45937</v>
      </c>
      <c r="Y294" s="383">
        <f t="shared" si="113"/>
        <v>28.059783785050708</v>
      </c>
      <c r="Z294" s="383">
        <f t="shared" si="114"/>
        <v>29.412110165565061</v>
      </c>
      <c r="AA294" s="384">
        <f t="shared" si="115"/>
        <v>31.767217537584106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7.413640710687662E-2</v>
      </c>
      <c r="AD294" s="230">
        <f>(INDEX(Models!$BJ294:$BT294,,AH294)*(1-AF294)+INDEX(Models!$BJ294:$BT294,,AH294+1)*AF294-ERP_i)*AE294*Ramure*Pc/MaxiM</f>
        <v>4.0901175317661909E-3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'2024'!Wh/'2024'!Env_an*'2025'!Env_an</f>
        <v>16.684671792911526</v>
      </c>
      <c r="C295" s="829"/>
      <c r="D295" s="391">
        <f t="shared" si="102"/>
        <v>17.489115865765267</v>
      </c>
      <c r="E295" s="383">
        <f t="shared" si="100"/>
        <v>18.332974010789304</v>
      </c>
      <c r="F295" s="383">
        <f t="shared" si="103"/>
        <v>18.347432910202176</v>
      </c>
      <c r="G295" s="110">
        <f t="shared" si="101"/>
        <v>0.4275948655870665</v>
      </c>
      <c r="H295" s="412" t="b">
        <f>Wh_hp&gt;='2024'!Maxi_hp</f>
        <v>0</v>
      </c>
      <c r="I295" s="388">
        <f>IF(H295,Wh_hp,'2024'!Maxi_hp)</f>
        <v>40.63677888339361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4.5996840493716995E-2</v>
      </c>
      <c r="M295" s="832"/>
      <c r="N295" s="832"/>
      <c r="O295" s="48">
        <f>IF(t&lt;Tnet,'2024'!Resal+('2024'!Salim-'2024'!Resal)*(1-EXP(('2024'!Tnet-t)/('2024'!Tau_j))),Resal+(Salim-Resal)*(1-EXP((Tnet-t)/(Tau_j))))*Salcycl</f>
        <v>4.6029528243885093E-2</v>
      </c>
      <c r="P295" s="169">
        <f>(INDEX(Models!$BJ295:$BT295,,T295)*(1-R295)+INDEX(Models!$BJ295:$BT295,,T295+1)*R295-ERP_i)*Q295*Ramure*Pc/MaxiM</f>
        <v>4.2732692675332444E-3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38.883713805287201</v>
      </c>
      <c r="W295" s="400">
        <f t="shared" si="111"/>
        <v>16.684671792911526</v>
      </c>
      <c r="X295" s="157">
        <f t="shared" si="112"/>
        <v>45938</v>
      </c>
      <c r="Y295" s="383">
        <f t="shared" si="113"/>
        <v>16.193216966713095</v>
      </c>
      <c r="Z295" s="383">
        <f t="shared" si="114"/>
        <v>16.973965762433565</v>
      </c>
      <c r="AA295" s="384">
        <f t="shared" si="115"/>
        <v>18.332974010789304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7.4129175525800589E-2</v>
      </c>
      <c r="AD295" s="230">
        <f>(INDEX(Models!$BJ295:$BT295,,AH295)*(1-AF295)+INDEX(Models!$BJ295:$BT295,,AH295+1)*AF295-ERP_i)*AE295*Ramure*Pc/MaxiM</f>
        <v>4.2732692675332444E-3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'2024'!Wh/'2024'!Env_an*'2025'!Env_an</f>
        <v>38.092277860152386</v>
      </c>
      <c r="C296" s="829"/>
      <c r="D296" s="391">
        <f t="shared" si="102"/>
        <v>39.929645436051175</v>
      </c>
      <c r="E296" s="383">
        <f t="shared" si="100"/>
        <v>41.857618523780054</v>
      </c>
      <c r="F296" s="383">
        <f t="shared" si="103"/>
        <v>42.042147474514714</v>
      </c>
      <c r="G296" s="110">
        <f t="shared" si="101"/>
        <v>0.98820760165541344</v>
      </c>
      <c r="H296" s="412" t="b">
        <f>Wh_hp&gt;='2024'!Maxi_hp</f>
        <v>0</v>
      </c>
      <c r="I296" s="388">
        <f>IF(H296,Wh_hp,'2024'!Maxi_hp)</f>
        <v>42.044091992831149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4.6015123746625863E-2</v>
      </c>
      <c r="M296" s="832"/>
      <c r="N296" s="832"/>
      <c r="O296" s="48">
        <f>IF(t&lt;Tnet,'2024'!Resal+('2024'!Salim-'2024'!Resal)*(1-EXP(('2024'!Tnet-t)/('2024'!Tau_j))),Resal+(Salim-Resal)*(1-EXP((Tnet-t)/(Tau_j))))*Salcycl</f>
        <v>4.6060267060668174E-2</v>
      </c>
      <c r="P296" s="169">
        <f>(INDEX(Models!$BJ296:$BT296,,T296)*(1-R296)+INDEX(Models!$BJ296:$BT296,,T296+1)*R296-ERP_i)*Q296*Ramure*Pc/MaxiM</f>
        <v>4.4638684655094341E-3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38.543944351543573</v>
      </c>
      <c r="W296" s="400">
        <f t="shared" si="111"/>
        <v>38.092277860152386</v>
      </c>
      <c r="X296" s="157">
        <f t="shared" si="112"/>
        <v>45939</v>
      </c>
      <c r="Y296" s="383">
        <f t="shared" si="113"/>
        <v>36.97177589841025</v>
      </c>
      <c r="Z296" s="383">
        <f t="shared" si="114"/>
        <v>38.755096457724882</v>
      </c>
      <c r="AA296" s="384">
        <f t="shared" si="115"/>
        <v>41.857618523780054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7.4120845271992142E-2</v>
      </c>
      <c r="AD296" s="230">
        <f>(INDEX(Models!$BJ296:$BT296,,AH296)*(1-AF296)+INDEX(Models!$BJ296:$BT296,,AH296+1)*AF296-ERP_i)*AE296*Ramure*Pc/MaxiM</f>
        <v>4.4638684655094341E-3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'2024'!Wh/'2024'!Env_an*'2025'!Env_an</f>
        <v>30.578607379643035</v>
      </c>
      <c r="C297" s="829"/>
      <c r="D297" s="391">
        <f t="shared" si="102"/>
        <v>32.054170023117905</v>
      </c>
      <c r="E297" s="383">
        <f t="shared" ref="E297:E360" si="125">Wh_pvt/(1-Psa)</f>
        <v>33.602938057664858</v>
      </c>
      <c r="F297" s="383">
        <f t="shared" si="103"/>
        <v>33.715175505449892</v>
      </c>
      <c r="G297" s="110">
        <f t="shared" ref="G297:G360" si="126">+Wh_hp/MaxiM</f>
        <v>0.79934781177682501</v>
      </c>
      <c r="H297" s="412" t="b">
        <f>Wh_hp&gt;='2024'!Maxi_hp</f>
        <v>0</v>
      </c>
      <c r="I297" s="388">
        <f>IF(H297,Wh_hp,'2024'!Maxi_hp)</f>
        <v>33.742851830860907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4.6033406649140352E-2</v>
      </c>
      <c r="M297" s="832"/>
      <c r="N297" s="832"/>
      <c r="O297" s="48">
        <f>IF(t&lt;Tnet,'2024'!Resal+('2024'!Salim-'2024'!Resal)*(1-EXP(('2024'!Tnet-t)/('2024'!Tau_j))),Resal+(Salim-Resal)*(1-EXP((Tnet-t)/(Tau_j))))*Salcycl</f>
        <v>4.609025650939113E-2</v>
      </c>
      <c r="P297" s="169">
        <f>(INDEX(Models!$BJ297:$BT297,,T297)*(1-R297)+INDEX(Models!$BJ297:$BT297,,T297+1)*R297-ERP_i)*Q297*Ramure*Pc/MaxiM</f>
        <v>4.6567278508516897E-3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38.203484033369321</v>
      </c>
      <c r="W297" s="400">
        <f t="shared" si="111"/>
        <v>30.578607379643035</v>
      </c>
      <c r="X297" s="157">
        <f t="shared" si="112"/>
        <v>45940</v>
      </c>
      <c r="Y297" s="383">
        <f t="shared" si="113"/>
        <v>29.680358778835572</v>
      </c>
      <c r="Z297" s="383">
        <f t="shared" si="114"/>
        <v>31.112576672713136</v>
      </c>
      <c r="AA297" s="384">
        <f t="shared" si="115"/>
        <v>33.602938057664858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7.4111417896795082E-2</v>
      </c>
      <c r="AD297" s="230">
        <f>(INDEX(Models!$BJ297:$BT297,,AH297)*(1-AF297)+INDEX(Models!$BJ297:$BT297,,AH297+1)*AF297-ERP_i)*AE297*Ramure*Pc/MaxiM</f>
        <v>4.6567278508516897E-3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'2024'!Wh/'2024'!Env_an*'2025'!Env_an</f>
        <v>22.239638436797215</v>
      </c>
      <c r="C298" s="829"/>
      <c r="D298" s="391">
        <f t="shared" si="102"/>
        <v>23.313253123930952</v>
      </c>
      <c r="E298" s="383">
        <f t="shared" si="125"/>
        <v>24.440433659170896</v>
      </c>
      <c r="F298" s="383">
        <f t="shared" si="103"/>
        <v>24.489210939859948</v>
      </c>
      <c r="G298" s="110">
        <f t="shared" si="126"/>
        <v>0.5856890648886407</v>
      </c>
      <c r="H298" s="412" t="b">
        <f>Wh_hp&gt;='2024'!Maxi_hp</f>
        <v>0</v>
      </c>
      <c r="I298" s="388">
        <f>IF(H298,Wh_hp,'2024'!Maxi_hp)</f>
        <v>42.372842429013986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4.6051689201267121E-2</v>
      </c>
      <c r="M298" s="832"/>
      <c r="N298" s="832"/>
      <c r="O298" s="48">
        <f>IF(t&lt;Tnet,'2024'!Resal+('2024'!Salim-'2024'!Resal)*(1-EXP(('2024'!Tnet-t)/('2024'!Tau_j))),Resal+(Salim-Resal)*(1-EXP((Tnet-t)/(Tau_j))))*Salcycl</f>
        <v>4.6119498162708987E-2</v>
      </c>
      <c r="P298" s="169">
        <f>(INDEX(Models!$BJ298:$BT298,,T298)*(1-R298)+INDEX(Models!$BJ298:$BT298,,T298+1)*R298-ERP_i)*Q298*Ramure*Pc/MaxiM</f>
        <v>4.8517228283306473E-3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37.862935948193702</v>
      </c>
      <c r="W298" s="400">
        <f t="shared" si="111"/>
        <v>22.239638436797215</v>
      </c>
      <c r="X298" s="157">
        <f t="shared" si="112"/>
        <v>45941</v>
      </c>
      <c r="Y298" s="383">
        <f t="shared" si="113"/>
        <v>21.587254601020405</v>
      </c>
      <c r="Z298" s="383">
        <f t="shared" si="114"/>
        <v>22.629375571665491</v>
      </c>
      <c r="AA298" s="384">
        <f t="shared" si="115"/>
        <v>24.440433659170896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7.4100898239415292E-2</v>
      </c>
      <c r="AD298" s="230">
        <f>(INDEX(Models!$BJ298:$BT298,,AH298)*(1-AF298)+INDEX(Models!$BJ298:$BT298,,AH298+1)*AF298-ERP_i)*AE298*Ramure*Pc/MaxiM</f>
        <v>4.8517228283306473E-3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'2024'!Wh/'2024'!Env_an*'2025'!Env_an</f>
        <v>27.601101319520712</v>
      </c>
      <c r="C299" s="829"/>
      <c r="D299" s="391">
        <f t="shared" si="102"/>
        <v>28.93409421246087</v>
      </c>
      <c r="E299" s="383">
        <f t="shared" si="125"/>
        <v>30.333944976051985</v>
      </c>
      <c r="F299" s="383">
        <f t="shared" si="103"/>
        <v>30.429542388868843</v>
      </c>
      <c r="G299" s="110">
        <f t="shared" si="126"/>
        <v>0.73417285993366022</v>
      </c>
      <c r="H299" s="412" t="b">
        <f>Wh_hp&gt;='2024'!Maxi_hp</f>
        <v>0</v>
      </c>
      <c r="I299" s="388">
        <f>IF(H299,Wh_hp,'2024'!Maxi_hp)</f>
        <v>40.061070375868503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4.6069971403013055E-2</v>
      </c>
      <c r="M299" s="832"/>
      <c r="N299" s="832"/>
      <c r="O299" s="48">
        <f>IF(t&lt;Tnet,'2024'!Resal+('2024'!Salim-'2024'!Resal)*(1-EXP(('2024'!Tnet-t)/('2024'!Tau_j))),Resal+(Salim-Resal)*(1-EXP((Tnet-t)/(Tau_j))))*Salcycl</f>
        <v>4.6147995741940805E-2</v>
      </c>
      <c r="P299" s="169">
        <f>(INDEX(Models!$BJ299:$BT299,,T299)*(1-R299)+INDEX(Models!$BJ299:$BT299,,T299+1)*R299-ERP_i)*Q299*Ramure*Pc/MaxiM</f>
        <v>5.0487133199502337E-3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37.522902943986821</v>
      </c>
      <c r="W299" s="400">
        <f t="shared" si="111"/>
        <v>27.601101319520712</v>
      </c>
      <c r="X299" s="157">
        <f t="shared" si="112"/>
        <v>45942</v>
      </c>
      <c r="Y299" s="383">
        <f t="shared" si="113"/>
        <v>26.792579015851246</v>
      </c>
      <c r="Z299" s="383">
        <f t="shared" si="114"/>
        <v>28.086524391371771</v>
      </c>
      <c r="AA299" s="384">
        <f t="shared" si="115"/>
        <v>30.333944976051985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7.4089294566021924E-2</v>
      </c>
      <c r="AD299" s="230">
        <f>(INDEX(Models!$BJ299:$BT299,,AH299)*(1-AF299)+INDEX(Models!$BJ299:$BT299,,AH299+1)*AF299-ERP_i)*AE299*Ramure*Pc/MaxiM</f>
        <v>5.0487133199502337E-3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'2024'!Wh/'2024'!Env_an*'2025'!Env_an</f>
        <v>23.108178690530611</v>
      </c>
      <c r="C300" s="829"/>
      <c r="D300" s="391">
        <f t="shared" si="102"/>
        <v>24.224650518632298</v>
      </c>
      <c r="E300" s="383">
        <f t="shared" si="125"/>
        <v>25.397394384493051</v>
      </c>
      <c r="F300" s="383">
        <f t="shared" si="103"/>
        <v>25.458744487985854</v>
      </c>
      <c r="G300" s="110">
        <f t="shared" si="126"/>
        <v>0.61968729946479106</v>
      </c>
      <c r="H300" s="412" t="b">
        <f>Wh_hp&gt;='2024'!Maxi_hp</f>
        <v>0</v>
      </c>
      <c r="I300" s="388">
        <f>IF(H300,Wh_hp,'2024'!Maxi_hp)</f>
        <v>39.39832701671196</v>
      </c>
      <c r="J300" s="85">
        <f>IF(H300,An,'2024'!An_max)</f>
        <v>2018</v>
      </c>
      <c r="K300" s="197">
        <f t="shared" si="104"/>
        <v>45943</v>
      </c>
      <c r="L300" s="147">
        <f>IF(t&lt;Tvie,1-EXP((T0-t)*PertePVj)+'2024'!Pspv,1-EXP((T0-t)*PertePVj)+Pspv)</f>
        <v>4.6088253254384703E-2</v>
      </c>
      <c r="M300" s="832"/>
      <c r="N300" s="832"/>
      <c r="O300" s="48">
        <f>IF(t&lt;Tnet,'2024'!Resal+('2024'!Salim-'2024'!Resal)*(1-EXP(('2024'!Tnet-t)/('2024'!Tau_j))),Resal+(Salim-Resal)*(1-EXP((Tnet-t)/(Tau_j))))*Salcycl</f>
        <v>4.6175755201754015E-2</v>
      </c>
      <c r="P300" s="169">
        <f>(INDEX(Models!$BJ300:$BT300,,T300)*(1-R300)+INDEX(Models!$BJ300:$BT300,,T300+1)*R300-ERP_i)*Q300*Ramure*Pc/MaxiM</f>
        <v>5.247543392682949E-3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37.183987602532873</v>
      </c>
      <c r="W300" s="400">
        <f t="shared" si="111"/>
        <v>23.108178690530611</v>
      </c>
      <c r="X300" s="157">
        <f t="shared" si="112"/>
        <v>45943</v>
      </c>
      <c r="Y300" s="383">
        <f t="shared" si="113"/>
        <v>22.432228018612321</v>
      </c>
      <c r="Z300" s="383">
        <f t="shared" si="114"/>
        <v>23.516041284890942</v>
      </c>
      <c r="AA300" s="384">
        <f t="shared" si="115"/>
        <v>25.397394384493051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7.4076618692459725E-2</v>
      </c>
      <c r="AD300" s="230">
        <f>(INDEX(Models!$BJ300:$BT300,,AH300)*(1-AF300)+INDEX(Models!$BJ300:$BT300,,AH300+1)*AF300-ERP_i)*AE300*Ramure*Pc/MaxiM</f>
        <v>5.247543392682949E-3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'2024'!Wh/'2024'!Env_an*'2025'!Env_an</f>
        <v>17.961196531337709</v>
      </c>
      <c r="C301" s="829"/>
      <c r="D301" s="391">
        <f t="shared" si="102"/>
        <v>18.829352737762846</v>
      </c>
      <c r="E301" s="383">
        <f t="shared" si="125"/>
        <v>19.741463319216141</v>
      </c>
      <c r="F301" s="383">
        <f t="shared" si="103"/>
        <v>19.770307320239425</v>
      </c>
      <c r="G301" s="110">
        <f t="shared" si="126"/>
        <v>0.48550883329312849</v>
      </c>
      <c r="H301" s="412" t="b">
        <f>Wh_hp&gt;='2024'!Maxi_hp</f>
        <v>0</v>
      </c>
      <c r="I301" s="388">
        <f>IF(H301,Wh_hp,'2024'!Maxi_hp)</f>
        <v>42.332847154201126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4.6106534755388839E-2</v>
      </c>
      <c r="M301" s="832"/>
      <c r="N301" s="832"/>
      <c r="O301" s="48">
        <f>IF(t&lt;Tnet,'2024'!Resal+('2024'!Salim-'2024'!Resal)*(1-EXP(('2024'!Tnet-t)/('2024'!Tau_j))),Resal+(Salim-Resal)*(1-EXP((Tnet-t)/(Tau_j))))*Salcycl</f>
        <v>4.6202784803974169E-2</v>
      </c>
      <c r="P301" s="169">
        <f>(INDEX(Models!$BJ301:$BT301,,T301)*(1-R301)+INDEX(Models!$BJ301:$BT301,,T301+1)*R301-ERP_i)*Q301*Ramure*Pc/MaxiM</f>
        <v>5.4480409394813264E-3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36.8467922191385</v>
      </c>
      <c r="W301" s="400">
        <f t="shared" si="111"/>
        <v>17.961196531337709</v>
      </c>
      <c r="X301" s="157">
        <f t="shared" si="112"/>
        <v>45944</v>
      </c>
      <c r="Y301" s="383">
        <f t="shared" si="113"/>
        <v>17.436555919485055</v>
      </c>
      <c r="Z301" s="383">
        <f t="shared" si="114"/>
        <v>18.27935357017434</v>
      </c>
      <c r="AA301" s="384">
        <f t="shared" si="115"/>
        <v>19.741463319216141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7.4062886089026558E-2</v>
      </c>
      <c r="AD301" s="230">
        <f>(INDEX(Models!$BJ301:$BT301,,AH301)*(1-AF301)+INDEX(Models!$BJ301:$BT301,,AH301+1)*AF301-ERP_i)*AE301*Ramure*Pc/MaxiM</f>
        <v>5.4480409394813264E-3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'2024'!Wh/'2024'!Env_an*'2025'!Env_an</f>
        <v>36.904060560416966</v>
      </c>
      <c r="C302" s="829"/>
      <c r="D302" s="391">
        <f t="shared" si="102"/>
        <v>38.688563426115387</v>
      </c>
      <c r="E302" s="383">
        <f t="shared" si="125"/>
        <v>40.563790770488268</v>
      </c>
      <c r="F302" s="383">
        <f t="shared" si="103"/>
        <v>40.794279158401721</v>
      </c>
      <c r="G302" s="110">
        <f t="shared" si="126"/>
        <v>1.0107401032289725</v>
      </c>
      <c r="H302" s="412" t="b">
        <f>Wh_hp&gt;='2024'!Maxi_hp</f>
        <v>1</v>
      </c>
      <c r="I302" s="388">
        <f>IF(H302,Wh_hp,'2024'!Maxi_hp)</f>
        <v>40.794279158401721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4.6124815906032124E-2</v>
      </c>
      <c r="M302" s="832"/>
      <c r="N302" s="832"/>
      <c r="O302" s="48">
        <f>IF(t&lt;Tnet,'2024'!Resal+('2024'!Salim-'2024'!Resal)*(1-EXP(('2024'!Tnet-t)/('2024'!Tau_j))),Resal+(Salim-Resal)*(1-EXP((Tnet-t)/(Tau_j))))*Salcycl</f>
        <v>4.6229095179565527E-2</v>
      </c>
      <c r="P302" s="169">
        <f>(INDEX(Models!$BJ302:$BT302,,T302)*(1-R302)+INDEX(Models!$BJ302:$BT302,,T302+1)*R302-ERP_i)*Q302*Ramure*Pc/MaxiM</f>
        <v>5.6500174207878579E-3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36.511918783593316</v>
      </c>
      <c r="W302" s="400">
        <f t="shared" si="111"/>
        <v>36.904060560416966</v>
      </c>
      <c r="X302" s="157">
        <f t="shared" si="112"/>
        <v>45945</v>
      </c>
      <c r="Y302" s="383">
        <f t="shared" si="113"/>
        <v>35.827664936854518</v>
      </c>
      <c r="Z302" s="383">
        <f t="shared" si="114"/>
        <v>37.560118487499167</v>
      </c>
      <c r="AA302" s="384">
        <f t="shared" si="115"/>
        <v>40.563790770488268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7.4048115965887229E-2</v>
      </c>
      <c r="AD302" s="230">
        <f>(INDEX(Models!$BJ302:$BT302,,AH302)*(1-AF302)+INDEX(Models!$BJ302:$BT302,,AH302+1)*AF302-ERP_i)*AE302*Ramure*Pc/MaxiM</f>
        <v>5.6500174207878579E-3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'2024'!Wh/'2024'!Env_an*'2025'!Env_an</f>
        <v>32.569771056994952</v>
      </c>
      <c r="C303" s="829"/>
      <c r="D303" s="391">
        <f t="shared" si="102"/>
        <v>34.145342917298358</v>
      </c>
      <c r="E303" s="383">
        <f t="shared" si="125"/>
        <v>35.801322318470689</v>
      </c>
      <c r="F303" s="383">
        <f t="shared" si="103"/>
        <v>35.981943819354115</v>
      </c>
      <c r="G303" s="110">
        <f t="shared" si="126"/>
        <v>0.89952522061342233</v>
      </c>
      <c r="H303" s="412" t="b">
        <f>Wh_hp&gt;='2024'!Maxi_hp</f>
        <v>0</v>
      </c>
      <c r="I303" s="388">
        <f>IF(H303,Wh_hp,'2024'!Maxi_hp)</f>
        <v>38.803370286376357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4.614309670632144E-2</v>
      </c>
      <c r="M303" s="832"/>
      <c r="N303" s="832"/>
      <c r="O303" s="48">
        <f>IF(t&lt;Tnet,'2024'!Resal+('2024'!Salim-'2024'!Resal)*(1-EXP(('2024'!Tnet-t)/('2024'!Tau_j))),Resal+(Salim-Resal)*(1-EXP((Tnet-t)/(Tau_j))))*Salcycl</f>
        <v>4.6254699377904593E-2</v>
      </c>
      <c r="P303" s="169">
        <f>(INDEX(Models!$BJ303:$BT303,,T303)*(1-R303)+INDEX(Models!$BJ303:$BT303,,T303+1)*R303-ERP_i)*Q303*Ramure*Pc/MaxiM</f>
        <v>5.8536826084697206E-3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36.177389274519555</v>
      </c>
      <c r="W303" s="400">
        <f t="shared" si="111"/>
        <v>32.569771056994952</v>
      </c>
      <c r="X303" s="157">
        <f t="shared" si="112"/>
        <v>45946</v>
      </c>
      <c r="Y303" s="383">
        <f t="shared" si="113"/>
        <v>31.621183302119583</v>
      </c>
      <c r="Z303" s="383">
        <f t="shared" si="114"/>
        <v>33.150866962257425</v>
      </c>
      <c r="AA303" s="384">
        <f t="shared" si="115"/>
        <v>35.801322318470689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7.4032331337824178E-2</v>
      </c>
      <c r="AD303" s="230">
        <f>(INDEX(Models!$BJ303:$BT303,,AH303)*(1-AF303)+INDEX(Models!$BJ303:$BT303,,AH303+1)*AF303-ERP_i)*AE303*Ramure*Pc/MaxiM</f>
        <v>5.8536826084697206E-3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'2024'!Wh/'2024'!Env_an*'2025'!Env_an</f>
        <v>19.333961752673058</v>
      </c>
      <c r="C304" s="829"/>
      <c r="D304" s="391">
        <f t="shared" si="102"/>
        <v>20.26963606802957</v>
      </c>
      <c r="E304" s="383">
        <f t="shared" si="125"/>
        <v>21.253227195570648</v>
      </c>
      <c r="F304" s="383">
        <f t="shared" si="103"/>
        <v>21.297350720021189</v>
      </c>
      <c r="G304" s="110">
        <f t="shared" si="126"/>
        <v>0.53727913292416618</v>
      </c>
      <c r="H304" s="412" t="b">
        <f>Wh_hp&gt;='2024'!Maxi_hp</f>
        <v>0</v>
      </c>
      <c r="I304" s="388">
        <f>IF(H304,Wh_hp,'2024'!Maxi_hp)</f>
        <v>35.6425652403491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4.6161377156263339E-2</v>
      </c>
      <c r="M304" s="832"/>
      <c r="N304" s="832"/>
      <c r="O304" s="48">
        <f>IF(t&lt;Tnet,'2024'!Resal+('2024'!Salim-'2024'!Resal)*(1-EXP(('2024'!Tnet-t)/('2024'!Tau_j))),Resal+(Salim-Resal)*(1-EXP((Tnet-t)/(Tau_j))))*Salcycl</f>
        <v>4.6279612902555715E-2</v>
      </c>
      <c r="P304" s="169">
        <f>(INDEX(Models!$BJ304:$BT304,,T304)*(1-R304)+INDEX(Models!$BJ304:$BT304,,T304+1)*R304-ERP_i)*Q304*Ramure*Pc/MaxiM</f>
        <v>6.0570059080530007E-3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35.841242465463651</v>
      </c>
      <c r="W304" s="400">
        <f t="shared" si="111"/>
        <v>19.333961752673058</v>
      </c>
      <c r="X304" s="157">
        <f t="shared" si="112"/>
        <v>45947</v>
      </c>
      <c r="Y304" s="383">
        <f t="shared" si="113"/>
        <v>18.771694520499352</v>
      </c>
      <c r="Z304" s="383">
        <f t="shared" si="114"/>
        <v>19.680157702708836</v>
      </c>
      <c r="AA304" s="384">
        <f t="shared" si="115"/>
        <v>21.253227195570648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7.4015559067173262E-2</v>
      </c>
      <c r="AD304" s="230">
        <f>(INDEX(Models!$BJ304:$BT304,,AH304)*(1-AF304)+INDEX(Models!$BJ304:$BT304,,AH304+1)*AF304-ERP_i)*AE304*Ramure*Pc/MaxiM</f>
        <v>6.0570059080530007E-3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'2024'!Wh/'2024'!Env_an*'2025'!Env_an</f>
        <v>34.101852446815329</v>
      </c>
      <c r="C305" s="829"/>
      <c r="D305" s="391">
        <f t="shared" si="102"/>
        <v>35.752909556011879</v>
      </c>
      <c r="E305" s="383">
        <f t="shared" si="125"/>
        <v>37.488784762266278</v>
      </c>
      <c r="F305" s="383">
        <f t="shared" si="103"/>
        <v>37.711419738016467</v>
      </c>
      <c r="G305" s="110">
        <f t="shared" si="126"/>
        <v>0.9601637380350807</v>
      </c>
      <c r="H305" s="412" t="b">
        <f>Wh_hp&gt;='2024'!Maxi_hp</f>
        <v>0</v>
      </c>
      <c r="I305" s="388">
        <f>IF(H305,Wh_hp,'2024'!Maxi_hp)</f>
        <v>38.775386152374139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4.6179657255864481E-2</v>
      </c>
      <c r="M305" s="832"/>
      <c r="N305" s="832"/>
      <c r="O305" s="48">
        <f>IF(t&lt;Tnet,'2024'!Resal+('2024'!Salim-'2024'!Resal)*(1-EXP(('2024'!Tnet-t)/('2024'!Tau_j))),Resal+(Salim-Resal)*(1-EXP((Tnet-t)/(Tau_j))))*Salcycl</f>
        <v>4.6303853732853277E-2</v>
      </c>
      <c r="P305" s="169">
        <f>(INDEX(Models!$BJ305:$BT305,,T305)*(1-R305)+INDEX(Models!$BJ305:$BT305,,T305+1)*R305-ERP_i)*Q305*Ramure*Pc/MaxiM</f>
        <v>6.2566600435917533E-3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35.504092963474491</v>
      </c>
      <c r="W305" s="400">
        <f t="shared" si="111"/>
        <v>34.101852446815329</v>
      </c>
      <c r="X305" s="157">
        <f t="shared" si="112"/>
        <v>45948</v>
      </c>
      <c r="Y305" s="383">
        <f t="shared" si="113"/>
        <v>33.111583279778358</v>
      </c>
      <c r="Z305" s="383">
        <f t="shared" si="114"/>
        <v>34.714696044872063</v>
      </c>
      <c r="AA305" s="384">
        <f t="shared" si="115"/>
        <v>37.488784762266278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7.3997829883950497E-2</v>
      </c>
      <c r="AD305" s="230">
        <f>(INDEX(Models!$BJ305:$BT305,,AH305)*(1-AF305)+INDEX(Models!$BJ305:$BT305,,AH305+1)*AF305-ERP_i)*AE305*Ramure*Pc/MaxiM</f>
        <v>6.2566600435917533E-3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'2024'!Wh/'2024'!Env_an*'2025'!Env_an</f>
        <v>15.849694600620799</v>
      </c>
      <c r="C306" s="829"/>
      <c r="D306" s="391">
        <f t="shared" si="102"/>
        <v>16.617383433680072</v>
      </c>
      <c r="E306" s="383">
        <f t="shared" si="125"/>
        <v>17.424621585307669</v>
      </c>
      <c r="F306" s="383">
        <f t="shared" si="103"/>
        <v>17.44886115194171</v>
      </c>
      <c r="G306" s="110">
        <f t="shared" si="126"/>
        <v>0.44841990999084441</v>
      </c>
      <c r="H306" s="412" t="b">
        <f>Wh_hp&gt;='2024'!Maxi_hp</f>
        <v>0</v>
      </c>
      <c r="I306" s="388">
        <f>IF(H306,Wh_hp,'2024'!Maxi_hp)</f>
        <v>38.555741543850147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4.6197937005131862E-2</v>
      </c>
      <c r="M306" s="832"/>
      <c r="N306" s="832"/>
      <c r="O306" s="48">
        <f>IF(t&lt;Tnet,'2024'!Resal+('2024'!Salim-'2024'!Resal)*(1-EXP(('2024'!Tnet-t)/('2024'!Tau_j))),Resal+(Salim-Resal)*(1-EXP((Tnet-t)/(Tau_j))))*Salcycl</f>
        <v>4.6327442330699208E-2</v>
      </c>
      <c r="P306" s="169">
        <f>(INDEX(Models!$BJ306:$BT306,,T306)*(1-R306)+INDEX(Models!$BJ306:$BT306,,T306+1)*R306-ERP_i)*Q306*Ramure*Pc/MaxiM</f>
        <v>6.4524955872243472E-3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35.166437898280201</v>
      </c>
      <c r="W306" s="400">
        <f t="shared" si="111"/>
        <v>15.849694600620799</v>
      </c>
      <c r="X306" s="157">
        <f t="shared" si="112"/>
        <v>45949</v>
      </c>
      <c r="Y306" s="383">
        <f t="shared" si="113"/>
        <v>15.390132701653384</v>
      </c>
      <c r="Z306" s="383">
        <f t="shared" si="114"/>
        <v>16.135562396803277</v>
      </c>
      <c r="AA306" s="384">
        <f t="shared" si="115"/>
        <v>17.424621585307669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7.3979178382348354E-2</v>
      </c>
      <c r="AD306" s="230">
        <f>(INDEX(Models!$BJ306:$BT306,,AH306)*(1-AF306)+INDEX(Models!$BJ306:$BT306,,AH306+1)*AF306-ERP_i)*AE306*Ramure*Pc/MaxiM</f>
        <v>6.4524955872243472E-3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'2024'!Wh/'2024'!Env_an*'2025'!Env_an</f>
        <v>6.6738654481508508</v>
      </c>
      <c r="C307" s="829"/>
      <c r="D307" s="391">
        <f t="shared" si="102"/>
        <v>6.9972519589180227</v>
      </c>
      <c r="E307" s="383">
        <f t="shared" si="125"/>
        <v>7.3373406447119196</v>
      </c>
      <c r="F307" s="383">
        <f t="shared" si="103"/>
        <v>7.3373406447119196</v>
      </c>
      <c r="G307" s="110">
        <f t="shared" si="126"/>
        <v>0.1903461181840381</v>
      </c>
      <c r="H307" s="412" t="b">
        <f>Wh_hp&gt;='2024'!Maxi_hp</f>
        <v>0</v>
      </c>
      <c r="I307" s="388">
        <f>IF(H307,Wh_hp,'2024'!Maxi_hp)</f>
        <v>31.702695928532638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4.6216216404071919E-2</v>
      </c>
      <c r="M307" s="832"/>
      <c r="N307" s="832"/>
      <c r="O307" s="48">
        <f>IF(t&lt;Tnet,'2024'!Resal+('2024'!Salim-'2024'!Resal)*(1-EXP(('2024'!Tnet-t)/('2024'!Tau_j))),Resal+(Salim-Resal)*(1-EXP((Tnet-t)/(Tau_j))))*Salcycl</f>
        <v>4.6350401632095604E-2</v>
      </c>
      <c r="P307" s="169">
        <f>(INDEX(Models!$BJ307:$BT307,,T307)*(1-R307)+INDEX(Models!$BJ307:$BT307,,T307+1)*R307-ERP_i)*Q307*Ramure*Pc/MaxiM</f>
        <v>6.644358007614158E-3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34.828773815123817</v>
      </c>
      <c r="W307" s="400">
        <f t="shared" si="111"/>
        <v>6.6738654481508508</v>
      </c>
      <c r="X307" s="157">
        <f t="shared" si="112"/>
        <v>45950</v>
      </c>
      <c r="Y307" s="383">
        <f t="shared" si="113"/>
        <v>6.4806494469243194</v>
      </c>
      <c r="Z307" s="383">
        <f t="shared" si="114"/>
        <v>6.7946735501112858</v>
      </c>
      <c r="AA307" s="384">
        <f t="shared" si="115"/>
        <v>7.3373406447119196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7.3959642992960761E-2</v>
      </c>
      <c r="AD307" s="230">
        <f>(INDEX(Models!$BJ307:$BT307,,AH307)*(1-AF307)+INDEX(Models!$BJ307:$BT307,,AH307+1)*AF307-ERP_i)*AE307*Ramure*Pc/MaxiM</f>
        <v>6.644358007614158E-3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'2024'!Wh/'2024'!Env_an*'2025'!Env_an</f>
        <v>16.241103026450517</v>
      </c>
      <c r="C308" s="829"/>
      <c r="D308" s="391">
        <f t="shared" si="102"/>
        <v>17.028402630433913</v>
      </c>
      <c r="E308" s="383">
        <f t="shared" si="125"/>
        <v>17.856455712481679</v>
      </c>
      <c r="F308" s="383">
        <f t="shared" si="103"/>
        <v>17.886285125663399</v>
      </c>
      <c r="G308" s="110">
        <f t="shared" si="126"/>
        <v>0.46843548930286644</v>
      </c>
      <c r="H308" s="412" t="b">
        <f>Wh_hp&gt;='2024'!Maxi_hp</f>
        <v>0</v>
      </c>
      <c r="I308" s="388">
        <f>IF(H308,Wh_hp,'2024'!Maxi_hp)</f>
        <v>24.418087613545492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4.6234495452691426E-2</v>
      </c>
      <c r="M308" s="832"/>
      <c r="N308" s="832"/>
      <c r="O308" s="48">
        <f>IF(t&lt;Tnet,'2024'!Resal+('2024'!Salim-'2024'!Resal)*(1-EXP(('2024'!Tnet-t)/('2024'!Tau_j))),Resal+(Salim-Resal)*(1-EXP((Tnet-t)/(Tau_j))))*Salcycl</f>
        <v>4.6372757023050076E-2</v>
      </c>
      <c r="P308" s="169">
        <f>(INDEX(Models!$BJ308:$BT308,,T308)*(1-R308)+INDEX(Models!$BJ308:$BT308,,T308+1)*R308-ERP_i)*Q308*Ramure*Pc/MaxiM</f>
        <v>6.8320883210165649E-3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34.49159667049959</v>
      </c>
      <c r="W308" s="400">
        <f t="shared" si="111"/>
        <v>16.241103026450517</v>
      </c>
      <c r="X308" s="157">
        <f t="shared" si="112"/>
        <v>45951</v>
      </c>
      <c r="Y308" s="383">
        <f t="shared" si="113"/>
        <v>15.771621355767133</v>
      </c>
      <c r="Z308" s="383">
        <f t="shared" si="114"/>
        <v>16.536162484984096</v>
      </c>
      <c r="AA308" s="384">
        <f t="shared" si="115"/>
        <v>17.856455712481679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7.3939265930287476E-2</v>
      </c>
      <c r="AD308" s="230">
        <f>(INDEX(Models!$BJ308:$BT308,,AH308)*(1-AF308)+INDEX(Models!$BJ308:$BT308,,AH308+1)*AF308-ERP_i)*AE308*Ramure*Pc/MaxiM</f>
        <v>6.8320883210165649E-3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'2024'!Wh/'2024'!Env_an*'2025'!Env_an</f>
        <v>32.810846422795287</v>
      </c>
      <c r="C309" s="829"/>
      <c r="D309" s="391">
        <f t="shared" si="102"/>
        <v>34.402036025413196</v>
      </c>
      <c r="E309" s="383">
        <f t="shared" si="125"/>
        <v>36.075753899226839</v>
      </c>
      <c r="F309" s="383">
        <f t="shared" si="103"/>
        <v>36.316203209468966</v>
      </c>
      <c r="G309" s="110">
        <f t="shared" si="126"/>
        <v>0.96025265348826905</v>
      </c>
      <c r="H309" s="412" t="b">
        <f>Wh_hp&gt;='2024'!Maxi_hp</f>
        <v>0</v>
      </c>
      <c r="I309" s="388">
        <f>IF(H309,Wh_hp,'2024'!Maxi_hp)</f>
        <v>36.324773470001581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4.6252774150997267E-2</v>
      </c>
      <c r="M309" s="832"/>
      <c r="N309" s="832"/>
      <c r="O309" s="48">
        <f>IF(t&lt;Tnet,'2024'!Resal+('2024'!Salim-'2024'!Resal)*(1-EXP(('2024'!Tnet-t)/('2024'!Tau_j))),Resal+(Salim-Resal)*(1-EXP((Tnet-t)/(Tau_j))))*Salcycl</f>
        <v>4.6394536299614701E-2</v>
      </c>
      <c r="P309" s="169">
        <f>(INDEX(Models!$BJ309:$BT309,,T309)*(1-R309)+INDEX(Models!$BJ309:$BT309,,T309+1)*R309-ERP_i)*Q309*Ramure*Pc/MaxiM</f>
        <v>7.0155237415762848E-3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34.155401832389146</v>
      </c>
      <c r="W309" s="400">
        <f t="shared" si="111"/>
        <v>32.810846422795287</v>
      </c>
      <c r="X309" s="157">
        <f t="shared" si="112"/>
        <v>45952</v>
      </c>
      <c r="Y309" s="383">
        <f t="shared" si="113"/>
        <v>31.863839269351409</v>
      </c>
      <c r="Z309" s="383">
        <f t="shared" si="114"/>
        <v>33.409102963300356</v>
      </c>
      <c r="AA309" s="384">
        <f t="shared" si="115"/>
        <v>36.075753899226839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7.3918093115266287E-2</v>
      </c>
      <c r="AD309" s="230">
        <f>(INDEX(Models!$BJ309:$BT309,,AH309)*(1-AF309)+INDEX(Models!$BJ309:$BT309,,AH309+1)*AF309-ERP_i)*AE309*Ramure*Pc/MaxiM</f>
        <v>7.0155237415762848E-3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'2024'!Wh/'2024'!Env_an*'2025'!Env_an</f>
        <v>16.862224055542036</v>
      </c>
      <c r="C310" s="829"/>
      <c r="D310" s="391">
        <f t="shared" si="102"/>
        <v>17.680310637236147</v>
      </c>
      <c r="E310" s="383">
        <f t="shared" si="125"/>
        <v>18.540900818002495</v>
      </c>
      <c r="F310" s="383">
        <f t="shared" si="103"/>
        <v>18.578807813267858</v>
      </c>
      <c r="G310" s="110">
        <f t="shared" si="126"/>
        <v>0.4960022591839745</v>
      </c>
      <c r="H310" s="412" t="b">
        <f>Wh_hp&gt;='2024'!Maxi_hp</f>
        <v>0</v>
      </c>
      <c r="I310" s="388">
        <f>IF(H310,Wh_hp,'2024'!Maxi_hp)</f>
        <v>37.404529448025627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4.627105249899599E-2</v>
      </c>
      <c r="M310" s="832"/>
      <c r="N310" s="832"/>
      <c r="O310" s="48">
        <f>IF(t&lt;Tnet,'2024'!Resal+('2024'!Salim-'2024'!Resal)*(1-EXP(('2024'!Tnet-t)/('2024'!Tau_j))),Resal+(Salim-Resal)*(1-EXP((Tnet-t)/(Tau_j))))*Salcycl</f>
        <v>4.6415769611946184E-2</v>
      </c>
      <c r="P310" s="169">
        <f>(INDEX(Models!$BJ310:$BT310,,T310)*(1-R310)+INDEX(Models!$BJ310:$BT310,,T310+1)*R310-ERP_i)*Q310*Ramure*Pc/MaxiM</f>
        <v>7.1923758235066318E-3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33.820756387890313</v>
      </c>
      <c r="W310" s="400">
        <f t="shared" si="111"/>
        <v>16.862224055542036</v>
      </c>
      <c r="X310" s="157">
        <f t="shared" si="112"/>
        <v>45953</v>
      </c>
      <c r="Y310" s="383">
        <f t="shared" si="113"/>
        <v>16.376288233210953</v>
      </c>
      <c r="Z310" s="383">
        <f t="shared" si="114"/>
        <v>17.170799183689152</v>
      </c>
      <c r="AA310" s="384">
        <f t="shared" si="115"/>
        <v>18.540900818002495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7.3896174072784412E-2</v>
      </c>
      <c r="AD310" s="230">
        <f>(INDEX(Models!$BJ310:$BT310,,AH310)*(1-AF310)+INDEX(Models!$BJ310:$BT310,,AH310+1)*AF310-ERP_i)*AE310*Ramure*Pc/MaxiM</f>
        <v>7.1923758235066318E-3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'2024'!Wh/'2024'!Env_an*'2025'!Env_an</f>
        <v>24.947175197168598</v>
      </c>
      <c r="C311" s="829"/>
      <c r="D311" s="391">
        <f t="shared" si="102"/>
        <v>26.158012062674242</v>
      </c>
      <c r="E311" s="383">
        <f t="shared" si="125"/>
        <v>27.431850916785617</v>
      </c>
      <c r="F311" s="383">
        <f t="shared" si="103"/>
        <v>27.560866616888646</v>
      </c>
      <c r="G311" s="110">
        <f t="shared" si="126"/>
        <v>0.74294837123467916</v>
      </c>
      <c r="H311" s="412" t="b">
        <f>Wh_hp&gt;='2024'!Maxi_hp</f>
        <v>0</v>
      </c>
      <c r="I311" s="388">
        <f>IF(H311,Wh_hp,'2024'!Maxi_hp)</f>
        <v>38.420312161688102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4.6289330496694259E-2</v>
      </c>
      <c r="M311" s="832"/>
      <c r="N311" s="832"/>
      <c r="O311" s="48">
        <f>IF(t&lt;Tnet,'2024'!Resal+('2024'!Salim-'2024'!Resal)*(1-EXP(('2024'!Tnet-t)/('2024'!Tau_j))),Resal+(Salim-Resal)*(1-EXP((Tnet-t)/(Tau_j))))*Salcycl</f>
        <v>4.643648939240589E-2</v>
      </c>
      <c r="P311" s="169">
        <f>(INDEX(Models!$BJ311:$BT311,,T311)*(1-R311)+INDEX(Models!$BJ311:$BT311,,T311+1)*R311-ERP_i)*Q311*Ramure*Pc/MaxiM</f>
        <v>7.3642762869344045E-3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33.488091709014199</v>
      </c>
      <c r="W311" s="400">
        <f t="shared" si="111"/>
        <v>24.947175197168598</v>
      </c>
      <c r="X311" s="157">
        <f t="shared" si="112"/>
        <v>45954</v>
      </c>
      <c r="Y311" s="383">
        <f t="shared" si="113"/>
        <v>24.229365166957304</v>
      </c>
      <c r="Z311" s="383">
        <f t="shared" si="114"/>
        <v>25.405362382677339</v>
      </c>
      <c r="AA311" s="384">
        <f t="shared" si="115"/>
        <v>27.431850916785617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7.387356180432815E-2</v>
      </c>
      <c r="AD311" s="230">
        <f>(INDEX(Models!$BJ311:$BT311,,AH311)*(1-AF311)+INDEX(Models!$BJ311:$BT311,,AH311+1)*AF311-ERP_i)*AE311*Ramure*Pc/MaxiM</f>
        <v>7.3642762869344045E-3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'2024'!Wh/'2024'!Env_an*'2025'!Env_an</f>
        <v>22.056119332791805</v>
      </c>
      <c r="C312" s="829"/>
      <c r="D312" s="391">
        <f t="shared" si="102"/>
        <v>23.12707904680904</v>
      </c>
      <c r="E312" s="383">
        <f t="shared" si="125"/>
        <v>24.253832815898789</v>
      </c>
      <c r="F312" s="383">
        <f t="shared" si="103"/>
        <v>24.349500248068413</v>
      </c>
      <c r="G312" s="110">
        <f t="shared" si="126"/>
        <v>0.6627788933607448</v>
      </c>
      <c r="H312" s="412" t="b">
        <f>Wh_hp&gt;='2024'!Maxi_hp</f>
        <v>0</v>
      </c>
      <c r="I312" s="388">
        <f>IF(H312,Wh_hp,'2024'!Maxi_hp)</f>
        <v>35.228620832517834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4.6307608144098955E-2</v>
      </c>
      <c r="M312" s="832"/>
      <c r="N312" s="832"/>
      <c r="O312" s="48">
        <f>IF(t&lt;Tnet,'2024'!Resal+('2024'!Salim-'2024'!Resal)*(1-EXP(('2024'!Tnet-t)/('2024'!Tau_j))),Resal+(Salim-Resal)*(1-EXP((Tnet-t)/(Tau_j))))*Salcycl</f>
        <v>4.64567302678505E-2</v>
      </c>
      <c r="P312" s="169">
        <f>(INDEX(Models!$BJ312:$BT312,,T312)*(1-R312)+INDEX(Models!$BJ312:$BT312,,T312+1)*R312-ERP_i)*Q312*Ramure*Pc/MaxiM</f>
        <v>7.5311241189649327E-3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33.157898807585305</v>
      </c>
      <c r="W312" s="400">
        <f t="shared" si="111"/>
        <v>22.056119332791805</v>
      </c>
      <c r="X312" s="157">
        <f t="shared" si="112"/>
        <v>45955</v>
      </c>
      <c r="Y312" s="383">
        <f t="shared" si="113"/>
        <v>21.422486711340529</v>
      </c>
      <c r="Z312" s="383">
        <f t="shared" si="114"/>
        <v>22.462679679820049</v>
      </c>
      <c r="AA312" s="384">
        <f t="shared" si="115"/>
        <v>24.253832815898789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7.3850312636137685E-2</v>
      </c>
      <c r="AD312" s="230">
        <f>(INDEX(Models!$BJ312:$BT312,,AH312)*(1-AF312)+INDEX(Models!$BJ312:$BT312,,AH312+1)*AF312-ERP_i)*AE312*Ramure*Pc/MaxiM</f>
        <v>7.5311241189649327E-3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'2024'!Wh/'2024'!Env_an*'2025'!Env_an</f>
        <v>12.294692776750725</v>
      </c>
      <c r="C313" s="829"/>
      <c r="D313" s="391">
        <f t="shared" si="102"/>
        <v>12.891922501680625</v>
      </c>
      <c r="E313" s="383">
        <f t="shared" si="125"/>
        <v>13.520299073048298</v>
      </c>
      <c r="F313" s="383">
        <f t="shared" si="103"/>
        <v>13.531375826476923</v>
      </c>
      <c r="G313" s="110">
        <f t="shared" si="126"/>
        <v>0.37191162338095363</v>
      </c>
      <c r="H313" s="412" t="b">
        <f>Wh_hp&gt;='2024'!Maxi_hp</f>
        <v>0</v>
      </c>
      <c r="I313" s="388">
        <f>IF(H313,Wh_hp,'2024'!Maxi_hp)</f>
        <v>35.899581400046522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4.632588544121663E-2</v>
      </c>
      <c r="M313" s="832"/>
      <c r="N313" s="832"/>
      <c r="O313" s="48">
        <f>IF(t&lt;Tnet,'2024'!Resal+('2024'!Salim-'2024'!Resal)*(1-EXP(('2024'!Tnet-t)/('2024'!Tau_j))),Resal+(Salim-Resal)*(1-EXP((Tnet-t)/(Tau_j))))*Salcycl</f>
        <v>4.6476528956396701E-2</v>
      </c>
      <c r="P313" s="169">
        <f>(INDEX(Models!$BJ313:$BT313,,T313)*(1-R313)+INDEX(Models!$BJ313:$BT313,,T313+1)*R313-ERP_i)*Q313*Ramure*Pc/MaxiM</f>
        <v>7.6927589019727344E-3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32.830670160044008</v>
      </c>
      <c r="W313" s="400">
        <f t="shared" si="111"/>
        <v>12.294692776750725</v>
      </c>
      <c r="X313" s="157">
        <f t="shared" si="112"/>
        <v>45956</v>
      </c>
      <c r="Y313" s="383">
        <f t="shared" si="113"/>
        <v>11.942043544661535</v>
      </c>
      <c r="Z313" s="383">
        <f t="shared" si="114"/>
        <v>12.522142902228728</v>
      </c>
      <c r="AA313" s="384">
        <f t="shared" si="115"/>
        <v>13.520299073048298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7.382648604344258E-2</v>
      </c>
      <c r="AD313" s="230">
        <f>(INDEX(Models!$BJ313:$BT313,,AH313)*(1-AF313)+INDEX(Models!$BJ313:$BT313,,AH313+1)*AF313-ERP_i)*AE313*Ramure*Pc/MaxiM</f>
        <v>7.6927589019727344E-3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'2024'!Wh/'2024'!Env_an*'2025'!Env_an</f>
        <v>14.222642415970283</v>
      </c>
      <c r="C314" s="829"/>
      <c r="D314" s="391">
        <f t="shared" si="102"/>
        <v>14.913810470227153</v>
      </c>
      <c r="E314" s="383">
        <f t="shared" si="125"/>
        <v>15.641055815013495</v>
      </c>
      <c r="F314" s="383">
        <f t="shared" si="103"/>
        <v>15.665212722657429</v>
      </c>
      <c r="G314" s="110">
        <f t="shared" si="126"/>
        <v>0.43476318647209788</v>
      </c>
      <c r="H314" s="412" t="b">
        <f>Wh_hp&gt;='2024'!Maxi_hp</f>
        <v>0</v>
      </c>
      <c r="I314" s="388">
        <f>IF(H314,Wh_hp,'2024'!Maxi_hp)</f>
        <v>30.879725572368368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4.6344162388054166E-2</v>
      </c>
      <c r="M314" s="832"/>
      <c r="N314" s="832"/>
      <c r="O314" s="48">
        <f>IF(t&lt;Tnet,'2024'!Resal+('2024'!Salim-'2024'!Resal)*(1-EXP(('2024'!Tnet-t)/('2024'!Tau_j))),Resal+(Salim-Resal)*(1-EXP((Tnet-t)/(Tau_j))))*Salcycl</f>
        <v>4.649592414907662E-2</v>
      </c>
      <c r="P314" s="169">
        <f>(INDEX(Models!$BJ314:$BT314,,T314)*(1-R314)+INDEX(Models!$BJ314:$BT314,,T314+1)*R314-ERP_i)*Q314*Ramure*Pc/MaxiM</f>
        <v>7.8490194754402311E-3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32.506897724852791</v>
      </c>
      <c r="W314" s="400">
        <f t="shared" si="111"/>
        <v>14.222642415970283</v>
      </c>
      <c r="X314" s="157">
        <f t="shared" si="112"/>
        <v>45957</v>
      </c>
      <c r="Y314" s="383">
        <f t="shared" si="113"/>
        <v>13.815337804558595</v>
      </c>
      <c r="Z314" s="383">
        <f t="shared" si="114"/>
        <v>14.486712354378964</v>
      </c>
      <c r="AA314" s="384">
        <f t="shared" si="115"/>
        <v>15.641055815013495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7.3802144451559526E-2</v>
      </c>
      <c r="AD314" s="230">
        <f>(INDEX(Models!$BJ314:$BT314,,AH314)*(1-AF314)+INDEX(Models!$BJ314:$BT314,,AH314+1)*AF314-ERP_i)*AE314*Ramure*Pc/MaxiM</f>
        <v>7.8490194754402311E-3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'2024'!Wh/'2024'!Env_an*'2025'!Env_an</f>
        <v>17.108473048432192</v>
      </c>
      <c r="C315" s="829"/>
      <c r="D315" s="391">
        <f t="shared" si="102"/>
        <v>17.940225666254182</v>
      </c>
      <c r="E315" s="383">
        <f t="shared" si="125"/>
        <v>18.815424307112981</v>
      </c>
      <c r="F315" s="383">
        <f t="shared" si="103"/>
        <v>18.865342009455858</v>
      </c>
      <c r="G315" s="110">
        <f t="shared" si="126"/>
        <v>0.52867918986988882</v>
      </c>
      <c r="H315" s="412" t="b">
        <f>Wh_hp&gt;='2024'!Maxi_hp</f>
        <v>0</v>
      </c>
      <c r="I315" s="388">
        <f>IF(H315,Wh_hp,'2024'!Maxi_hp)</f>
        <v>35.461193234664123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4.6362438984618115E-2</v>
      </c>
      <c r="M315" s="832"/>
      <c r="N315" s="832"/>
      <c r="O315" s="48">
        <f>IF(t&lt;Tnet,'2024'!Resal+('2024'!Salim-'2024'!Resal)*(1-EXP(('2024'!Tnet-t)/('2024'!Tau_j))),Resal+(Salim-Resal)*(1-EXP((Tnet-t)/(Tau_j))))*Salcycl</f>
        <v>4.6514956376930455E-2</v>
      </c>
      <c r="P315" s="169">
        <f>(INDEX(Models!$BJ315:$BT315,,T315)*(1-R315)+INDEX(Models!$BJ315:$BT315,,T315+1)*R315-ERP_i)*Q315*Ramure*Pc/MaxiM</f>
        <v>7.9997445230139477E-3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32.187072965120564</v>
      </c>
      <c r="W315" s="400">
        <f t="shared" si="111"/>
        <v>17.108473048432192</v>
      </c>
      <c r="X315" s="157">
        <f t="shared" si="112"/>
        <v>45958</v>
      </c>
      <c r="Y315" s="383">
        <f t="shared" si="113"/>
        <v>16.619301266205841</v>
      </c>
      <c r="Z315" s="383">
        <f t="shared" si="114"/>
        <v>17.427272105883187</v>
      </c>
      <c r="AA315" s="384">
        <f t="shared" si="115"/>
        <v>18.815424307112981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7.377735301483572E-2</v>
      </c>
      <c r="AD315" s="230">
        <f>(INDEX(Models!$BJ315:$BT315,,AH315)*(1-AF315)+INDEX(Models!$BJ315:$BT315,,AH315+1)*AF315-ERP_i)*AE315*Ramure*Pc/MaxiM</f>
        <v>7.9997445230139477E-3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'2024'!Wh/'2024'!Env_an*'2025'!Env_an</f>
        <v>26.5695703208835</v>
      </c>
      <c r="C316" s="829"/>
      <c r="D316" s="391">
        <f t="shared" si="102"/>
        <v>27.86182153113359</v>
      </c>
      <c r="E316" s="383">
        <f t="shared" si="125"/>
        <v>29.221610236328324</v>
      </c>
      <c r="F316" s="383">
        <f t="shared" si="103"/>
        <v>29.404184657209289</v>
      </c>
      <c r="G316" s="110">
        <f t="shared" si="126"/>
        <v>0.8320180827039616</v>
      </c>
      <c r="H316" s="412" t="b">
        <f>Wh_hp&gt;='2024'!Maxi_hp</f>
        <v>0</v>
      </c>
      <c r="I316" s="388">
        <f>IF(H316,Wh_hp,'2024'!Maxi_hp)</f>
        <v>29.777598995663187</v>
      </c>
      <c r="J316" s="85">
        <f>IF(H316,An,'2024'!An_max)</f>
        <v>2018</v>
      </c>
      <c r="K316" s="197">
        <f t="shared" si="104"/>
        <v>45959</v>
      </c>
      <c r="L316" s="147">
        <f>IF(t&lt;Tvie,1-EXP((T0-t)*PertePVj)+'2024'!Pspv,1-EXP((T0-t)*PertePVj)+Pspv)</f>
        <v>4.6380715230915248E-2</v>
      </c>
      <c r="M316" s="832"/>
      <c r="N316" s="832"/>
      <c r="O316" s="48">
        <f>IF(t&lt;Tnet,'2024'!Resal+('2024'!Salim-'2024'!Resal)*(1-EXP(('2024'!Tnet-t)/('2024'!Tau_j))),Resal+(Salim-Resal)*(1-EXP((Tnet-t)/(Tau_j))))*Salcycl</f>
        <v>4.6533667864211141E-2</v>
      </c>
      <c r="P316" s="169">
        <f>(INDEX(Models!$BJ316:$BT316,,T316)*(1-R316)+INDEX(Models!$BJ316:$BT316,,T316+1)*R316-ERP_i)*Q316*Ramure*Pc/MaxiM</f>
        <v>8.1447731408228821E-3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31.871686870930787</v>
      </c>
      <c r="W316" s="400">
        <f t="shared" si="111"/>
        <v>26.5695703208835</v>
      </c>
      <c r="X316" s="157">
        <f t="shared" si="112"/>
        <v>45959</v>
      </c>
      <c r="Y316" s="383">
        <f t="shared" si="113"/>
        <v>25.811091357095084</v>
      </c>
      <c r="Z316" s="383">
        <f t="shared" si="114"/>
        <v>27.066452796563507</v>
      </c>
      <c r="AA316" s="384">
        <f t="shared" si="115"/>
        <v>29.221610236328324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7.3752179374616492E-2</v>
      </c>
      <c r="AD316" s="230">
        <f>(INDEX(Models!$BJ316:$BT316,,AH316)*(1-AF316)+INDEX(Models!$BJ316:$BT316,,AH316+1)*AF316-ERP_i)*AE316*Ramure*Pc/MaxiM</f>
        <v>8.1447731408228821E-3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'2024'!Wh/'2024'!Env_an*'2025'!Env_an</f>
        <v>22.842324032378404</v>
      </c>
      <c r="C317" s="829"/>
      <c r="D317" s="391">
        <f t="shared" si="102"/>
        <v>23.953754054196253</v>
      </c>
      <c r="E317" s="383">
        <f t="shared" si="125"/>
        <v>25.123296316139299</v>
      </c>
      <c r="F317" s="383">
        <f t="shared" si="103"/>
        <v>25.249937768127033</v>
      </c>
      <c r="G317" s="110">
        <f t="shared" si="126"/>
        <v>0.72141186486969333</v>
      </c>
      <c r="H317" s="412" t="b">
        <f>Wh_hp&gt;='2024'!Maxi_hp</f>
        <v>0</v>
      </c>
      <c r="I317" s="388">
        <f>IF(H317,Wh_hp,'2024'!Maxi_hp)</f>
        <v>28.491037803008169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4.6398991126952338E-2</v>
      </c>
      <c r="M317" s="832"/>
      <c r="N317" s="832"/>
      <c r="O317" s="48">
        <f>IF(t&lt;Tnet,'2024'!Resal+('2024'!Salim-'2024'!Resal)*(1-EXP(('2024'!Tnet-t)/('2024'!Tau_j))),Resal+(Salim-Resal)*(1-EXP((Tnet-t)/(Tau_j))))*Salcycl</f>
        <v>4.6552102368498854E-2</v>
      </c>
      <c r="P317" s="169">
        <f>(INDEX(Models!$BJ317:$BT317,,T317)*(1-R317)+INDEX(Models!$BJ317:$BT317,,T317+1)*R317-ERP_i)*Q317*Ramure*Pc/MaxiM</f>
        <v>8.2844389968946917E-3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31.559333764606574</v>
      </c>
      <c r="W317" s="400">
        <f t="shared" si="111"/>
        <v>22.842324032378404</v>
      </c>
      <c r="X317" s="157">
        <f t="shared" si="112"/>
        <v>45960</v>
      </c>
      <c r="Y317" s="383">
        <f t="shared" si="113"/>
        <v>22.191286030956213</v>
      </c>
      <c r="Z317" s="383">
        <f t="shared" si="114"/>
        <v>23.271038751502125</v>
      </c>
      <c r="AA317" s="384">
        <f t="shared" si="115"/>
        <v>25.123296316139299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7.3726693397604695E-2</v>
      </c>
      <c r="AD317" s="230">
        <f>(INDEX(Models!$BJ317:$BT317,,AH317)*(1-AF317)+INDEX(Models!$BJ317:$BT317,,AH317+1)*AF317-ERP_i)*AE317*Ramure*Pc/MaxiM</f>
        <v>8.2844389968946917E-3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'2024'!Wh/'2024'!Env_an*'2025'!Env_an</f>
        <v>21.725376811799752</v>
      </c>
      <c r="C318" s="829"/>
      <c r="D318" s="391">
        <f t="shared" si="102"/>
        <v>22.782896598803799</v>
      </c>
      <c r="E318" s="383">
        <f t="shared" si="125"/>
        <v>23.895727937244803</v>
      </c>
      <c r="F318" s="383">
        <f t="shared" si="103"/>
        <v>24.009919331797615</v>
      </c>
      <c r="G318" s="110">
        <f t="shared" si="126"/>
        <v>0.6926870265940881</v>
      </c>
      <c r="H318" s="412" t="b">
        <f>Wh_hp&gt;='2024'!Maxi_hp</f>
        <v>0</v>
      </c>
      <c r="I318" s="388">
        <f>IF(H318,Wh_hp,'2024'!Maxi_hp)</f>
        <v>34.120858369867321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4.6417266672736046E-2</v>
      </c>
      <c r="M318" s="832"/>
      <c r="N318" s="832"/>
      <c r="O318" s="48">
        <f>IF(t&lt;Tnet,'2024'!Resal+('2024'!Salim-'2024'!Resal)*(1-EXP(('2024'!Tnet-t)/('2024'!Tau_j))),Resal+(Salim-Resal)*(1-EXP((Tnet-t)/(Tau_j))))*Salcycl</f>
        <v>4.6570305008641399E-2</v>
      </c>
      <c r="P318" s="169">
        <f>(INDEX(Models!$BJ318:$BT318,,T318)*(1-R318)+INDEX(Models!$BJ318:$BT318,,T318+1)*R318-ERP_i)*Q318*Ramure*Pc/MaxiM</f>
        <v>8.4230666240561452E-3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31.248351796169196</v>
      </c>
      <c r="W318" s="400">
        <f t="shared" si="111"/>
        <v>21.725376811799752</v>
      </c>
      <c r="X318" s="157">
        <f t="shared" si="112"/>
        <v>45961</v>
      </c>
      <c r="Y318" s="383">
        <f t="shared" si="113"/>
        <v>21.107162531547946</v>
      </c>
      <c r="Z318" s="383">
        <f t="shared" si="114"/>
        <v>22.13458968358238</v>
      </c>
      <c r="AA318" s="384">
        <f t="shared" si="115"/>
        <v>23.895727937244803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7.3700966896155781E-2</v>
      </c>
      <c r="AD318" s="230">
        <f>(INDEX(Models!$BJ318:$BT318,,AH318)*(1-AF318)+INDEX(Models!$BJ318:$BT318,,AH318+1)*AF318-ERP_i)*AE318*Ramure*Pc/MaxiM</f>
        <v>8.4230666240561452E-3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'2024'!Wh/'2024'!Env_an*'2025'!Env_an</f>
        <v>19.258345380657914</v>
      </c>
      <c r="C319" s="829"/>
      <c r="D319" s="391">
        <f t="shared" si="102"/>
        <v>20.196165258077954</v>
      </c>
      <c r="E319" s="383">
        <f t="shared" si="125"/>
        <v>21.183047917109093</v>
      </c>
      <c r="F319" s="383">
        <f t="shared" si="103"/>
        <v>21.266938224109261</v>
      </c>
      <c r="G319" s="110">
        <f t="shared" si="126"/>
        <v>0.61957642676290314</v>
      </c>
      <c r="H319" s="412" t="b">
        <f>Wh_hp&gt;='2024'!Maxi_hp</f>
        <v>0</v>
      </c>
      <c r="I319" s="388">
        <f>IF(H319,Wh_hp,'2024'!Maxi_hp)</f>
        <v>32.848992554762482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4.6435541868273034E-2</v>
      </c>
      <c r="M319" s="832"/>
      <c r="N319" s="832"/>
      <c r="O319" s="48">
        <f>IF(t&lt;Tnet,'2024'!Resal+('2024'!Salim-'2024'!Resal)*(1-EXP(('2024'!Tnet-t)/('2024'!Tau_j))),Resal+(Salim-Resal)*(1-EXP((Tnet-t)/(Tau_j))))*Salcycl</f>
        <v>4.6588322081547694E-2</v>
      </c>
      <c r="P319" s="169">
        <f>(INDEX(Models!$BJ319:$BT319,,T319)*(1-R319)+INDEX(Models!$BJ319:$BT319,,T319+1)*R319-ERP_i)*Q319*Ramure*Pc/MaxiM</f>
        <v>8.5629922024156903E-3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30.938961522789697</v>
      </c>
      <c r="W319" s="400">
        <f t="shared" si="111"/>
        <v>19.258345380657914</v>
      </c>
      <c r="X319" s="157">
        <f t="shared" si="112"/>
        <v>45962</v>
      </c>
      <c r="Y319" s="383">
        <f t="shared" si="113"/>
        <v>18.711209213871804</v>
      </c>
      <c r="Z319" s="383">
        <f t="shared" si="114"/>
        <v>19.622385308416149</v>
      </c>
      <c r="AA319" s="384">
        <f t="shared" si="115"/>
        <v>21.183047917109093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7.3675073332220148E-2</v>
      </c>
      <c r="AD319" s="230">
        <f>(INDEX(Models!$BJ319:$BT319,,AH319)*(1-AF319)+INDEX(Models!$BJ319:$BT319,,AH319+1)*AF319-ERP_i)*AE319*Ramure*Pc/MaxiM</f>
        <v>8.5629922024156903E-3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'2024'!Wh/'2024'!Env_an*'2025'!Env_an</f>
        <v>28.569182997301681</v>
      </c>
      <c r="C320" s="829"/>
      <c r="D320" s="391">
        <f t="shared" si="102"/>
        <v>29.96098510806997</v>
      </c>
      <c r="E320" s="383">
        <f t="shared" si="125"/>
        <v>31.425613566374924</v>
      </c>
      <c r="F320" s="383">
        <f t="shared" si="103"/>
        <v>31.674800502993254</v>
      </c>
      <c r="G320" s="110">
        <f t="shared" si="126"/>
        <v>0.9318875901024638</v>
      </c>
      <c r="H320" s="412" t="b">
        <f>Wh_hp&gt;='2024'!Maxi_hp</f>
        <v>0</v>
      </c>
      <c r="I320" s="388">
        <f>IF(H320,Wh_hp,'2024'!Maxi_hp)</f>
        <v>31.690418579569595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4.6453816713570184E-2</v>
      </c>
      <c r="M320" s="832"/>
      <c r="N320" s="832"/>
      <c r="O320" s="48">
        <f>IF(t&lt;Tnet,'2024'!Resal+('2024'!Salim-'2024'!Resal)*(1-EXP(('2024'!Tnet-t)/('2024'!Tau_j))),Resal+(Salim-Resal)*(1-EXP((Tnet-t)/(Tau_j))))*Salcycl</f>
        <v>4.6606200868965386E-2</v>
      </c>
      <c r="P320" s="169">
        <f>(INDEX(Models!$BJ320:$BT320,,T320)*(1-R320)+INDEX(Models!$BJ320:$BT320,,T320+1)*R320-ERP_i)*Q320*Ramure*Pc/MaxiM</f>
        <v>8.7042034984671206E-3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30.631458759076832</v>
      </c>
      <c r="W320" s="400">
        <f t="shared" si="111"/>
        <v>28.569182997301681</v>
      </c>
      <c r="X320" s="157">
        <f t="shared" si="112"/>
        <v>45963</v>
      </c>
      <c r="Y320" s="383">
        <f t="shared" si="113"/>
        <v>27.758821971421639</v>
      </c>
      <c r="Z320" s="383">
        <f t="shared" si="114"/>
        <v>29.11114580287019</v>
      </c>
      <c r="AA320" s="384">
        <f t="shared" si="115"/>
        <v>31.425613566374924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7.3649087506797037E-2</v>
      </c>
      <c r="AD320" s="230">
        <f>(INDEX(Models!$BJ320:$BT320,,AH320)*(1-AF320)+INDEX(Models!$BJ320:$BT320,,AH320+1)*AF320-ERP_i)*AE320*Ramure*Pc/MaxiM</f>
        <v>8.7042034984671206E-3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'2024'!Wh/'2024'!Env_an*'2025'!Env_an</f>
        <v>10.028180177566538</v>
      </c>
      <c r="C321" s="829"/>
      <c r="D321" s="391">
        <f t="shared" si="102"/>
        <v>10.516923610843914</v>
      </c>
      <c r="E321" s="383">
        <f t="shared" si="125"/>
        <v>11.031244225052854</v>
      </c>
      <c r="F321" s="383">
        <f t="shared" si="103"/>
        <v>11.035522804501381</v>
      </c>
      <c r="G321" s="110">
        <f t="shared" si="126"/>
        <v>0.32787949293738006</v>
      </c>
      <c r="H321" s="412" t="b">
        <f>Wh_hp&gt;='2024'!Maxi_hp</f>
        <v>0</v>
      </c>
      <c r="I321" s="388">
        <f>IF(H321,Wh_hp,'2024'!Maxi_hp)</f>
        <v>29.614967506581426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4.6472091208634048E-2</v>
      </c>
      <c r="M321" s="832"/>
      <c r="N321" s="832"/>
      <c r="O321" s="48">
        <f>IF(t&lt;Tnet,'2024'!Resal+('2024'!Salim-'2024'!Resal)*(1-EXP(('2024'!Tnet-t)/('2024'!Tau_j))),Resal+(Salim-Resal)*(1-EXP((Tnet-t)/(Tau_j))))*Salcycl</f>
        <v>4.6623989435468645E-2</v>
      </c>
      <c r="P321" s="169">
        <f>(INDEX(Models!$BJ321:$BT321,,T321)*(1-R321)+INDEX(Models!$BJ321:$BT321,,T321+1)*R321-ERP_i)*Q321*Ramure*Pc/MaxiM</f>
        <v>8.8466912316121464E-3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30.326139022274422</v>
      </c>
      <c r="W321" s="400">
        <f t="shared" si="111"/>
        <v>10.028180177566538</v>
      </c>
      <c r="X321" s="157">
        <f t="shared" si="112"/>
        <v>45964</v>
      </c>
      <c r="Y321" s="383">
        <f t="shared" si="113"/>
        <v>9.7441875090622858</v>
      </c>
      <c r="Z321" s="383">
        <f t="shared" si="114"/>
        <v>10.219089991202697</v>
      </c>
      <c r="AA321" s="384">
        <f t="shared" si="115"/>
        <v>11.031244225052854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7.3623085236902627E-2</v>
      </c>
      <c r="AD321" s="230">
        <f>(INDEX(Models!$BJ321:$BT321,,AH321)*(1-AF321)+INDEX(Models!$BJ321:$BT321,,AH321+1)*AF321-ERP_i)*AE321*Ramure*Pc/MaxiM</f>
        <v>8.8466912316121464E-3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'2024'!Wh/'2024'!Env_an*'2025'!Env_an</f>
        <v>17.318350199721692</v>
      </c>
      <c r="C322" s="829"/>
      <c r="D322" s="391">
        <f t="shared" si="102"/>
        <v>18.162742745794802</v>
      </c>
      <c r="E322" s="383">
        <f t="shared" si="125"/>
        <v>19.051329851142604</v>
      </c>
      <c r="F322" s="383">
        <f t="shared" si="103"/>
        <v>19.119307988399019</v>
      </c>
      <c r="G322" s="110">
        <f t="shared" si="126"/>
        <v>0.57368413520773986</v>
      </c>
      <c r="H322" s="412" t="b">
        <f>Wh_hp&gt;='2024'!Maxi_hp</f>
        <v>0</v>
      </c>
      <c r="I322" s="388">
        <f>IF(H322,Wh_hp,'2024'!Maxi_hp)</f>
        <v>19.180366016674423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4.6490365353471286E-2</v>
      </c>
      <c r="M322" s="832"/>
      <c r="N322" s="832"/>
      <c r="O322" s="48">
        <f>IF(t&lt;Tnet,'2024'!Resal+('2024'!Salim-'2024'!Resal)*(1-EXP(('2024'!Tnet-t)/('2024'!Tau_j))),Resal+(Salim-Resal)*(1-EXP((Tnet-t)/(Tau_j))))*Salcycl</f>
        <v>4.6641736418967676E-2</v>
      </c>
      <c r="P322" s="169">
        <f>(INDEX(Models!$BJ322:$BT322,,T322)*(1-R322)+INDEX(Models!$BJ322:$BT322,,T322+1)*R322-ERP_i)*Q322*Ramure*Pc/MaxiM</f>
        <v>8.9904489278139505E-3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30.023297546875355</v>
      </c>
      <c r="W322" s="400">
        <f t="shared" si="111"/>
        <v>17.318350199721692</v>
      </c>
      <c r="X322" s="157">
        <f t="shared" si="112"/>
        <v>45965</v>
      </c>
      <c r="Y322" s="383">
        <f t="shared" si="113"/>
        <v>16.828688349435946</v>
      </c>
      <c r="Z322" s="383">
        <f t="shared" si="114"/>
        <v>17.649206403325369</v>
      </c>
      <c r="AA322" s="384">
        <f t="shared" si="115"/>
        <v>19.051329851142604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7.3597143022178277E-2</v>
      </c>
      <c r="AD322" s="230">
        <f>(INDEX(Models!$BJ322:$BT322,,AH322)*(1-AF322)+INDEX(Models!$BJ322:$BT322,,AH322+1)*AF322-ERP_i)*AE322*Ramure*Pc/MaxiM</f>
        <v>8.9904489278139505E-3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'2024'!Wh/'2024'!Env_an*'2025'!Env_an</f>
        <v>29.499111548850834</v>
      </c>
      <c r="C323" s="829"/>
      <c r="D323" s="391">
        <f t="shared" si="102"/>
        <v>30.937995623258097</v>
      </c>
      <c r="E323" s="383">
        <f t="shared" si="125"/>
        <v>32.452198689963069</v>
      </c>
      <c r="F323" s="383">
        <f t="shared" si="103"/>
        <v>32.748145930689958</v>
      </c>
      <c r="G323" s="110">
        <f t="shared" si="126"/>
        <v>0.99236129239232351</v>
      </c>
      <c r="H323" s="412" t="b">
        <f>Wh_hp&gt;='2024'!Maxi_hp</f>
        <v>0</v>
      </c>
      <c r="I323" s="388">
        <f>IF(H323,Wh_hp,'2024'!Maxi_hp)</f>
        <v>32.750043405506759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4.6508639148088782E-2</v>
      </c>
      <c r="M323" s="832"/>
      <c r="N323" s="832"/>
      <c r="O323" s="48">
        <f>IF(t&lt;Tnet,'2024'!Resal+('2024'!Salim-'2024'!Resal)*(1-EXP(('2024'!Tnet-t)/('2024'!Tau_j))),Resal+(Salim-Resal)*(1-EXP((Tnet-t)/(Tau_j))))*Salcycl</f>
        <v>4.665949081512593E-2</v>
      </c>
      <c r="P323" s="169">
        <f>(INDEX(Models!$BJ323:$BT323,,T323)*(1-R323)+INDEX(Models!$BJ323:$BT323,,T323+1)*R323-ERP_i)*Q323*Ramure*Pc/MaxiM</f>
        <v>9.1354726950365304E-3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29.723229300399986</v>
      </c>
      <c r="W323" s="400">
        <f t="shared" si="111"/>
        <v>29.499111548850834</v>
      </c>
      <c r="X323" s="157">
        <f t="shared" si="112"/>
        <v>45966</v>
      </c>
      <c r="Y323" s="383">
        <f t="shared" si="113"/>
        <v>28.666381201516007</v>
      </c>
      <c r="Z323" s="383">
        <f t="shared" si="114"/>
        <v>30.064647020926962</v>
      </c>
      <c r="AA323" s="384">
        <f t="shared" si="115"/>
        <v>32.452198689963069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7.35713377033691E-2</v>
      </c>
      <c r="AD323" s="230">
        <f>(INDEX(Models!$BJ323:$BT323,,AH323)*(1-AF323)+INDEX(Models!$BJ323:$BT323,,AH323+1)*AF323-ERP_i)*AE323*Ramure*Pc/MaxiM</f>
        <v>9.1354726950365304E-3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'2024'!Wh/'2024'!Env_an*'2025'!Env_an</f>
        <v>29.455840865290529</v>
      </c>
      <c r="C324" s="829"/>
      <c r="D324" s="391">
        <f t="shared" si="102"/>
        <v>30.893206378148498</v>
      </c>
      <c r="E324" s="383">
        <f t="shared" si="125"/>
        <v>32.40582274511025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Wh_hp&gt;='2024'!Maxi_hp</f>
        <v>1</v>
      </c>
      <c r="I324" s="388">
        <f>IF(H324,Wh_hp,'2024'!Maxi_hp)</f>
        <v>32.709345157525121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4.6526912592493197E-2</v>
      </c>
      <c r="M324" s="832"/>
      <c r="N324" s="832"/>
      <c r="O324" s="48">
        <f>IF(t&lt;Tnet,'2024'!Resal+('2024'!Salim-'2024'!Resal)*(1-EXP(('2024'!Tnet-t)/('2024'!Tau_j))),Resal+(Salim-Resal)*(1-EXP((Tnet-t)/(Tau_j))))*Salcycl</f>
        <v>4.6677301757135352E-2</v>
      </c>
      <c r="P324" s="169">
        <f>(INDEX(Models!$BJ324:$BT324,,T324)*(1-R324)+INDEX(Models!$BJ324:$BT324,,T324+1)*R324-ERP_i)*Q324*Ramure*Pc/MaxiM</f>
        <v>9.2793790567538715E-3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29.426299740315176</v>
      </c>
      <c r="W324" s="400">
        <f t="shared" si="111"/>
        <v>29.455840865290529</v>
      </c>
      <c r="X324" s="157">
        <f t="shared" si="112"/>
        <v>45967</v>
      </c>
      <c r="Y324" s="383">
        <f t="shared" si="113"/>
        <v>28.625657525733359</v>
      </c>
      <c r="Z324" s="383">
        <f t="shared" si="114"/>
        <v>30.022512332850965</v>
      </c>
      <c r="AA324" s="384">
        <f t="shared" si="115"/>
        <v>32.40582274511025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7.3545746114991192E-2</v>
      </c>
      <c r="AD324" s="230">
        <f>(INDEX(Models!$BJ324:$BT324,,AH324)*(1-AF324)+INDEX(Models!$BJ324:$BT324,,AH324+1)*AF324-ERP_i)*AE324*Ramure*Pc/MaxiM</f>
        <v>9.2793790567538715E-3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'2024'!Wh/'2024'!Env_an*'2025'!Env_an</f>
        <v>27.628730322451705</v>
      </c>
      <c r="C325" s="829"/>
      <c r="D325" s="391">
        <f t="shared" si="102"/>
        <v>28.977493120479227</v>
      </c>
      <c r="E325" s="383">
        <f t="shared" si="125"/>
        <v>30.396882168756157</v>
      </c>
      <c r="F325" s="383">
        <f t="shared" si="103"/>
        <v>30.664560895791219</v>
      </c>
      <c r="G325" s="110">
        <f t="shared" si="126"/>
        <v>0.9477089805756882</v>
      </c>
      <c r="H325" s="412" t="b">
        <f>Wh_hp&gt;='2024'!Maxi_hp</f>
        <v>0</v>
      </c>
      <c r="I325" s="388">
        <f>IF(H325,Wh_hp,'2024'!Maxi_hp)</f>
        <v>30.677102433110111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4.6545185686691193E-2</v>
      </c>
      <c r="M325" s="832"/>
      <c r="N325" s="832"/>
      <c r="O325" s="48">
        <f>IF(t&lt;Tnet,'2024'!Resal+('2024'!Salim-'2024'!Resal)*(1-EXP(('2024'!Tnet-t)/('2024'!Tau_j))),Resal+(Salim-Resal)*(1-EXP((Tnet-t)/(Tau_j))))*Salcycl</f>
        <v>4.6695218292350717E-2</v>
      </c>
      <c r="P325" s="169">
        <f>(INDEX(Models!$BJ325:$BT325,,T325)*(1-R325)+INDEX(Models!$BJ325:$BT325,,T325+1)*R325-ERP_i)*Q325*Ramure*Pc/MaxiM</f>
        <v>9.4243104578951176E-3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29.13273825581982</v>
      </c>
      <c r="W325" s="400">
        <f t="shared" si="111"/>
        <v>27.628730322451705</v>
      </c>
      <c r="X325" s="157">
        <f t="shared" si="112"/>
        <v>45968</v>
      </c>
      <c r="Y325" s="383">
        <f t="shared" si="113"/>
        <v>26.851280170693084</v>
      </c>
      <c r="Z325" s="383">
        <f t="shared" si="114"/>
        <v>28.162089873164827</v>
      </c>
      <c r="AA325" s="384">
        <f t="shared" si="115"/>
        <v>30.396882168756157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7.352044473457188E-2</v>
      </c>
      <c r="AD325" s="230">
        <f>(INDEX(Models!$BJ325:$BT325,,AH325)*(1-AF325)+INDEX(Models!$BJ325:$BT325,,AH325+1)*AF325-ERP_i)*AE325*Ramure*Pc/MaxiM</f>
        <v>9.4243104578951176E-3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'2024'!Wh/'2024'!Env_an*'2025'!Env_an</f>
        <v>19.923170185272738</v>
      </c>
      <c r="C326" s="829"/>
      <c r="D326" s="391">
        <f t="shared" si="102"/>
        <v>20.896168037025479</v>
      </c>
      <c r="E326" s="383">
        <f t="shared" si="125"/>
        <v>21.920129379076226</v>
      </c>
      <c r="F326" s="383">
        <f t="shared" si="103"/>
        <v>22.037861164099851</v>
      </c>
      <c r="G326" s="110">
        <f t="shared" si="126"/>
        <v>0.68781309285331838</v>
      </c>
      <c r="H326" s="412" t="b">
        <f>Wh_hp&gt;='2024'!Maxi_hp</f>
        <v>0</v>
      </c>
      <c r="I326" s="388">
        <f>IF(H326,Wh_hp,'2024'!Maxi_hp)</f>
        <v>24.301685975957074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4.6563458430689542E-2</v>
      </c>
      <c r="M326" s="832"/>
      <c r="N326" s="832"/>
      <c r="O326" s="48">
        <f>IF(t&lt;Tnet,'2024'!Resal+('2024'!Salim-'2024'!Resal)*(1-EXP(('2024'!Tnet-t)/('2024'!Tau_j))),Resal+(Salim-Resal)*(1-EXP((Tnet-t)/(Tau_j))))*Salcycl</f>
        <v>4.6713289157324207E-2</v>
      </c>
      <c r="P326" s="169">
        <f>(INDEX(Models!$BJ326:$BT326,,T326)*(1-R326)+INDEX(Models!$BJ326:$BT326,,T326+1)*R326-ERP_i)*Q326*Ramure*Pc/MaxiM</f>
        <v>9.5702689028483012E-3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28.842838913917106</v>
      </c>
      <c r="W326" s="400">
        <f t="shared" si="111"/>
        <v>19.923170185272738</v>
      </c>
      <c r="X326" s="157">
        <f t="shared" si="112"/>
        <v>45969</v>
      </c>
      <c r="Y326" s="383">
        <f t="shared" si="113"/>
        <v>19.363436451036733</v>
      </c>
      <c r="Z326" s="383">
        <f t="shared" si="114"/>
        <v>20.309098305761864</v>
      </c>
      <c r="AA326" s="384">
        <f t="shared" si="115"/>
        <v>21.920129379076226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7.3495509330896727E-2</v>
      </c>
      <c r="AD326" s="230">
        <f>(INDEX(Models!$BJ326:$BT326,,AH326)*(1-AF326)+INDEX(Models!$BJ326:$BT326,,AH326+1)*AF326-ERP_i)*AE326*Ramure*Pc/MaxiM</f>
        <v>9.5702689028483012E-3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'2024'!Wh/'2024'!Env_an*'2025'!Env_an</f>
        <v>9.813116749905447</v>
      </c>
      <c r="C327" s="829"/>
      <c r="D327" s="391">
        <f t="shared" si="102"/>
        <v>10.292562107490989</v>
      </c>
      <c r="E327" s="383">
        <f t="shared" si="125"/>
        <v>10.797128807761615</v>
      </c>
      <c r="F327" s="383">
        <f t="shared" si="103"/>
        <v>10.803672771513757</v>
      </c>
      <c r="G327" s="110">
        <f t="shared" si="126"/>
        <v>0.34050094540573667</v>
      </c>
      <c r="H327" s="412" t="b">
        <f>Wh_hp&gt;='2024'!Maxi_hp</f>
        <v>0</v>
      </c>
      <c r="I327" s="388">
        <f>IF(H327,Wh_hp,'2024'!Maxi_hp)</f>
        <v>24.305673600704964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4.6581730824494905E-2</v>
      </c>
      <c r="M327" s="832"/>
      <c r="N327" s="832"/>
      <c r="O327" s="48">
        <f>IF(t&lt;Tnet,'2024'!Resal+('2024'!Salim-'2024'!Resal)*(1-EXP(('2024'!Tnet-t)/('2024'!Tau_j))),Resal+(Salim-Resal)*(1-EXP((Tnet-t)/(Tau_j))))*Salcycl</f>
        <v>4.6731562552806943E-2</v>
      </c>
      <c r="P327" s="169">
        <f>(INDEX(Models!$BJ327:$BT327,,T327)*(1-R327)+INDEX(Models!$BJ327:$BT327,,T327+1)*R327-ERP_i)*Q327*Ramure*Pc/MaxiM</f>
        <v>9.7172572312716372E-3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28.556895589927564</v>
      </c>
      <c r="W327" s="400">
        <f t="shared" si="111"/>
        <v>9.813116749905447</v>
      </c>
      <c r="X327" s="157">
        <f t="shared" si="112"/>
        <v>45970</v>
      </c>
      <c r="Y327" s="383">
        <f t="shared" si="113"/>
        <v>9.5378560210335728</v>
      </c>
      <c r="Z327" s="383">
        <f t="shared" si="114"/>
        <v>10.003852799340313</v>
      </c>
      <c r="AA327" s="384">
        <f t="shared" si="115"/>
        <v>10.797128807761615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7.347101461372281E-2</v>
      </c>
      <c r="AD327" s="230">
        <f>(INDEX(Models!$BJ327:$BT327,,AH327)*(1-AF327)+INDEX(Models!$BJ327:$BT327,,AH327+1)*AF327-ERP_i)*AE327*Ramure*Pc/MaxiM</f>
        <v>9.7172572312716372E-3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'2024'!Wh/'2024'!Env_an*'2025'!Env_an</f>
        <v>19.812821664626302</v>
      </c>
      <c r="C328" s="829"/>
      <c r="D328" s="391">
        <f t="shared" si="102"/>
        <v>20.781226897660193</v>
      </c>
      <c r="E328" s="383">
        <f t="shared" si="125"/>
        <v>21.80039734671578</v>
      </c>
      <c r="F328" s="383">
        <f t="shared" si="103"/>
        <v>21.924211270043664</v>
      </c>
      <c r="G328" s="110">
        <f t="shared" si="126"/>
        <v>0.69774137036494499</v>
      </c>
      <c r="H328" s="412" t="b">
        <f>Wh_hp&gt;='2024'!Maxi_hp</f>
        <v>0</v>
      </c>
      <c r="I328" s="388">
        <f>IF(H328,Wh_hp,'2024'!Maxi_hp)</f>
        <v>21.978449121102202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4.6600002868113943E-2</v>
      </c>
      <c r="M328" s="832"/>
      <c r="N328" s="832"/>
      <c r="O328" s="48">
        <f>IF(t&lt;Tnet,'2024'!Resal+('2024'!Salim-'2024'!Resal)*(1-EXP(('2024'!Tnet-t)/('2024'!Tau_j))),Resal+(Salim-Resal)*(1-EXP((Tnet-t)/(Tau_j))))*Salcycl</f>
        <v>4.6750085920297377E-2</v>
      </c>
      <c r="P328" s="169">
        <f>(INDEX(Models!$BJ328:$BT328,,T328)*(1-R328)+INDEX(Models!$BJ328:$BT328,,T328+1)*R328-ERP_i)*Q328*Ramure*Pc/MaxiM</f>
        <v>9.8652784143334078E-3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28.275201990373205</v>
      </c>
      <c r="W328" s="400">
        <f t="shared" si="111"/>
        <v>19.812821664626302</v>
      </c>
      <c r="X328" s="157">
        <f t="shared" si="112"/>
        <v>45971</v>
      </c>
      <c r="Y328" s="383">
        <f t="shared" si="113"/>
        <v>19.257938982498651</v>
      </c>
      <c r="Z328" s="383">
        <f t="shared" si="114"/>
        <v>20.199222824032226</v>
      </c>
      <c r="AA328" s="384">
        <f t="shared" si="115"/>
        <v>21.80039734671578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7.3447033887424407E-2</v>
      </c>
      <c r="AD328" s="230">
        <f>(INDEX(Models!$BJ328:$BT328,,AH328)*(1-AF328)+INDEX(Models!$BJ328:$BT328,,AH328+1)*AF328-ERP_i)*AE328*Ramure*Pc/MaxiM</f>
        <v>9.8652784143334078E-3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'2024'!Wh/'2024'!Env_an*'2025'!Env_an</f>
        <v>27.101111542115536</v>
      </c>
      <c r="C329" s="829"/>
      <c r="D329" s="391">
        <f t="shared" si="102"/>
        <v>28.426296434046002</v>
      </c>
      <c r="E329" s="383">
        <f t="shared" si="125"/>
        <v>29.820991577670149</v>
      </c>
      <c r="F329" s="383">
        <f t="shared" si="103"/>
        <v>30.10871115464299</v>
      </c>
      <c r="G329" s="110">
        <f t="shared" si="126"/>
        <v>0.96751628647142029</v>
      </c>
      <c r="H329" s="412" t="b">
        <f>Wh_hp&gt;='2024'!Maxi_hp</f>
        <v>0</v>
      </c>
      <c r="I329" s="388">
        <f>IF(H329,Wh_hp,'2024'!Maxi_hp)</f>
        <v>30.116810356519398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4.6618274561553541E-2</v>
      </c>
      <c r="M329" s="832"/>
      <c r="N329" s="832"/>
      <c r="O329" s="48">
        <f>IF(t&lt;Tnet,'2024'!Resal+('2024'!Salim-'2024'!Resal)*(1-EXP(('2024'!Tnet-t)/('2024'!Tau_j))),Resal+(Salim-Resal)*(1-EXP((Tnet-t)/(Tau_j))))*Salcycl</f>
        <v>4.6768905721716172E-2</v>
      </c>
      <c r="P329" s="169">
        <f>(INDEX(Models!$BJ329:$BT329,,T329)*(1-R329)+INDEX(Models!$BJ329:$BT329,,T329+1)*R329-ERP_i)*Q329*Ramure*Pc/MaxiM</f>
        <v>1.0014334747788754E-2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27.998051672947458</v>
      </c>
      <c r="W329" s="400">
        <f t="shared" si="111"/>
        <v>27.101111542115536</v>
      </c>
      <c r="X329" s="157">
        <f t="shared" si="112"/>
        <v>45972</v>
      </c>
      <c r="Y329" s="383">
        <f t="shared" si="113"/>
        <v>26.34329646851533</v>
      </c>
      <c r="Z329" s="383">
        <f t="shared" si="114"/>
        <v>27.631425866066849</v>
      </c>
      <c r="AA329" s="384">
        <f t="shared" si="115"/>
        <v>29.820991577670149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7.3423638711022685E-2</v>
      </c>
      <c r="AD329" s="230">
        <f>(INDEX(Models!$BJ329:$BT329,,AH329)*(1-AF329)+INDEX(Models!$BJ329:$BT329,,AH329+1)*AF329-ERP_i)*AE329*Ramure*Pc/MaxiM</f>
        <v>1.0014334747788754E-2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'2024'!Wh/'2024'!Env_an*'2025'!Env_an</f>
        <v>26.686834897075631</v>
      </c>
      <c r="C330" s="829"/>
      <c r="D330" s="391">
        <f t="shared" si="102"/>
        <v>27.992299036051921</v>
      </c>
      <c r="E330" s="383">
        <f t="shared" si="125"/>
        <v>29.3662910351158</v>
      </c>
      <c r="F330" s="383">
        <f t="shared" si="103"/>
        <v>29.651548698784971</v>
      </c>
      <c r="G330" s="110">
        <f t="shared" si="126"/>
        <v>0.96200048988055109</v>
      </c>
      <c r="H330" s="412" t="b">
        <f>Wh_hp&gt;='2024'!Maxi_hp</f>
        <v>0</v>
      </c>
      <c r="I330" s="388">
        <f>IF(H330,Wh_hp,'2024'!Maxi_hp)</f>
        <v>29.661008081081796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4.6636545904820248E-2</v>
      </c>
      <c r="M330" s="832"/>
      <c r="N330" s="832"/>
      <c r="O330" s="48">
        <f>IF(t&lt;Tnet,'2024'!Resal+('2024'!Salim-'2024'!Resal)*(1-EXP(('2024'!Tnet-t)/('2024'!Tau_j))),Resal+(Salim-Resal)*(1-EXP((Tnet-t)/(Tau_j))))*Salcycl</f>
        <v>4.6788067223772913E-2</v>
      </c>
      <c r="P330" s="169">
        <f>(INDEX(Models!$BJ330:$BT330,,T330)*(1-R330)+INDEX(Models!$BJ330:$BT330,,T330+1)*R330-ERP_i)*Q330*Ramure*Pc/MaxiM</f>
        <v>1.0164426938548845E-2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27.725738072072545</v>
      </c>
      <c r="W330" s="400">
        <f t="shared" si="111"/>
        <v>26.686834897075631</v>
      </c>
      <c r="X330" s="157">
        <f t="shared" si="112"/>
        <v>45973</v>
      </c>
      <c r="Y330" s="383">
        <f t="shared" si="113"/>
        <v>25.941762146955604</v>
      </c>
      <c r="Z330" s="383">
        <f t="shared" si="114"/>
        <v>27.210778885557836</v>
      </c>
      <c r="AA330" s="384">
        <f t="shared" si="115"/>
        <v>29.3662910351158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7.3400898567014566E-2</v>
      </c>
      <c r="AD330" s="230">
        <f>(INDEX(Models!$BJ330:$BT330,,AH330)*(1-AF330)+INDEX(Models!$BJ330:$BT330,,AH330+1)*AF330-ERP_i)*AE330*Ramure*Pc/MaxiM</f>
        <v>1.0164426938548845E-2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'2024'!Wh/'2024'!Env_an*'2025'!Env_an</f>
        <v>25.664496154703592</v>
      </c>
      <c r="C331" s="829"/>
      <c r="D331" s="391">
        <f t="shared" si="102"/>
        <v>26.920465545537425</v>
      </c>
      <c r="E331" s="383">
        <f t="shared" si="125"/>
        <v>28.242426134619937</v>
      </c>
      <c r="F331" s="383">
        <f t="shared" si="103"/>
        <v>28.509107414700484</v>
      </c>
      <c r="G331" s="110">
        <f t="shared" si="126"/>
        <v>0.93381761358565518</v>
      </c>
      <c r="H331" s="412" t="b">
        <f>Wh_hp&gt;='2024'!Maxi_hp</f>
        <v>0</v>
      </c>
      <c r="I331" s="388">
        <f>IF(H331,Wh_hp,'2024'!Maxi_hp)</f>
        <v>29.071978311267806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4.6654816897920726E-2</v>
      </c>
      <c r="M331" s="832"/>
      <c r="N331" s="832"/>
      <c r="O331" s="48">
        <f>IF(t&lt;Tnet,'2024'!Resal+('2024'!Salim-'2024'!Resal)*(1-EXP(('2024'!Tnet-t)/('2024'!Tau_j))),Resal+(Salim-Resal)*(1-EXP((Tnet-t)/(Tau_j))))*Salcycl</f>
        <v>4.6807614288562588E-2</v>
      </c>
      <c r="P331" s="169">
        <f>(INDEX(Models!$BJ331:$BT331,,T331)*(1-R331)+INDEX(Models!$BJ331:$BT331,,T331+1)*R331-ERP_i)*Q331*Ramure*Pc/MaxiM</f>
        <v>1.0316233046914E-2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27.456725822044906</v>
      </c>
      <c r="W331" s="400">
        <f t="shared" si="111"/>
        <v>25.664496154703592</v>
      </c>
      <c r="X331" s="157">
        <f t="shared" si="112"/>
        <v>45974</v>
      </c>
      <c r="Y331" s="383">
        <f t="shared" si="113"/>
        <v>24.9490706322247</v>
      </c>
      <c r="Z331" s="383">
        <f t="shared" si="114"/>
        <v>26.170028521089492</v>
      </c>
      <c r="AA331" s="384">
        <f t="shared" si="115"/>
        <v>28.242426134619937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7.3378880541359409E-2</v>
      </c>
      <c r="AD331" s="230">
        <f>(INDEX(Models!$BJ331:$BT331,,AH331)*(1-AF331)+INDEX(Models!$BJ331:$BT331,,AH331+1)*AF331-ERP_i)*AE331*Ramure*Pc/MaxiM</f>
        <v>1.0316233046914E-2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'2024'!Wh/'2024'!Env_an*'2025'!Env_an</f>
        <v>9.5025309938227949</v>
      </c>
      <c r="C332" s="829"/>
      <c r="D332" s="391">
        <f t="shared" si="102"/>
        <v>9.967756988324922</v>
      </c>
      <c r="E332" s="383">
        <f t="shared" si="125"/>
        <v>10.457454365118471</v>
      </c>
      <c r="F332" s="383">
        <f t="shared" si="103"/>
        <v>10.465196630083094</v>
      </c>
      <c r="G332" s="110">
        <f t="shared" si="126"/>
        <v>0.34608793363768042</v>
      </c>
      <c r="H332" s="412" t="b">
        <f>Wh_hp&gt;='2024'!Maxi_hp</f>
        <v>0</v>
      </c>
      <c r="I332" s="388">
        <f>IF(H332,Wh_hp,'2024'!Maxi_hp)</f>
        <v>19.875209801097167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4.6673087540861968E-2</v>
      </c>
      <c r="M332" s="832"/>
      <c r="N332" s="832"/>
      <c r="O332" s="48">
        <f>IF(t&lt;Tnet,'2024'!Resal+('2024'!Salim-'2024'!Resal)*(1-EXP(('2024'!Tnet-t)/('2024'!Tau_j))),Resal+(Salim-Resal)*(1-EXP((Tnet-t)/(Tau_j))))*Salcycl</f>
        <v>4.6827589171889304E-2</v>
      </c>
      <c r="P332" s="169">
        <f>(INDEX(Models!$BJ332:$BT332,,T332)*(1-R332)+INDEX(Models!$BJ332:$BT332,,T332+1)*R332-ERP_i)*Q332*Ramure*Pc/MaxiM</f>
        <v>1.0464285601799666E-2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27.189781963321117</v>
      </c>
      <c r="W332" s="400">
        <f t="shared" si="111"/>
        <v>9.5025309938227949</v>
      </c>
      <c r="X332" s="157">
        <f t="shared" si="112"/>
        <v>45975</v>
      </c>
      <c r="Y332" s="383">
        <f t="shared" si="113"/>
        <v>9.2380429399499189</v>
      </c>
      <c r="Z332" s="383">
        <f t="shared" si="114"/>
        <v>9.6903200981917994</v>
      </c>
      <c r="AA332" s="384">
        <f t="shared" si="115"/>
        <v>10.457454365118471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7.3357649016905835E-2</v>
      </c>
      <c r="AD332" s="230">
        <f>(INDEX(Models!$BJ332:$BT332,,AH332)*(1-AF332)+INDEX(Models!$BJ332:$BT332,,AH332+1)*AF332-ERP_i)*AE332*Ramure*Pc/MaxiM</f>
        <v>1.0464285601799666E-2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'2024'!Wh/'2024'!Env_an*'2025'!Env_an</f>
        <v>12.193064027865194</v>
      </c>
      <c r="C333" s="829"/>
      <c r="D333" s="391">
        <f t="shared" si="102"/>
        <v>12.790258567421589</v>
      </c>
      <c r="E333" s="383">
        <f t="shared" si="125"/>
        <v>13.418908003408786</v>
      </c>
      <c r="F333" s="383">
        <f t="shared" si="103"/>
        <v>13.450051949368936</v>
      </c>
      <c r="G333" s="110">
        <f t="shared" si="126"/>
        <v>0.44908204793833933</v>
      </c>
      <c r="H333" s="412" t="b">
        <f>Wh_hp&gt;='2024'!Maxi_hp</f>
        <v>0</v>
      </c>
      <c r="I333" s="388">
        <f>IF(H333,Wh_hp,'2024'!Maxi_hp)</f>
        <v>26.911873928380832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4.6691357833650415E-2</v>
      </c>
      <c r="M333" s="832"/>
      <c r="N333" s="832"/>
      <c r="O333" s="48">
        <f>IF(t&lt;Tnet,'2024'!Resal+('2024'!Salim-'2024'!Resal)*(1-EXP(('2024'!Tnet-t)/('2024'!Tau_j))),Resal+(Salim-Resal)*(1-EXP((Tnet-t)/(Tau_j))))*Salcycl</f>
        <v>4.684803233076059E-2</v>
      </c>
      <c r="P333" s="169">
        <f>(INDEX(Models!$BJ333:$BT333,,T333)*(1-R333)+INDEX(Models!$BJ333:$BT333,,T333+1)*R333-ERP_i)*Q333*Ramure*Pc/MaxiM</f>
        <v>1.0604690722803879E-2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26.9255010168864</v>
      </c>
      <c r="W333" s="400">
        <f t="shared" si="111"/>
        <v>12.193064027865194</v>
      </c>
      <c r="X333" s="157">
        <f t="shared" si="112"/>
        <v>45976</v>
      </c>
      <c r="Y333" s="383">
        <f t="shared" si="113"/>
        <v>11.854204196900353</v>
      </c>
      <c r="Z333" s="383">
        <f t="shared" si="114"/>
        <v>12.43480198602021</v>
      </c>
      <c r="AA333" s="384">
        <f t="shared" si="115"/>
        <v>13.418908003408786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7.3337265382442923E-2</v>
      </c>
      <c r="AD333" s="230">
        <f>(INDEX(Models!$BJ333:$BT333,,AH333)*(1-AF333)+INDEX(Models!$BJ333:$BT333,,AH333+1)*AF333-ERP_i)*AE333*Ramure*Pc/MaxiM</f>
        <v>1.0604690722803879E-2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'2024'!Wh/'2024'!Env_an*'2025'!Env_an</f>
        <v>26.250951991399539</v>
      </c>
      <c r="C334" s="829"/>
      <c r="D334" s="391">
        <f t="shared" si="102"/>
        <v>27.537204566710205</v>
      </c>
      <c r="E334" s="383">
        <f t="shared" si="125"/>
        <v>28.891310904421147</v>
      </c>
      <c r="F334" s="383">
        <f t="shared" si="103"/>
        <v>29.197877504416073</v>
      </c>
      <c r="G334" s="110">
        <f t="shared" si="126"/>
        <v>0.98425892698501805</v>
      </c>
      <c r="H334" s="412" t="b">
        <f>Wh_hp&gt;='2024'!Maxi_hp</f>
        <v>0</v>
      </c>
      <c r="I334" s="388">
        <f>IF(H334,Wh_hp,'2024'!Maxi_hp)</f>
        <v>29.201940874416742</v>
      </c>
      <c r="J334" s="85">
        <f>IF(H334,An,'2024'!An_max)</f>
        <v>2022</v>
      </c>
      <c r="K334" s="197">
        <f t="shared" si="104"/>
        <v>45977</v>
      </c>
      <c r="L334" s="147">
        <f>IF(t&lt;Tvie,1-EXP((T0-t)*PertePVj)+'2024'!Pspv,1-EXP((T0-t)*PertePVj)+Pspv)</f>
        <v>4.6709627776292839E-2</v>
      </c>
      <c r="M334" s="832"/>
      <c r="N334" s="832"/>
      <c r="O334" s="48">
        <f>IF(t&lt;Tnet,'2024'!Resal+('2024'!Salim-'2024'!Resal)*(1-EXP(('2024'!Tnet-t)/('2024'!Tau_j))),Resal+(Salim-Resal)*(1-EXP((Tnet-t)/(Tau_j))))*Salcycl</f>
        <v>4.6868982241429727E-2</v>
      </c>
      <c r="P334" s="169">
        <f>(INDEX(Models!$BJ334:$BT334,,T334)*(1-R334)+INDEX(Models!$BJ334:$BT334,,T334+1)*R334-ERP_i)*Q334*Ramure*Pc/MaxiM</f>
        <v>1.0737445339586812E-2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26.664368355939818</v>
      </c>
      <c r="W334" s="400">
        <f t="shared" si="111"/>
        <v>26.250951991399539</v>
      </c>
      <c r="X334" s="157">
        <f t="shared" si="112"/>
        <v>45977</v>
      </c>
      <c r="Y334" s="383">
        <f t="shared" si="113"/>
        <v>25.522504054078105</v>
      </c>
      <c r="Z334" s="383">
        <f t="shared" si="114"/>
        <v>26.773063903438626</v>
      </c>
      <c r="AA334" s="384">
        <f t="shared" si="115"/>
        <v>28.891310904421147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7.3317787759446071E-2</v>
      </c>
      <c r="AD334" s="230">
        <f>(INDEX(Models!$BJ334:$BT334,,AH334)*(1-AF334)+INDEX(Models!$BJ334:$BT334,,AH334+1)*AF334-ERP_i)*AE334*Ramure*Pc/MaxiM</f>
        <v>1.0737445339586812E-2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'2024'!Wh/'2024'!Env_an*'2025'!Env_an</f>
        <v>13.438423764452931</v>
      </c>
      <c r="C335" s="829"/>
      <c r="D335" s="391">
        <f t="shared" ref="D335:D379" si="127">Wh/(1-Ppv)</f>
        <v>14.097154136117529</v>
      </c>
      <c r="E335" s="383">
        <f t="shared" si="125"/>
        <v>14.790696944833087</v>
      </c>
      <c r="F335" s="383">
        <f t="shared" ref="F335:F379" si="128">Wh_sa/(1-Pvg*MEDIAN((-Sdif+Wh/Env_an)/Csdif,0,1))</f>
        <v>14.838799439983561</v>
      </c>
      <c r="G335" s="110">
        <f t="shared" si="126"/>
        <v>0.50500792137638462</v>
      </c>
      <c r="H335" s="412" t="b">
        <f>Wh_hp&gt;='2024'!Maxi_hp</f>
        <v>0</v>
      </c>
      <c r="I335" s="388">
        <f>IF(H335,Wh_hp,'2024'!Maxi_hp)</f>
        <v>23.200751935750731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4.6727897368796012E-2</v>
      </c>
      <c r="M335" s="832"/>
      <c r="N335" s="832"/>
      <c r="O335" s="48">
        <f>IF(t&lt;Tnet,'2024'!Resal+('2024'!Salim-'2024'!Resal)*(1-EXP(('2024'!Tnet-t)/('2024'!Tau_j))),Resal+(Salim-Resal)*(1-EXP((Tnet-t)/(Tau_j))))*Salcycl</f>
        <v>4.6890475229285029E-2</v>
      </c>
      <c r="P335" s="169">
        <f>(INDEX(Models!$BJ335:$BT335,,T335)*(1-R335)+INDEX(Models!$BJ335:$BT335,,T335+1)*R335-ERP_i)*Q335*Ramure*Pc/MaxiM</f>
        <v>1.0862529658837883E-2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26.406869665755192</v>
      </c>
      <c r="W335" s="400">
        <f t="shared" ref="W335:W379" si="136">Wh*(A335&gt;Tmaj)</f>
        <v>13.438423764452931</v>
      </c>
      <c r="X335" s="157">
        <f t="shared" ref="X335:X379" si="137">t</f>
        <v>45978</v>
      </c>
      <c r="Y335" s="383">
        <f t="shared" ref="Y335:Y379" si="138">Wh_pvt_s*(1-Ppv)</f>
        <v>13.066071399827537</v>
      </c>
      <c r="Z335" s="383">
        <f t="shared" ref="Z335:Z379" si="139">Wh_sa_s*(1-Psa_s)</f>
        <v>13.706549644915453</v>
      </c>
      <c r="AA335" s="384">
        <f t="shared" ref="AA335:AA379" si="140">Wh_hp*(1-Pvg_s*MEDIAN((-Sdif+Wh/Env_an)/Csdif,0,1))</f>
        <v>14.790696944833087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7.3299270748452716E-2</v>
      </c>
      <c r="AD335" s="230">
        <f>(INDEX(Models!$BJ335:$BT335,,AH335)*(1-AF335)+INDEX(Models!$BJ335:$BT335,,AH335+1)*AF335-ERP_i)*AE335*Ramure*Pc/MaxiM</f>
        <v>1.0862529658837883E-2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'2024'!Wh/'2024'!Env_an*'2025'!Env_an</f>
        <v>15.382573954816243</v>
      </c>
      <c r="C336" s="829"/>
      <c r="D336" s="391">
        <f t="shared" si="127"/>
        <v>16.136912767642315</v>
      </c>
      <c r="E336" s="383">
        <f t="shared" si="125"/>
        <v>16.931198378769338</v>
      </c>
      <c r="F336" s="383">
        <f t="shared" si="128"/>
        <v>17.008075536410672</v>
      </c>
      <c r="G336" s="110">
        <f t="shared" si="126"/>
        <v>0.58434850535053506</v>
      </c>
      <c r="H336" s="412" t="b">
        <f>Wh_hp&gt;='2024'!Maxi_hp</f>
        <v>0</v>
      </c>
      <c r="I336" s="388">
        <f>IF(H336,Wh_hp,'2024'!Maxi_hp)</f>
        <v>27.250192771666942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4.6746166611166706E-2</v>
      </c>
      <c r="M336" s="832"/>
      <c r="N336" s="832"/>
      <c r="O336" s="48">
        <f>IF(t&lt;Tnet,'2024'!Resal+('2024'!Salim-'2024'!Resal)*(1-EXP(('2024'!Tnet-t)/('2024'!Tau_j))),Resal+(Salim-Resal)*(1-EXP((Tnet-t)/(Tau_j))))*Salcycl</f>
        <v>4.691254531179586E-2</v>
      </c>
      <c r="P336" s="169">
        <f>(INDEX(Models!$BJ336:$BT336,,T336)*(1-R336)+INDEX(Models!$BJ336:$BT336,,T336+1)*R336-ERP_i)*Q336*Ramure*Pc/MaxiM</f>
        <v>1.0979905690748226E-2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26.153491004932818</v>
      </c>
      <c r="W336" s="400">
        <f t="shared" si="136"/>
        <v>15.382573954816243</v>
      </c>
      <c r="X336" s="157">
        <f t="shared" si="137"/>
        <v>45979</v>
      </c>
      <c r="Y336" s="383">
        <f t="shared" si="138"/>
        <v>14.956981871930822</v>
      </c>
      <c r="Z336" s="383">
        <f t="shared" si="139"/>
        <v>15.690450274675007</v>
      </c>
      <c r="AA336" s="384">
        <f t="shared" si="140"/>
        <v>16.931198378769338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7.3281765196854129E-2</v>
      </c>
      <c r="AD336" s="230">
        <f>(INDEX(Models!$BJ336:$BT336,,AH336)*(1-AF336)+INDEX(Models!$BJ336:$BT336,,AH336+1)*AF336-ERP_i)*AE336*Ramure*Pc/MaxiM</f>
        <v>1.0979905690748226E-2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'2024'!Wh/'2024'!Env_an*'2025'!Env_an</f>
        <v>7.0297687336499273</v>
      </c>
      <c r="C337" s="829"/>
      <c r="D337" s="391">
        <f t="shared" si="127"/>
        <v>7.3746395911722038</v>
      </c>
      <c r="E337" s="383">
        <f t="shared" si="125"/>
        <v>7.7378157049868932</v>
      </c>
      <c r="F337" s="383">
        <f t="shared" si="128"/>
        <v>7.7378157049868932</v>
      </c>
      <c r="G337" s="110">
        <f t="shared" si="126"/>
        <v>0.26836083583298542</v>
      </c>
      <c r="H337" s="412" t="b">
        <f>Wh_hp&gt;='2024'!Maxi_hp</f>
        <v>0</v>
      </c>
      <c r="I337" s="388">
        <f>IF(H337,Wh_hp,'2024'!Maxi_hp)</f>
        <v>28.562272949049884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4.6764435503411361E-2</v>
      </c>
      <c r="M337" s="832"/>
      <c r="N337" s="832"/>
      <c r="O337" s="48">
        <f>IF(t&lt;Tnet,'2024'!Resal+('2024'!Salim-'2024'!Resal)*(1-EXP(('2024'!Tnet-t)/('2024'!Tau_j))),Resal+(Salim-Resal)*(1-EXP((Tnet-t)/(Tau_j))))*Salcycl</f>
        <v>4.6935224055624454E-2</v>
      </c>
      <c r="P337" s="169">
        <f>(INDEX(Models!$BJ337:$BT337,,T337)*(1-R337)+INDEX(Models!$BJ337:$BT337,,T337+1)*R337-ERP_i)*Q337*Ramure*Pc/MaxiM</f>
        <v>1.1089515862401454E-2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25.904718846887068</v>
      </c>
      <c r="W337" s="400">
        <f t="shared" si="136"/>
        <v>7.0297687336499273</v>
      </c>
      <c r="X337" s="157">
        <f t="shared" si="137"/>
        <v>45980</v>
      </c>
      <c r="Y337" s="383">
        <f t="shared" si="138"/>
        <v>6.8355589844662115</v>
      </c>
      <c r="Z337" s="383">
        <f t="shared" si="139"/>
        <v>7.1709021768151562</v>
      </c>
      <c r="AA337" s="384">
        <f t="shared" si="140"/>
        <v>7.7378157049868932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7.3265317989722883E-2</v>
      </c>
      <c r="AD337" s="230">
        <f>(INDEX(Models!$BJ337:$BT337,,AH337)*(1-AF337)+INDEX(Models!$BJ337:$BT337,,AH337+1)*AF337-ERP_i)*AE337*Ramure*Pc/MaxiM</f>
        <v>1.1089515862401454E-2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'2024'!Wh/'2024'!Env_an*'2025'!Env_an</f>
        <v>15.468941365102093</v>
      </c>
      <c r="C338" s="829"/>
      <c r="D338" s="391">
        <f t="shared" si="127"/>
        <v>16.228137519906138</v>
      </c>
      <c r="E338" s="383">
        <f t="shared" si="125"/>
        <v>17.027735107714985</v>
      </c>
      <c r="F338" s="383">
        <f t="shared" si="128"/>
        <v>17.110581600274497</v>
      </c>
      <c r="G338" s="110">
        <f t="shared" si="126"/>
        <v>0.59897198566643128</v>
      </c>
      <c r="H338" s="412" t="b">
        <f>Wh_hp&gt;='2024'!Maxi_hp</f>
        <v>0</v>
      </c>
      <c r="I338" s="388">
        <f>IF(H338,Wh_hp,'2024'!Maxi_hp)</f>
        <v>28.66422438766487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4.6782704045536971E-2</v>
      </c>
      <c r="M338" s="832"/>
      <c r="N338" s="832"/>
      <c r="O338" s="48">
        <f>IF(t&lt;Tnet,'2024'!Resal+('2024'!Salim-'2024'!Resal)*(1-EXP(('2024'!Tnet-t)/('2024'!Tau_j))),Resal+(Salim-Resal)*(1-EXP((Tnet-t)/(Tau_j))))*Salcycl</f>
        <v>4.6958540448903477E-2</v>
      </c>
      <c r="P338" s="169">
        <f>(INDEX(Models!$BJ338:$BT338,,T338)*(1-R338)+INDEX(Models!$BJ338:$BT338,,T338+1)*R338-ERP_i)*Q338*Ramure*Pc/MaxiM</f>
        <v>1.1192431691850619E-2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25.661010289078</v>
      </c>
      <c r="W338" s="400">
        <f t="shared" si="136"/>
        <v>15.468941365102093</v>
      </c>
      <c r="X338" s="157">
        <f t="shared" si="137"/>
        <v>45981</v>
      </c>
      <c r="Y338" s="383">
        <f t="shared" si="138"/>
        <v>15.04220168142289</v>
      </c>
      <c r="Z338" s="383">
        <f t="shared" si="139"/>
        <v>15.780453990148207</v>
      </c>
      <c r="AA338" s="384">
        <f t="shared" si="140"/>
        <v>17.027735107714985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7.3249971865116517E-2</v>
      </c>
      <c r="AD338" s="230">
        <f>(INDEX(Models!$BJ338:$BT338,,AH338)*(1-AF338)+INDEX(Models!$BJ338:$BT338,,AH338+1)*AF338-ERP_i)*AE338*Ramure*Pc/MaxiM</f>
        <v>1.1192431691850619E-2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'2024'!Wh/'2024'!Env_an*'2025'!Env_an</f>
        <v>3.1070079278354377</v>
      </c>
      <c r="C339" s="829"/>
      <c r="D339" s="391">
        <f t="shared" si="127"/>
        <v>3.2595584314944839</v>
      </c>
      <c r="E339" s="383">
        <f t="shared" si="125"/>
        <v>3.4202504178569511</v>
      </c>
      <c r="F339" s="383">
        <f t="shared" si="128"/>
        <v>3.4202504178569511</v>
      </c>
      <c r="G339" s="110">
        <f t="shared" si="126"/>
        <v>0.12083357571600205</v>
      </c>
      <c r="H339" s="412" t="b">
        <f>Wh_hp&gt;='2024'!Maxi_hp</f>
        <v>0</v>
      </c>
      <c r="I339" s="388">
        <f>IF(H339,Wh_hp,'2024'!Maxi_hp)</f>
        <v>27.981917732937102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4.6800972237550198E-2</v>
      </c>
      <c r="M339" s="832"/>
      <c r="N339" s="832"/>
      <c r="O339" s="48">
        <f>IF(t&lt;Tnet,'2024'!Resal+('2024'!Salim-'2024'!Resal)*(1-EXP(('2024'!Tnet-t)/('2024'!Tau_j))),Resal+(Salim-Resal)*(1-EXP((Tnet-t)/(Tau_j))))*Salcycl</f>
        <v>4.6982520789560472E-2</v>
      </c>
      <c r="P339" s="169">
        <f>(INDEX(Models!$BJ339:$BT339,,T339)*(1-R339)+INDEX(Models!$BJ339:$BT339,,T339+1)*R339-ERP_i)*Q339*Ramure*Pc/MaxiM</f>
        <v>1.12909373492083E-2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25.422792280837367</v>
      </c>
      <c r="W339" s="400">
        <f t="shared" si="136"/>
        <v>3.1070079278354377</v>
      </c>
      <c r="X339" s="157">
        <f t="shared" si="137"/>
        <v>45982</v>
      </c>
      <c r="Y339" s="383">
        <f t="shared" si="138"/>
        <v>3.0214176417544012</v>
      </c>
      <c r="Z339" s="383">
        <f t="shared" si="139"/>
        <v>3.169765761141103</v>
      </c>
      <c r="AA339" s="384">
        <f t="shared" si="140"/>
        <v>3.4202504178569511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7.3235765255105473E-2</v>
      </c>
      <c r="AD339" s="230">
        <f>(INDEX(Models!$BJ339:$BT339,,AH339)*(1-AF339)+INDEX(Models!$BJ339:$BT339,,AH339+1)*AF339-ERP_i)*AE339*Ramure*Pc/MaxiM</f>
        <v>1.12909373492083E-2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'2024'!Wh/'2024'!Env_an*'2025'!Env_an</f>
        <v>7.6864383165410546</v>
      </c>
      <c r="C340" s="829"/>
      <c r="D340" s="391">
        <f t="shared" si="127"/>
        <v>8.0639881119524475</v>
      </c>
      <c r="E340" s="383">
        <f t="shared" si="125"/>
        <v>8.4617512487057862</v>
      </c>
      <c r="F340" s="383">
        <f t="shared" si="128"/>
        <v>8.4624575567469638</v>
      </c>
      <c r="G340" s="110">
        <f t="shared" si="126"/>
        <v>0.30168303650405198</v>
      </c>
      <c r="H340" s="412" t="b">
        <f>Wh_hp&gt;='2024'!Maxi_hp</f>
        <v>0</v>
      </c>
      <c r="I340" s="388">
        <f>IF(H340,Wh_hp,'2024'!Maxi_hp)</f>
        <v>29.203443370360098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4.6819240079457591E-2</v>
      </c>
      <c r="M340" s="832"/>
      <c r="N340" s="832"/>
      <c r="O340" s="48">
        <f>IF(t&lt;Tnet,'2024'!Resal+('2024'!Salim-'2024'!Resal)*(1-EXP(('2024'!Tnet-t)/('2024'!Tau_j))),Resal+(Salim-Resal)*(1-EXP((Tnet-t)/(Tau_j))))*Salcycl</f>
        <v>4.7007188590444136E-2</v>
      </c>
      <c r="P340" s="169">
        <f>(INDEX(Models!$BJ340:$BT340,,T340)*(1-R340)+INDEX(Models!$BJ340:$BT340,,T340+1)*R340-ERP_i)*Q340*Ramure*Pc/MaxiM</f>
        <v>1.1384913344256618E-2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25.190555153935076</v>
      </c>
      <c r="W340" s="400">
        <f t="shared" si="136"/>
        <v>7.6864383165410546</v>
      </c>
      <c r="X340" s="157">
        <f t="shared" si="137"/>
        <v>45983</v>
      </c>
      <c r="Y340" s="383">
        <f t="shared" si="138"/>
        <v>7.4749947923926081</v>
      </c>
      <c r="Z340" s="383">
        <f t="shared" si="139"/>
        <v>7.8421587034716556</v>
      </c>
      <c r="AA340" s="384">
        <f t="shared" si="140"/>
        <v>8.4617512487057862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7.3222732153571238E-2</v>
      </c>
      <c r="AD340" s="230">
        <f>(INDEX(Models!$BJ340:$BT340,,AH340)*(1-AF340)+INDEX(Models!$BJ340:$BT340,,AH340+1)*AF340-ERP_i)*AE340*Ramure*Pc/MaxiM</f>
        <v>1.1384913344256618E-2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'2024'!Wh/'2024'!Env_an*'2025'!Env_an</f>
        <v>12.890633570765269</v>
      </c>
      <c r="C341" s="829"/>
      <c r="D341" s="391">
        <f t="shared" si="127"/>
        <v>13.524067169196837</v>
      </c>
      <c r="E341" s="383">
        <f t="shared" si="125"/>
        <v>14.191531279479324</v>
      </c>
      <c r="F341" s="383">
        <f t="shared" si="128"/>
        <v>14.24203885186995</v>
      </c>
      <c r="G341" s="110">
        <f t="shared" si="126"/>
        <v>0.51224444873109376</v>
      </c>
      <c r="H341" s="412" t="b">
        <f>Wh_hp&gt;='2024'!Maxi_hp</f>
        <v>0</v>
      </c>
      <c r="I341" s="388">
        <f>IF(H341,Wh_hp,'2024'!Maxi_hp)</f>
        <v>29.107219927904186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4.6837507571266035E-2</v>
      </c>
      <c r="M341" s="832"/>
      <c r="N341" s="832"/>
      <c r="O341" s="48">
        <f>IF(t&lt;Tnet,'2024'!Resal+('2024'!Salim-'2024'!Resal)*(1-EXP(('2024'!Tnet-t)/('2024'!Tau_j))),Resal+(Salim-Resal)*(1-EXP((Tnet-t)/(Tau_j))))*Salcycl</f>
        <v>4.703256450187495E-2</v>
      </c>
      <c r="P341" s="169">
        <f>(INDEX(Models!$BJ341:$BT341,,T341)*(1-R341)+INDEX(Models!$BJ341:$BT341,,T341+1)*R341-ERP_i)*Q341*Ramure*Pc/MaxiM</f>
        <v>1.1474145782953211E-2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24.96479146201888</v>
      </c>
      <c r="W341" s="400">
        <f t="shared" si="136"/>
        <v>12.890633570765269</v>
      </c>
      <c r="X341" s="157">
        <f t="shared" si="137"/>
        <v>45984</v>
      </c>
      <c r="Y341" s="383">
        <f t="shared" si="138"/>
        <v>12.536523510169754</v>
      </c>
      <c r="Z341" s="383">
        <f t="shared" si="139"/>
        <v>13.152556473582688</v>
      </c>
      <c r="AA341" s="384">
        <f t="shared" si="140"/>
        <v>14.191531279479324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7.3210902011608403E-2</v>
      </c>
      <c r="AD341" s="230">
        <f>(INDEX(Models!$BJ341:$BT341,,AH341)*(1-AF341)+INDEX(Models!$BJ341:$BT341,,AH341+1)*AF341-ERP_i)*AE341*Ramure*Pc/MaxiM</f>
        <v>1.1474145782953211E-2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'2024'!Wh/'2024'!Env_an*'2025'!Env_an</f>
        <v>13.527693738158373</v>
      </c>
      <c r="C342" s="829"/>
      <c r="D342" s="391">
        <f t="shared" si="127"/>
        <v>14.192703873419379</v>
      </c>
      <c r="E342" s="383">
        <f t="shared" si="125"/>
        <v>14.893575680676809</v>
      </c>
      <c r="F342" s="383">
        <f t="shared" si="128"/>
        <v>14.954483764890332</v>
      </c>
      <c r="G342" s="110">
        <f t="shared" si="126"/>
        <v>0.54255319098394694</v>
      </c>
      <c r="H342" s="412" t="b">
        <f>Wh_hp&gt;='2024'!Maxi_hp</f>
        <v>0</v>
      </c>
      <c r="I342" s="388">
        <f>IF(H342,Wh_hp,'2024'!Maxi_hp)</f>
        <v>27.112988230859333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4.6855774712982079E-2</v>
      </c>
      <c r="M342" s="832"/>
      <c r="N342" s="832"/>
      <c r="O342" s="48">
        <f>IF(t&lt;Tnet,'2024'!Resal+('2024'!Salim-'2024'!Resal)*(1-EXP(('2024'!Tnet-t)/('2024'!Tau_j))),Resal+(Salim-Resal)*(1-EXP((Tnet-t)/(Tau_j))))*Salcycl</f>
        <v>4.7058666252104579E-2</v>
      </c>
      <c r="P342" s="169">
        <f>(INDEX(Models!$BJ342:$BT342,,T342)*(1-R342)+INDEX(Models!$BJ342:$BT342,,T342+1)*R342-ERP_i)*Q342*Ramure*Pc/MaxiM</f>
        <v>1.1558442731003541E-2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24.745992992145791</v>
      </c>
      <c r="W342" s="400">
        <f t="shared" si="136"/>
        <v>13.527693738158373</v>
      </c>
      <c r="X342" s="157">
        <f t="shared" si="137"/>
        <v>45985</v>
      </c>
      <c r="Y342" s="383">
        <f t="shared" si="138"/>
        <v>13.156594282138462</v>
      </c>
      <c r="Z342" s="383">
        <f t="shared" si="139"/>
        <v>13.8033614778253</v>
      </c>
      <c r="AA342" s="384">
        <f t="shared" si="140"/>
        <v>14.893575680676809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7.3200299661146676E-2</v>
      </c>
      <c r="AD342" s="230">
        <f>(INDEX(Models!$BJ342:$BT342,,AH342)*(1-AF342)+INDEX(Models!$BJ342:$BT342,,AH342+1)*AF342-ERP_i)*AE342*Ramure*Pc/MaxiM</f>
        <v>1.1558442731003541E-2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'2024'!Wh/'2024'!Env_an*'2025'!Env_an</f>
        <v>4.6876658678131653</v>
      </c>
      <c r="C343" s="829"/>
      <c r="D343" s="391">
        <f t="shared" si="127"/>
        <v>4.9182018662183475</v>
      </c>
      <c r="E343" s="383">
        <f t="shared" si="125"/>
        <v>5.1612205613787481</v>
      </c>
      <c r="F343" s="383">
        <f t="shared" si="128"/>
        <v>5.1612205613787481</v>
      </c>
      <c r="G343" s="110">
        <f t="shared" si="126"/>
        <v>0.18883955438335351</v>
      </c>
      <c r="H343" s="412" t="b">
        <f>Wh_hp&gt;='2024'!Maxi_hp</f>
        <v>0</v>
      </c>
      <c r="I343" s="388">
        <f>IF(H343,Wh_hp,'2024'!Maxi_hp)</f>
        <v>25.709723482797013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4.6874041504612607E-2</v>
      </c>
      <c r="M343" s="832"/>
      <c r="N343" s="832"/>
      <c r="O343" s="48">
        <f>IF(t&lt;Tnet,'2024'!Resal+('2024'!Salim-'2024'!Resal)*(1-EXP(('2024'!Tnet-t)/('2024'!Tau_j))),Resal+(Salim-Resal)*(1-EXP((Tnet-t)/(Tau_j))))*Salcycl</f>
        <v>4.7085508606026519E-2</v>
      </c>
      <c r="P343" s="169">
        <f>(INDEX(Models!$BJ343:$BT343,,T343)*(1-R343)+INDEX(Models!$BJ343:$BT343,,T343+1)*R343-ERP_i)*Q343*Ramure*Pc/MaxiM</f>
        <v>1.1637646970131718E-2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24.534650499779172</v>
      </c>
      <c r="W343" s="400">
        <f t="shared" si="136"/>
        <v>4.6876658678131653</v>
      </c>
      <c r="X343" s="157">
        <f t="shared" si="137"/>
        <v>45986</v>
      </c>
      <c r="Y343" s="383">
        <f t="shared" si="138"/>
        <v>4.5592455682941022</v>
      </c>
      <c r="Z343" s="383">
        <f t="shared" si="139"/>
        <v>4.7834659497590071</v>
      </c>
      <c r="AA343" s="384">
        <f t="shared" si="140"/>
        <v>5.1612205613787481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7.3190945267184893E-2</v>
      </c>
      <c r="AD343" s="230">
        <f>(INDEX(Models!$BJ343:$BT343,,AH343)*(1-AF343)+INDEX(Models!$BJ343:$BT343,,AH343+1)*AF343-ERP_i)*AE343*Ramure*Pc/MaxiM</f>
        <v>1.1637646970131718E-2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'2024'!Wh/'2024'!Env_an*'2025'!Env_an</f>
        <v>10.771589477059749</v>
      </c>
      <c r="C344" s="829"/>
      <c r="D344" s="391">
        <f t="shared" si="127"/>
        <v>11.301545005736163</v>
      </c>
      <c r="E344" s="383">
        <f t="shared" si="125"/>
        <v>11.860321561118463</v>
      </c>
      <c r="F344" s="383">
        <f t="shared" si="128"/>
        <v>11.888706882487256</v>
      </c>
      <c r="G344" s="110">
        <f t="shared" si="126"/>
        <v>0.43856820430274901</v>
      </c>
      <c r="H344" s="412" t="b">
        <f>Wh_hp&gt;='2024'!Maxi_hp</f>
        <v>0</v>
      </c>
      <c r="I344" s="388">
        <f>IF(H344,Wh_hp,'2024'!Maxi_hp)</f>
        <v>26.915508219914461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4.6892307946164169E-2</v>
      </c>
      <c r="M344" s="832"/>
      <c r="N344" s="832"/>
      <c r="O344" s="48">
        <f>IF(t&lt;Tnet,'2024'!Resal+('2024'!Salim-'2024'!Resal)*(1-EXP(('2024'!Tnet-t)/('2024'!Tau_j))),Resal+(Salim-Resal)*(1-EXP((Tnet-t)/(Tau_j))))*Salcycl</f>
        <v>4.7113103342335254E-2</v>
      </c>
      <c r="P344" s="169">
        <f>(INDEX(Models!$BJ344:$BT344,,T344)*(1-R344)+INDEX(Models!$BJ344:$BT344,,T344+1)*R344-ERP_i)*Q344*Ramure*Pc/MaxiM</f>
        <v>1.1711577650006459E-2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24.331255213988172</v>
      </c>
      <c r="W344" s="400">
        <f t="shared" si="136"/>
        <v>10.771589477059749</v>
      </c>
      <c r="X344" s="157">
        <f t="shared" si="137"/>
        <v>45987</v>
      </c>
      <c r="Y344" s="383">
        <f t="shared" si="138"/>
        <v>10.476892744252375</v>
      </c>
      <c r="Z344" s="383">
        <f t="shared" si="139"/>
        <v>10.992349376255577</v>
      </c>
      <c r="AA344" s="384">
        <f t="shared" si="140"/>
        <v>11.860321561118463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7.3182854308802947E-2</v>
      </c>
      <c r="AD344" s="230">
        <f>(INDEX(Models!$BJ344:$BT344,,AH344)*(1-AF344)+INDEX(Models!$BJ344:$BT344,,AH344+1)*AF344-ERP_i)*AE344*Ramure*Pc/MaxiM</f>
        <v>1.1711577650006459E-2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'2024'!Wh/'2024'!Env_an*'2025'!Env_an</f>
        <v>14.179651846946758</v>
      </c>
      <c r="C345" s="829"/>
      <c r="D345" s="391">
        <f t="shared" si="127"/>
        <v>14.877567057917188</v>
      </c>
      <c r="E345" s="383">
        <f t="shared" si="125"/>
        <v>15.613615685487011</v>
      </c>
      <c r="F345" s="383">
        <f t="shared" si="128"/>
        <v>15.689544865708662</v>
      </c>
      <c r="G345" s="110">
        <f t="shared" si="126"/>
        <v>0.58344588583860313</v>
      </c>
      <c r="H345" s="412" t="b">
        <f>Wh_hp&gt;='2024'!Maxi_hp</f>
        <v>0</v>
      </c>
      <c r="I345" s="388">
        <f>IF(H345,Wh_hp,'2024'!Maxi_hp)</f>
        <v>23.300191289146664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4.6910574037643538E-2</v>
      </c>
      <c r="M345" s="832"/>
      <c r="N345" s="832"/>
      <c r="O345" s="48">
        <f>IF(t&lt;Tnet,'2024'!Resal+('2024'!Salim-'2024'!Resal)*(1-EXP(('2024'!Tnet-t)/('2024'!Tau_j))),Resal+(Salim-Resal)*(1-EXP((Tnet-t)/(Tau_j))))*Salcycl</f>
        <v>4.7141459249185003E-2</v>
      </c>
      <c r="P345" s="169">
        <f>(INDEX(Models!$BJ345:$BT345,,T345)*(1-R345)+INDEX(Models!$BJ345:$BT345,,T345+1)*R345-ERP_i)*Q345*Ramure*Pc/MaxiM</f>
        <v>1.1781256375813228E-2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24.133756853491896</v>
      </c>
      <c r="W345" s="400">
        <f t="shared" si="136"/>
        <v>14.179651846946758</v>
      </c>
      <c r="X345" s="157">
        <f t="shared" si="137"/>
        <v>45988</v>
      </c>
      <c r="Y345" s="383">
        <f t="shared" si="138"/>
        <v>13.792226808442935</v>
      </c>
      <c r="Z345" s="383">
        <f t="shared" si="139"/>
        <v>14.471073157187327</v>
      </c>
      <c r="AA345" s="384">
        <f t="shared" si="140"/>
        <v>15.613615685487011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7.3176037588890241E-2</v>
      </c>
      <c r="AD345" s="230">
        <f>(INDEX(Models!$BJ345:$BT345,,AH345)*(1-AF345)+INDEX(Models!$BJ345:$BT345,,AH345+1)*AF345-ERP_i)*AE345*Ramure*Pc/MaxiM</f>
        <v>1.1781256375813228E-2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'2024'!Wh/'2024'!Env_an*'2025'!Env_an</f>
        <v>10.287296806553767</v>
      </c>
      <c r="C346" s="829"/>
      <c r="D346" s="391">
        <f t="shared" si="127"/>
        <v>10.793839154852771</v>
      </c>
      <c r="E346" s="383">
        <f t="shared" si="125"/>
        <v>11.328196792113449</v>
      </c>
      <c r="F346" s="383">
        <f t="shared" si="128"/>
        <v>11.353115921557094</v>
      </c>
      <c r="G346" s="110">
        <f t="shared" si="126"/>
        <v>0.4255515337228627</v>
      </c>
      <c r="H346" s="412" t="b">
        <f>Wh_hp&gt;='2024'!Maxi_hp</f>
        <v>0</v>
      </c>
      <c r="I346" s="388">
        <f>IF(H346,Wh_hp,'2024'!Maxi_hp)</f>
        <v>16.384266753107251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4.6928839779057485E-2</v>
      </c>
      <c r="M346" s="832"/>
      <c r="N346" s="832"/>
      <c r="O346" s="48">
        <f>IF(t&lt;Tnet,'2024'!Resal+('2024'!Salim-'2024'!Resal)*(1-EXP(('2024'!Tnet-t)/('2024'!Tau_j))),Resal+(Salim-Resal)*(1-EXP((Tnet-t)/(Tau_j))))*Salcycl</f>
        <v>4.7170582138252634E-2</v>
      </c>
      <c r="P346" s="169">
        <f>(INDEX(Models!$BJ346:$BT346,,T346)*(1-R346)+INDEX(Models!$BJ346:$BT346,,T346+1)*R346-ERP_i)*Q346*Ramure*Pc/MaxiM</f>
        <v>1.184542293686267E-2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23.940228101485314</v>
      </c>
      <c r="W346" s="400">
        <f t="shared" si="136"/>
        <v>10.287296806553767</v>
      </c>
      <c r="X346" s="157">
        <f t="shared" si="137"/>
        <v>45989</v>
      </c>
      <c r="Y346" s="383">
        <f t="shared" si="138"/>
        <v>10.006586660472635</v>
      </c>
      <c r="Z346" s="383">
        <f t="shared" si="139"/>
        <v>10.499306954323213</v>
      </c>
      <c r="AA346" s="384">
        <f t="shared" si="140"/>
        <v>11.328196792113449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7.3170501272303012E-2</v>
      </c>
      <c r="AD346" s="230">
        <f>(INDEX(Models!$BJ346:$BT346,,AH346)*(1-AF346)+INDEX(Models!$BJ346:$BT346,,AH346+1)*AF346-ERP_i)*AE346*Ramure*Pc/MaxiM</f>
        <v>1.184542293686267E-2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'2024'!Wh/'2024'!Env_an*'2025'!Env_an</f>
        <v>14.982561254852749</v>
      </c>
      <c r="C347" s="829"/>
      <c r="D347" s="391">
        <f t="shared" si="127"/>
        <v>15.720597813756957</v>
      </c>
      <c r="E347" s="383">
        <f t="shared" si="125"/>
        <v>16.499376205846584</v>
      </c>
      <c r="F347" s="383">
        <f t="shared" si="128"/>
        <v>16.592770431211513</v>
      </c>
      <c r="G347" s="110">
        <f t="shared" si="126"/>
        <v>0.62683028693118059</v>
      </c>
      <c r="H347" s="412" t="b">
        <f>Wh_hp&gt;='2024'!Maxi_hp</f>
        <v>0</v>
      </c>
      <c r="I347" s="388">
        <f>IF(H347,Wh_hp,'2024'!Maxi_hp)</f>
        <v>16.653825364085652</v>
      </c>
      <c r="J347" s="85">
        <f>IF(H347,An,'2024'!An_max)</f>
        <v>2022</v>
      </c>
      <c r="K347" s="197">
        <f t="shared" si="129"/>
        <v>45990</v>
      </c>
      <c r="L347" s="147">
        <f>IF(t&lt;Tvie,1-EXP((T0-t)*PertePVj)+'2024'!Pspv,1-EXP((T0-t)*PertePVj)+Pspv)</f>
        <v>4.6947105170412673E-2</v>
      </c>
      <c r="M347" s="832"/>
      <c r="N347" s="832"/>
      <c r="O347" s="48">
        <f>IF(t&lt;Tnet,'2024'!Resal+('2024'!Salim-'2024'!Resal)*(1-EXP(('2024'!Tnet-t)/('2024'!Tau_j))),Resal+(Salim-Resal)*(1-EXP((Tnet-t)/(Tau_j))))*Salcycl</f>
        <v>4.7200474876963376E-2</v>
      </c>
      <c r="P347" s="169">
        <f>(INDEX(Models!$BJ347:$BT347,,T347)*(1-R347)+INDEX(Models!$BJ347:$BT347,,T347+1)*R347-ERP_i)*Q347*Ramure*Pc/MaxiM</f>
        <v>1.1910055167150846E-2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23.751112066333263</v>
      </c>
      <c r="W347" s="400">
        <f t="shared" si="136"/>
        <v>14.982561254852749</v>
      </c>
      <c r="X347" s="157">
        <f t="shared" si="137"/>
        <v>45990</v>
      </c>
      <c r="Y347" s="383">
        <f t="shared" si="138"/>
        <v>14.574255246731425</v>
      </c>
      <c r="Z347" s="383">
        <f t="shared" si="139"/>
        <v>15.292178771816655</v>
      </c>
      <c r="AA347" s="384">
        <f t="shared" si="140"/>
        <v>16.499376205846584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7.3166246951939726E-2</v>
      </c>
      <c r="AD347" s="230">
        <f>(INDEX(Models!$BJ347:$BT347,,AH347)*(1-AF347)+INDEX(Models!$BJ347:$BT347,,AH347+1)*AF347-ERP_i)*AE347*Ramure*Pc/MaxiM</f>
        <v>1.1910055167150846E-2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'2024'!Wh/'2024'!Env_an*'2025'!Env_an</f>
        <v>3.9152572928182496</v>
      </c>
      <c r="C348" s="829"/>
      <c r="D348" s="391">
        <f t="shared" si="127"/>
        <v>4.1082004477508027</v>
      </c>
      <c r="E348" s="383">
        <f t="shared" si="125"/>
        <v>4.3118542273788929</v>
      </c>
      <c r="F348" s="383">
        <f t="shared" si="128"/>
        <v>4.3118542273788929</v>
      </c>
      <c r="G348" s="110">
        <f t="shared" si="126"/>
        <v>0.16414357723284614</v>
      </c>
      <c r="H348" s="412" t="b">
        <f>Wh_hp&gt;='2024'!Maxi_hp</f>
        <v>0</v>
      </c>
      <c r="I348" s="388">
        <f>IF(H348,Wh_hp,'2024'!Maxi_hp)</f>
        <v>25.310170680267795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4.6965370211715762E-2</v>
      </c>
      <c r="M348" s="832"/>
      <c r="N348" s="832"/>
      <c r="O348" s="48">
        <f>IF(t&lt;Tnet,'2024'!Resal+('2024'!Salim-'2024'!Resal)*(1-EXP(('2024'!Tnet-t)/('2024'!Tau_j))),Resal+(Salim-Resal)*(1-EXP((Tnet-t)/(Tau_j))))*Salcycl</f>
        <v>4.7231137438495378E-2</v>
      </c>
      <c r="P348" s="169">
        <f>(INDEX(Models!$BJ348:$BT348,,T348)*(1-R348)+INDEX(Models!$BJ348:$BT348,,T348+1)*R348-ERP_i)*Q348*Ramure*Pc/MaxiM</f>
        <v>1.1974921209409375E-2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23.567004328988762</v>
      </c>
      <c r="W348" s="400">
        <f t="shared" si="136"/>
        <v>3.9152572928182496</v>
      </c>
      <c r="X348" s="157">
        <f t="shared" si="137"/>
        <v>45991</v>
      </c>
      <c r="Y348" s="383">
        <f t="shared" si="138"/>
        <v>3.8086931701440498</v>
      </c>
      <c r="Z348" s="383">
        <f t="shared" si="139"/>
        <v>3.9963848648292535</v>
      </c>
      <c r="AA348" s="384">
        <f t="shared" si="140"/>
        <v>4.3118542273788929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7.3163271742005945E-2</v>
      </c>
      <c r="AD348" s="230">
        <f>(INDEX(Models!$BJ348:$BT348,,AH348)*(1-AF348)+INDEX(Models!$BJ348:$BT348,,AH348+1)*AF348-ERP_i)*AE348*Ramure*Pc/MaxiM</f>
        <v>1.1974921209409375E-2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'2024'!Wh/'2024'!Env_an*'2025'!Env_an</f>
        <v>3.7060801666845538</v>
      </c>
      <c r="C349" s="829"/>
      <c r="D349" s="391">
        <f t="shared" si="127"/>
        <v>3.8887896393124772</v>
      </c>
      <c r="E349" s="383">
        <f t="shared" si="125"/>
        <v>4.0817013213609137</v>
      </c>
      <c r="F349" s="383">
        <f t="shared" si="128"/>
        <v>4.0817013213609137</v>
      </c>
      <c r="G349" s="110">
        <f t="shared" si="126"/>
        <v>0.156549574946795</v>
      </c>
      <c r="H349" s="412" t="b">
        <f>Wh_hp&gt;='2024'!Maxi_hp</f>
        <v>0</v>
      </c>
      <c r="I349" s="388">
        <f>IF(H349,Wh_hp,'2024'!Maxi_hp)</f>
        <v>26.146261330818092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4.6983634902973526E-2</v>
      </c>
      <c r="M349" s="832"/>
      <c r="N349" s="832"/>
      <c r="O349" s="48">
        <f>IF(t&lt;Tnet,'2024'!Resal+('2024'!Salim-'2024'!Resal)*(1-EXP(('2024'!Tnet-t)/('2024'!Tau_j))),Resal+(Salim-Resal)*(1-EXP((Tnet-t)/(Tau_j))))*Salcycl</f>
        <v>4.7262566969039299E-2</v>
      </c>
      <c r="P349" s="169">
        <f>(INDEX(Models!$BJ349:$BT349,,T349)*(1-R349)+INDEX(Models!$BJ349:$BT349,,T349+1)*R349-ERP_i)*Q349*Ramure*Pc/MaxiM</f>
        <v>1.2039759246203954E-2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23.3885007670888</v>
      </c>
      <c r="W349" s="400">
        <f t="shared" si="136"/>
        <v>3.7060801666845538</v>
      </c>
      <c r="X349" s="157">
        <f t="shared" si="137"/>
        <v>45992</v>
      </c>
      <c r="Y349" s="383">
        <f t="shared" si="138"/>
        <v>3.6053349117975841</v>
      </c>
      <c r="Z349" s="383">
        <f t="shared" si="139"/>
        <v>3.783077650959882</v>
      </c>
      <c r="AA349" s="384">
        <f t="shared" si="140"/>
        <v>4.0817013213609137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7.3161568397529186E-2</v>
      </c>
      <c r="AD349" s="230">
        <f>(INDEX(Models!$BJ349:$BT349,,AH349)*(1-AF349)+INDEX(Models!$BJ349:$BT349,,AH349+1)*AF349-ERP_i)*AE349*Ramure*Pc/MaxiM</f>
        <v>1.2039759246203954E-2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'2024'!Wh/'2024'!Env_an*'2025'!Env_an</f>
        <v>5.5678728209086765</v>
      </c>
      <c r="C350" s="829"/>
      <c r="D350" s="391">
        <f t="shared" si="127"/>
        <v>5.8424805007406482</v>
      </c>
      <c r="E350" s="383">
        <f t="shared" si="125"/>
        <v>6.1325163779812311</v>
      </c>
      <c r="F350" s="383">
        <f t="shared" si="128"/>
        <v>6.1325163779812311</v>
      </c>
      <c r="G350" s="110">
        <f t="shared" si="126"/>
        <v>0.23692414465802547</v>
      </c>
      <c r="H350" s="412" t="b">
        <f>Wh_hp&gt;='2024'!Maxi_hp</f>
        <v>0</v>
      </c>
      <c r="I350" s="388">
        <f>IF(H350,Wh_hp,'2024'!Maxi_hp)</f>
        <v>9.9498204075695913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4.7001899244192624E-2</v>
      </c>
      <c r="M350" s="832"/>
      <c r="N350" s="832"/>
      <c r="O350" s="48">
        <f>IF(t&lt;Tnet,'2024'!Resal+('2024'!Salim-'2024'!Resal)*(1-EXP(('2024'!Tnet-t)/('2024'!Tau_j))),Resal+(Salim-Resal)*(1-EXP((Tnet-t)/(Tau_j))))*Salcycl</f>
        <v>4.7294757871655269E-2</v>
      </c>
      <c r="P350" s="169">
        <f>(INDEX(Models!$BJ350:$BT350,,T350)*(1-R350)+INDEX(Models!$BJ350:$BT350,,T350+1)*R350-ERP_i)*Q350*Ramure*Pc/MaxiM</f>
        <v>1.210427711044303E-2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23.216197544188844</v>
      </c>
      <c r="W350" s="400">
        <f t="shared" si="136"/>
        <v>5.5678728209086765</v>
      </c>
      <c r="X350" s="157">
        <f t="shared" si="137"/>
        <v>45993</v>
      </c>
      <c r="Y350" s="383">
        <f t="shared" si="138"/>
        <v>5.4167026176846775</v>
      </c>
      <c r="Z350" s="383">
        <f t="shared" si="139"/>
        <v>5.6838545778724834</v>
      </c>
      <c r="AA350" s="384">
        <f t="shared" si="140"/>
        <v>6.1325163779812311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7.3161125458982124E-2</v>
      </c>
      <c r="AD350" s="230">
        <f>(INDEX(Models!$BJ350:$BT350,,AH350)*(1-AF350)+INDEX(Models!$BJ350:$BT350,,AH350+1)*AF350-ERP_i)*AE350*Ramure*Pc/MaxiM</f>
        <v>1.210427711044303E-2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'2024'!Wh/'2024'!Env_an*'2025'!Env_an</f>
        <v>9.3315661699005137</v>
      </c>
      <c r="C351" s="829"/>
      <c r="D351" s="391">
        <f t="shared" si="127"/>
        <v>9.7919869968931454</v>
      </c>
      <c r="E351" s="383">
        <f t="shared" si="125"/>
        <v>10.278442037711443</v>
      </c>
      <c r="F351" s="383">
        <f t="shared" si="128"/>
        <v>10.297205953395945</v>
      </c>
      <c r="G351" s="110">
        <f t="shared" si="126"/>
        <v>0.4006320792198334</v>
      </c>
      <c r="H351" s="412" t="b">
        <f>Wh_hp&gt;='2024'!Maxi_hp</f>
        <v>0</v>
      </c>
      <c r="I351" s="388">
        <f>IF(H351,Wh_hp,'2024'!Maxi_hp)</f>
        <v>16.647333469246274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4.702016323537983E-2</v>
      </c>
      <c r="M351" s="832"/>
      <c r="N351" s="832"/>
      <c r="O351" s="48">
        <f>IF(t&lt;Tnet,'2024'!Resal+('2024'!Salim-'2024'!Resal)*(1-EXP(('2024'!Tnet-t)/('2024'!Tau_j))),Resal+(Salim-Resal)*(1-EXP((Tnet-t)/(Tau_j))))*Salcycl</f>
        <v>4.7327701905940815E-2</v>
      </c>
      <c r="P351" s="169">
        <f>(INDEX(Models!$BJ351:$BT351,,T351)*(1-R351)+INDEX(Models!$BJ351:$BT351,,T351+1)*R351-ERP_i)*Q351*Ramure*Pc/MaxiM</f>
        <v>1.2168152239301561E-2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23.05069109349019</v>
      </c>
      <c r="W351" s="400">
        <f t="shared" si="136"/>
        <v>9.3315661699005137</v>
      </c>
      <c r="X351" s="157">
        <f t="shared" si="137"/>
        <v>45994</v>
      </c>
      <c r="Y351" s="383">
        <f t="shared" si="138"/>
        <v>9.0785161071231677</v>
      </c>
      <c r="Z351" s="383">
        <f t="shared" si="139"/>
        <v>9.5264514073507129</v>
      </c>
      <c r="AA351" s="384">
        <f t="shared" si="140"/>
        <v>10.278442037711443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7.316192742068181E-2</v>
      </c>
      <c r="AD351" s="230">
        <f>(INDEX(Models!$BJ351:$BT351,,AH351)*(1-AF351)+INDEX(Models!$BJ351:$BT351,,AH351+1)*AF351-ERP_i)*AE351*Ramure*Pc/MaxiM</f>
        <v>1.2168152239301561E-2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'2024'!Wh/'2024'!Env_an*'2025'!Env_an</f>
        <v>17.11339660974193</v>
      </c>
      <c r="C352" s="829"/>
      <c r="D352" s="391">
        <f t="shared" si="127"/>
        <v>17.958118241484279</v>
      </c>
      <c r="E352" s="383">
        <f t="shared" si="125"/>
        <v>18.85092418150758</v>
      </c>
      <c r="F352" s="383">
        <f t="shared" si="128"/>
        <v>18.999433894224286</v>
      </c>
      <c r="G352" s="110">
        <f t="shared" si="126"/>
        <v>0.74422611172594433</v>
      </c>
      <c r="H352" s="412" t="b">
        <f>Wh_hp&gt;='2024'!Maxi_hp</f>
        <v>0</v>
      </c>
      <c r="I352" s="388">
        <f>IF(H352,Wh_hp,'2024'!Maxi_hp)</f>
        <v>19.047013282161593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4.7038426876541695E-2</v>
      </c>
      <c r="M352" s="832"/>
      <c r="N352" s="832"/>
      <c r="O352" s="48">
        <f>IF(t&lt;Tnet,'2024'!Resal+('2024'!Salim-'2024'!Resal)*(1-EXP(('2024'!Tnet-t)/('2024'!Tau_j))),Resal+(Salim-Resal)*(1-EXP((Tnet-t)/(Tau_j))))*Salcycl</f>
        <v>4.7361388302602635E-2</v>
      </c>
      <c r="P352" s="169">
        <f>(INDEX(Models!$BJ352:$BT352,,T352)*(1-R352)+INDEX(Models!$BJ352:$BT352,,T352+1)*R352-ERP_i)*Q352*Ramure*Pc/MaxiM</f>
        <v>1.2225665338022114E-2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22.892702467400397</v>
      </c>
      <c r="W352" s="400">
        <f t="shared" si="136"/>
        <v>17.11339660974193</v>
      </c>
      <c r="X352" s="157">
        <f t="shared" si="137"/>
        <v>45995</v>
      </c>
      <c r="Y352" s="383">
        <f t="shared" si="138"/>
        <v>16.649873978309962</v>
      </c>
      <c r="Z352" s="383">
        <f t="shared" si="139"/>
        <v>17.471716014464032</v>
      </c>
      <c r="AA352" s="384">
        <f t="shared" si="140"/>
        <v>18.85092418150758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7.3163954921452973E-2</v>
      </c>
      <c r="AD352" s="230">
        <f>(INDEX(Models!$BJ352:$BT352,,AH352)*(1-AF352)+INDEX(Models!$BJ352:$BT352,,AH352+1)*AF352-ERP_i)*AE352*Ramure*Pc/MaxiM</f>
        <v>1.2225665338022114E-2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'2024'!Wh/'2024'!Env_an*'2025'!Env_an</f>
        <v>22.687966661408648</v>
      </c>
      <c r="C353" s="829"/>
      <c r="D353" s="391">
        <f t="shared" si="127"/>
        <v>23.8083067768228</v>
      </c>
      <c r="E353" s="383">
        <f t="shared" si="125"/>
        <v>24.992863640631484</v>
      </c>
      <c r="F353" s="383">
        <f t="shared" si="128"/>
        <v>25.302386134498832</v>
      </c>
      <c r="G353" s="110">
        <f t="shared" si="126"/>
        <v>0.99754390301890683</v>
      </c>
      <c r="H353" s="412" t="b">
        <f>Wh_hp&gt;='2024'!Maxi_hp</f>
        <v>0</v>
      </c>
      <c r="I353" s="388">
        <f>IF(H353,Wh_hp,'2024'!Maxi_hp)</f>
        <v>25.302989911833503</v>
      </c>
      <c r="J353" s="85">
        <f>IF(H353,An,'2024'!An_max)</f>
        <v>2022</v>
      </c>
      <c r="K353" s="197">
        <f t="shared" si="129"/>
        <v>45996</v>
      </c>
      <c r="L353" s="147">
        <f>IF(t&lt;Tvie,1-EXP((T0-t)*PertePVj)+'2024'!Pspv,1-EXP((T0-t)*PertePVj)+Pspv)</f>
        <v>4.7056690167685211E-2</v>
      </c>
      <c r="M353" s="832"/>
      <c r="N353" s="832"/>
      <c r="O353" s="48">
        <f>IF(t&lt;Tnet,'2024'!Resal+('2024'!Salim-'2024'!Resal)*(1-EXP(('2024'!Tnet-t)/('2024'!Tau_j))),Resal+(Salim-Resal)*(1-EXP((Tnet-t)/(Tau_j))))*Salcycl</f>
        <v>4.739580389191269E-2</v>
      </c>
      <c r="P353" s="169">
        <f>(INDEX(Models!$BJ353:$BT353,,T353)*(1-R353)+INDEX(Models!$BJ353:$BT353,,T353+1)*R353-ERP_i)*Q353*Ramure*Pc/MaxiM</f>
        <v>1.2275257734591731E-2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22.742853250510695</v>
      </c>
      <c r="W353" s="400">
        <f t="shared" si="136"/>
        <v>22.687966661408648</v>
      </c>
      <c r="X353" s="157">
        <f t="shared" si="137"/>
        <v>45996</v>
      </c>
      <c r="Y353" s="383">
        <f t="shared" si="138"/>
        <v>22.074175291617745</v>
      </c>
      <c r="Z353" s="383">
        <f t="shared" si="139"/>
        <v>23.164206164060317</v>
      </c>
      <c r="AA353" s="384">
        <f t="shared" si="140"/>
        <v>24.992863640631484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7.3167184955879733E-2</v>
      </c>
      <c r="AD353" s="230">
        <f>(INDEX(Models!$BJ353:$BT353,,AH353)*(1-AF353)+INDEX(Models!$BJ353:$BT353,,AH353+1)*AF353-ERP_i)*AE353*Ramure*Pc/MaxiM</f>
        <v>1.2275257734591731E-2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'2024'!Wh/'2024'!Env_an*'2025'!Env_an</f>
        <v>11.153514346664792</v>
      </c>
      <c r="C354" s="829"/>
      <c r="D354" s="391">
        <f t="shared" si="127"/>
        <v>11.704503290213589</v>
      </c>
      <c r="E354" s="383">
        <f t="shared" si="125"/>
        <v>12.287301465798135</v>
      </c>
      <c r="F354" s="383">
        <f t="shared" si="128"/>
        <v>12.329273862339798</v>
      </c>
      <c r="G354" s="110">
        <f t="shared" si="126"/>
        <v>0.48906735144757751</v>
      </c>
      <c r="H354" s="412" t="b">
        <f>Wh_hp&gt;='2024'!Maxi_hp</f>
        <v>0</v>
      </c>
      <c r="I354" s="388">
        <f>IF(H354,Wh_hp,'2024'!Maxi_hp)</f>
        <v>18.881092862283797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4.7074953108816819E-2</v>
      </c>
      <c r="M354" s="832"/>
      <c r="N354" s="832"/>
      <c r="O354" s="48">
        <f>IF(t&lt;Tnet,'2024'!Resal+('2024'!Salim-'2024'!Resal)*(1-EXP(('2024'!Tnet-t)/('2024'!Tau_j))),Resal+(Salim-Resal)*(1-EXP((Tnet-t)/(Tau_j))))*Salcycl</f>
        <v>4.7430933244925533E-2</v>
      </c>
      <c r="P354" s="169">
        <f>(INDEX(Models!$BJ354:$BT354,,T354)*(1-R354)+INDEX(Models!$BJ354:$BT354,,T354+1)*R354-ERP_i)*Q354*Ramure*Pc/MaxiM</f>
        <v>1.23165020041418E-2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22.601738296858411</v>
      </c>
      <c r="W354" s="400">
        <f t="shared" si="136"/>
        <v>11.153514346664792</v>
      </c>
      <c r="X354" s="157">
        <f t="shared" si="137"/>
        <v>45997</v>
      </c>
      <c r="Y354" s="383">
        <f t="shared" si="138"/>
        <v>10.852120141512462</v>
      </c>
      <c r="Z354" s="383">
        <f t="shared" si="139"/>
        <v>11.388220067167246</v>
      </c>
      <c r="AA354" s="384">
        <f t="shared" si="140"/>
        <v>12.287301465798135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7.3171591104319686E-2</v>
      </c>
      <c r="AD354" s="230">
        <f>(INDEX(Models!$BJ354:$BT354,,AH354)*(1-AF354)+INDEX(Models!$BJ354:$BT354,,AH354+1)*AF354-ERP_i)*AE354*Ramure*Pc/MaxiM</f>
        <v>1.23165020041418E-2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'2024'!Wh/'2024'!Env_an*'2025'!Env_an</f>
        <v>20.099183667494767</v>
      </c>
      <c r="C355" s="829"/>
      <c r="D355" s="391">
        <f t="shared" si="127"/>
        <v>21.092497187181134</v>
      </c>
      <c r="E355" s="383">
        <f t="shared" si="125"/>
        <v>22.143581216325753</v>
      </c>
      <c r="F355" s="383">
        <f t="shared" si="128"/>
        <v>22.378276460961878</v>
      </c>
      <c r="G355" s="110">
        <f t="shared" si="126"/>
        <v>0.89280900537647157</v>
      </c>
      <c r="H355" s="412" t="b">
        <f>Wh_hp&gt;='2024'!Maxi_hp</f>
        <v>0</v>
      </c>
      <c r="I355" s="388">
        <f>IF(H355,Wh_hp,'2024'!Maxi_hp)</f>
        <v>22.401278543576364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4.7093215699943292E-2</v>
      </c>
      <c r="M355" s="832"/>
      <c r="N355" s="832"/>
      <c r="O355" s="48">
        <f>IF(t&lt;Tnet,'2024'!Resal+('2024'!Salim-'2024'!Resal)*(1-EXP(('2024'!Tnet-t)/('2024'!Tau_j))),Resal+(Salim-Resal)*(1-EXP((Tnet-t)/(Tau_j))))*Salcycl</f>
        <v>4.7466758826241164E-2</v>
      </c>
      <c r="P355" s="169">
        <f>(INDEX(Models!$BJ355:$BT355,,T355)*(1-R355)+INDEX(Models!$BJ355:$BT355,,T355+1)*R355-ERP_i)*Q355*Ramure*Pc/MaxiM</f>
        <v>1.2348948743041297E-2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22.469952917456453</v>
      </c>
      <c r="W355" s="400">
        <f t="shared" si="136"/>
        <v>20.099183667494767</v>
      </c>
      <c r="X355" s="157">
        <f t="shared" si="137"/>
        <v>45998</v>
      </c>
      <c r="Y355" s="383">
        <f t="shared" si="138"/>
        <v>19.556674779610468</v>
      </c>
      <c r="Z355" s="383">
        <f t="shared" si="139"/>
        <v>20.523177189860736</v>
      </c>
      <c r="AA355" s="384">
        <f t="shared" si="140"/>
        <v>22.143581216325753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7.3177143779721843E-2</v>
      </c>
      <c r="AD355" s="230">
        <f>(INDEX(Models!$BJ355:$BT355,,AH355)*(1-AF355)+INDEX(Models!$BJ355:$BT355,,AH355+1)*AF355-ERP_i)*AE355*Ramure*Pc/MaxiM</f>
        <v>1.2348948743041297E-2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'2024'!Wh/'2024'!Env_an*'2025'!Env_an</f>
        <v>4.0369271570545759</v>
      </c>
      <c r="C356" s="829"/>
      <c r="D356" s="391">
        <f t="shared" si="127"/>
        <v>4.2365156716673358</v>
      </c>
      <c r="E356" s="383">
        <f t="shared" si="125"/>
        <v>4.447800710387221</v>
      </c>
      <c r="F356" s="383">
        <f t="shared" si="128"/>
        <v>4.447800710387221</v>
      </c>
      <c r="G356" s="110">
        <f t="shared" si="126"/>
        <v>0.17840366939217478</v>
      </c>
      <c r="H356" s="412" t="b">
        <f>Wh_hp&gt;='2024'!Maxi_hp</f>
        <v>0</v>
      </c>
      <c r="I356" s="388">
        <f>IF(H356,Wh_hp,'2024'!Maxi_hp)</f>
        <v>17.076709643331426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4.7111477941071511E-2</v>
      </c>
      <c r="M356" s="832"/>
      <c r="N356" s="832"/>
      <c r="O356" s="48">
        <f>IF(t&lt;Tnet,'2024'!Resal+('2024'!Salim-'2024'!Resal)*(1-EXP(('2024'!Tnet-t)/('2024'!Tau_j))),Resal+(Salim-Resal)*(1-EXP((Tnet-t)/(Tau_j))))*Salcycl</f>
        <v>4.7503261157015891E-2</v>
      </c>
      <c r="P356" s="169">
        <f>(INDEX(Models!$BJ356:$BT356,,T356)*(1-R356)+INDEX(Models!$BJ356:$BT356,,T356+1)*R356-ERP_i)*Q356*Ramure*Pc/MaxiM</f>
        <v>1.2372131181036073E-2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22.348092829496977</v>
      </c>
      <c r="W356" s="400">
        <f t="shared" si="136"/>
        <v>4.0369271570545759</v>
      </c>
      <c r="X356" s="157">
        <f t="shared" si="137"/>
        <v>45999</v>
      </c>
      <c r="Y356" s="383">
        <f t="shared" si="138"/>
        <v>3.9280863571028553</v>
      </c>
      <c r="Z356" s="383">
        <f t="shared" si="139"/>
        <v>4.122293706104621</v>
      </c>
      <c r="AA356" s="384">
        <f t="shared" si="140"/>
        <v>4.447800710387221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7.3183810489175827E-2</v>
      </c>
      <c r="AD356" s="230">
        <f>(INDEX(Models!$BJ356:$BT356,,AH356)*(1-AF356)+INDEX(Models!$BJ356:$BT356,,AH356+1)*AF356-ERP_i)*AE356*Ramure*Pc/MaxiM</f>
        <v>1.2372131181036073E-2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'2024'!Wh/'2024'!Env_an*'2025'!Env_an</f>
        <v>4.9271852577622992</v>
      </c>
      <c r="C357" s="829"/>
      <c r="D357" s="391">
        <f t="shared" si="127"/>
        <v>5.1708878571723558</v>
      </c>
      <c r="E357" s="383">
        <f t="shared" si="125"/>
        <v>5.4289840327628367</v>
      </c>
      <c r="F357" s="383">
        <f t="shared" si="128"/>
        <v>5.4289840327628367</v>
      </c>
      <c r="G357" s="110">
        <f t="shared" si="126"/>
        <v>0.21883406330977637</v>
      </c>
      <c r="H357" s="412" t="b">
        <f>Wh_hp&gt;='2024'!Maxi_hp</f>
        <v>0</v>
      </c>
      <c r="I357" s="388">
        <f>IF(H357,Wh_hp,'2024'!Maxi_hp)</f>
        <v>11.827516861952027</v>
      </c>
      <c r="J357" s="85">
        <f>IF(H357,An,'2024'!An_max)</f>
        <v>2018</v>
      </c>
      <c r="K357" s="197">
        <f t="shared" si="129"/>
        <v>46000</v>
      </c>
      <c r="L357" s="147">
        <f>IF(t&lt;Tvie,1-EXP((T0-t)*PertePVj)+'2024'!Pspv,1-EXP((T0-t)*PertePVj)+Pspv)</f>
        <v>4.7129739832207918E-2</v>
      </c>
      <c r="M357" s="832"/>
      <c r="N357" s="832"/>
      <c r="O357" s="48">
        <f>IF(t&lt;Tnet,'2024'!Resal+('2024'!Salim-'2024'!Resal)*(1-EXP(('2024'!Tnet-t)/('2024'!Tau_j))),Resal+(Salim-Resal)*(1-EXP((Tnet-t)/(Tau_j))))*Salcycl</f>
        <v>4.7540418986853114E-2</v>
      </c>
      <c r="P357" s="169">
        <f>(INDEX(Models!$BJ357:$BT357,,T357)*(1-R357)+INDEX(Models!$BJ357:$BT357,,T357+1)*R357-ERP_i)*Q357*Ramure*Pc/MaxiM</f>
        <v>1.2385570440568842E-2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22.236754114418336</v>
      </c>
      <c r="W357" s="400">
        <f t="shared" si="136"/>
        <v>4.9271852577622992</v>
      </c>
      <c r="X357" s="157">
        <f t="shared" si="137"/>
        <v>46000</v>
      </c>
      <c r="Y357" s="383">
        <f t="shared" si="138"/>
        <v>4.7944889132792943</v>
      </c>
      <c r="Z357" s="383">
        <f t="shared" si="139"/>
        <v>5.0316282433193233</v>
      </c>
      <c r="AA357" s="384">
        <f t="shared" si="140"/>
        <v>5.4289840327628367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7.3191556108021444E-2</v>
      </c>
      <c r="AD357" s="230">
        <f>(INDEX(Models!$BJ357:$BT357,,AH357)*(1-AF357)+INDEX(Models!$BJ357:$BT357,,AH357+1)*AF357-ERP_i)*AE357*Ramure*Pc/MaxiM</f>
        <v>1.2385570440568842E-2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'2024'!Wh/'2024'!Env_an*'2025'!Env_an</f>
        <v>11.928485426208413</v>
      </c>
      <c r="C358" s="829"/>
      <c r="D358" s="391">
        <f t="shared" si="127"/>
        <v>12.518717957669304</v>
      </c>
      <c r="E358" s="383">
        <f t="shared" si="125"/>
        <v>13.144090236264255</v>
      </c>
      <c r="F358" s="383">
        <f t="shared" si="128"/>
        <v>13.199891466795176</v>
      </c>
      <c r="G358" s="110">
        <f t="shared" si="126"/>
        <v>0.53444318118335421</v>
      </c>
      <c r="H358" s="412" t="b">
        <f>Wh_hp&gt;='2024'!Maxi_hp</f>
        <v>0</v>
      </c>
      <c r="I358" s="388">
        <f>IF(H358,Wh_hp,'2024'!Maxi_hp)</f>
        <v>21.581579026303849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4.7148001373359394E-2</v>
      </c>
      <c r="M358" s="832"/>
      <c r="N358" s="832"/>
      <c r="O358" s="48">
        <f>IF(t&lt;Tnet,'2024'!Resal+('2024'!Salim-'2024'!Resal)*(1-EXP(('2024'!Tnet-t)/('2024'!Tau_j))),Resal+(Salim-Resal)*(1-EXP((Tnet-t)/(Tau_j))))*Salcycl</f>
        <v>4.7578209473148822E-2</v>
      </c>
      <c r="P358" s="169">
        <f>(INDEX(Models!$BJ358:$BT358,,T358)*(1-R358)+INDEX(Models!$BJ358:$BT358,,T358+1)*R358-ERP_i)*Q358*Ramure*Pc/MaxiM</f>
        <v>1.2388781413236646E-2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22.136533190068768</v>
      </c>
      <c r="W358" s="400">
        <f t="shared" si="136"/>
        <v>11.928485426208413</v>
      </c>
      <c r="X358" s="157">
        <f t="shared" si="137"/>
        <v>46001</v>
      </c>
      <c r="Y358" s="383">
        <f t="shared" si="138"/>
        <v>11.607584275727719</v>
      </c>
      <c r="Z358" s="383">
        <f t="shared" si="139"/>
        <v>12.18193832038753</v>
      </c>
      <c r="AA358" s="384">
        <f t="shared" si="140"/>
        <v>13.144090236264255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7.3200343164273762E-2</v>
      </c>
      <c r="AD358" s="230">
        <f>(INDEX(Models!$BJ358:$BT358,,AH358)*(1-AF358)+INDEX(Models!$BJ358:$BT358,,AH358+1)*AF358-ERP_i)*AE358*Ramure*Pc/MaxiM</f>
        <v>1.2388781413236646E-2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'2024'!Wh/'2024'!Env_an*'2025'!Env_an</f>
        <v>17.069354993696379</v>
      </c>
      <c r="C359" s="829"/>
      <c r="D359" s="391">
        <f t="shared" si="127"/>
        <v>17.914305846934219</v>
      </c>
      <c r="E359" s="383">
        <f t="shared" si="125"/>
        <v>18.80997296289118</v>
      </c>
      <c r="F359" s="383">
        <f t="shared" si="128"/>
        <v>18.969119358433371</v>
      </c>
      <c r="G359" s="110">
        <f t="shared" si="126"/>
        <v>0.77116039035512962</v>
      </c>
      <c r="H359" s="412" t="b">
        <f>Wh_hp&gt;='2024'!Maxi_hp</f>
        <v>0</v>
      </c>
      <c r="I359" s="388">
        <f>IF(H359,Wh_hp,'2024'!Maxi_hp)</f>
        <v>19.008979262712963</v>
      </c>
      <c r="J359" s="85">
        <f>IF(H359,An,'2024'!An_max)</f>
        <v>2022</v>
      </c>
      <c r="K359" s="197">
        <f t="shared" si="129"/>
        <v>46002</v>
      </c>
      <c r="L359" s="147">
        <f>IF(t&lt;Tvie,1-EXP((T0-t)*PertePVj)+'2024'!Pspv,1-EXP((T0-t)*PertePVj)+Pspv)</f>
        <v>4.7166262564532602E-2</v>
      </c>
      <c r="M359" s="832"/>
      <c r="N359" s="832"/>
      <c r="O359" s="48">
        <f>IF(t&lt;Tnet,'2024'!Resal+('2024'!Salim-'2024'!Resal)*(1-EXP(('2024'!Tnet-t)/('2024'!Tau_j))),Resal+(Salim-Resal)*(1-EXP((Tnet-t)/(Tau_j))))*Salcycl</f>
        <v>4.7616608366421238E-2</v>
      </c>
      <c r="P359" s="169">
        <f>(INDEX(Models!$BJ359:$BT359,,T359)*(1-R359)+INDEX(Models!$BJ359:$BT359,,T359+1)*R359-ERP_i)*Q359*Ramure*Pc/MaxiM</f>
        <v>1.238267680980922E-2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22.045507095830207</v>
      </c>
      <c r="W359" s="400">
        <f t="shared" si="136"/>
        <v>17.069354993696379</v>
      </c>
      <c r="X359" s="157">
        <f t="shared" si="137"/>
        <v>46002</v>
      </c>
      <c r="Y359" s="383">
        <f t="shared" si="138"/>
        <v>16.610647978731663</v>
      </c>
      <c r="Z359" s="383">
        <f t="shared" si="139"/>
        <v>17.432892356896264</v>
      </c>
      <c r="AA359" s="384">
        <f t="shared" si="140"/>
        <v>18.80997296289118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7.3210132131059355E-2</v>
      </c>
      <c r="AD359" s="230">
        <f>(INDEX(Models!$BJ359:$BT359,,AH359)*(1-AF359)+INDEX(Models!$BJ359:$BT359,,AH359+1)*AF359-ERP_i)*AE359*Ramure*Pc/MaxiM</f>
        <v>1.238267680980922E-2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'2024'!Wh/'2024'!Env_an*'2025'!Env_an</f>
        <v>5.2172794912534206</v>
      </c>
      <c r="C360" s="829"/>
      <c r="D360" s="391">
        <f t="shared" si="127"/>
        <v>5.4756452003718632</v>
      </c>
      <c r="E360" s="383">
        <f t="shared" si="125"/>
        <v>5.7496480727203476</v>
      </c>
      <c r="F360" s="383">
        <f t="shared" si="128"/>
        <v>5.7496480727203476</v>
      </c>
      <c r="G360" s="110">
        <f t="shared" si="126"/>
        <v>0.234624723735601</v>
      </c>
      <c r="H360" s="412" t="b">
        <f>Wh_hp&gt;='2024'!Maxi_hp</f>
        <v>0</v>
      </c>
      <c r="I360" s="388">
        <f>IF(H360,Wh_hp,'2024'!Maxi_hp)</f>
        <v>23.902821263615333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4.7184523405734313E-2</v>
      </c>
      <c r="M360" s="832"/>
      <c r="N360" s="832"/>
      <c r="O360" s="48">
        <f>IF(t&lt;Tnet,'2024'!Resal+('2024'!Salim-'2024'!Resal)*(1-EXP(('2024'!Tnet-t)/('2024'!Tau_j))),Resal+(Salim-Resal)*(1-EXP((Tnet-t)/(Tau_j))))*Salcycl</f>
        <v>4.765559020012234E-2</v>
      </c>
      <c r="P360" s="169">
        <f>(INDEX(Models!$BJ360:$BT360,,T360)*(1-R360)+INDEX(Models!$BJ360:$BT360,,T360+1)*R360-ERP_i)*Q360*Ramure*Pc/MaxiM</f>
        <v>1.2368235258613828E-2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21.961670829295471</v>
      </c>
      <c r="W360" s="400">
        <f t="shared" si="136"/>
        <v>5.2172794912534206</v>
      </c>
      <c r="X360" s="157">
        <f t="shared" si="137"/>
        <v>46003</v>
      </c>
      <c r="Y360" s="383">
        <f t="shared" si="138"/>
        <v>5.0772237826392912</v>
      </c>
      <c r="Z360" s="383">
        <f t="shared" si="139"/>
        <v>5.3286537712288951</v>
      </c>
      <c r="AA360" s="384">
        <f t="shared" si="140"/>
        <v>5.7496480727203476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7.3220881724725517E-2</v>
      </c>
      <c r="AD360" s="230">
        <f>(INDEX(Models!$BJ360:$BT360,,AH360)*(1-AF360)+INDEX(Models!$BJ360:$BT360,,AH360+1)*AF360-ERP_i)*AE360*Ramure*Pc/MaxiM</f>
        <v>1.2368235258613828E-2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'2024'!Wh/'2024'!Env_an*'2025'!Env_an</f>
        <v>5.2826089105404765</v>
      </c>
      <c r="C361" s="829"/>
      <c r="D361" s="391">
        <f t="shared" si="127"/>
        <v>5.5443160635444713</v>
      </c>
      <c r="E361" s="383">
        <f t="shared" ref="E361:E379" si="150">Wh_pvt/(1-Psa)</f>
        <v>5.8219969564104943</v>
      </c>
      <c r="F361" s="383">
        <f t="shared" si="128"/>
        <v>5.8219969564104943</v>
      </c>
      <c r="G361" s="110">
        <f t="shared" ref="G361:G379" si="151">+Wh_hp/MaxiM</f>
        <v>0.23839506508025732</v>
      </c>
      <c r="H361" s="412" t="b">
        <f>Wh_hp&gt;='2024'!Maxi_hp</f>
        <v>0</v>
      </c>
      <c r="I361" s="388">
        <f>IF(H361,Wh_hp,'2024'!Maxi_hp)</f>
        <v>25.0294040728553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4.7202783896971079E-2</v>
      </c>
      <c r="M361" s="832"/>
      <c r="N361" s="832"/>
      <c r="O361" s="48">
        <f>IF(t&lt;Tnet,'2024'!Resal+('2024'!Salim-'2024'!Resal)*(1-EXP(('2024'!Tnet-t)/('2024'!Tau_j))),Resal+(Salim-Resal)*(1-EXP((Tnet-t)/(Tau_j))))*Salcycl</f>
        <v>4.7695128483410489E-2</v>
      </c>
      <c r="P361" s="169">
        <f>(INDEX(Models!$BJ361:$BT361,,T361)*(1-R361)+INDEX(Models!$BJ361:$BT361,,T361+1)*R361-ERP_i)*Q361*Ramure*Pc/MaxiM</f>
        <v>1.2350650853672559E-2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21.885374391174704</v>
      </c>
      <c r="W361" s="400">
        <f t="shared" si="136"/>
        <v>5.2826089105404765</v>
      </c>
      <c r="X361" s="157">
        <f t="shared" si="137"/>
        <v>46004</v>
      </c>
      <c r="Y361" s="383">
        <f t="shared" si="138"/>
        <v>5.1409481774099808</v>
      </c>
      <c r="Z361" s="383">
        <f t="shared" si="139"/>
        <v>5.395637277821427</v>
      </c>
      <c r="AA361" s="384">
        <f t="shared" si="140"/>
        <v>5.8219969564104943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7.32325492062669E-2</v>
      </c>
      <c r="AD361" s="230">
        <f>(INDEX(Models!$BJ361:$BT361,,AH361)*(1-AF361)+INDEX(Models!$BJ361:$BT361,,AH361+1)*AF361-ERP_i)*AE361*Ramure*Pc/MaxiM</f>
        <v>1.2350650853672559E-2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'2024'!Wh/'2024'!Env_an*'2025'!Env_an</f>
        <v>16.86938415257984</v>
      </c>
      <c r="C362" s="829"/>
      <c r="D362" s="391">
        <f t="shared" si="127"/>
        <v>17.705454184335562</v>
      </c>
      <c r="E362" s="383">
        <f t="shared" si="150"/>
        <v>18.592994415017742</v>
      </c>
      <c r="F362" s="383">
        <f t="shared" si="128"/>
        <v>18.749271331704914</v>
      </c>
      <c r="G362" s="110">
        <f t="shared" si="151"/>
        <v>0.77010416287034333</v>
      </c>
      <c r="H362" s="412" t="b">
        <f>Wh_hp&gt;='2024'!Maxi_hp</f>
        <v>0</v>
      </c>
      <c r="I362" s="388">
        <f>IF(H362,Wh_hp,'2024'!Maxi_hp)</f>
        <v>24.68921870882129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4.7221044038249671E-2</v>
      </c>
      <c r="M362" s="832"/>
      <c r="N362" s="832"/>
      <c r="O362" s="48">
        <f>IF(t&lt;Tnet,'2024'!Resal+('2024'!Salim-'2024'!Resal)*(1-EXP(('2024'!Tnet-t)/('2024'!Tau_j))),Resal+(Salim-Resal)*(1-EXP((Tnet-t)/(Tau_j))))*Salcycl</f>
        <v>4.7735195895358684E-2</v>
      </c>
      <c r="P362" s="169">
        <f>(INDEX(Models!$BJ362:$BT362,,T362)*(1-R362)+INDEX(Models!$BJ362:$BT362,,T362+1)*R362-ERP_i)*Q362*Ramure*Pc/MaxiM</f>
        <v>1.2329531770496683E-2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21.817092890812045</v>
      </c>
      <c r="W362" s="400">
        <f t="shared" si="136"/>
        <v>16.86938415257984</v>
      </c>
      <c r="X362" s="157">
        <f t="shared" si="137"/>
        <v>46005</v>
      </c>
      <c r="Y362" s="383">
        <f t="shared" si="138"/>
        <v>16.417476014190342</v>
      </c>
      <c r="Z362" s="383">
        <f t="shared" si="139"/>
        <v>17.231148853007863</v>
      </c>
      <c r="AA362" s="384">
        <f t="shared" si="140"/>
        <v>18.592994415017742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7.3245090683720274E-2</v>
      </c>
      <c r="AD362" s="230">
        <f>(INDEX(Models!$BJ362:$BT362,,AH362)*(1-AF362)+INDEX(Models!$BJ362:$BT362,,AH362+1)*AF362-ERP_i)*AE362*Ramure*Pc/MaxiM</f>
        <v>1.2329531770496683E-2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'2024'!Wh/'2024'!Env_an*'2025'!Env_an</f>
        <v>5.7655963517715501</v>
      </c>
      <c r="C363" s="829"/>
      <c r="D363" s="391">
        <f t="shared" si="127"/>
        <v>6.0514632634890315</v>
      </c>
      <c r="E363" s="383">
        <f t="shared" si="150"/>
        <v>6.3550821726129971</v>
      </c>
      <c r="F363" s="383">
        <f t="shared" si="128"/>
        <v>6.3550821726129971</v>
      </c>
      <c r="G363" s="110">
        <f t="shared" si="151"/>
        <v>0.2617352927410857</v>
      </c>
      <c r="H363" s="412" t="b">
        <f>Wh_hp&gt;='2024'!Maxi_hp</f>
        <v>0</v>
      </c>
      <c r="I363" s="388">
        <f>IF(H363,Wh_hp,'2024'!Maxi_hp)</f>
        <v>24.850474320764231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4.7239303829576862E-2</v>
      </c>
      <c r="M363" s="832"/>
      <c r="N363" s="832"/>
      <c r="O363" s="48">
        <f>IF(t&lt;Tnet,'2024'!Resal+('2024'!Salim-'2024'!Resal)*(1-EXP(('2024'!Tnet-t)/('2024'!Tau_j))),Resal+(Salim-Resal)*(1-EXP((Tnet-t)/(Tau_j))))*Salcycl</f>
        <v>4.7775764479081072E-2</v>
      </c>
      <c r="P363" s="169">
        <f>(INDEX(Models!$BJ363:$BT363,,T363)*(1-R363)+INDEX(Models!$BJ363:$BT363,,T363+1)*R363-ERP_i)*Q363*Ramure*Pc/MaxiM</f>
        <v>1.2304485297983347E-2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21.757301419263879</v>
      </c>
      <c r="W363" s="400">
        <f t="shared" si="136"/>
        <v>5.7655963517715501</v>
      </c>
      <c r="X363" s="157">
        <f t="shared" si="137"/>
        <v>46006</v>
      </c>
      <c r="Y363" s="383">
        <f t="shared" si="138"/>
        <v>5.6113018704970852</v>
      </c>
      <c r="Z363" s="383">
        <f t="shared" si="139"/>
        <v>5.8895186304928924</v>
      </c>
      <c r="AA363" s="384">
        <f t="shared" si="140"/>
        <v>6.3550821726129971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7.3258461413203205E-2</v>
      </c>
      <c r="AD363" s="230">
        <f>(INDEX(Models!$BJ363:$BT363,,AH363)*(1-AF363)+INDEX(Models!$BJ363:$BT363,,AH363+1)*AF363-ERP_i)*AE363*Ramure*Pc/MaxiM</f>
        <v>1.2304485297983347E-2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'2024'!Wh/'2024'!Env_an*'2025'!Env_an</f>
        <v>5.0927634970443254</v>
      </c>
      <c r="C364" s="829"/>
      <c r="D364" s="391">
        <f t="shared" si="127"/>
        <v>5.3453727898683958</v>
      </c>
      <c r="E364" s="383">
        <f t="shared" si="150"/>
        <v>5.6138071146612649</v>
      </c>
      <c r="F364" s="383">
        <f t="shared" si="128"/>
        <v>5.6138071146612649</v>
      </c>
      <c r="G364" s="110">
        <f t="shared" si="151"/>
        <v>0.23173957091377065</v>
      </c>
      <c r="H364" s="412" t="b">
        <f>Wh_hp&gt;='2024'!Maxi_hp</f>
        <v>0</v>
      </c>
      <c r="I364" s="388">
        <f>IF(H364,Wh_hp,'2024'!Maxi_hp)</f>
        <v>24.489416018785828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4.7257563270959313E-2</v>
      </c>
      <c r="M364" s="832"/>
      <c r="N364" s="832"/>
      <c r="O364" s="48">
        <f>IF(t&lt;Tnet,'2024'!Resal+('2024'!Salim-'2024'!Resal)*(1-EXP(('2024'!Tnet-t)/('2024'!Tau_j))),Resal+(Salim-Resal)*(1-EXP((Tnet-t)/(Tau_j))))*Salcycl</f>
        <v>4.7816805834282036E-2</v>
      </c>
      <c r="P364" s="169">
        <f>(INDEX(Models!$BJ364:$BT364,,T364)*(1-R364)+INDEX(Models!$BJ364:$BT364,,T364+1)*R364-ERP_i)*Q364*Ramure*Pc/MaxiM</f>
        <v>1.2275121350722919E-2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21.70647501966468</v>
      </c>
      <c r="W364" s="400">
        <f t="shared" si="136"/>
        <v>5.0927634970443254</v>
      </c>
      <c r="X364" s="157">
        <f t="shared" si="137"/>
        <v>46007</v>
      </c>
      <c r="Y364" s="383">
        <f t="shared" si="138"/>
        <v>4.9566127835214226</v>
      </c>
      <c r="Z364" s="383">
        <f t="shared" si="139"/>
        <v>5.2024687811099151</v>
      </c>
      <c r="AA364" s="384">
        <f t="shared" si="140"/>
        <v>5.6138071146612649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7.3272616096317453E-2</v>
      </c>
      <c r="AD364" s="230">
        <f>(INDEX(Models!$BJ364:$BT364,,AH364)*(1-AF364)+INDEX(Models!$BJ364:$BT364,,AH364+1)*AF364-ERP_i)*AE364*Ramure*Pc/MaxiM</f>
        <v>1.2275121350722919E-2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'2024'!Wh/'2024'!Env_an*'2025'!Env_an</f>
        <v>3.4529531012135033</v>
      </c>
      <c r="C365" s="829"/>
      <c r="D365" s="391">
        <f t="shared" si="127"/>
        <v>3.6242946093543575</v>
      </c>
      <c r="E365" s="383">
        <f t="shared" si="150"/>
        <v>3.806465546319278</v>
      </c>
      <c r="F365" s="383">
        <f t="shared" si="128"/>
        <v>3.806465546319278</v>
      </c>
      <c r="G365" s="110">
        <f t="shared" si="151"/>
        <v>0.15742771078991211</v>
      </c>
      <c r="H365" s="412" t="b">
        <f>Wh_hp&gt;='2024'!Maxi_hp</f>
        <v>0</v>
      </c>
      <c r="I365" s="388">
        <f>IF(H365,Wh_hp,'2024'!Maxi_hp)</f>
        <v>24.995973707121568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4.7275822362403797E-2</v>
      </c>
      <c r="M365" s="832"/>
      <c r="N365" s="832"/>
      <c r="O365" s="48">
        <f>IF(t&lt;Tnet,'2024'!Resal+('2024'!Salim-'2024'!Resal)*(1-EXP(('2024'!Tnet-t)/('2024'!Tau_j))),Resal+(Salim-Resal)*(1-EXP((Tnet-t)/(Tau_j))))*Salcycl</f>
        <v>4.7858291306767109E-2</v>
      </c>
      <c r="P365" s="169">
        <f>(INDEX(Models!$BJ365:$BT365,,T365)*(1-R365)+INDEX(Models!$BJ365:$BT365,,T365+1)*R365-ERP_i)*Q365*Ramure*Pc/MaxiM</f>
        <v>1.2241056174124765E-2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21.665088637962242</v>
      </c>
      <c r="W365" s="400">
        <f t="shared" si="136"/>
        <v>3.4529531012135033</v>
      </c>
      <c r="X365" s="157">
        <f t="shared" si="137"/>
        <v>46008</v>
      </c>
      <c r="Y365" s="383">
        <f t="shared" si="138"/>
        <v>3.360733743646783</v>
      </c>
      <c r="Z365" s="383">
        <f t="shared" si="139"/>
        <v>3.527499167681627</v>
      </c>
      <c r="AA365" s="384">
        <f t="shared" si="140"/>
        <v>3.806465546319278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7.3287509171704457E-2</v>
      </c>
      <c r="AD365" s="230">
        <f>(INDEX(Models!$BJ365:$BT365,,AH365)*(1-AF365)+INDEX(Models!$BJ365:$BT365,,AH365+1)*AF365-ERP_i)*AE365*Ramure*Pc/MaxiM</f>
        <v>1.2241056174124765E-2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'2024'!Wh/'2024'!Env_an*'2025'!Env_an</f>
        <v>20.59837652702609</v>
      </c>
      <c r="C366" s="829"/>
      <c r="D366" s="391">
        <f t="shared" si="127"/>
        <v>21.62091797529062</v>
      </c>
      <c r="E366" s="383">
        <f t="shared" si="150"/>
        <v>22.708667513175904</v>
      </c>
      <c r="F366" s="383">
        <f t="shared" si="128"/>
        <v>22.969854603599106</v>
      </c>
      <c r="G366" s="110">
        <f t="shared" si="151"/>
        <v>0.95134628684965972</v>
      </c>
      <c r="H366" s="412" t="b">
        <f>Wh_hp&gt;='2024'!Maxi_hp</f>
        <v>0</v>
      </c>
      <c r="I366" s="388">
        <f>IF(H366,Wh_hp,'2024'!Maxi_hp)</f>
        <v>25.161787004742354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4.7294081103916863E-2</v>
      </c>
      <c r="M366" s="832"/>
      <c r="N366" s="832"/>
      <c r="O366" s="48">
        <f>IF(t&lt;Tnet,'2024'!Resal+('2024'!Salim-'2024'!Resal)*(1-EXP(('2024'!Tnet-t)/('2024'!Tau_j))),Resal+(Salim-Resal)*(1-EXP((Tnet-t)/(Tau_j))))*Salcycl</f>
        <v>4.7900192173501874E-2</v>
      </c>
      <c r="P366" s="169">
        <f>(INDEX(Models!$BJ366:$BT366,,T366)*(1-R366)+INDEX(Models!$BJ366:$BT366,,T366+1)*R366-ERP_i)*Q366*Ramure*Pc/MaxiM</f>
        <v>1.220517821769343E-2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21.633545670159602</v>
      </c>
      <c r="W366" s="400">
        <f t="shared" si="136"/>
        <v>20.59837652702609</v>
      </c>
      <c r="X366" s="157">
        <f t="shared" si="137"/>
        <v>46009</v>
      </c>
      <c r="Y366" s="383">
        <f t="shared" si="138"/>
        <v>20.048792801633219</v>
      </c>
      <c r="Z366" s="383">
        <f t="shared" si="139"/>
        <v>21.044051898894576</v>
      </c>
      <c r="AA366" s="384">
        <f t="shared" si="140"/>
        <v>22.708667513175904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7.3303095098622165E-2</v>
      </c>
      <c r="AD366" s="230">
        <f>(INDEX(Models!$BJ366:$BT366,,AH366)*(1-AF366)+INDEX(Models!$BJ366:$BT366,,AH366+1)*AF366-ERP_i)*AE366*Ramure*Pc/MaxiM</f>
        <v>1.220517821769343E-2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'2024'!Wh/'2024'!Env_an*'2025'!Env_an</f>
        <v>17.52927922067261</v>
      </c>
      <c r="C367" s="829"/>
      <c r="D367" s="391">
        <f t="shared" si="127"/>
        <v>18.399817639487427</v>
      </c>
      <c r="E367" s="383">
        <f t="shared" si="150"/>
        <v>19.32637183102625</v>
      </c>
      <c r="F367" s="383">
        <f t="shared" si="128"/>
        <v>19.499672342387587</v>
      </c>
      <c r="G367" s="110">
        <f t="shared" si="151"/>
        <v>0.80839404551478455</v>
      </c>
      <c r="H367" s="412" t="b">
        <f>Wh_hp&gt;='2024'!Maxi_hp</f>
        <v>0</v>
      </c>
      <c r="I367" s="388">
        <f>IF(H367,Wh_hp,'2024'!Maxi_hp)</f>
        <v>24.884744497458982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4.7312339495505396E-2</v>
      </c>
      <c r="M367" s="832"/>
      <c r="N367" s="832"/>
      <c r="O367" s="48">
        <f>IF(t&lt;Tnet,'2024'!Resal+('2024'!Salim-'2024'!Resal)*(1-EXP(('2024'!Tnet-t)/('2024'!Tau_j))),Resal+(Salim-Resal)*(1-EXP((Tnet-t)/(Tau_j))))*Salcycl</f>
        <v>4.7942479821864288E-2</v>
      </c>
      <c r="P367" s="169">
        <f>(INDEX(Models!$BJ367:$BT367,,T367)*(1-R367)+INDEX(Models!$BJ367:$BT367,,T367+1)*R367-ERP_i)*Q367*Ramure*Pc/MaxiM</f>
        <v>1.2172494749306024E-2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21.612203613846212</v>
      </c>
      <c r="W367" s="400">
        <f t="shared" si="136"/>
        <v>17.52927922067261</v>
      </c>
      <c r="X367" s="157">
        <f t="shared" si="137"/>
        <v>46010</v>
      </c>
      <c r="Y367" s="383">
        <f t="shared" si="138"/>
        <v>17.062040782784521</v>
      </c>
      <c r="Z367" s="383">
        <f t="shared" si="139"/>
        <v>17.909375223511699</v>
      </c>
      <c r="AA367" s="384">
        <f t="shared" si="140"/>
        <v>19.32637183102625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7.3319328630515587E-2</v>
      </c>
      <c r="AD367" s="230">
        <f>(INDEX(Models!$BJ367:$BT367,,AH367)*(1-AF367)+INDEX(Models!$BJ367:$BT367,,AH367+1)*AF367-ERP_i)*AE367*Ramure*Pc/MaxiM</f>
        <v>1.2172494749306024E-2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'2024'!Wh/'2024'!Env_an*'2025'!Env_an</f>
        <v>4.4683087692717827</v>
      </c>
      <c r="C368" s="829"/>
      <c r="D368" s="391">
        <f t="shared" si="127"/>
        <v>4.6903036433419505</v>
      </c>
      <c r="E368" s="383">
        <f t="shared" si="150"/>
        <v>4.9267125662121884</v>
      </c>
      <c r="F368" s="383">
        <f t="shared" si="128"/>
        <v>4.9267125662121884</v>
      </c>
      <c r="G368" s="110">
        <f t="shared" si="151"/>
        <v>0.20433969853596637</v>
      </c>
      <c r="H368" s="412" t="b">
        <f>Wh_hp&gt;='2024'!Maxi_hp</f>
        <v>0</v>
      </c>
      <c r="I368" s="388">
        <f>IF(H368,Wh_hp,'2024'!Maxi_hp)</f>
        <v>24.174700505084488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4.7330597537175945E-2</v>
      </c>
      <c r="M368" s="832"/>
      <c r="N368" s="832"/>
      <c r="O368" s="48">
        <f>IF(t&lt;Tnet,'2024'!Resal+('2024'!Salim-'2024'!Resal)*(1-EXP(('2024'!Tnet-t)/('2024'!Tau_j))),Resal+(Salim-Resal)*(1-EXP((Tnet-t)/(Tau_j))))*Salcycl</f>
        <v>4.7985125921806357E-2</v>
      </c>
      <c r="P368" s="169">
        <f>(INDEX(Models!$BJ368:$BT368,,T368)*(1-R368)+INDEX(Models!$BJ368:$BT368,,T368+1)*R368-ERP_i)*Q368*Ramure*Pc/MaxiM</f>
        <v>1.2142625495351465E-2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21.601538031592973</v>
      </c>
      <c r="W368" s="400">
        <f t="shared" si="136"/>
        <v>4.4683087692717827</v>
      </c>
      <c r="X368" s="157">
        <f t="shared" si="137"/>
        <v>46011</v>
      </c>
      <c r="Y368" s="383">
        <f t="shared" si="138"/>
        <v>4.3493229491442182</v>
      </c>
      <c r="Z368" s="383">
        <f t="shared" si="139"/>
        <v>4.5654063601711421</v>
      </c>
      <c r="AA368" s="384">
        <f t="shared" si="140"/>
        <v>4.9267125662121884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7.3336165076670942E-2</v>
      </c>
      <c r="AD368" s="230">
        <f>(INDEX(Models!$BJ368:$BT368,,AH368)*(1-AF368)+INDEX(Models!$BJ368:$BT368,,AH368+1)*AF368-ERP_i)*AE368*Ramure*Pc/MaxiM</f>
        <v>1.2142625495351465E-2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'2024'!Wh/'2024'!Env_an*'2025'!Env_an</f>
        <v>20.458894196789046</v>
      </c>
      <c r="C369" s="829"/>
      <c r="D369" s="391">
        <f t="shared" si="127"/>
        <v>21.475746194275139</v>
      </c>
      <c r="E369" s="383">
        <f t="shared" si="150"/>
        <v>22.559222864348484</v>
      </c>
      <c r="F369" s="383">
        <f t="shared" si="128"/>
        <v>22.814732469728803</v>
      </c>
      <c r="G369" s="110">
        <f t="shared" si="151"/>
        <v>0.94620505071017769</v>
      </c>
      <c r="H369" s="412" t="b">
        <f>Wh_hp&gt;='2024'!Maxi_hp</f>
        <v>0</v>
      </c>
      <c r="I369" s="388">
        <f>IF(H369,Wh_hp,'2024'!Maxi_hp)</f>
        <v>22.824855300763012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4.7348855228935394E-2</v>
      </c>
      <c r="M369" s="832"/>
      <c r="N369" s="832"/>
      <c r="O369" s="48">
        <f>IF(t&lt;Tnet,'2024'!Resal+('2024'!Salim-'2024'!Resal)*(1-EXP(('2024'!Tnet-t)/('2024'!Tau_j))),Resal+(Salim-Resal)*(1-EXP((Tnet-t)/(Tau_j))))*Salcycl</f>
        <v>4.8028102589722628E-2</v>
      </c>
      <c r="P369" s="169">
        <f>(INDEX(Models!$BJ369:$BT369,,T369)*(1-R369)+INDEX(Models!$BJ369:$BT369,,T369+1)*R369-ERP_i)*Q369*Ramure*Pc/MaxiM</f>
        <v>1.2115194327184785E-2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21.602024088971284</v>
      </c>
      <c r="W369" s="400">
        <f t="shared" si="136"/>
        <v>20.458894196789046</v>
      </c>
      <c r="X369" s="157">
        <f t="shared" si="137"/>
        <v>46012</v>
      </c>
      <c r="Y369" s="383">
        <f t="shared" si="138"/>
        <v>19.914623019974179</v>
      </c>
      <c r="Z369" s="383">
        <f t="shared" si="139"/>
        <v>20.904423544003553</v>
      </c>
      <c r="AA369" s="384">
        <f t="shared" si="140"/>
        <v>22.559222864348484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7.3353560550177291E-2</v>
      </c>
      <c r="AD369" s="230">
        <f>(INDEX(Models!$BJ369:$BT369,,AH369)*(1-AF369)+INDEX(Models!$BJ369:$BT369,,AH369+1)*AF369-ERP_i)*AE369*Ramure*Pc/MaxiM</f>
        <v>1.2115194327184785E-2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'2024'!Wh/'2024'!Env_an*'2025'!Env_an</f>
        <v>17.298159134616018</v>
      </c>
      <c r="C370" s="829"/>
      <c r="D370" s="391">
        <f t="shared" si="127"/>
        <v>18.158263653165601</v>
      </c>
      <c r="E370" s="383">
        <f t="shared" si="150"/>
        <v>19.075236651328204</v>
      </c>
      <c r="F370" s="383">
        <f t="shared" si="128"/>
        <v>19.241503772638506</v>
      </c>
      <c r="G370" s="110">
        <f t="shared" si="151"/>
        <v>0.79753275494678533</v>
      </c>
      <c r="H370" s="412" t="b">
        <f>Wh_hp&gt;='2024'!Maxi_hp</f>
        <v>0</v>
      </c>
      <c r="I370" s="388">
        <f>IF(H370,Wh_hp,'2024'!Maxi_hp)</f>
        <v>24.5370383220707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4.7367112570790182E-2</v>
      </c>
      <c r="M370" s="832"/>
      <c r="N370" s="832"/>
      <c r="O370" s="48">
        <f>IF(t&lt;Tnet,'2024'!Resal+('2024'!Salim-'2024'!Resal)*(1-EXP(('2024'!Tnet-t)/('2024'!Tau_j))),Resal+(Salim-Resal)*(1-EXP((Tnet-t)/(Tau_j))))*Salcycl</f>
        <v>4.8071382542913557E-2</v>
      </c>
      <c r="P370" s="169">
        <f>(INDEX(Models!$BJ370:$BT370,,T370)*(1-R370)+INDEX(Models!$BJ370:$BT370,,T370+1)*R370-ERP_i)*Q370*Ramure*Pc/MaxiM</f>
        <v>1.2089830708522745E-2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21.614136556447743</v>
      </c>
      <c r="W370" s="400">
        <f t="shared" si="136"/>
        <v>17.298159134616018</v>
      </c>
      <c r="X370" s="157">
        <f t="shared" si="137"/>
        <v>46013</v>
      </c>
      <c r="Y370" s="383">
        <f t="shared" si="138"/>
        <v>16.838413551814604</v>
      </c>
      <c r="Z370" s="383">
        <f t="shared" si="139"/>
        <v>17.67565845564603</v>
      </c>
      <c r="AA370" s="384">
        <f t="shared" si="140"/>
        <v>19.075236651328204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7.3371472200567459E-2</v>
      </c>
      <c r="AD370" s="230">
        <f>(INDEX(Models!$BJ370:$BT370,,AH370)*(1-AF370)+INDEX(Models!$BJ370:$BT370,,AH370+1)*AF370-ERP_i)*AE370*Ramure*Pc/MaxiM</f>
        <v>1.2089830708522745E-2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'2024'!Wh/'2024'!Env_an*'2025'!Env_an</f>
        <v>17.531023304116715</v>
      </c>
      <c r="C371" s="829"/>
      <c r="D371" s="391">
        <f t="shared" si="127"/>
        <v>18.403059058698194</v>
      </c>
      <c r="E371" s="383">
        <f t="shared" si="150"/>
        <v>19.333278583104473</v>
      </c>
      <c r="F371" s="383">
        <f t="shared" si="128"/>
        <v>19.504807967523366</v>
      </c>
      <c r="G371" s="110">
        <f t="shared" si="151"/>
        <v>0.80750860048980155</v>
      </c>
      <c r="H371" s="412" t="b">
        <f>Wh_hp&gt;='2024'!Maxi_hp</f>
        <v>0</v>
      </c>
      <c r="I371" s="388">
        <f>IF(H371,Wh_hp,'2024'!Maxi_hp)</f>
        <v>20.621523847427799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4.7385369562747304E-2</v>
      </c>
      <c r="M371" s="832"/>
      <c r="N371" s="832"/>
      <c r="O371" s="48">
        <f>IF(t&lt;Tnet,'2024'!Resal+('2024'!Salim-'2024'!Resal)*(1-EXP(('2024'!Tnet-t)/('2024'!Tau_j))),Resal+(Salim-Resal)*(1-EXP((Tnet-t)/(Tau_j))))*Salcycl</f>
        <v>4.8114939243631909E-2</v>
      </c>
      <c r="P371" s="169">
        <f>(INDEX(Models!$BJ371:$BT371,,T371)*(1-R371)+INDEX(Models!$BJ371:$BT371,,T371+1)*R371-ERP_i)*Q371*Ramure*Pc/MaxiM</f>
        <v>1.2066155341578079E-2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21.638350147232877</v>
      </c>
      <c r="W371" s="400">
        <f t="shared" si="136"/>
        <v>17.531023304116715</v>
      </c>
      <c r="X371" s="157">
        <f t="shared" si="137"/>
        <v>46014</v>
      </c>
      <c r="Y371" s="383">
        <f t="shared" si="138"/>
        <v>17.065530971557127</v>
      </c>
      <c r="Z371" s="383">
        <f t="shared" si="139"/>
        <v>17.91441200490906</v>
      </c>
      <c r="AA371" s="384">
        <f t="shared" si="140"/>
        <v>19.333278583104473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7.3389858429670177E-2</v>
      </c>
      <c r="AD371" s="230">
        <f>(INDEX(Models!$BJ371:$BT371,,AH371)*(1-AF371)+INDEX(Models!$BJ371:$BT371,,AH371+1)*AF371-ERP_i)*AE371*Ramure*Pc/MaxiM</f>
        <v>1.2066155341578079E-2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'2024'!Wh/'2024'!Env_an*'2025'!Env_an</f>
        <v>20.835647521711845</v>
      </c>
      <c r="C372" s="829"/>
      <c r="D372" s="391">
        <f t="shared" si="127"/>
        <v>21.872482506627325</v>
      </c>
      <c r="E372" s="383">
        <f t="shared" si="150"/>
        <v>22.979128545249395</v>
      </c>
      <c r="F372" s="383">
        <f t="shared" si="128"/>
        <v>23.243580859819563</v>
      </c>
      <c r="G372" s="110">
        <f t="shared" si="151"/>
        <v>0.96062145034394086</v>
      </c>
      <c r="H372" s="412" t="b">
        <f>Wh_hp&gt;='2024'!Maxi_hp</f>
        <v>0</v>
      </c>
      <c r="I372" s="388">
        <f>IF(H372,Wh_hp,'2024'!Maxi_hp)</f>
        <v>23.251123518369042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4.7403626204813309E-2</v>
      </c>
      <c r="M372" s="832"/>
      <c r="N372" s="832"/>
      <c r="O372" s="48">
        <f>IF(t&lt;Tnet,'2024'!Resal+('2024'!Salim-'2024'!Resal)*(1-EXP(('2024'!Tnet-t)/('2024'!Tau_j))),Resal+(Salim-Resal)*(1-EXP((Tnet-t)/(Tau_j))))*Salcycl</f>
        <v>4.8158747031808197E-2</v>
      </c>
      <c r="P372" s="169">
        <f>(INDEX(Models!$BJ372:$BT372,,T372)*(1-R372)+INDEX(Models!$BJ372:$BT372,,T372+1)*R372-ERP_i)*Q372*Ramure*Pc/MaxiM</f>
        <v>1.2043811703124272E-2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21.675138862557858</v>
      </c>
      <c r="W372" s="400">
        <f t="shared" si="136"/>
        <v>20.835647521711845</v>
      </c>
      <c r="X372" s="157">
        <f t="shared" si="137"/>
        <v>46015</v>
      </c>
      <c r="Y372" s="383">
        <f t="shared" si="138"/>
        <v>20.282930687199666</v>
      </c>
      <c r="Z372" s="383">
        <f t="shared" si="139"/>
        <v>21.292261072117629</v>
      </c>
      <c r="AA372" s="384">
        <f t="shared" si="140"/>
        <v>22.979128545249395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7.3408679089377385E-2</v>
      </c>
      <c r="AD372" s="230">
        <f>(INDEX(Models!$BJ372:$BT372,,AH372)*(1-AF372)+INDEX(Models!$BJ372:$BT372,,AH372+1)*AF372-ERP_i)*AE372*Ramure*Pc/MaxiM</f>
        <v>1.2043811703124272E-2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'2024'!Wh/'2024'!Env_an*'2025'!Env_an</f>
        <v>11.771331989548635</v>
      </c>
      <c r="C373" s="829"/>
      <c r="D373" s="391">
        <f t="shared" si="127"/>
        <v>12.357340330685794</v>
      </c>
      <c r="E373" s="383">
        <f t="shared" si="150"/>
        <v>12.983164992705563</v>
      </c>
      <c r="F373" s="383">
        <f t="shared" si="128"/>
        <v>13.037315780873193</v>
      </c>
      <c r="G373" s="110">
        <f t="shared" si="151"/>
        <v>0.53755491651349663</v>
      </c>
      <c r="H373" s="412" t="b">
        <f>Wh_hp&gt;='2024'!Maxi_hp</f>
        <v>0</v>
      </c>
      <c r="I373" s="388">
        <f>IF(H373,Wh_hp,'2024'!Maxi_hp)</f>
        <v>13.087340065687096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4.7421882496994971E-2</v>
      </c>
      <c r="M373" s="832"/>
      <c r="N373" s="832"/>
      <c r="O373" s="48">
        <f>IF(t&lt;Tnet,'2024'!Resal+('2024'!Salim-'2024'!Resal)*(1-EXP(('2024'!Tnet-t)/('2024'!Tau_j))),Resal+(Salim-Resal)*(1-EXP((Tnet-t)/(Tau_j))))*Salcycl</f>
        <v>4.8202781245665481E-2</v>
      </c>
      <c r="P373" s="169">
        <f>(INDEX(Models!$BJ373:$BT373,,T373)*(1-R373)+INDEX(Models!$BJ373:$BT373,,T373+1)*R373-ERP_i)*Q373*Ramure*Pc/MaxiM</f>
        <v>1.2022451114027404E-2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21.724883406042125</v>
      </c>
      <c r="W373" s="400">
        <f t="shared" si="136"/>
        <v>11.771331989548635</v>
      </c>
      <c r="X373" s="157">
        <f t="shared" si="137"/>
        <v>46016</v>
      </c>
      <c r="Y373" s="383">
        <f t="shared" si="138"/>
        <v>11.459360920084306</v>
      </c>
      <c r="Z373" s="383">
        <f t="shared" si="139"/>
        <v>12.029838508281875</v>
      </c>
      <c r="AA373" s="384">
        <f t="shared" si="140"/>
        <v>12.983164992705563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7.3427895660210865E-2</v>
      </c>
      <c r="AD373" s="230">
        <f>(INDEX(Models!$BJ373:$BT373,,AH373)*(1-AF373)+INDEX(Models!$BJ373:$BT373,,AH373+1)*AF373-ERP_i)*AE373*Ramure*Pc/MaxiM</f>
        <v>1.2022451114027404E-2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'2024'!Wh/'2024'!Env_an*'2025'!Env_an</f>
        <v>20.350465092170634</v>
      </c>
      <c r="C374" s="829"/>
      <c r="D374" s="391">
        <f t="shared" si="127"/>
        <v>21.363975024968884</v>
      </c>
      <c r="E374" s="383">
        <f t="shared" si="150"/>
        <v>22.446974620948836</v>
      </c>
      <c r="F374" s="383">
        <f t="shared" si="128"/>
        <v>22.693684742057471</v>
      </c>
      <c r="G374" s="110">
        <f t="shared" si="151"/>
        <v>0.93298229427967905</v>
      </c>
      <c r="H374" s="412" t="b">
        <f>Wh_hp&gt;='2024'!Maxi_hp</f>
        <v>0</v>
      </c>
      <c r="I374" s="388">
        <f>IF(H374,Wh_hp,'2024'!Maxi_hp)</f>
        <v>22.706326287460659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4.7440138439298951E-2</v>
      </c>
      <c r="M374" s="832"/>
      <c r="N374" s="832"/>
      <c r="O374" s="48">
        <f>IF(t&lt;Tnet,'2024'!Resal+('2024'!Salim-'2024'!Resal)*(1-EXP(('2024'!Tnet-t)/('2024'!Tau_j))),Resal+(Salim-Resal)*(1-EXP((Tnet-t)/(Tau_j))))*Salcycl</f>
        <v>4.8247018329554074E-2</v>
      </c>
      <c r="P374" s="169">
        <f>(INDEX(Models!$BJ374:$BT374,,T374)*(1-R374)+INDEX(Models!$BJ374:$BT374,,T374+1)*R374-ERP_i)*Q374*Ramure*Pc/MaxiM</f>
        <v>1.200207724687502E-2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21.787337977098641</v>
      </c>
      <c r="W374" s="400">
        <f t="shared" si="136"/>
        <v>20.350465092170634</v>
      </c>
      <c r="X374" s="157">
        <f t="shared" si="137"/>
        <v>46017</v>
      </c>
      <c r="Y374" s="383">
        <f t="shared" si="138"/>
        <v>19.811626811028056</v>
      </c>
      <c r="Z374" s="383">
        <f t="shared" si="139"/>
        <v>20.798301094241076</v>
      </c>
      <c r="AA374" s="384">
        <f t="shared" si="140"/>
        <v>22.446974620948836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7.3447471409760531E-2</v>
      </c>
      <c r="AD374" s="230">
        <f>(INDEX(Models!$BJ374:$BT374,,AH374)*(1-AF374)+INDEX(Models!$BJ374:$BT374,,AH374+1)*AF374-ERP_i)*AE374*Ramure*Pc/MaxiM</f>
        <v>1.200207724687502E-2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'2024'!Wh/'2024'!Env_an*'2025'!Env_an</f>
        <v>6.895471180969416</v>
      </c>
      <c r="C375" s="829"/>
      <c r="D375" s="391">
        <f t="shared" si="127"/>
        <v>7.2390236161496597</v>
      </c>
      <c r="E375" s="383">
        <f t="shared" si="150"/>
        <v>7.6063449352395596</v>
      </c>
      <c r="F375" s="383">
        <f t="shared" si="128"/>
        <v>7.6083506637295697</v>
      </c>
      <c r="G375" s="110">
        <f t="shared" si="151"/>
        <v>0.31171113219821001</v>
      </c>
      <c r="H375" s="412" t="b">
        <f>Wh_hp&gt;='2024'!Maxi_hp</f>
        <v>0</v>
      </c>
      <c r="I375" s="388">
        <f>IF(H375,Wh_hp,'2024'!Maxi_hp)</f>
        <v>21.290446008401918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4.745839403173191E-2</v>
      </c>
      <c r="M375" s="832"/>
      <c r="N375" s="832"/>
      <c r="O375" s="48">
        <f>IF(t&lt;Tnet,'2024'!Resal+('2024'!Salim-'2024'!Resal)*(1-EXP(('2024'!Tnet-t)/('2024'!Tau_j))),Resal+(Salim-Resal)*(1-EXP((Tnet-t)/(Tau_j))))*Salcycl</f>
        <v>4.8291435928461662E-2</v>
      </c>
      <c r="P375" s="169">
        <f>(INDEX(Models!$BJ375:$BT375,,T375)*(1-R375)+INDEX(Models!$BJ375:$BT375,,T375+1)*R375-ERP_i)*Q375*Ramure*Pc/MaxiM</f>
        <v>1.1977558723152903E-2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21.862153977375737</v>
      </c>
      <c r="W375" s="400">
        <f t="shared" si="136"/>
        <v>6.895471180969416</v>
      </c>
      <c r="X375" s="157">
        <f t="shared" si="137"/>
        <v>46018</v>
      </c>
      <c r="Y375" s="383">
        <f t="shared" si="138"/>
        <v>6.7130624636899698</v>
      </c>
      <c r="Z375" s="383">
        <f t="shared" si="139"/>
        <v>7.0475267658949914</v>
      </c>
      <c r="AA375" s="384">
        <f t="shared" si="140"/>
        <v>7.6063449352395596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7.3467371530261602E-2</v>
      </c>
      <c r="AD375" s="230">
        <f>(INDEX(Models!$BJ375:$BT375,,AH375)*(1-AF375)+INDEX(Models!$BJ375:$BT375,,AH375+1)*AF375-ERP_i)*AE375*Ramure*Pc/MaxiM</f>
        <v>1.1977558723152903E-2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'2024'!Wh/'2024'!Env_an*'2025'!Env_an</f>
        <v>21.406260582395429</v>
      </c>
      <c r="C376" s="829"/>
      <c r="D376" s="391">
        <f t="shared" si="127"/>
        <v>22.473213455698101</v>
      </c>
      <c r="E376" s="383">
        <f t="shared" si="150"/>
        <v>23.614651559743109</v>
      </c>
      <c r="F376" s="383">
        <f t="shared" si="128"/>
        <v>23.889959203070084</v>
      </c>
      <c r="G376" s="110">
        <f t="shared" si="151"/>
        <v>0.97485922189876861</v>
      </c>
      <c r="H376" s="412" t="b">
        <f>Wh_hp&gt;='2024'!Maxi_hp</f>
        <v>0</v>
      </c>
      <c r="I376" s="388">
        <f>IF(H376,Wh_hp,'2024'!Maxi_hp)</f>
        <v>23.895018418941333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4.747664927430062E-2</v>
      </c>
      <c r="M376" s="832"/>
      <c r="N376" s="832"/>
      <c r="O376" s="48">
        <f>IF(t&lt;Tnet,'2024'!Resal+('2024'!Salim-'2024'!Resal)*(1-EXP(('2024'!Tnet-t)/('2024'!Tau_j))),Resal+(Salim-Resal)*(1-EXP((Tnet-t)/(Tau_j))))*Salcycl</f>
        <v>4.8336012968781913E-2</v>
      </c>
      <c r="P376" s="169">
        <f>(INDEX(Models!$BJ376:$BT376,,T376)*(1-R376)+INDEX(Models!$BJ376:$BT376,,T376+1)*R376-ERP_i)*Q376*Ramure*Pc/MaxiM</f>
        <v>1.194592795450251E-2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21.948936504435554</v>
      </c>
      <c r="W376" s="400">
        <f t="shared" si="136"/>
        <v>21.406260582395429</v>
      </c>
      <c r="X376" s="157">
        <f t="shared" si="137"/>
        <v>46019</v>
      </c>
      <c r="Y376" s="383">
        <f t="shared" si="138"/>
        <v>20.840514009224421</v>
      </c>
      <c r="Z376" s="383">
        <f t="shared" si="139"/>
        <v>21.879268359507041</v>
      </c>
      <c r="AA376" s="384">
        <f t="shared" si="140"/>
        <v>23.614651559743109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7.3487563254773985E-2</v>
      </c>
      <c r="AD376" s="230">
        <f>(INDEX(Models!$BJ376:$BT376,,AH376)*(1-AF376)+INDEX(Models!$BJ376:$BT376,,AH376+1)*AF376-ERP_i)*AE376*Ramure*Pc/MaxiM</f>
        <v>1.194592795450251E-2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'2024'!Wh/'2024'!Env_an*'2025'!Env_an</f>
        <v>10.166932428164873</v>
      </c>
      <c r="C377" s="829"/>
      <c r="D377" s="391">
        <f t="shared" si="127"/>
        <v>10.673887701643896</v>
      </c>
      <c r="E377" s="383">
        <f t="shared" si="150"/>
        <v>11.216552706588168</v>
      </c>
      <c r="F377" s="383">
        <f t="shared" si="128"/>
        <v>11.247383530710749</v>
      </c>
      <c r="G377" s="110">
        <f t="shared" si="151"/>
        <v>0.4569049138238207</v>
      </c>
      <c r="H377" s="412" t="b">
        <f>Wh_hp&gt;='2024'!Maxi_hp</f>
        <v>0</v>
      </c>
      <c r="I377" s="388">
        <f>IF(H377,Wh_hp,'2024'!Maxi_hp)</f>
        <v>25.022994124609578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4.7494904167011742E-2</v>
      </c>
      <c r="M377" s="832"/>
      <c r="N377" s="832"/>
      <c r="O377" s="48">
        <f>IF(t&lt;Tnet,'2024'!Resal+('2024'!Salim-'2024'!Resal)*(1-EXP(('2024'!Tnet-t)/('2024'!Tau_j))),Resal+(Salim-Resal)*(1-EXP((Tnet-t)/(Tau_j))))*Salcycl</f>
        <v>4.838072972505468E-2</v>
      </c>
      <c r="P377" s="169">
        <f>(INDEX(Models!$BJ377:$BT377,,T377)*(1-R377)+INDEX(Models!$BJ377:$BT377,,T377+1)*R377-ERP_i)*Q377*Ramure*Pc/MaxiM</f>
        <v>1.1907452224814321E-2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22.047219984245864</v>
      </c>
      <c r="W377" s="400">
        <f t="shared" si="136"/>
        <v>10.166932428164873</v>
      </c>
      <c r="X377" s="157">
        <f t="shared" si="137"/>
        <v>46020</v>
      </c>
      <c r="Y377" s="383">
        <f t="shared" si="138"/>
        <v>9.8984769343044761</v>
      </c>
      <c r="Z377" s="383">
        <f t="shared" si="139"/>
        <v>10.392046171310007</v>
      </c>
      <c r="AA377" s="384">
        <f t="shared" si="140"/>
        <v>11.216552706588168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7.3508015951628147E-2</v>
      </c>
      <c r="AD377" s="230">
        <f>(INDEX(Models!$BJ377:$BT377,,AH377)*(1-AF377)+INDEX(Models!$BJ377:$BT377,,AH377+1)*AF377-ERP_i)*AE377*Ramure*Pc/MaxiM</f>
        <v>1.1907452224814321E-2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'2024'!Wh/'2024'!Env_an*'2025'!Env_an</f>
        <v>13.774660299266518</v>
      </c>
      <c r="C378" s="829"/>
      <c r="D378" s="391">
        <f t="shared" si="127"/>
        <v>14.461785404414579</v>
      </c>
      <c r="E378" s="383">
        <f t="shared" si="150"/>
        <v>15.197744828096853</v>
      </c>
      <c r="F378" s="383">
        <f t="shared" si="128"/>
        <v>15.281050735042321</v>
      </c>
      <c r="G378" s="110">
        <f t="shared" si="151"/>
        <v>0.61768985168961099</v>
      </c>
      <c r="H378" s="412" t="b">
        <f>Wh_hp&gt;='2024'!Maxi_hp</f>
        <v>0</v>
      </c>
      <c r="I378" s="388">
        <f>IF(H378,Wh_hp,'2024'!Maxi_hp)</f>
        <v>25.027651179472095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4.751315870987205E-2</v>
      </c>
      <c r="M378" s="832"/>
      <c r="N378" s="832"/>
      <c r="O378" s="48">
        <f>IF(t&lt;Tnet,'2024'!Resal+('2024'!Salim-'2024'!Resal)*(1-EXP(('2024'!Tnet-t)/('2024'!Tau_j))),Resal+(Salim-Resal)*(1-EXP((Tnet-t)/(Tau_j))))*Salcycl</f>
        <v>4.8425567872522071E-2</v>
      </c>
      <c r="P378" s="169">
        <f>(INDEX(Models!$BJ378:$BT378,,T378)*(1-R378)+INDEX(Models!$BJ378:$BT378,,T378+1)*R378-ERP_i)*Q378*Ramure*Pc/MaxiM</f>
        <v>1.1862417546066265E-2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22.156538808334879</v>
      </c>
      <c r="W378" s="400">
        <f t="shared" si="136"/>
        <v>13.774660299266518</v>
      </c>
      <c r="X378" s="157">
        <f t="shared" si="137"/>
        <v>46021</v>
      </c>
      <c r="Y378" s="383">
        <f t="shared" si="138"/>
        <v>13.411276078004072</v>
      </c>
      <c r="Z378" s="383">
        <f t="shared" si="139"/>
        <v>14.080274389763449</v>
      </c>
      <c r="AA378" s="384">
        <f t="shared" si="140"/>
        <v>15.197744828096853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7.3528701197001181E-2</v>
      </c>
      <c r="AD378" s="230">
        <f>(INDEX(Models!$BJ378:$BT378,,AH378)*(1-AF378)+INDEX(Models!$BJ378:$BT378,,AH378+1)*AF378-ERP_i)*AE378*Ramure*Pc/MaxiM</f>
        <v>1.1862417546066265E-2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'2024'!Wh/'2024'!Env_an*'2025'!Env_an</f>
        <v>11.396280170585079</v>
      </c>
      <c r="C379" s="829"/>
      <c r="D379" s="391">
        <f t="shared" si="127"/>
        <v>11.964993202891989</v>
      </c>
      <c r="E379" s="383">
        <f t="shared" si="150"/>
        <v>12.574484905874602</v>
      </c>
      <c r="F379" s="383">
        <f t="shared" si="128"/>
        <v>12.61953762732011</v>
      </c>
      <c r="G379" s="110">
        <f t="shared" si="151"/>
        <v>0.50735363451876381</v>
      </c>
      <c r="H379" s="412" t="b">
        <f>Wh_hp&gt;='2024'!Maxi_hp</f>
        <v>0</v>
      </c>
      <c r="I379" s="388">
        <f>IF(H379,Wh_hp,'2024'!Maxi_hp)</f>
        <v>25.278911318099443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4.7531412902888204E-2</v>
      </c>
      <c r="M379" s="832"/>
      <c r="N379" s="832"/>
      <c r="O379" s="48">
        <f>IF(t&lt;Tnet,'2024'!Resal+('2024'!Salim-'2024'!Resal)*(1-EXP(('2024'!Tnet-t)/('2024'!Tau_j))),Resal+(Salim-Resal)*(1-EXP((Tnet-t)/(Tau_j))))*Salcycl</f>
        <v>4.8470510525474311E-2</v>
      </c>
      <c r="P379" s="169">
        <f>(INDEX(Models!$BJ379:$BT379,,T379)*(1-R379)+INDEX(Models!$BJ379:$BT379,,T379+1)*R379-ERP_i)*Q379*Ramure*Pc/MaxiM</f>
        <v>1.1811125822457712E-2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22.276427342618376</v>
      </c>
      <c r="W379" s="400">
        <f t="shared" si="136"/>
        <v>11.396280170585079</v>
      </c>
      <c r="X379" s="157">
        <f t="shared" si="137"/>
        <v>46022</v>
      </c>
      <c r="Y379" s="383">
        <f t="shared" si="138"/>
        <v>11.095912970749595</v>
      </c>
      <c r="Z379" s="383">
        <f t="shared" si="139"/>
        <v>11.649636661054815</v>
      </c>
      <c r="AA379" s="384">
        <f t="shared" si="140"/>
        <v>12.574484905874602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7.3549592825683907E-2</v>
      </c>
      <c r="AD379" s="230">
        <f>(INDEX(Models!$BJ379:$BT379,,AH379)*(1-AF379)+INDEX(Models!$BJ379:$BT379,,AH379+1)*AF379-ERP_i)*AE379*Ramure*Pc/MaxiM</f>
        <v>1.1811125822457712E-2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17.030411167079539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1.8030837448861432</v>
      </c>
      <c r="C381" s="374"/>
      <c r="D381" s="372">
        <f>MIN(D15:D380)</f>
        <v>1.8802278821609217</v>
      </c>
      <c r="E381" s="372">
        <f>MIN(E15:E380)</f>
        <v>1.9357955619240601</v>
      </c>
      <c r="F381" s="373">
        <f>MIN(F15:F380)</f>
        <v>1.9357955619240601</v>
      </c>
      <c r="G381" s="125">
        <f>+MIN(G15:G380)</f>
        <v>7.2350443087785432E-2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4.0863720298336736E-2</v>
      </c>
      <c r="M381" s="833"/>
      <c r="N381" s="833"/>
      <c r="O381" s="47">
        <f t="shared" si="152"/>
        <v>2.8125010679567443E-2</v>
      </c>
      <c r="P381" s="168">
        <f t="shared" si="152"/>
        <v>2.5953933218287228E-4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21.601538031592973</v>
      </c>
      <c r="W381" s="793"/>
      <c r="X381" s="112" t="s">
        <v>7</v>
      </c>
      <c r="Y381" s="372">
        <f>MIN(Y15:Y380)</f>
        <v>1.7387218706820986</v>
      </c>
      <c r="Z381" s="372">
        <f>MIN(Z15:Z380)</f>
        <v>1.8131123137521898</v>
      </c>
      <c r="AA381" s="372">
        <f>MIN(AA15:AA380)</f>
        <v>1.9357955619240601</v>
      </c>
      <c r="AB381" s="200" t="s">
        <v>7</v>
      </c>
      <c r="AC381" s="47">
        <f t="shared" ref="AC381:AH381" si="153">MIN(AC15:AC380)</f>
        <v>6.3092254021302599E-2</v>
      </c>
      <c r="AD381" s="168">
        <f t="shared" si="153"/>
        <v>2.5953933218287228E-4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30.77651891035309</v>
      </c>
      <c r="C382" s="374"/>
      <c r="D382" s="374">
        <f>AVERAGE(D15:D380)</f>
        <v>32.196864688109784</v>
      </c>
      <c r="E382" s="374">
        <f>AVERAGE(E15:E380)</f>
        <v>33.53227252738612</v>
      </c>
      <c r="F382" s="375">
        <f>AVERAGE(F15:F380)</f>
        <v>33.584188787173488</v>
      </c>
      <c r="G382" s="126">
        <f>AVERAGE(G15:G380)</f>
        <v>0.68775442855239144</v>
      </c>
      <c r="H382" s="94"/>
      <c r="I382" s="375">
        <f>AVERAGE(I15:I380)</f>
        <v>43.530570214938173</v>
      </c>
      <c r="J382" s="59">
        <f>AVERAGE(J15:J380)</f>
        <v>2020.622950819672</v>
      </c>
      <c r="K382" s="200" t="s">
        <v>8</v>
      </c>
      <c r="L382" s="147">
        <f t="shared" ref="L382:V382" si="154">AVERAGE(L15:L380)</f>
        <v>4.4201432124948849E-2</v>
      </c>
      <c r="M382" s="832"/>
      <c r="N382" s="832"/>
      <c r="O382" s="48">
        <f t="shared" si="154"/>
        <v>3.973810479444416E-2</v>
      </c>
      <c r="P382" s="169">
        <f t="shared" si="154"/>
        <v>3.819914602609623E-3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43.32108004729487</v>
      </c>
      <c r="X382" s="112" t="s">
        <v>8</v>
      </c>
      <c r="Y382" s="374">
        <f>AVERAGE(Y15:Y380)</f>
        <v>29.795287958606817</v>
      </c>
      <c r="Z382" s="374">
        <f>AVERAGE(Z15:Z380)</f>
        <v>31.170452478086002</v>
      </c>
      <c r="AA382" s="374">
        <f>AVERAGE(AA15:AA380)</f>
        <v>33.53227252738612</v>
      </c>
      <c r="AB382" s="200" t="s">
        <v>8</v>
      </c>
      <c r="AC382" s="48">
        <f t="shared" ref="AC382:AH382" si="155">AVERAGE(AC15:AC380)</f>
        <v>7.0099611340425069E-2</v>
      </c>
      <c r="AD382" s="169">
        <f t="shared" si="155"/>
        <v>3.819914602609623E-3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59.731144573311511</v>
      </c>
      <c r="C383" s="376"/>
      <c r="D383" s="376">
        <f>MAX(D15:D380)</f>
        <v>62.452863648110615</v>
      </c>
      <c r="E383" s="376">
        <f>MAX(E15:E380)</f>
        <v>64.941118947175781</v>
      </c>
      <c r="F383" s="377">
        <f>MAX(F15:F380)</f>
        <v>64.959236791876066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2025</v>
      </c>
      <c r="K383" s="200" t="s">
        <v>9</v>
      </c>
      <c r="L383" s="148">
        <f t="shared" ref="L383:T383" si="156">MAX(L15:L380)</f>
        <v>4.7531412902888204E-2</v>
      </c>
      <c r="M383" s="834"/>
      <c r="N383" s="834"/>
      <c r="O383" s="49">
        <f t="shared" si="156"/>
        <v>4.8470510525474311E-2</v>
      </c>
      <c r="P383" s="170">
        <f t="shared" si="156"/>
        <v>1.2388781413236646E-2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58.92330990031676</v>
      </c>
      <c r="X383" s="112" t="s">
        <v>9</v>
      </c>
      <c r="Y383" s="376">
        <f>MAX(Y15:Y380)</f>
        <v>57.777967810525759</v>
      </c>
      <c r="Z383" s="376">
        <f>MAX(Z15:Z380)</f>
        <v>60.410688114420616</v>
      </c>
      <c r="AA383" s="376">
        <f>MAX(AA15:AA380)</f>
        <v>64.941118947175781</v>
      </c>
      <c r="AB383" s="200" t="s">
        <v>9</v>
      </c>
      <c r="AC383" s="49">
        <f t="shared" ref="AC383:AH383" si="157">MAX(AC15:AC380)</f>
        <v>7.4157010574963586E-2</v>
      </c>
      <c r="AD383" s="170">
        <f t="shared" si="157"/>
        <v>1.2388781413236646E-2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'2025'!An+1</f>
        <v>2026</v>
      </c>
      <c r="K1" s="1279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71.292506007772431</v>
      </c>
      <c r="AK3" s="822">
        <f>AM11-AK11</f>
        <v>-0.15600672325334308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357.44327727710538</v>
      </c>
      <c r="AK4" s="822">
        <f>AM12-AK12</f>
        <v>14.53348334639943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428.84920350574788</v>
      </c>
      <c r="AA5" s="236">
        <f>Wh_Pvg_s-Wh_Pvg</f>
        <v>14.267553361673155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2867.6481494391955</v>
      </c>
      <c r="AK5" s="514">
        <f>SUMIF(AK15:AK380,"VRAI",Wh)</f>
        <v>1887.3261493213311</v>
      </c>
      <c r="AL5" s="514">
        <f>SUMIF(AJ15:AJ380,"VRAI",Wh_s)</f>
        <v>2795.9339592761662</v>
      </c>
      <c r="AM5" s="514">
        <f>SUMIF(AK15:AK380,"VRAI",Wh_s)</f>
        <v>1839.7192513688315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8454.1955582343344</v>
      </c>
      <c r="AK6" s="514">
        <f>SUMIF(AK15:AK380,"FAUX",Wh)</f>
        <v>9434.5175583521959</v>
      </c>
      <c r="AL6" s="514">
        <f>SUMIF(AJ15:AJ380,"FAUX",Wh_s)</f>
        <v>8081.6573026183451</v>
      </c>
      <c r="AM6" s="514">
        <f>SUMIF(AK15:AK380,"FAUX",Wh_s)</f>
        <v>9037.8720105256889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3014.7487188525556</v>
      </c>
      <c r="AK7" s="514">
        <f>SUMIF(AK15:AK380,"VRAI",Wh_sa)</f>
        <v>2089.5721742485525</v>
      </c>
      <c r="AL7" s="514">
        <f>SUMIF(AJ15:AJ380,"VRAI",Wh_pvt_s)</f>
        <v>2939.3568418724453</v>
      </c>
      <c r="AM7" s="514">
        <f>SUMIF(AK15:AK380,"VRAI",Wh_sa_s)</f>
        <v>2089.5721742485525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1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8913.0708345647654</v>
      </c>
      <c r="AK8" s="514">
        <f>SUMIF(AK15:AK380,"FAUX",Wh_sa)</f>
        <v>10167.425424243154</v>
      </c>
      <c r="AL8" s="514">
        <f>SUMIF(AJ15:AJ380,"FAUX",Wh_pvt_s)</f>
        <v>8520.3146944237378</v>
      </c>
      <c r="AM8" s="514">
        <f>SUMIF(AK15:AK380,"FAUX",Wh_sa_s)</f>
        <v>10151.071745705733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11927.819553417326</v>
      </c>
      <c r="E9" s="184">
        <f>SUM(E$15:E$380)</f>
        <v>12256.997598491704</v>
      </c>
      <c r="F9" s="184">
        <f>SUM(F$15:F$380)</f>
        <v>12264.558164881782</v>
      </c>
      <c r="H9" s="1280">
        <f>+SUM(Wh)</f>
        <v>11321.843707673532</v>
      </c>
      <c r="I9" s="1281"/>
      <c r="J9" s="1282"/>
      <c r="K9" s="191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10877.591261894519</v>
      </c>
      <c r="Y9" s="1275"/>
      <c r="Z9" s="514">
        <f>SUM(Z$15:Z$380)</f>
        <v>11459.67153629619</v>
      </c>
      <c r="AA9" s="514">
        <f>SUM(AA$15:AA$380)</f>
        <v>12240.643919954282</v>
      </c>
      <c r="AB9" s="514">
        <f>F9</f>
        <v>12264.558164881782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3179.077617743395</v>
      </c>
      <c r="AK9" s="514">
        <f>SUMIF(AK15:AK380,"VRAI",Wh_hp)</f>
        <v>2096.4196548012897</v>
      </c>
      <c r="AL9" s="514">
        <f>SUMIF(AJ15:AJ380,"VRAI",Wh_sa_s)</f>
        <v>3178.6353911105166</v>
      </c>
      <c r="AM9" s="514">
        <f>SUMIF(AK15:AK380,"VRAI",Wh_hp)</f>
        <v>2096.4196548012897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0.01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5.3792459287066725E-2</v>
      </c>
      <c r="AD10" s="426"/>
      <c r="AE10" s="426"/>
      <c r="AF10" s="259"/>
      <c r="AG10" s="260"/>
      <c r="AH10" s="261"/>
      <c r="AI10" s="471"/>
      <c r="AJ10" s="514">
        <f>SUMIF(AJ15:AJ380,"FAUX",Wh_sa)</f>
        <v>9077.9199807483074</v>
      </c>
      <c r="AK10" s="514">
        <f>SUMIF(AK15:AK380,"FAUX",Wh_hp)</f>
        <v>10168.138510080491</v>
      </c>
      <c r="AL10" s="514">
        <f>SUMIF(AJ15:AJ380,"FAUX",Wh_sa_s)</f>
        <v>9062.0085288437695</v>
      </c>
      <c r="AM10" s="514">
        <f>SUMIF(AK15:AK380,"FAUX",Wh_hp)</f>
        <v>10168.138510080491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605.97584574379471</v>
      </c>
      <c r="E11" s="51">
        <f>(E$9-D$9)*Prod_an/D$9</f>
        <v>312.45462438789599</v>
      </c>
      <c r="F11" s="186">
        <f>(F$9-E$9)*Prod_an/E$9</f>
        <v>6.9837291165411166</v>
      </c>
      <c r="G11" s="185" t="s">
        <v>6</v>
      </c>
      <c r="K11" s="194"/>
      <c r="L11" s="211">
        <f>Tvie_2026</f>
        <v>43481</v>
      </c>
      <c r="M11" s="831"/>
      <c r="N11" s="831"/>
      <c r="O11" s="202">
        <f>IF(An_Tnet,Salim_2026,'2025'!Salim)</f>
        <v>0.1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582.08027440167098</v>
      </c>
      <c r="Z11" s="51">
        <f>(AA$9-Z$9)*Prod_an_s/Z$9</f>
        <v>741.30382789364387</v>
      </c>
      <c r="AA11" s="186">
        <f>(AB$9-AA$9)*Prod_an_s/AA$9</f>
        <v>21.251282478214272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156.31069344414681</v>
      </c>
      <c r="AK11" s="822">
        <f>IF($AK7=0,0,($AK9-$AK7)*$AK5/$AK7)</f>
        <v>6.1847249228409886</v>
      </c>
      <c r="AL11" s="821">
        <f>IF($AL7=0,0,($AL9-$AL7)*$AL5/$AL7)</f>
        <v>227.60319945191924</v>
      </c>
      <c r="AM11" s="822">
        <f>IF($AM7=0,0,($AM9-$AM7)*$AM5/$AM7)</f>
        <v>6.0287181995876455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Pspv_2026</f>
        <v>0</v>
      </c>
      <c r="M12" s="212"/>
      <c r="N12" s="212"/>
      <c r="O12" s="205">
        <f>IF(An_Tnet,Tau_2026*365,'2025'!Tau_j)</f>
        <v>1095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156.36215007278994</v>
      </c>
      <c r="AK12" s="822">
        <f>IF($AK8=0,0,($AK10-$AK8)*$AK6/$AK8)</f>
        <v>0.66168381593666026</v>
      </c>
      <c r="AL12" s="821">
        <f>IF($AL8=0,0,($AL10-$AL8)*$AL6/$AL8)</f>
        <v>513.80542734989535</v>
      </c>
      <c r="AM12" s="822">
        <f>IF($AM8=0,0,($AM10-$AM8)*$AM6/$AM8)</f>
        <v>15.195167162336091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312.67284351693672</v>
      </c>
      <c r="AK13" s="73">
        <f>+AK11+AK12</f>
        <v>6.8464087387776491</v>
      </c>
      <c r="AL13" s="73">
        <f>+AL11+AL12</f>
        <v>741.40862680181453</v>
      </c>
      <c r="AM13" s="73">
        <f>+AM11+AM12</f>
        <v>21.223885361923735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'2025'!Wh/'2025'!Env_an*'2026'!Env_an</f>
        <v>22.796430115802789</v>
      </c>
      <c r="C15" s="829"/>
      <c r="D15" s="391">
        <f t="shared" ref="D15:D78" si="0">Wh/(1-Ppv)</f>
        <v>23.934507994680942</v>
      </c>
      <c r="E15" s="398">
        <f t="shared" ref="E15:E79" si="1">Wh_pvt/(1-Psa)</f>
        <v>25.154912200634882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Wh_hp&gt;='2025'!Maxi_hp</f>
        <v>1</v>
      </c>
      <c r="I15" s="394">
        <f>IF(H15,Wh_hp,'2025'!Maxi_hp)</f>
        <v>25.454097031999808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4.7549666746066976E-2</v>
      </c>
      <c r="M15" s="832"/>
      <c r="N15" s="832"/>
      <c r="O15" s="48">
        <f>IF(t&lt;Tnet,'2025'!Resal+('2025'!Salim-'2025'!Resal)*(1-EXP(('2025'!Tnet-t)/('2025'!Tau_j))),Resal+(Salim-Resal)*(1-EXP((Tnet-t)/(Tau_j))))*Salcycl</f>
        <v>4.8515542261488735E-2</v>
      </c>
      <c r="P15" s="301">
        <f>(INDEX(Models!$BJ15:$BT15,,T15)*(1-R15)+INDEX(Models!$BJ15:$BT15,,T15+1)*R15-ERP_i)*Q15*Ramure*Pc/MaxiM</f>
        <v>1.1753896867321749E-2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22.40641979577785</v>
      </c>
      <c r="W15" s="400">
        <f t="shared" ref="W15:W78" si="10">Wh*(A15&gt;Tmaj)</f>
        <v>22.796430115802789</v>
      </c>
      <c r="X15" s="156">
        <f t="shared" ref="X15:X78" si="11">t</f>
        <v>46023</v>
      </c>
      <c r="Y15" s="383">
        <f t="shared" ref="Y15:Y78" si="12">Wh_pvt_s*(1-Ppv)</f>
        <v>22.196139281208801</v>
      </c>
      <c r="Z15" s="383">
        <f>Wh_sa_s*(1-Psa_s)</f>
        <v>23.304248532706517</v>
      </c>
      <c r="AA15" s="384">
        <f t="shared" ref="AA15:AA78" si="13">Wh_hp*(1-Pvg_s*MEDIAN((-Sdif+Wh/Env_an)/Csdif,0,1))</f>
        <v>25.154912200634882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7.3570666960294837E-2</v>
      </c>
      <c r="AD15" s="230">
        <f>(INDEX(Models!$BJ15:$BT15,,AH15)*(1-AF15)+INDEX(Models!$BJ15:$BT15,,AH15+1)*AF15-ERP_i)*AE15*Ramure*Pc/MaxiM</f>
        <v>1.1753896867321749E-2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'2025'!Wh/'2025'!Env_an*'2026'!Env_an</f>
        <v>15.721816583994677</v>
      </c>
      <c r="C16" s="829"/>
      <c r="D16" s="391">
        <f t="shared" si="0"/>
        <v>16.507021254415019</v>
      </c>
      <c r="E16" s="383">
        <f t="shared" si="1"/>
        <v>17.349525473538581</v>
      </c>
      <c r="F16" s="383">
        <f t="shared" si="2"/>
        <v>17.465370827248151</v>
      </c>
      <c r="G16" s="110">
        <f t="shared" ref="G16:G79" si="21">+Wh_hp/MaxiM</f>
        <v>0.69376947377415332</v>
      </c>
      <c r="H16" s="412" t="b">
        <f>Wh_hp&gt;='2025'!Maxi_hp</f>
        <v>0</v>
      </c>
      <c r="I16" s="388">
        <f>IF(H16,Wh_hp,'2025'!Maxi_hp)</f>
        <v>24.084283353934023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4.7567920239414918E-2</v>
      </c>
      <c r="M16" s="832"/>
      <c r="N16" s="832"/>
      <c r="O16" s="48">
        <f>IF(t&lt;Tnet,'2025'!Resal+('2025'!Salim-'2025'!Resal)*(1-EXP(('2025'!Tnet-t)/('2025'!Tau_j))),Resal+(Salim-Resal)*(1-EXP((Tnet-t)/(Tau_j))))*Salcycl</f>
        <v>4.8560649131790118E-2</v>
      </c>
      <c r="P16" s="169">
        <f>(INDEX(Models!$BJ16:$BT16,,T16)*(1-R16)+INDEX(Models!$BJ16:$BT16,,T16+1)*R16-ERP_i)*Q16*Ramure*Pc/MaxiM</f>
        <v>1.1685900152134355E-2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22.546168067411426</v>
      </c>
      <c r="W16" s="400">
        <f t="shared" si="10"/>
        <v>15.721816583994677</v>
      </c>
      <c r="X16" s="157">
        <f t="shared" si="11"/>
        <v>46024</v>
      </c>
      <c r="Y16" s="383">
        <f t="shared" si="12"/>
        <v>15.308194037894141</v>
      </c>
      <c r="Z16" s="383">
        <f t="shared" ref="Z16:Z78" si="22">Wh_sa_s*(1-Psa_s)</f>
        <v>16.072740894807108</v>
      </c>
      <c r="AA16" s="384">
        <f t="shared" si="13"/>
        <v>17.349525473538581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7.3591902019384953E-2</v>
      </c>
      <c r="AD16" s="230">
        <f>(INDEX(Models!$BJ16:$BT16,,AH16)*(1-AF16)+INDEX(Models!$BJ16:$BT16,,AH16+1)*AF16-ERP_i)*AE16*Ramure*Pc/MaxiM</f>
        <v>1.1685900152134355E-2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'2025'!Wh/'2025'!Env_an*'2026'!Env_an</f>
        <v>16.975604661634019</v>
      </c>
      <c r="C17" s="829"/>
      <c r="D17" s="391">
        <f t="shared" si="0"/>
        <v>17.823769654763144</v>
      </c>
      <c r="E17" s="383">
        <f t="shared" si="1"/>
        <v>18.734368996900088</v>
      </c>
      <c r="F17" s="383">
        <f t="shared" si="2"/>
        <v>18.87457842185529</v>
      </c>
      <c r="G17" s="110">
        <f t="shared" si="21"/>
        <v>0.74483266973361795</v>
      </c>
      <c r="H17" s="412" t="b">
        <f>Wh_hp&gt;='2025'!Maxi_hp</f>
        <v>0</v>
      </c>
      <c r="I17" s="388">
        <f>IF(H17,Wh_hp,'2025'!Maxi_hp)</f>
        <v>25.872417420672249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4.7586173382938912E-2</v>
      </c>
      <c r="M17" s="832"/>
      <c r="N17" s="832"/>
      <c r="O17" s="48">
        <f>IF(t&lt;Tnet,'2025'!Resal+('2025'!Salim-'2025'!Resal)*(1-EXP(('2025'!Tnet-t)/('2025'!Tau_j))),Resal+(Salim-Resal)*(1-EXP((Tnet-t)/(Tau_j))))*Salcycl</f>
        <v>4.860581865808334E-2</v>
      </c>
      <c r="P17" s="169">
        <f>(INDEX(Models!$BJ17:$BT17,,T17)*(1-R17)+INDEX(Models!$BJ17:$BT17,,T17+1)*R17-ERP_i)*Q17*Ramure*Pc/MaxiM</f>
        <v>1.1607469410474523E-2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22.695208664385621</v>
      </c>
      <c r="W17" s="400">
        <f t="shared" si="10"/>
        <v>16.975604661634019</v>
      </c>
      <c r="X17" s="157">
        <f t="shared" si="11"/>
        <v>46025</v>
      </c>
      <c r="Y17" s="383">
        <f t="shared" si="12"/>
        <v>16.529399751330388</v>
      </c>
      <c r="Z17" s="383">
        <f t="shared" si="22"/>
        <v>17.355270670567865</v>
      </c>
      <c r="AA17" s="384">
        <f t="shared" si="13"/>
        <v>18.734368996900088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7.3613278705059071E-2</v>
      </c>
      <c r="AD17" s="230">
        <f>(INDEX(Models!$BJ17:$BT17,,AH17)*(1-AF17)+INDEX(Models!$BJ17:$BT17,,AH17+1)*AF17-ERP_i)*AE17*Ramure*Pc/MaxiM</f>
        <v>1.1607469410474523E-2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'2025'!Wh/'2025'!Env_an*'2026'!Env_an</f>
        <v>18.038744898918807</v>
      </c>
      <c r="C18" s="829"/>
      <c r="D18" s="391">
        <f t="shared" si="0"/>
        <v>18.940391361231317</v>
      </c>
      <c r="E18" s="383">
        <f t="shared" si="1"/>
        <v>19.908984141397006</v>
      </c>
      <c r="F18" s="383">
        <f t="shared" si="2"/>
        <v>20.070600770790769</v>
      </c>
      <c r="G18" s="110">
        <f t="shared" si="21"/>
        <v>0.78657697869674936</v>
      </c>
      <c r="H18" s="412" t="b">
        <f>Wh_hp&gt;='2025'!Maxi_hp</f>
        <v>0</v>
      </c>
      <c r="I18" s="388">
        <f>IF(H18,Wh_hp,'2025'!Maxi_hp)</f>
        <v>21.824345162432092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4.7604426176645509E-2</v>
      </c>
      <c r="M18" s="832"/>
      <c r="N18" s="832"/>
      <c r="O18" s="48">
        <f>IF(t&lt;Tnet,'2025'!Resal+('2025'!Salim-'2025'!Resal)*(1-EXP(('2025'!Tnet-t)/('2025'!Tau_j))),Resal+(Salim-Resal)*(1-EXP((Tnet-t)/(Tau_j))))*Salcycl</f>
        <v>4.8651039816325001E-2</v>
      </c>
      <c r="P18" s="169">
        <f>(INDEX(Models!$BJ18:$BT18,,T18)*(1-R18)+INDEX(Models!$BJ18:$BT18,,T18+1)*R18-ERP_i)*Q18*Ramure*Pc/MaxiM</f>
        <v>1.151905762151211E-2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22.853075677646739</v>
      </c>
      <c r="W18" s="400">
        <f t="shared" si="10"/>
        <v>18.038744898918807</v>
      </c>
      <c r="X18" s="157">
        <f t="shared" si="11"/>
        <v>46026</v>
      </c>
      <c r="Y18" s="383">
        <f t="shared" si="12"/>
        <v>17.565022496171391</v>
      </c>
      <c r="Z18" s="383">
        <f>Wh_sa_s*(1-Psa_s)</f>
        <v>18.442990474700864</v>
      </c>
      <c r="AA18" s="384">
        <f t="shared" si="13"/>
        <v>19.908984141397006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7.3634779970911973E-2</v>
      </c>
      <c r="AD18" s="230">
        <f>(INDEX(Models!$BJ18:$BT18,,AH18)*(1-AF18)+INDEX(Models!$BJ18:$BT18,,AH18+1)*AF18-ERP_i)*AE18*Ramure*Pc/MaxiM</f>
        <v>1.151905762151211E-2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'2025'!Wh/'2025'!Env_an*'2026'!Env_an</f>
        <v>14.265218015708202</v>
      </c>
      <c r="C19" s="829"/>
      <c r="D19" s="391">
        <f t="shared" si="0"/>
        <v>14.978536022934621</v>
      </c>
      <c r="E19" s="383">
        <f t="shared" si="1"/>
        <v>15.745272587814577</v>
      </c>
      <c r="F19" s="383">
        <f t="shared" si="2"/>
        <v>15.827835358265817</v>
      </c>
      <c r="G19" s="110">
        <f t="shared" si="21"/>
        <v>0.61584143538906622</v>
      </c>
      <c r="H19" s="412" t="b">
        <f>Wh_hp&gt;='2025'!Maxi_hp</f>
        <v>0</v>
      </c>
      <c r="I19" s="388">
        <f>IF(H19,Wh_hp,'2025'!Maxi_hp)</f>
        <v>15.89891096179743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4.7622678620541481E-2</v>
      </c>
      <c r="M19" s="832"/>
      <c r="N19" s="832"/>
      <c r="O19" s="48">
        <f>IF(t&lt;Tnet,'2025'!Resal+('2025'!Salim-'2025'!Resal)*(1-EXP(('2025'!Tnet-t)/('2025'!Tau_j))),Resal+(Salim-Resal)*(1-EXP((Tnet-t)/(Tau_j))))*Salcycl</f>
        <v>4.869630300801156E-2</v>
      </c>
      <c r="P19" s="169">
        <f>(INDEX(Models!$BJ19:$BT19,,T19)*(1-R19)+INDEX(Models!$BJ19:$BT19,,T19+1)*R19-ERP_i)*Q19*Ramure*Pc/MaxiM</f>
        <v>1.1421126477112131E-2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23.019303177335889</v>
      </c>
      <c r="W19" s="400">
        <f t="shared" si="10"/>
        <v>14.265218015708202</v>
      </c>
      <c r="X19" s="157">
        <f t="shared" si="11"/>
        <v>46027</v>
      </c>
      <c r="Y19" s="383">
        <f t="shared" si="12"/>
        <v>13.890930500992797</v>
      </c>
      <c r="Z19" s="383">
        <f t="shared" si="22"/>
        <v>14.58553263413776</v>
      </c>
      <c r="AA19" s="384">
        <f t="shared" si="13"/>
        <v>15.745272587814577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7.3656390971240049E-2</v>
      </c>
      <c r="AD19" s="230">
        <f>(INDEX(Models!$BJ19:$BT19,,AH19)*(1-AF19)+INDEX(Models!$BJ19:$BT19,,AH19+1)*AF19-ERP_i)*AE19*Ramure*Pc/MaxiM</f>
        <v>1.1421126477112131E-2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'2025'!Wh/'2025'!Env_an*'2026'!Env_an</f>
        <v>20.471087790999245</v>
      </c>
      <c r="C20" s="829"/>
      <c r="D20" s="391">
        <f t="shared" si="0"/>
        <v>21.495136079672545</v>
      </c>
      <c r="E20" s="383">
        <f t="shared" si="1"/>
        <v>22.596526958518215</v>
      </c>
      <c r="F20" s="383">
        <f t="shared" si="2"/>
        <v>22.811341292648184</v>
      </c>
      <c r="G20" s="110">
        <f t="shared" si="21"/>
        <v>0.88093422078256189</v>
      </c>
      <c r="H20" s="412" t="b">
        <f>Wh_hp&gt;='2025'!Maxi_hp</f>
        <v>0</v>
      </c>
      <c r="I20" s="388">
        <f>IF(H20,Wh_hp,'2025'!Maxi_hp)</f>
        <v>25.97684931198668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4.7640930714633489E-2</v>
      </c>
      <c r="M20" s="832"/>
      <c r="N20" s="832"/>
      <c r="O20" s="48">
        <f>IF(t&lt;Tnet,'2025'!Resal+('2025'!Salim-'2025'!Resal)*(1-EXP(('2025'!Tnet-t)/('2025'!Tau_j))),Resal+(Salim-Resal)*(1-EXP((Tnet-t)/(Tau_j))))*Salcycl</f>
        <v>4.8741600019664877E-2</v>
      </c>
      <c r="P20" s="169">
        <f>(INDEX(Models!$BJ20:$BT20,,T20)*(1-R20)+INDEX(Models!$BJ20:$BT20,,T20+1)*R20-ERP_i)*Q20*Ramure*Pc/MaxiM</f>
        <v>1.1314142717451086E-2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23.193425198665366</v>
      </c>
      <c r="W20" s="400">
        <f t="shared" si="10"/>
        <v>20.471087790999245</v>
      </c>
      <c r="X20" s="157">
        <f t="shared" si="11"/>
        <v>46028</v>
      </c>
      <c r="Y20" s="383">
        <f t="shared" si="12"/>
        <v>19.934454148987275</v>
      </c>
      <c r="Z20" s="383">
        <f t="shared" si="22"/>
        <v>20.93165780837866</v>
      </c>
      <c r="AA20" s="384">
        <f t="shared" si="13"/>
        <v>22.596526958518215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7.3678098992639676E-2</v>
      </c>
      <c r="AD20" s="230">
        <f>(INDEX(Models!$BJ20:$BT20,,AH20)*(1-AF20)+INDEX(Models!$BJ20:$BT20,,AH20+1)*AF20-ERP_i)*AE20*Ramure*Pc/MaxiM</f>
        <v>1.1314142717451086E-2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'2025'!Wh/'2025'!Env_an*'2026'!Env_an</f>
        <v>10.038719332063106</v>
      </c>
      <c r="C21" s="829"/>
      <c r="D21" s="391">
        <f t="shared" si="0"/>
        <v>10.541099517274619</v>
      </c>
      <c r="E21" s="383">
        <f t="shared" si="1"/>
        <v>11.081743704873617</v>
      </c>
      <c r="F21" s="383">
        <f t="shared" si="2"/>
        <v>11.104743476134258</v>
      </c>
      <c r="G21" s="110">
        <f t="shared" si="21"/>
        <v>0.42553634193962031</v>
      </c>
      <c r="H21" s="412" t="b">
        <f>Wh_hp&gt;='2025'!Maxi_hp</f>
        <v>0</v>
      </c>
      <c r="I21" s="388">
        <f>IF(H21,Wh_hp,'2025'!Maxi_hp)</f>
        <v>15.082360291680677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4.7659182458928306E-2</v>
      </c>
      <c r="M21" s="832"/>
      <c r="N21" s="832"/>
      <c r="O21" s="48">
        <f>IF(t&lt;Tnet,'2025'!Resal+('2025'!Salim-'2025'!Resal)*(1-EXP(('2025'!Tnet-t)/('2025'!Tau_j))),Resal+(Salim-Resal)*(1-EXP((Tnet-t)/(Tau_j))))*Salcycl</f>
        <v>4.8786923971290572E-2</v>
      </c>
      <c r="P21" s="169">
        <f>(INDEX(Models!$BJ21:$BT21,,T21)*(1-R21)+INDEX(Models!$BJ21:$BT21,,T21+1)*R21-ERP_i)*Q21*Ramure*Pc/MaxiM</f>
        <v>1.1198574659261631E-2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23.374975747202576</v>
      </c>
      <c r="W21" s="400">
        <f t="shared" si="10"/>
        <v>10.038719332063106</v>
      </c>
      <c r="X21" s="157">
        <f t="shared" si="11"/>
        <v>46029</v>
      </c>
      <c r="Y21" s="383">
        <f t="shared" si="12"/>
        <v>9.7757978964595917</v>
      </c>
      <c r="Z21" s="383">
        <f t="shared" si="22"/>
        <v>10.265020375479169</v>
      </c>
      <c r="AA21" s="384">
        <f t="shared" si="13"/>
        <v>11.081743704873617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7.3699893369241362E-2</v>
      </c>
      <c r="AD21" s="230">
        <f>(INDEX(Models!$BJ21:$BT21,,AH21)*(1-AF21)+INDEX(Models!$BJ21:$BT21,,AH21+1)*AF21-ERP_i)*AE21*Ramure*Pc/MaxiM</f>
        <v>1.1198574659261631E-2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'2025'!Wh/'2025'!Env_an*'2026'!Env_an</f>
        <v>7.1446926186300601</v>
      </c>
      <c r="C22" s="829"/>
      <c r="D22" s="391">
        <f t="shared" si="0"/>
        <v>7.5023871875051791</v>
      </c>
      <c r="E22" s="383">
        <f t="shared" si="1"/>
        <v>7.8875543660699705</v>
      </c>
      <c r="F22" s="383">
        <f t="shared" si="2"/>
        <v>7.8879550039577193</v>
      </c>
      <c r="G22" s="110">
        <f t="shared" si="21"/>
        <v>0.29986751483260188</v>
      </c>
      <c r="H22" s="412" t="b">
        <f>Wh_hp&gt;='2025'!Maxi_hp</f>
        <v>0</v>
      </c>
      <c r="I22" s="388">
        <f>IF(H22,Wh_hp,'2025'!Maxi_hp)</f>
        <v>20.347217475948305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4.7677433853432705E-2</v>
      </c>
      <c r="M22" s="832"/>
      <c r="N22" s="832"/>
      <c r="O22" s="48">
        <f>IF(t&lt;Tnet,'2025'!Resal+('2025'!Salim-'2025'!Resal)*(1-EXP(('2025'!Tnet-t)/('2025'!Tau_j))),Resal+(Salim-Resal)*(1-EXP((Tnet-t)/(Tau_j))))*Salcycl</f>
        <v>4.8832269254671837E-2</v>
      </c>
      <c r="P22" s="169">
        <f>(INDEX(Models!$BJ22:$BT22,,T22)*(1-R22)+INDEX(Models!$BJ22:$BT22,,T22+1)*R22-ERP_i)*Q22*Ramure*Pc/MaxiM</f>
        <v>1.1074888952110526E-2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23.563488800377602</v>
      </c>
      <c r="W22" s="400">
        <f t="shared" si="10"/>
        <v>7.1446926186300601</v>
      </c>
      <c r="X22" s="157">
        <f t="shared" si="11"/>
        <v>46030</v>
      </c>
      <c r="Y22" s="383">
        <f t="shared" si="12"/>
        <v>6.9577352676591655</v>
      </c>
      <c r="Z22" s="383">
        <f t="shared" si="22"/>
        <v>7.3060699336492823</v>
      </c>
      <c r="AA22" s="384">
        <f t="shared" si="13"/>
        <v>7.8875543660699705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7.3721765382951901E-2</v>
      </c>
      <c r="AD22" s="230">
        <f>(INDEX(Models!$BJ22:$BT22,,AH22)*(1-AF22)+INDEX(Models!$BJ22:$BT22,,AH22+1)*AF22-ERP_i)*AE22*Ramure*Pc/MaxiM</f>
        <v>1.1074888952110526E-2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'2025'!Wh/'2025'!Env_an*'2026'!Env_an</f>
        <v>2.133126596072155</v>
      </c>
      <c r="C23" s="829"/>
      <c r="D23" s="391">
        <f t="shared" si="0"/>
        <v>2.2399631737928458</v>
      </c>
      <c r="E23" s="383">
        <f t="shared" si="1"/>
        <v>2.3550735929352524</v>
      </c>
      <c r="F23" s="383">
        <f t="shared" si="2"/>
        <v>2.3550735929352524</v>
      </c>
      <c r="G23" s="110">
        <f t="shared" si="21"/>
        <v>8.8790429470596607E-2</v>
      </c>
      <c r="H23" s="412" t="b">
        <f>Wh_hp&gt;='2025'!Maxi_hp</f>
        <v>0</v>
      </c>
      <c r="I23" s="388">
        <f>IF(H23,Wh_hp,'2025'!Maxi_hp)</f>
        <v>25.649292652260151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4.7695684898153123E-2</v>
      </c>
      <c r="M23" s="832"/>
      <c r="N23" s="832"/>
      <c r="O23" s="48">
        <f>IF(t&lt;Tnet,'2025'!Resal+('2025'!Salim-'2025'!Resal)*(1-EXP(('2025'!Tnet-t)/('2025'!Tau_j))),Resal+(Salim-Resal)*(1-EXP((Tnet-t)/(Tau_j))))*Salcycl</f>
        <v>4.8877631462437045E-2</v>
      </c>
      <c r="P23" s="169">
        <f>(INDEX(Models!$BJ23:$BT23,,T23)*(1-R23)+INDEX(Models!$BJ23:$BT23,,T23+1)*R23-ERP_i)*Q23*Ramure*Pc/MaxiM</f>
        <v>1.0942223038757403E-2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23.761406062200589</v>
      </c>
      <c r="W23" s="400">
        <f t="shared" si="10"/>
        <v>2.133126596072155</v>
      </c>
      <c r="X23" s="157">
        <f t="shared" si="11"/>
        <v>46031</v>
      </c>
      <c r="Y23" s="383">
        <f t="shared" si="12"/>
        <v>2.0773582835214124</v>
      </c>
      <c r="Z23" s="383">
        <f t="shared" si="22"/>
        <v>2.181401733225627</v>
      </c>
      <c r="AA23" s="384">
        <f t="shared" si="13"/>
        <v>2.3550735929352524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7.3743708150185272E-2</v>
      </c>
      <c r="AD23" s="230">
        <f>(INDEX(Models!$BJ23:$BT23,,AH23)*(1-AF23)+INDEX(Models!$BJ23:$BT23,,AH23+1)*AF23-ERP_i)*AE23*Ramure*Pc/MaxiM</f>
        <v>1.0942223038757403E-2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'2025'!Wh/'2025'!Env_an*'2026'!Env_an</f>
        <v>1.7494170998254119</v>
      </c>
      <c r="C24" s="829"/>
      <c r="D24" s="391">
        <f t="shared" si="0"/>
        <v>1.837070986557986</v>
      </c>
      <c r="E24" s="383">
        <f t="shared" si="1"/>
        <v>1.9315691586229558</v>
      </c>
      <c r="F24" s="383">
        <f t="shared" si="2"/>
        <v>1.9315691586229558</v>
      </c>
      <c r="G24" s="110">
        <f t="shared" si="21"/>
        <v>7.2192481081095702E-2</v>
      </c>
      <c r="H24" s="412" t="b">
        <f>Wh_hp&gt;='2025'!Maxi_hp</f>
        <v>0</v>
      </c>
      <c r="I24" s="388">
        <f>IF(H24,Wh_hp,'2025'!Maxi_hp)</f>
        <v>9.0351524420219071</v>
      </c>
      <c r="J24" s="85">
        <f>IF(H24,An,'2025'!An_max)</f>
        <v>2020</v>
      </c>
      <c r="K24" s="197">
        <f t="shared" si="3"/>
        <v>46032</v>
      </c>
      <c r="L24" s="147">
        <f>IF(t&lt;Tvie,1-EXP((T0-t)*PertePVj)+'2025'!Pspv,1-EXP((T0-t)*PertePVj)+Pspv)</f>
        <v>4.7713935593096557E-2</v>
      </c>
      <c r="M24" s="832"/>
      <c r="N24" s="832"/>
      <c r="O24" s="48">
        <f>IF(t&lt;Tnet,'2025'!Resal+('2025'!Salim-'2025'!Resal)*(1-EXP(('2025'!Tnet-t)/('2025'!Tau_j))),Resal+(Salim-Resal)*(1-EXP((Tnet-t)/(Tau_j))))*Salcycl</f>
        <v>4.8923007308906731E-2</v>
      </c>
      <c r="P24" s="169">
        <f>(INDEX(Models!$BJ24:$BT24,,T24)*(1-R24)+INDEX(Models!$BJ24:$BT24,,T24+1)*R24-ERP_i)*Q24*Ramure*Pc/MaxiM</f>
        <v>1.0800939415249903E-2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23.970941652140407</v>
      </c>
      <c r="W24" s="400">
        <f t="shared" si="10"/>
        <v>1.7494170998254119</v>
      </c>
      <c r="X24" s="157">
        <f t="shared" si="11"/>
        <v>46032</v>
      </c>
      <c r="Y24" s="383">
        <f t="shared" si="12"/>
        <v>1.7037212617460309</v>
      </c>
      <c r="Z24" s="383">
        <f t="shared" si="22"/>
        <v>1.7890855756742921</v>
      </c>
      <c r="AA24" s="384">
        <f t="shared" si="13"/>
        <v>1.9315691586229558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7.3765716496655212E-2</v>
      </c>
      <c r="AD24" s="230">
        <f>(INDEX(Models!$BJ24:$BT24,,AH24)*(1-AF24)+INDEX(Models!$BJ24:$BT24,,AH24+1)*AF24-ERP_i)*AE24*Ramure*Pc/MaxiM</f>
        <v>1.0800939415249903E-2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'2025'!Wh/'2025'!Env_an*'2026'!Env_an</f>
        <v>24.525084142632451</v>
      </c>
      <c r="C25" s="829"/>
      <c r="D25" s="391">
        <f t="shared" si="0"/>
        <v>25.754397849513605</v>
      </c>
      <c r="E25" s="383">
        <f t="shared" si="1"/>
        <v>27.080485760679814</v>
      </c>
      <c r="F25" s="383">
        <f t="shared" si="2"/>
        <v>27.372177107233075</v>
      </c>
      <c r="G25" s="110">
        <f t="shared" si="21"/>
        <v>1.0138014686256271</v>
      </c>
      <c r="H25" s="412" t="b">
        <f>Wh_hp&gt;='2025'!Maxi_hp</f>
        <v>1</v>
      </c>
      <c r="I25" s="388">
        <f>IF(H25,Wh_hp,'2025'!Maxi_hp)</f>
        <v>27.372177107233075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4.7732185938269556E-2</v>
      </c>
      <c r="M25" s="832"/>
      <c r="N25" s="832"/>
      <c r="O25" s="48">
        <f>IF(t&lt;Tnet,'2025'!Resal+('2025'!Salim-'2025'!Resal)*(1-EXP(('2025'!Tnet-t)/('2025'!Tau_j))),Resal+(Salim-Resal)*(1-EXP((Tnet-t)/(Tau_j))))*Salcycl</f>
        <v>4.8968394543780845E-2</v>
      </c>
      <c r="P25" s="169">
        <f>(INDEX(Models!$BJ25:$BT25,,T25)*(1-R25)+INDEX(Models!$BJ25:$BT25,,T25+1)*R25-ERP_i)*Q25*Ramure*Pc/MaxiM</f>
        <v>1.0656490545510187E-2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24.191209917934124</v>
      </c>
      <c r="W25" s="400">
        <f t="shared" si="10"/>
        <v>24.525084142632451</v>
      </c>
      <c r="X25" s="157">
        <f t="shared" si="11"/>
        <v>46033</v>
      </c>
      <c r="Y25" s="383">
        <f t="shared" si="12"/>
        <v>23.885044757508808</v>
      </c>
      <c r="Z25" s="383">
        <f t="shared" si="22"/>
        <v>25.082276650337853</v>
      </c>
      <c r="AA25" s="384">
        <f t="shared" si="13"/>
        <v>27.080485760679814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7.3787786821878601E-2</v>
      </c>
      <c r="AD25" s="230">
        <f>(INDEX(Models!$BJ25:$BT25,,AH25)*(1-AF25)+INDEX(Models!$BJ25:$BT25,,AH25+1)*AF25-ERP_i)*AE25*Ramure*Pc/MaxiM</f>
        <v>1.0656490545510187E-2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'2025'!Wh/'2025'!Env_an*'2026'!Env_an</f>
        <v>21.320641318613969</v>
      </c>
      <c r="C26" s="829"/>
      <c r="D26" s="391">
        <f t="shared" si="0"/>
        <v>22.389762225324638</v>
      </c>
      <c r="E26" s="383">
        <f t="shared" si="1"/>
        <v>23.543729692053688</v>
      </c>
      <c r="F26" s="383">
        <f t="shared" si="2"/>
        <v>23.748038203750685</v>
      </c>
      <c r="G26" s="110">
        <f t="shared" si="21"/>
        <v>0.87135094429989535</v>
      </c>
      <c r="H26" s="412" t="b">
        <f>Wh_hp&gt;='2025'!Maxi_hp</f>
        <v>0</v>
      </c>
      <c r="I26" s="388">
        <f>IF(H26,Wh_hp,'2025'!Maxi_hp)</f>
        <v>27.37093962937724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4.7750435933678892E-2</v>
      </c>
      <c r="M26" s="832"/>
      <c r="N26" s="832"/>
      <c r="O26" s="48">
        <f>IF(t&lt;Tnet,'2025'!Resal+('2025'!Salim-'2025'!Resal)*(1-EXP(('2025'!Tnet-t)/('2025'!Tau_j))),Resal+(Salim-Resal)*(1-EXP((Tnet-t)/(Tau_j))))*Salcycl</f>
        <v>4.9013791859771859E-2</v>
      </c>
      <c r="P26" s="169">
        <f>(INDEX(Models!$BJ26:$BT26,,T26)*(1-R26)+INDEX(Models!$BJ26:$BT26,,T26+1)*R26-ERP_i)*Q26*Ramure*Pc/MaxiM</f>
        <v>1.050944286930105E-2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24.421441093529182</v>
      </c>
      <c r="W26" s="400">
        <f t="shared" si="10"/>
        <v>21.320641318613969</v>
      </c>
      <c r="X26" s="157">
        <f t="shared" si="11"/>
        <v>46034</v>
      </c>
      <c r="Y26" s="383">
        <f t="shared" si="12"/>
        <v>20.764724434937204</v>
      </c>
      <c r="Z26" s="383">
        <f t="shared" si="22"/>
        <v>21.805968958669965</v>
      </c>
      <c r="AA26" s="384">
        <f t="shared" si="13"/>
        <v>23.543729692053688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7.3809916955096519E-2</v>
      </c>
      <c r="AD26" s="230">
        <f>(INDEX(Models!$BJ26:$BT26,,AH26)*(1-AF26)+INDEX(Models!$BJ26:$BT26,,AH26+1)*AF26-ERP_i)*AE26*Ramure*Pc/MaxiM</f>
        <v>1.050944286930105E-2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'2025'!Wh/'2025'!Env_an*'2026'!Env_an</f>
        <v>5.4658412003451362</v>
      </c>
      <c r="C27" s="829"/>
      <c r="D27" s="391">
        <f t="shared" si="0"/>
        <v>5.7400351338692506</v>
      </c>
      <c r="E27" s="383">
        <f t="shared" si="1"/>
        <v>6.0361645294824031</v>
      </c>
      <c r="F27" s="383">
        <f t="shared" si="2"/>
        <v>6.0361645294824031</v>
      </c>
      <c r="G27" s="110">
        <f t="shared" si="21"/>
        <v>0.21934401525399005</v>
      </c>
      <c r="H27" s="412" t="b">
        <f>Wh_hp&gt;='2025'!Maxi_hp</f>
        <v>0</v>
      </c>
      <c r="I27" s="388">
        <f>IF(H27,Wh_hp,'2025'!Maxi_hp)</f>
        <v>16.17097757884445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4.7768685579331116E-2</v>
      </c>
      <c r="M27" s="832"/>
      <c r="N27" s="832"/>
      <c r="O27" s="48">
        <f>IF(t&lt;Tnet,'2025'!Resal+('2025'!Salim-'2025'!Resal)*(1-EXP(('2025'!Tnet-t)/('2025'!Tau_j))),Resal+(Salim-Resal)*(1-EXP((Tnet-t)/(Tau_j))))*Salcycl</f>
        <v>4.9059198795322757E-2</v>
      </c>
      <c r="P27" s="169">
        <f>(INDEX(Models!$BJ27:$BT27,,T27)*(1-R27)+INDEX(Models!$BJ27:$BT27,,T27+1)*R27-ERP_i)*Q27*Ramure*Pc/MaxiM</f>
        <v>1.0360334664306196E-2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24.660865490330309</v>
      </c>
      <c r="W27" s="400">
        <f t="shared" si="10"/>
        <v>5.4658412003451362</v>
      </c>
      <c r="X27" s="157">
        <f t="shared" si="11"/>
        <v>46035</v>
      </c>
      <c r="Y27" s="383">
        <f t="shared" si="12"/>
        <v>5.3234508678407781</v>
      </c>
      <c r="Z27" s="383">
        <f t="shared" si="22"/>
        <v>5.5905017900818876</v>
      </c>
      <c r="AA27" s="384">
        <f t="shared" si="13"/>
        <v>6.0361645294824031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7.3832106004362089E-2</v>
      </c>
      <c r="AD27" s="230">
        <f>(INDEX(Models!$BJ27:$BT27,,AH27)*(1-AF27)+INDEX(Models!$BJ27:$BT27,,AH27+1)*AF27-ERP_i)*AE27*Ramure*Pc/MaxiM</f>
        <v>1.0360334664306196E-2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'2025'!Wh/'2025'!Env_an*'2026'!Env_an</f>
        <v>25.940650933407969</v>
      </c>
      <c r="C28" s="829"/>
      <c r="D28" s="391">
        <f t="shared" si="0"/>
        <v>27.242485829585849</v>
      </c>
      <c r="E28" s="383">
        <f t="shared" si="1"/>
        <v>28.649298626827594</v>
      </c>
      <c r="F28" s="383">
        <f t="shared" si="2"/>
        <v>28.944815761904703</v>
      </c>
      <c r="G28" s="110">
        <f t="shared" si="21"/>
        <v>1.0414287719294832</v>
      </c>
      <c r="H28" s="412" t="b">
        <f>Wh_hp&gt;='2025'!Maxi_hp</f>
        <v>1</v>
      </c>
      <c r="I28" s="388">
        <f>IF(H28,Wh_hp,'2025'!Maxi_hp)</f>
        <v>28.944815761904703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4.7786934875233111E-2</v>
      </c>
      <c r="M28" s="832"/>
      <c r="N28" s="832"/>
      <c r="O28" s="48">
        <f>IF(t&lt;Tnet,'2025'!Resal+('2025'!Salim-'2025'!Resal)*(1-EXP(('2025'!Tnet-t)/('2025'!Tau_j))),Resal+(Salim-Resal)*(1-EXP((Tnet-t)/(Tau_j))))*Salcycl</f>
        <v>4.9104615633570325E-2</v>
      </c>
      <c r="P28" s="169">
        <f>(INDEX(Models!$BJ28:$BT28,,T28)*(1-R28)+INDEX(Models!$BJ28:$BT28,,T28+1)*R28-ERP_i)*Q28*Ramure*Pc/MaxiM</f>
        <v>1.0209674074555645E-2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24.908713521854235</v>
      </c>
      <c r="W28" s="400">
        <f t="shared" si="10"/>
        <v>25.940650933407969</v>
      </c>
      <c r="X28" s="157">
        <f t="shared" si="11"/>
        <v>46036</v>
      </c>
      <c r="Y28" s="383">
        <f t="shared" si="12"/>
        <v>25.265472212998741</v>
      </c>
      <c r="Z28" s="383">
        <f t="shared" si="22"/>
        <v>26.533423178444046</v>
      </c>
      <c r="AA28" s="384">
        <f t="shared" si="13"/>
        <v>28.649298626827594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7.3854354200567129E-2</v>
      </c>
      <c r="AD28" s="230">
        <f>(INDEX(Models!$BJ28:$BT28,,AH28)*(1-AF28)+INDEX(Models!$BJ28:$BT28,,AH28+1)*AF28-ERP_i)*AE28*Ramure*Pc/MaxiM</f>
        <v>1.0209674074555645E-2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'2025'!Wh/'2025'!Env_an*'2026'!Env_an</f>
        <v>26.24765213328434</v>
      </c>
      <c r="C29" s="829"/>
      <c r="D29" s="391">
        <f t="shared" si="0"/>
        <v>27.565422209104867</v>
      </c>
      <c r="E29" s="383">
        <f t="shared" si="1"/>
        <v>28.990296539251961</v>
      </c>
      <c r="F29" s="383">
        <f t="shared" si="2"/>
        <v>29.2848416531018</v>
      </c>
      <c r="G29" s="110">
        <f t="shared" si="21"/>
        <v>1.0430546469739896</v>
      </c>
      <c r="H29" s="412" t="b">
        <f>Wh_hp&gt;='2025'!Maxi_hp</f>
        <v>1</v>
      </c>
      <c r="I29" s="388">
        <f>IF(H29,Wh_hp,'2025'!Maxi_hp)</f>
        <v>29.2848416531018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4.7805183821391539E-2</v>
      </c>
      <c r="M29" s="832"/>
      <c r="N29" s="832"/>
      <c r="O29" s="48">
        <f>IF(t&lt;Tnet,'2025'!Resal+('2025'!Salim-'2025'!Resal)*(1-EXP(('2025'!Tnet-t)/('2025'!Tau_j))),Resal+(Salim-Resal)*(1-EXP((Tnet-t)/(Tau_j))))*Salcycl</f>
        <v>4.9150043298724376E-2</v>
      </c>
      <c r="P29" s="169">
        <f>(INDEX(Models!$BJ29:$BT29,,T29)*(1-R29)+INDEX(Models!$BJ29:$BT29,,T29+1)*R29-ERP_i)*Q29*Ramure*Pc/MaxiM</f>
        <v>1.0057937732391362E-2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25.164215709533071</v>
      </c>
      <c r="W29" s="400">
        <f t="shared" si="10"/>
        <v>26.24765213328434</v>
      </c>
      <c r="X29" s="157">
        <f t="shared" si="11"/>
        <v>46037</v>
      </c>
      <c r="Y29" s="383">
        <f t="shared" si="12"/>
        <v>25.565088390282572</v>
      </c>
      <c r="Z29" s="383">
        <f t="shared" si="22"/>
        <v>26.848590179141645</v>
      </c>
      <c r="AA29" s="384">
        <f t="shared" si="13"/>
        <v>28.990296539251961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7.3876662738185911E-2</v>
      </c>
      <c r="AD29" s="230">
        <f>(INDEX(Models!$BJ29:$BT29,,AH29)*(1-AF29)+INDEX(Models!$BJ29:$BT29,,AH29+1)*AF29-ERP_i)*AE29*Ramure*Pc/MaxiM</f>
        <v>1.0057937732391362E-2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'2025'!Wh/'2025'!Env_an*'2026'!Env_an</f>
        <v>25.682126828667705</v>
      </c>
      <c r="C30" s="829"/>
      <c r="D30" s="391">
        <f t="shared" si="0"/>
        <v>26.972021474841593</v>
      </c>
      <c r="E30" s="383">
        <f t="shared" si="1"/>
        <v>28.367578192692537</v>
      </c>
      <c r="F30" s="383">
        <f t="shared" si="2"/>
        <v>28.651235386050466</v>
      </c>
      <c r="G30" s="110">
        <f t="shared" si="21"/>
        <v>1.010044152286218</v>
      </c>
      <c r="H30" s="412" t="b">
        <f>Wh_hp&gt;='2025'!Maxi_hp</f>
        <v>1</v>
      </c>
      <c r="I30" s="388">
        <f>IF(H30,Wh_hp,'2025'!Maxi_hp)</f>
        <v>28.651235386050466</v>
      </c>
      <c r="J30" s="85">
        <f>IF(H30,An,'2025'!An_max)</f>
        <v>2026</v>
      </c>
      <c r="K30" s="197">
        <f t="shared" si="3"/>
        <v>46038</v>
      </c>
      <c r="L30" s="147">
        <f>IF(t&lt;Tvie,1-EXP((T0-t)*PertePVj)+'2025'!Pspv,1-EXP((T0-t)*PertePVj)+Pspv)</f>
        <v>4.7823432417813061E-2</v>
      </c>
      <c r="M30" s="832"/>
      <c r="N30" s="832"/>
      <c r="O30" s="48">
        <f>IF(t&lt;Tnet,'2025'!Resal+('2025'!Salim-'2025'!Resal)*(1-EXP(('2025'!Tnet-t)/('2025'!Tau_j))),Resal+(Salim-Resal)*(1-EXP((Tnet-t)/(Tau_j))))*Salcycl</f>
        <v>4.9195483251031985E-2</v>
      </c>
      <c r="P30" s="169">
        <f>(INDEX(Models!$BJ30:$BT30,,T30)*(1-R30)+INDEX(Models!$BJ30:$BT30,,T30+1)*R30-ERP_i)*Q30*Ramure*Pc/MaxiM</f>
        <v>9.9003477349543928E-3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25.426736811986526</v>
      </c>
      <c r="W30" s="400">
        <f t="shared" si="10"/>
        <v>25.682126828667705</v>
      </c>
      <c r="X30" s="157">
        <f t="shared" si="11"/>
        <v>46038</v>
      </c>
      <c r="Y30" s="383">
        <f t="shared" si="12"/>
        <v>25.014860632118324</v>
      </c>
      <c r="Z30" s="383">
        <f t="shared" si="22"/>
        <v>26.271241578268697</v>
      </c>
      <c r="AA30" s="384">
        <f t="shared" si="13"/>
        <v>28.367578192692537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7.3899033614503437E-2</v>
      </c>
      <c r="AD30" s="230">
        <f>(INDEX(Models!$BJ30:$BT30,,AH30)*(1-AF30)+INDEX(Models!$BJ30:$BT30,,AH30+1)*AF30-ERP_i)*AE30*Ramure*Pc/MaxiM</f>
        <v>9.9003477349543928E-3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'2025'!Wh/'2025'!Env_an*'2026'!Env_an</f>
        <v>11.860460619506796</v>
      </c>
      <c r="C31" s="829"/>
      <c r="D31" s="391">
        <f t="shared" si="0"/>
        <v>12.456395516014737</v>
      </c>
      <c r="E31" s="383">
        <f t="shared" si="1"/>
        <v>13.101526985930764</v>
      </c>
      <c r="F31" s="383">
        <f t="shared" si="2"/>
        <v>13.131046956733055</v>
      </c>
      <c r="G31" s="110">
        <f t="shared" si="21"/>
        <v>0.45811249376685298</v>
      </c>
      <c r="H31" s="412" t="b">
        <f>Wh_hp&gt;='2025'!Maxi_hp</f>
        <v>0</v>
      </c>
      <c r="I31" s="388">
        <f>IF(H31,Wh_hp,'2025'!Maxi_hp)</f>
        <v>13.20492175837156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4.7841680664504338E-2</v>
      </c>
      <c r="M31" s="832"/>
      <c r="N31" s="832"/>
      <c r="O31" s="48">
        <f>IF(t&lt;Tnet,'2025'!Resal+('2025'!Salim-'2025'!Resal)*(1-EXP(('2025'!Tnet-t)/('2025'!Tau_j))),Resal+(Salim-Resal)*(1-EXP((Tnet-t)/(Tau_j))))*Salcycl</f>
        <v>4.9240937381483024E-2</v>
      </c>
      <c r="P31" s="169">
        <f>(INDEX(Models!$BJ31:$BT31,,T31)*(1-R31)+INDEX(Models!$BJ31:$BT31,,T31+1)*R31-ERP_i)*Q31*Ramure*Pc/MaxiM</f>
        <v>9.7393978729433239E-3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25.695457774231372</v>
      </c>
      <c r="W31" s="400">
        <f t="shared" si="10"/>
        <v>11.860460619506796</v>
      </c>
      <c r="X31" s="157">
        <f t="shared" si="11"/>
        <v>46039</v>
      </c>
      <c r="Y31" s="383">
        <f t="shared" si="12"/>
        <v>11.552577696900654</v>
      </c>
      <c r="Z31" s="383">
        <f t="shared" si="22"/>
        <v>12.133042858842124</v>
      </c>
      <c r="AA31" s="384">
        <f t="shared" si="13"/>
        <v>13.101526985930764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7.3921469469067067E-2</v>
      </c>
      <c r="AD31" s="230">
        <f>(INDEX(Models!$BJ31:$BT31,,AH31)*(1-AF31)+INDEX(Models!$BJ31:$BT31,,AH31+1)*AF31-ERP_i)*AE31*Ramure*Pc/MaxiM</f>
        <v>9.7393978729433239E-3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'2025'!Wh/'2025'!Env_an*'2026'!Env_an</f>
        <v>3.768234485853085</v>
      </c>
      <c r="C32" s="829"/>
      <c r="D32" s="391">
        <f t="shared" si="0"/>
        <v>3.9576471980219252</v>
      </c>
      <c r="E32" s="383">
        <f t="shared" si="1"/>
        <v>4.1628175203751621</v>
      </c>
      <c r="F32" s="383">
        <f t="shared" si="2"/>
        <v>4.1628175203751621</v>
      </c>
      <c r="G32" s="110">
        <f t="shared" si="21"/>
        <v>0.1437122685593602</v>
      </c>
      <c r="H32" s="412" t="b">
        <f>Wh_hp&gt;='2025'!Maxi_hp</f>
        <v>0</v>
      </c>
      <c r="I32" s="388">
        <f>IF(H32,Wh_hp,'2025'!Maxi_hp)</f>
        <v>29.066008249734857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4.7859928561472254E-2</v>
      </c>
      <c r="M32" s="832"/>
      <c r="N32" s="832"/>
      <c r="O32" s="48">
        <f>IF(t&lt;Tnet,'2025'!Resal+('2025'!Salim-'2025'!Resal)*(1-EXP(('2025'!Tnet-t)/('2025'!Tau_j))),Resal+(Salim-Resal)*(1-EXP((Tnet-t)/(Tau_j))))*Salcycl</f>
        <v>4.928640790738914E-2</v>
      </c>
      <c r="P32" s="169">
        <f>(INDEX(Models!$BJ32:$BT32,,T32)*(1-R32)+INDEX(Models!$BJ32:$BT32,,T32+1)*R32-ERP_i)*Q32*Ramure*Pc/MaxiM</f>
        <v>9.5755706374350547E-3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25.969609468754708</v>
      </c>
      <c r="W32" s="400">
        <f t="shared" si="10"/>
        <v>3.768234485853085</v>
      </c>
      <c r="X32" s="157">
        <f t="shared" si="11"/>
        <v>46040</v>
      </c>
      <c r="Y32" s="383">
        <f t="shared" si="12"/>
        <v>3.6705021198769794</v>
      </c>
      <c r="Z32" s="383">
        <f t="shared" si="22"/>
        <v>3.8550022522751841</v>
      </c>
      <c r="AA32" s="384">
        <f t="shared" si="13"/>
        <v>4.1628175203751621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7.3943973425055903E-2</v>
      </c>
      <c r="AD32" s="230">
        <f>(INDEX(Models!$BJ32:$BT32,,AH32)*(1-AF32)+INDEX(Models!$BJ32:$BT32,,AH32+1)*AF32-ERP_i)*AE32*Ramure*Pc/MaxiM</f>
        <v>9.5755706374350547E-3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'2025'!Wh/'2025'!Env_an*'2026'!Env_an</f>
        <v>10.282804106051749</v>
      </c>
      <c r="C33" s="829"/>
      <c r="D33" s="391">
        <f t="shared" si="0"/>
        <v>10.799882796537965</v>
      </c>
      <c r="E33" s="383">
        <f t="shared" si="1"/>
        <v>11.360308361586524</v>
      </c>
      <c r="F33" s="383">
        <f t="shared" si="2"/>
        <v>11.374336152402178</v>
      </c>
      <c r="G33" s="110">
        <f t="shared" si="21"/>
        <v>0.38854249640939731</v>
      </c>
      <c r="H33" s="412" t="b">
        <f>Wh_hp&gt;='2025'!Maxi_hp</f>
        <v>0</v>
      </c>
      <c r="I33" s="388">
        <f>IF(H33,Wh_hp,'2025'!Maxi_hp)</f>
        <v>30.468754573897851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4.7878176108723247E-2</v>
      </c>
      <c r="M33" s="832"/>
      <c r="N33" s="832"/>
      <c r="O33" s="48">
        <f>IF(t&lt;Tnet,'2025'!Resal+('2025'!Salim-'2025'!Resal)*(1-EXP(('2025'!Tnet-t)/('2025'!Tau_j))),Resal+(Salim-Resal)*(1-EXP((Tnet-t)/(Tau_j))))*Salcycl</f>
        <v>4.9331897269934116E-2</v>
      </c>
      <c r="P33" s="169">
        <f>(INDEX(Models!$BJ33:$BT33,,T33)*(1-R33)+INDEX(Models!$BJ33:$BT33,,T33+1)*R33-ERP_i)*Q33*Ramure*Pc/MaxiM</f>
        <v>9.4093147924938537E-3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26.248422933354057</v>
      </c>
      <c r="W33" s="400">
        <f t="shared" si="10"/>
        <v>10.282804106051749</v>
      </c>
      <c r="X33" s="157">
        <f t="shared" si="11"/>
        <v>46041</v>
      </c>
      <c r="Y33" s="383">
        <f t="shared" si="12"/>
        <v>10.016345920953245</v>
      </c>
      <c r="Z33" s="383">
        <f t="shared" si="22"/>
        <v>10.520025557251607</v>
      </c>
      <c r="AA33" s="384">
        <f t="shared" si="13"/>
        <v>11.360308361586524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7.3966548934202334E-2</v>
      </c>
      <c r="AD33" s="230">
        <f>(INDEX(Models!$BJ33:$BT33,,AH33)*(1-AF33)+INDEX(Models!$BJ33:$BT33,,AH33+1)*AF33-ERP_i)*AE33*Ramure*Pc/MaxiM</f>
        <v>9.4093147924938537E-3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'2025'!Wh/'2025'!Env_an*'2026'!Env_an</f>
        <v>6.4403024690695334</v>
      </c>
      <c r="C34" s="829"/>
      <c r="D34" s="391">
        <f t="shared" si="0"/>
        <v>6.7642876539063703</v>
      </c>
      <c r="E34" s="383">
        <f t="shared" si="1"/>
        <v>7.1156394883508369</v>
      </c>
      <c r="F34" s="383">
        <f t="shared" si="2"/>
        <v>7.1156394883508369</v>
      </c>
      <c r="G34" s="110">
        <f t="shared" si="21"/>
        <v>0.24050191202010623</v>
      </c>
      <c r="H34" s="412" t="b">
        <f>Wh_hp&gt;='2025'!Maxi_hp</f>
        <v>0</v>
      </c>
      <c r="I34" s="388">
        <f>IF(H34,Wh_hp,'2025'!Maxi_hp)</f>
        <v>12.26188245483894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4.7896423306264313E-2</v>
      </c>
      <c r="M34" s="832"/>
      <c r="N34" s="832"/>
      <c r="O34" s="48">
        <f>IF(t&lt;Tnet,'2025'!Resal+('2025'!Salim-'2025'!Resal)*(1-EXP(('2025'!Tnet-t)/('2025'!Tau_j))),Resal+(Salim-Resal)*(1-EXP((Tnet-t)/(Tau_j))))*Salcycl</f>
        <v>4.9377408034748181E-2</v>
      </c>
      <c r="P34" s="169">
        <f>(INDEX(Models!$BJ34:$BT34,,T34)*(1-R34)+INDEX(Models!$BJ34:$BT34,,T34+1)*R34-ERP_i)*Q34*Ramure*Pc/MaxiM</f>
        <v>9.2410967031734299E-3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26.53112799627861</v>
      </c>
      <c r="W34" s="400">
        <f t="shared" si="10"/>
        <v>6.4403024690695334</v>
      </c>
      <c r="X34" s="157">
        <f t="shared" si="11"/>
        <v>46042</v>
      </c>
      <c r="Y34" s="383">
        <f t="shared" si="12"/>
        <v>6.2735618682270999</v>
      </c>
      <c r="Z34" s="383">
        <f t="shared" si="22"/>
        <v>6.589159017774727</v>
      </c>
      <c r="AA34" s="384">
        <f t="shared" si="13"/>
        <v>7.1156394883508369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7.3989199626825111E-2</v>
      </c>
      <c r="AD34" s="230">
        <f>(INDEX(Models!$BJ34:$BT34,,AH34)*(1-AF34)+INDEX(Models!$BJ34:$BT34,,AH34+1)*AF34-ERP_i)*AE34*Ramure*Pc/MaxiM</f>
        <v>9.2410967031734299E-3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'2025'!Wh/'2025'!Env_an*'2026'!Env_an</f>
        <v>20.536029412756871</v>
      </c>
      <c r="C35" s="829"/>
      <c r="D35" s="391">
        <f t="shared" si="0"/>
        <v>21.569526143293036</v>
      </c>
      <c r="E35" s="383">
        <f t="shared" si="1"/>
        <v>22.690981209612278</v>
      </c>
      <c r="F35" s="383">
        <f t="shared" si="2"/>
        <v>22.82877930666919</v>
      </c>
      <c r="G35" s="110">
        <f t="shared" si="21"/>
        <v>0.763446871606144</v>
      </c>
      <c r="H35" s="412" t="b">
        <f>Wh_hp&gt;='2025'!Maxi_hp</f>
        <v>0</v>
      </c>
      <c r="I35" s="388">
        <f>IF(H35,Wh_hp,'2025'!Maxi_hp)</f>
        <v>22.880726638611495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4.791467015410189E-2</v>
      </c>
      <c r="M35" s="832"/>
      <c r="N35" s="832"/>
      <c r="O35" s="48">
        <f>IF(t&lt;Tnet,'2025'!Resal+('2025'!Salim-'2025'!Resal)*(1-EXP(('2025'!Tnet-t)/('2025'!Tau_j))),Resal+(Salim-Resal)*(1-EXP((Tnet-t)/(Tau_j))))*Salcycl</f>
        <v>4.9422942796505193E-2</v>
      </c>
      <c r="P35" s="169">
        <f>(INDEX(Models!$BJ35:$BT35,,T35)*(1-R35)+INDEX(Models!$BJ35:$BT35,,T35+1)*R35-ERP_i)*Q35*Ramure*Pc/MaxiM</f>
        <v>9.0713680121684848E-3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26.816954089237644</v>
      </c>
      <c r="W35" s="400">
        <f t="shared" si="10"/>
        <v>20.536029412756871</v>
      </c>
      <c r="X35" s="157">
        <f t="shared" si="11"/>
        <v>46043</v>
      </c>
      <c r="Y35" s="383">
        <f t="shared" si="12"/>
        <v>20.004815090322513</v>
      </c>
      <c r="Z35" s="383">
        <f t="shared" si="22"/>
        <v>21.011577915563972</v>
      </c>
      <c r="AA35" s="384">
        <f t="shared" si="13"/>
        <v>22.690981209612278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7.4011929168443458E-2</v>
      </c>
      <c r="AD35" s="230">
        <f>(INDEX(Models!$BJ35:$BT35,,AH35)*(1-AF35)+INDEX(Models!$BJ35:$BT35,,AH35+1)*AF35-ERP_i)*AE35*Ramure*Pc/MaxiM</f>
        <v>9.0713680121684848E-3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'2025'!Wh/'2025'!Env_an*'2026'!Env_an</f>
        <v>27.415811159876206</v>
      </c>
      <c r="C36" s="829"/>
      <c r="D36" s="391">
        <f t="shared" si="0"/>
        <v>28.796091829447441</v>
      </c>
      <c r="E36" s="383">
        <f t="shared" si="1"/>
        <v>30.29472663799859</v>
      </c>
      <c r="F36" s="383">
        <f t="shared" si="2"/>
        <v>30.566788013971934</v>
      </c>
      <c r="G36" s="110">
        <f t="shared" si="21"/>
        <v>1.011462059241816</v>
      </c>
      <c r="H36" s="412" t="b">
        <f>Wh_hp&gt;='2025'!Maxi_hp</f>
        <v>1</v>
      </c>
      <c r="I36" s="388">
        <f>IF(H36,Wh_hp,'2025'!Maxi_hp)</f>
        <v>30.566788013971934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4.7932916652242863E-2</v>
      </c>
      <c r="M36" s="832"/>
      <c r="N36" s="832"/>
      <c r="O36" s="48">
        <f>IF(t&lt;Tnet,'2025'!Resal+('2025'!Salim-'2025'!Resal)*(1-EXP(('2025'!Tnet-t)/('2025'!Tau_j))),Resal+(Salim-Resal)*(1-EXP((Tnet-t)/(Tau_j))))*Salcycl</f>
        <v>4.946850408847768E-2</v>
      </c>
      <c r="P36" s="169">
        <f>(INDEX(Models!$BJ36:$BT36,,T36)*(1-R36)+INDEX(Models!$BJ36:$BT36,,T36+1)*R36-ERP_i)*Q36*Ramure*Pc/MaxiM</f>
        <v>8.9005549372406477E-3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27.105130547780391</v>
      </c>
      <c r="W36" s="400">
        <f t="shared" si="10"/>
        <v>27.415811159876206</v>
      </c>
      <c r="X36" s="157">
        <f t="shared" si="11"/>
        <v>46044</v>
      </c>
      <c r="Y36" s="383">
        <f t="shared" si="12"/>
        <v>26.7072567159878</v>
      </c>
      <c r="Z36" s="383">
        <f t="shared" si="22"/>
        <v>28.051864393921665</v>
      </c>
      <c r="AA36" s="384">
        <f t="shared" si="13"/>
        <v>30.29472663799859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7.4034741124341691E-2</v>
      </c>
      <c r="AD36" s="230">
        <f>(INDEX(Models!$BJ36:$BT36,,AH36)*(1-AF36)+INDEX(Models!$BJ36:$BT36,,AH36+1)*AF36-ERP_i)*AE36*Ramure*Pc/MaxiM</f>
        <v>8.9005549372406477E-3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'2025'!Wh/'2025'!Env_an*'2026'!Env_an</f>
        <v>27.54063685075706</v>
      </c>
      <c r="C37" s="829"/>
      <c r="D37" s="391">
        <f t="shared" si="0"/>
        <v>28.92775640772258</v>
      </c>
      <c r="E37" s="383">
        <f t="shared" si="1"/>
        <v>30.434703170432382</v>
      </c>
      <c r="F37" s="383">
        <f t="shared" si="2"/>
        <v>30.702667936607373</v>
      </c>
      <c r="G37" s="110">
        <f t="shared" si="21"/>
        <v>1.0051787273423884</v>
      </c>
      <c r="H37" s="412" t="b">
        <f>Wh_hp&gt;='2025'!Maxi_hp</f>
        <v>1</v>
      </c>
      <c r="I37" s="388">
        <f>IF(H37,Wh_hp,'2025'!Maxi_hp)</f>
        <v>30.702667936607373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4.7951162800693781E-2</v>
      </c>
      <c r="M37" s="832"/>
      <c r="N37" s="832"/>
      <c r="O37" s="48">
        <f>IF(t&lt;Tnet,'2025'!Resal+('2025'!Salim-'2025'!Resal)*(1-EXP(('2025'!Tnet-t)/('2025'!Tau_j))),Resal+(Salim-Resal)*(1-EXP((Tnet-t)/(Tau_j))))*Salcycl</f>
        <v>4.9514094297913806E-2</v>
      </c>
      <c r="P37" s="169">
        <f>(INDEX(Models!$BJ37:$BT37,,T37)*(1-R37)+INDEX(Models!$BJ37:$BT37,,T37+1)*R37-ERP_i)*Q37*Ramure*Pc/MaxiM</f>
        <v>8.727735541688637E-3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27.39874621458841</v>
      </c>
      <c r="W37" s="400">
        <f t="shared" si="10"/>
        <v>27.54063685075706</v>
      </c>
      <c r="X37" s="157">
        <f t="shared" si="11"/>
        <v>46045</v>
      </c>
      <c r="Y37" s="383">
        <f t="shared" si="12"/>
        <v>26.829479701529024</v>
      </c>
      <c r="Z37" s="383">
        <f t="shared" si="22"/>
        <v>28.180780915036632</v>
      </c>
      <c r="AA37" s="384">
        <f t="shared" si="13"/>
        <v>30.434703170432382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7.4057638833338657E-2</v>
      </c>
      <c r="AD37" s="230">
        <f>(INDEX(Models!$BJ37:$BT37,,AH37)*(1-AF37)+INDEX(Models!$BJ37:$BT37,,AH37+1)*AF37-ERP_i)*AE37*Ramure*Pc/MaxiM</f>
        <v>8.727735541688637E-3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'2025'!Wh/'2025'!Env_an*'2026'!Env_an</f>
        <v>28.078161485133879</v>
      </c>
      <c r="C38" s="829"/>
      <c r="D38" s="391">
        <f t="shared" si="0"/>
        <v>29.492919385949467</v>
      </c>
      <c r="E38" s="383">
        <f t="shared" si="1"/>
        <v>31.03079685242535</v>
      </c>
      <c r="F38" s="383">
        <f t="shared" si="2"/>
        <v>31.298408115461406</v>
      </c>
      <c r="G38" s="110">
        <f t="shared" si="21"/>
        <v>1.013620723408297</v>
      </c>
      <c r="H38" s="412" t="b">
        <f>Wh_hp&gt;='2025'!Maxi_hp</f>
        <v>1</v>
      </c>
      <c r="I38" s="388">
        <f>IF(H38,Wh_hp,'2025'!Maxi_hp)</f>
        <v>31.298408115461406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4.7969408599461416E-2</v>
      </c>
      <c r="M38" s="832"/>
      <c r="N38" s="832"/>
      <c r="O38" s="48">
        <f>IF(t&lt;Tnet,'2025'!Resal+('2025'!Salim-'2025'!Resal)*(1-EXP(('2025'!Tnet-t)/('2025'!Tau_j))),Resal+(Salim-Resal)*(1-EXP((Tnet-t)/(Tau_j))))*Salcycl</f>
        <v>4.9559715588021809E-2</v>
      </c>
      <c r="P38" s="169">
        <f>(INDEX(Models!$BJ38:$BT38,,T38)*(1-R38)+INDEX(Models!$BJ38:$BT38,,T38+1)*R38-ERP_i)*Q38*Ramure*Pc/MaxiM</f>
        <v>8.5503154680846571E-3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27.700855790241871</v>
      </c>
      <c r="W38" s="400">
        <f t="shared" si="10"/>
        <v>28.078161485133879</v>
      </c>
      <c r="X38" s="157">
        <f t="shared" si="11"/>
        <v>46046</v>
      </c>
      <c r="Y38" s="383">
        <f t="shared" si="12"/>
        <v>27.353758202024203</v>
      </c>
      <c r="Z38" s="383">
        <f t="shared" si="22"/>
        <v>28.732016018291919</v>
      </c>
      <c r="AA38" s="384">
        <f t="shared" si="13"/>
        <v>31.03079685242535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7.4080625291894867E-2</v>
      </c>
      <c r="AD38" s="230">
        <f>(INDEX(Models!$BJ38:$BT38,,AH38)*(1-AF38)+INDEX(Models!$BJ38:$BT38,,AH38+1)*AF38-ERP_i)*AE38*Ramure*Pc/MaxiM</f>
        <v>8.5503154680846571E-3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'2025'!Wh/'2025'!Env_an*'2026'!Env_an</f>
        <v>27.153830414587929</v>
      </c>
      <c r="C39" s="829"/>
      <c r="D39" s="391">
        <f t="shared" si="0"/>
        <v>28.522561214739511</v>
      </c>
      <c r="E39" s="383">
        <f t="shared" si="1"/>
        <v>30.011281955113127</v>
      </c>
      <c r="F39" s="383">
        <f t="shared" si="2"/>
        <v>30.253380268772663</v>
      </c>
      <c r="G39" s="110">
        <f t="shared" si="21"/>
        <v>0.96905575936732447</v>
      </c>
      <c r="H39" s="412" t="b">
        <f>Wh_hp&gt;='2025'!Maxi_hp</f>
        <v>0</v>
      </c>
      <c r="I39" s="388">
        <f>IF(H39,Wh_hp,'2025'!Maxi_hp)</f>
        <v>30.261651120262506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4.7987654048552542E-2</v>
      </c>
      <c r="M39" s="832"/>
      <c r="N39" s="832"/>
      <c r="O39" s="48">
        <f>IF(t&lt;Tnet,'2025'!Resal+('2025'!Salim-'2025'!Resal)*(1-EXP(('2025'!Tnet-t)/('2025'!Tau_j))),Resal+(Salim-Resal)*(1-EXP((Tnet-t)/(Tau_j))))*Salcycl</f>
        <v>4.9605369827261811E-2</v>
      </c>
      <c r="P39" s="169">
        <f>(INDEX(Models!$BJ39:$BT39,,T39)*(1-R39)+INDEX(Models!$BJ39:$BT39,,T39+1)*R39-ERP_i)*Q39*Ramure*Pc/MaxiM</f>
        <v>8.3680006325017441E-3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28.010588040347088</v>
      </c>
      <c r="W39" s="400">
        <f t="shared" si="10"/>
        <v>27.153830414587929</v>
      </c>
      <c r="X39" s="157">
        <f t="shared" si="11"/>
        <v>46047</v>
      </c>
      <c r="Y39" s="383">
        <f t="shared" si="12"/>
        <v>26.453885818270788</v>
      </c>
      <c r="Z39" s="383">
        <f t="shared" si="22"/>
        <v>27.787334828974931</v>
      </c>
      <c r="AA39" s="384">
        <f t="shared" si="13"/>
        <v>30.011281955113127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7.4103703049555866E-2</v>
      </c>
      <c r="AD39" s="230">
        <f>(INDEX(Models!$BJ39:$BT39,,AH39)*(1-AF39)+INDEX(Models!$BJ39:$BT39,,AH39+1)*AF39-ERP_i)*AE39*Ramure*Pc/MaxiM</f>
        <v>8.3680006325017441E-3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'2025'!Wh/'2025'!Env_an*'2026'!Env_an</f>
        <v>27.818174180653656</v>
      </c>
      <c r="C40" s="829"/>
      <c r="D40" s="391">
        <f t="shared" si="0"/>
        <v>29.220952268251075</v>
      </c>
      <c r="E40" s="383">
        <f t="shared" si="1"/>
        <v>30.747603320256431</v>
      </c>
      <c r="F40" s="383">
        <f t="shared" si="2"/>
        <v>30.994674345403421</v>
      </c>
      <c r="G40" s="110">
        <f t="shared" si="21"/>
        <v>0.98182794566537535</v>
      </c>
      <c r="H40" s="412" t="b">
        <f>Wh_hp&gt;='2025'!Maxi_hp</f>
        <v>0</v>
      </c>
      <c r="I40" s="388">
        <f>IF(H40,Wh_hp,'2025'!Maxi_hp)</f>
        <v>30.999537323642969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4.8005899147973818E-2</v>
      </c>
      <c r="M40" s="832"/>
      <c r="N40" s="832"/>
      <c r="O40" s="48">
        <f>IF(t&lt;Tnet,'2025'!Resal+('2025'!Salim-'2025'!Resal)*(1-EXP(('2025'!Tnet-t)/('2025'!Tau_j))),Resal+(Salim-Resal)*(1-EXP((Tnet-t)/(Tau_j))))*Salcycl</f>
        <v>4.9651058526555283E-2</v>
      </c>
      <c r="P40" s="169">
        <f>(INDEX(Models!$BJ40:$BT40,,T40)*(1-R40)+INDEX(Models!$BJ40:$BT40,,T40+1)*R40-ERP_i)*Q40*Ramure*Pc/MaxiM</f>
        <v>8.1813620964580058E-3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28.327047196723811</v>
      </c>
      <c r="W40" s="400">
        <f t="shared" si="10"/>
        <v>27.818174180653656</v>
      </c>
      <c r="X40" s="157">
        <f t="shared" si="11"/>
        <v>46048</v>
      </c>
      <c r="Y40" s="383">
        <f t="shared" si="12"/>
        <v>27.10172943958667</v>
      </c>
      <c r="Z40" s="383">
        <f t="shared" si="22"/>
        <v>28.468379599548847</v>
      </c>
      <c r="AA40" s="384">
        <f t="shared" si="13"/>
        <v>30.747603320256431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7.4126874116592911E-2</v>
      </c>
      <c r="AD40" s="230">
        <f>(INDEX(Models!$BJ40:$BT40,,AH40)*(1-AF40)+INDEX(Models!$BJ40:$BT40,,AH40+1)*AF40-ERP_i)*AE40*Ramure*Pc/MaxiM</f>
        <v>8.1813620964580058E-3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'2025'!Wh/'2025'!Env_an*'2026'!Env_an</f>
        <v>26.585521219970044</v>
      </c>
      <c r="C41" s="829"/>
      <c r="D41" s="391">
        <f t="shared" si="0"/>
        <v>27.926675923085632</v>
      </c>
      <c r="E41" s="383">
        <f t="shared" si="1"/>
        <v>29.387121307372421</v>
      </c>
      <c r="F41" s="383">
        <f t="shared" si="2"/>
        <v>29.599306267946183</v>
      </c>
      <c r="G41" s="110">
        <f t="shared" si="21"/>
        <v>0.92719423359876474</v>
      </c>
      <c r="H41" s="412" t="b">
        <f>Wh_hp&gt;='2025'!Maxi_hp</f>
        <v>0</v>
      </c>
      <c r="I41" s="388">
        <f>IF(H41,Wh_hp,'2025'!Maxi_hp)</f>
        <v>29.617485688648788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4.8024143897731908E-2</v>
      </c>
      <c r="M41" s="832"/>
      <c r="N41" s="832"/>
      <c r="O41" s="48">
        <f>IF(t&lt;Tnet,'2025'!Resal+('2025'!Salim-'2025'!Resal)*(1-EXP(('2025'!Tnet-t)/('2025'!Tau_j))),Resal+(Salim-Resal)*(1-EXP((Tnet-t)/(Tau_j))))*Salcycl</f>
        <v>4.9696782784927077E-2</v>
      </c>
      <c r="P41" s="169">
        <f>(INDEX(Models!$BJ41:$BT41,,T41)*(1-R41)+INDEX(Models!$BJ41:$BT41,,T41+1)*R41-ERP_i)*Q41*Ramure*Pc/MaxiM</f>
        <v>7.9909268082986474E-3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28.649337811869227</v>
      </c>
      <c r="W41" s="400">
        <f t="shared" si="10"/>
        <v>26.585521219970044</v>
      </c>
      <c r="X41" s="157">
        <f t="shared" si="11"/>
        <v>46049</v>
      </c>
      <c r="Y41" s="383">
        <f t="shared" si="12"/>
        <v>25.901418259678234</v>
      </c>
      <c r="Z41" s="383">
        <f t="shared" si="22"/>
        <v>27.208062151626372</v>
      </c>
      <c r="AA41" s="384">
        <f t="shared" si="13"/>
        <v>29.387121307372421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7.4150139884554864E-2</v>
      </c>
      <c r="AD41" s="230">
        <f>(INDEX(Models!$BJ41:$BT41,,AH41)*(1-AF41)+INDEX(Models!$BJ41:$BT41,,AH41+1)*AF41-ERP_i)*AE41*Ramure*Pc/MaxiM</f>
        <v>7.9909268082986474E-3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'2025'!Wh/'2025'!Env_an*'2026'!Env_an</f>
        <v>4.2019819852035205</v>
      </c>
      <c r="C42" s="829"/>
      <c r="D42" s="391">
        <f t="shared" si="0"/>
        <v>4.414043160692926</v>
      </c>
      <c r="E42" s="383">
        <f t="shared" si="1"/>
        <v>4.6451023660068129</v>
      </c>
      <c r="F42" s="383">
        <f t="shared" si="2"/>
        <v>4.6451023660068129</v>
      </c>
      <c r="G42" s="110">
        <f t="shared" si="21"/>
        <v>0.14388242425740869</v>
      </c>
      <c r="H42" s="412" t="b">
        <f>Wh_hp&gt;='2025'!Maxi_hp</f>
        <v>0</v>
      </c>
      <c r="I42" s="388">
        <f>IF(H42,Wh_hp,'2025'!Maxi_hp)</f>
        <v>18.471919028830147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4.8042388297833472E-2</v>
      </c>
      <c r="M42" s="832"/>
      <c r="N42" s="832"/>
      <c r="O42" s="48">
        <f>IF(t&lt;Tnet,'2025'!Resal+('2025'!Salim-'2025'!Resal)*(1-EXP(('2025'!Tnet-t)/('2025'!Tau_j))),Resal+(Salim-Resal)*(1-EXP((Tnet-t)/(Tau_j))))*Salcycl</f>
        <v>4.9742543243996948E-2</v>
      </c>
      <c r="P42" s="169">
        <f>(INDEX(Models!$BJ42:$BT42,,T42)*(1-R42)+INDEX(Models!$BJ42:$BT42,,T42+1)*R42-ERP_i)*Q42*Ramure*Pc/MaxiM</f>
        <v>7.7971774642536015E-3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28.976564771416921</v>
      </c>
      <c r="W42" s="400">
        <f t="shared" si="10"/>
        <v>4.2019819852035205</v>
      </c>
      <c r="X42" s="157">
        <f t="shared" si="11"/>
        <v>46050</v>
      </c>
      <c r="Y42" s="383">
        <f t="shared" si="12"/>
        <v>4.0939497420514215</v>
      </c>
      <c r="Z42" s="383">
        <f t="shared" si="22"/>
        <v>4.3005588607366185</v>
      </c>
      <c r="AA42" s="384">
        <f t="shared" si="13"/>
        <v>4.6451023660068129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7.4173501060296951E-2</v>
      </c>
      <c r="AD42" s="230">
        <f>(INDEX(Models!$BJ42:$BT42,,AH42)*(1-AF42)+INDEX(Models!$BJ42:$BT42,,AH42+1)*AF42-ERP_i)*AE42*Ramure*Pc/MaxiM</f>
        <v>7.7971774642536015E-3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'2025'!Wh/'2025'!Env_an*'2026'!Env_an</f>
        <v>8.8701205342338234</v>
      </c>
      <c r="C43" s="829"/>
      <c r="D43" s="391">
        <f t="shared" si="0"/>
        <v>9.3179469571838602</v>
      </c>
      <c r="E43" s="383">
        <f t="shared" si="1"/>
        <v>9.8061804016278007</v>
      </c>
      <c r="F43" s="383">
        <f t="shared" si="2"/>
        <v>9.8064629488067787</v>
      </c>
      <c r="G43" s="110">
        <f t="shared" si="21"/>
        <v>0.30036189507042493</v>
      </c>
      <c r="H43" s="412" t="b">
        <f>Wh_hp&gt;='2025'!Maxi_hp</f>
        <v>0</v>
      </c>
      <c r="I43" s="388">
        <f>IF(H43,Wh_hp,'2025'!Maxi_hp)</f>
        <v>19.775703807846384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4.8060632348285282E-2</v>
      </c>
      <c r="M43" s="832"/>
      <c r="N43" s="832"/>
      <c r="O43" s="48">
        <f>IF(t&lt;Tnet,'2025'!Resal+('2025'!Salim-'2025'!Resal)*(1-EXP(('2025'!Tnet-t)/('2025'!Tau_j))),Resal+(Salim-Resal)*(1-EXP((Tnet-t)/(Tau_j))))*Salcycl</f>
        <v>4.9788340051636827E-2</v>
      </c>
      <c r="P43" s="169">
        <f>(INDEX(Models!$BJ43:$BT43,,T43)*(1-R43)+INDEX(Models!$BJ43:$BT43,,T43+1)*R43-ERP_i)*Q43*Ramure*Pc/MaxiM</f>
        <v>7.6005528717516067E-3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29.307833291811722</v>
      </c>
      <c r="W43" s="400">
        <f t="shared" si="10"/>
        <v>8.8701205342338234</v>
      </c>
      <c r="X43" s="157">
        <f t="shared" si="11"/>
        <v>46051</v>
      </c>
      <c r="Y43" s="383">
        <f t="shared" si="12"/>
        <v>8.6422687944824421</v>
      </c>
      <c r="Z43" s="383">
        <f t="shared" si="22"/>
        <v>9.0785916500139763</v>
      </c>
      <c r="AA43" s="384">
        <f t="shared" si="13"/>
        <v>9.8061804016278007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7.4196957613899037E-2</v>
      </c>
      <c r="AD43" s="230">
        <f>(INDEX(Models!$BJ43:$BT43,,AH43)*(1-AF43)+INDEX(Models!$BJ43:$BT43,,AH43+1)*AF43-ERP_i)*AE43*Ramure*Pc/MaxiM</f>
        <v>7.6005528717516067E-3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'2025'!Wh/'2025'!Env_an*'2026'!Env_an</f>
        <v>4.5814301919348051</v>
      </c>
      <c r="C44" s="829"/>
      <c r="D44" s="391">
        <f t="shared" si="0"/>
        <v>4.8128254291907977</v>
      </c>
      <c r="E44" s="383">
        <f t="shared" si="1"/>
        <v>5.0652478668390106</v>
      </c>
      <c r="F44" s="383">
        <f t="shared" si="2"/>
        <v>5.0652478668390106</v>
      </c>
      <c r="G44" s="110">
        <f t="shared" si="21"/>
        <v>0.15341349376441851</v>
      </c>
      <c r="H44" s="412" t="b">
        <f>Wh_hp&gt;='2025'!Maxi_hp</f>
        <v>0</v>
      </c>
      <c r="I44" s="388">
        <f>IF(H44,Wh_hp,'2025'!Maxi_hp)</f>
        <v>11.80160840972839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4.807887604909411E-2</v>
      </c>
      <c r="M44" s="832"/>
      <c r="N44" s="832"/>
      <c r="O44" s="48">
        <f>IF(t&lt;Tnet,'2025'!Resal+('2025'!Salim-'2025'!Resal)*(1-EXP(('2025'!Tnet-t)/('2025'!Tau_j))),Resal+(Salim-Resal)*(1-EXP((Tnet-t)/(Tau_j))))*Salcycl</f>
        <v>4.9834172835008468E-2</v>
      </c>
      <c r="P44" s="169">
        <f>(INDEX(Models!$BJ44:$BT44,,T44)*(1-R44)+INDEX(Models!$BJ44:$BT44,,T44+1)*R44-ERP_i)*Q44*Ramure*Pc/MaxiM</f>
        <v>7.4042905425686202E-3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29.64216406332789</v>
      </c>
      <c r="W44" s="400">
        <f t="shared" si="10"/>
        <v>4.5814301919348051</v>
      </c>
      <c r="X44" s="157">
        <f t="shared" si="11"/>
        <v>46052</v>
      </c>
      <c r="Y44" s="383">
        <f t="shared" si="12"/>
        <v>4.463846195126056</v>
      </c>
      <c r="Z44" s="383">
        <f t="shared" si="22"/>
        <v>4.6893025932643058</v>
      </c>
      <c r="AA44" s="384">
        <f t="shared" si="13"/>
        <v>5.0652478668390106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7.4220508740733146E-2</v>
      </c>
      <c r="AD44" s="230">
        <f>(INDEX(Models!$BJ44:$BT44,,AH44)*(1-AF44)+INDEX(Models!$BJ44:$BT44,,AH44+1)*AF44-ERP_i)*AE44*Ramure*Pc/MaxiM</f>
        <v>7.4042905425686202E-3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'2025'!Wh/'2025'!Env_an*'2026'!Env_an</f>
        <v>7.5980569430491949</v>
      </c>
      <c r="C45" s="829"/>
      <c r="D45" s="391">
        <f t="shared" si="0"/>
        <v>7.9819665408115394</v>
      </c>
      <c r="E45" s="383">
        <f t="shared" si="1"/>
        <v>8.4010092226146025</v>
      </c>
      <c r="F45" s="383">
        <f t="shared" si="2"/>
        <v>8.4010092226146025</v>
      </c>
      <c r="G45" s="110">
        <f t="shared" si="21"/>
        <v>0.25162180224418074</v>
      </c>
      <c r="H45" s="412" t="b">
        <f>Wh_hp&gt;='2025'!Maxi_hp</f>
        <v>0</v>
      </c>
      <c r="I45" s="388">
        <f>IF(H45,Wh_hp,'2025'!Maxi_hp)</f>
        <v>23.12427848668732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4.8097119400266508E-2</v>
      </c>
      <c r="M45" s="832"/>
      <c r="N45" s="832"/>
      <c r="O45" s="48">
        <f>IF(t&lt;Tnet,'2025'!Resal+('2025'!Salim-'2025'!Resal)*(1-EXP(('2025'!Tnet-t)/('2025'!Tau_j))),Resal+(Salim-Resal)*(1-EXP((Tnet-t)/(Tau_j))))*Salcycl</f>
        <v>4.988004068309395E-2</v>
      </c>
      <c r="P45" s="169">
        <f>(INDEX(Models!$BJ45:$BT45,,T45)*(1-R45)+INDEX(Models!$BJ45:$BT45,,T45+1)*R45-ERP_i)*Q45*Ramure*Pc/MaxiM</f>
        <v>7.2130828795801275E-3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29.978529131092667</v>
      </c>
      <c r="W45" s="400">
        <f t="shared" si="10"/>
        <v>7.5980569430491949</v>
      </c>
      <c r="X45" s="157">
        <f t="shared" si="11"/>
        <v>46053</v>
      </c>
      <c r="Y45" s="383">
        <f t="shared" si="12"/>
        <v>7.4032184811235133</v>
      </c>
      <c r="Z45" s="383">
        <f t="shared" si="22"/>
        <v>7.7772834098991446</v>
      </c>
      <c r="AA45" s="384">
        <f t="shared" si="13"/>
        <v>8.4010092226146025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7.4244152837787208E-2</v>
      </c>
      <c r="AD45" s="230">
        <f>(INDEX(Models!$BJ45:$BT45,,AH45)*(1-AF45)+INDEX(Models!$BJ45:$BT45,,AH45+1)*AF45-ERP_i)*AE45*Ramure*Pc/MaxiM</f>
        <v>7.2130828795801275E-3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'2025'!Wh/'2025'!Env_an*'2026'!Env_an</f>
        <v>12.610248709119007</v>
      </c>
      <c r="C46" s="829"/>
      <c r="D46" s="391">
        <f t="shared" si="0"/>
        <v>13.247664907101948</v>
      </c>
      <c r="E46" s="383">
        <f t="shared" si="1"/>
        <v>13.943823428800933</v>
      </c>
      <c r="F46" s="383">
        <f t="shared" si="2"/>
        <v>13.960073942923973</v>
      </c>
      <c r="G46" s="110">
        <f t="shared" si="21"/>
        <v>0.41351811265733018</v>
      </c>
      <c r="H46" s="412" t="b">
        <f>Wh_hp&gt;='2025'!Maxi_hp</f>
        <v>0</v>
      </c>
      <c r="I46" s="388">
        <f>IF(H46,Wh_hp,'2025'!Maxi_hp)</f>
        <v>14.021130827306354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4.8115362401809247E-2</v>
      </c>
      <c r="M46" s="832"/>
      <c r="N46" s="832"/>
      <c r="O46" s="48">
        <f>IF(t&lt;Tnet,'2025'!Resal+('2025'!Salim-'2025'!Resal)*(1-EXP(('2025'!Tnet-t)/('2025'!Tau_j))),Resal+(Salim-Resal)*(1-EXP((Tnet-t)/(Tau_j))))*Salcycl</f>
        <v>4.9925942138730119E-2</v>
      </c>
      <c r="P46" s="169">
        <f>(INDEX(Models!$BJ46:$BT46,,T46)*(1-R46)+INDEX(Models!$BJ46:$BT46,,T46+1)*R46-ERP_i)*Q46*Ramure*Pc/MaxiM</f>
        <v>7.0270063283177971E-3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30.316034742612981</v>
      </c>
      <c r="W46" s="400">
        <f t="shared" si="10"/>
        <v>12.610248709119007</v>
      </c>
      <c r="X46" s="157">
        <f t="shared" si="11"/>
        <v>46054</v>
      </c>
      <c r="Y46" s="383">
        <f t="shared" si="12"/>
        <v>12.287160227272368</v>
      </c>
      <c r="Z46" s="383">
        <f t="shared" si="22"/>
        <v>12.90824511915174</v>
      </c>
      <c r="AA46" s="384">
        <f t="shared" si="13"/>
        <v>13.943823428800933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7.4267887494201087E-2</v>
      </c>
      <c r="AD46" s="230">
        <f>(INDEX(Models!$BJ46:$BT46,,AH46)*(1-AF46)+INDEX(Models!$BJ46:$BT46,,AH46+1)*AF46-ERP_i)*AE46*Ramure*Pc/MaxiM</f>
        <v>7.0270063283177971E-3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'2025'!Wh/'2025'!Env_an*'2026'!Env_an</f>
        <v>5.3241232669515561</v>
      </c>
      <c r="C47" s="829"/>
      <c r="D47" s="391">
        <f t="shared" si="0"/>
        <v>5.593351435893565</v>
      </c>
      <c r="E47" s="383">
        <f t="shared" si="1"/>
        <v>5.8875640519289121</v>
      </c>
      <c r="F47" s="383">
        <f t="shared" si="2"/>
        <v>5.8875640519289121</v>
      </c>
      <c r="G47" s="110">
        <f t="shared" si="21"/>
        <v>0.17249658770151569</v>
      </c>
      <c r="H47" s="412" t="b">
        <f>Wh_hp&gt;='2025'!Maxi_hp</f>
        <v>0</v>
      </c>
      <c r="I47" s="388">
        <f>IF(H47,Wh_hp,'2025'!Maxi_hp)</f>
        <v>29.977059055663016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4.8133605053728989E-2</v>
      </c>
      <c r="M47" s="832"/>
      <c r="N47" s="832"/>
      <c r="O47" s="48">
        <f>IF(t&lt;Tnet,'2025'!Resal+('2025'!Salim-'2025'!Resal)*(1-EXP(('2025'!Tnet-t)/('2025'!Tau_j))),Resal+(Salim-Resal)*(1-EXP((Tnet-t)/(Tau_j))))*Salcycl</f>
        <v>4.997187520005935E-2</v>
      </c>
      <c r="P47" s="169">
        <f>(INDEX(Models!$BJ47:$BT47,,T47)*(1-R47)+INDEX(Models!$BJ47:$BT47,,T47+1)*R47-ERP_i)*Q47*Ramure*Pc/MaxiM</f>
        <v>6.8461092486387064E-3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30.653787462523383</v>
      </c>
      <c r="W47" s="400">
        <f t="shared" si="10"/>
        <v>5.3241232669515561</v>
      </c>
      <c r="X47" s="157">
        <f t="shared" si="11"/>
        <v>46055</v>
      </c>
      <c r="Y47" s="383">
        <f t="shared" si="12"/>
        <v>5.1878306749298675</v>
      </c>
      <c r="Z47" s="383">
        <f t="shared" si="22"/>
        <v>5.4501668537449515</v>
      </c>
      <c r="AA47" s="384">
        <f t="shared" si="13"/>
        <v>5.8875640519289121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7.4291709495824323E-2</v>
      </c>
      <c r="AD47" s="230">
        <f>(INDEX(Models!$BJ47:$BT47,,AH47)*(1-AF47)+INDEX(Models!$BJ47:$BT47,,AH47+1)*AF47-ERP_i)*AE47*Ramure*Pc/MaxiM</f>
        <v>6.8461092486387064E-3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'2025'!Wh/'2025'!Env_an*'2026'!Env_an</f>
        <v>10.450267383026837</v>
      </c>
      <c r="C48" s="829"/>
      <c r="D48" s="391">
        <f t="shared" si="0"/>
        <v>10.97892279771613</v>
      </c>
      <c r="E48" s="383">
        <f t="shared" si="1"/>
        <v>11.556977835113244</v>
      </c>
      <c r="F48" s="383">
        <f t="shared" si="2"/>
        <v>11.561076552445234</v>
      </c>
      <c r="G48" s="110">
        <f t="shared" si="21"/>
        <v>0.33507394801936247</v>
      </c>
      <c r="H48" s="412" t="b">
        <f>Wh_hp&gt;='2025'!Maxi_hp</f>
        <v>0</v>
      </c>
      <c r="I48" s="388">
        <f>IF(H48,Wh_hp,'2025'!Maxi_hp)</f>
        <v>27.588451395254136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4.8151847356032507E-2</v>
      </c>
      <c r="M48" s="832"/>
      <c r="N48" s="832"/>
      <c r="O48" s="48">
        <f>IF(t&lt;Tnet,'2025'!Resal+('2025'!Salim-'2025'!Resal)*(1-EXP(('2025'!Tnet-t)/('2025'!Tau_j))),Resal+(Salim-Resal)*(1-EXP((Tnet-t)/(Tau_j))))*Salcycl</f>
        <v>5.0017837331211755E-2</v>
      </c>
      <c r="P48" s="169">
        <f>(INDEX(Models!$BJ48:$BT48,,T48)*(1-R48)+INDEX(Models!$BJ48:$BT48,,T48+1)*R48-ERP_i)*Q48*Ramure*Pc/MaxiM</f>
        <v>6.6704150384510816E-3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30.990894161680359</v>
      </c>
      <c r="W48" s="400">
        <f t="shared" si="10"/>
        <v>10.450267383026837</v>
      </c>
      <c r="X48" s="157">
        <f t="shared" si="11"/>
        <v>46056</v>
      </c>
      <c r="Y48" s="383">
        <f t="shared" si="12"/>
        <v>10.182979973015915</v>
      </c>
      <c r="Z48" s="383">
        <f t="shared" si="22"/>
        <v>10.698113921564536</v>
      </c>
      <c r="AA48" s="384">
        <f t="shared" si="13"/>
        <v>11.556977835113244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7.4315614843462441E-2</v>
      </c>
      <c r="AD48" s="230">
        <f>(INDEX(Models!$BJ48:$BT48,,AH48)*(1-AF48)+INDEX(Models!$BJ48:$BT48,,AH48+1)*AF48-ERP_i)*AE48*Ramure*Pc/MaxiM</f>
        <v>6.6704150384510816E-3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'2025'!Wh/'2025'!Env_an*'2026'!Env_an</f>
        <v>10.294122266180329</v>
      </c>
      <c r="C49" s="829"/>
      <c r="D49" s="391">
        <f t="shared" si="0"/>
        <v>10.815085920870198</v>
      </c>
      <c r="E49" s="383">
        <f t="shared" si="1"/>
        <v>11.385065871775161</v>
      </c>
      <c r="F49" s="383">
        <f t="shared" si="2"/>
        <v>11.388091021780717</v>
      </c>
      <c r="G49" s="110">
        <f t="shared" si="21"/>
        <v>0.32655870078772031</v>
      </c>
      <c r="H49" s="412" t="b">
        <f>Wh_hp&gt;='2025'!Maxi_hp</f>
        <v>0</v>
      </c>
      <c r="I49" s="388">
        <f>IF(H49,Wh_hp,'2025'!Maxi_hp)</f>
        <v>19.347515119040757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4.8170089308726571E-2</v>
      </c>
      <c r="M49" s="832"/>
      <c r="N49" s="832"/>
      <c r="O49" s="48">
        <f>IF(t&lt;Tnet,'2025'!Resal+('2025'!Salim-'2025'!Resal)*(1-EXP(('2025'!Tnet-t)/('2025'!Tau_j))),Resal+(Salim-Resal)*(1-EXP((Tnet-t)/(Tau_j))))*Salcycl</f>
        <v>5.0063825481941819E-2</v>
      </c>
      <c r="P49" s="169">
        <f>(INDEX(Models!$BJ49:$BT49,,T49)*(1-R49)+INDEX(Models!$BJ49:$BT49,,T49+1)*R49-ERP_i)*Q49*Ramure*Pc/MaxiM</f>
        <v>6.4999250956231554E-3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31.326462016918175</v>
      </c>
      <c r="W49" s="400">
        <f t="shared" si="10"/>
        <v>10.294122266180329</v>
      </c>
      <c r="X49" s="157">
        <f t="shared" si="11"/>
        <v>46057</v>
      </c>
      <c r="Y49" s="383">
        <f t="shared" si="12"/>
        <v>10.031054298895283</v>
      </c>
      <c r="Z49" s="383">
        <f t="shared" si="22"/>
        <v>10.538704642734075</v>
      </c>
      <c r="AA49" s="384">
        <f t="shared" si="13"/>
        <v>11.385065871775161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7.4339598784343403E-2</v>
      </c>
      <c r="AD49" s="230">
        <f>(INDEX(Models!$BJ49:$BT49,,AH49)*(1-AF49)+INDEX(Models!$BJ49:$BT49,,AH49+1)*AF49-ERP_i)*AE49*Ramure*Pc/MaxiM</f>
        <v>6.4999250956231554E-3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'2025'!Wh/'2025'!Env_an*'2026'!Env_an</f>
        <v>9.0466313840157664</v>
      </c>
      <c r="C50" s="829"/>
      <c r="D50" s="391">
        <f t="shared" si="0"/>
        <v>9.5046443301985022</v>
      </c>
      <c r="E50" s="383">
        <f t="shared" si="1"/>
        <v>10.006045637248798</v>
      </c>
      <c r="F50" s="383">
        <f t="shared" si="2"/>
        <v>10.006045637248798</v>
      </c>
      <c r="G50" s="110">
        <f t="shared" si="21"/>
        <v>0.28393677816575552</v>
      </c>
      <c r="H50" s="412" t="b">
        <f>Wh_hp&gt;='2025'!Maxi_hp</f>
        <v>0</v>
      </c>
      <c r="I50" s="388">
        <f>IF(H50,Wh_hp,'2025'!Maxi_hp)</f>
        <v>35.681802082367859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4.8188330911817623E-2</v>
      </c>
      <c r="M50" s="832"/>
      <c r="N50" s="832"/>
      <c r="O50" s="48">
        <f>IF(t&lt;Tnet,'2025'!Resal+('2025'!Salim-'2025'!Resal)*(1-EXP(('2025'!Tnet-t)/('2025'!Tau_j))),Resal+(Salim-Resal)*(1-EXP((Tnet-t)/(Tau_j))))*Salcycl</f>
        <v>5.0109836115854317E-2</v>
      </c>
      <c r="P50" s="169">
        <f>(INDEX(Models!$BJ50:$BT50,,T50)*(1-R50)+INDEX(Models!$BJ50:$BT50,,T50+1)*R50-ERP_i)*Q50*Ramure*Pc/MaxiM</f>
        <v>6.3346216074928888E-3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31.659598504452291</v>
      </c>
      <c r="W50" s="400">
        <f t="shared" si="10"/>
        <v>9.0466313840157664</v>
      </c>
      <c r="X50" s="157">
        <f t="shared" si="11"/>
        <v>46058</v>
      </c>
      <c r="Y50" s="383">
        <f t="shared" si="12"/>
        <v>8.8156411335765537</v>
      </c>
      <c r="Z50" s="383">
        <f t="shared" si="22"/>
        <v>9.2619595029989199</v>
      </c>
      <c r="AA50" s="384">
        <f t="shared" si="13"/>
        <v>10.006045637248798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7.4363655856207592E-2</v>
      </c>
      <c r="AD50" s="230">
        <f>(INDEX(Models!$BJ50:$BT50,,AH50)*(1-AF50)+INDEX(Models!$BJ50:$BT50,,AH50+1)*AF50-ERP_i)*AE50*Ramure*Pc/MaxiM</f>
        <v>6.3346216074928888E-3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'2025'!Wh/'2025'!Env_an*'2026'!Env_an</f>
        <v>21.078590837743022</v>
      </c>
      <c r="C51" s="829"/>
      <c r="D51" s="391">
        <f t="shared" si="0"/>
        <v>22.146182376670144</v>
      </c>
      <c r="E51" s="383">
        <f t="shared" si="1"/>
        <v>23.315596281935008</v>
      </c>
      <c r="F51" s="383">
        <f t="shared" si="2"/>
        <v>23.38963066866793</v>
      </c>
      <c r="G51" s="110">
        <f t="shared" si="21"/>
        <v>0.65688491031081564</v>
      </c>
      <c r="H51" s="412" t="b">
        <f>Wh_hp&gt;='2025'!Maxi_hp</f>
        <v>0</v>
      </c>
      <c r="I51" s="388">
        <f>IF(H51,Wh_hp,'2025'!Maxi_hp)</f>
        <v>37.076232391062831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4.8206572165312545E-2</v>
      </c>
      <c r="M51" s="832"/>
      <c r="N51" s="832"/>
      <c r="O51" s="48">
        <f>IF(t&lt;Tnet,'2025'!Resal+('2025'!Salim-'2025'!Resal)*(1-EXP(('2025'!Tnet-t)/('2025'!Tau_j))),Resal+(Salim-Resal)*(1-EXP((Tnet-t)/(Tau_j))))*Salcycl</f>
        <v>5.0155865246771771E-2</v>
      </c>
      <c r="P51" s="169">
        <f>(INDEX(Models!$BJ51:$BT51,,T51)*(1-R51)+INDEX(Models!$BJ51:$BT51,,T51+1)*R51-ERP_i)*Q51*Ramure*Pc/MaxiM</f>
        <v>6.1740006452264424E-3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31.991859195925713</v>
      </c>
      <c r="W51" s="400">
        <f t="shared" si="10"/>
        <v>21.078590837743022</v>
      </c>
      <c r="X51" s="157">
        <f t="shared" si="11"/>
        <v>46059</v>
      </c>
      <c r="Y51" s="383">
        <f t="shared" si="12"/>
        <v>20.5408451209302</v>
      </c>
      <c r="Z51" s="383">
        <f t="shared" si="22"/>
        <v>21.581200836467474</v>
      </c>
      <c r="AA51" s="384">
        <f t="shared" si="13"/>
        <v>23.315596281935008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7.4387779943305574E-2</v>
      </c>
      <c r="AD51" s="230">
        <f>(INDEX(Models!$BJ51:$BT51,,AH51)*(1-AF51)+INDEX(Models!$BJ51:$BT51,,AH51+1)*AF51-ERP_i)*AE51*Ramure*Pc/MaxiM</f>
        <v>6.1740006452264424E-3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'2025'!Wh/'2025'!Env_an*'2026'!Env_an</f>
        <v>8.8844567144067934</v>
      </c>
      <c r="C52" s="829"/>
      <c r="D52" s="391">
        <f t="shared" si="0"/>
        <v>9.3346168679357646</v>
      </c>
      <c r="E52" s="383">
        <f t="shared" si="1"/>
        <v>9.8280012892255133</v>
      </c>
      <c r="F52" s="383">
        <f t="shared" si="2"/>
        <v>9.8280012892255133</v>
      </c>
      <c r="G52" s="110">
        <f t="shared" si="21"/>
        <v>0.27319117228698298</v>
      </c>
      <c r="H52" s="412" t="b">
        <f>Wh_hp&gt;='2025'!Maxi_hp</f>
        <v>0</v>
      </c>
      <c r="I52" s="388">
        <f>IF(H52,Wh_hp,'2025'!Maxi_hp)</f>
        <v>24.451684563184926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4.8224813069217998E-2</v>
      </c>
      <c r="M52" s="832"/>
      <c r="N52" s="832"/>
      <c r="O52" s="48">
        <f>IF(t&lt;Tnet,'2025'!Resal+('2025'!Salim-'2025'!Resal)*(1-EXP(('2025'!Tnet-t)/('2025'!Tau_j))),Resal+(Salim-Resal)*(1-EXP((Tnet-t)/(Tau_j))))*Salcycl</f>
        <v>5.0201908482719541E-2</v>
      </c>
      <c r="P52" s="169">
        <f>(INDEX(Models!$BJ52:$BT52,,T52)*(1-R52)+INDEX(Models!$BJ52:$BT52,,T52+1)*R52-ERP_i)*Q52*Ramure*Pc/MaxiM</f>
        <v>6.0160842235740608E-3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32.325374940209969</v>
      </c>
      <c r="W52" s="400">
        <f t="shared" si="10"/>
        <v>8.8844567144067934</v>
      </c>
      <c r="X52" s="157">
        <f t="shared" si="11"/>
        <v>46060</v>
      </c>
      <c r="Y52" s="383">
        <f t="shared" si="12"/>
        <v>8.6579946955110945</v>
      </c>
      <c r="Z52" s="383">
        <f t="shared" si="22"/>
        <v>9.0966804077240031</v>
      </c>
      <c r="AA52" s="384">
        <f t="shared" si="13"/>
        <v>9.8280012892255133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7.4411964343478632E-2</v>
      </c>
      <c r="AD52" s="230">
        <f>(INDEX(Models!$BJ52:$BT52,,AH52)*(1-AF52)+INDEX(Models!$BJ52:$BT52,,AH52+1)*AF52-ERP_i)*AE52*Ramure*Pc/MaxiM</f>
        <v>6.0160842235740608E-3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'2025'!Wh/'2025'!Env_an*'2026'!Env_an</f>
        <v>32.952783219047866</v>
      </c>
      <c r="C53" s="829"/>
      <c r="D53" s="391">
        <f t="shared" si="0"/>
        <v>34.623107658426981</v>
      </c>
      <c r="E53" s="383">
        <f t="shared" si="1"/>
        <v>36.454891634332839</v>
      </c>
      <c r="F53" s="383">
        <f t="shared" si="2"/>
        <v>36.669864928426435</v>
      </c>
      <c r="G53" s="110">
        <f t="shared" si="21"/>
        <v>1.008964741193527</v>
      </c>
      <c r="H53" s="412" t="b">
        <f>Wh_hp&gt;='2025'!Maxi_hp</f>
        <v>1</v>
      </c>
      <c r="I53" s="388">
        <f>IF(H53,Wh_hp,'2025'!Maxi_hp)</f>
        <v>36.669864928426435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4.8243053623540755E-2</v>
      </c>
      <c r="M53" s="832"/>
      <c r="N53" s="832"/>
      <c r="O53" s="48">
        <f>IF(t&lt;Tnet,'2025'!Resal+('2025'!Salim-'2025'!Resal)*(1-EXP(('2025'!Tnet-t)/('2025'!Tau_j))),Resal+(Salim-Resal)*(1-EXP((Tnet-t)/(Tau_j))))*Salcycl</f>
        <v>5.0247961076935542E-2</v>
      </c>
      <c r="P53" s="169">
        <f>(INDEX(Models!$BJ53:$BT53,,T53)*(1-R53)+INDEX(Models!$BJ53:$BT53,,T53+1)*R53-ERP_i)*Q53*Ramure*Pc/MaxiM</f>
        <v>5.8623966713045083E-3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32.659994818121469</v>
      </c>
      <c r="W53" s="400">
        <f t="shared" si="10"/>
        <v>32.952783219047866</v>
      </c>
      <c r="X53" s="157">
        <f t="shared" si="11"/>
        <v>46061</v>
      </c>
      <c r="Y53" s="383">
        <f t="shared" si="12"/>
        <v>32.113543268168563</v>
      </c>
      <c r="Z53" s="383">
        <f t="shared" si="22"/>
        <v>33.741327962387501</v>
      </c>
      <c r="AA53" s="384">
        <f t="shared" si="13"/>
        <v>36.454891634332839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7.4436201845398661E-2</v>
      </c>
      <c r="AD53" s="230">
        <f>(INDEX(Models!$BJ53:$BT53,,AH53)*(1-AF53)+INDEX(Models!$BJ53:$BT53,,AH53+1)*AF53-ERP_i)*AE53*Ramure*Pc/MaxiM</f>
        <v>5.8623966713045083E-3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'2025'!Wh/'2025'!Env_an*'2026'!Env_an</f>
        <v>33.237964729232431</v>
      </c>
      <c r="C54" s="829"/>
      <c r="D54" s="391">
        <f t="shared" si="0"/>
        <v>34.923413867372588</v>
      </c>
      <c r="E54" s="383">
        <f t="shared" si="1"/>
        <v>36.772869212937287</v>
      </c>
      <c r="F54" s="383">
        <f t="shared" si="2"/>
        <v>36.984153600859251</v>
      </c>
      <c r="G54" s="110">
        <f t="shared" si="21"/>
        <v>1.0073447597282734</v>
      </c>
      <c r="H54" s="412" t="b">
        <f>Wh_hp&gt;='2025'!Maxi_hp</f>
        <v>1</v>
      </c>
      <c r="I54" s="388">
        <f>IF(H54,Wh_hp,'2025'!Maxi_hp)</f>
        <v>36.984153600859251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4.8261293828287366E-2</v>
      </c>
      <c r="M54" s="832"/>
      <c r="N54" s="832"/>
      <c r="O54" s="48">
        <f>IF(t&lt;Tnet,'2025'!Resal+('2025'!Salim-'2025'!Resal)*(1-EXP(('2025'!Tnet-t)/('2025'!Tau_j))),Resal+(Salim-Resal)*(1-EXP((Tnet-t)/(Tau_j))))*Salcycl</f>
        <v>5.0294017985249621E-2</v>
      </c>
      <c r="P54" s="169">
        <f>(INDEX(Models!$BJ54:$BT54,,T54)*(1-R54)+INDEX(Models!$BJ54:$BT54,,T54+1)*R54-ERP_i)*Q54*Ramure*Pc/MaxiM</f>
        <v>5.7128355620137752E-3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32.995619829499304</v>
      </c>
      <c r="W54" s="400">
        <f t="shared" si="10"/>
        <v>33.237964729232431</v>
      </c>
      <c r="X54" s="157">
        <f t="shared" si="11"/>
        <v>46062</v>
      </c>
      <c r="Y54" s="383">
        <f t="shared" si="12"/>
        <v>32.392182784791117</v>
      </c>
      <c r="Z54" s="383">
        <f t="shared" si="22"/>
        <v>34.034743543304963</v>
      </c>
      <c r="AA54" s="384">
        <f t="shared" si="13"/>
        <v>36.772869212937287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7.4460484814957262E-2</v>
      </c>
      <c r="AD54" s="230">
        <f>(INDEX(Models!$BJ54:$BT54,,AH54)*(1-AF54)+INDEX(Models!$BJ54:$BT54,,AH54+1)*AF54-ERP_i)*AE54*Ramure*Pc/MaxiM</f>
        <v>5.7128355620137752E-3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'2025'!Wh/'2025'!Env_an*'2026'!Env_an</f>
        <v>30.999351521098735</v>
      </c>
      <c r="C55" s="829"/>
      <c r="D55" s="391">
        <f t="shared" si="0"/>
        <v>32.571908053082232</v>
      </c>
      <c r="E55" s="383">
        <f t="shared" si="1"/>
        <v>34.298496923888628</v>
      </c>
      <c r="F55" s="383">
        <f t="shared" si="2"/>
        <v>34.471221097623328</v>
      </c>
      <c r="G55" s="110">
        <f t="shared" si="21"/>
        <v>0.92949325947496653</v>
      </c>
      <c r="H55" s="412" t="b">
        <f>Wh_hp&gt;='2025'!Maxi_hp</f>
        <v>0</v>
      </c>
      <c r="I55" s="388">
        <f>IF(H55,Wh_hp,'2025'!Maxi_hp)</f>
        <v>34.485478690767295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4.8279533683464715E-2</v>
      </c>
      <c r="M55" s="832"/>
      <c r="N55" s="832"/>
      <c r="O55" s="48">
        <f>IF(t&lt;Tnet,'2025'!Resal+('2025'!Salim-'2025'!Resal)*(1-EXP(('2025'!Tnet-t)/('2025'!Tau_j))),Resal+(Salim-Resal)*(1-EXP((Tnet-t)/(Tau_j))))*Salcycl</f>
        <v>5.0340073929124221E-2</v>
      </c>
      <c r="P55" s="169">
        <f>(INDEX(Models!$BJ55:$BT55,,T55)*(1-R55)+INDEX(Models!$BJ55:$BT55,,T55+1)*R55-ERP_i)*Q55*Ramure*Pc/MaxiM</f>
        <v>5.5672999134476616E-3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33.33215101747259</v>
      </c>
      <c r="W55" s="400">
        <f t="shared" si="10"/>
        <v>30.999351521098735</v>
      </c>
      <c r="X55" s="157">
        <f t="shared" si="11"/>
        <v>46063</v>
      </c>
      <c r="Y55" s="383">
        <f t="shared" si="12"/>
        <v>30.211205160194226</v>
      </c>
      <c r="Z55" s="383">
        <f t="shared" si="22"/>
        <v>31.743780058782722</v>
      </c>
      <c r="AA55" s="384">
        <f t="shared" si="13"/>
        <v>34.298496923888628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7.4484805289719958E-2</v>
      </c>
      <c r="AD55" s="230">
        <f>(INDEX(Models!$BJ55:$BT55,,AH55)*(1-AF55)+INDEX(Models!$BJ55:$BT55,,AH55+1)*AF55-ERP_i)*AE55*Ramure*Pc/MaxiM</f>
        <v>5.5672999134476616E-3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'2025'!Wh/'2025'!Env_an*'2026'!Env_an</f>
        <v>17.173889404731771</v>
      </c>
      <c r="C56" s="829"/>
      <c r="D56" s="391">
        <f t="shared" si="0"/>
        <v>18.045444174571415</v>
      </c>
      <c r="E56" s="383">
        <f t="shared" si="1"/>
        <v>19.002928053652717</v>
      </c>
      <c r="F56" s="383">
        <f t="shared" si="2"/>
        <v>19.033920436070829</v>
      </c>
      <c r="G56" s="110">
        <f t="shared" si="21"/>
        <v>0.50813264042306139</v>
      </c>
      <c r="H56" s="412" t="b">
        <f>Wh_hp&gt;='2025'!Maxi_hp</f>
        <v>0</v>
      </c>
      <c r="I56" s="388">
        <f>IF(H56,Wh_hp,'2025'!Maxi_hp)</f>
        <v>31.561088268066062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4.8297773189079352E-2</v>
      </c>
      <c r="M56" s="832"/>
      <c r="N56" s="832"/>
      <c r="O56" s="48">
        <f>IF(t&lt;Tnet,'2025'!Resal+('2025'!Salim-'2025'!Resal)*(1-EXP(('2025'!Tnet-t)/('2025'!Tau_j))),Resal+(Salim-Resal)*(1-EXP((Tnet-t)/(Tau_j))))*Salcycl</f>
        <v>5.0386123463602543E-2</v>
      </c>
      <c r="P56" s="169">
        <f>(INDEX(Models!$BJ56:$BT56,,T56)*(1-R56)+INDEX(Models!$BJ56:$BT56,,T56+1)*R56-ERP_i)*Q56*Ramure*Pc/MaxiM</f>
        <v>5.4256904444416601E-3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33.669489460950025</v>
      </c>
      <c r="W56" s="400">
        <f t="shared" si="10"/>
        <v>17.173889404731771</v>
      </c>
      <c r="X56" s="157">
        <f t="shared" si="11"/>
        <v>46064</v>
      </c>
      <c r="Y56" s="383">
        <f t="shared" si="12"/>
        <v>16.737621267409423</v>
      </c>
      <c r="Z56" s="383">
        <f t="shared" si="22"/>
        <v>17.587035940323346</v>
      </c>
      <c r="AA56" s="384">
        <f t="shared" si="13"/>
        <v>19.002928053652717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7.4509155080298761E-2</v>
      </c>
      <c r="AD56" s="230">
        <f>(INDEX(Models!$BJ56:$BT56,,AH56)*(1-AF56)+INDEX(Models!$BJ56:$BT56,,AH56+1)*AF56-ERP_i)*AE56*Ramure*Pc/MaxiM</f>
        <v>5.4256904444416601E-3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'2025'!Wh/'2025'!Env_an*'2026'!Env_an</f>
        <v>26.319198068280677</v>
      </c>
      <c r="C57" s="829"/>
      <c r="D57" s="391">
        <f t="shared" si="0"/>
        <v>27.655396549369708</v>
      </c>
      <c r="E57" s="383">
        <f t="shared" si="1"/>
        <v>29.124192516810474</v>
      </c>
      <c r="F57" s="383">
        <f t="shared" si="2"/>
        <v>29.22883422879443</v>
      </c>
      <c r="G57" s="110">
        <f t="shared" si="21"/>
        <v>0.77259604418967021</v>
      </c>
      <c r="H57" s="412" t="b">
        <f>Wh_hp&gt;='2025'!Maxi_hp</f>
        <v>0</v>
      </c>
      <c r="I57" s="388">
        <f>IF(H57,Wh_hp,'2025'!Maxi_hp)</f>
        <v>29.265897627745993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4.8316012345137938E-2</v>
      </c>
      <c r="M57" s="832"/>
      <c r="N57" s="832"/>
      <c r="O57" s="48">
        <f>IF(t&lt;Tnet,'2025'!Resal+('2025'!Salim-'2025'!Resal)*(1-EXP(('2025'!Tnet-t)/('2025'!Tau_j))),Resal+(Salim-Resal)*(1-EXP((Tnet-t)/(Tau_j))))*Salcycl</f>
        <v>5.043216104937423E-2</v>
      </c>
      <c r="P57" s="169">
        <f>(INDEX(Models!$BJ57:$BT57,,T57)*(1-R57)+INDEX(Models!$BJ57:$BT57,,T57+1)*R57-ERP_i)*Q57*Ramure*Pc/MaxiM</f>
        <v>5.2879098022997886E-3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34.007536266363481</v>
      </c>
      <c r="W57" s="400">
        <f t="shared" si="10"/>
        <v>26.319198068280677</v>
      </c>
      <c r="X57" s="157">
        <f t="shared" si="11"/>
        <v>46065</v>
      </c>
      <c r="Y57" s="383">
        <f t="shared" si="12"/>
        <v>25.65117987241695</v>
      </c>
      <c r="Z57" s="383">
        <f t="shared" si="22"/>
        <v>26.95346376019895</v>
      </c>
      <c r="AA57" s="384">
        <f t="shared" si="13"/>
        <v>29.124192516810474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7.4533525877449713E-2</v>
      </c>
      <c r="AD57" s="230">
        <f>(INDEX(Models!$BJ57:$BT57,,AH57)*(1-AF57)+INDEX(Models!$BJ57:$BT57,,AH57+1)*AF57-ERP_i)*AE57*Ramure*Pc/MaxiM</f>
        <v>5.2879098022997886E-3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'2025'!Wh/'2025'!Env_an*'2026'!Env_an</f>
        <v>32.203386542632018</v>
      </c>
      <c r="C58" s="829"/>
      <c r="D58" s="391">
        <f t="shared" si="0"/>
        <v>33.838967706468971</v>
      </c>
      <c r="E58" s="383">
        <f t="shared" si="1"/>
        <v>35.637904294472733</v>
      </c>
      <c r="F58" s="383">
        <f t="shared" si="2"/>
        <v>35.805947064270931</v>
      </c>
      <c r="G58" s="110">
        <f t="shared" si="21"/>
        <v>0.93717753716871655</v>
      </c>
      <c r="H58" s="412" t="b">
        <f>Wh_hp&gt;='2025'!Maxi_hp</f>
        <v>0</v>
      </c>
      <c r="I58" s="388">
        <f>IF(H58,Wh_hp,'2025'!Maxi_hp)</f>
        <v>35.818160403759038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4.8334251151647356E-2</v>
      </c>
      <c r="M58" s="832"/>
      <c r="N58" s="832"/>
      <c r="O58" s="48">
        <f>IF(t&lt;Tnet,'2025'!Resal+('2025'!Salim-'2025'!Resal)*(1-EXP(('2025'!Tnet-t)/('2025'!Tau_j))),Resal+(Salim-Resal)*(1-EXP((Tnet-t)/(Tau_j))))*Salcycl</f>
        <v>5.0478181128141397E-2</v>
      </c>
      <c r="P58" s="169">
        <f>(INDEX(Models!$BJ58:$BT58,,T58)*(1-R58)+INDEX(Models!$BJ58:$BT58,,T58+1)*R58-ERP_i)*Q58*Ramure*Pc/MaxiM</f>
        <v>5.1523753205539088E-3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34.34624391193028</v>
      </c>
      <c r="W58" s="400">
        <f t="shared" si="10"/>
        <v>32.203386542632018</v>
      </c>
      <c r="X58" s="157">
        <f t="shared" si="11"/>
        <v>46066</v>
      </c>
      <c r="Y58" s="383">
        <f t="shared" si="12"/>
        <v>31.386713580728458</v>
      </c>
      <c r="Z58" s="383">
        <f t="shared" si="22"/>
        <v>32.980816656174426</v>
      </c>
      <c r="AA58" s="384">
        <f t="shared" si="13"/>
        <v>35.637904294472733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7.45579093636662E-2</v>
      </c>
      <c r="AD58" s="230">
        <f>(INDEX(Models!$BJ58:$BT58,,AH58)*(1-AF58)+INDEX(Models!$BJ58:$BT58,,AH58+1)*AF58-ERP_i)*AE58*Ramure*Pc/MaxiM</f>
        <v>5.1523753205539088E-3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'2025'!Wh/'2025'!Env_an*'2026'!Env_an</f>
        <v>15.120038219599808</v>
      </c>
      <c r="C59" s="829"/>
      <c r="D59" s="391">
        <f t="shared" si="0"/>
        <v>15.888275915713121</v>
      </c>
      <c r="E59" s="383">
        <f t="shared" si="1"/>
        <v>16.733734078241095</v>
      </c>
      <c r="F59" s="383">
        <f t="shared" si="2"/>
        <v>16.750049602272654</v>
      </c>
      <c r="G59" s="110">
        <f t="shared" si="21"/>
        <v>0.43415295948272292</v>
      </c>
      <c r="H59" s="412" t="b">
        <f>Wh_hp&gt;='2025'!Maxi_hp</f>
        <v>0</v>
      </c>
      <c r="I59" s="388">
        <f>IF(H59,Wh_hp,'2025'!Maxi_hp)</f>
        <v>38.116109222133424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4.8352489608614158E-2</v>
      </c>
      <c r="M59" s="832"/>
      <c r="N59" s="832"/>
      <c r="O59" s="48">
        <f>IF(t&lt;Tnet,'2025'!Resal+('2025'!Salim-'2025'!Resal)*(1-EXP(('2025'!Tnet-t)/('2025'!Tau_j))),Resal+(Salim-Resal)*(1-EXP((Tnet-t)/(Tau_j))))*Salcycl</f>
        <v>5.0524178200448647E-2</v>
      </c>
      <c r="P59" s="169">
        <f>(INDEX(Models!$BJ59:$BT59,,T59)*(1-R59)+INDEX(Models!$BJ59:$BT59,,T59+1)*R59-ERP_i)*Q59*Ramure*Pc/MaxiM</f>
        <v>5.0166007705358187E-3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34.685598468229756</v>
      </c>
      <c r="W59" s="400">
        <f t="shared" si="10"/>
        <v>15.120038219599808</v>
      </c>
      <c r="X59" s="157">
        <f t="shared" si="11"/>
        <v>46067</v>
      </c>
      <c r="Y59" s="383">
        <f t="shared" si="12"/>
        <v>14.73692190178658</v>
      </c>
      <c r="Z59" s="383">
        <f t="shared" si="22"/>
        <v>15.485693747809732</v>
      </c>
      <c r="AA59" s="384">
        <f t="shared" si="13"/>
        <v>16.733734078241095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7.4582297328017924E-2</v>
      </c>
      <c r="AD59" s="230">
        <f>(INDEX(Models!$BJ59:$BT59,,AH59)*(1-AF59)+INDEX(Models!$BJ59:$BT59,,AH59+1)*AF59-ERP_i)*AE59*Ramure*Pc/MaxiM</f>
        <v>5.0166007705358187E-3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'2025'!Wh/'2025'!Env_an*'2026'!Env_an</f>
        <v>18.238010188784468</v>
      </c>
      <c r="C60" s="829"/>
      <c r="D60" s="391">
        <f t="shared" si="0"/>
        <v>19.165036973917786</v>
      </c>
      <c r="E60" s="383">
        <f t="shared" si="1"/>
        <v>20.185837754569551</v>
      </c>
      <c r="F60" s="383">
        <f t="shared" si="2"/>
        <v>20.21694822441906</v>
      </c>
      <c r="G60" s="110">
        <f t="shared" si="21"/>
        <v>0.51896385073013196</v>
      </c>
      <c r="H60" s="412" t="b">
        <f>Wh_hp&gt;='2025'!Maxi_hp</f>
        <v>0</v>
      </c>
      <c r="I60" s="388">
        <f>IF(H60,Wh_hp,'2025'!Maxi_hp)</f>
        <v>37.957548920378891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4.8370727716045225E-2</v>
      </c>
      <c r="M60" s="832"/>
      <c r="N60" s="832"/>
      <c r="O60" s="48">
        <f>IF(t&lt;Tnet,'2025'!Resal+('2025'!Salim-'2025'!Resal)*(1-EXP(('2025'!Tnet-t)/('2025'!Tau_j))),Resal+(Salim-Resal)*(1-EXP((Tnet-t)/(Tau_j))))*Salcycl</f>
        <v>5.0570146905133215E-2</v>
      </c>
      <c r="P60" s="169">
        <f>(INDEX(Models!$BJ60:$BT60,,T60)*(1-R60)+INDEX(Models!$BJ60:$BT60,,T60+1)*R60-ERP_i)*Q60*Ramure*Pc/MaxiM</f>
        <v>4.8806049803694785E-3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35.025501152025214</v>
      </c>
      <c r="W60" s="400">
        <f t="shared" si="10"/>
        <v>18.238010188784468</v>
      </c>
      <c r="X60" s="157">
        <f t="shared" si="11"/>
        <v>46068</v>
      </c>
      <c r="Y60" s="383">
        <f t="shared" si="12"/>
        <v>17.776281956228654</v>
      </c>
      <c r="Z60" s="383">
        <f t="shared" si="22"/>
        <v>18.679839380691543</v>
      </c>
      <c r="AA60" s="384">
        <f t="shared" si="13"/>
        <v>20.185837754569551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7.4606681782978676E-2</v>
      </c>
      <c r="AD60" s="230">
        <f>(INDEX(Models!$BJ60:$BT60,,AH60)*(1-AF60)+INDEX(Models!$BJ60:$BT60,,AH60+1)*AF60-ERP_i)*AE60*Ramure*Pc/MaxiM</f>
        <v>4.8806049803694785E-3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'2025'!Wh/'2025'!Env_an*'2026'!Env_an</f>
        <v>8.9716204166652318</v>
      </c>
      <c r="C61" s="829"/>
      <c r="D61" s="391">
        <f t="shared" si="0"/>
        <v>9.4278230192376036</v>
      </c>
      <c r="E61" s="383">
        <f t="shared" si="1"/>
        <v>9.9304642110297223</v>
      </c>
      <c r="F61" s="383">
        <f t="shared" si="2"/>
        <v>9.9304642110297223</v>
      </c>
      <c r="G61" s="110">
        <f t="shared" si="21"/>
        <v>0.25247674267903286</v>
      </c>
      <c r="H61" s="412" t="b">
        <f>Wh_hp&gt;='2025'!Maxi_hp</f>
        <v>0</v>
      </c>
      <c r="I61" s="388">
        <f>IF(H61,Wh_hp,'2025'!Maxi_hp)</f>
        <v>33.411514000889703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4.8388965473946999E-2</v>
      </c>
      <c r="M61" s="832"/>
      <c r="N61" s="832"/>
      <c r="O61" s="48">
        <f>IF(t&lt;Tnet,'2025'!Resal+('2025'!Salim-'2025'!Resal)*(1-EXP(('2025'!Tnet-t)/('2025'!Tau_j))),Resal+(Salim-Resal)*(1-EXP((Tnet-t)/(Tau_j))))*Salcycl</f>
        <v>5.0616082099549618E-2</v>
      </c>
      <c r="P61" s="169">
        <f>(INDEX(Models!$BJ61:$BT61,,T61)*(1-R61)+INDEX(Models!$BJ61:$BT61,,T61+1)*R61-ERP_i)*Q61*Ramure*Pc/MaxiM</f>
        <v>4.7444051796718999E-3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35.365853185303614</v>
      </c>
      <c r="W61" s="400">
        <f t="shared" si="10"/>
        <v>8.9716204166652318</v>
      </c>
      <c r="X61" s="157">
        <f t="shared" si="11"/>
        <v>46069</v>
      </c>
      <c r="Y61" s="383">
        <f t="shared" si="12"/>
        <v>8.7446803791813412</v>
      </c>
      <c r="Z61" s="383">
        <f t="shared" si="22"/>
        <v>9.1893431895066282</v>
      </c>
      <c r="AA61" s="384">
        <f t="shared" si="13"/>
        <v>9.9304642110297223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7.4631055081990472E-2</v>
      </c>
      <c r="AD61" s="230">
        <f>(INDEX(Models!$BJ61:$BT61,,AH61)*(1-AF61)+INDEX(Models!$BJ61:$BT61,,AH61+1)*AF61-ERP_i)*AE61*Ramure*Pc/MaxiM</f>
        <v>4.7444051796718999E-3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'2025'!Wh/'2025'!Env_an*'2026'!Env_an</f>
        <v>11.178610780972081</v>
      </c>
      <c r="C62" s="829"/>
      <c r="D62" s="391">
        <f t="shared" si="0"/>
        <v>11.747262920475571</v>
      </c>
      <c r="E62" s="383">
        <f t="shared" si="1"/>
        <v>12.374162479403971</v>
      </c>
      <c r="F62" s="383">
        <f t="shared" si="2"/>
        <v>12.375227129742733</v>
      </c>
      <c r="G62" s="110">
        <f t="shared" si="21"/>
        <v>0.311653046916608</v>
      </c>
      <c r="H62" s="412" t="b">
        <f>Wh_hp&gt;='2025'!Maxi_hp</f>
        <v>0</v>
      </c>
      <c r="I62" s="388">
        <f>IF(H62,Wh_hp,'2025'!Maxi_hp)</f>
        <v>36.826584894030596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4.840720288232625E-2</v>
      </c>
      <c r="M62" s="832"/>
      <c r="N62" s="832"/>
      <c r="O62" s="48">
        <f>IF(t&lt;Tnet,'2025'!Resal+('2025'!Salim-'2025'!Resal)*(1-EXP(('2025'!Tnet-t)/('2025'!Tau_j))),Resal+(Salim-Resal)*(1-EXP((Tnet-t)/(Tau_j))))*Salcycl</f>
        <v>5.0661978939733128E-2</v>
      </c>
      <c r="P62" s="169">
        <f>(INDEX(Models!$BJ62:$BT62,,T62)*(1-R62)+INDEX(Models!$BJ62:$BT62,,T62+1)*R62-ERP_i)*Q62*Ramure*Pc/MaxiM</f>
        <v>4.6080171907980343E-3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35.706555786132988</v>
      </c>
      <c r="W62" s="400">
        <f t="shared" si="10"/>
        <v>11.178610780972081</v>
      </c>
      <c r="X62" s="157">
        <f t="shared" si="11"/>
        <v>46070</v>
      </c>
      <c r="Y62" s="383">
        <f t="shared" si="12"/>
        <v>10.896084197625473</v>
      </c>
      <c r="Z62" s="383">
        <f t="shared" si="22"/>
        <v>11.450364305645397</v>
      </c>
      <c r="AA62" s="384">
        <f t="shared" si="13"/>
        <v>12.374162479403971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7.4655410036532033E-2</v>
      </c>
      <c r="AD62" s="230">
        <f>(INDEX(Models!$BJ62:$BT62,,AH62)*(1-AF62)+INDEX(Models!$BJ62:$BT62,,AH62+1)*AF62-ERP_i)*AE62*Ramure*Pc/MaxiM</f>
        <v>4.6080171907980343E-3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'2025'!Wh/'2025'!Env_an*'2026'!Env_an</f>
        <v>28.861403556823792</v>
      </c>
      <c r="C63" s="829"/>
      <c r="D63" s="391">
        <f t="shared" si="0"/>
        <v>30.330154638686505</v>
      </c>
      <c r="E63" s="383">
        <f t="shared" si="1"/>
        <v>31.950284318946018</v>
      </c>
      <c r="F63" s="383">
        <f t="shared" si="2"/>
        <v>32.052790509418585</v>
      </c>
      <c r="G63" s="110">
        <f t="shared" si="21"/>
        <v>0.79962618856265111</v>
      </c>
      <c r="H63" s="412" t="b">
        <f>Wh_hp&gt;='2025'!Maxi_hp</f>
        <v>0</v>
      </c>
      <c r="I63" s="388">
        <f>IF(H63,Wh_hp,'2025'!Maxi_hp)</f>
        <v>32.083253619797951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4.8425439941189863E-2</v>
      </c>
      <c r="M63" s="832"/>
      <c r="N63" s="832"/>
      <c r="O63" s="48">
        <f>IF(t&lt;Tnet,'2025'!Resal+('2025'!Salim-'2025'!Resal)*(1-EXP(('2025'!Tnet-t)/('2025'!Tau_j))),Resal+(Salim-Resal)*(1-EXP((Tnet-t)/(Tau_j))))*Salcycl</f>
        <v>5.070783295968357E-2</v>
      </c>
      <c r="P63" s="169">
        <f>(INDEX(Models!$BJ63:$BT63,,T63)*(1-R63)+INDEX(Models!$BJ63:$BT63,,T63+1)*R63-ERP_i)*Q63*Ramure*Pc/MaxiM</f>
        <v>4.4714555861913889E-3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36.047510162616845</v>
      </c>
      <c r="W63" s="400">
        <f t="shared" si="10"/>
        <v>28.861403556823792</v>
      </c>
      <c r="X63" s="157">
        <f t="shared" si="11"/>
        <v>46071</v>
      </c>
      <c r="Y63" s="383">
        <f t="shared" si="12"/>
        <v>28.132583802434429</v>
      </c>
      <c r="Z63" s="383">
        <f t="shared" si="22"/>
        <v>29.564245392074952</v>
      </c>
      <c r="AA63" s="384">
        <f t="shared" si="13"/>
        <v>31.950284318946022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7.4679740031489736E-2</v>
      </c>
      <c r="AD63" s="230">
        <f>(INDEX(Models!$BJ63:$BT63,,AH63)*(1-AF63)+INDEX(Models!$BJ63:$BT63,,AH63+1)*AF63-ERP_i)*AE63*Ramure*Pc/MaxiM</f>
        <v>4.4714555861913889E-3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'2025'!Wh/'2025'!Env_an*'2026'!Env_an</f>
        <v>19.584927418250338</v>
      </c>
      <c r="C64" s="829"/>
      <c r="D64" s="391">
        <f t="shared" si="0"/>
        <v>20.581994925231392</v>
      </c>
      <c r="E64" s="383">
        <f t="shared" si="1"/>
        <v>21.682458627981003</v>
      </c>
      <c r="F64" s="383">
        <f t="shared" si="2"/>
        <v>21.714490662981554</v>
      </c>
      <c r="G64" s="110">
        <f t="shared" si="21"/>
        <v>0.53667441062044496</v>
      </c>
      <c r="H64" s="412" t="b">
        <f>Wh_hp&gt;='2025'!Maxi_hp</f>
        <v>0</v>
      </c>
      <c r="I64" s="388">
        <f>IF(H64,Wh_hp,'2025'!Maxi_hp)</f>
        <v>39.436937045771522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4.8443676650544387E-2</v>
      </c>
      <c r="M64" s="832"/>
      <c r="N64" s="832"/>
      <c r="O64" s="48">
        <f>IF(t&lt;Tnet,'2025'!Resal+('2025'!Salim-'2025'!Resal)*(1-EXP(('2025'!Tnet-t)/('2025'!Tau_j))),Resal+(Salim-Resal)*(1-EXP((Tnet-t)/(Tau_j))))*Salcycl</f>
        <v>5.0753640148976147E-2</v>
      </c>
      <c r="P64" s="169">
        <f>(INDEX(Models!$BJ64:$BT64,,T64)*(1-R64)+INDEX(Models!$BJ64:$BT64,,T64+1)*R64-ERP_i)*Q64*Ramure*Pc/MaxiM</f>
        <v>4.3347338119595572E-3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36.38861750544357</v>
      </c>
      <c r="W64" s="400">
        <f t="shared" si="10"/>
        <v>19.584927418250338</v>
      </c>
      <c r="X64" s="157">
        <f t="shared" si="11"/>
        <v>46072</v>
      </c>
      <c r="Y64" s="383">
        <f t="shared" si="12"/>
        <v>19.090780855596801</v>
      </c>
      <c r="Z64" s="383">
        <f t="shared" si="22"/>
        <v>20.062691390035333</v>
      </c>
      <c r="AA64" s="384">
        <f t="shared" si="13"/>
        <v>21.682458627981003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7.4704039137673012E-2</v>
      </c>
      <c r="AD64" s="230">
        <f>(INDEX(Models!$BJ64:$BT64,,AH64)*(1-AF64)+INDEX(Models!$BJ64:$BT64,,AH64+1)*AF64-ERP_i)*AE64*Ramure*Pc/MaxiM</f>
        <v>4.3347338119595572E-3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'2025'!Wh/'2025'!Env_an*'2026'!Env_an</f>
        <v>19.468170932844945</v>
      </c>
      <c r="C65" s="829"/>
      <c r="D65" s="391">
        <f t="shared" si="0"/>
        <v>20.459686479220935</v>
      </c>
      <c r="E65" s="383">
        <f t="shared" si="1"/>
        <v>21.554649686440598</v>
      </c>
      <c r="F65" s="383">
        <f t="shared" si="2"/>
        <v>21.58442527541705</v>
      </c>
      <c r="G65" s="110">
        <f t="shared" si="21"/>
        <v>0.52853833357078739</v>
      </c>
      <c r="H65" s="412" t="b">
        <f>Wh_hp&gt;='2025'!Maxi_hp</f>
        <v>0</v>
      </c>
      <c r="I65" s="388">
        <f>IF(H65,Wh_hp,'2025'!Maxi_hp)</f>
        <v>41.467946828147284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4.8461913010396485E-2</v>
      </c>
      <c r="M65" s="832"/>
      <c r="N65" s="832"/>
      <c r="O65" s="48">
        <f>IF(t&lt;Tnet,'2025'!Resal+('2025'!Salim-'2025'!Resal)*(1-EXP(('2025'!Tnet-t)/('2025'!Tau_j))),Resal+(Salim-Resal)*(1-EXP((Tnet-t)/(Tau_j))))*Salcycl</f>
        <v>5.0799397027940181E-2</v>
      </c>
      <c r="P65" s="169">
        <f>(INDEX(Models!$BJ65:$BT65,,T65)*(1-R65)+INDEX(Models!$BJ65:$BT65,,T65+1)*R65-ERP_i)*Q65*Ramure*Pc/MaxiM</f>
        <v>4.1978360686123223E-3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36.730026837221942</v>
      </c>
      <c r="W65" s="400">
        <f t="shared" si="10"/>
        <v>19.468170932844945</v>
      </c>
      <c r="X65" s="157">
        <f t="shared" si="11"/>
        <v>46073</v>
      </c>
      <c r="Y65" s="383">
        <f t="shared" si="12"/>
        <v>18.977387409253154</v>
      </c>
      <c r="Z65" s="383">
        <f t="shared" si="22"/>
        <v>19.943907310418044</v>
      </c>
      <c r="AA65" s="384">
        <f t="shared" si="13"/>
        <v>21.554649686440598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7.4728302220370788E-2</v>
      </c>
      <c r="AD65" s="230">
        <f>(INDEX(Models!$BJ65:$BT65,,AH65)*(1-AF65)+INDEX(Models!$BJ65:$BT65,,AH65+1)*AF65-ERP_i)*AE65*Ramure*Pc/MaxiM</f>
        <v>4.1978360686123223E-3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'2025'!Wh/'2025'!Env_an*'2026'!Env_an</f>
        <v>21.556358958024443</v>
      </c>
      <c r="C66" s="829"/>
      <c r="D66" s="391">
        <f t="shared" si="0"/>
        <v>22.654660263619235</v>
      </c>
      <c r="E66" s="383">
        <f t="shared" si="1"/>
        <v>23.868243508827582</v>
      </c>
      <c r="F66" s="383">
        <f t="shared" si="2"/>
        <v>23.907270469185807</v>
      </c>
      <c r="G66" s="110">
        <f t="shared" si="21"/>
        <v>0.58005920785704457</v>
      </c>
      <c r="H66" s="412" t="b">
        <f>Wh_hp&gt;='2025'!Maxi_hp</f>
        <v>0</v>
      </c>
      <c r="I66" s="388">
        <f>IF(H66,Wh_hp,'2025'!Maxi_hp)</f>
        <v>23.950887388071926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4.8480149020752927E-2</v>
      </c>
      <c r="M66" s="832"/>
      <c r="N66" s="832"/>
      <c r="O66" s="48">
        <f>IF(t&lt;Tnet,'2025'!Resal+('2025'!Salim-'2025'!Resal)*(1-EXP(('2025'!Tnet-t)/('2025'!Tau_j))),Resal+(Salim-Resal)*(1-EXP((Tnet-t)/(Tau_j))))*Salcycl</f>
        <v>5.0845100719686696E-2</v>
      </c>
      <c r="P66" s="169">
        <f>(INDEX(Models!$BJ66:$BT66,,T66)*(1-R66)+INDEX(Models!$BJ66:$BT66,,T66+1)*R66-ERP_i)*Q66*Ramure*Pc/MaxiM</f>
        <v>4.0597206929054381E-3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37.071991231999952</v>
      </c>
      <c r="W66" s="400">
        <f t="shared" si="10"/>
        <v>21.556358958024443</v>
      </c>
      <c r="X66" s="157">
        <f t="shared" si="11"/>
        <v>46074</v>
      </c>
      <c r="Y66" s="383">
        <f t="shared" si="12"/>
        <v>21.013394874012477</v>
      </c>
      <c r="Z66" s="383">
        <f t="shared" si="22"/>
        <v>22.084032038203674</v>
      </c>
      <c r="AA66" s="384">
        <f t="shared" si="13"/>
        <v>23.868243508827582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7.4752525042909926E-2</v>
      </c>
      <c r="AD66" s="230">
        <f>(INDEX(Models!$BJ66:$BT66,,AH66)*(1-AF66)+INDEX(Models!$BJ66:$BT66,,AH66+1)*AF66-ERP_i)*AE66*Ramure*Pc/MaxiM</f>
        <v>4.0597206929054381E-3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'2025'!Wh/'2025'!Env_an*'2026'!Env_an</f>
        <v>32.944183743903565</v>
      </c>
      <c r="C67" s="829"/>
      <c r="D67" s="391">
        <f t="shared" si="0"/>
        <v>34.623360815714634</v>
      </c>
      <c r="E67" s="383">
        <f t="shared" si="1"/>
        <v>36.479847583302835</v>
      </c>
      <c r="F67" s="383">
        <f t="shared" si="2"/>
        <v>36.598876925484163</v>
      </c>
      <c r="G67" s="110">
        <f t="shared" si="21"/>
        <v>0.879928652324239</v>
      </c>
      <c r="H67" s="412" t="b">
        <f>Wh_hp&gt;='2025'!Maxi_hp</f>
        <v>0</v>
      </c>
      <c r="I67" s="388">
        <f>IF(H67,Wh_hp,'2025'!Maxi_hp)</f>
        <v>39.949310572645629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4.8498384681620377E-2</v>
      </c>
      <c r="M67" s="832"/>
      <c r="N67" s="832"/>
      <c r="O67" s="48">
        <f>IF(t&lt;Tnet,'2025'!Resal+('2025'!Salim-'2025'!Resal)*(1-EXP(('2025'!Tnet-t)/('2025'!Tau_j))),Resal+(Salim-Resal)*(1-EXP((Tnet-t)/(Tau_j))))*Salcycl</f>
        <v>5.0890749018313634E-2</v>
      </c>
      <c r="P67" s="169">
        <f>(INDEX(Models!$BJ67:$BT67,,T67)*(1-R67)+INDEX(Models!$BJ67:$BT67,,T67+1)*R67-ERP_i)*Q67*Ramure*Pc/MaxiM</f>
        <v>3.9216348472115433E-3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37.414465306522374</v>
      </c>
      <c r="W67" s="400">
        <f t="shared" si="10"/>
        <v>32.944183743903565</v>
      </c>
      <c r="X67" s="157">
        <f t="shared" si="11"/>
        <v>46075</v>
      </c>
      <c r="Y67" s="383">
        <f t="shared" si="12"/>
        <v>32.115087092489276</v>
      </c>
      <c r="Z67" s="383">
        <f t="shared" si="22"/>
        <v>33.752004805313256</v>
      </c>
      <c r="AA67" s="384">
        <f t="shared" si="13"/>
        <v>36.479847583302835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7.477670436425124E-2</v>
      </c>
      <c r="AD67" s="230">
        <f>(INDEX(Models!$BJ67:$BT67,,AH67)*(1-AF67)+INDEX(Models!$BJ67:$BT67,,AH67+1)*AF67-ERP_i)*AE67*Ramure*Pc/MaxiM</f>
        <v>3.9216348472115433E-3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'2025'!Wh/'2025'!Env_an*'2026'!Env_an</f>
        <v>34.62120848217436</v>
      </c>
      <c r="C68" s="829"/>
      <c r="D68" s="391">
        <f t="shared" si="0"/>
        <v>36.386561457247794</v>
      </c>
      <c r="E68" s="383">
        <f t="shared" si="1"/>
        <v>38.33943180861327</v>
      </c>
      <c r="F68" s="383">
        <f t="shared" si="2"/>
        <v>38.467706009955073</v>
      </c>
      <c r="G68" s="110">
        <f t="shared" si="21"/>
        <v>0.91652409814381097</v>
      </c>
      <c r="H68" s="412" t="b">
        <f>Wh_hp&gt;='2025'!Maxi_hp</f>
        <v>0</v>
      </c>
      <c r="I68" s="388">
        <f>IF(H68,Wh_hp,'2025'!Maxi_hp)</f>
        <v>41.571938803017574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4.8516619993005494E-2</v>
      </c>
      <c r="M68" s="832"/>
      <c r="N68" s="832"/>
      <c r="O68" s="48">
        <f>IF(t&lt;Tnet,'2025'!Resal+('2025'!Salim-'2025'!Resal)*(1-EXP(('2025'!Tnet-t)/('2025'!Tau_j))),Resal+(Salim-Resal)*(1-EXP((Tnet-t)/(Tau_j))))*Salcycl</f>
        <v>5.0936340452670661E-2</v>
      </c>
      <c r="P68" s="169">
        <f>(INDEX(Models!$BJ68:$BT68,,T68)*(1-R68)+INDEX(Models!$BJ68:$BT68,,T68+1)*R68-ERP_i)*Q68*Ramure*Pc/MaxiM</f>
        <v>3.7835558740238234E-3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37.757450090366852</v>
      </c>
      <c r="W68" s="400">
        <f t="shared" si="10"/>
        <v>34.62120848217436</v>
      </c>
      <c r="X68" s="157">
        <f t="shared" si="11"/>
        <v>46076</v>
      </c>
      <c r="Y68" s="383">
        <f t="shared" si="12"/>
        <v>33.750647548114159</v>
      </c>
      <c r="Z68" s="383">
        <f t="shared" si="22"/>
        <v>35.471610179744864</v>
      </c>
      <c r="AA68" s="384">
        <f t="shared" si="13"/>
        <v>38.33943180861327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7.4800838029741551E-2</v>
      </c>
      <c r="AD68" s="230">
        <f>(INDEX(Models!$BJ68:$BT68,,AH68)*(1-AF68)+INDEX(Models!$BJ68:$BT68,,AH68+1)*AF68-ERP_i)*AE68*Ramure*Pc/MaxiM</f>
        <v>3.7835558740238234E-3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'2025'!Wh/'2025'!Env_an*'2026'!Env_an</f>
        <v>21.553012638795472</v>
      </c>
      <c r="C69" s="829"/>
      <c r="D69" s="391">
        <f t="shared" si="0"/>
        <v>22.652445810586354</v>
      </c>
      <c r="E69" s="383">
        <f t="shared" si="1"/>
        <v>23.869350013683764</v>
      </c>
      <c r="F69" s="383">
        <f t="shared" si="2"/>
        <v>23.902422043030015</v>
      </c>
      <c r="G69" s="110">
        <f t="shared" si="21"/>
        <v>0.56440056376013237</v>
      </c>
      <c r="H69" s="412" t="b">
        <f>Wh_hp&gt;='2025'!Maxi_hp</f>
        <v>0</v>
      </c>
      <c r="I69" s="388">
        <f>IF(H69,Wh_hp,'2025'!Maxi_hp)</f>
        <v>41.52507944394246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4.8534854954915052E-2</v>
      </c>
      <c r="M69" s="832"/>
      <c r="N69" s="832"/>
      <c r="O69" s="48">
        <f>IF(t&lt;Tnet,'2025'!Resal+('2025'!Salim-'2025'!Resal)*(1-EXP(('2025'!Tnet-t)/('2025'!Tau_j))),Resal+(Salim-Resal)*(1-EXP((Tnet-t)/(Tau_j))))*Salcycl</f>
        <v>5.0981874345124044E-2</v>
      </c>
      <c r="P69" s="169">
        <f>(INDEX(Models!$BJ69:$BT69,,T69)*(1-R69)+INDEX(Models!$BJ69:$BT69,,T69+1)*R69-ERP_i)*Q69*Ramure*Pc/MaxiM</f>
        <v>3.6454833907040049E-3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38.10094576214243</v>
      </c>
      <c r="W69" s="400">
        <f t="shared" si="10"/>
        <v>21.553012638795472</v>
      </c>
      <c r="X69" s="157">
        <f t="shared" si="11"/>
        <v>46077</v>
      </c>
      <c r="Y69" s="383">
        <f t="shared" si="12"/>
        <v>21.011516581566664</v>
      </c>
      <c r="Z69" s="383">
        <f t="shared" si="22"/>
        <v>22.083327687816706</v>
      </c>
      <c r="AA69" s="384">
        <f t="shared" si="13"/>
        <v>23.869350013683764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7.4824925054229441E-2</v>
      </c>
      <c r="AD69" s="230">
        <f>(INDEX(Models!$BJ69:$BT69,,AH69)*(1-AF69)+INDEX(Models!$BJ69:$BT69,,AH69+1)*AF69-ERP_i)*AE69*Ramure*Pc/MaxiM</f>
        <v>3.6454833907040049E-3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'2025'!Wh/'2025'!Env_an*'2026'!Env_an</f>
        <v>30.867054832951091</v>
      </c>
      <c r="C70" s="829"/>
      <c r="D70" s="391">
        <f t="shared" si="0"/>
        <v>32.442225093689309</v>
      </c>
      <c r="E70" s="383">
        <f t="shared" si="1"/>
        <v>34.186680852451154</v>
      </c>
      <c r="F70" s="383">
        <f t="shared" si="2"/>
        <v>34.273041298982051</v>
      </c>
      <c r="G70" s="110">
        <f t="shared" si="21"/>
        <v>0.802094691937836</v>
      </c>
      <c r="H70" s="412" t="b">
        <f>Wh_hp&gt;='2025'!Maxi_hp</f>
        <v>0</v>
      </c>
      <c r="I70" s="388">
        <f>IF(H70,Wh_hp,'2025'!Maxi_hp)</f>
        <v>36.519009293012743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4.8553089567355823E-2</v>
      </c>
      <c r="M70" s="832"/>
      <c r="N70" s="832"/>
      <c r="O70" s="48">
        <f>IF(t&lt;Tnet,'2025'!Resal+('2025'!Salim-'2025'!Resal)*(1-EXP(('2025'!Tnet-t)/('2025'!Tau_j))),Resal+(Salim-Resal)*(1-EXP((Tnet-t)/(Tau_j))))*Salcycl</f>
        <v>5.1027350864825682E-2</v>
      </c>
      <c r="P70" s="169">
        <f>(INDEX(Models!$BJ70:$BT70,,T70)*(1-R70)+INDEX(Models!$BJ70:$BT70,,T70+1)*R70-ERP_i)*Q70*Ramure*Pc/MaxiM</f>
        <v>3.5074183318575887E-3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38.444952417345803</v>
      </c>
      <c r="W70" s="400">
        <f t="shared" si="10"/>
        <v>30.867054832951091</v>
      </c>
      <c r="X70" s="157">
        <f t="shared" si="11"/>
        <v>46078</v>
      </c>
      <c r="Y70" s="383">
        <f t="shared" si="12"/>
        <v>30.092213648750874</v>
      </c>
      <c r="Z70" s="383">
        <f t="shared" si="22"/>
        <v>31.627843150036899</v>
      </c>
      <c r="AA70" s="384">
        <f t="shared" si="13"/>
        <v>34.186680852451154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7.4848965696849415E-2</v>
      </c>
      <c r="AD70" s="230">
        <f>(INDEX(Models!$BJ70:$BT70,,AH70)*(1-AF70)+INDEX(Models!$BJ70:$BT70,,AH70+1)*AF70-ERP_i)*AE70*Ramure*Pc/MaxiM</f>
        <v>3.5074183318575887E-3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'2025'!Wh/'2025'!Env_an*'2026'!Env_an</f>
        <v>39.124208667251253</v>
      </c>
      <c r="C71" s="829"/>
      <c r="D71" s="391">
        <f t="shared" si="0"/>
        <v>41.121536114257651</v>
      </c>
      <c r="E71" s="383">
        <f t="shared" si="1"/>
        <v>43.334762520035362</v>
      </c>
      <c r="F71" s="383">
        <f t="shared" si="2"/>
        <v>43.481266681339839</v>
      </c>
      <c r="G71" s="110">
        <f t="shared" si="21"/>
        <v>1.0086296254599769</v>
      </c>
      <c r="H71" s="412" t="b">
        <f>Wh_hp&gt;='2025'!Maxi_hp</f>
        <v>1</v>
      </c>
      <c r="I71" s="388">
        <f>IF(H71,Wh_hp,'2025'!Maxi_hp)</f>
        <v>43.481266681339839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4.8571323830334356E-2</v>
      </c>
      <c r="M71" s="832"/>
      <c r="N71" s="832"/>
      <c r="O71" s="48">
        <f>IF(t&lt;Tnet,'2025'!Resal+('2025'!Salim-'2025'!Resal)*(1-EXP(('2025'!Tnet-t)/('2025'!Tau_j))),Resal+(Salim-Resal)*(1-EXP((Tnet-t)/(Tau_j))))*Salcycl</f>
        <v>5.1072771075056693E-2</v>
      </c>
      <c r="P71" s="169">
        <f>(INDEX(Models!$BJ71:$BT71,,T71)*(1-R71)+INDEX(Models!$BJ71:$BT71,,T71+1)*R71-ERP_i)*Q71*Ramure*Pc/MaxiM</f>
        <v>3.3693627735861104E-3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38.789470068766811</v>
      </c>
      <c r="W71" s="400">
        <f t="shared" si="10"/>
        <v>39.124208667251253</v>
      </c>
      <c r="X71" s="157">
        <f t="shared" si="11"/>
        <v>46079</v>
      </c>
      <c r="Y71" s="383">
        <f t="shared" si="12"/>
        <v>38.142928344404609</v>
      </c>
      <c r="Z71" s="383">
        <f t="shared" si="22"/>
        <v>40.090160513096293</v>
      </c>
      <c r="AA71" s="384">
        <f t="shared" si="13"/>
        <v>43.334762520035362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7.4872961526879458E-2</v>
      </c>
      <c r="AD71" s="230">
        <f>(INDEX(Models!$BJ71:$BT71,,AH71)*(1-AF71)+INDEX(Models!$BJ71:$BT71,,AH71+1)*AF71-ERP_i)*AE71*Ramure*Pc/MaxiM</f>
        <v>3.3693627735861104E-3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'2025'!Wh/'2025'!Env_an*'2026'!Env_an</f>
        <v>27.969126094424023</v>
      </c>
      <c r="C72" s="829"/>
      <c r="D72" s="391">
        <f t="shared" si="0"/>
        <v>29.39753953940108</v>
      </c>
      <c r="E72" s="383">
        <f t="shared" si="1"/>
        <v>30.981242960699774</v>
      </c>
      <c r="F72" s="383">
        <f t="shared" si="2"/>
        <v>31.040697460796586</v>
      </c>
      <c r="G72" s="110">
        <f t="shared" si="21"/>
        <v>0.71375002960154743</v>
      </c>
      <c r="H72" s="412" t="b">
        <f>Wh_hp&gt;='2025'!Maxi_hp</f>
        <v>0</v>
      </c>
      <c r="I72" s="388">
        <f>IF(H72,Wh_hp,'2025'!Maxi_hp)</f>
        <v>42.979805880549684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4.8589557743857315E-2</v>
      </c>
      <c r="M72" s="832"/>
      <c r="N72" s="832"/>
      <c r="O72" s="48">
        <f>IF(t&lt;Tnet,'2025'!Resal+('2025'!Salim-'2025'!Resal)*(1-EXP(('2025'!Tnet-t)/('2025'!Tau_j))),Resal+(Salim-Resal)*(1-EXP((Tnet-t)/(Tau_j))))*Salcycl</f>
        <v>5.111813697428625E-2</v>
      </c>
      <c r="P72" s="169">
        <f>(INDEX(Models!$BJ72:$BT72,,T72)*(1-R72)+INDEX(Models!$BJ72:$BT72,,T72+1)*R72-ERP_i)*Q72*Ramure*Pc/MaxiM</f>
        <v>3.2331356959468208E-3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39.134427352521421</v>
      </c>
      <c r="W72" s="400">
        <f t="shared" si="10"/>
        <v>27.969126094424023</v>
      </c>
      <c r="X72" s="157">
        <f t="shared" si="11"/>
        <v>46080</v>
      </c>
      <c r="Y72" s="383">
        <f t="shared" si="12"/>
        <v>27.268225718604789</v>
      </c>
      <c r="Z72" s="383">
        <f t="shared" si="22"/>
        <v>28.660843425201257</v>
      </c>
      <c r="AA72" s="384">
        <f t="shared" si="13"/>
        <v>30.981242960699774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7.4896915480182055E-2</v>
      </c>
      <c r="AD72" s="230">
        <f>(INDEX(Models!$BJ72:$BT72,,AH72)*(1-AF72)+INDEX(Models!$BJ72:$BT72,,AH72+1)*AF72-ERP_i)*AE72*Ramure*Pc/MaxiM</f>
        <v>3.2331356959468208E-3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'2025'!Wh/'2025'!Env_an*'2026'!Env_an</f>
        <v>33.768785690081941</v>
      </c>
      <c r="C73" s="829"/>
      <c r="D73" s="391">
        <f t="shared" si="0"/>
        <v>35.494074243582212</v>
      </c>
      <c r="E73" s="383">
        <f t="shared" si="1"/>
        <v>37.407996457178058</v>
      </c>
      <c r="F73" s="383">
        <f t="shared" si="2"/>
        <v>37.50022373443624</v>
      </c>
      <c r="G73" s="110">
        <f t="shared" si="21"/>
        <v>0.85479467895605143</v>
      </c>
      <c r="H73" s="412" t="b">
        <f>Wh_hp&gt;='2025'!Maxi_hp</f>
        <v>0</v>
      </c>
      <c r="I73" s="388">
        <f>IF(H73,Wh_hp,'2025'!Maxi_hp)</f>
        <v>37.518611340462861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4.860779130793158E-2</v>
      </c>
      <c r="M73" s="832"/>
      <c r="N73" s="832"/>
      <c r="O73" s="48">
        <f>IF(t&lt;Tnet,'2025'!Resal+('2025'!Salim-'2025'!Resal)*(1-EXP(('2025'!Tnet-t)/('2025'!Tau_j))),Resal+(Salim-Resal)*(1-EXP((Tnet-t)/(Tau_j))))*Salcycl</f>
        <v>5.1163451530657773E-2</v>
      </c>
      <c r="P73" s="169">
        <f>(INDEX(Models!$BJ73:$BT73,,T73)*(1-R73)+INDEX(Models!$BJ73:$BT73,,T73+1)*R73-ERP_i)*Q73*Ramure*Pc/MaxiM</f>
        <v>3.0999986202981129E-3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39.47977245592503</v>
      </c>
      <c r="W73" s="400">
        <f t="shared" si="10"/>
        <v>33.768785690081941</v>
      </c>
      <c r="X73" s="157">
        <f t="shared" si="11"/>
        <v>46081</v>
      </c>
      <c r="Y73" s="383">
        <f t="shared" si="12"/>
        <v>32.923268211079169</v>
      </c>
      <c r="Z73" s="383">
        <f t="shared" si="22"/>
        <v>34.605358242675344</v>
      </c>
      <c r="AA73" s="384">
        <f t="shared" si="13"/>
        <v>37.407996457178058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7.4920831905845892E-2</v>
      </c>
      <c r="AD73" s="230">
        <f>(INDEX(Models!$BJ73:$BT73,,AH73)*(1-AF73)+INDEX(Models!$BJ73:$BT73,,AH73+1)*AF73-ERP_i)*AE73*Ramure*Pc/MaxiM</f>
        <v>3.0999986202981129E-3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'2025'!Wh/'2025'!Env_an*'2026'!Env_an</f>
        <v>39.183237493148013</v>
      </c>
      <c r="C74" s="829"/>
      <c r="D74" s="391">
        <f t="shared" si="0"/>
        <v>41.185946329343672</v>
      </c>
      <c r="E74" s="383">
        <f t="shared" si="1"/>
        <v>43.40885834588687</v>
      </c>
      <c r="F74" s="383">
        <f t="shared" si="2"/>
        <v>43.535173812459782</v>
      </c>
      <c r="G74" s="110">
        <f t="shared" si="21"/>
        <v>0.9838054444310752</v>
      </c>
      <c r="H74" s="412" t="b">
        <f>Wh_hp&gt;='2025'!Maxi_hp</f>
        <v>0</v>
      </c>
      <c r="I74" s="388">
        <f>IF(H74,Wh_hp,'2025'!Maxi_hp)</f>
        <v>43.537458266027507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4.8626024522563704E-2</v>
      </c>
      <c r="M74" s="832"/>
      <c r="N74" s="832"/>
      <c r="O74" s="48">
        <f>IF(t&lt;Tnet,'2025'!Resal+('2025'!Salim-'2025'!Resal)*(1-EXP(('2025'!Tnet-t)/('2025'!Tau_j))),Resal+(Salim-Resal)*(1-EXP((Tnet-t)/(Tau_j))))*Salcycl</f>
        <v>5.120871870968767E-2</v>
      </c>
      <c r="P74" s="169">
        <f>(INDEX(Models!$BJ74:$BT74,,T74)*(1-R74)+INDEX(Models!$BJ74:$BT74,,T74+1)*R74-ERP_i)*Q74*Ramure*Pc/MaxiM</f>
        <v>2.9698796897265267E-3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39.825505052445692</v>
      </c>
      <c r="W74" s="400">
        <f t="shared" si="10"/>
        <v>39.183237493148013</v>
      </c>
      <c r="X74" s="157">
        <f t="shared" si="11"/>
        <v>46082</v>
      </c>
      <c r="Y74" s="383">
        <f t="shared" si="12"/>
        <v>38.202986872256957</v>
      </c>
      <c r="Z74" s="383">
        <f t="shared" si="22"/>
        <v>40.155593759105315</v>
      </c>
      <c r="AA74" s="384">
        <f t="shared" si="13"/>
        <v>43.40885834588687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7.4944716602753231E-2</v>
      </c>
      <c r="AD74" s="230">
        <f>(INDEX(Models!$BJ74:$BT74,,AH74)*(1-AF74)+INDEX(Models!$BJ74:$BT74,,AH74+1)*AF74-ERP_i)*AE74*Ramure*Pc/MaxiM</f>
        <v>2.9698796897265267E-3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'2025'!Wh/'2025'!Env_an*'2026'!Env_an</f>
        <v>11.418129517395851</v>
      </c>
      <c r="C75" s="829"/>
      <c r="D75" s="391">
        <f t="shared" si="0"/>
        <v>12.001955741649141</v>
      </c>
      <c r="E75" s="383">
        <f t="shared" si="1"/>
        <v>12.650335312973535</v>
      </c>
      <c r="F75" s="383">
        <f t="shared" si="2"/>
        <v>12.650335312973535</v>
      </c>
      <c r="G75" s="110">
        <f t="shared" si="21"/>
        <v>0.28342570559603153</v>
      </c>
      <c r="H75" s="412" t="b">
        <f>Wh_hp&gt;='2025'!Maxi_hp</f>
        <v>0</v>
      </c>
      <c r="I75" s="388">
        <f>IF(H75,Wh_hp,'2025'!Maxi_hp)</f>
        <v>30.966593074683484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4.8644257387760459E-2</v>
      </c>
      <c r="M75" s="832"/>
      <c r="N75" s="832"/>
      <c r="O75" s="48">
        <f>IF(t&lt;Tnet,'2025'!Resal+('2025'!Salim-'2025'!Resal)*(1-EXP(('2025'!Tnet-t)/('2025'!Tau_j))),Resal+(Salim-Resal)*(1-EXP((Tnet-t)/(Tau_j))))*Salcycl</f>
        <v>5.1253943495035176E-2</v>
      </c>
      <c r="P75" s="169">
        <f>(INDEX(Models!$BJ75:$BT75,,T75)*(1-R75)+INDEX(Models!$BJ75:$BT75,,T75+1)*R75-ERP_i)*Q75*Ramure*Pc/MaxiM</f>
        <v>2.8427097664515339E-3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40.171624747863234</v>
      </c>
      <c r="W75" s="400">
        <f t="shared" si="10"/>
        <v>11.418129517395851</v>
      </c>
      <c r="X75" s="157">
        <f t="shared" si="11"/>
        <v>46083</v>
      </c>
      <c r="Y75" s="383">
        <f t="shared" si="12"/>
        <v>11.13272463671017</v>
      </c>
      <c r="Z75" s="383">
        <f t="shared" si="22"/>
        <v>11.701957677936388</v>
      </c>
      <c r="AA75" s="384">
        <f t="shared" si="13"/>
        <v>12.650335312973535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7.4968576845906909E-2</v>
      </c>
      <c r="AD75" s="230">
        <f>(INDEX(Models!$BJ75:$BT75,,AH75)*(1-AF75)+INDEX(Models!$BJ75:$BT75,,AH75+1)*AF75-ERP_i)*AE75*Ramure*Pc/MaxiM</f>
        <v>2.8427097664515339E-3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'2025'!Wh/'2025'!Env_an*'2026'!Env_an</f>
        <v>35.038589196919538</v>
      </c>
      <c r="C76" s="829"/>
      <c r="D76" s="391">
        <f t="shared" si="0"/>
        <v>36.83087108944796</v>
      </c>
      <c r="E76" s="383">
        <f t="shared" si="1"/>
        <v>38.822427941168499</v>
      </c>
      <c r="F76" s="383">
        <f t="shared" si="2"/>
        <v>38.907761823968045</v>
      </c>
      <c r="G76" s="110">
        <f t="shared" si="21"/>
        <v>0.86430805198780025</v>
      </c>
      <c r="H76" s="412" t="b">
        <f>Wh_hp&gt;='2025'!Maxi_hp</f>
        <v>0</v>
      </c>
      <c r="I76" s="388">
        <f>IF(H76,Wh_hp,'2025'!Maxi_hp)</f>
        <v>38.923472241989082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4.8662489903528505E-2</v>
      </c>
      <c r="M76" s="832"/>
      <c r="N76" s="832"/>
      <c r="O76" s="48">
        <f>IF(t&lt;Tnet,'2025'!Resal+('2025'!Salim-'2025'!Resal)*(1-EXP(('2025'!Tnet-t)/('2025'!Tau_j))),Resal+(Salim-Resal)*(1-EXP((Tnet-t)/(Tau_j))))*Salcycl</f>
        <v>5.1299131902274253E-2</v>
      </c>
      <c r="P76" s="169">
        <f>(INDEX(Models!$BJ76:$BT76,,T76)*(1-R76)+INDEX(Models!$BJ76:$BT76,,T76+1)*R76-ERP_i)*Q76*Ramure*Pc/MaxiM</f>
        <v>2.718422139578831E-3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40.51813108506245</v>
      </c>
      <c r="W76" s="400">
        <f t="shared" si="10"/>
        <v>35.038589196919538</v>
      </c>
      <c r="X76" s="157">
        <f t="shared" si="11"/>
        <v>46084</v>
      </c>
      <c r="Y76" s="383">
        <f t="shared" si="12"/>
        <v>34.163519440542892</v>
      </c>
      <c r="Z76" s="383">
        <f t="shared" si="22"/>
        <v>35.911040065137868</v>
      </c>
      <c r="AA76" s="384">
        <f t="shared" si="13"/>
        <v>38.822427941168499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7.4992421402456946E-2</v>
      </c>
      <c r="AD76" s="230">
        <f>(INDEX(Models!$BJ76:$BT76,,AH76)*(1-AF76)+INDEX(Models!$BJ76:$BT76,,AH76+1)*AF76-ERP_i)*AE76*Ramure*Pc/MaxiM</f>
        <v>2.718422139578831E-3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'2025'!Wh/'2025'!Env_an*'2026'!Env_an</f>
        <v>3.7655097377478541</v>
      </c>
      <c r="C77" s="829"/>
      <c r="D77" s="391">
        <f t="shared" si="0"/>
        <v>3.9581976578261155</v>
      </c>
      <c r="E77" s="383">
        <f t="shared" si="1"/>
        <v>4.1724280159961866</v>
      </c>
      <c r="F77" s="383">
        <f t="shared" si="2"/>
        <v>4.1724280159961866</v>
      </c>
      <c r="G77" s="110">
        <f t="shared" si="21"/>
        <v>9.1905756133691507E-2</v>
      </c>
      <c r="H77" s="412" t="b">
        <f>Wh_hp&gt;='2025'!Maxi_hp</f>
        <v>0</v>
      </c>
      <c r="I77" s="388">
        <f>IF(H77,Wh_hp,'2025'!Maxi_hp)</f>
        <v>32.038386239307918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4.8680722069874505E-2</v>
      </c>
      <c r="M77" s="832"/>
      <c r="N77" s="832"/>
      <c r="O77" s="48">
        <f>IF(t&lt;Tnet,'2025'!Resal+('2025'!Salim-'2025'!Resal)*(1-EXP(('2025'!Tnet-t)/('2025'!Tau_j))),Resal+(Salim-Resal)*(1-EXP((Tnet-t)/(Tau_j))))*Salcycl</f>
        <v>5.1344290985670275E-2</v>
      </c>
      <c r="P77" s="169">
        <f>(INDEX(Models!$BJ77:$BT77,,T77)*(1-R77)+INDEX(Models!$BJ77:$BT77,,T77+1)*R77-ERP_i)*Q77*Ramure*Pc/MaxiM</f>
        <v>2.5969522420069605E-3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40.865023550089774</v>
      </c>
      <c r="W77" s="400">
        <f t="shared" si="10"/>
        <v>3.7655097377478541</v>
      </c>
      <c r="X77" s="157">
        <f t="shared" si="11"/>
        <v>46085</v>
      </c>
      <c r="Y77" s="383">
        <f t="shared" si="12"/>
        <v>3.6715483237048265</v>
      </c>
      <c r="Z77" s="383">
        <f t="shared" si="22"/>
        <v>3.8594280688743723</v>
      </c>
      <c r="AA77" s="384">
        <f t="shared" si="13"/>
        <v>4.1724280159961866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7.5016260537471277E-2</v>
      </c>
      <c r="AD77" s="230">
        <f>(INDEX(Models!$BJ77:$BT77,,AH77)*(1-AF77)+INDEX(Models!$BJ77:$BT77,,AH77+1)*AF77-ERP_i)*AE77*Ramure*Pc/MaxiM</f>
        <v>2.5969522420069605E-3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'2025'!Wh/'2025'!Env_an*'2026'!Env_an</f>
        <v>12.966877352053025</v>
      </c>
      <c r="C78" s="829"/>
      <c r="D78" s="391">
        <f t="shared" si="0"/>
        <v>13.63067706593282</v>
      </c>
      <c r="E78" s="383">
        <f t="shared" si="1"/>
        <v>14.369096740337188</v>
      </c>
      <c r="F78" s="383">
        <f t="shared" si="2"/>
        <v>14.369841338315267</v>
      </c>
      <c r="G78" s="110">
        <f t="shared" si="21"/>
        <v>0.31387260908872833</v>
      </c>
      <c r="H78" s="412" t="b">
        <f>Wh_hp&gt;='2025'!Maxi_hp</f>
        <v>0</v>
      </c>
      <c r="I78" s="388">
        <f>IF(H78,Wh_hp,'2025'!Maxi_hp)</f>
        <v>38.035034481034316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4.869895388680523E-2</v>
      </c>
      <c r="M78" s="832"/>
      <c r="N78" s="832"/>
      <c r="O78" s="48">
        <f>IF(t&lt;Tnet,'2025'!Resal+('2025'!Salim-'2025'!Resal)*(1-EXP(('2025'!Tnet-t)/('2025'!Tau_j))),Resal+(Salim-Resal)*(1-EXP((Tnet-t)/(Tau_j))))*Salcycl</f>
        <v>5.1389428838032845E-2</v>
      </c>
      <c r="P78" s="169">
        <f>(INDEX(Models!$BJ78:$BT78,,T78)*(1-R78)+INDEX(Models!$BJ78:$BT78,,T78+1)*R78-ERP_i)*Q78*Ramure*Pc/MaxiM</f>
        <v>2.47823737816452E-3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41.212301576968855</v>
      </c>
      <c r="W78" s="400">
        <f t="shared" si="10"/>
        <v>12.966877352053025</v>
      </c>
      <c r="X78" s="157">
        <f t="shared" si="11"/>
        <v>46086</v>
      </c>
      <c r="Y78" s="383">
        <f t="shared" si="12"/>
        <v>12.643588281174329</v>
      </c>
      <c r="Z78" s="383">
        <f t="shared" si="22"/>
        <v>13.290838197680145</v>
      </c>
      <c r="AA78" s="384">
        <f t="shared" si="13"/>
        <v>14.369096740337188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7.5040106009595958E-2</v>
      </c>
      <c r="AD78" s="230">
        <f>(INDEX(Models!$BJ78:$BT78,,AH78)*(1-AF78)+INDEX(Models!$BJ78:$BT78,,AH78+1)*AF78-ERP_i)*AE78*Ramure*Pc/MaxiM</f>
        <v>2.47823737816452E-3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'2025'!Wh/'2025'!Env_an*'2026'!Env_an</f>
        <v>15.634534594805267</v>
      </c>
      <c r="C79" s="829"/>
      <c r="D79" s="391">
        <f t="shared" ref="D79:D142" si="25">Wh/(1-Ppv)</f>
        <v>16.435211857189611</v>
      </c>
      <c r="E79" s="383">
        <f t="shared" si="1"/>
        <v>17.326386847222835</v>
      </c>
      <c r="F79" s="383">
        <f t="shared" ref="F79:F142" si="26">Wh_sa/(1-Pvg*MEDIAN((-Sdif+Wh/Env_an)/Csdif,0,1))</f>
        <v>17.330842232819712</v>
      </c>
      <c r="G79" s="110">
        <f t="shared" si="21"/>
        <v>0.37539039296381349</v>
      </c>
      <c r="H79" s="412" t="b">
        <f>Wh_hp&gt;='2025'!Maxi_hp</f>
        <v>0</v>
      </c>
      <c r="I79" s="388">
        <f>IF(H79,Wh_hp,'2025'!Maxi_hp)</f>
        <v>17.358899888574093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4.8717185354327341E-2</v>
      </c>
      <c r="M79" s="832"/>
      <c r="N79" s="832"/>
      <c r="O79" s="48">
        <f>IF(t&lt;Tnet,'2025'!Resal+('2025'!Salim-'2025'!Resal)*(1-EXP(('2025'!Tnet-t)/('2025'!Tau_j))),Resal+(Salim-Resal)*(1-EXP((Tnet-t)/(Tau_j))))*Salcycl</f>
        <v>5.1434554583783057E-2</v>
      </c>
      <c r="P79" s="169">
        <f>(INDEX(Models!$BJ79:$BT79,,T79)*(1-R79)+INDEX(Models!$BJ79:$BT79,,T79+1)*R79-ERP_i)*Q79*Ramure*Pc/MaxiM</f>
        <v>2.362155619857839E-3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41.561037580789538</v>
      </c>
      <c r="W79" s="400">
        <f t="shared" ref="W79:W142" si="34">Wh*(A79&gt;Tmaj)</f>
        <v>15.634534594805267</v>
      </c>
      <c r="X79" s="157">
        <f t="shared" ref="X79:X142" si="35">t</f>
        <v>46087</v>
      </c>
      <c r="Y79" s="383">
        <f t="shared" ref="Y79:Y142" si="36">Wh_pvt_s*(1-Ppv)</f>
        <v>15.245067604321489</v>
      </c>
      <c r="Z79" s="383">
        <f t="shared" ref="Z79:Z142" si="37">Wh_sa_s*(1-Psa_s)</f>
        <v>16.025799446403191</v>
      </c>
      <c r="AA79" s="384">
        <f t="shared" ref="AA79:AA142" si="38">Wh_hp*(1-Pvg_s*MEDIAN((-Sdif+Wh/Env_an)/Csdif,0,1))</f>
        <v>17.326386847222835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7.5063971056845508E-2</v>
      </c>
      <c r="AD79" s="230">
        <f>(INDEX(Models!$BJ79:$BT79,,AH79)*(1-AF79)+INDEX(Models!$BJ79:$BT79,,AH79+1)*AF79-ERP_i)*AE79*Ramure*Pc/MaxiM</f>
        <v>2.362155619857839E-3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'2025'!Wh/'2025'!Env_an*'2026'!Env_an</f>
        <v>38.516395558852771</v>
      </c>
      <c r="C80" s="829"/>
      <c r="D80" s="391">
        <f t="shared" si="25"/>
        <v>40.489676821587658</v>
      </c>
      <c r="E80" s="383">
        <f t="shared" ref="E80:E143" si="47">Wh_pvt/(1-Psa)</f>
        <v>42.687200155936218</v>
      </c>
      <c r="F80" s="383">
        <f t="shared" si="26"/>
        <v>42.77235308530711</v>
      </c>
      <c r="G80" s="110">
        <f t="shared" ref="G80:G143" si="48">+Wh_hp/MaxiM</f>
        <v>0.91874573960599426</v>
      </c>
      <c r="H80" s="412" t="b">
        <f>Wh_hp&gt;='2025'!Maxi_hp</f>
        <v>0</v>
      </c>
      <c r="I80" s="388">
        <f>IF(H80,Wh_hp,'2025'!Maxi_hp)</f>
        <v>42.780921418940942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4.8735416472447612E-2</v>
      </c>
      <c r="M80" s="832"/>
      <c r="N80" s="832"/>
      <c r="O80" s="48">
        <f>IF(t&lt;Tnet,'2025'!Resal+('2025'!Salim-'2025'!Resal)*(1-EXP(('2025'!Tnet-t)/('2025'!Tau_j))),Resal+(Salim-Resal)*(1-EXP((Tnet-t)/(Tau_j))))*Salcycl</f>
        <v>5.1479678365435273E-2</v>
      </c>
      <c r="P80" s="169">
        <f>(INDEX(Models!$BJ80:$BT80,,T80)*(1-R80)+INDEX(Models!$BJ80:$BT80,,T80+1)*R80-ERP_i)*Q80*Ramure*Pc/MaxiM</f>
        <v>2.251406378438158E-3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41.91185636820407</v>
      </c>
      <c r="W80" s="400">
        <f t="shared" si="34"/>
        <v>38.516395558852771</v>
      </c>
      <c r="X80" s="157">
        <f t="shared" si="35"/>
        <v>46088</v>
      </c>
      <c r="Y80" s="383">
        <f t="shared" si="36"/>
        <v>37.557741915860589</v>
      </c>
      <c r="Z80" s="383">
        <f t="shared" si="37"/>
        <v>39.481909204047192</v>
      </c>
      <c r="AA80" s="384">
        <f t="shared" si="38"/>
        <v>42.687200155936218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7.5087870372854318E-2</v>
      </c>
      <c r="AD80" s="230">
        <f>(INDEX(Models!$BJ80:$BT80,,AH80)*(1-AF80)+INDEX(Models!$BJ80:$BT80,,AH80+1)*AF80-ERP_i)*AE80*Ramure*Pc/MaxiM</f>
        <v>2.251406378438158E-3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'2025'!Wh/'2025'!Env_an*'2026'!Env_an</f>
        <v>31.3929686974307</v>
      </c>
      <c r="C81" s="829"/>
      <c r="D81" s="391">
        <f t="shared" si="25"/>
        <v>33.001933312421187</v>
      </c>
      <c r="E81" s="383">
        <f t="shared" si="47"/>
        <v>34.794724950560692</v>
      </c>
      <c r="F81" s="383">
        <f t="shared" si="26"/>
        <v>34.842038634083373</v>
      </c>
      <c r="G81" s="110">
        <f t="shared" si="48"/>
        <v>0.74219204428623642</v>
      </c>
      <c r="H81" s="412" t="b">
        <f>Wh_hp&gt;='2025'!Maxi_hp</f>
        <v>0</v>
      </c>
      <c r="I81" s="388">
        <f>IF(H81,Wh_hp,'2025'!Maxi_hp)</f>
        <v>34.863147641201927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4.8753647241172593E-2</v>
      </c>
      <c r="M81" s="832"/>
      <c r="N81" s="832"/>
      <c r="O81" s="48">
        <f>IF(t&lt;Tnet,'2025'!Resal+('2025'!Salim-'2025'!Resal)*(1-EXP(('2025'!Tnet-t)/('2025'!Tau_j))),Resal+(Salim-Resal)*(1-EXP((Tnet-t)/(Tau_j))))*Salcycl</f>
        <v>5.1524811323752633E-2</v>
      </c>
      <c r="P81" s="169">
        <f>(INDEX(Models!$BJ81:$BT81,,T81)*(1-R81)+INDEX(Models!$BJ81:$BT81,,T81+1)*R81-ERP_i)*Q81*Ramure*Pc/MaxiM</f>
        <v>2.146814053892096E-3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42.264223151740694</v>
      </c>
      <c r="W81" s="400">
        <f t="shared" si="34"/>
        <v>31.3929686974307</v>
      </c>
      <c r="X81" s="157">
        <f t="shared" si="35"/>
        <v>46089</v>
      </c>
      <c r="Y81" s="383">
        <f t="shared" si="36"/>
        <v>30.612277503604016</v>
      </c>
      <c r="Z81" s="383">
        <f t="shared" si="37"/>
        <v>32.181229830549739</v>
      </c>
      <c r="AA81" s="384">
        <f t="shared" si="38"/>
        <v>34.794724950560692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7.5111820074003383E-2</v>
      </c>
      <c r="AD81" s="230">
        <f>(INDEX(Models!$BJ81:$BT81,,AH81)*(1-AF81)+INDEX(Models!$BJ81:$BT81,,AH81+1)*AF81-ERP_i)*AE81*Ramure*Pc/MaxiM</f>
        <v>2.146814053892096E-3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'2025'!Wh/'2025'!Env_an*'2026'!Env_an</f>
        <v>30.609310443287633</v>
      </c>
      <c r="C82" s="829"/>
      <c r="D82" s="391">
        <f t="shared" si="25"/>
        <v>32.178727399275992</v>
      </c>
      <c r="E82" s="383">
        <f t="shared" si="47"/>
        <v>33.928414570590078</v>
      </c>
      <c r="F82" s="383">
        <f t="shared" si="26"/>
        <v>33.969986589600111</v>
      </c>
      <c r="G82" s="110">
        <f t="shared" si="48"/>
        <v>0.71763808324104938</v>
      </c>
      <c r="H82" s="412" t="b">
        <f>Wh_hp&gt;='2025'!Maxi_hp</f>
        <v>0</v>
      </c>
      <c r="I82" s="388">
        <f>IF(H82,Wh_hp,'2025'!Maxi_hp)</f>
        <v>45.223150143497143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4.8771877660509055E-2</v>
      </c>
      <c r="M82" s="832"/>
      <c r="N82" s="832"/>
      <c r="O82" s="48">
        <f>IF(t&lt;Tnet,'2025'!Resal+('2025'!Salim-'2025'!Resal)*(1-EXP(('2025'!Tnet-t)/('2025'!Tau_j))),Resal+(Salim-Resal)*(1-EXP((Tnet-t)/(Tau_j))))*Salcycl</f>
        <v>5.1569965571888275E-2</v>
      </c>
      <c r="P82" s="169">
        <f>(INDEX(Models!$BJ82:$BT82,,T82)*(1-R82)+INDEX(Models!$BJ82:$BT82,,T82+1)*R82-ERP_i)*Q82*Ramure*Pc/MaxiM</f>
        <v>2.0482717855230684E-3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42.617641560876564</v>
      </c>
      <c r="W82" s="400">
        <f t="shared" si="34"/>
        <v>30.609310443287633</v>
      </c>
      <c r="X82" s="157">
        <f t="shared" si="35"/>
        <v>46090</v>
      </c>
      <c r="Y82" s="383">
        <f t="shared" si="36"/>
        <v>29.848753450822855</v>
      </c>
      <c r="Z82" s="383">
        <f t="shared" si="37"/>
        <v>31.37917472142388</v>
      </c>
      <c r="AA82" s="384">
        <f t="shared" si="38"/>
        <v>33.928414570590078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7.513583765791218E-2</v>
      </c>
      <c r="AD82" s="230">
        <f>(INDEX(Models!$BJ82:$BT82,,AH82)*(1-AF82)+INDEX(Models!$BJ82:$BT82,,AH82+1)*AF82-ERP_i)*AE82*Ramure*Pc/MaxiM</f>
        <v>2.0482717855230684E-3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'2025'!Wh/'2025'!Env_an*'2026'!Env_an</f>
        <v>24.368490941662358</v>
      </c>
      <c r="C83" s="829"/>
      <c r="D83" s="391">
        <f t="shared" si="25"/>
        <v>25.618416229377548</v>
      </c>
      <c r="E83" s="383">
        <f t="shared" si="47"/>
        <v>27.012679864988254</v>
      </c>
      <c r="F83" s="383">
        <f t="shared" si="26"/>
        <v>27.032851281635626</v>
      </c>
      <c r="G83" s="110">
        <f t="shared" si="48"/>
        <v>0.5663970355118092</v>
      </c>
      <c r="H83" s="412" t="b">
        <f>Wh_hp&gt;='2025'!Maxi_hp</f>
        <v>0</v>
      </c>
      <c r="I83" s="388">
        <f>IF(H83,Wh_hp,'2025'!Maxi_hp)</f>
        <v>44.941946667610743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4.8790107730463661E-2</v>
      </c>
      <c r="M83" s="832"/>
      <c r="N83" s="832"/>
      <c r="O83" s="48">
        <f>IF(t&lt;Tnet,'2025'!Resal+('2025'!Salim-'2025'!Resal)*(1-EXP(('2025'!Tnet-t)/('2025'!Tau_j))),Resal+(Salim-Resal)*(1-EXP((Tnet-t)/(Tau_j))))*Salcycl</f>
        <v>5.1615154163872613E-2</v>
      </c>
      <c r="P83" s="169">
        <f>(INDEX(Models!$BJ83:$BT83,,T83)*(1-R83)+INDEX(Models!$BJ83:$BT83,,T83+1)*R83-ERP_i)*Q83*Ramure*Pc/MaxiM</f>
        <v>1.9556703072117535E-3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42.971615302513698</v>
      </c>
      <c r="W83" s="400">
        <f t="shared" si="34"/>
        <v>24.368490941662358</v>
      </c>
      <c r="X83" s="157">
        <f t="shared" si="35"/>
        <v>46091</v>
      </c>
      <c r="Y83" s="383">
        <f t="shared" si="36"/>
        <v>23.763514016416714</v>
      </c>
      <c r="Z83" s="383">
        <f t="shared" si="37"/>
        <v>24.982408414317717</v>
      </c>
      <c r="AA83" s="384">
        <f t="shared" si="38"/>
        <v>27.012679864988254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7.515994195385324E-2</v>
      </c>
      <c r="AD83" s="230">
        <f>(INDEX(Models!$BJ83:$BT83,,AH83)*(1-AF83)+INDEX(Models!$BJ83:$BT83,,AH83+1)*AF83-ERP_i)*AE83*Ramure*Pc/MaxiM</f>
        <v>1.9556703072117535E-3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'2025'!Wh/'2025'!Env_an*'2026'!Env_an</f>
        <v>15.114026511191593</v>
      </c>
      <c r="C84" s="829"/>
      <c r="D84" s="391">
        <f t="shared" si="25"/>
        <v>15.889570005996232</v>
      </c>
      <c r="E84" s="383">
        <f t="shared" si="47"/>
        <v>16.755147476883995</v>
      </c>
      <c r="F84" s="383">
        <f t="shared" si="26"/>
        <v>16.757332879116863</v>
      </c>
      <c r="G84" s="110">
        <f t="shared" si="48"/>
        <v>0.34824055103453677</v>
      </c>
      <c r="H84" s="412" t="b">
        <f>Wh_hp&gt;='2025'!Maxi_hp</f>
        <v>0</v>
      </c>
      <c r="I84" s="388">
        <f>IF(H84,Wh_hp,'2025'!Maxi_hp)</f>
        <v>33.644561072825525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4.8808337451043182E-2</v>
      </c>
      <c r="M84" s="832"/>
      <c r="N84" s="832"/>
      <c r="O84" s="48">
        <f>IF(t&lt;Tnet,'2025'!Resal+('2025'!Salim-'2025'!Resal)*(1-EXP(('2025'!Tnet-t)/('2025'!Tau_j))),Resal+(Salim-Resal)*(1-EXP((Tnet-t)/(Tau_j))))*Salcycl</f>
        <v>5.1660391057849149E-2</v>
      </c>
      <c r="P84" s="169">
        <f>(INDEX(Models!$BJ84:$BT84,,T84)*(1-R84)+INDEX(Models!$BJ84:$BT84,,T84+1)*R84-ERP_i)*Q84*Ramure*Pc/MaxiM</f>
        <v>1.8688987883627604E-3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43.325648159969738</v>
      </c>
      <c r="W84" s="400">
        <f t="shared" si="34"/>
        <v>15.114026511191593</v>
      </c>
      <c r="X84" s="157">
        <f t="shared" si="35"/>
        <v>46092</v>
      </c>
      <c r="Y84" s="383">
        <f t="shared" si="36"/>
        <v>14.739119927856645</v>
      </c>
      <c r="Z84" s="383">
        <f t="shared" si="37"/>
        <v>15.495425904343477</v>
      </c>
      <c r="AA84" s="384">
        <f t="shared" si="38"/>
        <v>16.755147476883995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7.5184153065705597E-2</v>
      </c>
      <c r="AD84" s="230">
        <f>(INDEX(Models!$BJ84:$BT84,,AH84)*(1-AF84)+INDEX(Models!$BJ84:$BT84,,AH84+1)*AF84-ERP_i)*AE84*Ramure*Pc/MaxiM</f>
        <v>1.8688987883627604E-3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'2025'!Wh/'2025'!Env_an*'2026'!Env_an</f>
        <v>15.731899074626908</v>
      </c>
      <c r="C85" s="829"/>
      <c r="D85" s="391">
        <f t="shared" si="25"/>
        <v>16.539464335193525</v>
      </c>
      <c r="E85" s="383">
        <f t="shared" si="47"/>
        <v>17.441277649271271</v>
      </c>
      <c r="F85" s="383">
        <f t="shared" si="26"/>
        <v>17.443958348375279</v>
      </c>
      <c r="G85" s="110">
        <f t="shared" si="48"/>
        <v>0.35958009067551894</v>
      </c>
      <c r="H85" s="412" t="b">
        <f>Wh_hp&gt;='2025'!Maxi_hp</f>
        <v>0</v>
      </c>
      <c r="I85" s="388">
        <f>IF(H85,Wh_hp,'2025'!Maxi_hp)</f>
        <v>43.401527185164618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4.8826566822254169E-2</v>
      </c>
      <c r="M85" s="832"/>
      <c r="N85" s="832"/>
      <c r="O85" s="48">
        <f>IF(t&lt;Tnet,'2025'!Resal+('2025'!Salim-'2025'!Resal)*(1-EXP(('2025'!Tnet-t)/('2025'!Tau_j))),Resal+(Salim-Resal)*(1-EXP((Tnet-t)/(Tau_j))))*Salcycl</f>
        <v>5.17056910744969E-2</v>
      </c>
      <c r="P85" s="169">
        <f>(INDEX(Models!$BJ85:$BT85,,T85)*(1-R85)+INDEX(Models!$BJ85:$BT85,,T85+1)*R85-ERP_i)*Q85*Ramure*Pc/MaxiM</f>
        <v>1.7878456353306012E-3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43.679243990292242</v>
      </c>
      <c r="W85" s="400">
        <f t="shared" si="34"/>
        <v>15.731899074626908</v>
      </c>
      <c r="X85" s="157">
        <f t="shared" si="35"/>
        <v>46093</v>
      </c>
      <c r="Y85" s="383">
        <f t="shared" si="36"/>
        <v>15.341995124452193</v>
      </c>
      <c r="Z85" s="383">
        <f t="shared" si="37"/>
        <v>16.129545453342402</v>
      </c>
      <c r="AA85" s="384">
        <f t="shared" si="38"/>
        <v>17.441277649271271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7.5208492308112301E-2</v>
      </c>
      <c r="AD85" s="230">
        <f>(INDEX(Models!$BJ85:$BT85,,AH85)*(1-AF85)+INDEX(Models!$BJ85:$BT85,,AH85+1)*AF85-ERP_i)*AE85*Ramure*Pc/MaxiM</f>
        <v>1.7878456353306012E-3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'2025'!Wh/'2025'!Env_an*'2026'!Env_an</f>
        <v>8.8220972049887312</v>
      </c>
      <c r="C86" s="829"/>
      <c r="D86" s="391">
        <f t="shared" si="25"/>
        <v>9.2751395003067962</v>
      </c>
      <c r="E86" s="383">
        <f t="shared" si="47"/>
        <v>9.7813339993438522</v>
      </c>
      <c r="F86" s="383">
        <f t="shared" si="26"/>
        <v>9.7813339993438522</v>
      </c>
      <c r="G86" s="110">
        <f t="shared" si="48"/>
        <v>0.2000138287912738</v>
      </c>
      <c r="H86" s="412" t="b">
        <f>Wh_hp&gt;='2025'!Maxi_hp</f>
        <v>0</v>
      </c>
      <c r="I86" s="388">
        <f>IF(H86,Wh_hp,'2025'!Maxi_hp)</f>
        <v>43.4645843753053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4.8844795844103506E-2</v>
      </c>
      <c r="M86" s="832"/>
      <c r="N86" s="832"/>
      <c r="O86" s="48">
        <f>IF(t&lt;Tnet,'2025'!Resal+('2025'!Salim-'2025'!Resal)*(1-EXP(('2025'!Tnet-t)/('2025'!Tau_j))),Resal+(Salim-Resal)*(1-EXP((Tnet-t)/(Tau_j))))*Salcycl</f>
        <v>5.175106985110741E-2</v>
      </c>
      <c r="P86" s="169">
        <f>(INDEX(Models!$BJ86:$BT86,,T86)*(1-R86)+INDEX(Models!$BJ86:$BT86,,T86+1)*R86-ERP_i)*Q86*Ramure*Pc/MaxiM</f>
        <v>1.7128039702721148E-3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44.031888870346599</v>
      </c>
      <c r="W86" s="400">
        <f t="shared" si="34"/>
        <v>8.8220972049887312</v>
      </c>
      <c r="X86" s="157">
        <f t="shared" si="35"/>
        <v>46094</v>
      </c>
      <c r="Y86" s="383">
        <f t="shared" si="36"/>
        <v>8.6036316669272814</v>
      </c>
      <c r="Z86" s="383">
        <f t="shared" si="37"/>
        <v>9.0454550732996122</v>
      </c>
      <c r="AA86" s="384">
        <f t="shared" si="38"/>
        <v>9.7813339993438522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7.5232982136547458E-2</v>
      </c>
      <c r="AD86" s="230">
        <f>(INDEX(Models!$BJ86:$BT86,,AH86)*(1-AF86)+INDEX(Models!$BJ86:$BT86,,AH86+1)*AF86-ERP_i)*AE86*Ramure*Pc/MaxiM</f>
        <v>1.7128039702721148E-3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'2025'!Wh/'2025'!Env_an*'2026'!Env_an</f>
        <v>14.215332481548367</v>
      </c>
      <c r="C87" s="829"/>
      <c r="D87" s="391">
        <f t="shared" si="25"/>
        <v>14.945620712856444</v>
      </c>
      <c r="E87" s="383">
        <f t="shared" si="47"/>
        <v>15.762039902937127</v>
      </c>
      <c r="F87" s="383">
        <f t="shared" si="26"/>
        <v>15.762790021171805</v>
      </c>
      <c r="G87" s="110">
        <f t="shared" si="48"/>
        <v>0.31977592873441602</v>
      </c>
      <c r="H87" s="412" t="b">
        <f>Wh_hp&gt;='2025'!Maxi_hp</f>
        <v>0</v>
      </c>
      <c r="I87" s="388">
        <f>IF(H87,Wh_hp,'2025'!Maxi_hp)</f>
        <v>41.9627960937136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4.8863024516597853E-2</v>
      </c>
      <c r="M87" s="832"/>
      <c r="N87" s="832"/>
      <c r="O87" s="48">
        <f>IF(t&lt;Tnet,'2025'!Resal+('2025'!Salim-'2025'!Resal)*(1-EXP(('2025'!Tnet-t)/('2025'!Tau_j))),Resal+(Salim-Resal)*(1-EXP((Tnet-t)/(Tau_j))))*Salcycl</f>
        <v>5.1796543791806406E-2</v>
      </c>
      <c r="P87" s="169">
        <f>(INDEX(Models!$BJ87:$BT87,,T87)*(1-R87)+INDEX(Models!$BJ87:$BT87,,T87+1)*R87-ERP_i)*Q87*Ramure*Pc/MaxiM</f>
        <v>1.6420434297456067E-3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44.383158368783498</v>
      </c>
      <c r="W87" s="400">
        <f t="shared" si="34"/>
        <v>14.215332481548367</v>
      </c>
      <c r="X87" s="157">
        <f t="shared" si="35"/>
        <v>46095</v>
      </c>
      <c r="Y87" s="383">
        <f t="shared" si="36"/>
        <v>13.863606945100079</v>
      </c>
      <c r="Z87" s="383">
        <f t="shared" si="37"/>
        <v>14.575825882548719</v>
      </c>
      <c r="AA87" s="384">
        <f t="shared" si="38"/>
        <v>15.762039902937127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7.5257646072027007E-2</v>
      </c>
      <c r="AD87" s="230">
        <f>(INDEX(Models!$BJ87:$BT87,,AH87)*(1-AF87)+INDEX(Models!$BJ87:$BT87,,AH87+1)*AF87-ERP_i)*AE87*Ramure*Pc/MaxiM</f>
        <v>1.6420434297456067E-3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'2025'!Wh/'2025'!Env_an*'2026'!Env_an</f>
        <v>13.531504242677672</v>
      </c>
      <c r="C88" s="829"/>
      <c r="D88" s="391">
        <f t="shared" si="25"/>
        <v>14.226934631536304</v>
      </c>
      <c r="E88" s="383">
        <f t="shared" si="47"/>
        <v>15.004816267308698</v>
      </c>
      <c r="F88" s="383">
        <f t="shared" si="26"/>
        <v>15.004900624641429</v>
      </c>
      <c r="G88" s="110">
        <f t="shared" si="48"/>
        <v>0.30202301384350333</v>
      </c>
      <c r="H88" s="412" t="b">
        <f>Wh_hp&gt;='2025'!Maxi_hp</f>
        <v>0</v>
      </c>
      <c r="I88" s="388">
        <f>IF(H88,Wh_hp,'2025'!Maxi_hp)</f>
        <v>33.906662518762403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4.8881252839743761E-2</v>
      </c>
      <c r="M88" s="832"/>
      <c r="N88" s="832"/>
      <c r="O88" s="48">
        <f>IF(t&lt;Tnet,'2025'!Resal+('2025'!Salim-'2025'!Resal)*(1-EXP(('2025'!Tnet-t)/('2025'!Tau_j))),Resal+(Salim-Resal)*(1-EXP((Tnet-t)/(Tau_j))))*Salcycl</f>
        <v>5.1842130014426155E-2</v>
      </c>
      <c r="P88" s="169">
        <f>(INDEX(Models!$BJ88:$BT88,,T88)*(1-R88)+INDEX(Models!$BJ88:$BT88,,T88+1)*R88-ERP_i)*Q88*Ramure*Pc/MaxiM</f>
        <v>1.5754819430308722E-3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44.732556584497381</v>
      </c>
      <c r="W88" s="400">
        <f t="shared" si="34"/>
        <v>13.531504242677672</v>
      </c>
      <c r="X88" s="157">
        <f t="shared" si="35"/>
        <v>46096</v>
      </c>
      <c r="Y88" s="383">
        <f t="shared" si="36"/>
        <v>13.196978113002034</v>
      </c>
      <c r="Z88" s="383">
        <f t="shared" si="37"/>
        <v>13.875216057305245</v>
      </c>
      <c r="AA88" s="384">
        <f t="shared" si="38"/>
        <v>15.004816267308698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7.5282508621217561E-2</v>
      </c>
      <c r="AD88" s="230">
        <f>(INDEX(Models!$BJ88:$BT88,,AH88)*(1-AF88)+INDEX(Models!$BJ88:$BT88,,AH88+1)*AF88-ERP_i)*AE88*Ramure*Pc/MaxiM</f>
        <v>1.5754819430308722E-3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'2025'!Wh/'2025'!Env_an*'2026'!Env_an</f>
        <v>13.50540106687388</v>
      </c>
      <c r="C89" s="829"/>
      <c r="D89" s="391">
        <f t="shared" si="25"/>
        <v>14.199762059246973</v>
      </c>
      <c r="E89" s="383">
        <f t="shared" si="47"/>
        <v>14.976880112495975</v>
      </c>
      <c r="F89" s="383">
        <f t="shared" si="26"/>
        <v>14.976880112495975</v>
      </c>
      <c r="G89" s="110">
        <f t="shared" si="48"/>
        <v>0.29913687265286243</v>
      </c>
      <c r="H89" s="412" t="b">
        <f>Wh_hp&gt;='2025'!Maxi_hp</f>
        <v>0</v>
      </c>
      <c r="I89" s="388">
        <f>IF(H89,Wh_hp,'2025'!Maxi_hp)</f>
        <v>50.695816320188271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4.8899480813548002E-2</v>
      </c>
      <c r="M89" s="832"/>
      <c r="N89" s="832"/>
      <c r="O89" s="48">
        <f>IF(t&lt;Tnet,'2025'!Resal+('2025'!Salim-'2025'!Resal)*(1-EXP(('2025'!Tnet-t)/('2025'!Tau_j))),Resal+(Salim-Resal)*(1-EXP((Tnet-t)/(Tau_j))))*Salcycl</f>
        <v>5.1887846294543759E-2</v>
      </c>
      <c r="P89" s="169">
        <f>(INDEX(Models!$BJ89:$BT89,,T89)*(1-R89)+INDEX(Models!$BJ89:$BT89,,T89+1)*R89-ERP_i)*Q89*Ramure*Pc/MaxiM</f>
        <v>1.5130379886304788E-3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45.079587689802544</v>
      </c>
      <c r="W89" s="400">
        <f t="shared" si="34"/>
        <v>13.50540106687388</v>
      </c>
      <c r="X89" s="157">
        <f t="shared" si="35"/>
        <v>46097</v>
      </c>
      <c r="Y89" s="383">
        <f t="shared" si="36"/>
        <v>13.171798021581163</v>
      </c>
      <c r="Z89" s="383">
        <f t="shared" si="37"/>
        <v>13.849007287734418</v>
      </c>
      <c r="AA89" s="384">
        <f t="shared" si="38"/>
        <v>14.976880112495975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7.53075951927073E-2</v>
      </c>
      <c r="AD89" s="230">
        <f>(INDEX(Models!$BJ89:$BT89,,AH89)*(1-AF89)+INDEX(Models!$BJ89:$BT89,,AH89+1)*AF89-ERP_i)*AE89*Ramure*Pc/MaxiM</f>
        <v>1.5130379886304788E-3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'2025'!Wh/'2025'!Env_an*'2026'!Env_an</f>
        <v>11.34303006399802</v>
      </c>
      <c r="C90" s="829"/>
      <c r="D90" s="391">
        <f t="shared" si="25"/>
        <v>11.926444393543614</v>
      </c>
      <c r="E90" s="383">
        <f t="shared" si="47"/>
        <v>12.579757905129155</v>
      </c>
      <c r="F90" s="383">
        <f t="shared" si="26"/>
        <v>12.579757905129155</v>
      </c>
      <c r="G90" s="110">
        <f t="shared" si="48"/>
        <v>0.24935256689918223</v>
      </c>
      <c r="H90" s="412" t="b">
        <f>Wh_hp&gt;='2025'!Maxi_hp</f>
        <v>0</v>
      </c>
      <c r="I90" s="388">
        <f>IF(H90,Wh_hp,'2025'!Maxi_hp)</f>
        <v>27.308423529990701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4.8917708438017349E-2</v>
      </c>
      <c r="M90" s="832"/>
      <c r="N90" s="832"/>
      <c r="O90" s="48">
        <f>IF(t&lt;Tnet,'2025'!Resal+('2025'!Salim-'2025'!Resal)*(1-EXP(('2025'!Tnet-t)/('2025'!Tau_j))),Resal+(Salim-Resal)*(1-EXP((Tnet-t)/(Tau_j))))*Salcycl</f>
        <v>5.1933711007201878E-2</v>
      </c>
      <c r="P90" s="169">
        <f>(INDEX(Models!$BJ90:$BT90,,T90)*(1-R90)+INDEX(Models!$BJ90:$BT90,,T90+1)*R90-ERP_i)*Q90*Ramure*Pc/MaxiM</f>
        <v>1.4546310897217754E-3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45.42375593187618</v>
      </c>
      <c r="W90" s="400">
        <f t="shared" si="34"/>
        <v>11.34303006399802</v>
      </c>
      <c r="X90" s="157">
        <f t="shared" si="35"/>
        <v>46098</v>
      </c>
      <c r="Y90" s="383">
        <f t="shared" si="36"/>
        <v>11.063072775786528</v>
      </c>
      <c r="Z90" s="383">
        <f t="shared" si="37"/>
        <v>11.632087858157268</v>
      </c>
      <c r="AA90" s="384">
        <f t="shared" si="38"/>
        <v>12.579757905129155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7.5332932010201276E-2</v>
      </c>
      <c r="AD90" s="230">
        <f>(INDEX(Models!$BJ90:$BT90,,AH90)*(1-AF90)+INDEX(Models!$BJ90:$BT90,,AH90+1)*AF90-ERP_i)*AE90*Ramure*Pc/MaxiM</f>
        <v>1.4546310897217754E-3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'2025'!Wh/'2025'!Env_an*'2026'!Env_an</f>
        <v>14.664661459620328</v>
      </c>
      <c r="C91" s="829"/>
      <c r="D91" s="391">
        <f t="shared" si="25"/>
        <v>15.419215182540485</v>
      </c>
      <c r="E91" s="383">
        <f t="shared" si="47"/>
        <v>16.264647374119733</v>
      </c>
      <c r="F91" s="383">
        <f t="shared" si="26"/>
        <v>16.265312290013604</v>
      </c>
      <c r="G91" s="110">
        <f t="shared" si="48"/>
        <v>0.32000144057591057</v>
      </c>
      <c r="H91" s="412" t="b">
        <f>Wh_hp&gt;='2025'!Maxi_hp</f>
        <v>0</v>
      </c>
      <c r="I91" s="388">
        <f>IF(H91,Wh_hp,'2025'!Maxi_hp)</f>
        <v>34.112652515484889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4.8935935713158352E-2</v>
      </c>
      <c r="M91" s="832"/>
      <c r="N91" s="832"/>
      <c r="O91" s="48">
        <f>IF(t&lt;Tnet,'2025'!Resal+('2025'!Salim-'2025'!Resal)*(1-EXP(('2025'!Tnet-t)/('2025'!Tau_j))),Resal+(Salim-Resal)*(1-EXP((Tnet-t)/(Tau_j))))*Salcycl</f>
        <v>5.1979743066824666E-2</v>
      </c>
      <c r="P91" s="169">
        <f>(INDEX(Models!$BJ91:$BT91,,T91)*(1-R91)+INDEX(Models!$BJ91:$BT91,,T91+1)*R91-ERP_i)*Q91*Ramure*Pc/MaxiM</f>
        <v>1.4001822867417569E-3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45.764565626376687</v>
      </c>
      <c r="W91" s="400">
        <f t="shared" si="34"/>
        <v>14.664661459620328</v>
      </c>
      <c r="X91" s="157">
        <f t="shared" si="35"/>
        <v>46099</v>
      </c>
      <c r="Y91" s="383">
        <f t="shared" si="36"/>
        <v>14.303021264506393</v>
      </c>
      <c r="Z91" s="383">
        <f t="shared" si="37"/>
        <v>15.038967196422838</v>
      </c>
      <c r="AA91" s="384">
        <f t="shared" si="38"/>
        <v>16.264647374119733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7.5358546023395118E-2</v>
      </c>
      <c r="AD91" s="230">
        <f>(INDEX(Models!$BJ91:$BT91,,AH91)*(1-AF91)+INDEX(Models!$BJ91:$BT91,,AH91+1)*AF91-ERP_i)*AE91*Ramure*Pc/MaxiM</f>
        <v>1.4001822867417569E-3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'2025'!Wh/'2025'!Env_an*'2026'!Env_an</f>
        <v>28.01916877728226</v>
      </c>
      <c r="C92" s="829"/>
      <c r="D92" s="391">
        <f t="shared" si="25"/>
        <v>29.461428331393904</v>
      </c>
      <c r="E92" s="383">
        <f t="shared" si="47"/>
        <v>31.078307154255761</v>
      </c>
      <c r="F92" s="383">
        <f t="shared" si="26"/>
        <v>31.09675962781634</v>
      </c>
      <c r="G92" s="110">
        <f t="shared" si="48"/>
        <v>0.6073111402945941</v>
      </c>
      <c r="H92" s="412" t="b">
        <f>Wh_hp&gt;='2025'!Maxi_hp</f>
        <v>0</v>
      </c>
      <c r="I92" s="388">
        <f>IF(H92,Wh_hp,'2025'!Maxi_hp)</f>
        <v>46.811989092410982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4.8954162638977783E-2</v>
      </c>
      <c r="M92" s="832"/>
      <c r="N92" s="832"/>
      <c r="O92" s="48">
        <f>IF(t&lt;Tnet,'2025'!Resal+('2025'!Salim-'2025'!Resal)*(1-EXP(('2025'!Tnet-t)/('2025'!Tau_j))),Resal+(Salim-Resal)*(1-EXP((Tnet-t)/(Tau_j))))*Salcycl</f>
        <v>5.202596186582982E-2</v>
      </c>
      <c r="P92" s="169">
        <f>(INDEX(Models!$BJ92:$BT92,,T92)*(1-R92)+INDEX(Models!$BJ92:$BT92,,T92+1)*R92-ERP_i)*Q92*Ramure*Pc/MaxiM</f>
        <v>1.3496145879314302E-3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46.101521156453508</v>
      </c>
      <c r="W92" s="400">
        <f t="shared" si="34"/>
        <v>28.01916877728226</v>
      </c>
      <c r="X92" s="157">
        <f t="shared" si="35"/>
        <v>46100</v>
      </c>
      <c r="Y92" s="383">
        <f t="shared" si="36"/>
        <v>27.328763966335185</v>
      </c>
      <c r="Z92" s="383">
        <f t="shared" si="37"/>
        <v>28.735485602005781</v>
      </c>
      <c r="AA92" s="384">
        <f t="shared" si="38"/>
        <v>31.078307154255761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7.5384464817259578E-2</v>
      </c>
      <c r="AD92" s="230">
        <f>(INDEX(Models!$BJ92:$BT92,,AH92)*(1-AF92)+INDEX(Models!$BJ92:$BT92,,AH92+1)*AF92-ERP_i)*AE92*Ramure*Pc/MaxiM</f>
        <v>1.3496145879314302E-3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'2025'!Wh/'2025'!Env_an*'2026'!Env_an</f>
        <v>31.1134228044764</v>
      </c>
      <c r="C93" s="829"/>
      <c r="D93" s="391">
        <f t="shared" si="25"/>
        <v>32.715583072094461</v>
      </c>
      <c r="E93" s="383">
        <f t="shared" si="47"/>
        <v>34.512744043701232</v>
      </c>
      <c r="F93" s="383">
        <f t="shared" si="26"/>
        <v>34.536526953634002</v>
      </c>
      <c r="G93" s="110">
        <f t="shared" si="48"/>
        <v>0.66960072025231987</v>
      </c>
      <c r="H93" s="412" t="b">
        <f>Wh_hp&gt;='2025'!Maxi_hp</f>
        <v>0</v>
      </c>
      <c r="I93" s="388">
        <f>IF(H93,Wh_hp,'2025'!Maxi_hp)</f>
        <v>50.974512464979433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4.8972389215482415E-2</v>
      </c>
      <c r="M93" s="832"/>
      <c r="N93" s="832"/>
      <c r="O93" s="48">
        <f>IF(t&lt;Tnet,'2025'!Resal+('2025'!Salim-'2025'!Resal)*(1-EXP(('2025'!Tnet-t)/('2025'!Tau_j))),Resal+(Salim-Resal)*(1-EXP((Tnet-t)/(Tau_j))))*Salcycl</f>
        <v>5.2072387212420419E-2</v>
      </c>
      <c r="P93" s="169">
        <f>(INDEX(Models!$BJ93:$BT93,,T93)*(1-R93)+INDEX(Models!$BJ93:$BT93,,T93+1)*R93-ERP_i)*Q93*Ramure*Pc/MaxiM</f>
        <v>1.3027707235951443E-3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46.437079136654461</v>
      </c>
      <c r="W93" s="400">
        <f t="shared" si="34"/>
        <v>31.1134228044764</v>
      </c>
      <c r="X93" s="157">
        <f t="shared" si="35"/>
        <v>46101</v>
      </c>
      <c r="Y93" s="383">
        <f t="shared" si="36"/>
        <v>30.347398798513314</v>
      </c>
      <c r="Z93" s="383">
        <f t="shared" si="37"/>
        <v>31.910113286279113</v>
      </c>
      <c r="AA93" s="384">
        <f t="shared" si="38"/>
        <v>34.512744043701232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7.5410716520441748E-2</v>
      </c>
      <c r="AD93" s="230">
        <f>(INDEX(Models!$BJ93:$BT93,,AH93)*(1-AF93)+INDEX(Models!$BJ93:$BT93,,AH93+1)*AF93-ERP_i)*AE93*Ramure*Pc/MaxiM</f>
        <v>1.3027707235951443E-3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'2025'!Wh/'2025'!Env_an*'2026'!Env_an</f>
        <v>44.044976768013925</v>
      </c>
      <c r="C94" s="829"/>
      <c r="D94" s="391">
        <f t="shared" si="25"/>
        <v>46.313924429374708</v>
      </c>
      <c r="E94" s="383">
        <f t="shared" si="47"/>
        <v>48.860486018845336</v>
      </c>
      <c r="F94" s="383">
        <f t="shared" si="26"/>
        <v>48.916984206309387</v>
      </c>
      <c r="G94" s="110">
        <f t="shared" si="48"/>
        <v>0.94156668999160098</v>
      </c>
      <c r="H94" s="412" t="b">
        <f>Wh_hp&gt;='2025'!Maxi_hp</f>
        <v>0</v>
      </c>
      <c r="I94" s="388">
        <f>IF(H94,Wh_hp,'2025'!Maxi_hp)</f>
        <v>52.150714918937091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4.8990615442678798E-2</v>
      </c>
      <c r="M94" s="832"/>
      <c r="N94" s="832"/>
      <c r="O94" s="48">
        <f>IF(t&lt;Tnet,'2025'!Resal+('2025'!Salim-'2025'!Resal)*(1-EXP(('2025'!Tnet-t)/('2025'!Tau_j))),Resal+(Salim-Resal)*(1-EXP((Tnet-t)/(Tau_j))))*Salcycl</f>
        <v>5.21190392680176E-2</v>
      </c>
      <c r="P94" s="169">
        <f>(INDEX(Models!$BJ94:$BT94,,T94)*(1-R94)+INDEX(Models!$BJ94:$BT94,,T94+1)*R94-ERP_i)*Q94*Ramure*Pc/MaxiM</f>
        <v>1.2599812141605698E-3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46.773475693872733</v>
      </c>
      <c r="W94" s="400">
        <f t="shared" si="34"/>
        <v>44.044976768013925</v>
      </c>
      <c r="X94" s="157">
        <f t="shared" si="35"/>
        <v>46102</v>
      </c>
      <c r="Y94" s="383">
        <f t="shared" si="36"/>
        <v>42.961450878702045</v>
      </c>
      <c r="Z94" s="383">
        <f t="shared" si="37"/>
        <v>45.174581425082231</v>
      </c>
      <c r="AA94" s="384">
        <f t="shared" si="38"/>
        <v>48.860486018845336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7.5437329713451226E-2</v>
      </c>
      <c r="AD94" s="230">
        <f>(INDEX(Models!$BJ94:$BT94,,AH94)*(1-AF94)+INDEX(Models!$BJ94:$BT94,,AH94+1)*AF94-ERP_i)*AE94*Ramure*Pc/MaxiM</f>
        <v>1.2599812141605698E-3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'2025'!Wh/'2025'!Env_an*'2026'!Env_an</f>
        <v>41.81826121008865</v>
      </c>
      <c r="C95" s="829"/>
      <c r="D95" s="391">
        <f t="shared" si="25"/>
        <v>43.973343840713198</v>
      </c>
      <c r="E95" s="383">
        <f t="shared" si="47"/>
        <v>46.393504544894888</v>
      </c>
      <c r="F95" s="383">
        <f t="shared" si="26"/>
        <v>46.441019499044671</v>
      </c>
      <c r="G95" s="110">
        <f t="shared" si="48"/>
        <v>0.8874982638236496</v>
      </c>
      <c r="H95" s="412" t="b">
        <f>Wh_hp&gt;='2025'!Maxi_hp</f>
        <v>0</v>
      </c>
      <c r="I95" s="388">
        <f>IF(H95,Wh_hp,'2025'!Maxi_hp)</f>
        <v>50.892769880316351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4.9008841320573815E-2</v>
      </c>
      <c r="M95" s="832"/>
      <c r="N95" s="832"/>
      <c r="O95" s="48">
        <f>IF(t&lt;Tnet,'2025'!Resal+('2025'!Salim-'2025'!Resal)*(1-EXP(('2025'!Tnet-t)/('2025'!Tau_j))),Resal+(Salim-Resal)*(1-EXP((Tnet-t)/(Tau_j))))*Salcycl</f>
        <v>5.2165938484765854E-2</v>
      </c>
      <c r="P95" s="169">
        <f>(INDEX(Models!$BJ95:$BT95,,T95)*(1-R95)+INDEX(Models!$BJ95:$BT95,,T95+1)*R95-ERP_i)*Q95*Ramure*Pc/MaxiM</f>
        <v>1.2186853330857863E-3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47.110035628280649</v>
      </c>
      <c r="W95" s="400">
        <f t="shared" si="34"/>
        <v>41.81826121008865</v>
      </c>
      <c r="X95" s="157">
        <f t="shared" si="35"/>
        <v>46103</v>
      </c>
      <c r="Y95" s="383">
        <f t="shared" si="36"/>
        <v>40.790340394329348</v>
      </c>
      <c r="Z95" s="383">
        <f t="shared" si="37"/>
        <v>42.892449653235467</v>
      </c>
      <c r="AA95" s="384">
        <f t="shared" si="38"/>
        <v>46.393504544894888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7.5464333337255426E-2</v>
      </c>
      <c r="AD95" s="230">
        <f>(INDEX(Models!$BJ95:$BT95,,AH95)*(1-AF95)+INDEX(Models!$BJ95:$BT95,,AH95+1)*AF95-ERP_i)*AE95*Ramure*Pc/MaxiM</f>
        <v>1.2186853330857863E-3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'2025'!Wh/'2025'!Env_an*'2026'!Env_an</f>
        <v>47.667627580816244</v>
      </c>
      <c r="C96" s="829"/>
      <c r="D96" s="391">
        <f t="shared" si="25"/>
        <v>50.125114941895056</v>
      </c>
      <c r="E96" s="383">
        <f t="shared" si="47"/>
        <v>52.886482430883767</v>
      </c>
      <c r="F96" s="383">
        <f t="shared" si="26"/>
        <v>52.948902458584229</v>
      </c>
      <c r="G96" s="110">
        <f t="shared" si="48"/>
        <v>1.0046718730909368</v>
      </c>
      <c r="H96" s="412" t="b">
        <f>Wh_hp&gt;='2025'!Maxi_hp</f>
        <v>0</v>
      </c>
      <c r="I96" s="388">
        <f>IF(H96,Wh_hp,'2025'!Maxi_hp)</f>
        <v>53.286062169656844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4.9027066849173906E-2</v>
      </c>
      <c r="M96" s="832"/>
      <c r="N96" s="832"/>
      <c r="O96" s="48">
        <f>IF(t&lt;Tnet,'2025'!Resal+('2025'!Salim-'2025'!Resal)*(1-EXP(('2025'!Tnet-t)/('2025'!Tau_j))),Resal+(Salim-Resal)*(1-EXP((Tnet-t)/(Tau_j))))*Salcycl</f>
        <v>5.2213105543509816E-2</v>
      </c>
      <c r="P96" s="169">
        <f>(INDEX(Models!$BJ96:$BT96,,T96)*(1-R96)+INDEX(Models!$BJ96:$BT96,,T96+1)*R96-ERP_i)*Q96*Ramure*Pc/MaxiM</f>
        <v>1.1788729284669354E-3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47.445966048759544</v>
      </c>
      <c r="W96" s="400">
        <f t="shared" si="34"/>
        <v>47.667627580816244</v>
      </c>
      <c r="X96" s="157">
        <f t="shared" si="35"/>
        <v>46104</v>
      </c>
      <c r="Y96" s="383">
        <f t="shared" si="36"/>
        <v>46.496860105795292</v>
      </c>
      <c r="Z96" s="383">
        <f t="shared" si="37"/>
        <v>48.893988971630179</v>
      </c>
      <c r="AA96" s="384">
        <f t="shared" si="38"/>
        <v>52.886482430883767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7.5491756602857632E-2</v>
      </c>
      <c r="AD96" s="230">
        <f>(INDEX(Models!$BJ96:$BT96,,AH96)*(1-AF96)+INDEX(Models!$BJ96:$BT96,,AH96+1)*AF96-ERP_i)*AE96*Ramure*Pc/MaxiM</f>
        <v>1.1788729284669354E-3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'2025'!Wh/'2025'!Env_an*'2026'!Env_an</f>
        <v>46.886576386463595</v>
      </c>
      <c r="C97" s="829"/>
      <c r="D97" s="391">
        <f t="shared" si="25"/>
        <v>49.304741848828499</v>
      </c>
      <c r="E97" s="383">
        <f t="shared" si="47"/>
        <v>52.023520215719103</v>
      </c>
      <c r="F97" s="383">
        <f t="shared" si="26"/>
        <v>52.081333051609924</v>
      </c>
      <c r="G97" s="110">
        <f t="shared" si="48"/>
        <v>0.98126162036808928</v>
      </c>
      <c r="H97" s="412" t="b">
        <f>Wh_hp&gt;='2025'!Maxi_hp</f>
        <v>0</v>
      </c>
      <c r="I97" s="388">
        <f>IF(H97,Wh_hp,'2025'!Maxi_hp)</f>
        <v>52.432685420203406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4.9045292028485954E-2</v>
      </c>
      <c r="M97" s="832"/>
      <c r="N97" s="832"/>
      <c r="O97" s="48">
        <f>IF(t&lt;Tnet,'2025'!Resal+('2025'!Salim-'2025'!Resal)*(1-EXP(('2025'!Tnet-t)/('2025'!Tau_j))),Resal+(Salim-Resal)*(1-EXP((Tnet-t)/(Tau_j))))*Salcycl</f>
        <v>5.2260561292603806E-2</v>
      </c>
      <c r="P97" s="169">
        <f>(INDEX(Models!$BJ97:$BT97,,T97)*(1-R97)+INDEX(Models!$BJ97:$BT97,,T97+1)*R97-ERP_i)*Q97*Ramure*Pc/MaxiM</f>
        <v>1.1405313025727149E-3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47.780474256817058</v>
      </c>
      <c r="W97" s="400">
        <f t="shared" si="34"/>
        <v>46.886576386463595</v>
      </c>
      <c r="X97" s="157">
        <f t="shared" si="35"/>
        <v>46105</v>
      </c>
      <c r="Y97" s="383">
        <f t="shared" si="36"/>
        <v>45.735903526789436</v>
      </c>
      <c r="Z97" s="383">
        <f t="shared" si="37"/>
        <v>48.09472327483283</v>
      </c>
      <c r="AA97" s="384">
        <f t="shared" si="38"/>
        <v>52.023520215719103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7.5519628902374319E-2</v>
      </c>
      <c r="AD97" s="230">
        <f>(INDEX(Models!$BJ97:$BT97,,AH97)*(1-AF97)+INDEX(Models!$BJ97:$BT97,,AH97+1)*AF97-ERP_i)*AE97*Ramure*Pc/MaxiM</f>
        <v>1.1405313025727149E-3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'2025'!Wh/'2025'!Env_an*'2026'!Env_an</f>
        <v>41.726639613243158</v>
      </c>
      <c r="C98" s="829"/>
      <c r="D98" s="391">
        <f t="shared" si="25"/>
        <v>43.879523346708041</v>
      </c>
      <c r="E98" s="383">
        <f t="shared" si="47"/>
        <v>46.301476083831886</v>
      </c>
      <c r="F98" s="383">
        <f t="shared" si="26"/>
        <v>46.342924020811431</v>
      </c>
      <c r="G98" s="110">
        <f t="shared" si="48"/>
        <v>0.86708583968820985</v>
      </c>
      <c r="H98" s="412" t="b">
        <f>Wh_hp&gt;='2025'!Maxi_hp</f>
        <v>0</v>
      </c>
      <c r="I98" s="388">
        <f>IF(H98,Wh_hp,'2025'!Maxi_hp)</f>
        <v>46.350209045253081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4.906351685851662E-2</v>
      </c>
      <c r="M98" s="832"/>
      <c r="N98" s="832"/>
      <c r="O98" s="48">
        <f>IF(t&lt;Tnet,'2025'!Resal+('2025'!Salim-'2025'!Resal)*(1-EXP(('2025'!Tnet-t)/('2025'!Tau_j))),Resal+(Salim-Resal)*(1-EXP((Tnet-t)/(Tau_j))))*Salcycl</f>
        <v>5.2308326687873635E-2</v>
      </c>
      <c r="P98" s="169">
        <f>(INDEX(Models!$BJ98:$BT98,,T98)*(1-R98)+INDEX(Models!$BJ98:$BT98,,T98+1)*R98-ERP_i)*Q98*Ramure*Pc/MaxiM</f>
        <v>1.1036455770418688E-3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48.112767750124064</v>
      </c>
      <c r="W98" s="400">
        <f t="shared" si="34"/>
        <v>41.726639613243158</v>
      </c>
      <c r="X98" s="157">
        <f t="shared" si="35"/>
        <v>46106</v>
      </c>
      <c r="Y98" s="383">
        <f t="shared" si="36"/>
        <v>40.703403201863189</v>
      </c>
      <c r="Z98" s="383">
        <f t="shared" si="37"/>
        <v>42.80349310754881</v>
      </c>
      <c r="AA98" s="384">
        <f t="shared" si="38"/>
        <v>46.301476083831886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7.5547979722066338E-2</v>
      </c>
      <c r="AD98" s="230">
        <f>(INDEX(Models!$BJ98:$BT98,,AH98)*(1-AF98)+INDEX(Models!$BJ98:$BT98,,AH98+1)*AF98-ERP_i)*AE98*Ramure*Pc/MaxiM</f>
        <v>1.1036455770418688E-3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'2025'!Wh/'2025'!Env_an*'2026'!Env_an</f>
        <v>46.192066664938174</v>
      </c>
      <c r="C99" s="829"/>
      <c r="D99" s="391">
        <f t="shared" si="25"/>
        <v>48.576274820924198</v>
      </c>
      <c r="E99" s="383">
        <f t="shared" si="47"/>
        <v>51.260068644235993</v>
      </c>
      <c r="F99" s="383">
        <f t="shared" si="26"/>
        <v>51.31124242392319</v>
      </c>
      <c r="G99" s="110">
        <f t="shared" si="48"/>
        <v>0.95348535752147834</v>
      </c>
      <c r="H99" s="412" t="b">
        <f>Wh_hp&gt;='2025'!Maxi_hp</f>
        <v>0</v>
      </c>
      <c r="I99" s="388">
        <f>IF(H99,Wh_hp,'2025'!Maxi_hp)</f>
        <v>54.664172365947202</v>
      </c>
      <c r="J99" s="85">
        <f>IF(H99,An,'2025'!An_max)</f>
        <v>2018</v>
      </c>
      <c r="K99" s="197">
        <f t="shared" si="27"/>
        <v>46107</v>
      </c>
      <c r="L99" s="147">
        <f>IF(t&lt;Tvie,1-EXP((T0-t)*PertePVj)+'2025'!Pspv,1-EXP((T0-t)*PertePVj)+Pspv)</f>
        <v>4.9081741339272567E-2</v>
      </c>
      <c r="M99" s="832"/>
      <c r="N99" s="832"/>
      <c r="O99" s="48">
        <f>IF(t&lt;Tnet,'2025'!Resal+('2025'!Salim-'2025'!Resal)*(1-EXP(('2025'!Tnet-t)/('2025'!Tau_j))),Resal+(Salim-Resal)*(1-EXP((Tnet-t)/(Tau_j))))*Salcycl</f>
        <v>5.2356422734006189E-2</v>
      </c>
      <c r="P99" s="169">
        <f>(INDEX(Models!$BJ99:$BT99,,T99)*(1-R99)+INDEX(Models!$BJ99:$BT99,,T99+1)*R99-ERP_i)*Q99*Ramure*Pc/MaxiM</f>
        <v>1.0681990433880721E-3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48.442054226484665</v>
      </c>
      <c r="W99" s="400">
        <f t="shared" si="34"/>
        <v>46.192066664938174</v>
      </c>
      <c r="X99" s="157">
        <f t="shared" si="35"/>
        <v>46107</v>
      </c>
      <c r="Y99" s="383">
        <f t="shared" si="36"/>
        <v>45.060207576301991</v>
      </c>
      <c r="Z99" s="383">
        <f t="shared" si="37"/>
        <v>47.385994711853314</v>
      </c>
      <c r="AA99" s="384">
        <f t="shared" si="38"/>
        <v>51.260068644235993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7.5576838557712314E-2</v>
      </c>
      <c r="AD99" s="230">
        <f>(INDEX(Models!$BJ99:$BT99,,AH99)*(1-AF99)+INDEX(Models!$BJ99:$BT99,,AH99+1)*AF99-ERP_i)*AE99*Ramure*Pc/MaxiM</f>
        <v>1.0681990433880721E-3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'2025'!Wh/'2025'!Env_an*'2026'!Env_an</f>
        <v>44.660068276507602</v>
      </c>
      <c r="C100" s="829"/>
      <c r="D100" s="391">
        <f t="shared" si="25"/>
        <v>46.966102276584081</v>
      </c>
      <c r="E100" s="383">
        <f t="shared" si="47"/>
        <v>49.56346947221774</v>
      </c>
      <c r="F100" s="383">
        <f t="shared" si="26"/>
        <v>49.608619312327917</v>
      </c>
      <c r="G100" s="110">
        <f t="shared" si="48"/>
        <v>0.91566073617720045</v>
      </c>
      <c r="H100" s="412" t="b">
        <f>Wh_hp&gt;='2025'!Maxi_hp</f>
        <v>0</v>
      </c>
      <c r="I100" s="388">
        <f>IF(H100,Wh_hp,'2025'!Maxi_hp)</f>
        <v>53.82661692337178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4.9099965470760454E-2</v>
      </c>
      <c r="M100" s="832"/>
      <c r="N100" s="832"/>
      <c r="O100" s="48">
        <f>IF(t&lt;Tnet,'2025'!Resal+('2025'!Salim-'2025'!Resal)*(1-EXP(('2025'!Tnet-t)/('2025'!Tau_j))),Resal+(Salim-Resal)*(1-EXP((Tnet-t)/(Tau_j))))*Salcycl</f>
        <v>5.2404870427595535E-2</v>
      </c>
      <c r="P100" s="169">
        <f>(INDEX(Models!$BJ100:$BT100,,T100)*(1-R100)+INDEX(Models!$BJ100:$BT100,,T100+1)*R100-ERP_i)*Q100*Ramure*Pc/MaxiM</f>
        <v>1.0346064367152904E-3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48.7675204518196</v>
      </c>
      <c r="W100" s="400">
        <f t="shared" si="34"/>
        <v>44.660068276507602</v>
      </c>
      <c r="X100" s="157">
        <f t="shared" si="35"/>
        <v>46108</v>
      </c>
      <c r="Y100" s="383">
        <f t="shared" si="36"/>
        <v>43.566590180113003</v>
      </c>
      <c r="Z100" s="383">
        <f t="shared" si="37"/>
        <v>45.816162160180632</v>
      </c>
      <c r="AA100" s="384">
        <f t="shared" si="38"/>
        <v>49.56346947221774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7.5606234832644587E-2</v>
      </c>
      <c r="AD100" s="230">
        <f>(INDEX(Models!$BJ100:$BT100,,AH100)*(1-AF100)+INDEX(Models!$BJ100:$BT100,,AH100+1)*AF100-ERP_i)*AE100*Ramure*Pc/MaxiM</f>
        <v>1.0346064367152904E-3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'2025'!Wh/'2025'!Env_an*'2026'!Env_an</f>
        <v>14.381646444316775</v>
      </c>
      <c r="C101" s="829"/>
      <c r="D101" s="391">
        <f t="shared" si="25"/>
        <v>15.124536279665032</v>
      </c>
      <c r="E101" s="383">
        <f t="shared" si="47"/>
        <v>15.961791134905713</v>
      </c>
      <c r="F101" s="383">
        <f t="shared" si="26"/>
        <v>15.961791134905713</v>
      </c>
      <c r="G101" s="110">
        <f t="shared" si="48"/>
        <v>0.29268078421375182</v>
      </c>
      <c r="H101" s="412" t="b">
        <f>Wh_hp&gt;='2025'!Maxi_hp</f>
        <v>0</v>
      </c>
      <c r="I101" s="388">
        <f>IF(H101,Wh_hp,'2025'!Maxi_hp)</f>
        <v>53.283033319082513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4.9118189252987055E-2</v>
      </c>
      <c r="M101" s="832"/>
      <c r="N101" s="832"/>
      <c r="O101" s="48">
        <f>IF(t&lt;Tnet,'2025'!Resal+('2025'!Salim-'2025'!Resal)*(1-EXP(('2025'!Tnet-t)/('2025'!Tau_j))),Resal+(Salim-Resal)*(1-EXP((Tnet-t)/(Tau_j))))*Salcycl</f>
        <v>5.2453690702025803E-2</v>
      </c>
      <c r="P101" s="169">
        <f>(INDEX(Models!$BJ101:$BT101,,T101)*(1-R101)+INDEX(Models!$BJ101:$BT101,,T101+1)*R101-ERP_i)*Q101*Ramure*Pc/MaxiM</f>
        <v>1.0024669155212519E-3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49.08839286515267</v>
      </c>
      <c r="W101" s="400">
        <f t="shared" si="34"/>
        <v>14.381646444316775</v>
      </c>
      <c r="X101" s="157">
        <f t="shared" si="35"/>
        <v>46109</v>
      </c>
      <c r="Y101" s="383">
        <f t="shared" si="36"/>
        <v>14.029787524311255</v>
      </c>
      <c r="Z101" s="383">
        <f t="shared" si="37"/>
        <v>14.754501943085282</v>
      </c>
      <c r="AA101" s="384">
        <f t="shared" si="38"/>
        <v>15.961791134905713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7.5636197818695711E-2</v>
      </c>
      <c r="AD101" s="230">
        <f>(INDEX(Models!$BJ101:$BT101,,AH101)*(1-AF101)+INDEX(Models!$BJ101:$BT101,,AH101+1)*AF101-ERP_i)*AE101*Ramure*Pc/MaxiM</f>
        <v>1.0024669155212519E-3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'2025'!Wh/'2025'!Env_an*'2026'!Env_an</f>
        <v>27.603550480290071</v>
      </c>
      <c r="C102" s="829"/>
      <c r="D102" s="391">
        <f t="shared" si="25"/>
        <v>29.029979534986094</v>
      </c>
      <c r="E102" s="383">
        <f t="shared" si="47"/>
        <v>30.638594745049009</v>
      </c>
      <c r="F102" s="383">
        <f t="shared" si="26"/>
        <v>30.649603448678086</v>
      </c>
      <c r="G102" s="110">
        <f t="shared" si="48"/>
        <v>0.55839005235608608</v>
      </c>
      <c r="H102" s="412" t="b">
        <f>Wh_hp&gt;='2025'!Maxi_hp</f>
        <v>0</v>
      </c>
      <c r="I102" s="388">
        <f>IF(H102,Wh_hp,'2025'!Maxi_hp)</f>
        <v>55.473113479022246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4.913641268595903E-2</v>
      </c>
      <c r="M102" s="832"/>
      <c r="N102" s="832"/>
      <c r="O102" s="48">
        <f>IF(t&lt;Tnet,'2025'!Resal+('2025'!Salim-'2025'!Resal)*(1-EXP(('2025'!Tnet-t)/('2025'!Tau_j))),Resal+(Salim-Resal)*(1-EXP((Tnet-t)/(Tau_j))))*Salcycl</f>
        <v>5.2502904374322062E-2</v>
      </c>
      <c r="P102" s="169">
        <f>(INDEX(Models!$BJ102:$BT102,,T102)*(1-R102)+INDEX(Models!$BJ102:$BT102,,T102+1)*R102-ERP_i)*Q102*Ramure*Pc/MaxiM</f>
        <v>9.7175877347379486E-4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49.403879815299867</v>
      </c>
      <c r="W102" s="400">
        <f t="shared" si="34"/>
        <v>27.603550480290071</v>
      </c>
      <c r="X102" s="157">
        <f t="shared" si="35"/>
        <v>46110</v>
      </c>
      <c r="Y102" s="383">
        <f t="shared" si="36"/>
        <v>26.928715099702938</v>
      </c>
      <c r="Z102" s="383">
        <f t="shared" si="37"/>
        <v>28.320271655127762</v>
      </c>
      <c r="AA102" s="384">
        <f t="shared" si="38"/>
        <v>30.638594745049009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7.5666756560232681E-2</v>
      </c>
      <c r="AD102" s="230">
        <f>(INDEX(Models!$BJ102:$BT102,,AH102)*(1-AF102)+INDEX(Models!$BJ102:$BT102,,AH102+1)*AF102-ERP_i)*AE102*Ramure*Pc/MaxiM</f>
        <v>9.7175877347379486E-4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'2025'!Wh/'2025'!Env_an*'2026'!Env_an</f>
        <v>7.7400036788139399</v>
      </c>
      <c r="C103" s="829"/>
      <c r="D103" s="391">
        <f t="shared" si="25"/>
        <v>8.1401287422579571</v>
      </c>
      <c r="E103" s="383">
        <f t="shared" si="47"/>
        <v>8.5916412445001225</v>
      </c>
      <c r="F103" s="383">
        <f t="shared" si="26"/>
        <v>8.5916412445001225</v>
      </c>
      <c r="G103" s="110">
        <f t="shared" si="48"/>
        <v>0.15554642654038936</v>
      </c>
      <c r="H103" s="412" t="b">
        <f>Wh_hp&gt;='2025'!Maxi_hp</f>
        <v>0</v>
      </c>
      <c r="I103" s="388">
        <f>IF(H103,Wh_hp,'2025'!Maxi_hp)</f>
        <v>54.228775027955102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4.9154635769683042E-2</v>
      </c>
      <c r="M103" s="832"/>
      <c r="N103" s="832"/>
      <c r="O103" s="48">
        <f>IF(t&lt;Tnet,'2025'!Resal+('2025'!Salim-'2025'!Resal)*(1-EXP(('2025'!Tnet-t)/('2025'!Tau_j))),Resal+(Salim-Resal)*(1-EXP((Tnet-t)/(Tau_j))))*Salcycl</f>
        <v>5.2552532094051092E-2</v>
      </c>
      <c r="P103" s="169">
        <f>(INDEX(Models!$BJ103:$BT103,,T103)*(1-R103)+INDEX(Models!$BJ103:$BT103,,T103+1)*R103-ERP_i)*Q103*Ramure*Pc/MaxiM</f>
        <v>9.4245979216718481E-4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49.713189872269723</v>
      </c>
      <c r="W103" s="400">
        <f t="shared" si="34"/>
        <v>7.7400036788139399</v>
      </c>
      <c r="X103" s="157">
        <f t="shared" si="35"/>
        <v>46111</v>
      </c>
      <c r="Y103" s="383">
        <f t="shared" si="36"/>
        <v>7.55092138468068</v>
      </c>
      <c r="Z103" s="383">
        <f t="shared" si="37"/>
        <v>7.9412717027788657</v>
      </c>
      <c r="AA103" s="384">
        <f t="shared" si="38"/>
        <v>8.5916412445001225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7.569793980138384E-2</v>
      </c>
      <c r="AD103" s="230">
        <f>(INDEX(Models!$BJ103:$BT103,,AH103)*(1-AF103)+INDEX(Models!$BJ103:$BT103,,AH103+1)*AF103-ERP_i)*AE103*Ramure*Pc/MaxiM</f>
        <v>9.4245979216718481E-4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'2025'!Wh/'2025'!Env_an*'2026'!Env_an</f>
        <v>27.595285193681779</v>
      </c>
      <c r="C104" s="829"/>
      <c r="D104" s="391">
        <f t="shared" si="25"/>
        <v>29.022399539698753</v>
      </c>
      <c r="E104" s="383">
        <f t="shared" si="47"/>
        <v>30.633817830734529</v>
      </c>
      <c r="F104" s="383">
        <f t="shared" si="26"/>
        <v>30.633817830734529</v>
      </c>
      <c r="G104" s="110">
        <f t="shared" si="48"/>
        <v>0.55122972781578738</v>
      </c>
      <c r="H104" s="412" t="b">
        <f>Wh_hp&gt;='2025'!Maxi_hp</f>
        <v>0</v>
      </c>
      <c r="I104" s="388">
        <f>IF(H104,Wh_hp,'2025'!Maxi_hp)</f>
        <v>49.948595361830613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4.9172858504165862E-2</v>
      </c>
      <c r="M104" s="832"/>
      <c r="N104" s="832"/>
      <c r="O104" s="48">
        <f>IF(t&lt;Tnet,'2025'!Resal+('2025'!Salim-'2025'!Resal)*(1-EXP(('2025'!Tnet-t)/('2025'!Tau_j))),Resal+(Salim-Resal)*(1-EXP((Tnet-t)/(Tau_j))))*Salcycl</f>
        <v>5.2602594294305006E-2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50.061315275985443</v>
      </c>
      <c r="W104" s="400">
        <f t="shared" si="34"/>
        <v>27.595285193681779</v>
      </c>
      <c r="X104" s="157">
        <f t="shared" si="35"/>
        <v>46112</v>
      </c>
      <c r="Y104" s="383">
        <f t="shared" si="36"/>
        <v>26.912812497248741</v>
      </c>
      <c r="Z104" s="383">
        <f t="shared" si="37"/>
        <v>28.304632169954367</v>
      </c>
      <c r="AA104" s="384">
        <f t="shared" si="38"/>
        <v>30.623762869804477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7.5729775916492978E-2</v>
      </c>
      <c r="AD104" s="230">
        <f>(INDEX(Models!$BJ104:$BT104,,AH104)*(1-AF104)+INDEX(Models!$BJ104:$BT104,,AH104+1)*AF104-ERP_i)*AE104*Ramure*Pc/MaxiM</f>
        <v>9.1454751535481518E-4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'2025'!Wh/'2025'!Env_an*'2026'!Env_an</f>
        <v>32.314521408023971</v>
      </c>
      <c r="C105" s="829"/>
      <c r="D105" s="391">
        <f t="shared" si="25"/>
        <v>33.986346529281512</v>
      </c>
      <c r="E105" s="383">
        <f t="shared" si="47"/>
        <v>35.875292281109267</v>
      </c>
      <c r="F105" s="383">
        <f t="shared" si="26"/>
        <v>35.875294063203555</v>
      </c>
      <c r="G105" s="110">
        <f t="shared" si="48"/>
        <v>0.64173631747639159</v>
      </c>
      <c r="H105" s="412" t="b">
        <f>Wh_hp&gt;='2025'!Maxi_hp</f>
        <v>0</v>
      </c>
      <c r="I105" s="388">
        <f>IF(H105,Wh_hp,'2025'!Maxi_hp)</f>
        <v>50.703405728850484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4.9191080889414041E-2</v>
      </c>
      <c r="M105" s="832"/>
      <c r="N105" s="832"/>
      <c r="O105" s="48">
        <f>IF(t&lt;Tnet,'2025'!Resal+('2025'!Salim-'2025'!Resal)*(1-EXP(('2025'!Tnet-t)/('2025'!Tau_j))),Resal+(Salim-Resal)*(1-EXP((Tnet-t)/(Tau_j))))*Salcycl</f>
        <v>5.2653111144753302E-2</v>
      </c>
      <c r="P105" s="169">
        <f>(INDEX(Models!$BJ105:$BT105,,T105)*(1-R105)+INDEX(Models!$BJ105:$BT105,,T105+1)*R105-ERP_i)*Q105*Ramure*Pc/MaxiM</f>
        <v>1.017517929656172E-7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50.3548246299247</v>
      </c>
      <c r="W105" s="400">
        <f t="shared" si="34"/>
        <v>32.314521408023971</v>
      </c>
      <c r="X105" s="157">
        <f t="shared" si="35"/>
        <v>46113</v>
      </c>
      <c r="Y105" s="383">
        <f t="shared" si="36"/>
        <v>31.512588965866463</v>
      </c>
      <c r="Z105" s="383">
        <f t="shared" si="37"/>
        <v>33.142925284445425</v>
      </c>
      <c r="AA105" s="384">
        <f t="shared" si="38"/>
        <v>35.859741523013767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7.5762292843766399E-2</v>
      </c>
      <c r="AD105" s="230">
        <f>(INDEX(Models!$BJ105:$BT105,,AH105)*(1-AF105)+INDEX(Models!$BJ105:$BT105,,AH105+1)*AF105-ERP_i)*AE105*Ramure*Pc/MaxiM</f>
        <v>8.8799950777548593E-4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'2025'!Wh/'2025'!Env_an*'2026'!Env_an</f>
        <v>20.173130623737812</v>
      </c>
      <c r="C106" s="829"/>
      <c r="D106" s="391">
        <f t="shared" si="25"/>
        <v>21.217214983073966</v>
      </c>
      <c r="E106" s="383">
        <f t="shared" si="47"/>
        <v>22.397663749223732</v>
      </c>
      <c r="F106" s="383">
        <f t="shared" si="26"/>
        <v>22.397664385223141</v>
      </c>
      <c r="G106" s="110">
        <f t="shared" si="48"/>
        <v>0.39836483325875133</v>
      </c>
      <c r="H106" s="412" t="b">
        <f>Wh_hp&gt;='2025'!Maxi_hp</f>
        <v>0</v>
      </c>
      <c r="I106" s="388">
        <f>IF(H106,Wh_hp,'2025'!Maxi_hp)</f>
        <v>45.942881049826532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4.9209302925434462E-2</v>
      </c>
      <c r="M106" s="832"/>
      <c r="N106" s="832"/>
      <c r="O106" s="48">
        <f>IF(t&lt;Tnet,'2025'!Resal+('2025'!Salim-'2025'!Resal)*(1-EXP(('2025'!Tnet-t)/('2025'!Tau_j))),Resal+(Salim-Resal)*(1-EXP((Tnet-t)/(Tau_j))))*Salcycl</f>
        <v>5.2704102506703578E-2</v>
      </c>
      <c r="P106" s="169">
        <f>(INDEX(Models!$BJ106:$BT106,,T106)*(1-R106)+INDEX(Models!$BJ106:$BT106,,T106+1)*R106-ERP_i)*Q106*Ramure*Pc/MaxiM</f>
        <v>2.0207465870298151E-7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50.639829211500995</v>
      </c>
      <c r="W106" s="400">
        <f t="shared" si="34"/>
        <v>20.173130623737812</v>
      </c>
      <c r="X106" s="157">
        <f t="shared" si="35"/>
        <v>46114</v>
      </c>
      <c r="Y106" s="383">
        <f t="shared" si="36"/>
        <v>19.67900197821395</v>
      </c>
      <c r="Z106" s="383">
        <f t="shared" si="37"/>
        <v>20.697512122029764</v>
      </c>
      <c r="AA106" s="384">
        <f t="shared" si="38"/>
        <v>22.394948872930019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7.5795518022014272E-2</v>
      </c>
      <c r="AD106" s="230">
        <f>(INDEX(Models!$BJ106:$BT106,,AH106)*(1-AF106)+INDEX(Models!$BJ106:$BT106,,AH106+1)*AF106-ERP_i)*AE106*Ramure*Pc/MaxiM</f>
        <v>8.6279359988461956E-4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'2025'!Wh/'2025'!Env_an*'2026'!Env_an</f>
        <v>22.443083728065041</v>
      </c>
      <c r="C107" s="829"/>
      <c r="D107" s="391">
        <f t="shared" si="25"/>
        <v>23.605104595515112</v>
      </c>
      <c r="E107" s="383">
        <f t="shared" si="47"/>
        <v>24.919761250357887</v>
      </c>
      <c r="F107" s="383">
        <f t="shared" si="26"/>
        <v>24.919762759951499</v>
      </c>
      <c r="G107" s="110">
        <f t="shared" si="48"/>
        <v>0.44077138530120835</v>
      </c>
      <c r="H107" s="412" t="b">
        <f>Wh_hp&gt;='2025'!Maxi_hp</f>
        <v>0</v>
      </c>
      <c r="I107" s="388">
        <f>IF(H107,Wh_hp,'2025'!Maxi_hp)</f>
        <v>55.561785950469968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4.9227524612233675E-2</v>
      </c>
      <c r="M107" s="832"/>
      <c r="N107" s="832"/>
      <c r="O107" s="48">
        <f>IF(t&lt;Tnet,'2025'!Resal+('2025'!Salim-'2025'!Resal)*(1-EXP(('2025'!Tnet-t)/('2025'!Tau_j))),Resal+(Salim-Resal)*(1-EXP((Tnet-t)/(Tau_j))))*Salcycl</f>
        <v>5.2755587890068234E-2</v>
      </c>
      <c r="P107" s="169">
        <f>(INDEX(Models!$BJ107:$BT107,,T107)*(1-R107)+INDEX(Models!$BJ107:$BT107,,T107+1)*R107-ERP_i)*Q107*Ramure*Pc/MaxiM</f>
        <v>3.0123086894336344E-7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50.917729860660508</v>
      </c>
      <c r="W107" s="400">
        <f t="shared" si="34"/>
        <v>22.443083728065041</v>
      </c>
      <c r="X107" s="157">
        <f t="shared" si="35"/>
        <v>46115</v>
      </c>
      <c r="Y107" s="383">
        <f t="shared" si="36"/>
        <v>21.892700936723244</v>
      </c>
      <c r="Z107" s="383">
        <f t="shared" si="37"/>
        <v>23.026224994359929</v>
      </c>
      <c r="AA107" s="384">
        <f t="shared" si="38"/>
        <v>24.915558822152292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7.5829478330326175E-2</v>
      </c>
      <c r="AD107" s="230">
        <f>(INDEX(Models!$BJ107:$BT107,,AH107)*(1-AF107)+INDEX(Models!$BJ107:$BT107,,AH107+1)*AF107-ERP_i)*AE107*Ramure*Pc/MaxiM</f>
        <v>8.3887201515119502E-4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'2025'!Wh/'2025'!Env_an*'2026'!Env_an</f>
        <v>45.178507090898009</v>
      </c>
      <c r="C108" s="829"/>
      <c r="D108" s="391">
        <f t="shared" si="25"/>
        <v>47.518595786912414</v>
      </c>
      <c r="E108" s="383">
        <f t="shared" si="47"/>
        <v>50.167838239872481</v>
      </c>
      <c r="F108" s="383">
        <f t="shared" si="26"/>
        <v>50.167854916421106</v>
      </c>
      <c r="G108" s="110">
        <f t="shared" si="48"/>
        <v>0.88255833837142772</v>
      </c>
      <c r="H108" s="412" t="b">
        <f>Wh_hp&gt;='2025'!Maxi_hp</f>
        <v>0</v>
      </c>
      <c r="I108" s="388">
        <f>IF(H108,Wh_hp,'2025'!Maxi_hp)</f>
        <v>57.558924699627966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4.9245745949818454E-2</v>
      </c>
      <c r="M108" s="832"/>
      <c r="N108" s="832"/>
      <c r="O108" s="48">
        <f>IF(t&lt;Tnet,'2025'!Resal+('2025'!Salim-'2025'!Resal)*(1-EXP(('2025'!Tnet-t)/('2025'!Tau_j))),Resal+(Salim-Resal)*(1-EXP((Tnet-t)/(Tau_j))))*Salcycl</f>
        <v>5.2807586412094973E-2</v>
      </c>
      <c r="P108" s="169">
        <f>(INDEX(Models!$BJ108:$BT108,,T108)*(1-R108)+INDEX(Models!$BJ108:$BT108,,T108+1)*R108-ERP_i)*Q108*Ramure*Pc/MaxiM</f>
        <v>3.9942865269028013E-7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51.190388327969899</v>
      </c>
      <c r="W108" s="400">
        <f t="shared" si="34"/>
        <v>45.178507090898009</v>
      </c>
      <c r="X108" s="157">
        <f t="shared" si="35"/>
        <v>46116</v>
      </c>
      <c r="Y108" s="383">
        <f t="shared" si="36"/>
        <v>44.048836019544638</v>
      </c>
      <c r="Z108" s="383">
        <f t="shared" si="37"/>
        <v>46.33041170407396</v>
      </c>
      <c r="AA108" s="384">
        <f t="shared" si="38"/>
        <v>50.133770064530829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7.5864200030464332E-2</v>
      </c>
      <c r="AD108" s="230">
        <f>(INDEX(Models!$BJ108:$BT108,,AH108)*(1-AF108)+INDEX(Models!$BJ108:$BT108,,AH108+1)*AF108-ERP_i)*AE108*Ramure*Pc/MaxiM</f>
        <v>8.1638393965051219E-4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'2025'!Wh/'2025'!Env_an*'2026'!Env_an</f>
        <v>51.842717054718875</v>
      </c>
      <c r="C109" s="829"/>
      <c r="D109" s="391">
        <f t="shared" si="25"/>
        <v>54.529033561252149</v>
      </c>
      <c r="E109" s="383">
        <f t="shared" si="47"/>
        <v>57.572312734402537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Wh_hp&gt;='2025'!Maxi_hp</f>
        <v>0</v>
      </c>
      <c r="I109" s="388">
        <f>IF(H109,Wh_hp,'2025'!Maxi_hp)</f>
        <v>59.132284614261103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4.9263966938195347E-2</v>
      </c>
      <c r="M109" s="832"/>
      <c r="N109" s="832"/>
      <c r="O109" s="48">
        <f>IF(t&lt;Tnet,'2025'!Resal+('2025'!Salim-'2025'!Resal)*(1-EXP(('2025'!Tnet-t)/('2025'!Tau_j))),Resal+(Salim-Resal)*(1-EXP((Tnet-t)/(Tau_j))))*Salcycl</f>
        <v>5.2860116757683519E-2</v>
      </c>
      <c r="P109" s="169">
        <f>(INDEX(Models!$BJ109:$BT109,,T109)*(1-R109)+INDEX(Models!$BJ109:$BT109,,T109+1)*R109-ERP_i)*Q109*Ramure*Pc/MaxiM</f>
        <v>4.9666551374385479E-7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51.457705462108507</v>
      </c>
      <c r="W109" s="400">
        <f t="shared" si="34"/>
        <v>51.842717054718875</v>
      </c>
      <c r="X109" s="157">
        <f t="shared" si="35"/>
        <v>46117</v>
      </c>
      <c r="Y109" s="383">
        <f t="shared" si="36"/>
        <v>50.541439677525481</v>
      </c>
      <c r="Z109" s="383">
        <f t="shared" si="37"/>
        <v>53.160328335046835</v>
      </c>
      <c r="AA109" s="384">
        <f t="shared" si="38"/>
        <v>57.52657891811274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7.5899708711709105E-2</v>
      </c>
      <c r="AD109" s="230">
        <f>(INDEX(Models!$BJ109:$BT109,,AH109)*(1-AF109)+INDEX(Models!$BJ109:$BT109,,AH109+1)*AF109-ERP_i)*AE109*Ramure*Pc/MaxiM</f>
        <v>7.9486797705667102E-4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'2025'!Wh/'2025'!Env_an*'2026'!Env_an</f>
        <v>11.221795355331274</v>
      </c>
      <c r="C110" s="829"/>
      <c r="D110" s="391">
        <f t="shared" si="25"/>
        <v>11.803497534916046</v>
      </c>
      <c r="E110" s="383">
        <f t="shared" si="47"/>
        <v>12.462952180608429</v>
      </c>
      <c r="F110" s="383">
        <f t="shared" si="26"/>
        <v>12.462952180608429</v>
      </c>
      <c r="G110" s="110">
        <f t="shared" si="48"/>
        <v>0.21697369221189022</v>
      </c>
      <c r="H110" s="412" t="b">
        <f>Wh_hp&gt;='2025'!Maxi_hp</f>
        <v>0</v>
      </c>
      <c r="I110" s="388">
        <f>IF(H110,Wh_hp,'2025'!Maxi_hp)</f>
        <v>59.680123270108488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4.9282187577371239E-2</v>
      </c>
      <c r="M110" s="832"/>
      <c r="N110" s="832"/>
      <c r="O110" s="48">
        <f>IF(t&lt;Tnet,'2025'!Resal+('2025'!Salim-'2025'!Resal)*(1-EXP(('2025'!Tnet-t)/('2025'!Tau_j))),Resal+(Salim-Resal)*(1-EXP((Tnet-t)/(Tau_j))))*Salcycl</f>
        <v>5.2913197141079622E-2</v>
      </c>
      <c r="P110" s="169">
        <f>(INDEX(Models!$BJ110:$BT110,,T110)*(1-R110)+INDEX(Models!$BJ110:$BT110,,T110+1)*R110-ERP_i)*Q110*Ramure*Pc/MaxiM</f>
        <v>5.930285383242665E-7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51.719582158041099</v>
      </c>
      <c r="W110" s="400">
        <f t="shared" si="34"/>
        <v>11.221795355331274</v>
      </c>
      <c r="X110" s="157">
        <f t="shared" si="35"/>
        <v>46118</v>
      </c>
      <c r="Y110" s="383">
        <f t="shared" si="36"/>
        <v>10.949003558940298</v>
      </c>
      <c r="Z110" s="383">
        <f t="shared" si="37"/>
        <v>11.516565079431862</v>
      </c>
      <c r="AA110" s="384">
        <f t="shared" si="38"/>
        <v>12.462952180608429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7.5936029237846675E-2</v>
      </c>
      <c r="AD110" s="230">
        <f>(INDEX(Models!$BJ110:$BT110,,AH110)*(1-AF110)+INDEX(Models!$BJ110:$BT110,,AH110+1)*AF110-ERP_i)*AE110*Ramure*Pc/MaxiM</f>
        <v>7.743029801059861E-4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'2025'!Wh/'2025'!Env_an*'2026'!Env_an</f>
        <v>37.671117189289099</v>
      </c>
      <c r="C111" s="829"/>
      <c r="D111" s="391">
        <f t="shared" si="25"/>
        <v>39.624627485937751</v>
      </c>
      <c r="E111" s="383">
        <f t="shared" si="47"/>
        <v>41.840802814533831</v>
      </c>
      <c r="F111" s="383">
        <f t="shared" si="26"/>
        <v>41.840820298358913</v>
      </c>
      <c r="G111" s="110">
        <f t="shared" si="48"/>
        <v>0.72478000291834332</v>
      </c>
      <c r="H111" s="412" t="b">
        <f>Wh_hp&gt;='2025'!Maxi_hp</f>
        <v>0</v>
      </c>
      <c r="I111" s="388">
        <f>IF(H111,Wh_hp,'2025'!Maxi_hp)</f>
        <v>57.850737846912956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4.9300407867352791E-2</v>
      </c>
      <c r="M111" s="832"/>
      <c r="N111" s="832"/>
      <c r="O111" s="48">
        <f>IF(t&lt;Tnet,'2025'!Resal+('2025'!Salim-'2025'!Resal)*(1-EXP(('2025'!Tnet-t)/('2025'!Tau_j))),Resal+(Salim-Resal)*(1-EXP((Tnet-t)/(Tau_j))))*Salcycl</f>
        <v>5.296684526871144E-2</v>
      </c>
      <c r="P111" s="169">
        <f>(INDEX(Models!$BJ111:$BT111,,T111)*(1-R111)+INDEX(Models!$BJ111:$BT111,,T111+1)*R111-ERP_i)*Q111*Ramure*Pc/MaxiM</f>
        <v>6.8860478844939615E-7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51.975919366622435</v>
      </c>
      <c r="W111" s="400">
        <f t="shared" si="34"/>
        <v>37.671117189289099</v>
      </c>
      <c r="X111" s="157">
        <f t="shared" si="35"/>
        <v>46119</v>
      </c>
      <c r="Y111" s="383">
        <f t="shared" si="36"/>
        <v>36.739152970818175</v>
      </c>
      <c r="Z111" s="383">
        <f t="shared" si="37"/>
        <v>38.644334419459931</v>
      </c>
      <c r="AA111" s="384">
        <f t="shared" si="38"/>
        <v>41.821659091750327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7.597318569595321E-2</v>
      </c>
      <c r="AD111" s="230">
        <f>(INDEX(Models!$BJ111:$BT111,,AH111)*(1-AF111)+INDEX(Models!$BJ111:$BT111,,AH111+1)*AF111-ERP_i)*AE111*Ramure*Pc/MaxiM</f>
        <v>7.5466887595761092E-4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'2025'!Wh/'2025'!Env_an*'2026'!Env_an</f>
        <v>30.605446436652148</v>
      </c>
      <c r="C112" s="829"/>
      <c r="D112" s="391">
        <f t="shared" si="25"/>
        <v>32.193169375023558</v>
      </c>
      <c r="E112" s="383">
        <f t="shared" si="47"/>
        <v>33.995655697731834</v>
      </c>
      <c r="F112" s="383">
        <f t="shared" si="26"/>
        <v>33.995666580492177</v>
      </c>
      <c r="G112" s="110">
        <f t="shared" si="48"/>
        <v>0.5860121403532923</v>
      </c>
      <c r="H112" s="412" t="b">
        <f>Wh_hp&gt;='2025'!Maxi_hp</f>
        <v>0</v>
      </c>
      <c r="I112" s="388">
        <f>IF(H112,Wh_hp,'2025'!Maxi_hp)</f>
        <v>57.096062387011123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4.9318627808146553E-2</v>
      </c>
      <c r="M112" s="832"/>
      <c r="N112" s="832"/>
      <c r="O112" s="48">
        <f>IF(t&lt;Tnet,'2025'!Resal+('2025'!Salim-'2025'!Resal)*(1-EXP(('2025'!Tnet-t)/('2025'!Tau_j))),Resal+(Salim-Resal)*(1-EXP((Tnet-t)/(Tau_j))))*Salcycl</f>
        <v>5.3021078302912028E-2</v>
      </c>
      <c r="P112" s="169">
        <f>(INDEX(Models!$BJ112:$BT112,,T112)*(1-R112)+INDEX(Models!$BJ112:$BT112,,T112+1)*R112-ERP_i)*Q112*Ramure*Pc/MaxiM</f>
        <v>7.8348135135689649E-7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52.226618098519495</v>
      </c>
      <c r="W112" s="400">
        <f t="shared" si="34"/>
        <v>30.605446436652148</v>
      </c>
      <c r="X112" s="157">
        <f t="shared" si="35"/>
        <v>46120</v>
      </c>
      <c r="Y112" s="383">
        <f t="shared" si="36"/>
        <v>29.853457737937049</v>
      </c>
      <c r="Z112" s="383">
        <f t="shared" si="37"/>
        <v>31.402169655547258</v>
      </c>
      <c r="AA112" s="384">
        <f t="shared" si="38"/>
        <v>33.985444089053985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7.6011201346600804E-2</v>
      </c>
      <c r="AD112" s="230">
        <f>(INDEX(Models!$BJ112:$BT112,,AH112)*(1-AF112)+INDEX(Models!$BJ112:$BT112,,AH112+1)*AF112-ERP_i)*AE112*Ramure*Pc/MaxiM</f>
        <v>7.3594668604867188E-4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'2025'!Wh/'2025'!Env_an*'2026'!Env_an</f>
        <v>35.90652513316828</v>
      </c>
      <c r="C113" s="829"/>
      <c r="D113" s="391">
        <f t="shared" si="25"/>
        <v>37.769976710422874</v>
      </c>
      <c r="E113" s="383">
        <f t="shared" si="47"/>
        <v>39.887016522257689</v>
      </c>
      <c r="F113" s="383">
        <f t="shared" si="26"/>
        <v>39.887035743324105</v>
      </c>
      <c r="G113" s="110">
        <f t="shared" si="48"/>
        <v>0.68430398535888415</v>
      </c>
      <c r="H113" s="412" t="b">
        <f>Wh_hp&gt;='2025'!Maxi_hp</f>
        <v>0</v>
      </c>
      <c r="I113" s="388">
        <f>IF(H113,Wh_hp,'2025'!Maxi_hp)</f>
        <v>45.048186570983958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4.9336847399759298E-2</v>
      </c>
      <c r="M113" s="832"/>
      <c r="N113" s="832"/>
      <c r="O113" s="48">
        <f>IF(t&lt;Tnet,'2025'!Resal+('2025'!Salim-'2025'!Resal)*(1-EXP(('2025'!Tnet-t)/('2025'!Tau_j))),Resal+(Salim-Resal)*(1-EXP((Tnet-t)/(Tau_j))))*Salcycl</f>
        <v>5.3075912826256885E-2</v>
      </c>
      <c r="P113" s="169">
        <f>(INDEX(Models!$BJ113:$BT113,,T113)*(1-R113)+INDEX(Models!$BJ113:$BT113,,T113+1)*R113-ERP_i)*Q113*Ramure*Pc/MaxiM</f>
        <v>8.7774540107289537E-7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52.471579425992623</v>
      </c>
      <c r="W113" s="400">
        <f t="shared" si="34"/>
        <v>35.90652513316828</v>
      </c>
      <c r="X113" s="157">
        <f t="shared" si="35"/>
        <v>46121</v>
      </c>
      <c r="Y113" s="383">
        <f t="shared" si="36"/>
        <v>35.021568431991533</v>
      </c>
      <c r="Z113" s="383">
        <f t="shared" si="37"/>
        <v>36.839093149030781</v>
      </c>
      <c r="AA113" s="384">
        <f t="shared" si="38"/>
        <v>39.871310221709848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7.6050098575090874E-2</v>
      </c>
      <c r="AD113" s="230">
        <f>(INDEX(Models!$BJ113:$BT113,,AH113)*(1-AF113)+INDEX(Models!$BJ113:$BT113,,AH113+1)*AF113-ERP_i)*AE113*Ramure*Pc/MaxiM</f>
        <v>7.1811854642681646E-4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'2025'!Wh/'2025'!Env_an*'2026'!Env_an</f>
        <v>52.505144971600608</v>
      </c>
      <c r="C114" s="829"/>
      <c r="D114" s="391">
        <f t="shared" si="25"/>
        <v>55.231078533333758</v>
      </c>
      <c r="E114" s="383">
        <f t="shared" si="47"/>
        <v>58.330244006901161</v>
      </c>
      <c r="F114" s="383">
        <f t="shared" si="26"/>
        <v>58.330300369076909</v>
      </c>
      <c r="G114" s="110">
        <f t="shared" si="48"/>
        <v>0.99610022672211185</v>
      </c>
      <c r="H114" s="412" t="b">
        <f>Wh_hp&gt;='2025'!Maxi_hp</f>
        <v>1</v>
      </c>
      <c r="I114" s="388">
        <f>IF(H114,Wh_hp,'2025'!Maxi_hp)</f>
        <v>58.330300369076909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4.9355066642197798E-2</v>
      </c>
      <c r="M114" s="832"/>
      <c r="N114" s="832"/>
      <c r="O114" s="48">
        <f>IF(t&lt;Tnet,'2025'!Resal+('2025'!Salim-'2025'!Resal)*(1-EXP(('2025'!Tnet-t)/('2025'!Tau_j))),Resal+(Salim-Resal)*(1-EXP((Tnet-t)/(Tau_j))))*Salcycl</f>
        <v>5.3131364806235634E-2</v>
      </c>
      <c r="P114" s="169">
        <f>(INDEX(Models!$BJ114:$BT114,,T114)*(1-R114)+INDEX(Models!$BJ114:$BT114,,T114+1)*R114-ERP_i)*Q114*Ramure*Pc/MaxiM</f>
        <v>9.716722468031313E-7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52.710704484181335</v>
      </c>
      <c r="W114" s="400">
        <f t="shared" si="34"/>
        <v>52.505144971600608</v>
      </c>
      <c r="X114" s="157">
        <f t="shared" si="35"/>
        <v>46122</v>
      </c>
      <c r="Y114" s="383">
        <f t="shared" si="36"/>
        <v>51.196385079414277</v>
      </c>
      <c r="Z114" s="383">
        <f t="shared" si="37"/>
        <v>53.854371156833444</v>
      </c>
      <c r="AA114" s="384">
        <f t="shared" si="38"/>
        <v>58.289622647712484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7.6089898843308051E-2</v>
      </c>
      <c r="AD114" s="230">
        <f>(INDEX(Models!$BJ114:$BT114,,AH114)*(1-AF114)+INDEX(Models!$BJ114:$BT114,,AH114+1)*AF114-ERP_i)*AE114*Ramure*Pc/MaxiM</f>
        <v>7.0127549881676687E-4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'2025'!Wh/'2025'!Env_an*'2026'!Env_an</f>
        <v>43.5171048949408</v>
      </c>
      <c r="C115" s="829"/>
      <c r="D115" s="391">
        <f t="shared" si="25"/>
        <v>45.777279591235867</v>
      </c>
      <c r="E115" s="383">
        <f t="shared" si="47"/>
        <v>48.348830578936791</v>
      </c>
      <c r="F115" s="383">
        <f t="shared" si="26"/>
        <v>48.348868965802055</v>
      </c>
      <c r="G115" s="110">
        <f t="shared" si="48"/>
        <v>0.82194733699444544</v>
      </c>
      <c r="H115" s="412" t="b">
        <f>Wh_hp&gt;='2025'!Maxi_hp</f>
        <v>0</v>
      </c>
      <c r="I115" s="388">
        <f>IF(H115,Wh_hp,'2025'!Maxi_hp)</f>
        <v>59.403908056990687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4.9373285535468603E-2</v>
      </c>
      <c r="M115" s="832"/>
      <c r="N115" s="832"/>
      <c r="O115" s="48">
        <f>IF(t&lt;Tnet,'2025'!Resal+('2025'!Salim-'2025'!Resal)*(1-EXP(('2025'!Tnet-t)/('2025'!Tau_j))),Resal+(Salim-Resal)*(1-EXP((Tnet-t)/(Tau_j))))*Salcycl</f>
        <v>5.3187449559973905E-2</v>
      </c>
      <c r="P115" s="169">
        <f>(INDEX(Models!$BJ115:$BT115,,T115)*(1-R115)+INDEX(Models!$BJ115:$BT115,,T115+1)*R115-ERP_i)*Q115*Ramure*Pc/MaxiM</f>
        <v>1.0647986651764275E-6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52.943894517330179</v>
      </c>
      <c r="W115" s="400">
        <f t="shared" si="34"/>
        <v>43.5171048949408</v>
      </c>
      <c r="X115" s="157">
        <f t="shared" si="35"/>
        <v>46123</v>
      </c>
      <c r="Y115" s="383">
        <f t="shared" si="36"/>
        <v>42.440943890097557</v>
      </c>
      <c r="Z115" s="383">
        <f t="shared" si="37"/>
        <v>44.645225349051621</v>
      </c>
      <c r="AA115" s="384">
        <f t="shared" si="38"/>
        <v>48.324174870600991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7.6130622641785342E-2</v>
      </c>
      <c r="AD115" s="230">
        <f>(INDEX(Models!$BJ115:$BT115,,AH115)*(1-AF115)+INDEX(Models!$BJ115:$BT115,,AH115+1)*AF115-ERP_i)*AE115*Ramure*Pc/MaxiM</f>
        <v>6.8498012078158359E-4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'2025'!Wh/'2025'!Env_an*'2026'!Env_an</f>
        <v>37.167426361261924</v>
      </c>
      <c r="C116" s="829"/>
      <c r="D116" s="391">
        <f t="shared" si="25"/>
        <v>39.098563205323309</v>
      </c>
      <c r="E116" s="383">
        <f t="shared" si="47"/>
        <v>41.297410008318899</v>
      </c>
      <c r="F116" s="383">
        <f t="shared" si="26"/>
        <v>41.297437246509034</v>
      </c>
      <c r="G116" s="110">
        <f t="shared" si="48"/>
        <v>0.69901586091767154</v>
      </c>
      <c r="H116" s="412" t="b">
        <f>Wh_hp&gt;='2025'!Maxi_hp</f>
        <v>0</v>
      </c>
      <c r="I116" s="388">
        <f>IF(H116,Wh_hp,'2025'!Maxi_hp)</f>
        <v>58.857771528976158</v>
      </c>
      <c r="J116" s="85">
        <f>IF(H116,An,'2025'!An_max)</f>
        <v>2018</v>
      </c>
      <c r="K116" s="197">
        <f t="shared" si="27"/>
        <v>46124</v>
      </c>
      <c r="L116" s="147">
        <f>IF(t&lt;Tvie,1-EXP((T0-t)*PertePVj)+'2025'!Pspv,1-EXP((T0-t)*PertePVj)+Pspv)</f>
        <v>4.9391504079578596E-2</v>
      </c>
      <c r="M116" s="832"/>
      <c r="N116" s="832"/>
      <c r="O116" s="48">
        <f>IF(t&lt;Tnet,'2025'!Resal+('2025'!Salim-'2025'!Resal)*(1-EXP(('2025'!Tnet-t)/('2025'!Tau_j))),Resal+(Salim-Resal)*(1-EXP((Tnet-t)/(Tau_j))))*Salcycl</f>
        <v>5.3244181718724179E-2</v>
      </c>
      <c r="P116" s="169">
        <f>(INDEX(Models!$BJ116:$BT116,,T116)*(1-R116)+INDEX(Models!$BJ116:$BT116,,T116+1)*R116-ERP_i)*Q116*Ramure*Pc/MaxiM</f>
        <v>1.1570780297792467E-6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53.171050827142338</v>
      </c>
      <c r="W116" s="400">
        <f t="shared" si="34"/>
        <v>37.167426361261924</v>
      </c>
      <c r="X116" s="157">
        <f t="shared" si="35"/>
        <v>46124</v>
      </c>
      <c r="Y116" s="383">
        <f t="shared" si="36"/>
        <v>36.253511343281417</v>
      </c>
      <c r="Z116" s="383">
        <f t="shared" si="37"/>
        <v>38.137163194800983</v>
      </c>
      <c r="AA116" s="384">
        <f t="shared" si="38"/>
        <v>41.281683542214076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7.6172289441576391E-2</v>
      </c>
      <c r="AD116" s="230">
        <f>(INDEX(Models!$BJ116:$BT116,,AH116)*(1-AF116)+INDEX(Models!$BJ116:$BT116,,AH116+1)*AF116-ERP_i)*AE116*Ramure*Pc/MaxiM</f>
        <v>6.6921719237977232E-4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'2025'!Wh/'2025'!Env_an*'2026'!Env_an</f>
        <v>7.9427707621404116</v>
      </c>
      <c r="C117" s="829"/>
      <c r="D117" s="391">
        <f t="shared" si="25"/>
        <v>8.3556196063203529</v>
      </c>
      <c r="E117" s="383">
        <f t="shared" si="47"/>
        <v>8.8260626482120355</v>
      </c>
      <c r="F117" s="383">
        <f t="shared" si="26"/>
        <v>8.8260626482120355</v>
      </c>
      <c r="G117" s="110">
        <f t="shared" si="48"/>
        <v>0.14876291802883948</v>
      </c>
      <c r="H117" s="412" t="b">
        <f>Wh_hp&gt;='2025'!Maxi_hp</f>
        <v>0</v>
      </c>
      <c r="I117" s="388">
        <f>IF(H117,Wh_hp,'2025'!Maxi_hp)</f>
        <v>58.816606841862637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4.9409722274534218E-2</v>
      </c>
      <c r="M117" s="832"/>
      <c r="N117" s="832"/>
      <c r="O117" s="48">
        <f>IF(t&lt;Tnet,'2025'!Resal+('2025'!Salim-'2025'!Resal)*(1-EXP(('2025'!Tnet-t)/('2025'!Tau_j))),Resal+(Salim-Resal)*(1-EXP((Tnet-t)/(Tau_j))))*Salcycl</f>
        <v>5.3301575191853454E-2</v>
      </c>
      <c r="P117" s="169">
        <f>(INDEX(Models!$BJ117:$BT117,,T117)*(1-R117)+INDEX(Models!$BJ117:$BT117,,T117+1)*R117-ERP_i)*Q117*Ramure*Pc/MaxiM</f>
        <v>1.2484536295767736E-6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53.392074793932345</v>
      </c>
      <c r="W117" s="400">
        <f t="shared" si="34"/>
        <v>7.9427707621404116</v>
      </c>
      <c r="X117" s="157">
        <f t="shared" si="35"/>
        <v>46125</v>
      </c>
      <c r="Y117" s="383">
        <f t="shared" si="36"/>
        <v>7.7505285213856725</v>
      </c>
      <c r="Z117" s="383">
        <f t="shared" si="37"/>
        <v>8.1533850103441257</v>
      </c>
      <c r="AA117" s="384">
        <f t="shared" si="38"/>
        <v>8.8260626482120355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7.6214917645546013E-2</v>
      </c>
      <c r="AD117" s="230">
        <f>(INDEX(Models!$BJ117:$BT117,,AH117)*(1-AF117)+INDEX(Models!$BJ117:$BT117,,AH117+1)*AF117-ERP_i)*AE117*Ramure*Pc/MaxiM</f>
        <v>6.5397200632451042E-4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'2025'!Wh/'2025'!Env_an*'2026'!Env_an</f>
        <v>40.202338466586518</v>
      </c>
      <c r="C118" s="829"/>
      <c r="D118" s="391">
        <f t="shared" si="25"/>
        <v>42.292783644068109</v>
      </c>
      <c r="E118" s="383">
        <f t="shared" si="47"/>
        <v>44.676717337415646</v>
      </c>
      <c r="F118" s="383">
        <f t="shared" si="26"/>
        <v>44.676755785963699</v>
      </c>
      <c r="G118" s="110">
        <f t="shared" si="48"/>
        <v>0.74994717695734336</v>
      </c>
      <c r="H118" s="412" t="b">
        <f>Wh_hp&gt;='2025'!Maxi_hp</f>
        <v>0</v>
      </c>
      <c r="I118" s="388">
        <f>IF(H118,Wh_hp,'2025'!Maxi_hp)</f>
        <v>59.036177217934771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4.9427940120342351E-2</v>
      </c>
      <c r="M118" s="832"/>
      <c r="N118" s="832"/>
      <c r="O118" s="48">
        <f>IF(t&lt;Tnet,'2025'!Resal+('2025'!Salim-'2025'!Resal)*(1-EXP(('2025'!Tnet-t)/('2025'!Tau_j))),Resal+(Salim-Resal)*(1-EXP((Tnet-t)/(Tau_j))))*Salcycl</f>
        <v>5.3359643130070591E-2</v>
      </c>
      <c r="P118" s="169">
        <f>(INDEX(Models!$BJ118:$BT118,,T118)*(1-R118)+INDEX(Models!$BJ118:$BT118,,T118+1)*R118-ERP_i)*Q118*Ramure*Pc/MaxiM</f>
        <v>1.3388578747776305E-6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53.606867889484121</v>
      </c>
      <c r="W118" s="400">
        <f t="shared" si="34"/>
        <v>40.202338466586518</v>
      </c>
      <c r="X118" s="157">
        <f t="shared" si="35"/>
        <v>46126</v>
      </c>
      <c r="Y118" s="383">
        <f t="shared" si="36"/>
        <v>39.213773464185515</v>
      </c>
      <c r="Z118" s="383">
        <f t="shared" si="37"/>
        <v>41.252815140758479</v>
      </c>
      <c r="AA118" s="384">
        <f t="shared" si="38"/>
        <v>44.658398736679139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7.6258524538712735E-2</v>
      </c>
      <c r="AD118" s="230">
        <f>(INDEX(Models!$BJ118:$BT118,,AH118)*(1-AF118)+INDEX(Models!$BJ118:$BT118,,AH118+1)*AF118-ERP_i)*AE118*Ramure*Pc/MaxiM</f>
        <v>6.3923038026148253E-4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'2025'!Wh/'2025'!Env_an*'2026'!Env_an</f>
        <v>43.869563350674007</v>
      </c>
      <c r="C119" s="829"/>
      <c r="D119" s="391">
        <f t="shared" si="25"/>
        <v>46.15158173543881</v>
      </c>
      <c r="E119" s="383">
        <f t="shared" si="47"/>
        <v>48.756051916125699</v>
      </c>
      <c r="F119" s="383">
        <f t="shared" si="26"/>
        <v>48.756103165483815</v>
      </c>
      <c r="G119" s="110">
        <f t="shared" si="48"/>
        <v>0.81518677751744872</v>
      </c>
      <c r="H119" s="412" t="b">
        <f>Wh_hp&gt;='2025'!Maxi_hp</f>
        <v>0</v>
      </c>
      <c r="I119" s="388">
        <f>IF(H119,Wh_hp,'2025'!Maxi_hp)</f>
        <v>59.816550107721071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4.9446157617009545E-2</v>
      </c>
      <c r="M119" s="832"/>
      <c r="N119" s="832"/>
      <c r="O119" s="48">
        <f>IF(t&lt;Tnet,'2025'!Resal+('2025'!Salim-'2025'!Resal)*(1-EXP(('2025'!Tnet-t)/('2025'!Tau_j))),Resal+(Salim-Resal)*(1-EXP((Tnet-t)/(Tau_j))))*Salcycl</f>
        <v>5.3418397887657613E-2</v>
      </c>
      <c r="P119" s="169">
        <f>(INDEX(Models!$BJ119:$BT119,,T119)*(1-R119)+INDEX(Models!$BJ119:$BT119,,T119+1)*R119-ERP_i)*Q119*Ramure*Pc/MaxiM</f>
        <v>1.4282114672234836E-6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53.815331674265373</v>
      </c>
      <c r="W119" s="400">
        <f t="shared" si="34"/>
        <v>43.869563350674007</v>
      </c>
      <c r="X119" s="157">
        <f t="shared" si="35"/>
        <v>46127</v>
      </c>
      <c r="Y119" s="383">
        <f t="shared" si="36"/>
        <v>42.789318856508551</v>
      </c>
      <c r="Z119" s="383">
        <f t="shared" si="37"/>
        <v>45.015144801516861</v>
      </c>
      <c r="AA119" s="384">
        <f t="shared" si="38"/>
        <v>48.733676685671909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7.6303126237309407E-2</v>
      </c>
      <c r="AD119" s="230">
        <f>(INDEX(Models!$BJ119:$BT119,,AH119)*(1-AF119)+INDEX(Models!$BJ119:$BT119,,AH119+1)*AF119-ERP_i)*AE119*Ramure*Pc/MaxiM</f>
        <v>6.2497866932592204E-4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'2025'!Wh/'2025'!Env_an*'2026'!Env_an</f>
        <v>45.517994988491665</v>
      </c>
      <c r="C120" s="829"/>
      <c r="D120" s="391">
        <f t="shared" si="25"/>
        <v>47.886679657289434</v>
      </c>
      <c r="E120" s="383">
        <f t="shared" si="47"/>
        <v>50.59224415091257</v>
      </c>
      <c r="F120" s="383">
        <f t="shared" si="26"/>
        <v>50.592303625344684</v>
      </c>
      <c r="G120" s="110">
        <f t="shared" si="48"/>
        <v>0.84265452613593705</v>
      </c>
      <c r="H120" s="412" t="b">
        <f>Wh_hp&gt;='2025'!Maxi_hp</f>
        <v>0</v>
      </c>
      <c r="I120" s="388">
        <f>IF(H120,Wh_hp,'2025'!Maxi_hp)</f>
        <v>51.884062779817704</v>
      </c>
      <c r="J120" s="85">
        <f>IF(H120,An,'2025'!An_max)</f>
        <v>2021</v>
      </c>
      <c r="K120" s="197">
        <f t="shared" si="27"/>
        <v>46128</v>
      </c>
      <c r="L120" s="147">
        <f>IF(t&lt;Tvie,1-EXP((T0-t)*PertePVj)+'2025'!Pspv,1-EXP((T0-t)*PertePVj)+Pspv)</f>
        <v>4.9464374764542685E-2</v>
      </c>
      <c r="M120" s="832"/>
      <c r="N120" s="832"/>
      <c r="O120" s="48">
        <f>IF(t&lt;Tnet,'2025'!Resal+('2025'!Salim-'2025'!Resal)*(1-EXP(('2025'!Tnet-t)/('2025'!Tau_j))),Resal+(Salim-Resal)*(1-EXP((Tnet-t)/(Tau_j))))*Salcycl</f>
        <v>5.3477850983495639E-2</v>
      </c>
      <c r="P120" s="169">
        <f>(INDEX(Models!$BJ120:$BT120,,T120)*(1-R120)+INDEX(Models!$BJ120:$BT120,,T120+1)*R120-ERP_i)*Q120*Ramure*Pc/MaxiM</f>
        <v>1.5164225350928855E-6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54.017367807837026</v>
      </c>
      <c r="W120" s="400">
        <f t="shared" si="34"/>
        <v>45.517994988491665</v>
      </c>
      <c r="X120" s="157">
        <f t="shared" si="35"/>
        <v>46128</v>
      </c>
      <c r="Y120" s="383">
        <f t="shared" si="36"/>
        <v>44.397146287436748</v>
      </c>
      <c r="Z120" s="383">
        <f t="shared" si="37"/>
        <v>46.707503757619946</v>
      </c>
      <c r="AA120" s="384">
        <f t="shared" si="38"/>
        <v>50.568332075993588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7.6348737636266581E-2</v>
      </c>
      <c r="AD120" s="230">
        <f>(INDEX(Models!$BJ120:$BT120,,AH120)*(1-AF120)+INDEX(Models!$BJ120:$BT120,,AH120+1)*AF120-ERP_i)*AE120*Ramure*Pc/MaxiM</f>
        <v>6.1120377857506265E-4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'2025'!Wh/'2025'!Env_an*'2026'!Env_an</f>
        <v>53.425804540452241</v>
      </c>
      <c r="C121" s="829"/>
      <c r="D121" s="391">
        <f t="shared" si="25"/>
        <v>56.207076342032487</v>
      </c>
      <c r="E121" s="383">
        <f t="shared" si="47"/>
        <v>59.386512208268705</v>
      </c>
      <c r="F121" s="383">
        <f t="shared" si="26"/>
        <v>59.386605451986874</v>
      </c>
      <c r="G121" s="110">
        <f t="shared" si="48"/>
        <v>0.98547727770645877</v>
      </c>
      <c r="H121" s="412" t="b">
        <f>Wh_hp&gt;='2025'!Maxi_hp</f>
        <v>1</v>
      </c>
      <c r="I121" s="388">
        <f>IF(H121,Wh_hp,'2025'!Maxi_hp)</f>
        <v>59.386605451986874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4.9482591562948319E-2</v>
      </c>
      <c r="M121" s="832"/>
      <c r="N121" s="832"/>
      <c r="O121" s="48">
        <f>IF(t&lt;Tnet,'2025'!Resal+('2025'!Salim-'2025'!Resal)*(1-EXP(('2025'!Tnet-t)/('2025'!Tau_j))),Resal+(Salim-Resal)*(1-EXP((Tnet-t)/(Tau_j))))*Salcycl</f>
        <v>5.3538013060708621E-2</v>
      </c>
      <c r="P121" s="169">
        <f>(INDEX(Models!$BJ121:$BT121,,T121)*(1-R121)+INDEX(Models!$BJ121:$BT121,,T121+1)*R121-ERP_i)*Q121*Ramure*Pc/MaxiM</f>
        <v>1.6033784319269918E-6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54.213124921145045</v>
      </c>
      <c r="W121" s="400">
        <f t="shared" si="34"/>
        <v>53.425804540452241</v>
      </c>
      <c r="X121" s="157">
        <f t="shared" si="35"/>
        <v>46129</v>
      </c>
      <c r="Y121" s="383">
        <f t="shared" si="36"/>
        <v>52.105111459455884</v>
      </c>
      <c r="Z121" s="383">
        <f t="shared" si="37"/>
        <v>54.817629847656349</v>
      </c>
      <c r="AA121" s="384">
        <f t="shared" si="38"/>
        <v>59.351835414058407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7.6395372354871857E-2</v>
      </c>
      <c r="AD121" s="230">
        <f>(INDEX(Models!$BJ121:$BT121,,AH121)*(1-AF121)+INDEX(Models!$BJ121:$BT121,,AH121+1)*AF121-ERP_i)*AE121*Ramure*Pc/MaxiM</f>
        <v>5.9789045296331454E-4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'2025'!Wh/'2025'!Env_an*'2026'!Env_an</f>
        <v>39.522540930170855</v>
      </c>
      <c r="C122" s="829"/>
      <c r="D122" s="391">
        <f t="shared" si="25"/>
        <v>41.580825384520175</v>
      </c>
      <c r="E122" s="383">
        <f t="shared" si="47"/>
        <v>43.935732021112734</v>
      </c>
      <c r="F122" s="383">
        <f t="shared" si="26"/>
        <v>43.935777254192558</v>
      </c>
      <c r="G122" s="110">
        <f t="shared" si="48"/>
        <v>0.72647919146022599</v>
      </c>
      <c r="H122" s="412" t="b">
        <f>Wh_hp&gt;='2025'!Maxi_hp</f>
        <v>1</v>
      </c>
      <c r="I122" s="388">
        <f>IF(H122,Wh_hp,'2025'!Maxi_hp)</f>
        <v>43.935777254192558</v>
      </c>
      <c r="J122" s="85">
        <f>IF(H122,An,'2025'!An_max)</f>
        <v>2026</v>
      </c>
      <c r="K122" s="197">
        <f t="shared" si="27"/>
        <v>46130</v>
      </c>
      <c r="L122" s="147">
        <f>IF(t&lt;Tvie,1-EXP((T0-t)*PertePVj)+'2025'!Pspv,1-EXP((T0-t)*PertePVj)+Pspv)</f>
        <v>4.9500808012233111E-2</v>
      </c>
      <c r="M122" s="832"/>
      <c r="N122" s="832"/>
      <c r="O122" s="48">
        <f>IF(t&lt;Tnet,'2025'!Resal+('2025'!Salim-'2025'!Resal)*(1-EXP(('2025'!Tnet-t)/('2025'!Tau_j))),Resal+(Salim-Resal)*(1-EXP((Tnet-t)/(Tau_j))))*Salcycl</f>
        <v>5.3598893844785341E-2</v>
      </c>
      <c r="P122" s="169">
        <f>(INDEX(Models!$BJ122:$BT122,,T122)*(1-R122)+INDEX(Models!$BJ122:$BT122,,T122+1)*R122-ERP_i)*Q122*Ramure*Pc/MaxiM</f>
        <v>1.689808734372912E-6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54.402817449872849</v>
      </c>
      <c r="W122" s="400">
        <f t="shared" si="34"/>
        <v>39.522540930170855</v>
      </c>
      <c r="X122" s="157">
        <f t="shared" si="35"/>
        <v>46130</v>
      </c>
      <c r="Y122" s="383">
        <f t="shared" si="36"/>
        <v>38.554838370694725</v>
      </c>
      <c r="Z122" s="383">
        <f t="shared" si="37"/>
        <v>40.562726087189489</v>
      </c>
      <c r="AA122" s="384">
        <f t="shared" si="38"/>
        <v>43.920113173001766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7.6443042680411466E-2</v>
      </c>
      <c r="AD122" s="230">
        <f>(INDEX(Models!$BJ122:$BT122,,AH122)*(1-AF122)+INDEX(Models!$BJ122:$BT122,,AH122+1)*AF122-ERP_i)*AE122*Ramure*Pc/MaxiM</f>
        <v>5.8517574555345345E-4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'2025'!Wh/'2025'!Env_an*'2026'!Env_an</f>
        <v>9.2386888742274564</v>
      </c>
      <c r="C123" s="829"/>
      <c r="D123" s="391">
        <f t="shared" si="25"/>
        <v>9.7200145069710722</v>
      </c>
      <c r="E123" s="383">
        <f t="shared" si="47"/>
        <v>10.271170682975157</v>
      </c>
      <c r="F123" s="383">
        <f t="shared" si="26"/>
        <v>10.271170682975157</v>
      </c>
      <c r="G123" s="110">
        <f t="shared" si="48"/>
        <v>0.16924847016146993</v>
      </c>
      <c r="H123" s="412" t="b">
        <f>Wh_hp&gt;='2025'!Maxi_hp</f>
        <v>0</v>
      </c>
      <c r="I123" s="388">
        <f>IF(H123,Wh_hp,'2025'!Maxi_hp)</f>
        <v>59.533076172726751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4.9519024112403831E-2</v>
      </c>
      <c r="M123" s="832"/>
      <c r="N123" s="832"/>
      <c r="O123" s="48">
        <f>IF(t&lt;Tnet,'2025'!Resal+('2025'!Salim-'2025'!Resal)*(1-EXP(('2025'!Tnet-t)/('2025'!Tau_j))),Resal+(Salim-Resal)*(1-EXP((Tnet-t)/(Tau_j))))*Salcycl</f>
        <v>5.3660502100081636E-2</v>
      </c>
      <c r="P123" s="169">
        <f>(INDEX(Models!$BJ123:$BT123,,T123)*(1-R123)+INDEX(Models!$BJ123:$BT123,,T123+1)*R123-ERP_i)*Q123*Ramure*Pc/MaxiM</f>
        <v>1.7760831403037478E-6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54.586445932030209</v>
      </c>
      <c r="W123" s="400">
        <f t="shared" si="34"/>
        <v>9.2386888742274564</v>
      </c>
      <c r="X123" s="157">
        <f t="shared" si="35"/>
        <v>46131</v>
      </c>
      <c r="Y123" s="383">
        <f t="shared" si="36"/>
        <v>9.0157975289094274</v>
      </c>
      <c r="Z123" s="383">
        <f t="shared" si="37"/>
        <v>9.4855107652103445</v>
      </c>
      <c r="AA123" s="384">
        <f t="shared" si="38"/>
        <v>10.271170682975157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7.6491759509660737E-2</v>
      </c>
      <c r="AD123" s="230">
        <f>(INDEX(Models!$BJ123:$BT123,,AH123)*(1-AF123)+INDEX(Models!$BJ123:$BT123,,AH123+1)*AF123-ERP_i)*AE123*Ramure*Pc/MaxiM</f>
        <v>5.7283499085276435E-4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'2025'!Wh/'2025'!Env_an*'2026'!Env_an</f>
        <v>9.6390080603159465</v>
      </c>
      <c r="C124" s="829"/>
      <c r="D124" s="391">
        <f t="shared" si="25"/>
        <v>10.141384244166824</v>
      </c>
      <c r="E124" s="383">
        <f t="shared" si="47"/>
        <v>10.717139473194415</v>
      </c>
      <c r="F124" s="383">
        <f t="shared" si="26"/>
        <v>10.717139473194415</v>
      </c>
      <c r="G124" s="110">
        <f t="shared" si="48"/>
        <v>0.17600957149587304</v>
      </c>
      <c r="H124" s="412" t="b">
        <f>Wh_hp&gt;='2025'!Maxi_hp</f>
        <v>0</v>
      </c>
      <c r="I124" s="388">
        <f>IF(H124,Wh_hp,'2025'!Maxi_hp)</f>
        <v>52.580415314681325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4.9537239863467142E-2</v>
      </c>
      <c r="M124" s="832"/>
      <c r="N124" s="832"/>
      <c r="O124" s="48">
        <f>IF(t&lt;Tnet,'2025'!Resal+('2025'!Salim-'2025'!Resal)*(1-EXP(('2025'!Tnet-t)/('2025'!Tau_j))),Resal+(Salim-Resal)*(1-EXP((Tnet-t)/(Tau_j))))*Salcycl</f>
        <v>5.3722845584650909E-2</v>
      </c>
      <c r="P124" s="169">
        <f>(INDEX(Models!$BJ124:$BT124,,T124)*(1-R124)+INDEX(Models!$BJ124:$BT124,,T124+1)*R124-ERP_i)*Q124*Ramure*Pc/MaxiM</f>
        <v>1.8623336294004294E-6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54.764010998646675</v>
      </c>
      <c r="W124" s="400">
        <f t="shared" si="34"/>
        <v>9.6390080603159465</v>
      </c>
      <c r="X124" s="157">
        <f t="shared" si="35"/>
        <v>46132</v>
      </c>
      <c r="Y124" s="383">
        <f t="shared" si="36"/>
        <v>9.4065713962428177</v>
      </c>
      <c r="Z124" s="383">
        <f t="shared" si="37"/>
        <v>9.8968331961702258</v>
      </c>
      <c r="AA124" s="384">
        <f t="shared" si="38"/>
        <v>10.717139473194415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7.6541532288156758E-2</v>
      </c>
      <c r="AD124" s="230">
        <f>(INDEX(Models!$BJ124:$BT124,,AH124)*(1-AF124)+INDEX(Models!$BJ124:$BT124,,AH124+1)*AF124-ERP_i)*AE124*Ramure*Pc/MaxiM</f>
        <v>5.6085584513726949E-4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'2025'!Wh/'2025'!Env_an*'2026'!Env_an</f>
        <v>9.2784653937839092</v>
      </c>
      <c r="C125" s="829"/>
      <c r="D125" s="391">
        <f t="shared" si="25"/>
        <v>9.7622375184183916</v>
      </c>
      <c r="E125" s="383">
        <f t="shared" si="47"/>
        <v>10.317155322759705</v>
      </c>
      <c r="F125" s="383">
        <f t="shared" si="26"/>
        <v>10.317155322759705</v>
      </c>
      <c r="G125" s="110">
        <f t="shared" si="48"/>
        <v>0.16889707122117298</v>
      </c>
      <c r="H125" s="412" t="b">
        <f>Wh_hp&gt;='2025'!Maxi_hp</f>
        <v>0</v>
      </c>
      <c r="I125" s="388">
        <f>IF(H125,Wh_hp,'2025'!Maxi_hp)</f>
        <v>55.246951602065522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4.9555455265429815E-2</v>
      </c>
      <c r="M125" s="832"/>
      <c r="N125" s="832"/>
      <c r="O125" s="48">
        <f>IF(t&lt;Tnet,'2025'!Resal+('2025'!Salim-'2025'!Resal)*(1-EXP(('2025'!Tnet-t)/('2025'!Tau_j))),Resal+(Salim-Resal)*(1-EXP((Tnet-t)/(Tau_j))))*Salcycl</f>
        <v>5.378593100339988E-2</v>
      </c>
      <c r="P125" s="169">
        <f>(INDEX(Models!$BJ125:$BT125,,T125)*(1-R125)+INDEX(Models!$BJ125:$BT125,,T125+1)*R125-ERP_i)*Q125*Ramure*Pc/MaxiM</f>
        <v>1.9487041106485684E-6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54.935513361566848</v>
      </c>
      <c r="W125" s="400">
        <f t="shared" si="34"/>
        <v>9.2784653937839092</v>
      </c>
      <c r="X125" s="157">
        <f t="shared" si="35"/>
        <v>46133</v>
      </c>
      <c r="Y125" s="383">
        <f t="shared" si="36"/>
        <v>9.0548281089970306</v>
      </c>
      <c r="Z125" s="383">
        <f t="shared" si="37"/>
        <v>9.5269399557927539</v>
      </c>
      <c r="AA125" s="384">
        <f t="shared" si="38"/>
        <v>10.317155322759705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7.6592368947255379E-2</v>
      </c>
      <c r="AD125" s="230">
        <f>(INDEX(Models!$BJ125:$BT125,,AH125)*(1-AF125)+INDEX(Models!$BJ125:$BT125,,AH125+1)*AF125-ERP_i)*AE125*Ramure*Pc/MaxiM</f>
        <v>5.4922802667675067E-4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'2025'!Wh/'2025'!Env_an*'2026'!Env_an</f>
        <v>26.967817916000023</v>
      </c>
      <c r="C126" s="829"/>
      <c r="D126" s="391">
        <f t="shared" si="25"/>
        <v>28.374443209113917</v>
      </c>
      <c r="E126" s="383">
        <f t="shared" si="47"/>
        <v>29.989363346629144</v>
      </c>
      <c r="F126" s="383">
        <f t="shared" si="26"/>
        <v>29.989379864214808</v>
      </c>
      <c r="G126" s="110">
        <f t="shared" si="48"/>
        <v>0.48942488308972487</v>
      </c>
      <c r="H126" s="412" t="b">
        <f>Wh_hp&gt;='2025'!Maxi_hp</f>
        <v>0</v>
      </c>
      <c r="I126" s="388">
        <f>IF(H126,Wh_hp,'2025'!Maxi_hp)</f>
        <v>61.484611749803321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4.9573670318298402E-2</v>
      </c>
      <c r="M126" s="832"/>
      <c r="N126" s="832"/>
      <c r="O126" s="48">
        <f>IF(t&lt;Tnet,'2025'!Resal+('2025'!Salim-'2025'!Resal)*(1-EXP(('2025'!Tnet-t)/('2025'!Tau_j))),Resal+(Salim-Resal)*(1-EXP((Tnet-t)/(Tau_j))))*Salcycl</f>
        <v>5.3849763959618907E-2</v>
      </c>
      <c r="P126" s="169">
        <f>(INDEX(Models!$BJ126:$BT126,,T126)*(1-R126)+INDEX(Models!$BJ126:$BT126,,T126+1)*R126-ERP_i)*Q126*Ramure*Pc/MaxiM</f>
        <v>2.035346847186565E-6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55.100953817947016</v>
      </c>
      <c r="W126" s="400">
        <f t="shared" si="34"/>
        <v>26.967817916000023</v>
      </c>
      <c r="X126" s="157">
        <f t="shared" si="35"/>
        <v>46134</v>
      </c>
      <c r="Y126" s="383">
        <f t="shared" si="36"/>
        <v>26.314296556756045</v>
      </c>
      <c r="Z126" s="383">
        <f t="shared" si="37"/>
        <v>27.686834565671933</v>
      </c>
      <c r="AA126" s="384">
        <f t="shared" si="38"/>
        <v>29.98501427045451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7.6644275839050299E-2</v>
      </c>
      <c r="AD126" s="230">
        <f>(INDEX(Models!$BJ126:$BT126,,AH126)*(1-AF126)+INDEX(Models!$BJ126:$BT126,,AH126+1)*AF126-ERP_i)*AE126*Ramure*Pc/MaxiM</f>
        <v>5.3794166278543375E-4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'2025'!Wh/'2025'!Env_an*'2026'!Env_an</f>
        <v>8.9815244045856826</v>
      </c>
      <c r="C127" s="829"/>
      <c r="D127" s="391">
        <f t="shared" si="25"/>
        <v>9.4501764694994623</v>
      </c>
      <c r="E127" s="383">
        <f t="shared" si="47"/>
        <v>9.9887113376698231</v>
      </c>
      <c r="F127" s="383">
        <f t="shared" si="26"/>
        <v>9.9887113376698231</v>
      </c>
      <c r="G127" s="110">
        <f t="shared" si="48"/>
        <v>0.16253078497089996</v>
      </c>
      <c r="H127" s="412" t="b">
        <f>Wh_hp&gt;='2025'!Maxi_hp</f>
        <v>0</v>
      </c>
      <c r="I127" s="388">
        <f>IF(H127,Wh_hp,'2025'!Maxi_hp)</f>
        <v>61.411826255045938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4.9591885022079674E-2</v>
      </c>
      <c r="M127" s="832"/>
      <c r="N127" s="832"/>
      <c r="O127" s="48">
        <f>IF(t&lt;Tnet,'2025'!Resal+('2025'!Salim-'2025'!Resal)*(1-EXP(('2025'!Tnet-t)/('2025'!Tau_j))),Resal+(Salim-Resal)*(1-EXP((Tnet-t)/(Tau_j))))*Salcycl</f>
        <v>5.3914348904990084E-2</v>
      </c>
      <c r="P127" s="169">
        <f>(INDEX(Models!$BJ127:$BT127,,T127)*(1-R127)+INDEX(Models!$BJ127:$BT127,,T127+1)*R127-ERP_i)*Q127*Ramure*Pc/MaxiM</f>
        <v>2.1224172835896136E-6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55.260333257180363</v>
      </c>
      <c r="W127" s="400">
        <f t="shared" si="34"/>
        <v>8.9815244045856826</v>
      </c>
      <c r="X127" s="157">
        <f t="shared" si="35"/>
        <v>46135</v>
      </c>
      <c r="Y127" s="383">
        <f t="shared" si="36"/>
        <v>8.7652382249598446</v>
      </c>
      <c r="Z127" s="383">
        <f t="shared" si="37"/>
        <v>9.2226045704202306</v>
      </c>
      <c r="AA127" s="384">
        <f t="shared" si="38"/>
        <v>9.9887113376698231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7.6697257669307115E-2</v>
      </c>
      <c r="AD127" s="230">
        <f>(INDEX(Models!$BJ127:$BT127,,AH127)*(1-AF127)+INDEX(Models!$BJ127:$BT127,,AH127+1)*AF127-ERP_i)*AE127*Ramure*Pc/MaxiM</f>
        <v>5.2698577822658744E-4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'2025'!Wh/'2025'!Env_an*'2026'!Env_an</f>
        <v>31.035793269417944</v>
      </c>
      <c r="C128" s="829"/>
      <c r="D128" s="391">
        <f t="shared" si="25"/>
        <v>32.655853401920801</v>
      </c>
      <c r="E128" s="383">
        <f t="shared" si="47"/>
        <v>34.519188462716293</v>
      </c>
      <c r="F128" s="383">
        <f t="shared" si="26"/>
        <v>34.519216812982592</v>
      </c>
      <c r="G128" s="110">
        <f t="shared" si="48"/>
        <v>0.56007407333967318</v>
      </c>
      <c r="H128" s="412" t="b">
        <f>Wh_hp&gt;='2025'!Maxi_hp</f>
        <v>0</v>
      </c>
      <c r="I128" s="388">
        <f>IF(H128,Wh_hp,'2025'!Maxi_hp)</f>
        <v>58.10105142457774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4.9610099376780292E-2</v>
      </c>
      <c r="M128" s="832"/>
      <c r="N128" s="832"/>
      <c r="O128" s="48">
        <f>IF(t&lt;Tnet,'2025'!Resal+('2025'!Salim-'2025'!Resal)*(1-EXP(('2025'!Tnet-t)/('2025'!Tau_j))),Resal+(Salim-Resal)*(1-EXP((Tnet-t)/(Tau_j))))*Salcycl</f>
        <v>5.3979689088231503E-2</v>
      </c>
      <c r="P128" s="169">
        <f>(INDEX(Models!$BJ128:$BT128,,T128)*(1-R128)+INDEX(Models!$BJ128:$BT128,,T128+1)*R128-ERP_i)*Q128*Ramure*Pc/MaxiM</f>
        <v>2.210527336161233E-6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55.413652641010749</v>
      </c>
      <c r="W128" s="400">
        <f t="shared" si="34"/>
        <v>31.035793269417944</v>
      </c>
      <c r="X128" s="157">
        <f t="shared" si="35"/>
        <v>46136</v>
      </c>
      <c r="Y128" s="383">
        <f t="shared" si="36"/>
        <v>30.282943234108544</v>
      </c>
      <c r="Z128" s="383">
        <f t="shared" si="37"/>
        <v>31.863704795527031</v>
      </c>
      <c r="AA128" s="384">
        <f t="shared" si="38"/>
        <v>34.512591674415262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7.6751317428644286E-2</v>
      </c>
      <c r="AD128" s="230">
        <f>(INDEX(Models!$BJ128:$BT128,,AH128)*(1-AF128)+INDEX(Models!$BJ128:$BT128,,AH128+1)*AF128-ERP_i)*AE128*Ramure*Pc/MaxiM</f>
        <v>5.1657539139066491E-4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'2025'!Wh/'2025'!Env_an*'2026'!Env_an</f>
        <v>46.971451911517583</v>
      </c>
      <c r="C129" s="829"/>
      <c r="D129" s="391">
        <f t="shared" si="25"/>
        <v>49.424296381019794</v>
      </c>
      <c r="E129" s="383">
        <f t="shared" si="47"/>
        <v>52.248085241131236</v>
      </c>
      <c r="F129" s="383">
        <f t="shared" si="26"/>
        <v>52.248178843472381</v>
      </c>
      <c r="G129" s="110">
        <f t="shared" si="48"/>
        <v>0.84540417806847612</v>
      </c>
      <c r="H129" s="412" t="b">
        <f>Wh_hp&gt;='2025'!Maxi_hp</f>
        <v>0</v>
      </c>
      <c r="I129" s="388">
        <f>IF(H129,Wh_hp,'2025'!Maxi_hp)</f>
        <v>57.415722541484826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4.9628313382406919E-2</v>
      </c>
      <c r="M129" s="832"/>
      <c r="N129" s="832"/>
      <c r="O129" s="48">
        <f>IF(t&lt;Tnet,'2025'!Resal+('2025'!Salim-'2025'!Resal)*(1-EXP(('2025'!Tnet-t)/('2025'!Tau_j))),Resal+(Salim-Resal)*(1-EXP((Tnet-t)/(Tau_j))))*Salcycl</f>
        <v>5.4045786502592771E-2</v>
      </c>
      <c r="P129" s="169">
        <f>(INDEX(Models!$BJ129:$BT129,,T129)*(1-R129)+INDEX(Models!$BJ129:$BT129,,T129+1)*R129-ERP_i)*Q129*Ramure*Pc/MaxiM</f>
        <v>2.2992955118128591E-6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55.56091308497642</v>
      </c>
      <c r="W129" s="400">
        <f t="shared" si="34"/>
        <v>46.971451911517583</v>
      </c>
      <c r="X129" s="157">
        <f t="shared" si="35"/>
        <v>46137</v>
      </c>
      <c r="Y129" s="383">
        <f t="shared" si="36"/>
        <v>45.823256679168168</v>
      </c>
      <c r="Z129" s="383">
        <f t="shared" si="37"/>
        <v>48.216142509731938</v>
      </c>
      <c r="AA129" s="384">
        <f t="shared" si="38"/>
        <v>52.227556009169177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7.6806456322271482E-2</v>
      </c>
      <c r="AD129" s="230">
        <f>(INDEX(Models!$BJ129:$BT129,,AH129)*(1-AF129)+INDEX(Models!$BJ129:$BT129,,AH129+1)*AF129-ERP_i)*AE129*Ramure*Pc/MaxiM</f>
        <v>5.0658979011605992E-4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'2025'!Wh/'2025'!Env_an*'2026'!Env_an</f>
        <v>53.854415338029355</v>
      </c>
      <c r="C130" s="829"/>
      <c r="D130" s="391">
        <f t="shared" si="25"/>
        <v>56.667773486673511</v>
      </c>
      <c r="E130" s="383">
        <f t="shared" si="47"/>
        <v>59.909642514364769</v>
      </c>
      <c r="F130" s="383">
        <f t="shared" si="26"/>
        <v>59.909778849647175</v>
      </c>
      <c r="G130" s="110">
        <f t="shared" si="48"/>
        <v>0.96682879079105033</v>
      </c>
      <c r="H130" s="412" t="b">
        <f>Wh_hp&gt;='2025'!Maxi_hp</f>
        <v>1</v>
      </c>
      <c r="I130" s="388">
        <f>IF(H130,Wh_hp,'2025'!Maxi_hp)</f>
        <v>59.909778849647175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4.9646527038966326E-2</v>
      </c>
      <c r="M130" s="832"/>
      <c r="N130" s="832"/>
      <c r="O130" s="48">
        <f>IF(t&lt;Tnet,'2025'!Resal+('2025'!Salim-'2025'!Resal)*(1-EXP(('2025'!Tnet-t)/('2025'!Tau_j))),Resal+(Salim-Resal)*(1-EXP((Tnet-t)/(Tau_j))))*Salcycl</f>
        <v>5.4112641832471942E-2</v>
      </c>
      <c r="P130" s="169">
        <f>(INDEX(Models!$BJ130:$BT130,,T130)*(1-R130)+INDEX(Models!$BJ130:$BT130,,T130+1)*R130-ERP_i)*Q130*Ramure*Pc/MaxiM</f>
        <v>2.3888791054218317E-6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55.702115777394326</v>
      </c>
      <c r="W130" s="400">
        <f t="shared" si="34"/>
        <v>53.854415338029355</v>
      </c>
      <c r="X130" s="157">
        <f t="shared" si="35"/>
        <v>46138</v>
      </c>
      <c r="Y130" s="383">
        <f t="shared" si="36"/>
        <v>52.534369037892276</v>
      </c>
      <c r="Z130" s="383">
        <f t="shared" si="37"/>
        <v>55.278767882238576</v>
      </c>
      <c r="AA130" s="384">
        <f t="shared" si="38"/>
        <v>59.881413422768155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7.6862673698673195E-2</v>
      </c>
      <c r="AD130" s="230">
        <f>(INDEX(Models!$BJ130:$BT130,,AH130)*(1-AF130)+INDEX(Models!$BJ130:$BT130,,AH130+1)*AF130-ERP_i)*AE130*Ramure*Pc/MaxiM</f>
        <v>4.9702156616894002E-4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'2025'!Wh/'2025'!Env_an*'2026'!Env_an</f>
        <v>39.093828614582513</v>
      </c>
      <c r="C131" s="829"/>
      <c r="D131" s="391">
        <f t="shared" si="25"/>
        <v>41.13688113480606</v>
      </c>
      <c r="E131" s="383">
        <f t="shared" si="47"/>
        <v>43.493362584312948</v>
      </c>
      <c r="F131" s="383">
        <f t="shared" si="26"/>
        <v>43.493424228291978</v>
      </c>
      <c r="G131" s="110">
        <f t="shared" si="48"/>
        <v>0.7001379666565003</v>
      </c>
      <c r="H131" s="412" t="b">
        <f>Wh_hp&gt;='2025'!Maxi_hp</f>
        <v>1</v>
      </c>
      <c r="I131" s="388">
        <f>IF(H131,Wh_hp,'2025'!Maxi_hp)</f>
        <v>43.493424228291978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4.9664740346465175E-2</v>
      </c>
      <c r="M131" s="832"/>
      <c r="N131" s="832"/>
      <c r="O131" s="48">
        <f>IF(t&lt;Tnet,'2025'!Resal+('2025'!Salim-'2025'!Resal)*(1-EXP(('2025'!Tnet-t)/('2025'!Tau_j))),Resal+(Salim-Resal)*(1-EXP((Tnet-t)/(Tau_j))))*Salcycl</f>
        <v>5.4180254399479731E-2</v>
      </c>
      <c r="P131" s="169">
        <f>(INDEX(Models!$BJ131:$BT131,,T131)*(1-R131)+INDEX(Models!$BJ131:$BT131,,T131+1)*R131-ERP_i)*Q131*Ramure*Pc/MaxiM</f>
        <v>2.4794453201705641E-6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55.837262016458759</v>
      </c>
      <c r="W131" s="400">
        <f t="shared" si="34"/>
        <v>39.093828614582513</v>
      </c>
      <c r="X131" s="157">
        <f t="shared" si="35"/>
        <v>46139</v>
      </c>
      <c r="Y131" s="383">
        <f t="shared" si="36"/>
        <v>38.143335640791939</v>
      </c>
      <c r="Z131" s="383">
        <f t="shared" si="37"/>
        <v>40.136715178491762</v>
      </c>
      <c r="AA131" s="384">
        <f t="shared" si="38"/>
        <v>43.481294950209659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7.6919966977703091E-2</v>
      </c>
      <c r="AD131" s="230">
        <f>(INDEX(Models!$BJ131:$BT131,,AH131)*(1-AF131)+INDEX(Models!$BJ131:$BT131,,AH131+1)*AF131-ERP_i)*AE131*Ramure*Pc/MaxiM</f>
        <v>4.8786405826527039E-4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'2025'!Wh/'2025'!Env_an*'2026'!Env_an</f>
        <v>23.556065511655031</v>
      </c>
      <c r="C132" s="829"/>
      <c r="D132" s="391">
        <f t="shared" si="25"/>
        <v>24.787585988882107</v>
      </c>
      <c r="E132" s="383">
        <f t="shared" si="47"/>
        <v>26.209410388743152</v>
      </c>
      <c r="F132" s="383">
        <f t="shared" si="26"/>
        <v>26.209422027479039</v>
      </c>
      <c r="G132" s="110">
        <f t="shared" si="48"/>
        <v>0.42089602151116878</v>
      </c>
      <c r="H132" s="412" t="b">
        <f>Wh_hp&gt;='2025'!Maxi_hp</f>
        <v>0</v>
      </c>
      <c r="I132" s="388">
        <f>IF(H132,Wh_hp,'2025'!Maxi_hp)</f>
        <v>46.721279625112096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4.9682953304910127E-2</v>
      </c>
      <c r="M132" s="832"/>
      <c r="N132" s="832"/>
      <c r="O132" s="48">
        <f>IF(t&lt;Tnet,'2025'!Resal+('2025'!Salim-'2025'!Resal)*(1-EXP(('2025'!Tnet-t)/('2025'!Tau_j))),Resal+(Salim-Resal)*(1-EXP((Tnet-t)/(Tau_j))))*Salcycl</f>
        <v>5.4248622108329231E-2</v>
      </c>
      <c r="P132" s="169">
        <f>(INDEX(Models!$BJ132:$BT132,,T132)*(1-R132)+INDEX(Models!$BJ132:$BT132,,T132+1)*R132-ERP_i)*Q132*Ramure*Pc/MaxiM</f>
        <v>2.5711723190259989E-6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55.96635321194713</v>
      </c>
      <c r="W132" s="400">
        <f t="shared" si="34"/>
        <v>23.556065511655031</v>
      </c>
      <c r="X132" s="157">
        <f t="shared" si="35"/>
        <v>46140</v>
      </c>
      <c r="Y132" s="383">
        <f t="shared" si="36"/>
        <v>22.988038821667306</v>
      </c>
      <c r="Z132" s="383">
        <f t="shared" si="37"/>
        <v>24.189862637540418</v>
      </c>
      <c r="AA132" s="384">
        <f t="shared" si="38"/>
        <v>26.207253269483793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7.6978331578626727E-2</v>
      </c>
      <c r="AD132" s="230">
        <f>(INDEX(Models!$BJ132:$BT132,,AH132)*(1-AF132)+INDEX(Models!$BJ132:$BT132,,AH132+1)*AF132-ERP_i)*AE132*Ramure*Pc/MaxiM</f>
        <v>4.7911135512244599E-4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'2025'!Wh/'2025'!Env_an*'2026'!Env_an</f>
        <v>43.082122343864086</v>
      </c>
      <c r="C133" s="829"/>
      <c r="D133" s="391">
        <f t="shared" si="25"/>
        <v>45.335341682613496</v>
      </c>
      <c r="E133" s="383">
        <f t="shared" si="47"/>
        <v>47.939295963310123</v>
      </c>
      <c r="F133" s="383">
        <f t="shared" si="26"/>
        <v>47.939381372727581</v>
      </c>
      <c r="G133" s="110">
        <f t="shared" si="48"/>
        <v>0.76809684740199613</v>
      </c>
      <c r="H133" s="412" t="b">
        <f>Wh_hp&gt;='2025'!Maxi_hp</f>
        <v>0</v>
      </c>
      <c r="I133" s="388">
        <f>IF(H133,Wh_hp,'2025'!Maxi_hp)</f>
        <v>51.783140656081144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4.9701165914307843E-2</v>
      </c>
      <c r="M133" s="832"/>
      <c r="N133" s="832"/>
      <c r="O133" s="48">
        <f>IF(t&lt;Tnet,'2025'!Resal+('2025'!Salim-'2025'!Resal)*(1-EXP(('2025'!Tnet-t)/('2025'!Tau_j))),Resal+(Salim-Resal)*(1-EXP((Tnet-t)/(Tau_j))))*Salcycl</f>
        <v>5.4317741392980352E-2</v>
      </c>
      <c r="P133" s="169">
        <f>(INDEX(Models!$BJ133:$BT133,,T133)*(1-R133)+INDEX(Models!$BJ133:$BT133,,T133+1)*R133-ERP_i)*Q133*Ramure*Pc/MaxiM</f>
        <v>2.6642503352879954E-6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56.089390893375352</v>
      </c>
      <c r="W133" s="400">
        <f t="shared" si="34"/>
        <v>43.082122343864086</v>
      </c>
      <c r="X133" s="157">
        <f t="shared" si="35"/>
        <v>46141</v>
      </c>
      <c r="Y133" s="383">
        <f t="shared" si="36"/>
        <v>42.033912630571919</v>
      </c>
      <c r="Z133" s="383">
        <f t="shared" si="37"/>
        <v>44.232310009107678</v>
      </c>
      <c r="AA133" s="384">
        <f t="shared" si="38"/>
        <v>47.924290001053578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7.7037760848720702E-2</v>
      </c>
      <c r="AD133" s="230">
        <f>(INDEX(Models!$BJ133:$BT133,,AH133)*(1-AF133)+INDEX(Models!$BJ133:$BT133,,AH133+1)*AF133-ERP_i)*AE133*Ramure*Pc/MaxiM</f>
        <v>4.7075829856258524E-4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'2025'!Wh/'2025'!Env_an*'2026'!Env_an</f>
        <v>47.740803619816326</v>
      </c>
      <c r="C134" s="829"/>
      <c r="D134" s="391">
        <f t="shared" si="25"/>
        <v>50.238637433344678</v>
      </c>
      <c r="E134" s="383">
        <f t="shared" si="47"/>
        <v>50.751770198981006</v>
      </c>
      <c r="F134" s="383">
        <f t="shared" si="26"/>
        <v>50.751872490841777</v>
      </c>
      <c r="G134" s="110">
        <f t="shared" si="48"/>
        <v>0.81139123267680768</v>
      </c>
      <c r="H134" s="412" t="b">
        <f>Wh_hp&gt;='2025'!Maxi_hp</f>
        <v>0</v>
      </c>
      <c r="I134" s="388">
        <f>IF(H134,Wh_hp,'2025'!Maxi_hp)</f>
        <v>61.648626642094747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4.9719378174665096E-2</v>
      </c>
      <c r="M134" s="832"/>
      <c r="N134" s="832"/>
      <c r="O134" s="48">
        <f>IF(t&lt;Tnet,'2025'!Resal+('2025'!Salim-'2025'!Resal)*(1-EXP(('2025'!Tnet-t)/('2025'!Tau_j))),Resal+(Salim-Resal)*(1-EXP((Tnet-t)/(Tau_j))))*Salcycl</f>
        <v>1.0110637789076154E-2</v>
      </c>
      <c r="P134" s="169">
        <f>(INDEX(Models!$BJ134:$BT134,,T134)*(1-R134)+INDEX(Models!$BJ134:$BT134,,T134+1)*R134-ERP_i)*Q134*Ramure*Pc/MaxiM</f>
        <v>2.758882842316079E-6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58.838161183880572</v>
      </c>
      <c r="W134" s="400">
        <f t="shared" si="34"/>
        <v>47.740803619816326</v>
      </c>
      <c r="X134" s="157">
        <f t="shared" si="35"/>
        <v>46142</v>
      </c>
      <c r="Y134" s="383">
        <f t="shared" si="36"/>
        <v>45.590067726989574</v>
      </c>
      <c r="Z134" s="383">
        <f t="shared" si="37"/>
        <v>47.975373463281244</v>
      </c>
      <c r="AA134" s="384">
        <f t="shared" si="38"/>
        <v>50.734713109430629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5.4387607163515733E-2</v>
      </c>
      <c r="AD134" s="230">
        <f>(INDEX(Models!$BJ134:$BT134,,AH134)*(1-AF134)+INDEX(Models!$BJ134:$BT134,,AH134+1)*AF134-ERP_i)*AE134*Ramure*Pc/MaxiM</f>
        <v>4.6280048678542829E-4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'2025'!Wh/'2025'!Env_an*'2026'!Env_an</f>
        <v>48.305022660729136</v>
      </c>
      <c r="C135" s="829"/>
      <c r="D135" s="391">
        <f t="shared" si="25"/>
        <v>50.833351037320547</v>
      </c>
      <c r="E135" s="383">
        <f t="shared" si="47"/>
        <v>51.357139278078215</v>
      </c>
      <c r="F135" s="383">
        <f t="shared" si="26"/>
        <v>51.357248083958233</v>
      </c>
      <c r="G135" s="110">
        <f t="shared" si="48"/>
        <v>0.81938772141346461</v>
      </c>
      <c r="H135" s="412" t="b">
        <f>Wh_hp&gt;='2025'!Maxi_hp</f>
        <v>0</v>
      </c>
      <c r="I135" s="388">
        <f>IF(H135,Wh_hp,'2025'!Maxi_hp)</f>
        <v>57.098058064772587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4.9737590085988548E-2</v>
      </c>
      <c r="M135" s="832"/>
      <c r="N135" s="832"/>
      <c r="O135" s="48">
        <f>IF(t&lt;Tnet,'2025'!Resal+('2025'!Salim-'2025'!Resal)*(1-EXP(('2025'!Tnet-t)/('2025'!Tau_j))),Resal+(Salim-Resal)*(1-EXP((Tnet-t)/(Tau_j))))*Salcycl</f>
        <v>1.0198937248462488E-2</v>
      </c>
      <c r="P135" s="169">
        <f>(INDEX(Models!$BJ135:$BT135,,T135)*(1-R135)+INDEX(Models!$BJ135:$BT135,,T135+1)*R135-ERP_i)*Q135*Ramure*Pc/MaxiM</f>
        <v>2.8553311162054633E-6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58.952539574186886</v>
      </c>
      <c r="W135" s="400">
        <f t="shared" si="34"/>
        <v>48.305022660729136</v>
      </c>
      <c r="X135" s="157">
        <f t="shared" si="35"/>
        <v>46143</v>
      </c>
      <c r="Y135" s="383">
        <f t="shared" si="36"/>
        <v>46.129558700556252</v>
      </c>
      <c r="Z135" s="383">
        <f t="shared" si="37"/>
        <v>48.544021334833694</v>
      </c>
      <c r="AA135" s="384">
        <f t="shared" si="38"/>
        <v>51.339900562446338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5.4458212754267564E-2</v>
      </c>
      <c r="AD135" s="230">
        <f>(INDEX(Models!$BJ135:$BT135,,AH135)*(1-AF135)+INDEX(Models!$BJ135:$BT135,,AH135+1)*AF135-ERP_i)*AE135*Ramure*Pc/MaxiM</f>
        <v>4.5524118688882776E-4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'2025'!Wh/'2025'!Env_an*'2026'!Env_an</f>
        <v>28.698656392367774</v>
      </c>
      <c r="C136" s="829"/>
      <c r="D136" s="391">
        <f t="shared" si="25"/>
        <v>30.201348708203849</v>
      </c>
      <c r="E136" s="383">
        <f t="shared" si="47"/>
        <v>30.515270995518918</v>
      </c>
      <c r="F136" s="383">
        <f t="shared" si="26"/>
        <v>30.51529495132581</v>
      </c>
      <c r="G136" s="110">
        <f t="shared" si="48"/>
        <v>0.48593004430525544</v>
      </c>
      <c r="H136" s="412" t="b">
        <f>Wh_hp&gt;='2025'!Maxi_hp</f>
        <v>0</v>
      </c>
      <c r="I136" s="388">
        <f>IF(H136,Wh_hp,'2025'!Maxi_hp)</f>
        <v>49.564429764978506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4.9755801648284859E-2</v>
      </c>
      <c r="M136" s="832"/>
      <c r="N136" s="832"/>
      <c r="O136" s="48">
        <f>IF(t&lt;Tnet,'2025'!Resal+('2025'!Salim-'2025'!Resal)*(1-EXP(('2025'!Tnet-t)/('2025'!Tau_j))),Resal+(Salim-Resal)*(1-EXP((Tnet-t)/(Tau_j))))*Salcycl</f>
        <v>1.0287383237106635E-2</v>
      </c>
      <c r="P136" s="169">
        <f>(INDEX(Models!$BJ136:$BT136,,T136)*(1-R136)+INDEX(Models!$BJ136:$BT136,,T136+1)*R136-ERP_i)*Q136*Ramure*Pc/MaxiM</f>
        <v>2.9555562901582043E-6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59.059106218722611</v>
      </c>
      <c r="W136" s="400">
        <f t="shared" si="34"/>
        <v>28.698656392367774</v>
      </c>
      <c r="X136" s="157">
        <f t="shared" si="35"/>
        <v>46144</v>
      </c>
      <c r="Y136" s="383">
        <f t="shared" si="36"/>
        <v>27.412524870169037</v>
      </c>
      <c r="Z136" s="383">
        <f t="shared" si="37"/>
        <v>28.847873965153958</v>
      </c>
      <c r="AA136" s="384">
        <f t="shared" si="38"/>
        <v>30.511661111462519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5.4529549873753441E-2</v>
      </c>
      <c r="AD136" s="230">
        <f>(INDEX(Models!$BJ136:$BT136,,AH136)*(1-AF136)+INDEX(Models!$BJ136:$BT136,,AH136+1)*AF136-ERP_i)*AE136*Ramure*Pc/MaxiM</f>
        <v>4.4832629991254974E-4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'2025'!Wh/'2025'!Env_an*'2026'!Env_an</f>
        <v>40.056515010092518</v>
      </c>
      <c r="C137" s="829"/>
      <c r="D137" s="391">
        <f t="shared" si="25"/>
        <v>42.154724825744687</v>
      </c>
      <c r="E137" s="383">
        <f t="shared" si="47"/>
        <v>42.596707272713608</v>
      </c>
      <c r="F137" s="383">
        <f t="shared" si="26"/>
        <v>42.596777444094975</v>
      </c>
      <c r="G137" s="110">
        <f t="shared" si="48"/>
        <v>0.67710658358640863</v>
      </c>
      <c r="H137" s="412" t="b">
        <f>Wh_hp&gt;='2025'!Maxi_hp</f>
        <v>0</v>
      </c>
      <c r="I137" s="388">
        <f>IF(H137,Wh_hp,'2025'!Maxi_hp)</f>
        <v>61.404519088032231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4.977401286156069E-2</v>
      </c>
      <c r="M137" s="832"/>
      <c r="N137" s="832"/>
      <c r="O137" s="48">
        <f>IF(t&lt;Tnet,'2025'!Resal+('2025'!Salim-'2025'!Resal)*(1-EXP(('2025'!Tnet-t)/('2025'!Tau_j))),Resal+(Salim-Resal)*(1-EXP((Tnet-t)/(Tau_j))))*Salcycl</f>
        <v>1.0375976812931936E-2</v>
      </c>
      <c r="P137" s="169">
        <f>(INDEX(Models!$BJ137:$BT137,,T137)*(1-R137)+INDEX(Models!$BJ137:$BT137,,T137+1)*R137-ERP_i)*Q137*Ramure*Pc/MaxiM</f>
        <v>3.0578495009238217E-6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59.158276526783041</v>
      </c>
      <c r="W137" s="400">
        <f t="shared" si="34"/>
        <v>40.056515010092518</v>
      </c>
      <c r="X137" s="157">
        <f t="shared" si="35"/>
        <v>46145</v>
      </c>
      <c r="Y137" s="383">
        <f t="shared" si="36"/>
        <v>38.257369745518602</v>
      </c>
      <c r="Z137" s="383">
        <f t="shared" si="37"/>
        <v>40.261338106242356</v>
      </c>
      <c r="AA137" s="384">
        <f t="shared" si="38"/>
        <v>42.586636988868136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5.4601608557012821E-2</v>
      </c>
      <c r="AD137" s="230">
        <f>(INDEX(Models!$BJ137:$BT137,,AH137)*(1-AF137)+INDEX(Models!$BJ137:$BT137,,AH137+1)*AF137-ERP_i)*AE137*Ramure*Pc/MaxiM</f>
        <v>4.4188934788811133E-4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'2025'!Wh/'2025'!Env_an*'2026'!Env_an</f>
        <v>21.690928203272975</v>
      </c>
      <c r="C138" s="829"/>
      <c r="D138" s="391">
        <f t="shared" si="25"/>
        <v>22.827563344434449</v>
      </c>
      <c r="E138" s="383">
        <f t="shared" si="47"/>
        <v>23.068973663034832</v>
      </c>
      <c r="F138" s="383">
        <f t="shared" si="26"/>
        <v>23.068980550742332</v>
      </c>
      <c r="G138" s="110">
        <f t="shared" si="48"/>
        <v>0.36608768978769263</v>
      </c>
      <c r="H138" s="412" t="b">
        <f>Wh_hp&gt;='2025'!Maxi_hp</f>
        <v>0</v>
      </c>
      <c r="I138" s="388">
        <f>IF(H138,Wh_hp,'2025'!Maxi_hp)</f>
        <v>54.000058250195806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4.9792223725822815E-2</v>
      </c>
      <c r="M138" s="832"/>
      <c r="N138" s="832"/>
      <c r="O138" s="48">
        <f>IF(t&lt;Tnet,'2025'!Resal+('2025'!Salim-'2025'!Resal)*(1-EXP(('2025'!Tnet-t)/('2025'!Tau_j))),Resal+(Salim-Resal)*(1-EXP((Tnet-t)/(Tau_j))))*Salcycl</f>
        <v>1.0464718635801897E-2</v>
      </c>
      <c r="P138" s="169">
        <f>(INDEX(Models!$BJ138:$BT138,,T138)*(1-R138)+INDEX(Models!$BJ138:$BT138,,T138+1)*R138-ERP_i)*Q138*Ramure*Pc/MaxiM</f>
        <v>3.162400517850552E-6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59.250465637600243</v>
      </c>
      <c r="W138" s="400">
        <f t="shared" si="34"/>
        <v>21.690928203272975</v>
      </c>
      <c r="X138" s="157">
        <f t="shared" si="35"/>
        <v>46146</v>
      </c>
      <c r="Y138" s="383">
        <f t="shared" si="36"/>
        <v>20.720991760821544</v>
      </c>
      <c r="Z138" s="383">
        <f t="shared" si="37"/>
        <v>21.806800868405666</v>
      </c>
      <c r="AA138" s="384">
        <f t="shared" si="38"/>
        <v>23.06803110021702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5.4674377120962334E-2</v>
      </c>
      <c r="AD138" s="230">
        <f>(INDEX(Models!$BJ138:$BT138,,AH138)*(1-AF138)+INDEX(Models!$BJ138:$BT138,,AH138+1)*AF138-ERP_i)*AE138*Ramure*Pc/MaxiM</f>
        <v>4.3592775011030304E-4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'2025'!Wh/'2025'!Env_an*'2026'!Env_an</f>
        <v>44.495126743426439</v>
      </c>
      <c r="C139" s="829"/>
      <c r="D139" s="391">
        <f t="shared" si="25"/>
        <v>46.82763139783367</v>
      </c>
      <c r="E139" s="383">
        <f t="shared" si="47"/>
        <v>47.327103136997437</v>
      </c>
      <c r="F139" s="383">
        <f t="shared" si="26"/>
        <v>47.327202581760609</v>
      </c>
      <c r="G139" s="110">
        <f t="shared" si="48"/>
        <v>0.74988216873107416</v>
      </c>
      <c r="H139" s="412" t="b">
        <f>Wh_hp&gt;='2025'!Maxi_hp</f>
        <v>0</v>
      </c>
      <c r="I139" s="388">
        <f>IF(H139,Wh_hp,'2025'!Maxi_hp)</f>
        <v>59.96671405061354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4.9810434241077894E-2</v>
      </c>
      <c r="M139" s="832"/>
      <c r="N139" s="832"/>
      <c r="O139" s="48">
        <f>IF(t&lt;Tnet,'2025'!Resal+('2025'!Salim-'2025'!Resal)*(1-EXP(('2025'!Tnet-t)/('2025'!Tau_j))),Resal+(Salim-Resal)*(1-EXP((Tnet-t)/(Tau_j))))*Salcycl</f>
        <v>1.0553608948300689E-2</v>
      </c>
      <c r="P139" s="169">
        <f>(INDEX(Models!$BJ139:$BT139,,T139)*(1-R139)+INDEX(Models!$BJ139:$BT139,,T139+1)*R139-ERP_i)*Q139*Ramure*Pc/MaxiM</f>
        <v>3.2694108322433503E-6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59.336088548039235</v>
      </c>
      <c r="W139" s="400">
        <f t="shared" si="34"/>
        <v>44.495126743426439</v>
      </c>
      <c r="X139" s="157">
        <f t="shared" si="35"/>
        <v>46147</v>
      </c>
      <c r="Y139" s="383">
        <f t="shared" si="36"/>
        <v>42.496054445892057</v>
      </c>
      <c r="Z139" s="383">
        <f t="shared" si="37"/>
        <v>44.723764580544731</v>
      </c>
      <c r="AA139" s="384">
        <f t="shared" si="38"/>
        <v>47.314110005325915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5.4747842123408913E-2</v>
      </c>
      <c r="AD139" s="230">
        <f>(INDEX(Models!$BJ139:$BT139,,AH139)*(1-AF139)+INDEX(Models!$BJ139:$BT139,,AH139+1)*AF139-ERP_i)*AE139*Ramure*Pc/MaxiM</f>
        <v>4.3044007397838525E-4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'2025'!Wh/'2025'!Env_an*'2026'!Env_an</f>
        <v>39.046103014273328</v>
      </c>
      <c r="C140" s="829"/>
      <c r="D140" s="391">
        <f t="shared" si="25"/>
        <v>41.093748811148281</v>
      </c>
      <c r="E140" s="383">
        <f t="shared" si="47"/>
        <v>41.535799688232402</v>
      </c>
      <c r="F140" s="383">
        <f t="shared" si="26"/>
        <v>41.535871302605173</v>
      </c>
      <c r="G140" s="110">
        <f t="shared" si="48"/>
        <v>0.65716856540389601</v>
      </c>
      <c r="H140" s="412" t="b">
        <f>Wh_hp&gt;='2025'!Maxi_hp</f>
        <v>0</v>
      </c>
      <c r="I140" s="388">
        <f>IF(H140,Wh_hp,'2025'!Maxi_hp)</f>
        <v>63.959766591204975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4.982864440733259E-2</v>
      </c>
      <c r="M140" s="832"/>
      <c r="N140" s="832"/>
      <c r="O140" s="48">
        <f>IF(t&lt;Tnet,'2025'!Resal+('2025'!Salim-'2025'!Resal)*(1-EXP(('2025'!Tnet-t)/('2025'!Tau_j))),Resal+(Salim-Resal)*(1-EXP((Tnet-t)/(Tau_j))))*Salcycl</f>
        <v>1.0642647557098955E-2</v>
      </c>
      <c r="P140" s="169">
        <f>(INDEX(Models!$BJ140:$BT140,,T140)*(1-R140)+INDEX(Models!$BJ140:$BT140,,T140+1)*R140-ERP_i)*Q140*Ramure*Pc/MaxiM</f>
        <v>3.3790946412142014E-6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59.415560102616183</v>
      </c>
      <c r="W140" s="400">
        <f t="shared" si="34"/>
        <v>39.046103014273328</v>
      </c>
      <c r="X140" s="157">
        <f t="shared" si="35"/>
        <v>46148</v>
      </c>
      <c r="Y140" s="383">
        <f t="shared" si="36"/>
        <v>37.294482567385309</v>
      </c>
      <c r="Z140" s="383">
        <f t="shared" si="37"/>
        <v>39.250270330579426</v>
      </c>
      <c r="AA140" s="384">
        <f t="shared" si="38"/>
        <v>41.526855095876563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5.4821988326373187E-2</v>
      </c>
      <c r="AD140" s="230">
        <f>(INDEX(Models!$BJ140:$BT140,,AH140)*(1-AF140)+INDEX(Models!$BJ140:$BT140,,AH140+1)*AF140-ERP_i)*AE140*Ramure*Pc/MaxiM</f>
        <v>4.2542599565364823E-4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'2025'!Wh/'2025'!Env_an*'2026'!Env_an</f>
        <v>53.418147899821697</v>
      </c>
      <c r="C141" s="829"/>
      <c r="D141" s="391">
        <f t="shared" si="25"/>
        <v>56.220566271164536</v>
      </c>
      <c r="E141" s="383">
        <f t="shared" si="47"/>
        <v>56.830461337876791</v>
      </c>
      <c r="F141" s="383">
        <f t="shared" si="26"/>
        <v>56.830630842087622</v>
      </c>
      <c r="G141" s="110">
        <f t="shared" si="48"/>
        <v>0.89794509593884275</v>
      </c>
      <c r="H141" s="412" t="b">
        <f>Wh_hp&gt;='2025'!Maxi_hp</f>
        <v>0</v>
      </c>
      <c r="I141" s="388">
        <f>IF(H141,Wh_hp,'2025'!Maxi_hp)</f>
        <v>60.392486037860046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4.9846854224593562E-2</v>
      </c>
      <c r="M141" s="832"/>
      <c r="N141" s="832"/>
      <c r="O141" s="48">
        <f>IF(t&lt;Tnet,'2025'!Resal+('2025'!Salim-'2025'!Resal)*(1-EXP(('2025'!Tnet-t)/('2025'!Tau_j))),Resal+(Salim-Resal)*(1-EXP((Tnet-t)/(Tau_j))))*Salcycl</f>
        <v>1.0731833815077077E-2</v>
      </c>
      <c r="P141" s="169">
        <f>(INDEX(Models!$BJ141:$BT141,,T141)*(1-R141)+INDEX(Models!$BJ141:$BT141,,T141+1)*R141-ERP_i)*Q141*Ramure*Pc/MaxiM</f>
        <v>3.4916798299750467E-6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59.489295000702462</v>
      </c>
      <c r="W141" s="400">
        <f t="shared" si="34"/>
        <v>53.418147899821697</v>
      </c>
      <c r="X141" s="157">
        <f t="shared" si="35"/>
        <v>46149</v>
      </c>
      <c r="Y141" s="383">
        <f t="shared" si="36"/>
        <v>51.015148383266265</v>
      </c>
      <c r="Z141" s="383">
        <f t="shared" si="37"/>
        <v>53.691500796572669</v>
      </c>
      <c r="AA141" s="384">
        <f t="shared" si="38"/>
        <v>56.810198844629824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5.4896798664382143E-2</v>
      </c>
      <c r="AD141" s="230">
        <f>(INDEX(Models!$BJ141:$BT141,,AH141)*(1-AF141)+INDEX(Models!$BJ141:$BT141,,AH141+1)*AF141-ERP_i)*AE141*Ramure*Pc/MaxiM</f>
        <v>4.2088626035076545E-4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'2025'!Wh/'2025'!Env_an*'2026'!Env_an</f>
        <v>49.257479646014204</v>
      </c>
      <c r="C142" s="829"/>
      <c r="D142" s="391">
        <f t="shared" si="25"/>
        <v>51.84261494210719</v>
      </c>
      <c r="E142" s="383">
        <f t="shared" si="47"/>
        <v>52.40974957394085</v>
      </c>
      <c r="F142" s="383">
        <f t="shared" si="26"/>
        <v>52.409891888586948</v>
      </c>
      <c r="G142" s="110">
        <f t="shared" si="48"/>
        <v>0.82705392028675617</v>
      </c>
      <c r="H142" s="412" t="b">
        <f>Wh_hp&gt;='2025'!Maxi_hp</f>
        <v>0</v>
      </c>
      <c r="I142" s="388">
        <f>IF(H142,Wh_hp,'2025'!Maxi_hp)</f>
        <v>59.443974291396984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4.9865063692867584E-2</v>
      </c>
      <c r="M142" s="832"/>
      <c r="N142" s="832"/>
      <c r="O142" s="48">
        <f>IF(t&lt;Tnet,'2025'!Resal+('2025'!Salim-'2025'!Resal)*(1-EXP(('2025'!Tnet-t)/('2025'!Tau_j))),Resal+(Salim-Resal)*(1-EXP((Tnet-t)/(Tau_j))))*Salcycl</f>
        <v>1.0821166604384052E-2</v>
      </c>
      <c r="P142" s="169">
        <f>(INDEX(Models!$BJ142:$BT142,,T142)*(1-R142)+INDEX(Models!$BJ142:$BT142,,T142+1)*R142-ERP_i)*Q142*Ramure*Pc/MaxiM</f>
        <v>3.606440056497199E-6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59.557707844737671</v>
      </c>
      <c r="W142" s="400">
        <f t="shared" si="34"/>
        <v>49.257479646014204</v>
      </c>
      <c r="X142" s="157">
        <f t="shared" si="35"/>
        <v>46150</v>
      </c>
      <c r="Y142" s="383">
        <f t="shared" si="36"/>
        <v>47.044276255949825</v>
      </c>
      <c r="Z142" s="383">
        <f t="shared" si="37"/>
        <v>49.513258020798318</v>
      </c>
      <c r="AA142" s="384">
        <f t="shared" si="38"/>
        <v>52.393443728836722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5.4972254218387653E-2</v>
      </c>
      <c r="AD142" s="230">
        <f>(INDEX(Models!$BJ142:$BT142,,AH142)*(1-AF142)+INDEX(Models!$BJ142:$BT142,,AH142+1)*AF142-ERP_i)*AE142*Ramure*Pc/MaxiM</f>
        <v>4.1681797205285834E-4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'2025'!Wh/'2025'!Env_an*'2026'!Env_an</f>
        <v>56.56257642304422</v>
      </c>
      <c r="C143" s="829"/>
      <c r="D143" s="391">
        <f t="shared" ref="D143:D206" si="50">Wh/(1-Ppv)</f>
        <v>59.53223936016628</v>
      </c>
      <c r="E143" s="383">
        <f t="shared" si="47"/>
        <v>60.188939470766876</v>
      </c>
      <c r="F143" s="383">
        <f t="shared" ref="F143:F206" si="51">Wh_sa/(1-Pvg*MEDIAN((-Sdif+Wh/Env_an)/Csdif,0,1))</f>
        <v>60.189147100812463</v>
      </c>
      <c r="G143" s="110">
        <f t="shared" si="48"/>
        <v>0.94869859300890025</v>
      </c>
      <c r="H143" s="412" t="b">
        <f>Wh_hp&gt;='2025'!Maxi_hp</f>
        <v>1</v>
      </c>
      <c r="I143" s="388">
        <f>IF(H143,Wh_hp,'2025'!Maxi_hp)</f>
        <v>60.189147100812463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4.9883272812161317E-2</v>
      </c>
      <c r="M143" s="832"/>
      <c r="N143" s="832"/>
      <c r="O143" s="48">
        <f>IF(t&lt;Tnet,'2025'!Resal+('2025'!Salim-'2025'!Resal)*(1-EXP(('2025'!Tnet-t)/('2025'!Tau_j))),Resal+(Salim-Resal)*(1-EXP((Tnet-t)/(Tau_j))))*Salcycl</f>
        <v>1.0910644320615498E-2</v>
      </c>
      <c r="P143" s="169">
        <f>(INDEX(Models!$BJ143:$BT143,,T143)*(1-R143)+INDEX(Models!$BJ143:$BT143,,T143+1)*R143-ERP_i)*Q143*Ramure*Pc/MaxiM</f>
        <v>3.722433267175137E-6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59.621213111441122</v>
      </c>
      <c r="W143" s="400">
        <f t="shared" ref="W143:W206" si="59">Wh*(A143&gt;Tmaj)</f>
        <v>56.56257642304422</v>
      </c>
      <c r="X143" s="157">
        <f t="shared" ref="X143:X206" si="60">t</f>
        <v>46151</v>
      </c>
      <c r="Y143" s="383">
        <f t="shared" ref="Y143:Y206" si="61">Wh_pvt_s*(1-Ppv)</f>
        <v>54.018001209832271</v>
      </c>
      <c r="Z143" s="383">
        <f t="shared" ref="Z143:Z206" si="62">Wh_sa_s*(1-Psa_s)</f>
        <v>56.854068204561649</v>
      </c>
      <c r="AA143" s="384">
        <f t="shared" ref="AA143:AA206" si="63">Wh_hp*(1-Pvg_s*MEDIAN((-Sdif+Wh/Env_an)/Csdif,0,1))</f>
        <v>60.166112471144885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5.5048334195958892E-2</v>
      </c>
      <c r="AD143" s="230">
        <f>(INDEX(Models!$BJ143:$BT143,,AH143)*(1-AF143)+INDEX(Models!$BJ143:$BT143,,AH143+1)*AF143-ERP_i)*AE143*Ramure*Pc/MaxiM</f>
        <v>4.1296947909968908E-4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'2025'!Wh/'2025'!Env_an*'2026'!Env_an</f>
        <v>52.8355782034713</v>
      </c>
      <c r="C144" s="829"/>
      <c r="D144" s="391">
        <f t="shared" si="50"/>
        <v>55.610631086420483</v>
      </c>
      <c r="E144" s="383">
        <f t="shared" ref="E144:E169" si="72">Wh_pvt/(1-Psa)</f>
        <v>56.229166814137329</v>
      </c>
      <c r="F144" s="383">
        <f t="shared" si="51"/>
        <v>56.229347339722175</v>
      </c>
      <c r="G144" s="110">
        <f t="shared" ref="G144:G169" si="73">+Wh_hp/MaxiM</f>
        <v>0.88531075241005985</v>
      </c>
      <c r="H144" s="412" t="b">
        <f>Wh_hp&gt;='2025'!Maxi_hp</f>
        <v>1</v>
      </c>
      <c r="I144" s="388">
        <f>IF(H144,Wh_hp,'2025'!Maxi_hp)</f>
        <v>56.229347339722175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4.9901481582481422E-2</v>
      </c>
      <c r="M144" s="832"/>
      <c r="N144" s="832"/>
      <c r="O144" s="48">
        <f>IF(t&lt;Tnet,'2025'!Resal+('2025'!Salim-'2025'!Resal)*(1-EXP(('2025'!Tnet-t)/('2025'!Tau_j))),Resal+(Salim-Resal)*(1-EXP((Tnet-t)/(Tau_j))))*Salcycl</f>
        <v>1.1000264858296541E-2</v>
      </c>
      <c r="P144" s="169">
        <f>(INDEX(Models!$BJ144:$BT144,,T144)*(1-R144)+INDEX(Models!$BJ144:$BT144,,T144+1)*R144-ERP_i)*Q144*Ramure*Pc/MaxiM</f>
        <v>3.8396075980517921E-6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59.680225075157878</v>
      </c>
      <c r="W144" s="400">
        <f t="shared" si="59"/>
        <v>52.8355782034713</v>
      </c>
      <c r="X144" s="157">
        <f t="shared" si="60"/>
        <v>46152</v>
      </c>
      <c r="Y144" s="383">
        <f t="shared" si="61"/>
        <v>50.461175449447332</v>
      </c>
      <c r="Z144" s="383">
        <f t="shared" si="62"/>
        <v>53.111518933315807</v>
      </c>
      <c r="AA144" s="384">
        <f t="shared" si="63"/>
        <v>56.210101683386142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5.5125015918378456E-2</v>
      </c>
      <c r="AD144" s="230">
        <f>(INDEX(Models!$BJ144:$BT144,,AH144)*(1-AF144)+INDEX(Models!$BJ144:$BT144,,AH144+1)*AF144-ERP_i)*AE144*Ramure*Pc/MaxiM</f>
        <v>4.0933681705996233E-4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'2025'!Wh/'2025'!Env_an*'2026'!Env_an</f>
        <v>56.973780270858363</v>
      </c>
      <c r="C145" s="829"/>
      <c r="D145" s="391">
        <f t="shared" si="50"/>
        <v>59.967330836577709</v>
      </c>
      <c r="E145" s="383">
        <f t="shared" si="72"/>
        <v>60.639828082259612</v>
      </c>
      <c r="F145" s="383">
        <f t="shared" si="51"/>
        <v>60.640052240031864</v>
      </c>
      <c r="G145" s="110">
        <f t="shared" si="73"/>
        <v>0.95377274316970839</v>
      </c>
      <c r="H145" s="412" t="b">
        <f>Wh_hp&gt;='2025'!Maxi_hp</f>
        <v>1</v>
      </c>
      <c r="I145" s="388">
        <f>IF(H145,Wh_hp,'2025'!Maxi_hp)</f>
        <v>60.640052240031864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4.991969000383456E-2</v>
      </c>
      <c r="M145" s="832"/>
      <c r="N145" s="832"/>
      <c r="O145" s="48">
        <f>IF(t&lt;Tnet,'2025'!Resal+('2025'!Salim-'2025'!Resal)*(1-EXP(('2025'!Tnet-t)/('2025'!Tau_j))),Resal+(Salim-Resal)*(1-EXP((Tnet-t)/(Tau_j))))*Salcycl</f>
        <v>1.1090025597857012E-2</v>
      </c>
      <c r="P145" s="169">
        <f>(INDEX(Models!$BJ145:$BT145,,T145)*(1-R145)+INDEX(Models!$BJ145:$BT145,,T145+1)*R145-ERP_i)*Q145*Ramure*Pc/MaxiM</f>
        <v>3.9579043937612776E-6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59.735157863678246</v>
      </c>
      <c r="W145" s="400">
        <f t="shared" si="59"/>
        <v>56.973780270858363</v>
      </c>
      <c r="X145" s="157">
        <f t="shared" si="60"/>
        <v>46153</v>
      </c>
      <c r="Y145" s="383">
        <f t="shared" si="61"/>
        <v>54.411919462437702</v>
      </c>
      <c r="Z145" s="383">
        <f t="shared" si="62"/>
        <v>57.270863199614475</v>
      </c>
      <c r="AA145" s="384">
        <f t="shared" si="63"/>
        <v>60.617062968071032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5.5202274815246415E-2</v>
      </c>
      <c r="AD145" s="230">
        <f>(INDEX(Models!$BJ145:$BT145,,AH145)*(1-AF145)+INDEX(Models!$BJ145:$BT145,,AH145+1)*AF145-ERP_i)*AE145*Ramure*Pc/MaxiM</f>
        <v>4.0591650955594332E-4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'2025'!Wh/'2025'!Env_an*'2026'!Env_an</f>
        <v>42.477254080320456</v>
      </c>
      <c r="C146" s="829"/>
      <c r="D146" s="391">
        <f t="shared" si="50"/>
        <v>44.709976320820118</v>
      </c>
      <c r="E146" s="383">
        <f t="shared" si="72"/>
        <v>45.215481945203166</v>
      </c>
      <c r="F146" s="383">
        <f t="shared" si="51"/>
        <v>45.215590052209421</v>
      </c>
      <c r="G146" s="110">
        <f t="shared" si="73"/>
        <v>0.7104820554318535</v>
      </c>
      <c r="H146" s="412" t="b">
        <f>Wh_hp&gt;='2025'!Maxi_hp</f>
        <v>0</v>
      </c>
      <c r="I146" s="388">
        <f>IF(H146,Wh_hp,'2025'!Maxi_hp)</f>
        <v>56.127004376201441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4.9937898076227505E-2</v>
      </c>
      <c r="M146" s="832"/>
      <c r="N146" s="832"/>
      <c r="O146" s="48">
        <f>IF(t&lt;Tnet,'2025'!Resal+('2025'!Salim-'2025'!Resal)*(1-EXP(('2025'!Tnet-t)/('2025'!Tau_j))),Resal+(Salim-Resal)*(1-EXP((Tnet-t)/(Tau_j))))*Salcycl</f>
        <v>1.1179923394284929E-2</v>
      </c>
      <c r="P146" s="169">
        <f>(INDEX(Models!$BJ146:$BT146,,T146)*(1-R146)+INDEX(Models!$BJ146:$BT146,,T146+1)*R146-ERP_i)*Q146*Ramure*Pc/MaxiM</f>
        <v>4.0772583825412167E-6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59.786425462139249</v>
      </c>
      <c r="W146" s="400">
        <f t="shared" si="59"/>
        <v>42.477254080320456</v>
      </c>
      <c r="X146" s="157">
        <f t="shared" si="60"/>
        <v>46154</v>
      </c>
      <c r="Y146" s="383">
        <f t="shared" si="61"/>
        <v>40.573334154485238</v>
      </c>
      <c r="Z146" s="383">
        <f t="shared" si="62"/>
        <v>42.705981085161326</v>
      </c>
      <c r="AA146" s="384">
        <f t="shared" si="63"/>
        <v>45.20491246261733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5.5280084427162979E-2</v>
      </c>
      <c r="AD146" s="230">
        <f>(INDEX(Models!$BJ146:$BT146,,AH146)*(1-AF146)+INDEX(Models!$BJ146:$BT146,,AH146+1)*AF146-ERP_i)*AE146*Ramure*Pc/MaxiM</f>
        <v>4.027055523730748E-4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'2025'!Wh/'2025'!Env_an*'2026'!Env_an</f>
        <v>44.491892738919717</v>
      </c>
      <c r="C147" s="829"/>
      <c r="D147" s="391">
        <f t="shared" si="50"/>
        <v>46.831407486039623</v>
      </c>
      <c r="E147" s="383">
        <f t="shared" si="72"/>
        <v>47.36521126508385</v>
      </c>
      <c r="F147" s="383">
        <f t="shared" si="51"/>
        <v>47.365337255826127</v>
      </c>
      <c r="G147" s="110">
        <f t="shared" si="73"/>
        <v>0.74358217535949789</v>
      </c>
      <c r="H147" s="412" t="b">
        <f>Wh_hp&gt;='2025'!Maxi_hp</f>
        <v>0</v>
      </c>
      <c r="I147" s="388">
        <f>IF(H147,Wh_hp,'2025'!Maxi_hp)</f>
        <v>64.735176440204555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4.9956105799666917E-2</v>
      </c>
      <c r="M147" s="832"/>
      <c r="N147" s="832"/>
      <c r="O147" s="48">
        <f>IF(t&lt;Tnet,'2025'!Resal+('2025'!Salim-'2025'!Resal)*(1-EXP(('2025'!Tnet-t)/('2025'!Tau_j))),Resal+(Salim-Resal)*(1-EXP((Tnet-t)/(Tau_j))))*Salcycl</f>
        <v>1.1269954567641389E-2</v>
      </c>
      <c r="P147" s="169">
        <f>(INDEX(Models!$BJ147:$BT147,,T147)*(1-R147)+INDEX(Models!$BJ147:$BT147,,T147+1)*R147-ERP_i)*Q147*Ramure*Pc/MaxiM</f>
        <v>4.1975979087555067E-6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59.834441708605127</v>
      </c>
      <c r="W147" s="400">
        <f t="shared" si="59"/>
        <v>44.491892738919717</v>
      </c>
      <c r="X147" s="157">
        <f t="shared" si="60"/>
        <v>46155</v>
      </c>
      <c r="Y147" s="383">
        <f t="shared" si="61"/>
        <v>42.49730106330815</v>
      </c>
      <c r="Z147" s="383">
        <f t="shared" si="62"/>
        <v>44.731934306128878</v>
      </c>
      <c r="AA147" s="384">
        <f t="shared" si="63"/>
        <v>47.353340233512398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5.5358416417018205E-2</v>
      </c>
      <c r="AD147" s="230">
        <f>(INDEX(Models!$BJ147:$BT147,,AH147)*(1-AF147)+INDEX(Models!$BJ147:$BT147,,AH147+1)*AF147-ERP_i)*AE147*Ramure*Pc/MaxiM</f>
        <v>3.9970139763287061E-4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'2025'!Wh/'2025'!Env_an*'2026'!Env_an</f>
        <v>50.699216411806283</v>
      </c>
      <c r="C148" s="829"/>
      <c r="D148" s="391">
        <f t="shared" si="50"/>
        <v>53.366153268127903</v>
      </c>
      <c r="E148" s="383">
        <f t="shared" si="72"/>
        <v>53.979365057169687</v>
      </c>
      <c r="F148" s="383">
        <f t="shared" si="51"/>
        <v>53.9795471263877</v>
      </c>
      <c r="G148" s="110">
        <f t="shared" si="73"/>
        <v>0.8466848688155002</v>
      </c>
      <c r="H148" s="412" t="b">
        <f>Wh_hp&gt;='2025'!Maxi_hp</f>
        <v>0</v>
      </c>
      <c r="I148" s="388">
        <f>IF(H148,Wh_hp,'2025'!Maxi_hp)</f>
        <v>63.17753058579234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4.9974313174159457E-2</v>
      </c>
      <c r="M148" s="832"/>
      <c r="N148" s="832"/>
      <c r="O148" s="48">
        <f>IF(t&lt;Tnet,'2025'!Resal+('2025'!Salim-'2025'!Resal)*(1-EXP(('2025'!Tnet-t)/('2025'!Tau_j))),Resal+(Salim-Resal)*(1-EXP((Tnet-t)/(Tau_j))))*Salcycl</f>
        <v>1.1360114895614811E-2</v>
      </c>
      <c r="P148" s="169">
        <f>(INDEX(Models!$BJ148:$BT148,,T148)*(1-R148)+INDEX(Models!$BJ148:$BT148,,T148+1)*R148-ERP_i)*Q148*Ramure*Pc/MaxiM</f>
        <v>4.3188452247761708E-6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59.879620295324663</v>
      </c>
      <c r="W148" s="400">
        <f t="shared" si="59"/>
        <v>50.699216411806283</v>
      </c>
      <c r="X148" s="157">
        <f t="shared" si="60"/>
        <v>46156</v>
      </c>
      <c r="Y148" s="383">
        <f t="shared" si="61"/>
        <v>48.424011426324149</v>
      </c>
      <c r="Z148" s="383">
        <f t="shared" si="62"/>
        <v>50.971265406638715</v>
      </c>
      <c r="AA148" s="384">
        <f t="shared" si="63"/>
        <v>53.96281496265707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5.5437240590368426E-2</v>
      </c>
      <c r="AD148" s="230">
        <f>(INDEX(Models!$BJ148:$BT148,,AH148)*(1-AF148)+INDEX(Models!$BJ148:$BT148,,AH148+1)*AF148-ERP_i)*AE148*Ramure*Pc/MaxiM</f>
        <v>3.9690193772423443E-4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'2025'!Wh/'2025'!Env_an*'2026'!Env_an</f>
        <v>53.352671618519764</v>
      </c>
      <c r="C149" s="829"/>
      <c r="D149" s="391">
        <f t="shared" si="50"/>
        <v>56.160264790478948</v>
      </c>
      <c r="E149" s="383">
        <f t="shared" si="72"/>
        <v>56.810770818404364</v>
      </c>
      <c r="F149" s="383">
        <f t="shared" si="51"/>
        <v>56.810983609267858</v>
      </c>
      <c r="G149" s="110">
        <f t="shared" si="73"/>
        <v>0.89038444003434281</v>
      </c>
      <c r="H149" s="412" t="b">
        <f>Wh_hp&gt;='2025'!Maxi_hp</f>
        <v>0</v>
      </c>
      <c r="I149" s="388">
        <f>IF(H149,Wh_hp,'2025'!Maxi_hp)</f>
        <v>63.749746861981109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4.9992520199711787E-2</v>
      </c>
      <c r="M149" s="832"/>
      <c r="N149" s="832"/>
      <c r="O149" s="48">
        <f>IF(t&lt;Tnet,'2025'!Resal+('2025'!Salim-'2025'!Resal)*(1-EXP(('2025'!Tnet-t)/('2025'!Tau_j))),Resal+(Salim-Resal)*(1-EXP((Tnet-t)/(Tau_j))))*Salcycl</f>
        <v>1.1450399608284888E-2</v>
      </c>
      <c r="P149" s="169">
        <f>(INDEX(Models!$BJ149:$BT149,,T149)*(1-R149)+INDEX(Models!$BJ149:$BT149,,T149+1)*R149-ERP_i)*Q149*Ramure*Pc/MaxiM</f>
        <v>4.4410263499838001E-6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59.920897217312394</v>
      </c>
      <c r="W149" s="400">
        <f t="shared" si="59"/>
        <v>53.352671618519764</v>
      </c>
      <c r="X149" s="157">
        <f t="shared" si="60"/>
        <v>46157</v>
      </c>
      <c r="Y149" s="383">
        <f t="shared" si="61"/>
        <v>50.957632273529946</v>
      </c>
      <c r="Z149" s="383">
        <f t="shared" si="62"/>
        <v>53.639190592733357</v>
      </c>
      <c r="AA149" s="384">
        <f t="shared" si="63"/>
        <v>56.792090077057416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5.5516524925321442E-2</v>
      </c>
      <c r="AD149" s="230">
        <f>(INDEX(Models!$BJ149:$BT149,,AH149)*(1-AF149)+INDEX(Models!$BJ149:$BT149,,AH149+1)*AF149-ERP_i)*AE149*Ramure*Pc/MaxiM</f>
        <v>3.9431521172383482E-4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'2025'!Wh/'2025'!Env_an*'2026'!Env_an</f>
        <v>51.75607701209811</v>
      </c>
      <c r="C150" s="829"/>
      <c r="D150" s="391">
        <f t="shared" si="50"/>
        <v>54.480696231356831</v>
      </c>
      <c r="E150" s="383">
        <f t="shared" si="72"/>
        <v>55.116788247750989</v>
      </c>
      <c r="F150" s="383">
        <f t="shared" si="51"/>
        <v>55.11699057045918</v>
      </c>
      <c r="G150" s="110">
        <f t="shared" si="73"/>
        <v>0.86321812324421432</v>
      </c>
      <c r="H150" s="412" t="b">
        <f>Wh_hp&gt;='2025'!Maxi_hp</f>
        <v>1</v>
      </c>
      <c r="I150" s="388">
        <f>IF(H150,Wh_hp,'2025'!Maxi_hp)</f>
        <v>55.11699057045918</v>
      </c>
      <c r="J150" s="85">
        <f>IF(H150,An,'2025'!An_max)</f>
        <v>2026</v>
      </c>
      <c r="K150" s="197">
        <f t="shared" si="52"/>
        <v>46158</v>
      </c>
      <c r="L150" s="147">
        <f>IF(t&lt;Tvie,1-EXP((T0-t)*PertePVj)+'2025'!Pspv,1-EXP((T0-t)*PertePVj)+Pspv)</f>
        <v>5.0010726876330569E-2</v>
      </c>
      <c r="M150" s="832"/>
      <c r="N150" s="832"/>
      <c r="O150" s="48">
        <f>IF(t&lt;Tnet,'2025'!Resal+('2025'!Salim-'2025'!Resal)*(1-EXP(('2025'!Tnet-t)/('2025'!Tau_j))),Resal+(Salim-Resal)*(1-EXP((Tnet-t)/(Tau_j))))*Salcycl</f>
        <v>1.1540803385257273E-2</v>
      </c>
      <c r="P150" s="169">
        <f>(INDEX(Models!$BJ150:$BT150,,T150)*(1-R150)+INDEX(Models!$BJ150:$BT150,,T150+1)*R150-ERP_i)*Q150*Ramure*Pc/MaxiM</f>
        <v>4.5622592293464667E-6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59.957071659115549</v>
      </c>
      <c r="W150" s="400">
        <f t="shared" si="59"/>
        <v>51.75607701209811</v>
      </c>
      <c r="X150" s="157">
        <f t="shared" si="60"/>
        <v>46158</v>
      </c>
      <c r="Y150" s="383">
        <f t="shared" si="61"/>
        <v>49.433905820003737</v>
      </c>
      <c r="Z150" s="383">
        <f t="shared" si="62"/>
        <v>52.036277901812099</v>
      </c>
      <c r="AA150" s="384">
        <f t="shared" si="63"/>
        <v>55.09960873096373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5.5596235612289713E-2</v>
      </c>
      <c r="AD150" s="230">
        <f>(INDEX(Models!$BJ150:$BT150,,AH150)*(1-AF150)+INDEX(Models!$BJ150:$BT150,,AH150+1)*AF150-ERP_i)*AE150*Ramure*Pc/MaxiM</f>
        <v>3.9195035678021237E-4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'2025'!Wh/'2025'!Env_an*'2026'!Env_an</f>
        <v>55.199057406879035</v>
      </c>
      <c r="C151" s="829"/>
      <c r="D151" s="391">
        <f t="shared" si="50"/>
        <v>58.10604063242905</v>
      </c>
      <c r="E151" s="383">
        <f t="shared" si="72"/>
        <v>58.789844143298986</v>
      </c>
      <c r="F151" s="383">
        <f t="shared" si="51"/>
        <v>58.790087827912487</v>
      </c>
      <c r="G151" s="110">
        <f t="shared" si="73"/>
        <v>0.92016243324818803</v>
      </c>
      <c r="H151" s="412" t="b">
        <f>Wh_hp&gt;='2025'!Maxi_hp</f>
        <v>1</v>
      </c>
      <c r="I151" s="388">
        <f>IF(H151,Wh_hp,'2025'!Maxi_hp)</f>
        <v>58.790087827912487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5.0028933204022574E-2</v>
      </c>
      <c r="M151" s="832"/>
      <c r="N151" s="832"/>
      <c r="O151" s="48">
        <f>IF(t&lt;Tnet,'2025'!Resal+('2025'!Salim-'2025'!Resal)*(1-EXP(('2025'!Tnet-t)/('2025'!Tau_j))),Resal+(Salim-Resal)*(1-EXP((Tnet-t)/(Tau_j))))*Salcycl</f>
        <v>1.1631320355318178E-2</v>
      </c>
      <c r="P151" s="169">
        <f>(INDEX(Models!$BJ151:$BT151,,T151)*(1-R151)+INDEX(Models!$BJ151:$BT151,,T151+1)*R151-ERP_i)*Q151*Ramure*Pc/MaxiM</f>
        <v>4.678603489508439E-6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59.988352009994209</v>
      </c>
      <c r="W151" s="400">
        <f t="shared" si="59"/>
        <v>55.199057406879035</v>
      </c>
      <c r="X151" s="157">
        <f t="shared" si="60"/>
        <v>46159</v>
      </c>
      <c r="Y151" s="383">
        <f t="shared" si="61"/>
        <v>52.721220900574714</v>
      </c>
      <c r="Z151" s="383">
        <f t="shared" si="62"/>
        <v>55.49771223916391</v>
      </c>
      <c r="AA151" s="384">
        <f t="shared" si="63"/>
        <v>58.769799402209905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5.5676337103899624E-2</v>
      </c>
      <c r="AD151" s="230">
        <f>(INDEX(Models!$BJ151:$BT151,,AH151)*(1-AF151)+INDEX(Models!$BJ151:$BT151,,AH151+1)*AF151-ERP_i)*AE151*Ramure*Pc/MaxiM</f>
        <v>3.8952602679470389E-4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'2025'!Wh/'2025'!Env_an*'2026'!Env_an</f>
        <v>53.388545969433196</v>
      </c>
      <c r="C152" s="829"/>
      <c r="D152" s="391">
        <f t="shared" si="50"/>
        <v>56.201258158752445</v>
      </c>
      <c r="E152" s="383">
        <f t="shared" si="72"/>
        <v>56.867860035099106</v>
      </c>
      <c r="F152" s="383">
        <f t="shared" si="51"/>
        <v>56.868089429292425</v>
      </c>
      <c r="G152" s="110">
        <f t="shared" si="73"/>
        <v>0.88958682492723051</v>
      </c>
      <c r="H152" s="412" t="b">
        <f>Wh_hp&gt;='2025'!Maxi_hp</f>
        <v>0</v>
      </c>
      <c r="I152" s="388">
        <f>IF(H152,Wh_hp,'2025'!Maxi_hp)</f>
        <v>65.112138934007149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5.0047139182794576E-2</v>
      </c>
      <c r="M152" s="832"/>
      <c r="N152" s="832"/>
      <c r="O152" s="48">
        <f>IF(t&lt;Tnet,'2025'!Resal+('2025'!Salim-'2025'!Resal)*(1-EXP(('2025'!Tnet-t)/('2025'!Tau_j))),Resal+(Salim-Resal)*(1-EXP((Tnet-t)/(Tau_j))))*Salcycl</f>
        <v>1.1721944098744462E-2</v>
      </c>
      <c r="P152" s="169">
        <f>(INDEX(Models!$BJ152:$BT152,,T152)*(1-R152)+INDEX(Models!$BJ152:$BT152,,T152+1)*R152-ERP_i)*Q152*Ramure*Pc/MaxiM</f>
        <v>4.7892064372754706E-6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60.014946425605345</v>
      </c>
      <c r="W152" s="400">
        <f t="shared" si="59"/>
        <v>53.388545969433196</v>
      </c>
      <c r="X152" s="157">
        <f t="shared" si="60"/>
        <v>46160</v>
      </c>
      <c r="Y152" s="383">
        <f t="shared" si="61"/>
        <v>50.99328203604837</v>
      </c>
      <c r="Z152" s="383">
        <f t="shared" si="62"/>
        <v>53.679802587447284</v>
      </c>
      <c r="AA152" s="384">
        <f t="shared" si="63"/>
        <v>56.849551198901814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5.5756792175269902E-2</v>
      </c>
      <c r="AD152" s="230">
        <f>(INDEX(Models!$BJ152:$BT152,,AH152)*(1-AF152)+INDEX(Models!$BJ152:$BT152,,AH152+1)*AF152-ERP_i)*AE152*Ramure*Pc/MaxiM</f>
        <v>3.8703426200902539E-4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'2025'!Wh/'2025'!Env_an*'2026'!Env_an</f>
        <v>56.123660685573533</v>
      </c>
      <c r="C153" s="829"/>
      <c r="D153" s="391">
        <f t="shared" si="50"/>
        <v>59.081601433421518</v>
      </c>
      <c r="E153" s="383">
        <f t="shared" si="72"/>
        <v>59.787855500093151</v>
      </c>
      <c r="F153" s="383">
        <f t="shared" si="51"/>
        <v>59.788120810978945</v>
      </c>
      <c r="G153" s="110">
        <f t="shared" si="73"/>
        <v>0.9348164667457971</v>
      </c>
      <c r="H153" s="412" t="b">
        <f>Wh_hp&gt;='2025'!Maxi_hp</f>
        <v>0</v>
      </c>
      <c r="I153" s="388">
        <f>IF(H153,Wh_hp,'2025'!Maxi_hp)</f>
        <v>63.796579298765408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5.0065344812653012E-2</v>
      </c>
      <c r="M153" s="832"/>
      <c r="N153" s="832"/>
      <c r="O153" s="48">
        <f>IF(t&lt;Tnet,'2025'!Resal+('2025'!Salim-'2025'!Resal)*(1-EXP(('2025'!Tnet-t)/('2025'!Tau_j))),Resal+(Salim-Resal)*(1-EXP((Tnet-t)/(Tau_j))))*Salcycl</f>
        <v>1.1812667652388583E-2</v>
      </c>
      <c r="P153" s="169">
        <f>(INDEX(Models!$BJ153:$BT153,,T153)*(1-R153)+INDEX(Models!$BJ153:$BT153,,T153+1)*R153-ERP_i)*Q153*Ramure*Pc/MaxiM</f>
        <v>4.8931635420870463E-6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60.037063005917204</v>
      </c>
      <c r="W153" s="400">
        <f t="shared" si="59"/>
        <v>56.123660685573533</v>
      </c>
      <c r="X153" s="157">
        <f t="shared" si="60"/>
        <v>46161</v>
      </c>
      <c r="Y153" s="383">
        <f t="shared" si="61"/>
        <v>53.604827612090531</v>
      </c>
      <c r="Z153" s="383">
        <f t="shared" si="62"/>
        <v>56.430015811475513</v>
      </c>
      <c r="AA153" s="384">
        <f t="shared" si="63"/>
        <v>59.767274718848881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5.5837561994790001E-2</v>
      </c>
      <c r="AD153" s="230">
        <f>(INDEX(Models!$BJ153:$BT153,,AH153)*(1-AF153)+INDEX(Models!$BJ153:$BT153,,AH153+1)*AF153-ERP_i)*AE153*Ramure*Pc/MaxiM</f>
        <v>3.8446721739759617E-4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'2025'!Wh/'2025'!Env_an*'2026'!Env_an</f>
        <v>50.080610789094855</v>
      </c>
      <c r="C154" s="829"/>
      <c r="D154" s="391">
        <f t="shared" si="50"/>
        <v>52.721069094055373</v>
      </c>
      <c r="E154" s="383">
        <f t="shared" si="72"/>
        <v>53.356193665921708</v>
      </c>
      <c r="F154" s="383">
        <f t="shared" si="51"/>
        <v>53.356396723019024</v>
      </c>
      <c r="G154" s="110">
        <f t="shared" si="73"/>
        <v>0.83391269205431617</v>
      </c>
      <c r="H154" s="412" t="b">
        <f>Wh_hp&gt;='2025'!Maxi_hp</f>
        <v>0</v>
      </c>
      <c r="I154" s="388">
        <f>IF(H154,Wh_hp,'2025'!Maxi_hp)</f>
        <v>63.305602398396879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5.0083550093604767E-2</v>
      </c>
      <c r="M154" s="832"/>
      <c r="N154" s="832"/>
      <c r="O154" s="48">
        <f>IF(t&lt;Tnet,'2025'!Resal+('2025'!Salim-'2025'!Resal)*(1-EXP(('2025'!Tnet-t)/('2025'!Tau_j))),Resal+(Salim-Resal)*(1-EXP((Tnet-t)/(Tau_j))))*Salcycl</f>
        <v>1.1903483517640614E-2</v>
      </c>
      <c r="P154" s="169">
        <f>(INDEX(Models!$BJ154:$BT154,,T154)*(1-R154)+INDEX(Models!$BJ154:$BT154,,T154+1)*R154-ERP_i)*Q154*Ramure*Pc/MaxiM</f>
        <v>4.9895189078336163E-6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60.054909798607525</v>
      </c>
      <c r="W154" s="400">
        <f t="shared" si="59"/>
        <v>50.080610789094855</v>
      </c>
      <c r="X154" s="157">
        <f t="shared" si="60"/>
        <v>46162</v>
      </c>
      <c r="Y154" s="383">
        <f t="shared" si="61"/>
        <v>47.83599857495885</v>
      </c>
      <c r="Z154" s="383">
        <f t="shared" si="62"/>
        <v>50.358111578836862</v>
      </c>
      <c r="AA154" s="384">
        <f t="shared" si="63"/>
        <v>53.340858012710143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5.5918606205444712E-2</v>
      </c>
      <c r="AD154" s="230">
        <f>(INDEX(Models!$BJ154:$BT154,,AH154)*(1-AF154)+INDEX(Models!$BJ154:$BT154,,AH154+1)*AF154-ERP_i)*AE154*Ramure*Pc/MaxiM</f>
        <v>3.8181718301576179E-4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'2025'!Wh/'2025'!Env_an*'2026'!Env_an</f>
        <v>50.177799740891174</v>
      </c>
      <c r="C155" s="829"/>
      <c r="D155" s="391">
        <f t="shared" si="50"/>
        <v>52.824394619495749</v>
      </c>
      <c r="E155" s="383">
        <f t="shared" si="72"/>
        <v>53.465682528999125</v>
      </c>
      <c r="F155" s="383">
        <f t="shared" si="51"/>
        <v>53.465890134379507</v>
      </c>
      <c r="G155" s="110">
        <f t="shared" si="73"/>
        <v>0.83533927247047668</v>
      </c>
      <c r="H155" s="412" t="b">
        <f>Wh_hp&gt;='2025'!Maxi_hp</f>
        <v>0</v>
      </c>
      <c r="I155" s="388">
        <f>IF(H155,Wh_hp,'2025'!Maxi_hp)</f>
        <v>61.653025263591708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5.0101755025656391E-2</v>
      </c>
      <c r="M155" s="832"/>
      <c r="N155" s="832"/>
      <c r="O155" s="48">
        <f>IF(t&lt;Tnet,'2025'!Resal+('2025'!Salim-'2025'!Resal)*(1-EXP(('2025'!Tnet-t)/('2025'!Tau_j))),Resal+(Salim-Resal)*(1-EXP((Tnet-t)/(Tau_j))))*Salcycl</f>
        <v>1.1994383671349439E-2</v>
      </c>
      <c r="P155" s="169">
        <f>(INDEX(Models!$BJ155:$BT155,,T155)*(1-R155)+INDEX(Models!$BJ155:$BT155,,T155+1)*R155-ERP_i)*Q155*Ramure*Pc/MaxiM</f>
        <v>5.0772661454969898E-6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60.068694800025291</v>
      </c>
      <c r="W155" s="400">
        <f t="shared" si="59"/>
        <v>50.177799740891174</v>
      </c>
      <c r="X155" s="157">
        <f t="shared" si="60"/>
        <v>46163</v>
      </c>
      <c r="Y155" s="383">
        <f t="shared" si="61"/>
        <v>47.929181414851612</v>
      </c>
      <c r="Z155" s="383">
        <f t="shared" si="62"/>
        <v>50.457174406239865</v>
      </c>
      <c r="AA155" s="384">
        <f t="shared" si="63"/>
        <v>53.450389993044183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5.5999883016641064E-2</v>
      </c>
      <c r="AD155" s="230">
        <f>(INDEX(Models!$BJ155:$BT155,,AH155)*(1-AF155)+INDEX(Models!$BJ155:$BT155,,AH155+1)*AF155-ERP_i)*AE155*Ramure*Pc/MaxiM</f>
        <v>3.7907660537750485E-4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'2025'!Wh/'2025'!Env_an*'2026'!Env_an</f>
        <v>38.115103037053139</v>
      </c>
      <c r="C156" s="829"/>
      <c r="D156" s="391">
        <f t="shared" si="50"/>
        <v>40.126227961750153</v>
      </c>
      <c r="E156" s="383">
        <f t="shared" si="72"/>
        <v>40.617100223032843</v>
      </c>
      <c r="F156" s="383">
        <f t="shared" si="51"/>
        <v>40.617200344167813</v>
      </c>
      <c r="G156" s="110">
        <f t="shared" si="73"/>
        <v>0.63441864542038495</v>
      </c>
      <c r="H156" s="412" t="b">
        <f>Wh_hp&gt;='2025'!Maxi_hp</f>
        <v>0</v>
      </c>
      <c r="I156" s="388">
        <f>IF(H156,Wh_hp,'2025'!Maxi_hp)</f>
        <v>60.757180610940942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5.0119959608814768E-2</v>
      </c>
      <c r="M156" s="832"/>
      <c r="N156" s="832"/>
      <c r="O156" s="48">
        <f>IF(t&lt;Tnet,'2025'!Resal+('2025'!Salim-'2025'!Resal)*(1-EXP(('2025'!Tnet-t)/('2025'!Tau_j))),Resal+(Salim-Resal)*(1-EXP((Tnet-t)/(Tau_j))))*Salcycl</f>
        <v>1.2085359579764508E-2</v>
      </c>
      <c r="P156" s="169">
        <f>(INDEX(Models!$BJ156:$BT156,,T156)*(1-R156)+INDEX(Models!$BJ156:$BT156,,T156+1)*R156-ERP_i)*Q156*Ramure*Pc/MaxiM</f>
        <v>5.1596603695552763E-6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60.078625690514762</v>
      </c>
      <c r="W156" s="400">
        <f t="shared" si="59"/>
        <v>38.115103037053139</v>
      </c>
      <c r="X156" s="157">
        <f t="shared" si="60"/>
        <v>46164</v>
      </c>
      <c r="Y156" s="383">
        <f t="shared" si="61"/>
        <v>36.411218673897494</v>
      </c>
      <c r="Z156" s="383">
        <f t="shared" si="62"/>
        <v>38.332438966611413</v>
      </c>
      <c r="AA156" s="384">
        <f t="shared" si="63"/>
        <v>40.609896772825167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5.608134930640242E-2</v>
      </c>
      <c r="AD156" s="230">
        <f>(INDEX(Models!$BJ156:$BT156,,AH156)*(1-AF156)+INDEX(Models!$BJ156:$BT156,,AH156+1)*AF156-ERP_i)*AE156*Ramure*Pc/MaxiM</f>
        <v>3.7638354402601444E-4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'2025'!Wh/'2025'!Env_an*'2026'!Env_an</f>
        <v>20.124173139879574</v>
      </c>
      <c r="C157" s="829"/>
      <c r="D157" s="391">
        <f t="shared" si="50"/>
        <v>21.186421407665794</v>
      </c>
      <c r="E157" s="383">
        <f t="shared" si="72"/>
        <v>21.44757571613361</v>
      </c>
      <c r="F157" s="383">
        <f t="shared" si="51"/>
        <v>21.447581321926755</v>
      </c>
      <c r="G157" s="110">
        <f t="shared" si="73"/>
        <v>0.33492723746756736</v>
      </c>
      <c r="H157" s="412" t="b">
        <f>Wh_hp&gt;='2025'!Maxi_hp</f>
        <v>0</v>
      </c>
      <c r="I157" s="388">
        <f>IF(H157,Wh_hp,'2025'!Maxi_hp)</f>
        <v>57.940082195716684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5.0138163843086447E-2</v>
      </c>
      <c r="M157" s="832"/>
      <c r="N157" s="832"/>
      <c r="O157" s="48">
        <f>IF(t&lt;Tnet,'2025'!Resal+('2025'!Salim-'2025'!Resal)*(1-EXP(('2025'!Tnet-t)/('2025'!Tau_j))),Resal+(Salim-Resal)*(1-EXP((Tnet-t)/(Tau_j))))*Salcycl</f>
        <v>1.2176402215536522E-2</v>
      </c>
      <c r="P157" s="169">
        <f>(INDEX(Models!$BJ157:$BT157,,T157)*(1-R157)+INDEX(Models!$BJ157:$BT157,,T157+1)*R157-ERP_i)*Q157*Ramure*Pc/MaxiM</f>
        <v>5.2380763289446099E-6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60.084910203036856</v>
      </c>
      <c r="W157" s="400">
        <f t="shared" si="59"/>
        <v>20.124173139879574</v>
      </c>
      <c r="X157" s="157">
        <f t="shared" si="60"/>
        <v>46165</v>
      </c>
      <c r="Y157" s="383">
        <f t="shared" si="61"/>
        <v>19.227715135220684</v>
      </c>
      <c r="Z157" s="383">
        <f t="shared" si="62"/>
        <v>20.24264414392615</v>
      </c>
      <c r="AA157" s="384">
        <f t="shared" si="63"/>
        <v>21.447181347811849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5.6162960733699974E-2</v>
      </c>
      <c r="AD157" s="230">
        <f>(INDEX(Models!$BJ157:$BT157,,AH157)*(1-AF157)+INDEX(Models!$BJ157:$BT157,,AH157+1)*AF157-ERP_i)*AE157*Ramure*Pc/MaxiM</f>
        <v>3.7373746924074117E-4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'2025'!Wh/'2025'!Env_an*'2026'!Env_an</f>
        <v>16.636435018182617</v>
      </c>
      <c r="C158" s="829"/>
      <c r="D158" s="391">
        <f t="shared" si="50"/>
        <v>17.514919775160351</v>
      </c>
      <c r="E158" s="383">
        <f t="shared" si="72"/>
        <v>17.732452675197685</v>
      </c>
      <c r="F158" s="383">
        <f t="shared" si="51"/>
        <v>17.732452675197685</v>
      </c>
      <c r="G158" s="110">
        <f t="shared" si="73"/>
        <v>0.27686749710872588</v>
      </c>
      <c r="H158" s="412" t="b">
        <f>Wh_hp&gt;='2025'!Maxi_hp</f>
        <v>0</v>
      </c>
      <c r="I158" s="388">
        <f>IF(H158,Wh_hp,'2025'!Maxi_hp)</f>
        <v>27.39141049073487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5.0156367728478091E-2</v>
      </c>
      <c r="M158" s="832"/>
      <c r="N158" s="832"/>
      <c r="O158" s="48">
        <f>IF(t&lt;Tnet,'2025'!Resal+('2025'!Salim-'2025'!Resal)*(1-EXP(('2025'!Tnet-t)/('2025'!Tau_j))),Resal+(Salim-Resal)*(1-EXP((Tnet-t)/(Tau_j))))*Salcycl</f>
        <v>1.2267502077791807E-2</v>
      </c>
      <c r="P158" s="169">
        <f>(INDEX(Models!$BJ158:$BT158,,T158)*(1-R158)+INDEX(Models!$BJ158:$BT158,,T158+1)*R158-ERP_i)*Q158*Ramure*Pc/MaxiM</f>
        <v>5.3121768664942923E-6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60.087756115208705</v>
      </c>
      <c r="W158" s="400">
        <f t="shared" si="59"/>
        <v>16.636435018182617</v>
      </c>
      <c r="X158" s="157">
        <f t="shared" si="60"/>
        <v>46166</v>
      </c>
      <c r="Y158" s="383">
        <f t="shared" si="61"/>
        <v>15.895725029481955</v>
      </c>
      <c r="Z158" s="383">
        <f t="shared" si="62"/>
        <v>16.735096693197612</v>
      </c>
      <c r="AA158" s="384">
        <f t="shared" si="63"/>
        <v>17.732452675197685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5.6244671860597811E-2</v>
      </c>
      <c r="AD158" s="230">
        <f>(INDEX(Models!$BJ158:$BT158,,AH158)*(1-AF158)+INDEX(Models!$BJ158:$BT158,,AH158+1)*AF158-ERP_i)*AE158*Ramure*Pc/MaxiM</f>
        <v>3.7113446613581643E-4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'2025'!Wh/'2025'!Env_an*'2026'!Env_an</f>
        <v>41.848715513938451</v>
      </c>
      <c r="C159" s="829"/>
      <c r="D159" s="391">
        <f t="shared" si="50"/>
        <v>44.059375805166006</v>
      </c>
      <c r="E159" s="383">
        <f t="shared" si="72"/>
        <v>44.610703845235562</v>
      </c>
      <c r="F159" s="383">
        <f t="shared" si="51"/>
        <v>44.610839821309732</v>
      </c>
      <c r="G159" s="110">
        <f t="shared" si="73"/>
        <v>0.69646278517500182</v>
      </c>
      <c r="H159" s="412" t="b">
        <f>Wh_hp&gt;='2025'!Maxi_hp</f>
        <v>0</v>
      </c>
      <c r="I159" s="388">
        <f>IF(H159,Wh_hp,'2025'!Maxi_hp)</f>
        <v>59.825577923222795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5.0174571264996359E-2</v>
      </c>
      <c r="M159" s="832"/>
      <c r="N159" s="832"/>
      <c r="O159" s="48">
        <f>IF(t&lt;Tnet,'2025'!Resal+('2025'!Salim-'2025'!Resal)*(1-EXP(('2025'!Tnet-t)/('2025'!Tau_j))),Resal+(Salim-Resal)*(1-EXP((Tnet-t)/(Tau_j))))*Salcycl</f>
        <v>1.2358649215269904E-2</v>
      </c>
      <c r="P159" s="169">
        <f>(INDEX(Models!$BJ159:$BT159,,T159)*(1-R159)+INDEX(Models!$BJ159:$BT159,,T159+1)*R159-ERP_i)*Q159*Ramure*Pc/MaxiM</f>
        <v>5.3816559674854199E-6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60.087371136013729</v>
      </c>
      <c r="W159" s="400">
        <f t="shared" si="59"/>
        <v>41.848715513938451</v>
      </c>
      <c r="X159" s="157">
        <f t="shared" si="60"/>
        <v>46167</v>
      </c>
      <c r="Y159" s="383">
        <f t="shared" si="61"/>
        <v>39.977470466017941</v>
      </c>
      <c r="Z159" s="383">
        <f t="shared" si="62"/>
        <v>42.089282152890696</v>
      </c>
      <c r="AA159" s="384">
        <f t="shared" si="63"/>
        <v>44.601527234843964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5.6326436283792462E-2</v>
      </c>
      <c r="AD159" s="230">
        <f>(INDEX(Models!$BJ159:$BT159,,AH159)*(1-AF159)+INDEX(Models!$BJ159:$BT159,,AH159+1)*AF159-ERP_i)*AE159*Ramure*Pc/MaxiM</f>
        <v>3.6857319813874838E-4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'2025'!Wh/'2025'!Env_an*'2026'!Env_an</f>
        <v>25.438823415761377</v>
      </c>
      <c r="C160" s="829"/>
      <c r="D160" s="391">
        <f t="shared" si="50"/>
        <v>26.783143706978613</v>
      </c>
      <c r="E160" s="383">
        <f t="shared" si="72"/>
        <v>27.120793058228802</v>
      </c>
      <c r="F160" s="383">
        <f t="shared" si="51"/>
        <v>27.120819094078104</v>
      </c>
      <c r="G160" s="110">
        <f t="shared" si="73"/>
        <v>0.42338600948595845</v>
      </c>
      <c r="H160" s="412" t="b">
        <f>Wh_hp&gt;='2025'!Maxi_hp</f>
        <v>0</v>
      </c>
      <c r="I160" s="388">
        <f>IF(H160,Wh_hp,'2025'!Maxi_hp)</f>
        <v>62.596709791929555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5.0192774452648026E-2</v>
      </c>
      <c r="M160" s="832"/>
      <c r="N160" s="832"/>
      <c r="O160" s="48">
        <f>IF(t&lt;Tnet,'2025'!Resal+('2025'!Salim-'2025'!Resal)*(1-EXP(('2025'!Tnet-t)/('2025'!Tau_j))),Resal+(Salim-Resal)*(1-EXP((Tnet-t)/(Tau_j))))*Salcycl</f>
        <v>1.2449833252488229E-2</v>
      </c>
      <c r="P160" s="169">
        <f>(INDEX(Models!$BJ160:$BT160,,T160)*(1-R160)+INDEX(Models!$BJ160:$BT160,,T160+1)*R160-ERP_i)*Q160*Ramure*Pc/MaxiM</f>
        <v>5.4462099997318009E-6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60.083962912484878</v>
      </c>
      <c r="W160" s="400">
        <f t="shared" si="59"/>
        <v>25.438823415761377</v>
      </c>
      <c r="X160" s="157">
        <f t="shared" si="60"/>
        <v>46168</v>
      </c>
      <c r="Y160" s="383">
        <f t="shared" si="61"/>
        <v>24.304931577882872</v>
      </c>
      <c r="Z160" s="383">
        <f t="shared" si="62"/>
        <v>25.589331102294469</v>
      </c>
      <c r="AA160" s="384">
        <f t="shared" si="63"/>
        <v>27.119069163198638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5.640820677503447E-2</v>
      </c>
      <c r="AD160" s="230">
        <f>(INDEX(Models!$BJ160:$BT160,,AH160)*(1-AF160)+INDEX(Models!$BJ160:$BT160,,AH160+1)*AF160-ERP_i)*AE160*Ramure*Pc/MaxiM</f>
        <v>3.6605262780060887E-4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'2025'!Wh/'2025'!Env_an*'2026'!Env_an</f>
        <v>46.835667866191287</v>
      </c>
      <c r="C161" s="829"/>
      <c r="D161" s="391">
        <f t="shared" si="50"/>
        <v>49.311654216246581</v>
      </c>
      <c r="E161" s="383">
        <f t="shared" si="72"/>
        <v>49.937927938775218</v>
      </c>
      <c r="F161" s="383">
        <f t="shared" si="51"/>
        <v>49.938116303272693</v>
      </c>
      <c r="G161" s="110">
        <f t="shared" si="73"/>
        <v>0.77958304413847102</v>
      </c>
      <c r="H161" s="412" t="b">
        <f>Wh_hp&gt;='2025'!Maxi_hp</f>
        <v>0</v>
      </c>
      <c r="I161" s="388">
        <f>IF(H161,Wh_hp,'2025'!Maxi_hp)</f>
        <v>62.270971233570506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5.0210977291439862E-2</v>
      </c>
      <c r="M161" s="832"/>
      <c r="N161" s="832"/>
      <c r="O161" s="48">
        <f>IF(t&lt;Tnet,'2025'!Resal+('2025'!Salim-'2025'!Resal)*(1-EXP(('2025'!Tnet-t)/('2025'!Tau_j))),Resal+(Salim-Resal)*(1-EXP((Tnet-t)/(Tau_j))))*Salcycl</f>
        <v>1.2541043418871183E-2</v>
      </c>
      <c r="P161" s="169">
        <f>(INDEX(Models!$BJ161:$BT161,,T161)*(1-R161)+INDEX(Models!$BJ161:$BT161,,T161+1)*R161-ERP_i)*Q161*Ramure*Pc/MaxiM</f>
        <v>5.5055396027640673E-6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60.077739022929237</v>
      </c>
      <c r="W161" s="400">
        <f t="shared" si="59"/>
        <v>46.835667866191287</v>
      </c>
      <c r="X161" s="157">
        <f t="shared" si="60"/>
        <v>46169</v>
      </c>
      <c r="Y161" s="383">
        <f t="shared" si="61"/>
        <v>44.74017179365255</v>
      </c>
      <c r="Z161" s="383">
        <f t="shared" si="62"/>
        <v>47.105378904111568</v>
      </c>
      <c r="AA161" s="384">
        <f t="shared" si="63"/>
        <v>49.925677184557635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5.6489935429827401E-2</v>
      </c>
      <c r="AD161" s="230">
        <f>(INDEX(Models!$BJ161:$BT161,,AH161)*(1-AF161)+INDEX(Models!$BJ161:$BT161,,AH161+1)*AF161-ERP_i)*AE161*Ramure*Pc/MaxiM</f>
        <v>3.6357201927957045E-4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'2025'!Wh/'2025'!Env_an*'2026'!Env_an</f>
        <v>56.333235612446202</v>
      </c>
      <c r="C162" s="829"/>
      <c r="D162" s="391">
        <f t="shared" si="50"/>
        <v>59.312451396937227</v>
      </c>
      <c r="E162" s="383">
        <f t="shared" si="72"/>
        <v>60.071288041468925</v>
      </c>
      <c r="F162" s="383">
        <f t="shared" si="51"/>
        <v>60.071592330804037</v>
      </c>
      <c r="G162" s="110">
        <f t="shared" si="73"/>
        <v>0.93780976924127035</v>
      </c>
      <c r="H162" s="412" t="b">
        <f>Wh_hp&gt;='2025'!Maxi_hp</f>
        <v>0</v>
      </c>
      <c r="I162" s="388">
        <f>IF(H162,Wh_hp,'2025'!Maxi_hp)</f>
        <v>61.405954695216622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5.0229179781378308E-2</v>
      </c>
      <c r="M162" s="832"/>
      <c r="N162" s="832"/>
      <c r="O162" s="48">
        <f>IF(t&lt;Tnet,'2025'!Resal+('2025'!Salim-'2025'!Resal)*(1-EXP(('2025'!Tnet-t)/('2025'!Tau_j))),Resal+(Salim-Resal)*(1-EXP((Tnet-t)/(Tau_j))))*Salcycl</f>
        <v>1.2632268580754346E-2</v>
      </c>
      <c r="P162" s="169">
        <f>(INDEX(Models!$BJ162:$BT162,,T162)*(1-R162)+INDEX(Models!$BJ162:$BT162,,T162+1)*R162-ERP_i)*Q162*Ramure*Pc/MaxiM</f>
        <v>5.5593516394034368E-6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60.068906975143889</v>
      </c>
      <c r="W162" s="400">
        <f t="shared" si="59"/>
        <v>56.333235612446202</v>
      </c>
      <c r="X162" s="157">
        <f t="shared" si="60"/>
        <v>46170</v>
      </c>
      <c r="Y162" s="383">
        <f t="shared" si="61"/>
        <v>53.808885568845405</v>
      </c>
      <c r="Z162" s="383">
        <f t="shared" si="62"/>
        <v>56.654599639584085</v>
      </c>
      <c r="AA162" s="384">
        <f t="shared" si="63"/>
        <v>60.051825944237194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5.6571573823711911E-2</v>
      </c>
      <c r="AD162" s="230">
        <f>(INDEX(Models!$BJ162:$BT162,,AH162)*(1-AF162)+INDEX(Models!$BJ162:$BT162,,AH162+1)*AF162-ERP_i)*AE162*Ramure*Pc/MaxiM</f>
        <v>3.6113093981707381E-4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'2025'!Wh/'2025'!Env_an*'2026'!Env_an</f>
        <v>60.909884882304148</v>
      </c>
      <c r="C163" s="829"/>
      <c r="D163" s="391">
        <f t="shared" si="50"/>
        <v>64.132368495700192</v>
      </c>
      <c r="E163" s="383">
        <f t="shared" si="72"/>
        <v>64.958872533441053</v>
      </c>
      <c r="F163" s="383">
        <f t="shared" si="51"/>
        <v>64.959236791876052</v>
      </c>
      <c r="G163" s="110">
        <f t="shared" si="73"/>
        <v>1.0142136258336651</v>
      </c>
      <c r="H163" s="412" t="b">
        <f>Wh_hp&gt;='2025'!Maxi_hp</f>
        <v>1</v>
      </c>
      <c r="I163" s="388">
        <f>IF(H163,Wh_hp,'2025'!Maxi_hp)</f>
        <v>64.959236791876052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5.0247381922470247E-2</v>
      </c>
      <c r="M163" s="832"/>
      <c r="N163" s="832"/>
      <c r="O163" s="48">
        <f>IF(t&lt;Tnet,'2025'!Resal+('2025'!Salim-'2025'!Resal)*(1-EXP(('2025'!Tnet-t)/('2025'!Tau_j))),Resal+(Salim-Resal)*(1-EXP((Tnet-t)/(Tau_j))))*Salcycl</f>
        <v>1.2723497276147711E-2</v>
      </c>
      <c r="P163" s="169">
        <f>(INDEX(Models!$BJ163:$BT163,,T163)*(1-R163)+INDEX(Models!$BJ163:$BT163,,T163+1)*R163-ERP_i)*Q163*Ramure*Pc/MaxiM</f>
        <v>5.6074925289939263E-6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60.056267566152378</v>
      </c>
      <c r="W163" s="400">
        <f t="shared" si="59"/>
        <v>60.909884882304148</v>
      </c>
      <c r="X163" s="157">
        <f t="shared" si="60"/>
        <v>46171</v>
      </c>
      <c r="Y163" s="383">
        <f t="shared" si="61"/>
        <v>58.179103710422197</v>
      </c>
      <c r="Z163" s="383">
        <f t="shared" si="62"/>
        <v>61.257113276704807</v>
      </c>
      <c r="AA163" s="384">
        <f t="shared" si="63"/>
        <v>64.935933467128109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5.665307317535672E-2</v>
      </c>
      <c r="AD163" s="230">
        <f>(INDEX(Models!$BJ163:$BT163,,AH163)*(1-AF163)+INDEX(Models!$BJ163:$BT163,,AH163+1)*AF163-ERP_i)*AE163*Ramure*Pc/MaxiM</f>
        <v>3.5873766224514493E-4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'2025'!Wh/'2025'!Env_an*'2026'!Env_an</f>
        <v>51.681568848342401</v>
      </c>
      <c r="C164" s="829"/>
      <c r="D164" s="391">
        <f t="shared" si="50"/>
        <v>54.416864296111264</v>
      </c>
      <c r="E164" s="383">
        <f t="shared" si="72"/>
        <v>55.123253227803936</v>
      </c>
      <c r="F164" s="383">
        <f t="shared" si="51"/>
        <v>55.123502784279566</v>
      </c>
      <c r="G164" s="110">
        <f t="shared" si="73"/>
        <v>0.86080244462495337</v>
      </c>
      <c r="H164" s="412" t="b">
        <f>Wh_hp&gt;='2025'!Maxi_hp</f>
        <v>0</v>
      </c>
      <c r="I164" s="388">
        <f>IF(H164,Wh_hp,'2025'!Maxi_hp)</f>
        <v>59.25879141798292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5.0265583714722339E-2</v>
      </c>
      <c r="M164" s="832"/>
      <c r="N164" s="832"/>
      <c r="O164" s="48">
        <f>IF(t&lt;Tnet,'2025'!Resal+('2025'!Salim-'2025'!Resal)*(1-EXP(('2025'!Tnet-t)/('2025'!Tau_j))),Resal+(Salim-Resal)*(1-EXP((Tnet-t)/(Tau_j))))*Salcycl</f>
        <v>1.2814717752115071E-2</v>
      </c>
      <c r="P164" s="169">
        <f>(INDEX(Models!$BJ164:$BT164,,T164)*(1-R164)+INDEX(Models!$BJ164:$BT164,,T164+1)*R164-ERP_i)*Q164*Ramure*Pc/MaxiM</f>
        <v>5.6509235225117383E-6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60.038759295196364</v>
      </c>
      <c r="W164" s="400">
        <f t="shared" si="59"/>
        <v>51.681568848342401</v>
      </c>
      <c r="X164" s="157">
        <f t="shared" si="60"/>
        <v>46172</v>
      </c>
      <c r="Y164" s="383">
        <f t="shared" si="61"/>
        <v>49.3683881501481</v>
      </c>
      <c r="Z164" s="383">
        <f t="shared" si="62"/>
        <v>51.981256342424686</v>
      </c>
      <c r="AA164" s="384">
        <f t="shared" si="63"/>
        <v>55.107761259515925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5.6734384515599492E-2</v>
      </c>
      <c r="AD164" s="230">
        <f>(INDEX(Models!$BJ164:$BT164,,AH164)*(1-AF164)+INDEX(Models!$BJ164:$BT164,,AH164+1)*AF164-ERP_i)*AE164*Ramure*Pc/MaxiM</f>
        <v>3.5644898551643993E-4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'2025'!Wh/'2025'!Env_an*'2026'!Env_an</f>
        <v>56.024860605781299</v>
      </c>
      <c r="C165" s="829"/>
      <c r="D165" s="391">
        <f t="shared" si="50"/>
        <v>58.9911593908189</v>
      </c>
      <c r="E165" s="383">
        <f t="shared" si="72"/>
        <v>59.762448652887237</v>
      </c>
      <c r="F165" s="383">
        <f t="shared" si="51"/>
        <v>59.76275655825286</v>
      </c>
      <c r="G165" s="110">
        <f t="shared" si="73"/>
        <v>0.93348585903615711</v>
      </c>
      <c r="H165" s="412" t="b">
        <f>Wh_hp&gt;='2025'!Maxi_hp</f>
        <v>0</v>
      </c>
      <c r="I165" s="388">
        <f>IF(H165,Wh_hp,'2025'!Maxi_hp)</f>
        <v>62.682352866116169</v>
      </c>
      <c r="J165" s="85">
        <f>IF(H165,An,'2025'!An_max)</f>
        <v>2018</v>
      </c>
      <c r="K165" s="197">
        <f t="shared" si="52"/>
        <v>46173</v>
      </c>
      <c r="L165" s="147">
        <f>IF(t&lt;Tvie,1-EXP((T0-t)*PertePVj)+'2025'!Pspv,1-EXP((T0-t)*PertePVj)+Pspv)</f>
        <v>5.0283785158141248E-2</v>
      </c>
      <c r="M165" s="832"/>
      <c r="N165" s="832"/>
      <c r="O165" s="48">
        <f>IF(t&lt;Tnet,'2025'!Resal+('2025'!Salim-'2025'!Resal)*(1-EXP(('2025'!Tnet-t)/('2025'!Tau_j))),Resal+(Salim-Resal)*(1-EXP((Tnet-t)/(Tau_j))))*Salcycl</f>
        <v>1.2905918004600976E-2</v>
      </c>
      <c r="P165" s="169">
        <f>(INDEX(Models!$BJ165:$BT165,,T165)*(1-R165)+INDEX(Models!$BJ165:$BT165,,T165+1)*R165-ERP_i)*Q165*Ramure*Pc/MaxiM</f>
        <v>5.6930815515090789E-6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60.016795922992515</v>
      </c>
      <c r="W165" s="400">
        <f t="shared" si="59"/>
        <v>56.024860605781299</v>
      </c>
      <c r="X165" s="157">
        <f t="shared" si="60"/>
        <v>46173</v>
      </c>
      <c r="Y165" s="383">
        <f t="shared" si="61"/>
        <v>53.515783829484285</v>
      </c>
      <c r="Z165" s="383">
        <f t="shared" si="62"/>
        <v>56.349236743731311</v>
      </c>
      <c r="AA165" s="384">
        <f t="shared" si="63"/>
        <v>59.743596598512539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5.6815458861506532E-2</v>
      </c>
      <c r="AD165" s="230">
        <f>(INDEX(Models!$BJ165:$BT165,,AH165)*(1-AF165)+INDEX(Models!$BJ165:$BT165,,AH165+1)*AF165-ERP_i)*AE165*Ramure*Pc/MaxiM</f>
        <v>3.5426213864312892E-4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'2025'!Wh/'2025'!Env_an*'2026'!Env_an</f>
        <v>57.088526945779755</v>
      </c>
      <c r="C166" s="829"/>
      <c r="D166" s="391">
        <f t="shared" si="50"/>
        <v>60.112294770969328</v>
      </c>
      <c r="E166" s="383">
        <f t="shared" si="72"/>
        <v>60.903867564506257</v>
      </c>
      <c r="F166" s="383">
        <f t="shared" si="51"/>
        <v>60.904192666556433</v>
      </c>
      <c r="G166" s="110">
        <f t="shared" si="73"/>
        <v>0.95162112642028385</v>
      </c>
      <c r="H166" s="412" t="b">
        <f>Wh_hp&gt;='2025'!Maxi_hp</f>
        <v>0</v>
      </c>
      <c r="I166" s="388">
        <f>IF(H166,Wh_hp,'2025'!Maxi_hp)</f>
        <v>63.124729427681508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5.0301986252733633E-2</v>
      </c>
      <c r="M166" s="832"/>
      <c r="N166" s="832"/>
      <c r="O166" s="48">
        <f>IF(t&lt;Tnet,'2025'!Resal+('2025'!Salim-'2025'!Resal)*(1-EXP(('2025'!Tnet-t)/('2025'!Tau_j))),Resal+(Salim-Resal)*(1-EXP((Tnet-t)/(Tau_j))))*Salcycl</f>
        <v>1.2997085820511038E-2</v>
      </c>
      <c r="P166" s="169">
        <f>(INDEX(Models!$BJ166:$BT166,,T166)*(1-R166)+INDEX(Models!$BJ166:$BT166,,T166+1)*R166-ERP_i)*Q166*Ramure*Pc/MaxiM</f>
        <v>5.7342305479876896E-6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59.990791225857102</v>
      </c>
      <c r="W166" s="400">
        <f t="shared" si="59"/>
        <v>57.088526945779755</v>
      </c>
      <c r="X166" s="157">
        <f t="shared" si="60"/>
        <v>46174</v>
      </c>
      <c r="Y166" s="383">
        <f t="shared" si="61"/>
        <v>54.531794803093184</v>
      </c>
      <c r="Z166" s="383">
        <f t="shared" si="62"/>
        <v>57.420141996427496</v>
      </c>
      <c r="AA166" s="384">
        <f t="shared" si="63"/>
        <v>60.884225980217728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5.6896247394452641E-2</v>
      </c>
      <c r="AD166" s="230">
        <f>(INDEX(Models!$BJ166:$BT166,,AH166)*(1-AF166)+INDEX(Models!$BJ166:$BT166,,AH166+1)*AF166-ERP_i)*AE166*Ramure*Pc/MaxiM</f>
        <v>3.5217736302791319E-4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'2025'!Wh/'2025'!Env_an*'2026'!Env_an</f>
        <v>45.530577221142899</v>
      </c>
      <c r="C167" s="829"/>
      <c r="D167" s="391">
        <f t="shared" si="50"/>
        <v>47.943082076518017</v>
      </c>
      <c r="E167" s="383">
        <f t="shared" si="72"/>
        <v>48.578892769417308</v>
      </c>
      <c r="F167" s="383">
        <f t="shared" si="51"/>
        <v>48.579076849696769</v>
      </c>
      <c r="G167" s="110">
        <f t="shared" si="73"/>
        <v>0.75933300379489399</v>
      </c>
      <c r="H167" s="412" t="b">
        <f>Wh_hp&gt;='2025'!Maxi_hp</f>
        <v>0</v>
      </c>
      <c r="I167" s="388">
        <f>IF(H167,Wh_hp,'2025'!Maxi_hp)</f>
        <v>62.353294055215706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5.0320186998506156E-2</v>
      </c>
      <c r="M167" s="832"/>
      <c r="N167" s="832"/>
      <c r="O167" s="48">
        <f>IF(t&lt;Tnet,'2025'!Resal+('2025'!Salim-'2025'!Resal)*(1-EXP(('2025'!Tnet-t)/('2025'!Tau_j))),Resal+(Salim-Resal)*(1-EXP((Tnet-t)/(Tau_j))))*Salcycl</f>
        <v>1.3088208821827407E-2</v>
      </c>
      <c r="P167" s="169">
        <f>(INDEX(Models!$BJ167:$BT167,,T167)*(1-R167)+INDEX(Models!$BJ167:$BT167,,T167+1)*R167-ERP_i)*Q167*Ramure*Pc/MaxiM</f>
        <v>5.7746673362193562E-6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59.961158803769884</v>
      </c>
      <c r="W167" s="400">
        <f t="shared" si="59"/>
        <v>45.530577221142899</v>
      </c>
      <c r="X167" s="157">
        <f t="shared" si="60"/>
        <v>46175</v>
      </c>
      <c r="Y167" s="383">
        <f t="shared" si="61"/>
        <v>43.495975596440289</v>
      </c>
      <c r="Z167" s="383">
        <f t="shared" si="62"/>
        <v>45.8006740808461</v>
      </c>
      <c r="AA167" s="384">
        <f t="shared" si="63"/>
        <v>48.567913603570545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5.6976701641163495E-2</v>
      </c>
      <c r="AD167" s="230">
        <f>(INDEX(Models!$BJ167:$BT167,,AH167)*(1-AF167)+INDEX(Models!$BJ167:$BT167,,AH167+1)*AF167-ERP_i)*AE167*Ramure*Pc/MaxiM</f>
        <v>3.5019521353003743E-4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'2025'!Wh/'2025'!Env_an*'2026'!Env_an</f>
        <v>55.690250084550016</v>
      </c>
      <c r="C168" s="829"/>
      <c r="D168" s="391">
        <f t="shared" si="50"/>
        <v>58.642204070789354</v>
      </c>
      <c r="E168" s="383">
        <f t="shared" si="72"/>
        <v>59.425387566481362</v>
      </c>
      <c r="F168" s="383">
        <f t="shared" si="51"/>
        <v>59.425698201149615</v>
      </c>
      <c r="G168" s="110">
        <f t="shared" si="73"/>
        <v>0.92928059275804176</v>
      </c>
      <c r="H168" s="412" t="b">
        <f>Wh_hp&gt;='2025'!Maxi_hp</f>
        <v>1</v>
      </c>
      <c r="I168" s="388">
        <f>IF(H168,Wh_hp,'2025'!Maxi_hp)</f>
        <v>59.425698201149615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5.0338387395465478E-2</v>
      </c>
      <c r="M168" s="832"/>
      <c r="N168" s="832"/>
      <c r="O168" s="48">
        <f>IF(t&lt;Tnet,'2025'!Resal+('2025'!Salim-'2025'!Resal)*(1-EXP(('2025'!Tnet-t)/('2025'!Tau_j))),Resal+(Salim-Resal)*(1-EXP((Tnet-t)/(Tau_j))))*Salcycl</f>
        <v>1.3179274511518039E-2</v>
      </c>
      <c r="P168" s="169">
        <f>(INDEX(Models!$BJ168:$BT168,,T168)*(1-R168)+INDEX(Models!$BJ168:$BT168,,T168+1)*R168-ERP_i)*Q168*Ramure*Pc/MaxiM</f>
        <v>5.8147219913979016E-6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59.928312076563842</v>
      </c>
      <c r="W168" s="400">
        <f t="shared" si="59"/>
        <v>55.690250084550016</v>
      </c>
      <c r="X168" s="157">
        <f t="shared" si="60"/>
        <v>46176</v>
      </c>
      <c r="Y168" s="383">
        <f t="shared" si="61"/>
        <v>53.197682193954968</v>
      </c>
      <c r="Z168" s="383">
        <f t="shared" si="62"/>
        <v>56.017513488889392</v>
      </c>
      <c r="AA168" s="384">
        <f t="shared" si="63"/>
        <v>59.40709039940613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5.7056773656610833E-2</v>
      </c>
      <c r="AD168" s="230">
        <f>(INDEX(Models!$BJ168:$BT168,,AH168)*(1-AF168)+INDEX(Models!$BJ168:$BT168,,AH168+1)*AF168-ERP_i)*AE168*Ramure*Pc/MaxiM</f>
        <v>3.4831654373528568E-4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'2025'!Wh/'2025'!Env_an*'2026'!Env_an</f>
        <v>26.549011175113232</v>
      </c>
      <c r="C169" s="829"/>
      <c r="D169" s="391">
        <f t="shared" si="50"/>
        <v>27.956821291104344</v>
      </c>
      <c r="E169" s="383">
        <f t="shared" si="72"/>
        <v>28.332805276069401</v>
      </c>
      <c r="F169" s="383">
        <f t="shared" si="51"/>
        <v>28.332839228900593</v>
      </c>
      <c r="G169" s="110">
        <f t="shared" si="73"/>
        <v>0.44327444557551215</v>
      </c>
      <c r="H169" s="412" t="b">
        <f>Wh_hp&gt;='2025'!Maxi_hp</f>
        <v>0</v>
      </c>
      <c r="I169" s="388">
        <f>IF(H169,Wh_hp,'2025'!Maxi_hp)</f>
        <v>57.206955445857666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5.0356587443618483E-2</v>
      </c>
      <c r="M169" s="832"/>
      <c r="N169" s="832"/>
      <c r="O169" s="48">
        <f>IF(t&lt;Tnet,'2025'!Resal+('2025'!Salim-'2025'!Resal)*(1-EXP(('2025'!Tnet-t)/('2025'!Tau_j))),Resal+(Salim-Resal)*(1-EXP((Tnet-t)/(Tau_j))))*Salcycl</f>
        <v>1.3270270320977499E-2</v>
      </c>
      <c r="P169" s="169">
        <f>(INDEX(Models!$BJ169:$BT169,,T169)*(1-R169)+INDEX(Models!$BJ169:$BT169,,T169+1)*R169-ERP_i)*Q169*Ramure*Pc/MaxiM</f>
        <v>5.8547579341559891E-6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59.892664278519923</v>
      </c>
      <c r="W169" s="400">
        <f t="shared" si="59"/>
        <v>26.549011175113232</v>
      </c>
      <c r="X169" s="157">
        <f t="shared" si="60"/>
        <v>46177</v>
      </c>
      <c r="Y169" s="383">
        <f t="shared" si="61"/>
        <v>25.366976918108566</v>
      </c>
      <c r="Z169" s="383">
        <f t="shared" si="62"/>
        <v>26.712107494983016</v>
      </c>
      <c r="AA169" s="384">
        <f t="shared" si="63"/>
        <v>28.330829564486343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5.7136416207609009E-2</v>
      </c>
      <c r="AD169" s="230">
        <f>(INDEX(Models!$BJ169:$BT169,,AH169)*(1-AF169)+INDEX(Models!$BJ169:$BT169,,AH169+1)*AF169-ERP_i)*AE169*Ramure*Pc/MaxiM</f>
        <v>3.465424903064212E-4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'2025'!Wh/'2025'!Env_an*'2026'!Env_an</f>
        <v>36.583259919300588</v>
      </c>
      <c r="C170" s="829"/>
      <c r="D170" s="391">
        <f t="shared" si="50"/>
        <v>38.523892820028159</v>
      </c>
      <c r="E170" s="383">
        <f t="shared" ref="E170:E232" si="75">Wh_pvt/(1-Psa)</f>
        <v>39.045588093609496</v>
      </c>
      <c r="F170" s="383">
        <f t="shared" si="51"/>
        <v>39.045690516770442</v>
      </c>
      <c r="G170" s="110">
        <f t="shared" ref="G170:G232" si="76">+Wh_hp/MaxiM</f>
        <v>0.61119985470159233</v>
      </c>
      <c r="H170" s="412" t="b">
        <f>Wh_hp&gt;='2025'!Maxi_hp</f>
        <v>0</v>
      </c>
      <c r="I170" s="388">
        <f>IF(H170,Wh_hp,'2025'!Maxi_hp)</f>
        <v>45.501902889660293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5.0374787142971611E-2</v>
      </c>
      <c r="M170" s="832"/>
      <c r="N170" s="832"/>
      <c r="O170" s="48">
        <f>IF(t&lt;Tnet,'2025'!Resal+('2025'!Salim-'2025'!Resal)*(1-EXP(('2025'!Tnet-t)/('2025'!Tau_j))),Resal+(Salim-Resal)*(1-EXP((Tnet-t)/(Tau_j))))*Salcycl</f>
        <v>1.3361183658717208E-2</v>
      </c>
      <c r="P170" s="169">
        <f>(INDEX(Models!$BJ170:$BT170,,T170)*(1-R170)+INDEX(Models!$BJ170:$BT170,,T170+1)*R170-ERP_i)*Q170*Ramure*Pc/MaxiM</f>
        <v>5.9003928248023593E-6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59.854628147858584</v>
      </c>
      <c r="W170" s="400">
        <f t="shared" si="59"/>
        <v>36.583259919300588</v>
      </c>
      <c r="X170" s="157">
        <f t="shared" si="60"/>
        <v>46178</v>
      </c>
      <c r="Y170" s="383">
        <f t="shared" si="61"/>
        <v>34.951925986109131</v>
      </c>
      <c r="Z170" s="383">
        <f t="shared" si="62"/>
        <v>36.806021483942367</v>
      </c>
      <c r="AA170" s="384">
        <f t="shared" si="63"/>
        <v>39.039700719005189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5.7215582955927581E-2</v>
      </c>
      <c r="AD170" s="230">
        <f>(INDEX(Models!$BJ170:$BT170,,AH170)*(1-AF170)+INDEX(Models!$BJ170:$BT170,,AH170+1)*AF170-ERP_i)*AE170*Ramure*Pc/MaxiM</f>
        <v>3.4506023274863775E-4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'2025'!Wh/'2025'!Env_an*'2026'!Env_an</f>
        <v>47.719127515018343</v>
      </c>
      <c r="C171" s="829"/>
      <c r="D171" s="391">
        <f t="shared" si="50"/>
        <v>50.251448058300696</v>
      </c>
      <c r="E171" s="383">
        <f t="shared" si="75"/>
        <v>50.9366479463106</v>
      </c>
      <c r="F171" s="383">
        <f t="shared" si="51"/>
        <v>50.936863287350334</v>
      </c>
      <c r="G171" s="110">
        <f t="shared" si="76"/>
        <v>0.79778234791431379</v>
      </c>
      <c r="H171" s="412" t="b">
        <f>Wh_hp&gt;='2025'!Maxi_hp</f>
        <v>0</v>
      </c>
      <c r="I171" s="388">
        <f>IF(H171,Wh_hp,'2025'!Maxi_hp)</f>
        <v>58.87079114151684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5.0392986493531633E-2</v>
      </c>
      <c r="M171" s="832"/>
      <c r="N171" s="832"/>
      <c r="O171" s="48">
        <f>IF(t&lt;Tnet,'2025'!Resal+('2025'!Salim-'2025'!Resal)*(1-EXP(('2025'!Tnet-t)/('2025'!Tau_j))),Resal+(Salim-Resal)*(1-EXP((Tnet-t)/(Tau_j))))*Salcycl</f>
        <v>1.3452001960005899E-2</v>
      </c>
      <c r="P171" s="169">
        <f>(INDEX(Models!$BJ171:$BT171,,T171)*(1-R171)+INDEX(Models!$BJ171:$BT171,,T171+1)*R171-ERP_i)*Q171*Ramure*Pc/MaxiM</f>
        <v>5.9450013971092881E-6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59.814616965221312</v>
      </c>
      <c r="W171" s="400">
        <f t="shared" si="59"/>
        <v>47.719127515018343</v>
      </c>
      <c r="X171" s="157">
        <f t="shared" si="60"/>
        <v>46179</v>
      </c>
      <c r="Y171" s="383">
        <f t="shared" si="61"/>
        <v>45.587535564325037</v>
      </c>
      <c r="Z171" s="383">
        <f t="shared" si="62"/>
        <v>48.006738488578478</v>
      </c>
      <c r="AA171" s="384">
        <f t="shared" si="63"/>
        <v>50.924413477713884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5.7294228639712619E-2</v>
      </c>
      <c r="AD171" s="230">
        <f>(INDEX(Models!$BJ171:$BT171,,AH171)*(1-AF171)+INDEX(Models!$BJ171:$BT171,,AH171+1)*AF171-ERP_i)*AE171*Ramure*Pc/MaxiM</f>
        <v>3.437065957120636E-4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'2025'!Wh/'2025'!Env_an*'2026'!Env_an</f>
        <v>28.946684335743971</v>
      </c>
      <c r="C172" s="829"/>
      <c r="D172" s="391">
        <f t="shared" si="50"/>
        <v>30.483388066067896</v>
      </c>
      <c r="E172" s="383">
        <f t="shared" si="75"/>
        <v>30.901883395935837</v>
      </c>
      <c r="F172" s="383">
        <f t="shared" si="51"/>
        <v>30.901932115134162</v>
      </c>
      <c r="G172" s="110">
        <f t="shared" si="76"/>
        <v>0.48427443147695098</v>
      </c>
      <c r="H172" s="412" t="b">
        <f>Wh_hp&gt;='2025'!Maxi_hp</f>
        <v>0</v>
      </c>
      <c r="I172" s="388">
        <f>IF(H172,Wh_hp,'2025'!Maxi_hp)</f>
        <v>52.613805955532094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5.0411185495305322E-2</v>
      </c>
      <c r="M172" s="832"/>
      <c r="N172" s="832"/>
      <c r="O172" s="48">
        <f>IF(t&lt;Tnet,'2025'!Resal+('2025'!Salim-'2025'!Resal)*(1-EXP(('2025'!Tnet-t)/('2025'!Tau_j))),Resal+(Salim-Resal)*(1-EXP((Tnet-t)/(Tau_j))))*Salcycl</f>
        <v>1.3542712737146037E-2</v>
      </c>
      <c r="P172" s="169">
        <f>(INDEX(Models!$BJ172:$BT172,,T172)*(1-R172)+INDEX(Models!$BJ172:$BT172,,T172+1)*R172-ERP_i)*Q172*Ramure*Pc/MaxiM</f>
        <v>5.9888360416382553E-6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59.773043410363101</v>
      </c>
      <c r="W172" s="400">
        <f t="shared" si="59"/>
        <v>28.946684335743971</v>
      </c>
      <c r="X172" s="157">
        <f t="shared" si="60"/>
        <v>46180</v>
      </c>
      <c r="Y172" s="383">
        <f t="shared" si="61"/>
        <v>27.658094766281021</v>
      </c>
      <c r="Z172" s="383">
        <f t="shared" si="62"/>
        <v>29.12639064804852</v>
      </c>
      <c r="AA172" s="384">
        <f t="shared" si="63"/>
        <v>30.899146008468975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5.7372309251995886E-2</v>
      </c>
      <c r="AD172" s="230">
        <f>(INDEX(Models!$BJ172:$BT172,,AH172)*(1-AF172)+INDEX(Models!$BJ172:$BT172,,AH172+1)*AF172-ERP_i)*AE172*Ramure*Pc/MaxiM</f>
        <v>3.4248379664136933E-4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'2025'!Wh/'2025'!Env_an*'2026'!Env_an</f>
        <v>21.580442047774152</v>
      </c>
      <c r="C173" s="829"/>
      <c r="D173" s="391">
        <f t="shared" si="50"/>
        <v>22.726526798028555</v>
      </c>
      <c r="E173" s="383">
        <f t="shared" si="75"/>
        <v>23.040646933506039</v>
      </c>
      <c r="F173" s="383">
        <f t="shared" si="51"/>
        <v>23.040659104238614</v>
      </c>
      <c r="G173" s="110">
        <f t="shared" si="76"/>
        <v>0.3612959596097885</v>
      </c>
      <c r="H173" s="412" t="b">
        <f>Wh_hp&gt;='2025'!Maxi_hp</f>
        <v>0</v>
      </c>
      <c r="I173" s="388">
        <f>IF(H173,Wh_hp,'2025'!Maxi_hp)</f>
        <v>63.747853574878313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5.0429384148299339E-2</v>
      </c>
      <c r="M173" s="832"/>
      <c r="N173" s="832"/>
      <c r="O173" s="48">
        <f>IF(t&lt;Tnet,'2025'!Resal+('2025'!Salim-'2025'!Resal)*(1-EXP(('2025'!Tnet-t)/('2025'!Tau_j))),Resal+(Salim-Resal)*(1-EXP((Tnet-t)/(Tau_j))))*Salcycl</f>
        <v>1.3633303630059487E-2</v>
      </c>
      <c r="P173" s="169">
        <f>(INDEX(Models!$BJ173:$BT173,,T173)*(1-R173)+INDEX(Models!$BJ173:$BT173,,T173+1)*R173-ERP_i)*Q173*Ramure*Pc/MaxiM</f>
        <v>6.0321748801863684E-6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59.730319966552543</v>
      </c>
      <c r="W173" s="400">
        <f t="shared" si="59"/>
        <v>21.580442047774152</v>
      </c>
      <c r="X173" s="157">
        <f t="shared" si="60"/>
        <v>46181</v>
      </c>
      <c r="Y173" s="383">
        <f t="shared" si="61"/>
        <v>20.621187920874497</v>
      </c>
      <c r="Z173" s="383">
        <f t="shared" si="62"/>
        <v>21.716329019278557</v>
      </c>
      <c r="AA173" s="384">
        <f t="shared" si="63"/>
        <v>23.039970294966039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5.7449782215070043E-2</v>
      </c>
      <c r="AD173" s="230">
        <f>(INDEX(Models!$BJ173:$BT173,,AH173)*(1-AF173)+INDEX(Models!$BJ173:$BT173,,AH173+1)*AF173-ERP_i)*AE173*Ramure*Pc/MaxiM</f>
        <v>3.4139423951336917E-4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'2025'!Wh/'2025'!Env_an*'2026'!Env_an</f>
        <v>47.017048360755439</v>
      </c>
      <c r="C174" s="829"/>
      <c r="D174" s="391">
        <f t="shared" si="50"/>
        <v>49.514958302346145</v>
      </c>
      <c r="E174" s="383">
        <f t="shared" si="75"/>
        <v>50.203945322346499</v>
      </c>
      <c r="F174" s="383">
        <f t="shared" si="51"/>
        <v>50.204157837134709</v>
      </c>
      <c r="G174" s="110">
        <f t="shared" si="76"/>
        <v>0.78772719139125724</v>
      </c>
      <c r="H174" s="412" t="b">
        <f>Wh_hp&gt;='2025'!Maxi_hp</f>
        <v>0</v>
      </c>
      <c r="I174" s="388">
        <f>IF(H174,Wh_hp,'2025'!Maxi_hp)</f>
        <v>60.451525350346095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5.0447582452520234E-2</v>
      </c>
      <c r="M174" s="832"/>
      <c r="N174" s="832"/>
      <c r="O174" s="48">
        <f>IF(t&lt;Tnet,'2025'!Resal+('2025'!Salim-'2025'!Resal)*(1-EXP(('2025'!Tnet-t)/('2025'!Tau_j))),Resal+(Salim-Resal)*(1-EXP((Tnet-t)/(Tau_j))))*Salcycl</f>
        <v>1.3723762456845706E-2</v>
      </c>
      <c r="P174" s="169">
        <f>(INDEX(Models!$BJ174:$BT174,,T174)*(1-R174)+INDEX(Models!$BJ174:$BT174,,T174+1)*R174-ERP_i)*Q174*Ramure*Pc/MaxiM</f>
        <v>6.075321276405012E-6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59.686858920524507</v>
      </c>
      <c r="W174" s="400">
        <f t="shared" si="59"/>
        <v>47.017048360755439</v>
      </c>
      <c r="X174" s="157">
        <f t="shared" si="60"/>
        <v>46182</v>
      </c>
      <c r="Y174" s="383">
        <f t="shared" si="61"/>
        <v>44.918443655207838</v>
      </c>
      <c r="Z174" s="383">
        <f t="shared" si="62"/>
        <v>47.304859452860924</v>
      </c>
      <c r="AA174" s="384">
        <f t="shared" si="63"/>
        <v>50.192249225915404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5.7526606549515948E-2</v>
      </c>
      <c r="AD174" s="230">
        <f>(INDEX(Models!$BJ174:$BT174,,AH174)*(1-AF174)+INDEX(Models!$BJ174:$BT174,,AH174+1)*AF174-ERP_i)*AE174*Ramure*Pc/MaxiM</f>
        <v>3.4044049226969106E-4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'2025'!Wh/'2025'!Env_an*'2026'!Env_an</f>
        <v>58.654609809826596</v>
      </c>
      <c r="C175" s="829"/>
      <c r="D175" s="391">
        <f t="shared" si="50"/>
        <v>61.771981040375785</v>
      </c>
      <c r="E175" s="383">
        <f t="shared" si="75"/>
        <v>62.63725694745095</v>
      </c>
      <c r="F175" s="383">
        <f t="shared" si="51"/>
        <v>62.637631128443779</v>
      </c>
      <c r="G175" s="110">
        <f t="shared" si="76"/>
        <v>0.98342689257655724</v>
      </c>
      <c r="H175" s="412" t="b">
        <f>Wh_hp&gt;='2025'!Maxi_hp</f>
        <v>1</v>
      </c>
      <c r="I175" s="388">
        <f>IF(H175,Wh_hp,'2025'!Maxi_hp)</f>
        <v>62.637631128443779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5.0465780407974781E-2</v>
      </c>
      <c r="M175" s="832"/>
      <c r="N175" s="832"/>
      <c r="O175" s="48">
        <f>IF(t&lt;Tnet,'2025'!Resal+('2025'!Salim-'2025'!Resal)*(1-EXP(('2025'!Tnet-t)/('2025'!Tau_j))),Resal+(Salim-Resal)*(1-EXP((Tnet-t)/(Tau_j))))*Salcycl</f>
        <v>1.381407726396899E-2</v>
      </c>
      <c r="P175" s="169">
        <f>(INDEX(Models!$BJ175:$BT175,,T175)*(1-R175)+INDEX(Models!$BJ175:$BT175,,T175+1)*R175-ERP_i)*Q175*Ramure*Pc/MaxiM</f>
        <v>6.1186031144510876E-6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59.643072358208933</v>
      </c>
      <c r="W175" s="400">
        <f t="shared" si="59"/>
        <v>58.654609809826596</v>
      </c>
      <c r="X175" s="157">
        <f t="shared" si="60"/>
        <v>46183</v>
      </c>
      <c r="Y175" s="383">
        <f t="shared" si="61"/>
        <v>56.031974878849923</v>
      </c>
      <c r="Z175" s="383">
        <f t="shared" si="62"/>
        <v>59.009958485671532</v>
      </c>
      <c r="AA175" s="384">
        <f t="shared" si="63"/>
        <v>62.616861466489688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5.7602743036689046E-2</v>
      </c>
      <c r="AD175" s="230">
        <f>(INDEX(Models!$BJ175:$BT175,,AH175)*(1-AF175)+INDEX(Models!$BJ175:$BT175,,AH175+1)*AF175-ERP_i)*AE175*Ramure*Pc/MaxiM</f>
        <v>3.3962526358625501E-4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'2025'!Wh/'2025'!Env_an*'2026'!Env_an</f>
        <v>56.681772780203048</v>
      </c>
      <c r="C176" s="829"/>
      <c r="D176" s="391">
        <f t="shared" si="50"/>
        <v>59.695435851296004</v>
      </c>
      <c r="E176" s="383">
        <f t="shared" si="75"/>
        <v>60.537158817002563</v>
      </c>
      <c r="F176" s="383">
        <f t="shared" si="51"/>
        <v>60.537505782568182</v>
      </c>
      <c r="G176" s="110">
        <f t="shared" si="76"/>
        <v>0.9510460646744453</v>
      </c>
      <c r="H176" s="412" t="b">
        <f>Wh_hp&gt;='2025'!Maxi_hp</f>
        <v>1</v>
      </c>
      <c r="I176" s="388">
        <f>IF(H176,Wh_hp,'2025'!Maxi_hp)</f>
        <v>60.537505782568182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5.048397801466975E-2</v>
      </c>
      <c r="M176" s="832"/>
      <c r="N176" s="832"/>
      <c r="O176" s="48">
        <f>IF(t&lt;Tnet,'2025'!Resal+('2025'!Salim-'2025'!Resal)*(1-EXP(('2025'!Tnet-t)/('2025'!Tau_j))),Resal+(Salim-Resal)*(1-EXP((Tnet-t)/(Tau_j))))*Salcycl</f>
        <v>1.3904236375727437E-2</v>
      </c>
      <c r="P176" s="169">
        <f>(INDEX(Models!$BJ176:$BT176,,T176)*(1-R176)+INDEX(Models!$BJ176:$BT176,,T176+1)*R176-ERP_i)*Q176*Ramure*Pc/MaxiM</f>
        <v>6.1623718448176278E-6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59.599372162971989</v>
      </c>
      <c r="W176" s="400">
        <f t="shared" si="59"/>
        <v>56.681772780203048</v>
      </c>
      <c r="X176" s="157">
        <f t="shared" si="60"/>
        <v>46184</v>
      </c>
      <c r="Y176" s="383">
        <f t="shared" si="61"/>
        <v>54.148838892263164</v>
      </c>
      <c r="Z176" s="383">
        <f t="shared" si="62"/>
        <v>57.027830640544735</v>
      </c>
      <c r="AA176" s="384">
        <f t="shared" si="63"/>
        <v>60.518421498156037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5.7678154373502009E-2</v>
      </c>
      <c r="AD176" s="230">
        <f>(INDEX(Models!$BJ176:$BT176,,AH176)*(1-AF176)+INDEX(Models!$BJ176:$BT176,,AH176+1)*AF176-ERP_i)*AE176*Ramure*Pc/MaxiM</f>
        <v>3.3895137901966368E-4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'2025'!Wh/'2025'!Env_an*'2026'!Env_an</f>
        <v>43.99895060948193</v>
      </c>
      <c r="C177" s="829"/>
      <c r="D177" s="391">
        <f t="shared" si="50"/>
        <v>46.339179999822043</v>
      </c>
      <c r="E177" s="383">
        <f t="shared" si="75"/>
        <v>46.996864862800663</v>
      </c>
      <c r="F177" s="383">
        <f t="shared" si="51"/>
        <v>46.997047724195696</v>
      </c>
      <c r="G177" s="110">
        <f t="shared" si="76"/>
        <v>0.73879176426322257</v>
      </c>
      <c r="H177" s="412" t="b">
        <f>Wh_hp&gt;='2025'!Maxi_hp</f>
        <v>0</v>
      </c>
      <c r="I177" s="388">
        <f>IF(H177,Wh_hp,'2025'!Maxi_hp)</f>
        <v>56.41651381708197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5.0502175272611693E-2</v>
      </c>
      <c r="M177" s="832"/>
      <c r="N177" s="832"/>
      <c r="O177" s="48">
        <f>IF(t&lt;Tnet,'2025'!Resal+('2025'!Salim-'2025'!Resal)*(1-EXP(('2025'!Tnet-t)/('2025'!Tau_j))),Resal+(Salim-Resal)*(1-EXP((Tnet-t)/(Tau_j))))*Salcycl</f>
        <v>1.3994228442655042E-2</v>
      </c>
      <c r="P177" s="169">
        <f>(INDEX(Models!$BJ177:$BT177,,T177)*(1-R177)+INDEX(Models!$BJ177:$BT177,,T177+1)*R177-ERP_i)*Q177*Ramure*Pc/MaxiM</f>
        <v>6.2071084043030335E-6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59.55514236514265</v>
      </c>
      <c r="W177" s="400">
        <f t="shared" si="59"/>
        <v>43.99895060948193</v>
      </c>
      <c r="X177" s="157">
        <f t="shared" si="60"/>
        <v>46185</v>
      </c>
      <c r="Y177" s="383">
        <f t="shared" si="61"/>
        <v>42.037536967452795</v>
      </c>
      <c r="Z177" s="383">
        <f t="shared" si="62"/>
        <v>44.273442100325248</v>
      </c>
      <c r="AA177" s="384">
        <f t="shared" si="63"/>
        <v>46.987077648222773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5.7752805318382359E-2</v>
      </c>
      <c r="AD177" s="230">
        <f>(INDEX(Models!$BJ177:$BT177,,AH177)*(1-AF177)+INDEX(Models!$BJ177:$BT177,,AH177+1)*AF177-ERP_i)*AE177*Ramure*Pc/MaxiM</f>
        <v>3.3842759622153073E-4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'2025'!Wh/'2025'!Env_an*'2026'!Env_an</f>
        <v>55.332179985276682</v>
      </c>
      <c r="C178" s="829"/>
      <c r="D178" s="391">
        <f t="shared" si="50"/>
        <v>58.27632143348287</v>
      </c>
      <c r="E178" s="383">
        <f t="shared" si="75"/>
        <v>59.108812459609432</v>
      </c>
      <c r="F178" s="383">
        <f t="shared" si="51"/>
        <v>59.109145342561654</v>
      </c>
      <c r="G178" s="110">
        <f t="shared" si="76"/>
        <v>0.92980367634626038</v>
      </c>
      <c r="H178" s="412" t="b">
        <f>Wh_hp&gt;='2025'!Maxi_hp</f>
        <v>0</v>
      </c>
      <c r="I178" s="388">
        <f>IF(H178,Wh_hp,'2025'!Maxi_hp)</f>
        <v>64.279104061315721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5.0520372181807272E-2</v>
      </c>
      <c r="M178" s="832"/>
      <c r="N178" s="832"/>
      <c r="O178" s="48">
        <f>IF(t&lt;Tnet,'2025'!Resal+('2025'!Salim-'2025'!Resal)*(1-EXP(('2025'!Tnet-t)/('2025'!Tau_j))),Resal+(Salim-Resal)*(1-EXP((Tnet-t)/(Tau_j))))*Salcycl</f>
        <v>1.4084042488510921E-2</v>
      </c>
      <c r="P178" s="169">
        <f>(INDEX(Models!$BJ178:$BT178,,T178)*(1-R178)+INDEX(Models!$BJ178:$BT178,,T178+1)*R178-ERP_i)*Q178*Ramure*Pc/MaxiM</f>
        <v>6.259351213837091E-6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59.509492876292889</v>
      </c>
      <c r="W178" s="400">
        <f t="shared" si="59"/>
        <v>55.332179985276682</v>
      </c>
      <c r="X178" s="157">
        <f t="shared" si="60"/>
        <v>46186</v>
      </c>
      <c r="Y178" s="383">
        <f t="shared" si="61"/>
        <v>52.861437019538336</v>
      </c>
      <c r="Z178" s="383">
        <f t="shared" si="62"/>
        <v>55.674113978631141</v>
      </c>
      <c r="AA178" s="384">
        <f t="shared" si="63"/>
        <v>59.091158475893323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5.7826662827336402E-2</v>
      </c>
      <c r="AD178" s="230">
        <f>(INDEX(Models!$BJ178:$BT178,,AH178)*(1-AF178)+INDEX(Models!$BJ178:$BT178,,AH178+1)*AF178-ERP_i)*AE178*Ramure*Pc/MaxiM</f>
        <v>3.3821532452278815E-4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'2025'!Wh/'2025'!Env_an*'2026'!Env_an</f>
        <v>49.188152743567919</v>
      </c>
      <c r="C179" s="829"/>
      <c r="D179" s="391">
        <f t="shared" si="50"/>
        <v>51.806372670040055</v>
      </c>
      <c r="E179" s="383">
        <f t="shared" si="75"/>
        <v>52.551216158529549</v>
      </c>
      <c r="F179" s="383">
        <f t="shared" si="51"/>
        <v>52.551466234016395</v>
      </c>
      <c r="G179" s="110">
        <f t="shared" si="76"/>
        <v>0.8272127509870969</v>
      </c>
      <c r="H179" s="412" t="b">
        <f>Wh_hp&gt;='2025'!Maxi_hp</f>
        <v>0</v>
      </c>
      <c r="I179" s="388">
        <f>IF(H179,Wh_hp,'2025'!Maxi_hp)</f>
        <v>56.161235442538548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5.0538568742263368E-2</v>
      </c>
      <c r="M179" s="832"/>
      <c r="N179" s="832"/>
      <c r="O179" s="48">
        <f>IF(t&lt;Tnet,'2025'!Resal+('2025'!Salim-'2025'!Resal)*(1-EXP(('2025'!Tnet-t)/('2025'!Tau_j))),Resal+(Salim-Resal)*(1-EXP((Tnet-t)/(Tau_j))))*Salcycl</f>
        <v>1.4173667955514977E-2</v>
      </c>
      <c r="P179" s="169">
        <f>(INDEX(Models!$BJ179:$BT179,,T179)*(1-R179)+INDEX(Models!$BJ179:$BT179,,T179+1)*R179-ERP_i)*Q179*Ramure*Pc/MaxiM</f>
        <v>6.3182580168146757E-6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59.462424837660521</v>
      </c>
      <c r="W179" s="400">
        <f t="shared" si="59"/>
        <v>49.188152743567919</v>
      </c>
      <c r="X179" s="157">
        <f t="shared" si="60"/>
        <v>46187</v>
      </c>
      <c r="Y179" s="383">
        <f t="shared" si="61"/>
        <v>46.994674979574803</v>
      </c>
      <c r="Z179" s="383">
        <f t="shared" si="62"/>
        <v>49.496139003057444</v>
      </c>
      <c r="AA179" s="384">
        <f t="shared" si="63"/>
        <v>52.538077742163289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5.7899696179112406E-2</v>
      </c>
      <c r="AD179" s="230">
        <f>(INDEX(Models!$BJ179:$BT179,,AH179)*(1-AF179)+INDEX(Models!$BJ179:$BT179,,AH179+1)*AF179-ERP_i)*AE179*Ramure*Pc/MaxiM</f>
        <v>3.3826564550567498E-4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'2025'!Wh/'2025'!Env_an*'2026'!Env_an</f>
        <v>55.450797063204561</v>
      </c>
      <c r="C180" s="829"/>
      <c r="D180" s="391">
        <f t="shared" si="50"/>
        <v>58.403488503993827</v>
      </c>
      <c r="E180" s="383">
        <f t="shared" si="75"/>
        <v>59.248556275808141</v>
      </c>
      <c r="F180" s="383">
        <f t="shared" si="51"/>
        <v>59.248898513062265</v>
      </c>
      <c r="G180" s="110">
        <f t="shared" si="76"/>
        <v>0.93329551983423875</v>
      </c>
      <c r="H180" s="412" t="b">
        <f>Wh_hp&gt;='2025'!Maxi_hp</f>
        <v>1</v>
      </c>
      <c r="I180" s="388">
        <f>IF(H180,Wh_hp,'2025'!Maxi_hp)</f>
        <v>59.248898513062265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5.0556764953986422E-2</v>
      </c>
      <c r="M180" s="832"/>
      <c r="N180" s="832"/>
      <c r="O180" s="48">
        <f>IF(t&lt;Tnet,'2025'!Resal+('2025'!Salim-'2025'!Resal)*(1-EXP(('2025'!Tnet-t)/('2025'!Tau_j))),Resal+(Salim-Resal)*(1-EXP((Tnet-t)/(Tau_j))))*Salcycl</f>
        <v>1.4263094747497894E-2</v>
      </c>
      <c r="P180" s="169">
        <f>(INDEX(Models!$BJ180:$BT180,,T180)*(1-R180)+INDEX(Models!$BJ180:$BT180,,T180+1)*R180-ERP_i)*Q180*Ramure*Pc/MaxiM</f>
        <v>6.38466679130438E-6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59.413939259469224</v>
      </c>
      <c r="W180" s="400">
        <f t="shared" si="59"/>
        <v>55.450797063204561</v>
      </c>
      <c r="X180" s="157">
        <f t="shared" si="60"/>
        <v>46188</v>
      </c>
      <c r="Y180" s="383">
        <f t="shared" si="61"/>
        <v>52.976114164568386</v>
      </c>
      <c r="Z180" s="383">
        <f t="shared" si="62"/>
        <v>55.797031575037728</v>
      </c>
      <c r="AA180" s="384">
        <f t="shared" si="63"/>
        <v>59.230749292907603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5.7971877088528322E-2</v>
      </c>
      <c r="AD180" s="230">
        <f>(INDEX(Models!$BJ180:$BT180,,AH180)*(1-AF180)+INDEX(Models!$BJ180:$BT180,,AH180+1)*AF180-ERP_i)*AE180*Ramure*Pc/MaxiM</f>
        <v>3.3858594239438526E-4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'2025'!Wh/'2025'!Env_an*'2026'!Env_an</f>
        <v>53.25824552916535</v>
      </c>
      <c r="C181" s="829"/>
      <c r="D181" s="391">
        <f t="shared" si="50"/>
        <v>56.09526116458256</v>
      </c>
      <c r="E181" s="383">
        <f t="shared" si="75"/>
        <v>56.912081182599621</v>
      </c>
      <c r="F181" s="383">
        <f t="shared" si="51"/>
        <v>56.912394788492712</v>
      </c>
      <c r="G181" s="110">
        <f t="shared" si="76"/>
        <v>0.89714577320308297</v>
      </c>
      <c r="H181" s="412" t="b">
        <f>Wh_hp&gt;='2025'!Maxi_hp</f>
        <v>0</v>
      </c>
      <c r="I181" s="388">
        <f>IF(H181,Wh_hp,'2025'!Maxi_hp)</f>
        <v>63.760579589282713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5.0574960816983316E-2</v>
      </c>
      <c r="M181" s="832"/>
      <c r="N181" s="832"/>
      <c r="O181" s="48">
        <f>IF(t&lt;Tnet,'2025'!Resal+('2025'!Salim-'2025'!Resal)*(1-EXP(('2025'!Tnet-t)/('2025'!Tau_j))),Resal+(Salim-Resal)*(1-EXP((Tnet-t)/(Tau_j))))*Salcycl</f>
        <v>1.435231327064522E-2</v>
      </c>
      <c r="P181" s="169">
        <f>(INDEX(Models!$BJ181:$BT181,,T181)*(1-R181)+INDEX(Models!$BJ181:$BT181,,T181+1)*R181-ERP_i)*Q181*Ramure*Pc/MaxiM</f>
        <v>6.4594332215290429E-6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59.364037118510808</v>
      </c>
      <c r="W181" s="400">
        <f t="shared" si="59"/>
        <v>53.25824552916535</v>
      </c>
      <c r="X181" s="157">
        <f t="shared" si="60"/>
        <v>46189</v>
      </c>
      <c r="Y181" s="383">
        <f t="shared" si="61"/>
        <v>50.883017350578321</v>
      </c>
      <c r="Z181" s="383">
        <f t="shared" si="62"/>
        <v>53.593506860071145</v>
      </c>
      <c r="AA181" s="384">
        <f t="shared" si="63"/>
        <v>56.89592740471533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5.8043179807110303E-2</v>
      </c>
      <c r="AD181" s="230">
        <f>(INDEX(Models!$BJ181:$BT181,,AH181)*(1-AF181)+INDEX(Models!$BJ181:$BT181,,AH181+1)*AF181-ERP_i)*AE181*Ramure*Pc/MaxiM</f>
        <v>3.3918356825139511E-4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'2025'!Wh/'2025'!Env_an*'2026'!Env_an</f>
        <v>53.401186449375679</v>
      </c>
      <c r="C182" s="829"/>
      <c r="D182" s="391">
        <f t="shared" si="50"/>
        <v>56.246894369352219</v>
      </c>
      <c r="E182" s="383">
        <f t="shared" si="75"/>
        <v>57.071075721068674</v>
      </c>
      <c r="F182" s="383">
        <f t="shared" si="51"/>
        <v>57.071395992227508</v>
      </c>
      <c r="G182" s="110">
        <f t="shared" si="76"/>
        <v>0.9003319571140258</v>
      </c>
      <c r="H182" s="412" t="b">
        <f>Wh_hp&gt;='2025'!Maxi_hp</f>
        <v>0</v>
      </c>
      <c r="I182" s="388">
        <f>IF(H182,Wh_hp,'2025'!Maxi_hp)</f>
        <v>62.238525909161851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5.0593156331260603E-2</v>
      </c>
      <c r="M182" s="832"/>
      <c r="N182" s="832"/>
      <c r="O182" s="48">
        <f>IF(t&lt;Tnet,'2025'!Resal+('2025'!Salim-'2025'!Resal)*(1-EXP(('2025'!Tnet-t)/('2025'!Tau_j))),Resal+(Salim-Resal)*(1-EXP((Tnet-t)/(Tau_j))))*Salcycl</f>
        <v>1.4441314471529989E-2</v>
      </c>
      <c r="P182" s="169">
        <f>(INDEX(Models!$BJ182:$BT182,,T182)*(1-R182)+INDEX(Models!$BJ182:$BT182,,T182+1)*R182-ERP_i)*Q182*Ramure*Pc/MaxiM</f>
        <v>6.543427670064226E-6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59.31271935329552</v>
      </c>
      <c r="W182" s="400">
        <f t="shared" si="59"/>
        <v>53.401186449375679</v>
      </c>
      <c r="X182" s="157">
        <f t="shared" si="60"/>
        <v>46190</v>
      </c>
      <c r="Y182" s="383">
        <f t="shared" si="61"/>
        <v>51.020264931844324</v>
      </c>
      <c r="Z182" s="383">
        <f t="shared" si="62"/>
        <v>53.739095385798556</v>
      </c>
      <c r="AA182" s="384">
        <f t="shared" si="63"/>
        <v>57.054751309452605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5.8113581210277265E-2</v>
      </c>
      <c r="AD182" s="230">
        <f>(INDEX(Models!$BJ182:$BT182,,AH182)*(1-AF182)+INDEX(Models!$BJ182:$BT182,,AH182+1)*AF182-ERP_i)*AE182*Ramure*Pc/MaxiM</f>
        <v>3.4006583117153792E-4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'2025'!Wh/'2025'!Env_an*'2026'!Env_an</f>
        <v>55.83781218110969</v>
      </c>
      <c r="C183" s="829"/>
      <c r="D183" s="391">
        <f t="shared" si="50"/>
        <v>58.814493167939908</v>
      </c>
      <c r="E183" s="383">
        <f t="shared" si="75"/>
        <v>59.681673243893748</v>
      </c>
      <c r="F183" s="383">
        <f t="shared" si="51"/>
        <v>59.682036704515475</v>
      </c>
      <c r="G183" s="110">
        <f t="shared" si="76"/>
        <v>0.942250995297645</v>
      </c>
      <c r="H183" s="412" t="b">
        <f>Wh_hp&gt;='2025'!Maxi_hp</f>
        <v>1</v>
      </c>
      <c r="I183" s="388">
        <f>IF(H183,Wh_hp,'2025'!Maxi_hp)</f>
        <v>59.682036704515475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5.0611351496824941E-2</v>
      </c>
      <c r="M183" s="832"/>
      <c r="N183" s="832"/>
      <c r="O183" s="48">
        <f>IF(t&lt;Tnet,'2025'!Resal+('2025'!Salim-'2025'!Resal)*(1-EXP(('2025'!Tnet-t)/('2025'!Tau_j))),Resal+(Salim-Resal)*(1-EXP((Tnet-t)/(Tau_j))))*Salcycl</f>
        <v>1.4530089872146242E-2</v>
      </c>
      <c r="P183" s="169">
        <f>(INDEX(Models!$BJ183:$BT183,,T183)*(1-R183)+INDEX(Models!$BJ183:$BT183,,T183+1)*R183-ERP_i)*Q183*Ramure*Pc/MaxiM</f>
        <v>6.6375321072939713E-6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59.25998686528353</v>
      </c>
      <c r="W183" s="400">
        <f t="shared" si="59"/>
        <v>55.83781218110969</v>
      </c>
      <c r="X183" s="157">
        <f t="shared" si="60"/>
        <v>46191</v>
      </c>
      <c r="Y183" s="383">
        <f t="shared" si="61"/>
        <v>53.348003805898728</v>
      </c>
      <c r="Z183" s="383">
        <f t="shared" si="62"/>
        <v>56.191954569931134</v>
      </c>
      <c r="AA183" s="384">
        <f t="shared" si="63"/>
        <v>59.663350949986516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5.8183060870404708E-2</v>
      </c>
      <c r="AD183" s="230">
        <f>(INDEX(Models!$BJ183:$BT183,,AH183)*(1-AF183)+INDEX(Models!$BJ183:$BT183,,AH183+1)*AF183-ERP_i)*AE183*Ramure*Pc/MaxiM</f>
        <v>3.4123998095267479E-4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'2025'!Wh/'2025'!Env_an*'2026'!Env_an</f>
        <v>57.195184425076398</v>
      </c>
      <c r="C184" s="829"/>
      <c r="D184" s="391">
        <f t="shared" si="50"/>
        <v>60.245380718341131</v>
      </c>
      <c r="E184" s="383">
        <f t="shared" si="75"/>
        <v>61.139151449825235</v>
      </c>
      <c r="F184" s="383">
        <f t="shared" si="51"/>
        <v>61.139544099093641</v>
      </c>
      <c r="G184" s="110">
        <f t="shared" si="76"/>
        <v>0.96603925558136083</v>
      </c>
      <c r="H184" s="412" t="b">
        <f>Wh_hp&gt;='2025'!Maxi_hp</f>
        <v>1</v>
      </c>
      <c r="I184" s="388">
        <f>IF(H184,Wh_hp,'2025'!Maxi_hp)</f>
        <v>61.139544099093641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5.0629546313683216E-2</v>
      </c>
      <c r="M184" s="832"/>
      <c r="N184" s="832"/>
      <c r="O184" s="48">
        <f>IF(t&lt;Tnet,'2025'!Resal+('2025'!Salim-'2025'!Resal)*(1-EXP(('2025'!Tnet-t)/('2025'!Tau_j))),Resal+(Salim-Resal)*(1-EXP((Tnet-t)/(Tau_j))))*Salcycl</f>
        <v>1.4618631601676585E-2</v>
      </c>
      <c r="P184" s="169">
        <f>(INDEX(Models!$BJ184:$BT184,,T184)*(1-R184)+INDEX(Models!$BJ184:$BT184,,T184+1)*R184-ERP_i)*Q184*Ramure*Pc/MaxiM</f>
        <v>6.7496399032946685E-6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59.20584009964535</v>
      </c>
      <c r="W184" s="400">
        <f t="shared" si="59"/>
        <v>57.195184425076398</v>
      </c>
      <c r="X184" s="157">
        <f t="shared" si="60"/>
        <v>46192</v>
      </c>
      <c r="Y184" s="383">
        <f t="shared" si="61"/>
        <v>54.645083248861674</v>
      </c>
      <c r="Z184" s="383">
        <f t="shared" si="62"/>
        <v>57.559283667065813</v>
      </c>
      <c r="AA184" s="384">
        <f t="shared" si="63"/>
        <v>61.119598116892625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5.8251601115204145E-2</v>
      </c>
      <c r="AD184" s="230">
        <f>(INDEX(Models!$BJ184:$BT184,,AH184)*(1-AF184)+INDEX(Models!$BJ184:$BT184,,AH184+1)*AF184-ERP_i)*AE184*Ramure*Pc/MaxiM</f>
        <v>3.4287138219111287E-4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'2025'!Wh/'2025'!Env_an*'2026'!Env_an</f>
        <v>32.265165464012711</v>
      </c>
      <c r="C185" s="829"/>
      <c r="D185" s="391">
        <f t="shared" si="50"/>
        <v>33.98650516783389</v>
      </c>
      <c r="E185" s="383">
        <f t="shared" si="75"/>
        <v>34.493803200577403</v>
      </c>
      <c r="F185" s="383">
        <f t="shared" si="51"/>
        <v>34.493886341457973</v>
      </c>
      <c r="G185" s="110">
        <f t="shared" si="76"/>
        <v>0.54547537721092687</v>
      </c>
      <c r="H185" s="412" t="b">
        <f>Wh_hp&gt;='2025'!Maxi_hp</f>
        <v>0</v>
      </c>
      <c r="I185" s="388">
        <f>IF(H185,Wh_hp,'2025'!Maxi_hp)</f>
        <v>56.990075158502776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5.0647740781841866E-2</v>
      </c>
      <c r="M185" s="832"/>
      <c r="N185" s="832"/>
      <c r="O185" s="48">
        <f>IF(t&lt;Tnet,'2025'!Resal+('2025'!Salim-'2025'!Resal)*(1-EXP(('2025'!Tnet-t)/('2025'!Tau_j))),Resal+(Salim-Resal)*(1-EXP((Tnet-t)/(Tau_j))))*Salcycl</f>
        <v>1.4706932424749988E-2</v>
      </c>
      <c r="P185" s="169">
        <f>(INDEX(Models!$BJ185:$BT185,,T185)*(1-R185)+INDEX(Models!$BJ185:$BT185,,T185+1)*R185-ERP_i)*Q185*Ramure*Pc/MaxiM</f>
        <v>6.873189040938342E-6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59.150280317025214</v>
      </c>
      <c r="W185" s="400">
        <f t="shared" si="59"/>
        <v>32.265165464012711</v>
      </c>
      <c r="X185" s="157">
        <f t="shared" si="60"/>
        <v>46193</v>
      </c>
      <c r="Y185" s="383">
        <f t="shared" si="61"/>
        <v>30.833351076157943</v>
      </c>
      <c r="Z185" s="383">
        <f t="shared" si="62"/>
        <v>32.478303787416948</v>
      </c>
      <c r="AA185" s="384">
        <f t="shared" si="63"/>
        <v>34.48971598603071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5.8319187070964548E-2</v>
      </c>
      <c r="AD185" s="230">
        <f>(INDEX(Models!$BJ185:$BT185,,AH185)*(1-AF185)+INDEX(Models!$BJ185:$BT185,,AH185+1)*AF185-ERP_i)*AE185*Ramure*Pc/MaxiM</f>
        <v>3.4475989455824533E-4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'2025'!Wh/'2025'!Env_an*'2026'!Env_an</f>
        <v>23.21977257554515</v>
      </c>
      <c r="C186" s="829"/>
      <c r="D186" s="391">
        <f t="shared" si="50"/>
        <v>24.459011247143266</v>
      </c>
      <c r="E186" s="383">
        <f t="shared" si="75"/>
        <v>24.826316242573668</v>
      </c>
      <c r="F186" s="383">
        <f t="shared" si="51"/>
        <v>24.826339344429922</v>
      </c>
      <c r="G186" s="110">
        <f t="shared" si="76"/>
        <v>0.39293165510120415</v>
      </c>
      <c r="H186" s="412" t="b">
        <f>Wh_hp&gt;='2025'!Maxi_hp</f>
        <v>0</v>
      </c>
      <c r="I186" s="388">
        <f>IF(H186,Wh_hp,'2025'!Maxi_hp)</f>
        <v>52.195932812822107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5.0665934901307774E-2</v>
      </c>
      <c r="M186" s="832"/>
      <c r="N186" s="832"/>
      <c r="O186" s="48">
        <f>IF(t&lt;Tnet,'2025'!Resal+('2025'!Salim-'2025'!Resal)*(1-EXP(('2025'!Tnet-t)/('2025'!Tau_j))),Resal+(Salim-Resal)*(1-EXP((Tnet-t)/(Tau_j))))*Salcycl</f>
        <v>1.4794985765972208E-2</v>
      </c>
      <c r="P186" s="169">
        <f>(INDEX(Models!$BJ186:$BT186,,T186)*(1-R186)+INDEX(Models!$BJ186:$BT186,,T186+1)*R186-ERP_i)*Q186*Ramure*Pc/MaxiM</f>
        <v>7.0090215654737222E-6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59.09330829665825</v>
      </c>
      <c r="W186" s="400">
        <f t="shared" si="59"/>
        <v>23.21977257554515</v>
      </c>
      <c r="X186" s="157">
        <f t="shared" si="60"/>
        <v>46194</v>
      </c>
      <c r="Y186" s="383">
        <f t="shared" si="61"/>
        <v>22.191402254769745</v>
      </c>
      <c r="Z186" s="383">
        <f t="shared" si="62"/>
        <v>23.375756828511932</v>
      </c>
      <c r="AA186" s="384">
        <f t="shared" si="63"/>
        <v>24.825195918456171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5.8385806690317302E-2</v>
      </c>
      <c r="AD186" s="230">
        <f>(INDEX(Models!$BJ186:$BT186,,AH186)*(1-AF186)+INDEX(Models!$BJ186:$BT186,,AH186+1)*AF186-ERP_i)*AE186*Ramure*Pc/MaxiM</f>
        <v>3.469114005700791E-4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'2025'!Wh/'2025'!Env_an*'2026'!Env_an</f>
        <v>44.973333795146054</v>
      </c>
      <c r="C187" s="829"/>
      <c r="D187" s="391">
        <f t="shared" si="50"/>
        <v>47.374467396438767</v>
      </c>
      <c r="E187" s="383">
        <f t="shared" si="75"/>
        <v>48.090183290087495</v>
      </c>
      <c r="F187" s="383">
        <f t="shared" si="51"/>
        <v>48.090410388035458</v>
      </c>
      <c r="G187" s="110">
        <f t="shared" si="76"/>
        <v>0.76180709008586256</v>
      </c>
      <c r="H187" s="412" t="b">
        <f>Wh_hp&gt;='2025'!Maxi_hp</f>
        <v>0</v>
      </c>
      <c r="I187" s="388">
        <f>IF(H187,Wh_hp,'2025'!Maxi_hp)</f>
        <v>63.676809848065162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5.0684128672087381E-2</v>
      </c>
      <c r="M187" s="832"/>
      <c r="N187" s="832"/>
      <c r="O187" s="48">
        <f>IF(t&lt;Tnet,'2025'!Resal+('2025'!Salim-'2025'!Resal)*(1-EXP(('2025'!Tnet-t)/('2025'!Tau_j))),Resal+(Salim-Resal)*(1-EXP((Tnet-t)/(Tau_j))))*Salcycl</f>
        <v>1.4882785730539212E-2</v>
      </c>
      <c r="P187" s="169">
        <f>(INDEX(Models!$BJ187:$BT187,,T187)*(1-R187)+INDEX(Models!$BJ187:$BT187,,T187+1)*R187-ERP_i)*Q187*Ramure*Pc/MaxiM</f>
        <v>7.1579790916028244E-6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59.034924772772833</v>
      </c>
      <c r="W187" s="400">
        <f t="shared" si="59"/>
        <v>44.973333795146054</v>
      </c>
      <c r="X187" s="157">
        <f t="shared" si="60"/>
        <v>46195</v>
      </c>
      <c r="Y187" s="383">
        <f t="shared" si="61"/>
        <v>42.974599988204041</v>
      </c>
      <c r="Z187" s="383">
        <f t="shared" si="62"/>
        <v>45.269020866669742</v>
      </c>
      <c r="AA187" s="384">
        <f t="shared" si="63"/>
        <v>48.079327299072332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5.8451450764304129E-2</v>
      </c>
      <c r="AD187" s="230">
        <f>(INDEX(Models!$BJ187:$BT187,,AH187)*(1-AF187)+INDEX(Models!$BJ187:$BT187,,AH187+1)*AF187-ERP_i)*AE187*Ramure*Pc/MaxiM</f>
        <v>3.4933173012593083E-4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'2025'!Wh/'2025'!Env_an*'2026'!Env_an</f>
        <v>42.421050622410476</v>
      </c>
      <c r="C188" s="829"/>
      <c r="D188" s="391">
        <f t="shared" si="50"/>
        <v>44.686773822088099</v>
      </c>
      <c r="E188" s="383">
        <f t="shared" si="75"/>
        <v>45.365916431196808</v>
      </c>
      <c r="F188" s="383">
        <f t="shared" si="51"/>
        <v>45.36611537144978</v>
      </c>
      <c r="G188" s="110">
        <f t="shared" si="76"/>
        <v>0.71930194598166719</v>
      </c>
      <c r="H188" s="412" t="b">
        <f>Wh_hp&gt;='2025'!Maxi_hp</f>
        <v>0</v>
      </c>
      <c r="I188" s="388">
        <f>IF(H188,Wh_hp,'2025'!Maxi_hp)</f>
        <v>54.409239843799597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5.070232209418768E-2</v>
      </c>
      <c r="M188" s="832"/>
      <c r="N188" s="832"/>
      <c r="O188" s="48">
        <f>IF(t&lt;Tnet,'2025'!Resal+('2025'!Salim-'2025'!Resal)*(1-EXP(('2025'!Tnet-t)/('2025'!Tau_j))),Resal+(Salim-Resal)*(1-EXP((Tnet-t)/(Tau_j))))*Salcycl</f>
        <v>1.497032712077399E-2</v>
      </c>
      <c r="P188" s="169">
        <f>(INDEX(Models!$BJ188:$BT188,,T188)*(1-R188)+INDEX(Models!$BJ188:$BT188,,T188+1)*R188-ERP_i)*Q188*Ramure*Pc/MaxiM</f>
        <v>7.3208253785894077E-6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58.975130440349197</v>
      </c>
      <c r="W188" s="400">
        <f t="shared" si="59"/>
        <v>42.421050622410476</v>
      </c>
      <c r="X188" s="157">
        <f t="shared" si="60"/>
        <v>46196</v>
      </c>
      <c r="Y188" s="383">
        <f t="shared" si="61"/>
        <v>40.537346439075726</v>
      </c>
      <c r="Z188" s="383">
        <f t="shared" si="62"/>
        <v>42.702460337312417</v>
      </c>
      <c r="AA188" s="384">
        <f t="shared" si="63"/>
        <v>45.35654929761175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5.8516112918649298E-2</v>
      </c>
      <c r="AD188" s="230">
        <f>(INDEX(Models!$BJ188:$BT188,,AH188)*(1-AF188)+INDEX(Models!$BJ188:$BT188,,AH188+1)*AF188-ERP_i)*AE188*Ramure*Pc/MaxiM</f>
        <v>3.5202305758234192E-4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'2025'!Wh/'2025'!Env_an*'2026'!Env_an</f>
        <v>40.012669424370486</v>
      </c>
      <c r="C189" s="829"/>
      <c r="D189" s="391">
        <f t="shared" si="50"/>
        <v>42.150567945156382</v>
      </c>
      <c r="E189" s="383">
        <f t="shared" si="75"/>
        <v>42.794957530839334</v>
      </c>
      <c r="F189" s="383">
        <f t="shared" si="51"/>
        <v>42.795131349119266</v>
      </c>
      <c r="G189" s="110">
        <f t="shared" si="76"/>
        <v>0.67916933507433508</v>
      </c>
      <c r="H189" s="412" t="b">
        <f>Wh_hp&gt;='2025'!Maxi_hp</f>
        <v>0</v>
      </c>
      <c r="I189" s="388">
        <f>IF(H189,Wh_hp,'2025'!Maxi_hp)</f>
        <v>62.441537989908561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5.072051516761511E-2</v>
      </c>
      <c r="M189" s="832"/>
      <c r="N189" s="832"/>
      <c r="O189" s="48">
        <f>IF(t&lt;Tnet,'2025'!Resal+('2025'!Salim-'2025'!Resal)*(1-EXP(('2025'!Tnet-t)/('2025'!Tau_j))),Resal+(Salim-Resal)*(1-EXP((Tnet-t)/(Tau_j))))*Salcycl</f>
        <v>1.505760544845937E-2</v>
      </c>
      <c r="P189" s="169">
        <f>(INDEX(Models!$BJ189:$BT189,,T189)*(1-R189)+INDEX(Models!$BJ189:$BT189,,T189+1)*R189-ERP_i)*Q189*Ramure*Pc/MaxiM</f>
        <v>7.4983074538266157E-6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58.913925949064556</v>
      </c>
      <c r="W189" s="400">
        <f t="shared" si="59"/>
        <v>40.012669424370486</v>
      </c>
      <c r="X189" s="157">
        <f t="shared" si="60"/>
        <v>46197</v>
      </c>
      <c r="Y189" s="383">
        <f t="shared" si="61"/>
        <v>38.237409239942828</v>
      </c>
      <c r="Z189" s="383">
        <f t="shared" si="62"/>
        <v>40.280454651028762</v>
      </c>
      <c r="AA189" s="384">
        <f t="shared" si="63"/>
        <v>42.786902390451559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5.8579789594259975E-2</v>
      </c>
      <c r="AD189" s="230">
        <f>(INDEX(Models!$BJ189:$BT189,,AH189)*(1-AF189)+INDEX(Models!$BJ189:$BT189,,AH189+1)*AF189-ERP_i)*AE189*Ramure*Pc/MaxiM</f>
        <v>3.5498718626319619E-4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'2025'!Wh/'2025'!Env_an*'2026'!Env_an</f>
        <v>34.723317622931191</v>
      </c>
      <c r="C190" s="829"/>
      <c r="D190" s="391">
        <f t="shared" si="50"/>
        <v>36.579304256508543</v>
      </c>
      <c r="E190" s="383">
        <f t="shared" si="75"/>
        <v>37.141802629906245</v>
      </c>
      <c r="F190" s="383">
        <f t="shared" si="51"/>
        <v>37.141920984954439</v>
      </c>
      <c r="G190" s="110">
        <f t="shared" si="76"/>
        <v>0.59001507502838513</v>
      </c>
      <c r="H190" s="412" t="b">
        <f>Wh_hp&gt;='2025'!Maxi_hp</f>
        <v>0</v>
      </c>
      <c r="I190" s="388">
        <f>IF(H190,Wh_hp,'2025'!Maxi_hp)</f>
        <v>58.359170518097258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5.0738707892376445E-2</v>
      </c>
      <c r="M190" s="832"/>
      <c r="N190" s="832"/>
      <c r="O190" s="48">
        <f>IF(t&lt;Tnet,'2025'!Resal+('2025'!Salim-'2025'!Resal)*(1-EXP(('2025'!Tnet-t)/('2025'!Tau_j))),Resal+(Salim-Resal)*(1-EXP((Tnet-t)/(Tau_j))))*Salcycl</f>
        <v>1.5144616942872401E-2</v>
      </c>
      <c r="P190" s="169">
        <f>(INDEX(Models!$BJ190:$BT190,,T190)*(1-R190)+INDEX(Models!$BJ190:$BT190,,T190+1)*R190-ERP_i)*Q190*Ramure*Pc/MaxiM</f>
        <v>7.6912319984846218E-6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58.851311898578807</v>
      </c>
      <c r="W190" s="400">
        <f t="shared" si="59"/>
        <v>34.723317622931191</v>
      </c>
      <c r="X190" s="157">
        <f t="shared" si="60"/>
        <v>46198</v>
      </c>
      <c r="Y190" s="383">
        <f t="shared" si="61"/>
        <v>33.184881263764545</v>
      </c>
      <c r="Z190" s="383">
        <f t="shared" si="62"/>
        <v>34.958637352719713</v>
      </c>
      <c r="AA190" s="384">
        <f t="shared" si="63"/>
        <v>37.136408442532165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5.8642480012102122E-2</v>
      </c>
      <c r="AD190" s="230">
        <f>(INDEX(Models!$BJ190:$BT190,,AH190)*(1-AF190)+INDEX(Models!$BJ190:$BT190,,AH190+1)*AF190-ERP_i)*AE190*Ramure*Pc/MaxiM</f>
        <v>3.5822927131438963E-4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'2025'!Wh/'2025'!Env_an*'2026'!Env_an</f>
        <v>12.327997751254712</v>
      </c>
      <c r="C191" s="829"/>
      <c r="D191" s="391">
        <f t="shared" si="50"/>
        <v>12.987187112280818</v>
      </c>
      <c r="E191" s="383">
        <f t="shared" si="75"/>
        <v>13.188059170138644</v>
      </c>
      <c r="F191" s="383">
        <f t="shared" si="51"/>
        <v>13.188059170138644</v>
      </c>
      <c r="G191" s="110">
        <f t="shared" si="76"/>
        <v>0.20970350219211112</v>
      </c>
      <c r="H191" s="412" t="b">
        <f>Wh_hp&gt;='2025'!Maxi_hp</f>
        <v>0</v>
      </c>
      <c r="I191" s="388">
        <f>IF(H191,Wh_hp,'2025'!Maxi_hp)</f>
        <v>60.460509614669505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5.0756900268478455E-2</v>
      </c>
      <c r="M191" s="832"/>
      <c r="N191" s="832"/>
      <c r="O191" s="48">
        <f>IF(t&lt;Tnet,'2025'!Resal+('2025'!Salim-'2025'!Resal)*(1-EXP(('2025'!Tnet-t)/('2025'!Tau_j))),Resal+(Salim-Resal)*(1-EXP((Tnet-t)/(Tau_j))))*Salcycl</f>
        <v>1.5231358554460782E-2</v>
      </c>
      <c r="P191" s="169">
        <f>(INDEX(Models!$BJ191:$BT191,,T191)*(1-R191)+INDEX(Models!$BJ191:$BT191,,T191+1)*R191-ERP_i)*Q191*Ramure*Pc/MaxiM</f>
        <v>7.9003932320820375E-6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58.787288845233597</v>
      </c>
      <c r="W191" s="400">
        <f t="shared" si="59"/>
        <v>12.327997751254712</v>
      </c>
      <c r="X191" s="157">
        <f t="shared" si="60"/>
        <v>46199</v>
      </c>
      <c r="Y191" s="383">
        <f t="shared" si="61"/>
        <v>11.783775587848373</v>
      </c>
      <c r="Z191" s="383">
        <f t="shared" si="62"/>
        <v>12.413864890017349</v>
      </c>
      <c r="AA191" s="384">
        <f t="shared" si="63"/>
        <v>13.188059170138644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5.8704186122722275E-2</v>
      </c>
      <c r="AD191" s="230">
        <f>(INDEX(Models!$BJ191:$BT191,,AH191)*(1-AF191)+INDEX(Models!$BJ191:$BT191,,AH191+1)*AF191-ERP_i)*AE191*Ramure*Pc/MaxiM</f>
        <v>3.6175436441541201E-4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'2025'!Wh/'2025'!Env_an*'2026'!Env_an</f>
        <v>14.979524241190511</v>
      </c>
      <c r="C192" s="829"/>
      <c r="D192" s="391">
        <f t="shared" si="50"/>
        <v>15.780795593977908</v>
      </c>
      <c r="E192" s="383">
        <f t="shared" si="75"/>
        <v>16.026283446556491</v>
      </c>
      <c r="F192" s="383">
        <f t="shared" si="51"/>
        <v>16.026283446556491</v>
      </c>
      <c r="G192" s="110">
        <f t="shared" si="76"/>
        <v>0.25509074811714849</v>
      </c>
      <c r="H192" s="412" t="b">
        <f>Wh_hp&gt;='2025'!Maxi_hp</f>
        <v>0</v>
      </c>
      <c r="I192" s="388">
        <f>IF(H192,Wh_hp,'2025'!Maxi_hp)</f>
        <v>59.284461981263078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5.0775092295927693E-2</v>
      </c>
      <c r="M192" s="832"/>
      <c r="N192" s="832"/>
      <c r="O192" s="48">
        <f>IF(t&lt;Tnet,'2025'!Resal+('2025'!Salim-'2025'!Resal)*(1-EXP(('2025'!Tnet-t)/('2025'!Tau_j))),Resal+(Salim-Resal)*(1-EXP((Tnet-t)/(Tau_j))))*Salcycl</f>
        <v>1.5317827954136803E-2</v>
      </c>
      <c r="P192" s="169">
        <f>(INDEX(Models!$BJ192:$BT192,,T192)*(1-R192)+INDEX(Models!$BJ192:$BT192,,T192+1)*R192-ERP_i)*Q192*Ramure*Pc/MaxiM</f>
        <v>8.1357738248833241E-6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58.721856757776663</v>
      </c>
      <c r="W192" s="400">
        <f t="shared" si="59"/>
        <v>14.979524241190511</v>
      </c>
      <c r="X192" s="157">
        <f t="shared" si="60"/>
        <v>46200</v>
      </c>
      <c r="Y192" s="383">
        <f t="shared" si="61"/>
        <v>14.318583406420576</v>
      </c>
      <c r="Z192" s="383">
        <f t="shared" si="62"/>
        <v>15.084500301465432</v>
      </c>
      <c r="AA192" s="384">
        <f t="shared" si="63"/>
        <v>16.026283446556491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5.8764912540805916E-2</v>
      </c>
      <c r="AD192" s="230">
        <f>(INDEX(Models!$BJ192:$BT192,,AH192)*(1-AF192)+INDEX(Models!$BJ192:$BT192,,AH192+1)*AF192-ERP_i)*AE192*Ramure*Pc/MaxiM</f>
        <v>3.6578749863400221E-4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'2025'!Wh/'2025'!Env_an*'2026'!Env_an</f>
        <v>59.425219027066483</v>
      </c>
      <c r="C193" s="829"/>
      <c r="D193" s="391">
        <f t="shared" si="50"/>
        <v>62.605139664313647</v>
      </c>
      <c r="E193" s="383">
        <f t="shared" si="75"/>
        <v>63.584598312754466</v>
      </c>
      <c r="F193" s="383">
        <f t="shared" si="51"/>
        <v>63.585131804859877</v>
      </c>
      <c r="G193" s="110">
        <f t="shared" si="76"/>
        <v>1.0131310585480504</v>
      </c>
      <c r="H193" s="412" t="b">
        <f>Wh_hp&gt;='2025'!Maxi_hp</f>
        <v>1</v>
      </c>
      <c r="I193" s="388">
        <f>IF(H193,Wh_hp,'2025'!Maxi_hp)</f>
        <v>63.585131804859877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5.0793283974730818E-2</v>
      </c>
      <c r="M193" s="832"/>
      <c r="N193" s="832"/>
      <c r="O193" s="48">
        <f>IF(t&lt;Tnet,'2025'!Resal+('2025'!Salim-'2025'!Resal)*(1-EXP(('2025'!Tnet-t)/('2025'!Tau_j))),Resal+(Salim-Resal)*(1-EXP((Tnet-t)/(Tau_j))))*Salcycl</f>
        <v>1.5404023528200056E-2</v>
      </c>
      <c r="P193" s="169">
        <f>(INDEX(Models!$BJ193:$BT193,,T193)*(1-R193)+INDEX(Models!$BJ193:$BT193,,T193+1)*R193-ERP_i)*Q193*Ramure*Pc/MaxiM</f>
        <v>8.3902020845165513E-6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58.655016570344422</v>
      </c>
      <c r="W193" s="400">
        <f t="shared" si="59"/>
        <v>59.425219027066483</v>
      </c>
      <c r="X193" s="157">
        <f t="shared" si="60"/>
        <v>46201</v>
      </c>
      <c r="Y193" s="383">
        <f t="shared" si="61"/>
        <v>56.784018353966161</v>
      </c>
      <c r="Z193" s="383">
        <f t="shared" si="62"/>
        <v>59.822604913442788</v>
      </c>
      <c r="AA193" s="384">
        <f t="shared" si="63"/>
        <v>63.561594510525914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5.8824666465281054E-2</v>
      </c>
      <c r="AD193" s="230">
        <f>(INDEX(Models!$BJ193:$BT193,,AH193)*(1-AF193)+INDEX(Models!$BJ193:$BT193,,AH193+1)*AF193-ERP_i)*AE193*Ramure*Pc/MaxiM</f>
        <v>3.7016978129718645E-4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'2025'!Wh/'2025'!Env_an*'2026'!Env_an</f>
        <v>57.720835736711308</v>
      </c>
      <c r="C194" s="829"/>
      <c r="D194" s="391">
        <f t="shared" si="50"/>
        <v>60.81071803438855</v>
      </c>
      <c r="E194" s="383">
        <f t="shared" si="75"/>
        <v>61.767493065786248</v>
      </c>
      <c r="F194" s="383">
        <f t="shared" si="51"/>
        <v>61.768016952318149</v>
      </c>
      <c r="G194" s="110">
        <f t="shared" si="76"/>
        <v>0.98521946941959426</v>
      </c>
      <c r="H194" s="412" t="b">
        <f>Wh_hp&gt;='2025'!Maxi_hp</f>
        <v>1</v>
      </c>
      <c r="I194" s="388">
        <f>IF(H194,Wh_hp,'2025'!Maxi_hp)</f>
        <v>61.768016952318149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5.0811475304894604E-2</v>
      </c>
      <c r="M194" s="832"/>
      <c r="N194" s="832"/>
      <c r="O194" s="48">
        <f>IF(t&lt;Tnet,'2025'!Resal+('2025'!Salim-'2025'!Resal)*(1-EXP(('2025'!Tnet-t)/('2025'!Tau_j))),Resal+(Salim-Resal)*(1-EXP((Tnet-t)/(Tau_j))))*Salcycl</f>
        <v>1.5489944368936482E-2</v>
      </c>
      <c r="P194" s="169">
        <f>(INDEX(Models!$BJ194:$BT194,,T194)*(1-R194)+INDEX(Models!$BJ194:$BT194,,T194+1)*R194-ERP_i)*Q194*Ramure*Pc/MaxiM</f>
        <v>8.6644660948459943E-6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58.586768703113663</v>
      </c>
      <c r="W194" s="400">
        <f t="shared" si="59"/>
        <v>57.720835736711308</v>
      </c>
      <c r="X194" s="157">
        <f t="shared" si="60"/>
        <v>46202</v>
      </c>
      <c r="Y194" s="383">
        <f t="shared" si="61"/>
        <v>55.156936115682754</v>
      </c>
      <c r="Z194" s="383">
        <f t="shared" si="62"/>
        <v>58.109569048361649</v>
      </c>
      <c r="AA194" s="384">
        <f t="shared" si="63"/>
        <v>61.745348667746335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5.8883457585589653E-2</v>
      </c>
      <c r="AD194" s="230">
        <f>(INDEX(Models!$BJ194:$BT194,,AH194)*(1-AF194)+INDEX(Models!$BJ194:$BT194,,AH194+1)*AF194-ERP_i)*AE194*Ramure*Pc/MaxiM</f>
        <v>3.7490672338414847E-4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'2025'!Wh/'2025'!Env_an*'2026'!Env_an</f>
        <v>14.234796993273996</v>
      </c>
      <c r="C195" s="829"/>
      <c r="D195" s="391">
        <f t="shared" si="50"/>
        <v>14.997094291370413</v>
      </c>
      <c r="E195" s="383">
        <f t="shared" si="75"/>
        <v>15.234378732386597</v>
      </c>
      <c r="F195" s="383">
        <f t="shared" si="51"/>
        <v>15.234378732386597</v>
      </c>
      <c r="G195" s="110">
        <f t="shared" si="76"/>
        <v>0.24325652103121428</v>
      </c>
      <c r="H195" s="412" t="b">
        <f>Wh_hp&gt;='2025'!Maxi_hp</f>
        <v>0</v>
      </c>
      <c r="I195" s="388">
        <f>IF(H195,Wh_hp,'2025'!Maxi_hp)</f>
        <v>52.702185547178217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5.0829666286425601E-2</v>
      </c>
      <c r="M195" s="832"/>
      <c r="N195" s="832"/>
      <c r="O195" s="48">
        <f>IF(t&lt;Tnet,'2025'!Resal+('2025'!Salim-'2025'!Resal)*(1-EXP(('2025'!Tnet-t)/('2025'!Tau_j))),Resal+(Salim-Resal)*(1-EXP((Tnet-t)/(Tau_j))))*Salcycl</f>
        <v>1.557559026097621E-2</v>
      </c>
      <c r="P195" s="169">
        <f>(INDEX(Models!$BJ195:$BT195,,T195)*(1-R195)+INDEX(Models!$BJ195:$BT195,,T195+1)*R195-ERP_i)*Q195*Ramure*Pc/MaxiM</f>
        <v>8.9593324343632794E-6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58.517113533696509</v>
      </c>
      <c r="W195" s="400">
        <f t="shared" si="59"/>
        <v>14.234796993273996</v>
      </c>
      <c r="X195" s="157">
        <f t="shared" si="60"/>
        <v>46203</v>
      </c>
      <c r="Y195" s="383">
        <f t="shared" si="61"/>
        <v>13.607727977441282</v>
      </c>
      <c r="Z195" s="383">
        <f t="shared" si="62"/>
        <v>14.336444676059173</v>
      </c>
      <c r="AA195" s="384">
        <f t="shared" si="63"/>
        <v>15.234378732386597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5.8941297974857039E-2</v>
      </c>
      <c r="AD195" s="230">
        <f>(INDEX(Models!$BJ195:$BT195,,AH195)*(1-AF195)+INDEX(Models!$BJ195:$BT195,,AH195+1)*AF195-ERP_i)*AE195*Ramure*Pc/MaxiM</f>
        <v>3.8000369144358518E-4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'2025'!Wh/'2025'!Env_an*'2026'!Env_an</f>
        <v>51.343568696700856</v>
      </c>
      <c r="C196" s="829"/>
      <c r="D196" s="391">
        <f t="shared" si="50"/>
        <v>54.094139776216174</v>
      </c>
      <c r="E196" s="383">
        <f t="shared" si="75"/>
        <v>54.954784550285673</v>
      </c>
      <c r="F196" s="383">
        <f t="shared" si="51"/>
        <v>54.955205797516442</v>
      </c>
      <c r="G196" s="110">
        <f t="shared" si="76"/>
        <v>0.87847655726099205</v>
      </c>
      <c r="H196" s="412" t="b">
        <f>Wh_hp&gt;='2025'!Maxi_hp</f>
        <v>0</v>
      </c>
      <c r="I196" s="388">
        <f>IF(H196,Wh_hp,'2025'!Maxi_hp)</f>
        <v>60.959454139649438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5.0847856919330692E-2</v>
      </c>
      <c r="M196" s="832"/>
      <c r="N196" s="832"/>
      <c r="O196" s="48">
        <f>IF(t&lt;Tnet,'2025'!Resal+('2025'!Salim-'2025'!Resal)*(1-EXP(('2025'!Tnet-t)/('2025'!Tau_j))),Resal+(Salim-Resal)*(1-EXP((Tnet-t)/(Tau_j))))*Salcycl</f>
        <v>1.5660961663528618E-2</v>
      </c>
      <c r="P196" s="169">
        <f>(INDEX(Models!$BJ196:$BT196,,T196)*(1-R196)+INDEX(Models!$BJ196:$BT196,,T196+1)*R196-ERP_i)*Q196*Ramure*Pc/MaxiM</f>
        <v>9.2755449514500613E-6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58.446051400142636</v>
      </c>
      <c r="W196" s="400">
        <f t="shared" si="59"/>
        <v>51.343568696700856</v>
      </c>
      <c r="X196" s="157">
        <f t="shared" si="60"/>
        <v>46204</v>
      </c>
      <c r="Y196" s="383">
        <f t="shared" si="61"/>
        <v>49.067819480663019</v>
      </c>
      <c r="Z196" s="383">
        <f t="shared" si="62"/>
        <v>51.696474414948142</v>
      </c>
      <c r="AA196" s="384">
        <f t="shared" si="63"/>
        <v>54.937699931306121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5.8998201970792287E-2</v>
      </c>
      <c r="AD196" s="230">
        <f>(INDEX(Models!$BJ196:$BT196,,AH196)*(1-AF196)+INDEX(Models!$BJ196:$BT196,,AH196+1)*AF196-ERP_i)*AE196*Ramure*Pc/MaxiM</f>
        <v>3.8546591428033323E-4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'2025'!Wh/'2025'!Env_an*'2026'!Env_an</f>
        <v>56.716743469881791</v>
      </c>
      <c r="C197" s="829"/>
      <c r="D197" s="391">
        <f t="shared" si="50"/>
        <v>59.756310795520726</v>
      </c>
      <c r="E197" s="383">
        <f t="shared" si="75"/>
        <v>60.712290139897974</v>
      </c>
      <c r="F197" s="383">
        <f t="shared" si="51"/>
        <v>60.712850155568447</v>
      </c>
      <c r="G197" s="110">
        <f t="shared" si="76"/>
        <v>0.97161624889308296</v>
      </c>
      <c r="H197" s="412" t="b">
        <f>Wh_hp&gt;='2025'!Maxi_hp</f>
        <v>1</v>
      </c>
      <c r="I197" s="388">
        <f>IF(H197,Wh_hp,'2025'!Maxi_hp)</f>
        <v>60.712850155568447</v>
      </c>
      <c r="J197" s="85">
        <f>IF(H197,An,'2025'!An_max)</f>
        <v>2026</v>
      </c>
      <c r="K197" s="197">
        <f t="shared" si="52"/>
        <v>46205</v>
      </c>
      <c r="L197" s="147">
        <f>IF(t&lt;Tvie,1-EXP((T0-t)*PertePVj)+'2025'!Pspv,1-EXP((T0-t)*PertePVj)+Pspv)</f>
        <v>5.0866047203616427E-2</v>
      </c>
      <c r="M197" s="832"/>
      <c r="N197" s="832"/>
      <c r="O197" s="48">
        <f>IF(t&lt;Tnet,'2025'!Resal+('2025'!Salim-'2025'!Resal)*(1-EXP(('2025'!Tnet-t)/('2025'!Tau_j))),Resal+(Salim-Resal)*(1-EXP((Tnet-t)/(Tau_j))))*Salcycl</f>
        <v>1.5746059688646303E-2</v>
      </c>
      <c r="P197" s="169">
        <f>(INDEX(Models!$BJ197:$BT197,,T197)*(1-R197)+INDEX(Models!$BJ197:$BT197,,T197+1)*R197-ERP_i)*Q197*Ramure*Pc/MaxiM</f>
        <v>9.6138238120754695E-6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58.373582600202127</v>
      </c>
      <c r="W197" s="400">
        <f t="shared" si="59"/>
        <v>56.716743469881791</v>
      </c>
      <c r="X197" s="157">
        <f t="shared" si="60"/>
        <v>46205</v>
      </c>
      <c r="Y197" s="383">
        <f t="shared" si="61"/>
        <v>54.201295426601604</v>
      </c>
      <c r="Z197" s="383">
        <f t="shared" si="62"/>
        <v>57.10605470061541</v>
      </c>
      <c r="AA197" s="384">
        <f t="shared" si="63"/>
        <v>60.690056593802346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5.9054186045246398E-2</v>
      </c>
      <c r="AD197" s="230">
        <f>(INDEX(Models!$BJ197:$BT197,,AH197)*(1-AF197)+INDEX(Models!$BJ197:$BT197,,AH197+1)*AF197-ERP_i)*AE197*Ramure*Pc/MaxiM</f>
        <v>3.9129849113400553E-4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'2025'!Wh/'2025'!Env_an*'2026'!Env_an</f>
        <v>46.721332372404952</v>
      </c>
      <c r="C198" s="829"/>
      <c r="D198" s="391">
        <f t="shared" si="50"/>
        <v>49.226168398661024</v>
      </c>
      <c r="E198" s="383">
        <f t="shared" si="75"/>
        <v>50.017997620729588</v>
      </c>
      <c r="F198" s="383">
        <f t="shared" si="51"/>
        <v>50.018355090153918</v>
      </c>
      <c r="G198" s="110">
        <f t="shared" si="76"/>
        <v>0.80139682215981434</v>
      </c>
      <c r="H198" s="412" t="b">
        <f>Wh_hp&gt;='2025'!Maxi_hp</f>
        <v>1</v>
      </c>
      <c r="I198" s="388">
        <f>IF(H198,Wh_hp,'2025'!Maxi_hp)</f>
        <v>50.018355090153918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5.0884237139289579E-2</v>
      </c>
      <c r="M198" s="832"/>
      <c r="N198" s="832"/>
      <c r="O198" s="48">
        <f>IF(t&lt;Tnet,'2025'!Resal+('2025'!Salim-'2025'!Resal)*(1-EXP(('2025'!Tnet-t)/('2025'!Tau_j))),Resal+(Salim-Resal)*(1-EXP((Tnet-t)/(Tau_j))))*Salcycl</f>
        <v>1.5830886075703203E-2</v>
      </c>
      <c r="P198" s="169">
        <f>(INDEX(Models!$BJ198:$BT198,,T198)*(1-R198)+INDEX(Models!$BJ198:$BT198,,T198+1)*R198-ERP_i)*Q198*Ramure*Pc/MaxiM</f>
        <v>9.9775518535081534E-6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58.299707237926008</v>
      </c>
      <c r="W198" s="400">
        <f t="shared" si="59"/>
        <v>46.721332372404952</v>
      </c>
      <c r="X198" s="157">
        <f t="shared" si="60"/>
        <v>46206</v>
      </c>
      <c r="Y198" s="383">
        <f t="shared" si="61"/>
        <v>44.654382465323401</v>
      </c>
      <c r="Z198" s="383">
        <f t="shared" si="62"/>
        <v>47.048404644267563</v>
      </c>
      <c r="AA198" s="384">
        <f t="shared" si="63"/>
        <v>50.004111080395255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5.9109268663442259E-2</v>
      </c>
      <c r="AD198" s="230">
        <f>(INDEX(Models!$BJ198:$BT198,,AH198)*(1-AF198)+INDEX(Models!$BJ198:$BT198,,AH198+1)*AF198-ERP_i)*AE198*Ramure*Pc/MaxiM</f>
        <v>3.9757343228834094E-4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'2025'!Wh/'2025'!Env_an*'2026'!Env_an</f>
        <v>45.201683993978257</v>
      </c>
      <c r="C199" s="829"/>
      <c r="D199" s="391">
        <f t="shared" si="50"/>
        <v>47.625960983197807</v>
      </c>
      <c r="E199" s="383">
        <f t="shared" si="75"/>
        <v>48.396208082201056</v>
      </c>
      <c r="F199" s="383">
        <f t="shared" si="51"/>
        <v>48.396549207086224</v>
      </c>
      <c r="G199" s="110">
        <f t="shared" si="76"/>
        <v>0.77633284581410944</v>
      </c>
      <c r="H199" s="412" t="b">
        <f>Wh_hp&gt;='2025'!Maxi_hp</f>
        <v>0</v>
      </c>
      <c r="I199" s="388">
        <f>IF(H199,Wh_hp,'2025'!Maxi_hp)</f>
        <v>58.082093863284776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5.0902426726356698E-2</v>
      </c>
      <c r="M199" s="832"/>
      <c r="N199" s="832"/>
      <c r="O199" s="48">
        <f>IF(t&lt;Tnet,'2025'!Resal+('2025'!Salim-'2025'!Resal)*(1-EXP(('2025'!Tnet-t)/('2025'!Tau_j))),Resal+(Salim-Resal)*(1-EXP((Tnet-t)/(Tau_j))))*Salcycl</f>
        <v>1.5915443162302794E-2</v>
      </c>
      <c r="P199" s="169">
        <f>(INDEX(Models!$BJ199:$BT199,,T199)*(1-R199)+INDEX(Models!$BJ199:$BT199,,T199+1)*R199-ERP_i)*Q199*Ramure*Pc/MaxiM</f>
        <v>1.0358197173600738E-5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58.224426075037023</v>
      </c>
      <c r="W199" s="400">
        <f t="shared" si="59"/>
        <v>45.201683993978257</v>
      </c>
      <c r="X199" s="157">
        <f t="shared" si="60"/>
        <v>46207</v>
      </c>
      <c r="Y199" s="383">
        <f t="shared" si="61"/>
        <v>43.203604747315602</v>
      </c>
      <c r="Z199" s="383">
        <f t="shared" si="62"/>
        <v>45.520719854226371</v>
      </c>
      <c r="AA199" s="384">
        <f t="shared" si="63"/>
        <v>48.383240243348261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5.9163470133967076E-2</v>
      </c>
      <c r="AD199" s="230">
        <f>(INDEX(Models!$BJ199:$BT199,,AH199)*(1-AF199)+INDEX(Models!$BJ199:$BT199,,AH199+1)*AF199-ERP_i)*AE199*Ramure*Pc/MaxiM</f>
        <v>4.0412434439152643E-4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'2025'!Wh/'2025'!Env_an*'2026'!Env_an</f>
        <v>56.662670357429725</v>
      </c>
      <c r="C200" s="829"/>
      <c r="D200" s="391">
        <f t="shared" si="50"/>
        <v>59.702772297632855</v>
      </c>
      <c r="E200" s="383">
        <f t="shared" si="75"/>
        <v>60.673532672240952</v>
      </c>
      <c r="F200" s="383">
        <f t="shared" si="51"/>
        <v>60.674161479411218</v>
      </c>
      <c r="G200" s="110">
        <f t="shared" si="76"/>
        <v>0.9744600355000983</v>
      </c>
      <c r="H200" s="412" t="b">
        <f>Wh_hp&gt;='2025'!Maxi_hp</f>
        <v>0</v>
      </c>
      <c r="I200" s="388">
        <f>IF(H200,Wh_hp,'2025'!Maxi_hp)</f>
        <v>61.390169549077257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5.0920615964824556E-2</v>
      </c>
      <c r="M200" s="832"/>
      <c r="N200" s="832"/>
      <c r="O200" s="48">
        <f>IF(t&lt;Tnet,'2025'!Resal+('2025'!Salim-'2025'!Resal)*(1-EXP(('2025'!Tnet-t)/('2025'!Tau_j))),Resal+(Salim-Resal)*(1-EXP((Tnet-t)/(Tau_j))))*Salcycl</f>
        <v>1.5999733851861816E-2</v>
      </c>
      <c r="P200" s="169">
        <f>(INDEX(Models!$BJ200:$BT200,,T200)*(1-R200)+INDEX(Models!$BJ200:$BT200,,T200+1)*R200-ERP_i)*Q200*Ramure*Pc/MaxiM</f>
        <v>1.075611098956481E-5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58.147739318561499</v>
      </c>
      <c r="W200" s="400">
        <f t="shared" si="59"/>
        <v>56.662670357429725</v>
      </c>
      <c r="X200" s="157">
        <f t="shared" si="60"/>
        <v>46208</v>
      </c>
      <c r="Y200" s="383">
        <f t="shared" si="61"/>
        <v>54.153168552756192</v>
      </c>
      <c r="Z200" s="383">
        <f t="shared" si="62"/>
        <v>57.058629092241588</v>
      </c>
      <c r="AA200" s="384">
        <f t="shared" si="63"/>
        <v>60.650136872530645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5.9216812450685594E-2</v>
      </c>
      <c r="AD200" s="230">
        <f>(INDEX(Models!$BJ200:$BT200,,AH200)*(1-AF200)+INDEX(Models!$BJ200:$BT200,,AH200+1)*AF200-ERP_i)*AE200*Ramure*Pc/MaxiM</f>
        <v>4.1095482098034436E-4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'2025'!Wh/'2025'!Env_an*'2026'!Env_an</f>
        <v>48.163628594611367</v>
      </c>
      <c r="C201" s="829"/>
      <c r="D201" s="391">
        <f t="shared" si="50"/>
        <v>50.74870708125156</v>
      </c>
      <c r="E201" s="383">
        <f t="shared" si="75"/>
        <v>51.578279836756636</v>
      </c>
      <c r="F201" s="383">
        <f t="shared" si="51"/>
        <v>51.578715631867425</v>
      </c>
      <c r="G201" s="110">
        <f t="shared" si="76"/>
        <v>0.8294091635782237</v>
      </c>
      <c r="H201" s="412" t="b">
        <f>Wh_hp&gt;='2025'!Maxi_hp</f>
        <v>0</v>
      </c>
      <c r="I201" s="388">
        <f>IF(H201,Wh_hp,'2025'!Maxi_hp)</f>
        <v>60.936475957669771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5.0938804854699704E-2</v>
      </c>
      <c r="M201" s="832"/>
      <c r="N201" s="832"/>
      <c r="O201" s="48">
        <f>IF(t&lt;Tnet,'2025'!Resal+('2025'!Salim-'2025'!Resal)*(1-EXP(('2025'!Tnet-t)/('2025'!Tau_j))),Resal+(Salim-Resal)*(1-EXP((Tnet-t)/(Tau_j))))*Salcycl</f>
        <v>1.6083761578141828E-2</v>
      </c>
      <c r="P201" s="169">
        <f>(INDEX(Models!$BJ201:$BT201,,T201)*(1-R201)+INDEX(Models!$BJ201:$BT201,,T201+1)*R201-ERP_i)*Q201*Ramure*Pc/MaxiM</f>
        <v>1.1171630509172193E-5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58.069647145037401</v>
      </c>
      <c r="W201" s="400">
        <f t="shared" si="59"/>
        <v>48.163628594611367</v>
      </c>
      <c r="X201" s="157">
        <f t="shared" si="60"/>
        <v>46209</v>
      </c>
      <c r="Y201" s="383">
        <f t="shared" si="61"/>
        <v>46.035483492230227</v>
      </c>
      <c r="Z201" s="383">
        <f t="shared" si="62"/>
        <v>48.506338398107452</v>
      </c>
      <c r="AA201" s="384">
        <f t="shared" si="63"/>
        <v>51.562407163263963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5.9269319127789488E-2</v>
      </c>
      <c r="AD201" s="230">
        <f>(INDEX(Models!$BJ201:$BT201,,AH201)*(1-AF201)+INDEX(Models!$BJ201:$BT201,,AH201+1)*AF201-ERP_i)*AE201*Ramure*Pc/MaxiM</f>
        <v>4.1806844753295184E-4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'2025'!Wh/'2025'!Env_an*'2026'!Env_an</f>
        <v>56.09996467457497</v>
      </c>
      <c r="C202" s="829"/>
      <c r="D202" s="391">
        <f t="shared" si="50"/>
        <v>59.112141688203522</v>
      </c>
      <c r="E202" s="383">
        <f t="shared" si="75"/>
        <v>60.083544207732196</v>
      </c>
      <c r="F202" s="383">
        <f t="shared" si="51"/>
        <v>60.084209021380254</v>
      </c>
      <c r="G202" s="110">
        <f t="shared" si="76"/>
        <v>0.96740454454774971</v>
      </c>
      <c r="H202" s="412" t="b">
        <f>Wh_hp&gt;='2025'!Maxi_hp</f>
        <v>1</v>
      </c>
      <c r="I202" s="388">
        <f>IF(H202,Wh_hp,'2025'!Maxi_hp)</f>
        <v>60.084209021380254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5.0956993395989025E-2</v>
      </c>
      <c r="M202" s="832"/>
      <c r="N202" s="832"/>
      <c r="O202" s="48">
        <f>IF(t&lt;Tnet,'2025'!Resal+('2025'!Salim-'2025'!Resal)*(1-EXP(('2025'!Tnet-t)/('2025'!Tau_j))),Resal+(Salim-Resal)*(1-EXP((Tnet-t)/(Tau_j))))*Salcycl</f>
        <v>1.6167530267025498E-2</v>
      </c>
      <c r="P202" s="169">
        <f>(INDEX(Models!$BJ202:$BT202,,T202)*(1-R202)+INDEX(Models!$BJ202:$BT202,,T202+1)*R202-ERP_i)*Q202*Ramure*Pc/MaxiM</f>
        <v>1.16050794638203E-5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57.990149700096623</v>
      </c>
      <c r="W202" s="400">
        <f t="shared" si="59"/>
        <v>56.09996467457497</v>
      </c>
      <c r="X202" s="157">
        <f t="shared" si="60"/>
        <v>46210</v>
      </c>
      <c r="Y202" s="383">
        <f t="shared" si="61"/>
        <v>53.61810649795671</v>
      </c>
      <c r="Z202" s="383">
        <f t="shared" si="62"/>
        <v>56.497025029266048</v>
      </c>
      <c r="AA202" s="384">
        <f t="shared" si="63"/>
        <v>60.059835429429128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5.9321015029243911E-2</v>
      </c>
      <c r="AD202" s="230">
        <f>(INDEX(Models!$BJ202:$BT202,,AH202)*(1-AF202)+INDEX(Models!$BJ202:$BT202,,AH202+1)*AF202-ERP_i)*AE202*Ramure*Pc/MaxiM</f>
        <v>4.2546880954779178E-4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'2025'!Wh/'2025'!Env_an*'2026'!Env_an</f>
        <v>58.516374041101372</v>
      </c>
      <c r="C203" s="829"/>
      <c r="D203" s="391">
        <f t="shared" si="50"/>
        <v>61.659477082021652</v>
      </c>
      <c r="E203" s="383">
        <f t="shared" si="75"/>
        <v>62.678061028168791</v>
      </c>
      <c r="F203" s="383">
        <f t="shared" si="51"/>
        <v>62.678816732167256</v>
      </c>
      <c r="G203" s="110">
        <f t="shared" si="76"/>
        <v>1.0104841103494973</v>
      </c>
      <c r="H203" s="412" t="b">
        <f>Wh_hp&gt;='2025'!Maxi_hp</f>
        <v>0</v>
      </c>
      <c r="I203" s="388">
        <f>IF(H203,Wh_hp,'2025'!Maxi_hp)</f>
        <v>63.179240618782657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5.097518158869907E-2</v>
      </c>
      <c r="M203" s="832"/>
      <c r="N203" s="832"/>
      <c r="O203" s="48">
        <f>IF(t&lt;Tnet,'2025'!Resal+('2025'!Salim-'2025'!Resal)*(1-EXP(('2025'!Tnet-t)/('2025'!Tau_j))),Resal+(Salim-Resal)*(1-EXP((Tnet-t)/(Tau_j))))*Salcycl</f>
        <v>1.6251044295855988E-2</v>
      </c>
      <c r="P203" s="169">
        <f>(INDEX(Models!$BJ203:$BT203,,T203)*(1-R203)+INDEX(Models!$BJ203:$BT203,,T203+1)*R203-ERP_i)*Q203*Ramure*Pc/MaxiM</f>
        <v>1.2056768743624507E-5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57.909247104204589</v>
      </c>
      <c r="W203" s="400">
        <f t="shared" si="59"/>
        <v>58.516374041101372</v>
      </c>
      <c r="X203" s="157">
        <f t="shared" si="60"/>
        <v>46211</v>
      </c>
      <c r="Y203" s="383">
        <f t="shared" si="61"/>
        <v>55.927851516006434</v>
      </c>
      <c r="Z203" s="383">
        <f t="shared" si="62"/>
        <v>58.931916669609876</v>
      </c>
      <c r="AA203" s="384">
        <f t="shared" si="63"/>
        <v>62.651666807214269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5.937192619392638E-2</v>
      </c>
      <c r="AD203" s="230">
        <f>(INDEX(Models!$BJ203:$BT203,,AH203)*(1-AF203)+INDEX(Models!$BJ203:$BT203,,AH203+1)*AF203-ERP_i)*AE203*Ramure*Pc/MaxiM</f>
        <v>4.3315950058533947E-4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'2025'!Wh/'2025'!Env_an*'2026'!Env_an</f>
        <v>57.832002144482551</v>
      </c>
      <c r="C204" s="829"/>
      <c r="D204" s="391">
        <f t="shared" si="50"/>
        <v>60.939513257056895</v>
      </c>
      <c r="E204" s="383">
        <f t="shared" si="75"/>
        <v>61.951447306324226</v>
      </c>
      <c r="F204" s="383">
        <f t="shared" si="51"/>
        <v>61.952223381648231</v>
      </c>
      <c r="G204" s="110">
        <f t="shared" si="76"/>
        <v>1.0000875490197065</v>
      </c>
      <c r="H204" s="412" t="b">
        <f>Wh_hp&gt;='2025'!Maxi_hp</f>
        <v>0</v>
      </c>
      <c r="I204" s="388">
        <f>IF(H204,Wh_hp,'2025'!Maxi_hp)</f>
        <v>61.95222338164826</v>
      </c>
      <c r="J204" s="85">
        <f>IF(H204,An,'2025'!An_max)</f>
        <v>2023</v>
      </c>
      <c r="K204" s="197">
        <f t="shared" si="52"/>
        <v>46212</v>
      </c>
      <c r="L204" s="147">
        <f>IF(t&lt;Tvie,1-EXP((T0-t)*PertePVj)+'2025'!Pspv,1-EXP((T0-t)*PertePVj)+Pspv)</f>
        <v>5.099336943283661E-2</v>
      </c>
      <c r="M204" s="832"/>
      <c r="N204" s="832"/>
      <c r="O204" s="48">
        <f>IF(t&lt;Tnet,'2025'!Resal+('2025'!Salim-'2025'!Resal)*(1-EXP(('2025'!Tnet-t)/('2025'!Tau_j))),Resal+(Salim-Resal)*(1-EXP((Tnet-t)/(Tau_j))))*Salcycl</f>
        <v>1.6334308450676512E-2</v>
      </c>
      <c r="P204" s="169">
        <f>(INDEX(Models!$BJ204:$BT204,,T204)*(1-R204)+INDEX(Models!$BJ204:$BT204,,T204+1)*R204-ERP_i)*Q204*Ramure*Pc/MaxiM</f>
        <v>1.2526997122032266E-5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57.826939452620834</v>
      </c>
      <c r="W204" s="400">
        <f t="shared" si="59"/>
        <v>57.832002144482551</v>
      </c>
      <c r="X204" s="157">
        <f t="shared" si="60"/>
        <v>46212</v>
      </c>
      <c r="Y204" s="383">
        <f t="shared" si="61"/>
        <v>55.275069199036132</v>
      </c>
      <c r="Z204" s="383">
        <f t="shared" si="62"/>
        <v>58.245187566288756</v>
      </c>
      <c r="AA204" s="384">
        <f t="shared" si="63"/>
        <v>61.924893521949329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5.9422079657775968E-2</v>
      </c>
      <c r="AD204" s="230">
        <f>(INDEX(Models!$BJ204:$BT204,,AH204)*(1-AF204)+INDEX(Models!$BJ204:$BT204,,AH204+1)*AF204-ERP_i)*AE204*Ramure*Pc/MaxiM</f>
        <v>4.4114413022012226E-4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'2025'!Wh/'2025'!Env_an*'2026'!Env_an</f>
        <v>57.281815588820017</v>
      </c>
      <c r="C205" s="829"/>
      <c r="D205" s="391">
        <f t="shared" si="50"/>
        <v>60.360920100792704</v>
      </c>
      <c r="E205" s="383">
        <f t="shared" si="75"/>
        <v>61.368425666545505</v>
      </c>
      <c r="F205" s="383">
        <f t="shared" si="51"/>
        <v>61.369215318265475</v>
      </c>
      <c r="G205" s="110">
        <f t="shared" si="76"/>
        <v>0.99200148300925217</v>
      </c>
      <c r="H205" s="412" t="b">
        <f>Wh_hp&gt;='2025'!Maxi_hp</f>
        <v>1</v>
      </c>
      <c r="I205" s="388">
        <f>IF(H205,Wh_hp,'2025'!Maxi_hp)</f>
        <v>61.369215318265475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5.1011556928408197E-2</v>
      </c>
      <c r="M205" s="832"/>
      <c r="N205" s="832"/>
      <c r="O205" s="48">
        <f>IF(t&lt;Tnet,'2025'!Resal+('2025'!Salim-'2025'!Resal)*(1-EXP(('2025'!Tnet-t)/('2025'!Tau_j))),Resal+(Salim-Resal)*(1-EXP((Tnet-t)/(Tau_j))))*Salcycl</f>
        <v>1.6417327881722725E-2</v>
      </c>
      <c r="P205" s="169">
        <f>(INDEX(Models!$BJ205:$BT205,,T205)*(1-R205)+INDEX(Models!$BJ205:$BT205,,T205+1)*R205-ERP_i)*Q205*Ramure*Pc/MaxiM</f>
        <v>1.3015951976922112E-5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57.743670801577558</v>
      </c>
      <c r="W205" s="400">
        <f t="shared" si="59"/>
        <v>57.281815588820017</v>
      </c>
      <c r="X205" s="157">
        <f t="shared" si="60"/>
        <v>46213</v>
      </c>
      <c r="Y205" s="383">
        <f t="shared" si="61"/>
        <v>54.75079856477462</v>
      </c>
      <c r="Z205" s="383">
        <f t="shared" si="62"/>
        <v>57.693851768692419</v>
      </c>
      <c r="AA205" s="384">
        <f t="shared" si="63"/>
        <v>61.341949733094921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5.9471503274280496E-2</v>
      </c>
      <c r="AD205" s="230">
        <f>(INDEX(Models!$BJ205:$BT205,,AH205)*(1-AF205)+INDEX(Models!$BJ205:$BT205,,AH205+1)*AF205-ERP_i)*AE205*Ramure*Pc/MaxiM</f>
        <v>4.494228762213303E-4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'2025'!Wh/'2025'!Env_an*'2026'!Env_an</f>
        <v>55.776789641830192</v>
      </c>
      <c r="C206" s="829"/>
      <c r="D206" s="391">
        <f t="shared" si="50"/>
        <v>58.776120003347209</v>
      </c>
      <c r="E206" s="383">
        <f t="shared" si="75"/>
        <v>59.762202807425886</v>
      </c>
      <c r="F206" s="383">
        <f t="shared" si="51"/>
        <v>59.762974235261616</v>
      </c>
      <c r="G206" s="110">
        <f t="shared" si="76"/>
        <v>0.96734302244162673</v>
      </c>
      <c r="H206" s="412" t="b">
        <f>Wh_hp&gt;='2025'!Maxi_hp</f>
        <v>0</v>
      </c>
      <c r="I206" s="388">
        <f>IF(H206,Wh_hp,'2025'!Maxi_hp)</f>
        <v>60.983970970198122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5.1029744075420602E-2</v>
      </c>
      <c r="M206" s="832"/>
      <c r="N206" s="832"/>
      <c r="O206" s="48">
        <f>IF(t&lt;Tnet,'2025'!Resal+('2025'!Salim-'2025'!Resal)*(1-EXP(('2025'!Tnet-t)/('2025'!Tau_j))),Resal+(Salim-Resal)*(1-EXP((Tnet-t)/(Tau_j))))*Salcycl</f>
        <v>1.6500108057532104E-2</v>
      </c>
      <c r="P206" s="169">
        <f>(INDEX(Models!$BJ206:$BT206,,T206)*(1-R206)+INDEX(Models!$BJ206:$BT206,,T206+1)*R206-ERP_i)*Q206*Ramure*Pc/MaxiM</f>
        <v>1.3539780413476708E-5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57.659747489346344</v>
      </c>
      <c r="W206" s="400">
        <f t="shared" si="59"/>
        <v>55.776789641830192</v>
      </c>
      <c r="X206" s="157">
        <f t="shared" si="60"/>
        <v>46214</v>
      </c>
      <c r="Y206" s="383">
        <f t="shared" si="61"/>
        <v>53.314397701823538</v>
      </c>
      <c r="Z206" s="383">
        <f t="shared" si="62"/>
        <v>56.181315872623898</v>
      </c>
      <c r="AA206" s="384">
        <f t="shared" si="63"/>
        <v>59.736867711547461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5.9520225534628289E-2</v>
      </c>
      <c r="AD206" s="230">
        <f>(INDEX(Models!$BJ206:$BT206,,AH206)*(1-AF206)+INDEX(Models!$BJ206:$BT206,,AH206+1)*AF206-ERP_i)*AE206*Ramure*Pc/MaxiM</f>
        <v>4.5821084238282308E-4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'2025'!Wh/'2025'!Env_an*'2026'!Env_an</f>
        <v>55.534843072392732</v>
      </c>
      <c r="C207" s="829"/>
      <c r="D207" s="391">
        <f t="shared" ref="D207:D270" si="77">Wh/(1-Ppv)</f>
        <v>58.522284611839474</v>
      </c>
      <c r="E207" s="383">
        <f t="shared" si="75"/>
        <v>59.509103528228387</v>
      </c>
      <c r="F207" s="383">
        <f t="shared" ref="F207:F270" si="78">Wh_sa/(1-Pvg*MEDIAN((-Sdif+Wh/Env_an)/Csdif,0,1))</f>
        <v>59.509899456138221</v>
      </c>
      <c r="G207" s="110">
        <f t="shared" si="76"/>
        <v>0.96456512626245661</v>
      </c>
      <c r="H207" s="412" t="b">
        <f>Wh_hp&gt;='2025'!Maxi_hp</f>
        <v>0</v>
      </c>
      <c r="I207" s="388">
        <f>IF(H207,Wh_hp,'2025'!Maxi_hp)</f>
        <v>61.397076269848142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5.1047930873880487E-2</v>
      </c>
      <c r="M207" s="832"/>
      <c r="N207" s="832"/>
      <c r="O207" s="48">
        <f>IF(t&lt;Tnet,'2025'!Resal+('2025'!Salim-'2025'!Resal)*(1-EXP(('2025'!Tnet-t)/('2025'!Tau_j))),Resal+(Salim-Resal)*(1-EXP((Tnet-t)/(Tau_j))))*Salcycl</f>
        <v>1.6582654718043471E-2</v>
      </c>
      <c r="P207" s="169">
        <f>(INDEX(Models!$BJ207:$BT207,,T207)*(1-R207)+INDEX(Models!$BJ207:$BT207,,T207+1)*R207-ERP_i)*Q207*Ramure*Pc/MaxiM</f>
        <v>1.4087844857994756E-5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57.574965086561328</v>
      </c>
      <c r="W207" s="400">
        <f t="shared" ref="W207:W270" si="86">Wh*(A207&gt;Tmaj)</f>
        <v>55.534843072392732</v>
      </c>
      <c r="X207" s="157">
        <f t="shared" ref="X207:X270" si="87">t</f>
        <v>46215</v>
      </c>
      <c r="Y207" s="383">
        <f t="shared" ref="Y207:Y270" si="88">Wh_pvt_s*(1-Ppv)</f>
        <v>53.084539904079492</v>
      </c>
      <c r="Z207" s="383">
        <f t="shared" ref="Z207:Z270" si="89">Wh_sa_s*(1-Psa_s)</f>
        <v>55.94016982645342</v>
      </c>
      <c r="AA207" s="384">
        <f t="shared" ref="AA207:AA270" si="90">Wh_hp*(1-Pvg_s*MEDIAN((-Sdif+Wh/Env_an)/Csdif,0,1))</f>
        <v>59.483499293457747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5.9568275388836009E-2</v>
      </c>
      <c r="AD207" s="230">
        <f>(INDEX(Models!$BJ207:$BT207,,AH207)*(1-AF207)+INDEX(Models!$BJ207:$BT207,,AH207+1)*AF207-ERP_i)*AE207*Ramure*Pc/MaxiM</f>
        <v>4.6728025424765303E-4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'2025'!Wh/'2025'!Env_an*'2026'!Env_an</f>
        <v>55.252060874593944</v>
      </c>
      <c r="C208" s="829"/>
      <c r="D208" s="391">
        <f t="shared" si="77"/>
        <v>58.225406304147128</v>
      </c>
      <c r="E208" s="383">
        <f t="shared" si="75"/>
        <v>59.212175661794468</v>
      </c>
      <c r="F208" s="383">
        <f t="shared" si="78"/>
        <v>59.212995501688539</v>
      </c>
      <c r="G208" s="110">
        <f t="shared" si="76"/>
        <v>0.96108650114730398</v>
      </c>
      <c r="H208" s="412" t="b">
        <f>Wh_hp&gt;='2025'!Maxi_hp</f>
        <v>1</v>
      </c>
      <c r="I208" s="388">
        <f>IF(H208,Wh_hp,'2025'!Maxi_hp)</f>
        <v>59.212995501688539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5.1066117323794513E-2</v>
      </c>
      <c r="M208" s="832"/>
      <c r="N208" s="832"/>
      <c r="O208" s="48">
        <f>IF(t&lt;Tnet,'2025'!Resal+('2025'!Salim-'2025'!Resal)*(1-EXP(('2025'!Tnet-t)/('2025'!Tau_j))),Resal+(Salim-Resal)*(1-EXP((Tnet-t)/(Tau_j))))*Salcycl</f>
        <v>1.6664973827064299E-2</v>
      </c>
      <c r="P208" s="169">
        <f>(INDEX(Models!$BJ208:$BT208,,T208)*(1-R208)+INDEX(Models!$BJ208:$BT208,,T208+1)*R208-ERP_i)*Q208*Ramure*Pc/MaxiM</f>
        <v>1.466058336319704E-5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57.489118595377704</v>
      </c>
      <c r="W208" s="400">
        <f t="shared" si="86"/>
        <v>55.252060874593944</v>
      </c>
      <c r="X208" s="157">
        <f t="shared" si="87"/>
        <v>46216</v>
      </c>
      <c r="Y208" s="383">
        <f t="shared" si="88"/>
        <v>52.815674028578641</v>
      </c>
      <c r="Z208" s="383">
        <f t="shared" si="89"/>
        <v>55.65790725021499</v>
      </c>
      <c r="AA208" s="384">
        <f t="shared" si="90"/>
        <v>59.186341359540933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5.9615682069139239E-2</v>
      </c>
      <c r="AD208" s="230">
        <f>(INDEX(Models!$BJ208:$BT208,,AH208)*(1-AF208)+INDEX(Models!$BJ208:$BT208,,AH208+1)*AF208-ERP_i)*AE208*Ramure*Pc/MaxiM</f>
        <v>4.76636079500052E-4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'2025'!Wh/'2025'!Env_an*'2026'!Env_an</f>
        <v>54.673685139660527</v>
      </c>
      <c r="C209" s="829"/>
      <c r="D209" s="391">
        <f t="shared" si="77"/>
        <v>57.617009958849401</v>
      </c>
      <c r="E209" s="383">
        <f t="shared" si="75"/>
        <v>58.598360900060278</v>
      </c>
      <c r="F209" s="383">
        <f t="shared" si="78"/>
        <v>58.599194320034371</v>
      </c>
      <c r="G209" s="110">
        <f t="shared" si="76"/>
        <v>0.9524690001641537</v>
      </c>
      <c r="H209" s="412" t="b">
        <f>Wh_hp&gt;='2025'!Maxi_hp</f>
        <v>0</v>
      </c>
      <c r="I209" s="388">
        <f>IF(H209,Wh_hp,'2025'!Maxi_hp)</f>
        <v>61.162094530225126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5.1084303425169453E-2</v>
      </c>
      <c r="M209" s="832"/>
      <c r="N209" s="832"/>
      <c r="O209" s="48">
        <f>IF(t&lt;Tnet,'2025'!Resal+('2025'!Salim-'2025'!Resal)*(1-EXP(('2025'!Tnet-t)/('2025'!Tau_j))),Resal+(Salim-Resal)*(1-EXP((Tnet-t)/(Tau_j))))*Salcycl</f>
        <v>1.6747071524484729E-2</v>
      </c>
      <c r="P209" s="169">
        <f>(INDEX(Models!$BJ209:$BT209,,T209)*(1-R209)+INDEX(Models!$BJ209:$BT209,,T209+1)*R209-ERP_i)*Q209*Ramure*Pc/MaxiM</f>
        <v>1.5258426866959005E-5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57.402003093958008</v>
      </c>
      <c r="W209" s="400">
        <f t="shared" si="86"/>
        <v>54.673685139660527</v>
      </c>
      <c r="X209" s="157">
        <f t="shared" si="87"/>
        <v>46217</v>
      </c>
      <c r="Y209" s="383">
        <f t="shared" si="88"/>
        <v>52.264421529947526</v>
      </c>
      <c r="Z209" s="383">
        <f t="shared" si="89"/>
        <v>55.078045097788099</v>
      </c>
      <c r="AA209" s="384">
        <f t="shared" si="90"/>
        <v>58.572633366854461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5.9662474916893679E-2</v>
      </c>
      <c r="AD209" s="230">
        <f>(INDEX(Models!$BJ209:$BT209,,AH209)*(1-AF209)+INDEX(Models!$BJ209:$BT209,,AH209+1)*AF209-ERP_i)*AE209*Ramure*Pc/MaxiM</f>
        <v>4.8628347557205467E-4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'2025'!Wh/'2025'!Env_an*'2026'!Env_an</f>
        <v>52.869164312676219</v>
      </c>
      <c r="C210" s="829"/>
      <c r="D210" s="391">
        <f t="shared" si="77"/>
        <v>55.716411635307153</v>
      </c>
      <c r="E210" s="383">
        <f t="shared" si="75"/>
        <v>56.670110319504104</v>
      </c>
      <c r="F210" s="383">
        <f t="shared" si="78"/>
        <v>56.670910653603336</v>
      </c>
      <c r="G210" s="110">
        <f t="shared" si="76"/>
        <v>0.92245545761859438</v>
      </c>
      <c r="H210" s="412" t="b">
        <f>Wh_hp&gt;='2025'!Maxi_hp</f>
        <v>0</v>
      </c>
      <c r="I210" s="388">
        <f>IF(H210,Wh_hp,'2025'!Maxi_hp)</f>
        <v>62.506291921724774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5.1102489178011856E-2</v>
      </c>
      <c r="M210" s="832"/>
      <c r="N210" s="832"/>
      <c r="O210" s="48">
        <f>IF(t&lt;Tnet,'2025'!Resal+('2025'!Salim-'2025'!Resal)*(1-EXP(('2025'!Tnet-t)/('2025'!Tau_j))),Resal+(Salim-Resal)*(1-EXP((Tnet-t)/(Tau_j))))*Salcycl</f>
        <v>1.6828954078614497E-2</v>
      </c>
      <c r="P210" s="169">
        <f>(INDEX(Models!$BJ210:$BT210,,T210)*(1-R210)+INDEX(Models!$BJ210:$BT210,,T210+1)*R210-ERP_i)*Q210*Ramure*Pc/MaxiM</f>
        <v>1.5881801295193388E-5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57.313413738457889</v>
      </c>
      <c r="W210" s="400">
        <f t="shared" si="86"/>
        <v>52.869164312676219</v>
      </c>
      <c r="X210" s="157">
        <f t="shared" si="87"/>
        <v>46218</v>
      </c>
      <c r="Y210" s="383">
        <f t="shared" si="88"/>
        <v>50.541746630027795</v>
      </c>
      <c r="Z210" s="383">
        <f t="shared" si="89"/>
        <v>53.26365182078063</v>
      </c>
      <c r="AA210" s="384">
        <f t="shared" si="90"/>
        <v>56.645904168137079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5.9708683214186167E-2</v>
      </c>
      <c r="AD210" s="230">
        <f>(INDEX(Models!$BJ210:$BT210,,AH210)*(1-AF210)+INDEX(Models!$BJ210:$BT210,,AH210+1)*AF210-ERP_i)*AE210*Ramure*Pc/MaxiM</f>
        <v>4.9622780492328267E-4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'2025'!Wh/'2025'!Env_an*'2026'!Env_an</f>
        <v>54.406649141405595</v>
      </c>
      <c r="C211" s="829"/>
      <c r="D211" s="391">
        <f t="shared" si="77"/>
        <v>57.337795949402974</v>
      </c>
      <c r="E211" s="383">
        <f t="shared" si="75"/>
        <v>58.324092979832919</v>
      </c>
      <c r="F211" s="383">
        <f t="shared" si="78"/>
        <v>58.324989362954071</v>
      </c>
      <c r="G211" s="110">
        <f t="shared" si="76"/>
        <v>0.95077935986199913</v>
      </c>
      <c r="H211" s="412" t="b">
        <f>Wh_hp&gt;='2025'!Maxi_hp</f>
        <v>0</v>
      </c>
      <c r="I211" s="388">
        <f>IF(H211,Wh_hp,'2025'!Maxi_hp)</f>
        <v>60.8270261955942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5.1120674582328385E-2</v>
      </c>
      <c r="M211" s="832"/>
      <c r="N211" s="832"/>
      <c r="O211" s="48">
        <f>IF(t&lt;Tnet,'2025'!Resal+('2025'!Salim-'2025'!Resal)*(1-EXP(('2025'!Tnet-t)/('2025'!Tau_j))),Resal+(Salim-Resal)*(1-EXP((Tnet-t)/(Tau_j))))*Salcycl</f>
        <v>1.6910627839012992E-2</v>
      </c>
      <c r="P211" s="169">
        <f>(INDEX(Models!$BJ211:$BT211,,T211)*(1-R211)+INDEX(Models!$BJ211:$BT211,,T211+1)*R211-ERP_i)*Q211*Ramure*Pc/MaxiM</f>
        <v>1.6531129728379401E-5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57.223145765408844</v>
      </c>
      <c r="W211" s="400">
        <f t="shared" si="86"/>
        <v>54.406649141405595</v>
      </c>
      <c r="X211" s="157">
        <f t="shared" si="87"/>
        <v>46219</v>
      </c>
      <c r="Y211" s="383">
        <f t="shared" si="88"/>
        <v>52.011867862564074</v>
      </c>
      <c r="Z211" s="383">
        <f t="shared" si="89"/>
        <v>54.813996331588136</v>
      </c>
      <c r="AA211" s="384">
        <f t="shared" si="90"/>
        <v>58.297526307794364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5.9754336021295006E-2</v>
      </c>
      <c r="AD211" s="230">
        <f>(INDEX(Models!$BJ211:$BT211,,AH211)*(1-AF211)+INDEX(Models!$BJ211:$BT211,,AH211+1)*AF211-ERP_i)*AE211*Ramure*Pc/MaxiM</f>
        <v>5.064746500369838E-4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'2025'!Wh/'2025'!Env_an*'2026'!Env_an</f>
        <v>53.927459605910293</v>
      </c>
      <c r="C212" s="829"/>
      <c r="D212" s="391">
        <f t="shared" si="77"/>
        <v>56.833879386549214</v>
      </c>
      <c r="E212" s="383">
        <f t="shared" si="75"/>
        <v>57.816299685615931</v>
      </c>
      <c r="F212" s="383">
        <f t="shared" si="78"/>
        <v>57.817214316949055</v>
      </c>
      <c r="G212" s="110">
        <f t="shared" si="76"/>
        <v>0.94392518908827183</v>
      </c>
      <c r="H212" s="412" t="b">
        <f>Wh_hp&gt;='2025'!Maxi_hp</f>
        <v>0</v>
      </c>
      <c r="I212" s="388">
        <f>IF(H212,Wh_hp,'2025'!Maxi_hp)</f>
        <v>61.26677577265081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5.1138859638125922E-2</v>
      </c>
      <c r="M212" s="832"/>
      <c r="N212" s="832"/>
      <c r="O212" s="48">
        <f>IF(t&lt;Tnet,'2025'!Resal+('2025'!Salim-'2025'!Resal)*(1-EXP(('2025'!Tnet-t)/('2025'!Tau_j))),Resal+(Salim-Resal)*(1-EXP((Tnet-t)/(Tau_j))))*Salcycl</f>
        <v>1.6992099190172399E-2</v>
      </c>
      <c r="P212" s="169">
        <f>(INDEX(Models!$BJ212:$BT212,,T212)*(1-R212)+INDEX(Models!$BJ212:$BT212,,T212+1)*R212-ERP_i)*Q212*Ramure*Pc/MaxiM</f>
        <v>1.7196919602174116E-5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57.130995061736286</v>
      </c>
      <c r="W212" s="400">
        <f t="shared" si="86"/>
        <v>53.927459605910293</v>
      </c>
      <c r="X212" s="157">
        <f t="shared" si="87"/>
        <v>46220</v>
      </c>
      <c r="Y212" s="383">
        <f t="shared" si="88"/>
        <v>51.555346140727053</v>
      </c>
      <c r="Z212" s="383">
        <f t="shared" si="89"/>
        <v>54.333920894963633</v>
      </c>
      <c r="AA212" s="384">
        <f t="shared" si="90"/>
        <v>57.789714747197017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5.9799462021068443E-2</v>
      </c>
      <c r="AD212" s="230">
        <f>(INDEX(Models!$BJ212:$BT212,,AH212)*(1-AF212)+INDEX(Models!$BJ212:$BT212,,AH212+1)*AF212-ERP_i)*AE212*Ramure*Pc/MaxiM</f>
        <v>5.1704755019332685E-4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'2025'!Wh/'2025'!Env_an*'2026'!Env_an</f>
        <v>54.899046063329855</v>
      </c>
      <c r="C213" s="829"/>
      <c r="D213" s="391">
        <f t="shared" si="77"/>
        <v>57.858938337647274</v>
      </c>
      <c r="E213" s="383">
        <f t="shared" si="75"/>
        <v>58.863944507141696</v>
      </c>
      <c r="F213" s="383">
        <f t="shared" si="78"/>
        <v>58.864940440827439</v>
      </c>
      <c r="G213" s="110">
        <f t="shared" si="76"/>
        <v>0.96251954328361378</v>
      </c>
      <c r="H213" s="412" t="b">
        <f>Wh_hp&gt;='2025'!Maxi_hp</f>
        <v>1</v>
      </c>
      <c r="I213" s="388">
        <f>IF(H213,Wh_hp,'2025'!Maxi_hp)</f>
        <v>58.864940440827439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5.1157044345410907E-2</v>
      </c>
      <c r="M213" s="832"/>
      <c r="N213" s="832"/>
      <c r="O213" s="48">
        <f>IF(t&lt;Tnet,'2025'!Resal+('2025'!Salim-'2025'!Resal)*(1-EXP(('2025'!Tnet-t)/('2025'!Tau_j))),Resal+(Salim-Resal)*(1-EXP((Tnet-t)/(Tau_j))))*Salcycl</f>
        <v>1.7073374506400778E-2</v>
      </c>
      <c r="P213" s="169">
        <f>(INDEX(Models!$BJ213:$BT213,,T213)*(1-R213)+INDEX(Models!$BJ213:$BT213,,T213+1)*R213-ERP_i)*Q213*Ramure*Pc/MaxiM</f>
        <v>1.7876086819537199E-5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57.036757227713217</v>
      </c>
      <c r="W213" s="400">
        <f t="shared" si="86"/>
        <v>54.899046063329855</v>
      </c>
      <c r="X213" s="157">
        <f t="shared" si="87"/>
        <v>46221</v>
      </c>
      <c r="Y213" s="383">
        <f t="shared" si="88"/>
        <v>52.484841737341114</v>
      </c>
      <c r="Z213" s="383">
        <f t="shared" si="89"/>
        <v>55.314571736618731</v>
      </c>
      <c r="AA213" s="384">
        <f t="shared" si="90"/>
        <v>58.835530480921605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5.9844089371210898E-2</v>
      </c>
      <c r="AD213" s="230">
        <f>(INDEX(Models!$BJ213:$BT213,,AH213)*(1-AF213)+INDEX(Models!$BJ213:$BT213,,AH213+1)*AF213-ERP_i)*AE213*Ramure*Pc/MaxiM</f>
        <v>5.278815288213487E-4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'2025'!Wh/'2025'!Env_an*'2026'!Env_an</f>
        <v>45.366090529473915</v>
      </c>
      <c r="C214" s="829"/>
      <c r="D214" s="391">
        <f t="shared" si="77"/>
        <v>47.812928057851458</v>
      </c>
      <c r="E214" s="383">
        <f t="shared" si="75"/>
        <v>48.647448777268515</v>
      </c>
      <c r="F214" s="383">
        <f t="shared" si="78"/>
        <v>48.648089796600829</v>
      </c>
      <c r="G214" s="110">
        <f t="shared" si="76"/>
        <v>0.79672751032506006</v>
      </c>
      <c r="H214" s="412" t="b">
        <f>Wh_hp&gt;='2025'!Maxi_hp</f>
        <v>0</v>
      </c>
      <c r="I214" s="388">
        <f>IF(H214,Wh_hp,'2025'!Maxi_hp)</f>
        <v>60.996282625351171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5.1175228704190223E-2</v>
      </c>
      <c r="M214" s="832"/>
      <c r="N214" s="832"/>
      <c r="O214" s="48">
        <f>IF(t&lt;Tnet,'2025'!Resal+('2025'!Salim-'2025'!Resal)*(1-EXP(('2025'!Tnet-t)/('2025'!Tau_j))),Resal+(Salim-Resal)*(1-EXP((Tnet-t)/(Tau_j))))*Salcycl</f>
        <v>1.7154460108234994E-2</v>
      </c>
      <c r="P214" s="169">
        <f>(INDEX(Models!$BJ214:$BT214,,T214)*(1-R214)+INDEX(Models!$BJ214:$BT214,,T214+1)*R214-ERP_i)*Q214*Ramure*Pc/MaxiM</f>
        <v>1.8568695997580189E-5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56.940227772657572</v>
      </c>
      <c r="W214" s="400">
        <f t="shared" si="86"/>
        <v>45.366090529473915</v>
      </c>
      <c r="X214" s="157">
        <f t="shared" si="87"/>
        <v>46222</v>
      </c>
      <c r="Y214" s="383">
        <f t="shared" si="88"/>
        <v>43.377563313426066</v>
      </c>
      <c r="Z214" s="383">
        <f t="shared" si="89"/>
        <v>45.717148862150104</v>
      </c>
      <c r="AA214" s="384">
        <f t="shared" si="90"/>
        <v>48.629483299721272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5.9888245565378175E-2</v>
      </c>
      <c r="AD214" s="230">
        <f>(INDEX(Models!$BJ214:$BT214,,AH214)*(1-AF214)+INDEX(Models!$BJ214:$BT214,,AH214+1)*AF214-ERP_i)*AE214*Ramure*Pc/MaxiM</f>
        <v>5.3898278370561931E-4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'2025'!Wh/'2025'!Env_an*'2026'!Env_an</f>
        <v>44.922850665027333</v>
      </c>
      <c r="C215" s="829"/>
      <c r="D215" s="391">
        <f t="shared" si="77"/>
        <v>47.346689269462722</v>
      </c>
      <c r="E215" s="383">
        <f t="shared" si="75"/>
        <v>48.177037969588682</v>
      </c>
      <c r="F215" s="383">
        <f t="shared" si="78"/>
        <v>48.177688428502719</v>
      </c>
      <c r="G215" s="110">
        <f t="shared" si="76"/>
        <v>0.79031740151717311</v>
      </c>
      <c r="H215" s="412" t="b">
        <f>Wh_hp&gt;='2025'!Maxi_hp</f>
        <v>0</v>
      </c>
      <c r="I215" s="388">
        <f>IF(H215,Wh_hp,'2025'!Maxi_hp)</f>
        <v>59.776097909915435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5.119341271447031E-2</v>
      </c>
      <c r="M215" s="832"/>
      <c r="N215" s="832"/>
      <c r="O215" s="48">
        <f>IF(t&lt;Tnet,'2025'!Resal+('2025'!Salim-'2025'!Resal)*(1-EXP(('2025'!Tnet-t)/('2025'!Tau_j))),Resal+(Salim-Resal)*(1-EXP((Tnet-t)/(Tau_j))))*Salcycl</f>
        <v>1.7235362220693363E-2</v>
      </c>
      <c r="P215" s="169">
        <f>(INDEX(Models!$BJ215:$BT215,,T215)*(1-R215)+INDEX(Models!$BJ215:$BT215,,T215+1)*R215-ERP_i)*Q215*Ramure*Pc/MaxiM</f>
        <v>1.9274832055193078E-5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56.841202293443281</v>
      </c>
      <c r="W215" s="400">
        <f t="shared" si="86"/>
        <v>44.922850665027333</v>
      </c>
      <c r="X215" s="157">
        <f t="shared" si="87"/>
        <v>46223</v>
      </c>
      <c r="Y215" s="383">
        <f t="shared" si="88"/>
        <v>42.955174213450533</v>
      </c>
      <c r="Z215" s="383">
        <f t="shared" si="89"/>
        <v>45.272845687488669</v>
      </c>
      <c r="AA215" s="384">
        <f t="shared" si="90"/>
        <v>48.159115756819311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5.9931957303886944E-2</v>
      </c>
      <c r="AD215" s="230">
        <f>(INDEX(Models!$BJ215:$BT215,,AH215)*(1-AF215)+INDEX(Models!$BJ215:$BT215,,AH215+1)*AF215-ERP_i)*AE215*Ramure*Pc/MaxiM</f>
        <v>5.5035778553966339E-4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'2025'!Wh/'2025'!Env_an*'2026'!Env_an</f>
        <v>53.124074767479954</v>
      </c>
      <c r="C216" s="829"/>
      <c r="D216" s="391">
        <f t="shared" si="77"/>
        <v>55.991488265013828</v>
      </c>
      <c r="E216" s="383">
        <f t="shared" si="75"/>
        <v>56.978126456043448</v>
      </c>
      <c r="F216" s="383">
        <f t="shared" si="78"/>
        <v>56.979162026109471</v>
      </c>
      <c r="G216" s="110">
        <f t="shared" si="76"/>
        <v>0.93627896090928098</v>
      </c>
      <c r="H216" s="412" t="b">
        <f>Wh_hp&gt;='2025'!Maxi_hp</f>
        <v>1</v>
      </c>
      <c r="I216" s="388">
        <f>IF(H216,Wh_hp,'2025'!Maxi_hp)</f>
        <v>56.979162026109471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5.1211596376258051E-2</v>
      </c>
      <c r="M216" s="832"/>
      <c r="N216" s="832"/>
      <c r="O216" s="48">
        <f>IF(t&lt;Tnet,'2025'!Resal+('2025'!Salim-'2025'!Resal)*(1-EXP(('2025'!Tnet-t)/('2025'!Tau_j))),Resal+(Salim-Resal)*(1-EXP((Tnet-t)/(Tau_j))))*Salcycl</f>
        <v>1.7316086933654766E-2</v>
      </c>
      <c r="P216" s="169">
        <f>(INDEX(Models!$BJ216:$BT216,,T216)*(1-R216)+INDEX(Models!$BJ216:$BT216,,T216+1)*R216-ERP_i)*Q216*Ramure*Pc/MaxiM</f>
        <v>1.9994601094285239E-5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56.739476475125556</v>
      </c>
      <c r="W216" s="400">
        <f t="shared" si="86"/>
        <v>53.124074767479954</v>
      </c>
      <c r="X216" s="157">
        <f t="shared" si="87"/>
        <v>46224</v>
      </c>
      <c r="Y216" s="383">
        <f t="shared" si="88"/>
        <v>50.792875047641175</v>
      </c>
      <c r="Z216" s="383">
        <f t="shared" si="89"/>
        <v>53.534460216467764</v>
      </c>
      <c r="AA216" s="384">
        <f t="shared" si="90"/>
        <v>56.950053961674172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5.9975250374740822E-2</v>
      </c>
      <c r="AD216" s="230">
        <f>(INDEX(Models!$BJ216:$BT216,,AH216)*(1-AF216)+INDEX(Models!$BJ216:$BT216,,AH216+1)*AF216-ERP_i)*AE216*Ramure*Pc/MaxiM</f>
        <v>5.6201328727620271E-4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'2025'!Wh/'2025'!Env_an*'2026'!Env_an</f>
        <v>42.893817977878001</v>
      </c>
      <c r="C217" s="829"/>
      <c r="D217" s="391">
        <f t="shared" si="77"/>
        <v>45.209911799131973</v>
      </c>
      <c r="E217" s="383">
        <f t="shared" si="75"/>
        <v>46.010337077115679</v>
      </c>
      <c r="F217" s="383">
        <f t="shared" si="78"/>
        <v>46.010960231782775</v>
      </c>
      <c r="G217" s="110">
        <f t="shared" si="76"/>
        <v>0.75736958353840311</v>
      </c>
      <c r="H217" s="412" t="b">
        <f>Wh_hp&gt;='2025'!Maxi_hp</f>
        <v>0</v>
      </c>
      <c r="I217" s="388">
        <f>IF(H217,Wh_hp,'2025'!Maxi_hp)</f>
        <v>55.348148280408218</v>
      </c>
      <c r="J217" s="85">
        <f>IF(H217,An,'2025'!An_max)</f>
        <v>2020</v>
      </c>
      <c r="K217" s="197">
        <f t="shared" si="79"/>
        <v>46225</v>
      </c>
      <c r="L217" s="147">
        <f>IF(t&lt;Tvie,1-EXP((T0-t)*PertePVj)+'2025'!Pspv,1-EXP((T0-t)*PertePVj)+Pspv)</f>
        <v>5.1229779689560107E-2</v>
      </c>
      <c r="M217" s="832"/>
      <c r="N217" s="832"/>
      <c r="O217" s="48">
        <f>IF(t&lt;Tnet,'2025'!Resal+('2025'!Salim-'2025'!Resal)*(1-EXP(('2025'!Tnet-t)/('2025'!Tau_j))),Resal+(Salim-Resal)*(1-EXP((Tnet-t)/(Tau_j))))*Salcycl</f>
        <v>1.7396640164625519E-2</v>
      </c>
      <c r="P217" s="169">
        <f>(INDEX(Models!$BJ217:$BT217,,T217)*(1-R217)+INDEX(Models!$BJ217:$BT217,,T217+1)*R217-ERP_i)*Q217*Ramure*Pc/MaxiM</f>
        <v>2.072813119957501E-5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56.634846097089635</v>
      </c>
      <c r="W217" s="400">
        <f t="shared" si="86"/>
        <v>42.893817977878001</v>
      </c>
      <c r="X217" s="157">
        <f t="shared" si="87"/>
        <v>46225</v>
      </c>
      <c r="Y217" s="383">
        <f t="shared" si="88"/>
        <v>41.018418389333192</v>
      </c>
      <c r="Z217" s="383">
        <f t="shared" si="89"/>
        <v>43.233248168257077</v>
      </c>
      <c r="AA217" s="384">
        <f t="shared" si="90"/>
        <v>45.993705247985417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6.0018149545567459E-2</v>
      </c>
      <c r="AD217" s="230">
        <f>(INDEX(Models!$BJ217:$BT217,,AH217)*(1-AF217)+INDEX(Models!$BJ217:$BT217,,AH217+1)*AF217-ERP_i)*AE217*Ramure*Pc/MaxiM</f>
        <v>5.7395633361125389E-4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'2025'!Wh/'2025'!Env_an*'2026'!Env_an</f>
        <v>49.289377511686354</v>
      </c>
      <c r="C218" s="829"/>
      <c r="D218" s="391">
        <f t="shared" si="77"/>
        <v>51.951801494504657</v>
      </c>
      <c r="E218" s="383">
        <f t="shared" si="75"/>
        <v>52.875915327331406</v>
      </c>
      <c r="F218" s="383">
        <f t="shared" si="78"/>
        <v>52.87684317764198</v>
      </c>
      <c r="G218" s="110">
        <f t="shared" si="76"/>
        <v>0.87195659708629158</v>
      </c>
      <c r="H218" s="412" t="b">
        <f>Wh_hp&gt;='2025'!Maxi_hp</f>
        <v>0</v>
      </c>
      <c r="I218" s="388">
        <f>IF(H218,Wh_hp,'2025'!Maxi_hp)</f>
        <v>56.109961045476417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5.1247962654383139E-2</v>
      </c>
      <c r="M218" s="832"/>
      <c r="N218" s="832"/>
      <c r="O218" s="48">
        <f>IF(t&lt;Tnet,'2025'!Resal+('2025'!Salim-'2025'!Resal)*(1-EXP(('2025'!Tnet-t)/('2025'!Tau_j))),Resal+(Salim-Resal)*(1-EXP((Tnet-t)/(Tau_j))))*Salcycl</f>
        <v>1.747702762412651E-2</v>
      </c>
      <c r="P218" s="169">
        <f>(INDEX(Models!$BJ218:$BT218,,T218)*(1-R218)+INDEX(Models!$BJ218:$BT218,,T218+1)*R218-ERP_i)*Q218*Ramure*Pc/MaxiM</f>
        <v>2.1475573171280651E-5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56.527107031507448</v>
      </c>
      <c r="W218" s="400">
        <f t="shared" si="86"/>
        <v>49.289377511686354</v>
      </c>
      <c r="X218" s="157">
        <f t="shared" si="87"/>
        <v>46226</v>
      </c>
      <c r="Y218" s="383">
        <f t="shared" si="88"/>
        <v>47.131362501402059</v>
      </c>
      <c r="Z218" s="383">
        <f t="shared" si="89"/>
        <v>49.67721875282021</v>
      </c>
      <c r="AA218" s="384">
        <f t="shared" si="90"/>
        <v>52.851516704074108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6.006067846694757E-2</v>
      </c>
      <c r="AD218" s="230">
        <f>(INDEX(Models!$BJ218:$BT218,,AH218)*(1-AF218)+INDEX(Models!$BJ218:$BT218,,AH218+1)*AF218-ERP_i)*AE218*Ramure*Pc/MaxiM</f>
        <v>5.8619427085982963E-4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'2025'!Wh/'2025'!Env_an*'2026'!Env_an</f>
        <v>53.358055841662171</v>
      </c>
      <c r="C219" s="829"/>
      <c r="D219" s="391">
        <f t="shared" si="77"/>
        <v>56.241332145661225</v>
      </c>
      <c r="E219" s="383">
        <f t="shared" si="75"/>
        <v>57.246422165080411</v>
      </c>
      <c r="F219" s="383">
        <f t="shared" si="78"/>
        <v>57.247596581337419</v>
      </c>
      <c r="G219" s="110">
        <f t="shared" si="76"/>
        <v>0.94578537778971616</v>
      </c>
      <c r="H219" s="412" t="b">
        <f>Wh_hp&gt;='2025'!Maxi_hp</f>
        <v>1</v>
      </c>
      <c r="I219" s="388">
        <f>IF(H219,Wh_hp,'2025'!Maxi_hp)</f>
        <v>57.247596581337419</v>
      </c>
      <c r="J219" s="85">
        <f>IF(H219,An,'2025'!An_max)</f>
        <v>2026</v>
      </c>
      <c r="K219" s="197">
        <f t="shared" si="79"/>
        <v>46227</v>
      </c>
      <c r="L219" s="147">
        <f>IF(t&lt;Tvie,1-EXP((T0-t)*PertePVj)+'2025'!Pspv,1-EXP((T0-t)*PertePVj)+Pspv)</f>
        <v>5.1266145270733698E-2</v>
      </c>
      <c r="M219" s="832"/>
      <c r="N219" s="832"/>
      <c r="O219" s="48">
        <f>IF(t&lt;Tnet,'2025'!Resal+('2025'!Salim-'2025'!Resal)*(1-EXP(('2025'!Tnet-t)/('2025'!Tau_j))),Resal+(Salim-Resal)*(1-EXP((Tnet-t)/(Tau_j))))*Salcycl</f>
        <v>1.7557254783902944E-2</v>
      </c>
      <c r="P219" s="169">
        <f>(INDEX(Models!$BJ219:$BT219,,T219)*(1-R219)+INDEX(Models!$BJ219:$BT219,,T219+1)*R219-ERP_i)*Q219*Ramure*Pc/MaxiM</f>
        <v>2.2236863657867799E-5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56.416566803163327</v>
      </c>
      <c r="W219" s="400">
        <f t="shared" si="86"/>
        <v>53.358055841662171</v>
      </c>
      <c r="X219" s="157">
        <f t="shared" si="87"/>
        <v>46227</v>
      </c>
      <c r="Y219" s="383">
        <f t="shared" si="88"/>
        <v>51.020185403254104</v>
      </c>
      <c r="Z219" s="383">
        <f t="shared" si="89"/>
        <v>53.777131646486239</v>
      </c>
      <c r="AA219" s="384">
        <f t="shared" si="90"/>
        <v>57.215975380970612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6.0102859587500675E-2</v>
      </c>
      <c r="AD219" s="230">
        <f>(INDEX(Models!$BJ219:$BT219,,AH219)*(1-AF219)+INDEX(Models!$BJ219:$BT219,,AH219+1)*AF219-ERP_i)*AE219*Ramure*Pc/MaxiM</f>
        <v>5.9872836147767676E-4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'2025'!Wh/'2025'!Env_an*'2026'!Env_an</f>
        <v>27.191098861059107</v>
      </c>
      <c r="C220" s="829"/>
      <c r="D220" s="391">
        <f t="shared" si="77"/>
        <v>28.660956754844751</v>
      </c>
      <c r="E220" s="383">
        <f t="shared" si="75"/>
        <v>29.175535205228396</v>
      </c>
      <c r="F220" s="383">
        <f t="shared" si="78"/>
        <v>29.175710603938139</v>
      </c>
      <c r="G220" s="110">
        <f t="shared" si="76"/>
        <v>0.48292832387342077</v>
      </c>
      <c r="H220" s="412" t="b">
        <f>Wh_hp&gt;='2025'!Maxi_hp</f>
        <v>0</v>
      </c>
      <c r="I220" s="388">
        <f>IF(H220,Wh_hp,'2025'!Maxi_hp)</f>
        <v>59.315557328001788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5.1284327538618668E-2</v>
      </c>
      <c r="M220" s="832"/>
      <c r="N220" s="832"/>
      <c r="O220" s="48">
        <f>IF(t&lt;Tnet,'2025'!Resal+('2025'!Salim-'2025'!Resal)*(1-EXP(('2025'!Tnet-t)/('2025'!Tau_j))),Resal+(Salim-Resal)*(1-EXP((Tnet-t)/(Tau_j))))*Salcycl</f>
        <v>1.7637326848126862E-2</v>
      </c>
      <c r="P220" s="169">
        <f>(INDEX(Models!$BJ220:$BT220,,T220)*(1-R220)+INDEX(Models!$BJ220:$BT220,,T220+1)*R220-ERP_i)*Q220*Ramure*Pc/MaxiM</f>
        <v>2.3003957400753901E-5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56.303669672805391</v>
      </c>
      <c r="W220" s="400">
        <f t="shared" si="86"/>
        <v>27.191098861059107</v>
      </c>
      <c r="X220" s="157">
        <f t="shared" si="87"/>
        <v>46228</v>
      </c>
      <c r="Y220" s="383">
        <f t="shared" si="88"/>
        <v>26.010523292859311</v>
      </c>
      <c r="Z220" s="383">
        <f t="shared" si="89"/>
        <v>27.41656330539654</v>
      </c>
      <c r="AA220" s="384">
        <f t="shared" si="90"/>
        <v>29.171047624196309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6.0144714080974215E-2</v>
      </c>
      <c r="AD220" s="230">
        <f>(INDEX(Models!$BJ220:$BT220,,AH220)*(1-AF220)+INDEX(Models!$BJ220:$BT220,,AH220+1)*AF220-ERP_i)*AE220*Ramure*Pc/MaxiM</f>
        <v>6.1156086893385806E-4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'2025'!Wh/'2025'!Env_an*'2026'!Env_an</f>
        <v>57.661340640968142</v>
      </c>
      <c r="C221" s="829"/>
      <c r="D221" s="391">
        <f t="shared" si="77"/>
        <v>60.779480514940929</v>
      </c>
      <c r="E221" s="383">
        <f t="shared" si="75"/>
        <v>61.875748542075243</v>
      </c>
      <c r="F221" s="383">
        <f t="shared" si="78"/>
        <v>61.877218642952457</v>
      </c>
      <c r="G221" s="110">
        <f t="shared" si="76"/>
        <v>1.026214007121929</v>
      </c>
      <c r="H221" s="412" t="b">
        <f>Wh_hp&gt;='2025'!Maxi_hp</f>
        <v>1</v>
      </c>
      <c r="I221" s="388">
        <f>IF(H221,Wh_hp,'2025'!Maxi_hp)</f>
        <v>61.877218642952457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5.1302509458044487E-2</v>
      </c>
      <c r="M221" s="832"/>
      <c r="N221" s="832"/>
      <c r="O221" s="48">
        <f>IF(t&lt;Tnet,'2025'!Resal+('2025'!Salim-'2025'!Resal)*(1-EXP(('2025'!Tnet-t)/('2025'!Tau_j))),Resal+(Salim-Resal)*(1-EXP((Tnet-t)/(Tau_j))))*Salcycl</f>
        <v>1.7717248727728251E-2</v>
      </c>
      <c r="P221" s="169">
        <f>(INDEX(Models!$BJ221:$BT221,,T221)*(1-R221)+INDEX(Models!$BJ221:$BT221,,T221+1)*R221-ERP_i)*Q221*Ramure*Pc/MaxiM</f>
        <v>2.3758354196544987E-5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56.188417075578997</v>
      </c>
      <c r="W221" s="400">
        <f t="shared" si="86"/>
        <v>57.661340640968142</v>
      </c>
      <c r="X221" s="157">
        <f t="shared" si="87"/>
        <v>46229</v>
      </c>
      <c r="Y221" s="383">
        <f t="shared" si="88"/>
        <v>55.135210313880485</v>
      </c>
      <c r="Z221" s="383">
        <f t="shared" si="89"/>
        <v>58.116745183318443</v>
      </c>
      <c r="AA221" s="384">
        <f t="shared" si="90"/>
        <v>61.838578029013398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6.0186261785462623E-2</v>
      </c>
      <c r="AD221" s="230">
        <f>(INDEX(Models!$BJ221:$BT221,,AH221)*(1-AF221)+INDEX(Models!$BJ221:$BT221,,AH221+1)*AF221-ERP_i)*AE221*Ramure*Pc/MaxiM</f>
        <v>6.2447237911618229E-4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'2025'!Wh/'2025'!Env_an*'2026'!Env_an</f>
        <v>57.700460386004423</v>
      </c>
      <c r="C222" s="829"/>
      <c r="D222" s="391">
        <f t="shared" si="77"/>
        <v>60.821881367467832</v>
      </c>
      <c r="E222" s="383">
        <f t="shared" si="75"/>
        <v>61.923943336233279</v>
      </c>
      <c r="F222" s="383">
        <f t="shared" si="78"/>
        <v>61.925460480563899</v>
      </c>
      <c r="G222" s="110">
        <f t="shared" si="76"/>
        <v>1.0290641592934002</v>
      </c>
      <c r="H222" s="412" t="b">
        <f>Wh_hp&gt;='2025'!Maxi_hp</f>
        <v>1</v>
      </c>
      <c r="I222" s="388">
        <f>IF(H222,Wh_hp,'2025'!Maxi_hp)</f>
        <v>61.925460480563899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5.132069102901804E-2</v>
      </c>
      <c r="M222" s="832"/>
      <c r="N222" s="832"/>
      <c r="O222" s="48">
        <f>IF(t&lt;Tnet,'2025'!Resal+('2025'!Salim-'2025'!Resal)*(1-EXP(('2025'!Tnet-t)/('2025'!Tau_j))),Resal+(Salim-Resal)*(1-EXP((Tnet-t)/(Tau_j))))*Salcycl</f>
        <v>1.7797025017956172E-2</v>
      </c>
      <c r="P222" s="169">
        <f>(INDEX(Models!$BJ222:$BT222,,T222)*(1-R222)+INDEX(Models!$BJ222:$BT222,,T222+1)*R222-ERP_i)*Q222*Ramure*Pc/MaxiM</f>
        <v>2.4499524409617978E-5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56.0708094484838</v>
      </c>
      <c r="W222" s="400">
        <f t="shared" si="86"/>
        <v>57.700460386004423</v>
      </c>
      <c r="X222" s="157">
        <f t="shared" si="87"/>
        <v>46230</v>
      </c>
      <c r="Y222" s="383">
        <f t="shared" si="88"/>
        <v>55.173998629338456</v>
      </c>
      <c r="Z222" s="383">
        <f t="shared" si="89"/>
        <v>58.158745645232692</v>
      </c>
      <c r="AA222" s="384">
        <f t="shared" si="90"/>
        <v>61.885985123437983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6.0227521154764332E-2</v>
      </c>
      <c r="AD222" s="230">
        <f>(INDEX(Models!$BJ222:$BT222,,AH222)*(1-AF222)+INDEX(Models!$BJ222:$BT222,,AH222+1)*AF222-ERP_i)*AE222*Ramure*Pc/MaxiM</f>
        <v>6.3746570182229715E-4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'2025'!Wh/'2025'!Env_an*'2026'!Env_an</f>
        <v>44.98743461965865</v>
      </c>
      <c r="C223" s="829"/>
      <c r="D223" s="391">
        <f t="shared" si="77"/>
        <v>47.422028060147809</v>
      </c>
      <c r="E223" s="383">
        <f t="shared" si="75"/>
        <v>48.285206274748738</v>
      </c>
      <c r="F223" s="383">
        <f t="shared" si="78"/>
        <v>48.286083406769933</v>
      </c>
      <c r="G223" s="110">
        <f t="shared" si="76"/>
        <v>0.80404710821471226</v>
      </c>
      <c r="H223" s="412" t="b">
        <f>Wh_hp&gt;='2025'!Maxi_hp</f>
        <v>0</v>
      </c>
      <c r="I223" s="388">
        <f>IF(H223,Wh_hp,'2025'!Maxi_hp)</f>
        <v>56.218409152668862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5.1338872251545986E-2</v>
      </c>
      <c r="M223" s="832"/>
      <c r="N223" s="832"/>
      <c r="O223" s="48">
        <f>IF(t&lt;Tnet,'2025'!Resal+('2025'!Salim-'2025'!Resal)*(1-EXP(('2025'!Tnet-t)/('2025'!Tau_j))),Resal+(Salim-Resal)*(1-EXP((Tnet-t)/(Tau_j))))*Salcycl</f>
        <v>1.7876659979235324E-2</v>
      </c>
      <c r="P223" s="169">
        <f>(INDEX(Models!$BJ223:$BT223,,T223)*(1-R223)+INDEX(Models!$BJ223:$BT223,,T223+1)*R223-ERP_i)*Q223*Ramure*Pc/MaxiM</f>
        <v>2.5226965078475697E-5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55.950847243706406</v>
      </c>
      <c r="W223" s="400">
        <f t="shared" si="86"/>
        <v>44.98743461965865</v>
      </c>
      <c r="X223" s="157">
        <f t="shared" si="87"/>
        <v>46231</v>
      </c>
      <c r="Y223" s="383">
        <f t="shared" si="88"/>
        <v>43.0262382039583</v>
      </c>
      <c r="Z223" s="383">
        <f t="shared" si="89"/>
        <v>45.354697210031667</v>
      </c>
      <c r="AA223" s="384">
        <f t="shared" si="90"/>
        <v>48.263464250273699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6.0268509221766749E-2</v>
      </c>
      <c r="AD223" s="230">
        <f>(INDEX(Models!$BJ223:$BT223,,AH223)*(1-AF223)+INDEX(Models!$BJ223:$BT223,,AH223+1)*AF223-ERP_i)*AE223*Ramure*Pc/MaxiM</f>
        <v>6.5054365505732789E-4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'2025'!Wh/'2025'!Env_an*'2026'!Env_an</f>
        <v>32.13136575575755</v>
      </c>
      <c r="C224" s="829"/>
      <c r="D224" s="391">
        <f t="shared" si="77"/>
        <v>33.870874032875633</v>
      </c>
      <c r="E224" s="383">
        <f t="shared" si="75"/>
        <v>34.490185231838979</v>
      </c>
      <c r="F224" s="383">
        <f t="shared" si="78"/>
        <v>34.490537403645106</v>
      </c>
      <c r="G224" s="110">
        <f t="shared" si="76"/>
        <v>0.57552759857130042</v>
      </c>
      <c r="H224" s="412" t="b">
        <f>Wh_hp&gt;='2025'!Maxi_hp</f>
        <v>0</v>
      </c>
      <c r="I224" s="388">
        <f>IF(H224,Wh_hp,'2025'!Maxi_hp)</f>
        <v>59.204840320642759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5.1357053125634877E-2</v>
      </c>
      <c r="M224" s="832"/>
      <c r="N224" s="832"/>
      <c r="O224" s="48">
        <f>IF(t&lt;Tnet,'2025'!Resal+('2025'!Salim-'2025'!Resal)*(1-EXP(('2025'!Tnet-t)/('2025'!Tau_j))),Resal+(Salim-Resal)*(1-EXP((Tnet-t)/(Tau_j))))*Salcycl</f>
        <v>1.7956157521347323E-2</v>
      </c>
      <c r="P224" s="169">
        <f>(INDEX(Models!$BJ224:$BT224,,T224)*(1-R224)+INDEX(Models!$BJ224:$BT224,,T224+1)*R224-ERP_i)*Q224*Ramure*Pc/MaxiM</f>
        <v>2.5940198018441456E-5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55.828530933061273</v>
      </c>
      <c r="W224" s="400">
        <f t="shared" si="86"/>
        <v>32.13136575575755</v>
      </c>
      <c r="X224" s="157">
        <f t="shared" si="87"/>
        <v>46232</v>
      </c>
      <c r="Y224" s="383">
        <f t="shared" si="88"/>
        <v>30.737902174131751</v>
      </c>
      <c r="Z224" s="383">
        <f t="shared" si="89"/>
        <v>32.40197196996877</v>
      </c>
      <c r="AA224" s="384">
        <f t="shared" si="90"/>
        <v>34.481526693132636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6.0309241573634743E-2</v>
      </c>
      <c r="AD224" s="230">
        <f>(INDEX(Models!$BJ224:$BT224,,AH224)*(1-AF224)+INDEX(Models!$BJ224:$BT224,,AH224+1)*AF224-ERP_i)*AE224*Ramure*Pc/MaxiM</f>
        <v>6.6370905027979157E-4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'2025'!Wh/'2025'!Env_an*'2026'!Env_an</f>
        <v>49.695236947459058</v>
      </c>
      <c r="C225" s="829"/>
      <c r="D225" s="391">
        <f t="shared" si="77"/>
        <v>52.386611345535336</v>
      </c>
      <c r="E225" s="383">
        <f t="shared" si="75"/>
        <v>53.348784478507845</v>
      </c>
      <c r="F225" s="383">
        <f t="shared" si="78"/>
        <v>53.349986658424307</v>
      </c>
      <c r="G225" s="110">
        <f t="shared" si="76"/>
        <v>0.89212905621969729</v>
      </c>
      <c r="H225" s="412" t="b">
        <f>Wh_hp&gt;='2025'!Maxi_hp</f>
        <v>1</v>
      </c>
      <c r="I225" s="388">
        <f>IF(H225,Wh_hp,'2025'!Maxi_hp)</f>
        <v>53.349986658424307</v>
      </c>
      <c r="J225" s="85">
        <f>IF(H225,An,'2025'!An_max)</f>
        <v>2026</v>
      </c>
      <c r="K225" s="197">
        <f t="shared" si="79"/>
        <v>46233</v>
      </c>
      <c r="L225" s="147">
        <f>IF(t&lt;Tvie,1-EXP((T0-t)*PertePVj)+'2025'!Pspv,1-EXP((T0-t)*PertePVj)+Pspv)</f>
        <v>5.1375233651291485E-2</v>
      </c>
      <c r="M225" s="832"/>
      <c r="N225" s="832"/>
      <c r="O225" s="48">
        <f>IF(t&lt;Tnet,'2025'!Resal+('2025'!Salim-'2025'!Resal)*(1-EXP(('2025'!Tnet-t)/('2025'!Tau_j))),Resal+(Salim-Resal)*(1-EXP((Tnet-t)/(Tau_j))))*Salcycl</f>
        <v>1.8035521190930413E-2</v>
      </c>
      <c r="P225" s="169">
        <f>(INDEX(Models!$BJ225:$BT225,,T225)*(1-R225)+INDEX(Models!$BJ225:$BT225,,T225+1)*R225-ERP_i)*Q225*Ramure*Pc/MaxiM</f>
        <v>2.6638767933522664E-5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55.703861006317254</v>
      </c>
      <c r="W225" s="400">
        <f t="shared" si="86"/>
        <v>49.695236947459058</v>
      </c>
      <c r="X225" s="157">
        <f t="shared" si="87"/>
        <v>46233</v>
      </c>
      <c r="Y225" s="383">
        <f t="shared" si="88"/>
        <v>47.527639708322283</v>
      </c>
      <c r="Z225" s="383">
        <f t="shared" si="89"/>
        <v>50.101622258143131</v>
      </c>
      <c r="AA225" s="384">
        <f t="shared" si="90"/>
        <v>53.319435945917277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6.0349732338467105E-2</v>
      </c>
      <c r="AD225" s="230">
        <f>(INDEX(Models!$BJ225:$BT225,,AH225)*(1-AF225)+INDEX(Models!$BJ225:$BT225,,AH225+1)*AF225-ERP_i)*AE225*Ramure*Pc/MaxiM</f>
        <v>6.7696467852713146E-4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'2025'!Wh/'2025'!Env_an*'2026'!Env_an</f>
        <v>55.177926225952724</v>
      </c>
      <c r="C226" s="829"/>
      <c r="D226" s="391">
        <f t="shared" si="77"/>
        <v>58.167344640361094</v>
      </c>
      <c r="E226" s="383">
        <f t="shared" si="75"/>
        <v>59.240471212837797</v>
      </c>
      <c r="F226" s="383">
        <f t="shared" si="78"/>
        <v>59.242074407471534</v>
      </c>
      <c r="G226" s="110">
        <f t="shared" si="76"/>
        <v>0.9928220795739906</v>
      </c>
      <c r="H226" s="412" t="b">
        <f>Wh_hp&gt;='2025'!Maxi_hp</f>
        <v>1</v>
      </c>
      <c r="I226" s="388">
        <f>IF(H226,Wh_hp,'2025'!Maxi_hp)</f>
        <v>59.242074407471534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5.1393413828522472E-2</v>
      </c>
      <c r="M226" s="832"/>
      <c r="N226" s="832"/>
      <c r="O226" s="48">
        <f>IF(t&lt;Tnet,'2025'!Resal+('2025'!Salim-'2025'!Resal)*(1-EXP(('2025'!Tnet-t)/('2025'!Tau_j))),Resal+(Salim-Resal)*(1-EXP((Tnet-t)/(Tau_j))))*Salcycl</f>
        <v>1.8114754162255081E-2</v>
      </c>
      <c r="P226" s="169">
        <f>(INDEX(Models!$BJ226:$BT226,,T226)*(1-R226)+INDEX(Models!$BJ226:$BT226,,T226+1)*R226-ERP_i)*Q226*Ramure*Pc/MaxiM</f>
        <v>2.7342117101758571E-5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55.576836868427065</v>
      </c>
      <c r="W226" s="400">
        <f t="shared" si="86"/>
        <v>55.177926225952724</v>
      </c>
      <c r="X226" s="157">
        <f t="shared" si="87"/>
        <v>46234</v>
      </c>
      <c r="Y226" s="383">
        <f t="shared" si="88"/>
        <v>52.76755834384776</v>
      </c>
      <c r="Z226" s="383">
        <f t="shared" si="89"/>
        <v>55.626388339569345</v>
      </c>
      <c r="AA226" s="384">
        <f t="shared" si="90"/>
        <v>59.201570859391232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6.0389994182979523E-2</v>
      </c>
      <c r="AD226" s="230">
        <f>(INDEX(Models!$BJ226:$BT226,,AH226)*(1-AF226)+INDEX(Models!$BJ226:$BT226,,AH226+1)*AF226-ERP_i)*AE226*Ramure*Pc/MaxiM</f>
        <v>6.9077873100372724E-4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'2025'!Wh/'2025'!Env_an*'2026'!Env_an</f>
        <v>54.803768251512842</v>
      </c>
      <c r="C227" s="829"/>
      <c r="D227" s="391">
        <f t="shared" si="77"/>
        <v>57.774022837588504</v>
      </c>
      <c r="E227" s="383">
        <f t="shared" si="75"/>
        <v>58.844633821854785</v>
      </c>
      <c r="F227" s="383">
        <f t="shared" si="78"/>
        <v>58.846257744444664</v>
      </c>
      <c r="G227" s="110">
        <f t="shared" si="76"/>
        <v>0.98839052887859291</v>
      </c>
      <c r="H227" s="412" t="b">
        <f>Wh_hp&gt;='2025'!Maxi_hp</f>
        <v>1</v>
      </c>
      <c r="I227" s="388">
        <f>IF(H227,Wh_hp,'2025'!Maxi_hp)</f>
        <v>58.846257744444664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5.1411593657334498E-2</v>
      </c>
      <c r="M227" s="832"/>
      <c r="N227" s="832"/>
      <c r="O227" s="48">
        <f>IF(t&lt;Tnet,'2025'!Resal+('2025'!Salim-'2025'!Resal)*(1-EXP(('2025'!Tnet-t)/('2025'!Tau_j))),Resal+(Salim-Resal)*(1-EXP((Tnet-t)/(Tau_j))))*Salcycl</f>
        <v>1.8193859231199056E-2</v>
      </c>
      <c r="P227" s="169">
        <f>(INDEX(Models!$BJ227:$BT227,,T227)*(1-R227)+INDEX(Models!$BJ227:$BT227,,T227+1)*R227-ERP_i)*Q227*Ramure*Pc/MaxiM</f>
        <v>2.8061400155599968E-5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55.447458413508286</v>
      </c>
      <c r="W227" s="400">
        <f t="shared" si="86"/>
        <v>54.803768251512842</v>
      </c>
      <c r="X227" s="157">
        <f t="shared" si="87"/>
        <v>46235</v>
      </c>
      <c r="Y227" s="383">
        <f t="shared" si="88"/>
        <v>52.411250632693715</v>
      </c>
      <c r="Z227" s="383">
        <f t="shared" si="89"/>
        <v>55.2518355508562</v>
      </c>
      <c r="AA227" s="384">
        <f t="shared" si="90"/>
        <v>58.805451221644688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6.0430038320673563E-2</v>
      </c>
      <c r="AD227" s="230">
        <f>(INDEX(Models!$BJ227:$BT227,,AH227)*(1-AF227)+INDEX(Models!$BJ227:$BT227,,AH227+1)*AF227-ERP_i)*AE227*Ramure*Pc/MaxiM</f>
        <v>7.0513716132852009E-4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'2025'!Wh/'2025'!Env_an*'2026'!Env_an</f>
        <v>54.79232977187128</v>
      </c>
      <c r="C228" s="829"/>
      <c r="D228" s="391">
        <f t="shared" si="77"/>
        <v>57.763071431322963</v>
      </c>
      <c r="E228" s="383">
        <f t="shared" si="75"/>
        <v>58.838212606282049</v>
      </c>
      <c r="F228" s="383">
        <f t="shared" si="78"/>
        <v>58.839884104738097</v>
      </c>
      <c r="G228" s="110">
        <f t="shared" si="76"/>
        <v>0.99053763255600868</v>
      </c>
      <c r="H228" s="412" t="b">
        <f>Wh_hp&gt;='2025'!Maxi_hp</f>
        <v>1</v>
      </c>
      <c r="I228" s="388">
        <f>IF(H228,Wh_hp,'2025'!Maxi_hp)</f>
        <v>58.839884104738097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5.1429773137734336E-2</v>
      </c>
      <c r="M228" s="832"/>
      <c r="N228" s="832"/>
      <c r="O228" s="48">
        <f>IF(t&lt;Tnet,'2025'!Resal+('2025'!Salim-'2025'!Resal)*(1-EXP(('2025'!Tnet-t)/('2025'!Tau_j))),Resal+(Salim-Resal)*(1-EXP((Tnet-t)/(Tau_j))))*Salcycl</f>
        <v>1.8272838812311142E-2</v>
      </c>
      <c r="P228" s="169">
        <f>(INDEX(Models!$BJ228:$BT228,,T228)*(1-R228)+INDEX(Models!$BJ228:$BT228,,T228+1)*R228-ERP_i)*Q228*Ramure*Pc/MaxiM</f>
        <v>2.8796825661184374E-5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55.315726169797543</v>
      </c>
      <c r="W228" s="400">
        <f t="shared" si="86"/>
        <v>54.79232977187128</v>
      </c>
      <c r="X228" s="157">
        <f t="shared" si="87"/>
        <v>46236</v>
      </c>
      <c r="Y228" s="383">
        <f t="shared" si="88"/>
        <v>52.40146311336833</v>
      </c>
      <c r="Z228" s="383">
        <f t="shared" si="89"/>
        <v>55.242576278938103</v>
      </c>
      <c r="AA228" s="384">
        <f t="shared" si="90"/>
        <v>58.798089365463035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6.0469874529858129E-2</v>
      </c>
      <c r="AD228" s="230">
        <f>(INDEX(Models!$BJ228:$BT228,,AH228)*(1-AF228)+INDEX(Models!$BJ228:$BT228,,AH228+1)*AF228-ERP_i)*AE228*Ramure*Pc/MaxiM</f>
        <v>7.2004602582805856E-4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'2025'!Wh/'2025'!Env_an*'2026'!Env_an</f>
        <v>51.742053620462748</v>
      </c>
      <c r="C229" s="829"/>
      <c r="D229" s="391">
        <f t="shared" si="77"/>
        <v>54.548460197068721</v>
      </c>
      <c r="E229" s="383">
        <f t="shared" si="75"/>
        <v>55.568231428535043</v>
      </c>
      <c r="F229" s="383">
        <f t="shared" si="78"/>
        <v>55.569727222277571</v>
      </c>
      <c r="G229" s="110">
        <f t="shared" si="76"/>
        <v>0.93766544147033426</v>
      </c>
      <c r="H229" s="412" t="b">
        <f>Wh_hp&gt;='2025'!Maxi_hp</f>
        <v>0</v>
      </c>
      <c r="I229" s="388">
        <f>IF(H229,Wh_hp,'2025'!Maxi_hp)</f>
        <v>56.932913500318811</v>
      </c>
      <c r="J229" s="85">
        <f>IF(H229,An,'2025'!An_max)</f>
        <v>2018</v>
      </c>
      <c r="K229" s="197">
        <f t="shared" si="79"/>
        <v>46237</v>
      </c>
      <c r="L229" s="147">
        <f>IF(t&lt;Tvie,1-EXP((T0-t)*PertePVj)+'2025'!Pspv,1-EXP((T0-t)*PertePVj)+Pspv)</f>
        <v>5.1447952269728425E-2</v>
      </c>
      <c r="M229" s="832"/>
      <c r="N229" s="832"/>
      <c r="O229" s="48">
        <f>IF(t&lt;Tnet,'2025'!Resal+('2025'!Salim-'2025'!Resal)*(1-EXP(('2025'!Tnet-t)/('2025'!Tau_j))),Resal+(Salim-Resal)*(1-EXP((Tnet-t)/(Tau_j))))*Salcycl</f>
        <v>1.8351694938821748E-2</v>
      </c>
      <c r="P229" s="169">
        <f>(INDEX(Models!$BJ229:$BT229,,T229)*(1-R229)+INDEX(Models!$BJ229:$BT229,,T229+1)*R229-ERP_i)*Q229*Ramure*Pc/MaxiM</f>
        <v>2.9548601149664721E-5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55.181640685187489</v>
      </c>
      <c r="W229" s="400">
        <f t="shared" si="86"/>
        <v>51.742053620462748</v>
      </c>
      <c r="X229" s="157">
        <f t="shared" si="87"/>
        <v>46237</v>
      </c>
      <c r="Y229" s="383">
        <f t="shared" si="88"/>
        <v>49.488095001266821</v>
      </c>
      <c r="Z229" s="383">
        <f t="shared" si="89"/>
        <v>52.172250452343299</v>
      </c>
      <c r="AA229" s="384">
        <f t="shared" si="90"/>
        <v>55.532494552357228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6.0509511180806358E-2</v>
      </c>
      <c r="AD229" s="230">
        <f>(INDEX(Models!$BJ229:$BT229,,AH229)*(1-AF229)+INDEX(Models!$BJ229:$BT229,,AH229+1)*AF229-ERP_i)*AE229*Ramure*Pc/MaxiM</f>
        <v>7.3551137562092184E-4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'2025'!Wh/'2025'!Env_an*'2026'!Env_an</f>
        <v>50.975034882218694</v>
      </c>
      <c r="C230" s="829"/>
      <c r="D230" s="391">
        <f t="shared" si="77"/>
        <v>53.740869515629662</v>
      </c>
      <c r="E230" s="383">
        <f t="shared" si="75"/>
        <v>54.7499343071647</v>
      </c>
      <c r="F230" s="383">
        <f t="shared" si="78"/>
        <v>54.751418864509112</v>
      </c>
      <c r="G230" s="110">
        <f t="shared" si="76"/>
        <v>0.92605475667550707</v>
      </c>
      <c r="H230" s="412" t="b">
        <f>Wh_hp&gt;='2025'!Maxi_hp</f>
        <v>1</v>
      </c>
      <c r="I230" s="388">
        <f>IF(H230,Wh_hp,'2025'!Maxi_hp)</f>
        <v>54.751418864509112</v>
      </c>
      <c r="J230" s="85">
        <f>IF(H230,An,'2025'!An_max)</f>
        <v>2026</v>
      </c>
      <c r="K230" s="197">
        <f t="shared" si="79"/>
        <v>46238</v>
      </c>
      <c r="L230" s="147">
        <f>IF(t&lt;Tvie,1-EXP((T0-t)*PertePVj)+'2025'!Pspv,1-EXP((T0-t)*PertePVj)+Pspv)</f>
        <v>5.146613105332376E-2</v>
      </c>
      <c r="M230" s="832"/>
      <c r="N230" s="832"/>
      <c r="O230" s="48">
        <f>IF(t&lt;Tnet,'2025'!Resal+('2025'!Salim-'2025'!Resal)*(1-EXP(('2025'!Tnet-t)/('2025'!Tau_j))),Resal+(Salim-Resal)*(1-EXP((Tnet-t)/(Tau_j))))*Salcycl</f>
        <v>1.843042926542816E-2</v>
      </c>
      <c r="P230" s="169">
        <f>(INDEX(Models!$BJ230:$BT230,,T230)*(1-R230)+INDEX(Models!$BJ230:$BT230,,T230+1)*R230-ERP_i)*Q230*Ramure*Pc/MaxiM</f>
        <v>3.0316932912834555E-5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55.045202528474682</v>
      </c>
      <c r="W230" s="400">
        <f t="shared" si="86"/>
        <v>50.975034882218694</v>
      </c>
      <c r="X230" s="157">
        <f t="shared" si="87"/>
        <v>46238</v>
      </c>
      <c r="Y230" s="383">
        <f t="shared" si="88"/>
        <v>48.75625774891548</v>
      </c>
      <c r="Z230" s="383">
        <f t="shared" si="89"/>
        <v>51.401704614995054</v>
      </c>
      <c r="AA230" s="384">
        <f t="shared" si="90"/>
        <v>54.714617545437591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6.0548955271255228E-2</v>
      </c>
      <c r="AD230" s="230">
        <f>(INDEX(Models!$BJ230:$BT230,,AH230)*(1-AF230)+INDEX(Models!$BJ230:$BT230,,AH230+1)*AF230-ERP_i)*AE230*Ramure*Pc/MaxiM</f>
        <v>7.5153925552231768E-4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'2025'!Wh/'2025'!Env_an*'2026'!Env_an</f>
        <v>46.29200317361375</v>
      </c>
      <c r="C231" s="829"/>
      <c r="D231" s="391">
        <f t="shared" si="77"/>
        <v>48.804678337636631</v>
      </c>
      <c r="E231" s="383">
        <f t="shared" si="75"/>
        <v>49.725041268311053</v>
      </c>
      <c r="F231" s="383">
        <f t="shared" si="78"/>
        <v>49.726241215132404</v>
      </c>
      <c r="G231" s="110">
        <f t="shared" si="76"/>
        <v>0.84310153467856286</v>
      </c>
      <c r="H231" s="412" t="b">
        <f>Wh_hp&gt;='2025'!Maxi_hp</f>
        <v>0</v>
      </c>
      <c r="I231" s="388">
        <f>IF(H231,Wh_hp,'2025'!Maxi_hp)</f>
        <v>57.498472641811972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5.148430948852678E-2</v>
      </c>
      <c r="M231" s="832"/>
      <c r="N231" s="832"/>
      <c r="O231" s="48">
        <f>IF(t&lt;Tnet,'2025'!Resal+('2025'!Salim-'2025'!Resal)*(1-EXP(('2025'!Tnet-t)/('2025'!Tau_j))),Resal+(Salim-Resal)*(1-EXP((Tnet-t)/(Tau_j))))*Salcycl</f>
        <v>1.8509043073654682E-2</v>
      </c>
      <c r="P231" s="169">
        <f>(INDEX(Models!$BJ231:$BT231,,T231)*(1-R231)+INDEX(Models!$BJ231:$BT231,,T231+1)*R231-ERP_i)*Q231*Ramure*Pc/MaxiM</f>
        <v>3.1102025807852256E-5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54.906412290450035</v>
      </c>
      <c r="W231" s="400">
        <f t="shared" si="86"/>
        <v>46.29200317361375</v>
      </c>
      <c r="X231" s="157">
        <f t="shared" si="87"/>
        <v>46239</v>
      </c>
      <c r="Y231" s="383">
        <f t="shared" si="88"/>
        <v>44.282002563280273</v>
      </c>
      <c r="Z231" s="383">
        <f t="shared" si="89"/>
        <v>46.685577272213443</v>
      </c>
      <c r="AA231" s="384">
        <f t="shared" si="90"/>
        <v>49.696605782362759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6.0588212469390175E-2</v>
      </c>
      <c r="AD231" s="230">
        <f>(INDEX(Models!$BJ231:$BT231,,AH231)*(1-AF231)+INDEX(Models!$BJ231:$BT231,,AH231+1)*AF231-ERP_i)*AE231*Ramure*Pc/MaxiM</f>
        <v>7.6813570270291211E-4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'2025'!Wh/'2025'!Env_an*'2026'!Env_an</f>
        <v>50.831593050843075</v>
      </c>
      <c r="C232" s="829"/>
      <c r="D232" s="391">
        <f t="shared" si="77"/>
        <v>53.591698855278651</v>
      </c>
      <c r="E232" s="383">
        <f t="shared" si="75"/>
        <v>54.606702982683331</v>
      </c>
      <c r="F232" s="383">
        <f t="shared" si="78"/>
        <v>54.608266437090698</v>
      </c>
      <c r="G232" s="110">
        <f t="shared" si="76"/>
        <v>0.92816900380371758</v>
      </c>
      <c r="H232" s="412" t="b">
        <f>Wh_hp&gt;='2025'!Maxi_hp</f>
        <v>0</v>
      </c>
      <c r="I232" s="388">
        <f>IF(H232,Wh_hp,'2025'!Maxi_hp)</f>
        <v>58.413322100606401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5.1502487575344147E-2</v>
      </c>
      <c r="M232" s="832"/>
      <c r="N232" s="832"/>
      <c r="O232" s="48">
        <f>IF(t&lt;Tnet,'2025'!Resal+('2025'!Salim-'2025'!Resal)*(1-EXP(('2025'!Tnet-t)/('2025'!Tau_j))),Resal+(Salim-Resal)*(1-EXP((Tnet-t)/(Tau_j))))*Salcycl</f>
        <v>1.8587537279563492E-2</v>
      </c>
      <c r="P232" s="169">
        <f>(INDEX(Models!$BJ232:$BT232,,T232)*(1-R232)+INDEX(Models!$BJ232:$BT232,,T232+1)*R232-ERP_i)*Q232*Ramure*Pc/MaxiM</f>
        <v>3.1904083076674627E-5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54.76527058033885</v>
      </c>
      <c r="W232" s="400">
        <f t="shared" si="86"/>
        <v>50.831593050843075</v>
      </c>
      <c r="X232" s="157">
        <f t="shared" si="87"/>
        <v>46240</v>
      </c>
      <c r="Y232" s="383">
        <f t="shared" si="88"/>
        <v>48.621276927090591</v>
      </c>
      <c r="Z232" s="383">
        <f t="shared" si="89"/>
        <v>51.26136472704016</v>
      </c>
      <c r="AA232" s="384">
        <f t="shared" si="90"/>
        <v>54.569782607637862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6.062728716340237E-2</v>
      </c>
      <c r="AD232" s="230">
        <f>(INDEX(Models!$BJ232:$BT232,,AH232)*(1-AF232)+INDEX(Models!$BJ232:$BT232,,AH232+1)*AF232-ERP_i)*AE232*Ramure*Pc/MaxiM</f>
        <v>7.8530674523314586E-4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'2025'!Wh/'2025'!Env_an*'2026'!Env_an</f>
        <v>53.490518389359615</v>
      </c>
      <c r="C233" s="829"/>
      <c r="D233" s="391">
        <f t="shared" si="77"/>
        <v>56.396082058082719</v>
      </c>
      <c r="E233" s="383">
        <f t="shared" ref="E233:E296" si="100">Wh_pvt/(1-Psa)</f>
        <v>57.468789450198031</v>
      </c>
      <c r="F233" s="383">
        <f t="shared" si="78"/>
        <v>57.470614400759345</v>
      </c>
      <c r="G233" s="110">
        <f t="shared" ref="G233:G296" si="101">+Wh_hp/MaxiM</f>
        <v>0.97928033391743619</v>
      </c>
      <c r="H233" s="412" t="b">
        <f>Wh_hp&gt;='2025'!Maxi_hp</f>
        <v>1</v>
      </c>
      <c r="I233" s="388">
        <f>IF(H233,Wh_hp,'2025'!Maxi_hp)</f>
        <v>57.470614400759345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5.1520665313782743E-2</v>
      </c>
      <c r="M233" s="832"/>
      <c r="N233" s="832"/>
      <c r="O233" s="48">
        <f>IF(t&lt;Tnet,'2025'!Resal+('2025'!Salim-'2025'!Resal)*(1-EXP(('2025'!Tnet-t)/('2025'!Tau_j))),Resal+(Salim-Resal)*(1-EXP((Tnet-t)/(Tau_j))))*Salcycl</f>
        <v>1.8665912443569316E-2</v>
      </c>
      <c r="P233" s="169">
        <f>(INDEX(Models!$BJ233:$BT233,,T233)*(1-R233)+INDEX(Models!$BJ233:$BT233,,T233+1)*R233-ERP_i)*Q233*Ramure*Pc/MaxiM</f>
        <v>3.2723040954599973E-5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54.622220754621253</v>
      </c>
      <c r="W233" s="400">
        <f t="shared" si="86"/>
        <v>53.490518389359615</v>
      </c>
      <c r="X233" s="157">
        <f t="shared" si="87"/>
        <v>46241</v>
      </c>
      <c r="Y233" s="383">
        <f t="shared" si="88"/>
        <v>51.162893832342597</v>
      </c>
      <c r="Z233" s="383">
        <f t="shared" si="89"/>
        <v>53.942022731859176</v>
      </c>
      <c r="AA233" s="384">
        <f t="shared" si="90"/>
        <v>57.425828526413071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6.0666182516661719E-2</v>
      </c>
      <c r="AD233" s="230">
        <f>(INDEX(Models!$BJ233:$BT233,,AH233)*(1-AF233)+INDEX(Models!$BJ233:$BT233,,AH233+1)*AF233-ERP_i)*AE233*Ramure*Pc/MaxiM</f>
        <v>8.0305189164513982E-4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'2025'!Wh/'2025'!Env_an*'2026'!Env_an</f>
        <v>53.941042478391182</v>
      </c>
      <c r="C234" s="829"/>
      <c r="D234" s="391">
        <f t="shared" si="77"/>
        <v>56.87216820999285</v>
      </c>
      <c r="E234" s="383">
        <f t="shared" si="100"/>
        <v>57.95855311188798</v>
      </c>
      <c r="F234" s="383">
        <f t="shared" si="78"/>
        <v>57.960471343861798</v>
      </c>
      <c r="G234" s="110">
        <f t="shared" si="101"/>
        <v>0.99015094979868801</v>
      </c>
      <c r="H234" s="412" t="b">
        <f>Wh_hp&gt;='2025'!Maxi_hp</f>
        <v>1</v>
      </c>
      <c r="I234" s="388">
        <f>IF(H234,Wh_hp,'2025'!Maxi_hp)</f>
        <v>57.960471343861798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5.1538842703849119E-2</v>
      </c>
      <c r="M234" s="832"/>
      <c r="N234" s="832"/>
      <c r="O234" s="48">
        <f>IF(t&lt;Tnet,'2025'!Resal+('2025'!Salim-'2025'!Resal)*(1-EXP(('2025'!Tnet-t)/('2025'!Tau_j))),Resal+(Salim-Resal)*(1-EXP((Tnet-t)/(Tau_j))))*Salcycl</f>
        <v>1.8744168782092979E-2</v>
      </c>
      <c r="P234" s="169">
        <f>(INDEX(Models!$BJ234:$BT234,,T234)*(1-R234)+INDEX(Models!$BJ234:$BT234,,T234+1)*R234-ERP_i)*Q234*Ramure*Pc/MaxiM</f>
        <v>3.3567799529471579E-5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54.477569317383036</v>
      </c>
      <c r="W234" s="400">
        <f t="shared" si="86"/>
        <v>53.941042478391182</v>
      </c>
      <c r="X234" s="157">
        <f t="shared" si="87"/>
        <v>46242</v>
      </c>
      <c r="Y234" s="383">
        <f t="shared" si="88"/>
        <v>51.594269290614243</v>
      </c>
      <c r="Z234" s="383">
        <f t="shared" si="89"/>
        <v>54.39787269485857</v>
      </c>
      <c r="AA234" s="384">
        <f t="shared" si="90"/>
        <v>57.913506336197166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6.0704900527517335E-2</v>
      </c>
      <c r="AD234" s="230">
        <f>(INDEX(Models!$BJ234:$BT234,,AH234)*(1-AF234)+INDEX(Models!$BJ234:$BT234,,AH234+1)*AF234-ERP_i)*AE234*Ramure*Pc/MaxiM</f>
        <v>8.2185678463613714E-4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'2025'!Wh/'2025'!Env_an*'2026'!Env_an</f>
        <v>51.916678596550867</v>
      </c>
      <c r="C235" s="829"/>
      <c r="D235" s="391">
        <f t="shared" si="77"/>
        <v>54.738850597663301</v>
      </c>
      <c r="E235" s="383">
        <f t="shared" si="100"/>
        <v>55.788926860528925</v>
      </c>
      <c r="F235" s="383">
        <f t="shared" si="78"/>
        <v>55.790726704641123</v>
      </c>
      <c r="G235" s="110">
        <f t="shared" si="101"/>
        <v>0.95555866991774152</v>
      </c>
      <c r="H235" s="412" t="b">
        <f>Wh_hp&gt;='2025'!Maxi_hp</f>
        <v>0</v>
      </c>
      <c r="I235" s="388">
        <f>IF(H235,Wh_hp,'2025'!Maxi_hp)</f>
        <v>56.144783633335642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5.1557019745549937E-2</v>
      </c>
      <c r="M235" s="832"/>
      <c r="N235" s="832"/>
      <c r="O235" s="48">
        <f>IF(t&lt;Tnet,'2025'!Resal+('2025'!Salim-'2025'!Resal)*(1-EXP(('2025'!Tnet-t)/('2025'!Tau_j))),Resal+(Salim-Resal)*(1-EXP((Tnet-t)/(Tau_j))))*Salcycl</f>
        <v>1.8822306180773001E-2</v>
      </c>
      <c r="P235" s="169">
        <f>(INDEX(Models!$BJ235:$BT235,,T235)*(1-R235)+INDEX(Models!$BJ235:$BT235,,T235+1)*R235-ERP_i)*Q235*Ramure*Pc/MaxiM</f>
        <v>3.4447520201210549E-5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54.331111936218079</v>
      </c>
      <c r="W235" s="400">
        <f t="shared" si="86"/>
        <v>51.916678596550867</v>
      </c>
      <c r="X235" s="157">
        <f t="shared" si="87"/>
        <v>46243</v>
      </c>
      <c r="Y235" s="383">
        <f t="shared" si="88"/>
        <v>49.660946727132966</v>
      </c>
      <c r="Z235" s="383">
        <f t="shared" si="89"/>
        <v>52.360497954036028</v>
      </c>
      <c r="AA235" s="384">
        <f t="shared" si="90"/>
        <v>55.74674726860372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6.0743442092715719E-2</v>
      </c>
      <c r="AD235" s="230">
        <f>(INDEX(Models!$BJ235:$BT235,,AH235)*(1-AF235)+INDEX(Models!$BJ235:$BT235,,AH235+1)*AF235-ERP_i)*AE235*Ramure*Pc/MaxiM</f>
        <v>8.4172984819492309E-4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'2025'!Wh/'2025'!Env_an*'2026'!Env_an</f>
        <v>49.059877442519692</v>
      </c>
      <c r="C236" s="829"/>
      <c r="D236" s="391">
        <f t="shared" si="77"/>
        <v>51.727746109456007</v>
      </c>
      <c r="E236" s="383">
        <f t="shared" si="100"/>
        <v>52.724251557567896</v>
      </c>
      <c r="F236" s="383">
        <f t="shared" si="78"/>
        <v>52.725864256196573</v>
      </c>
      <c r="G236" s="110">
        <f t="shared" si="101"/>
        <v>0.90544939709958006</v>
      </c>
      <c r="H236" s="412" t="b">
        <f>Wh_hp&gt;='2025'!Maxi_hp</f>
        <v>0</v>
      </c>
      <c r="I236" s="388">
        <f>IF(H236,Wh_hp,'2025'!Maxi_hp)</f>
        <v>53.37794367209424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5.1575196438891857E-2</v>
      </c>
      <c r="M236" s="832"/>
      <c r="N236" s="832"/>
      <c r="O236" s="48">
        <f>IF(t&lt;Tnet,'2025'!Resal+('2025'!Salim-'2025'!Resal)*(1-EXP(('2025'!Tnet-t)/('2025'!Tau_j))),Resal+(Salim-Resal)*(1-EXP((Tnet-t)/(Tau_j))))*Salcycl</f>
        <v>1.8900324208942856E-2</v>
      </c>
      <c r="P236" s="169">
        <f>(INDEX(Models!$BJ236:$BT236,,T236)*(1-R236)+INDEX(Models!$BJ236:$BT236,,T236+1)*R236-ERP_i)*Q236*Ramure*Pc/MaxiM</f>
        <v>3.5362796036865431E-5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54.182644846922329</v>
      </c>
      <c r="W236" s="400">
        <f t="shared" si="86"/>
        <v>49.059877442519692</v>
      </c>
      <c r="X236" s="157">
        <f t="shared" si="87"/>
        <v>46244</v>
      </c>
      <c r="Y236" s="383">
        <f t="shared" si="88"/>
        <v>46.931985825930028</v>
      </c>
      <c r="Z236" s="383">
        <f t="shared" si="89"/>
        <v>49.484140070685257</v>
      </c>
      <c r="AA236" s="384">
        <f t="shared" si="90"/>
        <v>52.686522091840963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6.0781807073418979E-2</v>
      </c>
      <c r="AD236" s="230">
        <f>(INDEX(Models!$BJ236:$BT236,,AH236)*(1-AF236)+INDEX(Models!$BJ236:$BT236,,AH236+1)*AF236-ERP_i)*AE236*Ramure*Pc/MaxiM</f>
        <v>8.626837705542177E-4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'2025'!Wh/'2025'!Env_an*'2026'!Env_an</f>
        <v>47.44003990958592</v>
      </c>
      <c r="C237" s="829"/>
      <c r="D237" s="391">
        <f t="shared" si="77"/>
        <v>50.020780694919701</v>
      </c>
      <c r="E237" s="383">
        <f t="shared" si="100"/>
        <v>50.988450841309351</v>
      </c>
      <c r="F237" s="383">
        <f t="shared" si="78"/>
        <v>50.989979783524248</v>
      </c>
      <c r="G237" s="110">
        <f t="shared" si="101"/>
        <v>0.87799398362238934</v>
      </c>
      <c r="H237" s="412" t="b">
        <f>Wh_hp&gt;='2025'!Maxi_hp</f>
        <v>0</v>
      </c>
      <c r="I237" s="388">
        <f>IF(H237,Wh_hp,'2025'!Maxi_hp)</f>
        <v>51.914944304147305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5.1593372783881652E-2</v>
      </c>
      <c r="M237" s="832"/>
      <c r="N237" s="832"/>
      <c r="O237" s="48">
        <f>IF(t&lt;Tnet,'2025'!Resal+('2025'!Salim-'2025'!Resal)*(1-EXP(('2025'!Tnet-t)/('2025'!Tau_j))),Resal+(Salim-Resal)*(1-EXP((Tnet-t)/(Tau_j))))*Salcycl</f>
        <v>1.8978222135073559E-2</v>
      </c>
      <c r="P237" s="169">
        <f>(INDEX(Models!$BJ237:$BT237,,T237)*(1-R237)+INDEX(Models!$BJ237:$BT237,,T237+1)*R237-ERP_i)*Q237*Ramure*Pc/MaxiM</f>
        <v>3.6314224894043816E-5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54.031964380112498</v>
      </c>
      <c r="W237" s="400">
        <f t="shared" si="86"/>
        <v>47.44003990958592</v>
      </c>
      <c r="X237" s="157">
        <f t="shared" si="87"/>
        <v>46245</v>
      </c>
      <c r="Y237" s="383">
        <f t="shared" si="88"/>
        <v>45.384846909053842</v>
      </c>
      <c r="Z237" s="383">
        <f t="shared" si="89"/>
        <v>47.853785081904284</v>
      </c>
      <c r="AA237" s="384">
        <f t="shared" si="90"/>
        <v>50.952729822477025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6.0819994362808133E-2</v>
      </c>
      <c r="AD237" s="230">
        <f>(INDEX(Models!$BJ237:$BT237,,AH237)*(1-AF237)+INDEX(Models!$BJ237:$BT237,,AH237+1)*AF237-ERP_i)*AE237*Ramure*Pc/MaxiM</f>
        <v>8.8473158081725013E-4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'2025'!Wh/'2025'!Env_an*'2026'!Env_an</f>
        <v>48.38364587442998</v>
      </c>
      <c r="C238" s="829"/>
      <c r="D238" s="391">
        <f t="shared" si="77"/>
        <v>51.016696599601616</v>
      </c>
      <c r="E238" s="383">
        <f t="shared" si="100"/>
        <v>52.007756349621403</v>
      </c>
      <c r="F238" s="383">
        <f t="shared" si="78"/>
        <v>52.009413751077624</v>
      </c>
      <c r="G238" s="110">
        <f t="shared" si="101"/>
        <v>0.89800297638270532</v>
      </c>
      <c r="H238" s="412" t="b">
        <f>Wh_hp&gt;='2025'!Maxi_hp</f>
        <v>1</v>
      </c>
      <c r="I238" s="388">
        <f>IF(H238,Wh_hp,'2025'!Maxi_hp)</f>
        <v>52.009413751077624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5.1611548780525984E-2</v>
      </c>
      <c r="M238" s="832"/>
      <c r="N238" s="832"/>
      <c r="O238" s="48">
        <f>IF(t&lt;Tnet,'2025'!Resal+('2025'!Salim-'2025'!Resal)*(1-EXP(('2025'!Tnet-t)/('2025'!Tau_j))),Resal+(Salim-Resal)*(1-EXP((Tnet-t)/(Tau_j))))*Salcycl</f>
        <v>1.9055998942876892E-2</v>
      </c>
      <c r="P238" s="169">
        <f>(INDEX(Models!$BJ238:$BT238,,T238)*(1-R238)+INDEX(Models!$BJ238:$BT238,,T238+1)*R238-ERP_i)*Q238*Ramure*Pc/MaxiM</f>
        <v>3.7302411389690315E-5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53.878866963421352</v>
      </c>
      <c r="W238" s="400">
        <f t="shared" si="86"/>
        <v>48.38364587442998</v>
      </c>
      <c r="X238" s="157">
        <f t="shared" si="87"/>
        <v>46246</v>
      </c>
      <c r="Y238" s="383">
        <f t="shared" si="88"/>
        <v>46.287370085246671</v>
      </c>
      <c r="Z238" s="383">
        <f t="shared" si="89"/>
        <v>48.806340931006282</v>
      </c>
      <c r="AA238" s="384">
        <f t="shared" si="90"/>
        <v>51.969074998847887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6.0858001954272309E-2</v>
      </c>
      <c r="AD238" s="230">
        <f>(INDEX(Models!$BJ238:$BT238,,AH238)*(1-AF238)+INDEX(Models!$BJ238:$BT238,,AH238+1)*AF238-ERP_i)*AE238*Ramure*Pc/MaxiM</f>
        <v>9.0788669514749068E-4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'2025'!Wh/'2025'!Env_an*'2026'!Env_an</f>
        <v>36.412698637239394</v>
      </c>
      <c r="C239" s="829"/>
      <c r="D239" s="391">
        <f t="shared" si="77"/>
        <v>38.39502309929459</v>
      </c>
      <c r="E239" s="383">
        <f t="shared" si="100"/>
        <v>39.143990646982076</v>
      </c>
      <c r="F239" s="383">
        <f t="shared" si="78"/>
        <v>39.144800368302043</v>
      </c>
      <c r="G239" s="110">
        <f t="shared" si="101"/>
        <v>0.67777218580903109</v>
      </c>
      <c r="H239" s="412" t="b">
        <f>Wh_hp&gt;='2025'!Maxi_hp</f>
        <v>0</v>
      </c>
      <c r="I239" s="388">
        <f>IF(H239,Wh_hp,'2025'!Maxi_hp)</f>
        <v>49.870847104426645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5.1629724428831403E-2</v>
      </c>
      <c r="M239" s="832"/>
      <c r="N239" s="832"/>
      <c r="O239" s="48">
        <f>IF(t&lt;Tnet,'2025'!Resal+('2025'!Salim-'2025'!Resal)*(1-EXP(('2025'!Tnet-t)/('2025'!Tau_j))),Resal+(Salim-Resal)*(1-EXP((Tnet-t)/(Tau_j))))*Salcycl</f>
        <v>1.9133653347764432E-2</v>
      </c>
      <c r="P239" s="169">
        <f>(INDEX(Models!$BJ239:$BT239,,T239)*(1-R239)+INDEX(Models!$BJ239:$BT239,,T239+1)*R239-ERP_i)*Q239*Ramure*Pc/MaxiM</f>
        <v>3.8327968919842668E-5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53.723149117906644</v>
      </c>
      <c r="W239" s="400">
        <f t="shared" si="86"/>
        <v>36.412698637239394</v>
      </c>
      <c r="X239" s="157">
        <f t="shared" si="87"/>
        <v>46247</v>
      </c>
      <c r="Y239" s="383">
        <f t="shared" si="88"/>
        <v>34.845543795290006</v>
      </c>
      <c r="Z239" s="383">
        <f t="shared" si="89"/>
        <v>36.742551609711526</v>
      </c>
      <c r="AA239" s="384">
        <f t="shared" si="90"/>
        <v>39.125107380469409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6.0895827009211263E-2</v>
      </c>
      <c r="AD239" s="230">
        <f>(INDEX(Models!$BJ239:$BT239,,AH239)*(1-AF239)+INDEX(Models!$BJ239:$BT239,,AH239+1)*AF239-ERP_i)*AE239*Ramure*Pc/MaxiM</f>
        <v>9.3216296394340735E-4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'2025'!Wh/'2025'!Env_an*'2026'!Env_an</f>
        <v>34.563280968213682</v>
      </c>
      <c r="C240" s="829"/>
      <c r="D240" s="391">
        <f t="shared" si="77"/>
        <v>36.44562073340672</v>
      </c>
      <c r="E240" s="383">
        <f t="shared" si="100"/>
        <v>37.159498693214431</v>
      </c>
      <c r="F240" s="383">
        <f t="shared" si="78"/>
        <v>37.16022118159303</v>
      </c>
      <c r="G240" s="110">
        <f t="shared" si="101"/>
        <v>0.64525053187832815</v>
      </c>
      <c r="H240" s="412" t="b">
        <f>Wh_hp&gt;='2025'!Maxi_hp</f>
        <v>0</v>
      </c>
      <c r="I240" s="388">
        <f>IF(H240,Wh_hp,'2025'!Maxi_hp)</f>
        <v>56.99494858795164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5.164789972880468E-2</v>
      </c>
      <c r="M240" s="832"/>
      <c r="N240" s="832"/>
      <c r="O240" s="48">
        <f>IF(t&lt;Tnet,'2025'!Resal+('2025'!Salim-'2025'!Resal)*(1-EXP(('2025'!Tnet-t)/('2025'!Tau_j))),Resal+(Salim-Resal)*(1-EXP((Tnet-t)/(Tau_j))))*Salcycl</f>
        <v>1.9211183813361482E-2</v>
      </c>
      <c r="P240" s="169">
        <f>(INDEX(Models!$BJ240:$BT240,,T240)*(1-R240)+INDEX(Models!$BJ240:$BT240,,T240+1)*R240-ERP_i)*Q240*Ramure*Pc/MaxiM</f>
        <v>3.9418495553480264E-5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53.564606012729151</v>
      </c>
      <c r="W240" s="400">
        <f t="shared" si="86"/>
        <v>34.563280968213682</v>
      </c>
      <c r="X240" s="157">
        <f t="shared" si="87"/>
        <v>46248</v>
      </c>
      <c r="Y240" s="383">
        <f t="shared" si="88"/>
        <v>33.077983263151793</v>
      </c>
      <c r="Z240" s="383">
        <f t="shared" si="89"/>
        <v>34.879432706156976</v>
      </c>
      <c r="AA240" s="384">
        <f t="shared" si="90"/>
        <v>37.142663954539564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6.0933465923517199E-2</v>
      </c>
      <c r="AD240" s="230">
        <f>(INDEX(Models!$BJ240:$BT240,,AH240)*(1-AF240)+INDEX(Models!$BJ240:$BT240,,AH240+1)*AF240-ERP_i)*AE240*Ramure*Pc/MaxiM</f>
        <v>9.5791087723304756E-4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'2025'!Wh/'2025'!Env_an*'2026'!Env_an</f>
        <v>39.153724950291441</v>
      </c>
      <c r="C241" s="829"/>
      <c r="D241" s="391">
        <f t="shared" si="77"/>
        <v>41.286854666828809</v>
      </c>
      <c r="E241" s="383">
        <f t="shared" si="100"/>
        <v>42.098882694282125</v>
      </c>
      <c r="F241" s="383">
        <f t="shared" si="78"/>
        <v>42.099939202109852</v>
      </c>
      <c r="G241" s="110">
        <f t="shared" si="101"/>
        <v>0.73316281228455282</v>
      </c>
      <c r="H241" s="412" t="b">
        <f>Wh_hp&gt;='2025'!Maxi_hp</f>
        <v>0</v>
      </c>
      <c r="I241" s="388">
        <f>IF(H241,Wh_hp,'2025'!Maxi_hp)</f>
        <v>50.673625731633024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5.1666074680452478E-2</v>
      </c>
      <c r="M241" s="832"/>
      <c r="N241" s="832"/>
      <c r="O241" s="48">
        <f>IF(t&lt;Tnet,'2025'!Resal+('2025'!Salim-'2025'!Resal)*(1-EXP(('2025'!Tnet-t)/('2025'!Tau_j))),Resal+(Salim-Resal)*(1-EXP((Tnet-t)/(Tau_j))))*Salcycl</f>
        <v>1.9288588567781862E-2</v>
      </c>
      <c r="P241" s="169">
        <f>(INDEX(Models!$BJ241:$BT241,,T241)*(1-R241)+INDEX(Models!$BJ241:$BT241,,T241+1)*R241-ERP_i)*Q241*Ramure*Pc/MaxiM</f>
        <v>4.0553352488815157E-5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53.403035500645011</v>
      </c>
      <c r="W241" s="400">
        <f t="shared" si="86"/>
        <v>39.153724950291441</v>
      </c>
      <c r="X241" s="157">
        <f t="shared" si="87"/>
        <v>46249</v>
      </c>
      <c r="Y241" s="383">
        <f t="shared" si="88"/>
        <v>37.467704912985191</v>
      </c>
      <c r="Z241" s="383">
        <f t="shared" si="89"/>
        <v>39.508978760155813</v>
      </c>
      <c r="AA241" s="384">
        <f t="shared" si="90"/>
        <v>42.074286479175854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6.0970914391850817E-2</v>
      </c>
      <c r="AD241" s="230">
        <f>(INDEX(Models!$BJ241:$BT241,,AH241)*(1-AF241)+INDEX(Models!$BJ241:$BT241,,AH241+1)*AF241-ERP_i)*AE241*Ramure*Pc/MaxiM</f>
        <v>9.846627617333477E-4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'2025'!Wh/'2025'!Env_an*'2026'!Env_an</f>
        <v>36.214142507174046</v>
      </c>
      <c r="C242" s="829"/>
      <c r="D242" s="391">
        <f t="shared" si="77"/>
        <v>38.187853022395963</v>
      </c>
      <c r="E242" s="383">
        <f t="shared" si="100"/>
        <v>38.941998532934953</v>
      </c>
      <c r="F242" s="383">
        <f t="shared" si="78"/>
        <v>38.942881321489409</v>
      </c>
      <c r="G242" s="110">
        <f t="shared" si="101"/>
        <v>0.68021512194904521</v>
      </c>
      <c r="H242" s="412" t="b">
        <f>Wh_hp&gt;='2025'!Maxi_hp</f>
        <v>0</v>
      </c>
      <c r="I242" s="388">
        <f>IF(H242,Wh_hp,'2025'!Maxi_hp)</f>
        <v>55.891220971481495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5.1684249283781458E-2</v>
      </c>
      <c r="M242" s="832"/>
      <c r="N242" s="832"/>
      <c r="O242" s="48">
        <f>IF(t&lt;Tnet,'2025'!Resal+('2025'!Salim-'2025'!Resal)*(1-EXP(('2025'!Tnet-t)/('2025'!Tau_j))),Resal+(Salim-Resal)*(1-EXP((Tnet-t)/(Tau_j))))*Salcycl</f>
        <v>1.9365865619382031E-2</v>
      </c>
      <c r="P242" s="169">
        <f>(INDEX(Models!$BJ242:$BT242,,T242)*(1-R242)+INDEX(Models!$BJ242:$BT242,,T242+1)*R242-ERP_i)*Q242*Ramure*Pc/MaxiM</f>
        <v>4.1733273762932559E-5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53.238234375537502</v>
      </c>
      <c r="W242" s="400">
        <f t="shared" si="86"/>
        <v>36.214142507174046</v>
      </c>
      <c r="X242" s="157">
        <f t="shared" si="87"/>
        <v>46250</v>
      </c>
      <c r="Y242" s="383">
        <f t="shared" si="88"/>
        <v>34.658036897762976</v>
      </c>
      <c r="Z242" s="383">
        <f t="shared" si="89"/>
        <v>36.546937949293138</v>
      </c>
      <c r="AA242" s="384">
        <f t="shared" si="90"/>
        <v>38.921465217411416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6.100816746888657E-2</v>
      </c>
      <c r="AD242" s="230">
        <f>(INDEX(Models!$BJ242:$BT242,,AH242)*(1-AF242)+INDEX(Models!$BJ242:$BT242,,AH242+1)*AF242-ERP_i)*AE242*Ramure*Pc/MaxiM</f>
        <v>1.0124328525871658E-3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'2025'!Wh/'2025'!Env_an*'2026'!Env_an</f>
        <v>29.054791496115961</v>
      </c>
      <c r="C243" s="829"/>
      <c r="D243" s="391">
        <f t="shared" si="77"/>
        <v>30.638896710609384</v>
      </c>
      <c r="E243" s="383">
        <f t="shared" si="100"/>
        <v>31.246421278599964</v>
      </c>
      <c r="F243" s="383">
        <f t="shared" si="78"/>
        <v>31.246895852828953</v>
      </c>
      <c r="G243" s="110">
        <f t="shared" si="101"/>
        <v>0.54746532622541078</v>
      </c>
      <c r="H243" s="412" t="b">
        <f>Wh_hp&gt;='2025'!Maxi_hp</f>
        <v>0</v>
      </c>
      <c r="I243" s="388">
        <f>IF(H243,Wh_hp,'2025'!Maxi_hp)</f>
        <v>54.973908818601828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5.1702423538798392E-2</v>
      </c>
      <c r="M243" s="832"/>
      <c r="N243" s="832"/>
      <c r="O243" s="48">
        <f>IF(t&lt;Tnet,'2025'!Resal+('2025'!Salim-'2025'!Resal)*(1-EXP(('2025'!Tnet-t)/('2025'!Tau_j))),Resal+(Salim-Resal)*(1-EXP((Tnet-t)/(Tau_j))))*Salcycl</f>
        <v>1.9443012771726956E-2</v>
      </c>
      <c r="P243" s="169">
        <f>(INDEX(Models!$BJ243:$BT243,,T243)*(1-R243)+INDEX(Models!$BJ243:$BT243,,T243+1)*R243-ERP_i)*Q243*Ramure*Pc/MaxiM</f>
        <v>4.2959010798886992E-5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53.069999519200714</v>
      </c>
      <c r="W243" s="400">
        <f t="shared" si="86"/>
        <v>29.054791496115961</v>
      </c>
      <c r="X243" s="157">
        <f t="shared" si="87"/>
        <v>46251</v>
      </c>
      <c r="Y243" s="383">
        <f t="shared" si="88"/>
        <v>27.812260913458335</v>
      </c>
      <c r="Z243" s="383">
        <f t="shared" si="89"/>
        <v>29.328621736276514</v>
      </c>
      <c r="AA243" s="384">
        <f t="shared" si="90"/>
        <v>31.235393172628125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6.1045219626770404E-2</v>
      </c>
      <c r="AD243" s="230">
        <f>(INDEX(Models!$BJ243:$BT243,,AH243)*(1-AF243)+INDEX(Models!$BJ243:$BT243,,AH243+1)*AF243-ERP_i)*AE243*Ramure*Pc/MaxiM</f>
        <v>1.041235981182018E-3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'2025'!Wh/'2025'!Env_an*'2026'!Env_an</f>
        <v>36.863400279488758</v>
      </c>
      <c r="C244" s="829"/>
      <c r="D244" s="391">
        <f t="shared" si="77"/>
        <v>38.87398606379675</v>
      </c>
      <c r="E244" s="383">
        <f t="shared" si="100"/>
        <v>39.647914449623421</v>
      </c>
      <c r="F244" s="383">
        <f t="shared" si="78"/>
        <v>39.648908749417274</v>
      </c>
      <c r="G244" s="110">
        <f t="shared" si="101"/>
        <v>0.69686198082778228</v>
      </c>
      <c r="H244" s="412" t="b">
        <f>Wh_hp&gt;='2025'!Maxi_hp</f>
        <v>0</v>
      </c>
      <c r="I244" s="388">
        <f>IF(H244,Wh_hp,'2025'!Maxi_hp)</f>
        <v>54.287330596628593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5.1720597445509831E-2</v>
      </c>
      <c r="M244" s="832"/>
      <c r="N244" s="832"/>
      <c r="O244" s="48">
        <f>IF(t&lt;Tnet,'2025'!Resal+('2025'!Salim-'2025'!Resal)*(1-EXP(('2025'!Tnet-t)/('2025'!Tau_j))),Resal+(Salim-Resal)*(1-EXP((Tnet-t)/(Tau_j))))*Salcycl</f>
        <v>1.9520027637519862E-2</v>
      </c>
      <c r="P244" s="169">
        <f>(INDEX(Models!$BJ244:$BT244,,T244)*(1-R244)+INDEX(Models!$BJ244:$BT244,,T244+1)*R244-ERP_i)*Q244*Ramure*Pc/MaxiM</f>
        <v>4.423133504851716E-5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52.898127899715504</v>
      </c>
      <c r="W244" s="400">
        <f t="shared" si="86"/>
        <v>36.863400279488758</v>
      </c>
      <c r="X244" s="157">
        <f t="shared" si="87"/>
        <v>46252</v>
      </c>
      <c r="Y244" s="383">
        <f t="shared" si="88"/>
        <v>35.280227550121239</v>
      </c>
      <c r="Z244" s="383">
        <f t="shared" si="89"/>
        <v>37.204464691611776</v>
      </c>
      <c r="AA244" s="384">
        <f t="shared" si="90"/>
        <v>39.624831198914372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6.1082064808112235E-2</v>
      </c>
      <c r="AD244" s="230">
        <f>(INDEX(Models!$BJ244:$BT244,,AH244)*(1-AF244)+INDEX(Models!$BJ244:$BT244,,AH244+1)*AF244-ERP_i)*AE244*Ramure*Pc/MaxiM</f>
        <v>1.0710876236968102E-3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'2025'!Wh/'2025'!Env_an*'2026'!Env_an</f>
        <v>41.990888117117272</v>
      </c>
      <c r="C245" s="829"/>
      <c r="D245" s="391">
        <f t="shared" si="77"/>
        <v>44.281983522170307</v>
      </c>
      <c r="E245" s="383">
        <f t="shared" si="100"/>
        <v>45.16711938972459</v>
      </c>
      <c r="F245" s="383">
        <f t="shared" si="78"/>
        <v>45.168578587585742</v>
      </c>
      <c r="G245" s="110">
        <f t="shared" si="101"/>
        <v>0.79644171567969613</v>
      </c>
      <c r="H245" s="412" t="b">
        <f>Wh_hp&gt;='2025'!Maxi_hp</f>
        <v>0</v>
      </c>
      <c r="I245" s="388">
        <f>IF(H245,Wh_hp,'2025'!Maxi_hp)</f>
        <v>46.197672752985881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5.1738771003922435E-2</v>
      </c>
      <c r="M245" s="832"/>
      <c r="N245" s="832"/>
      <c r="O245" s="48">
        <f>IF(t&lt;Tnet,'2025'!Resal+('2025'!Salim-'2025'!Resal)*(1-EXP(('2025'!Tnet-t)/('2025'!Tau_j))),Resal+(Salim-Resal)*(1-EXP((Tnet-t)/(Tau_j))))*Salcycl</f>
        <v>1.9596907651269195E-2</v>
      </c>
      <c r="P245" s="169">
        <f>(INDEX(Models!$BJ245:$BT245,,T245)*(1-R245)+INDEX(Models!$BJ245:$BT245,,T245+1)*R245-ERP_i)*Q245*Ramure*Pc/MaxiM</f>
        <v>4.5551040699317009E-5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52.722416574244612</v>
      </c>
      <c r="W245" s="400">
        <f t="shared" si="86"/>
        <v>41.990888117117272</v>
      </c>
      <c r="X245" s="157">
        <f t="shared" si="87"/>
        <v>46253</v>
      </c>
      <c r="Y245" s="383">
        <f t="shared" si="88"/>
        <v>40.18237004196051</v>
      </c>
      <c r="Z245" s="383">
        <f t="shared" si="89"/>
        <v>42.374789576181989</v>
      </c>
      <c r="AA245" s="384">
        <f t="shared" si="90"/>
        <v>45.133276610193917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6.1118696473920341E-2</v>
      </c>
      <c r="AD245" s="230">
        <f>(INDEX(Models!$BJ245:$BT245,,AH245)*(1-AF245)+INDEX(Models!$BJ245:$BT245,,AH245+1)*AF245-ERP_i)*AE245*Ramure*Pc/MaxiM</f>
        <v>1.1020039514519611E-3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'2025'!Wh/'2025'!Env_an*'2026'!Env_an</f>
        <v>50.427050566158044</v>
      </c>
      <c r="C246" s="829"/>
      <c r="D246" s="391">
        <f t="shared" si="77"/>
        <v>53.179456742091588</v>
      </c>
      <c r="E246" s="383">
        <f t="shared" si="100"/>
        <v>54.246687081764151</v>
      </c>
      <c r="F246" s="383">
        <f t="shared" si="78"/>
        <v>54.249085983170417</v>
      </c>
      <c r="G246" s="110">
        <f t="shared" si="101"/>
        <v>0.95973275608421615</v>
      </c>
      <c r="H246" s="412" t="b">
        <f>Wh_hp&gt;='2025'!Maxi_hp</f>
        <v>1</v>
      </c>
      <c r="I246" s="388">
        <f>IF(H246,Wh_hp,'2025'!Maxi_hp)</f>
        <v>54.249085983170417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5.1756944214042977E-2</v>
      </c>
      <c r="M246" s="832"/>
      <c r="N246" s="832"/>
      <c r="O246" s="48">
        <f>IF(t&lt;Tnet,'2025'!Resal+('2025'!Salim-'2025'!Resal)*(1-EXP(('2025'!Tnet-t)/('2025'!Tau_j))),Resal+(Salim-Resal)*(1-EXP((Tnet-t)/(Tau_j))))*Salcycl</f>
        <v>1.9673650080491874E-2</v>
      </c>
      <c r="P246" s="169">
        <f>(INDEX(Models!$BJ246:$BT246,,T246)*(1-R246)+INDEX(Models!$BJ246:$BT246,,T246+1)*R246-ERP_i)*Q246*Ramure*Pc/MaxiM</f>
        <v>4.6918947461780507E-5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52.542662680670176</v>
      </c>
      <c r="W246" s="400">
        <f t="shared" si="86"/>
        <v>50.427050566158044</v>
      </c>
      <c r="X246" s="157">
        <f t="shared" si="87"/>
        <v>46254</v>
      </c>
      <c r="Y246" s="383">
        <f t="shared" si="88"/>
        <v>48.243802819020502</v>
      </c>
      <c r="Z246" s="383">
        <f t="shared" si="89"/>
        <v>50.877043100551191</v>
      </c>
      <c r="AA246" s="384">
        <f t="shared" si="90"/>
        <v>54.191106022832109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6.1155107645978278E-2</v>
      </c>
      <c r="AD246" s="230">
        <f>(INDEX(Models!$BJ246:$BT246,,AH246)*(1-AF246)+INDEX(Models!$BJ246:$BT246,,AH246+1)*AF246-ERP_i)*AE246*Ramure*Pc/MaxiM</f>
        <v>1.1340018834647381E-3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'2025'!Wh/'2025'!Env_an*'2026'!Env_an</f>
        <v>34.063442677546526</v>
      </c>
      <c r="C247" s="829"/>
      <c r="D247" s="391">
        <f t="shared" si="77"/>
        <v>35.923379876408838</v>
      </c>
      <c r="E247" s="383">
        <f t="shared" si="100"/>
        <v>36.647170734801072</v>
      </c>
      <c r="F247" s="383">
        <f t="shared" si="78"/>
        <v>36.648057883621021</v>
      </c>
      <c r="G247" s="110">
        <f t="shared" si="101"/>
        <v>0.65055688309894766</v>
      </c>
      <c r="H247" s="412" t="b">
        <f>Wh_hp&gt;='2025'!Maxi_hp</f>
        <v>0</v>
      </c>
      <c r="I247" s="388">
        <f>IF(H247,Wh_hp,'2025'!Maxi_hp)</f>
        <v>54.553633144965026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5.1775117075878119E-2</v>
      </c>
      <c r="M247" s="832"/>
      <c r="N247" s="832"/>
      <c r="O247" s="48">
        <f>IF(t&lt;Tnet,'2025'!Resal+('2025'!Salim-'2025'!Resal)*(1-EXP(('2025'!Tnet-t)/('2025'!Tau_j))),Resal+(Salim-Resal)*(1-EXP((Tnet-t)/(Tau_j))))*Salcycl</f>
        <v>1.975025203527938E-2</v>
      </c>
      <c r="P247" s="169">
        <f>(INDEX(Models!$BJ247:$BT247,,T247)*(1-R247)+INDEX(Models!$BJ247:$BT247,,T247+1)*R247-ERP_i)*Q247*Ramure*Pc/MaxiM</f>
        <v>4.8335432499662437E-5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52.359173584549239</v>
      </c>
      <c r="W247" s="400">
        <f t="shared" si="86"/>
        <v>34.063442677546526</v>
      </c>
      <c r="X247" s="157">
        <f t="shared" si="87"/>
        <v>46255</v>
      </c>
      <c r="Y247" s="383">
        <f t="shared" si="88"/>
        <v>32.605097519542035</v>
      </c>
      <c r="Z247" s="383">
        <f t="shared" si="89"/>
        <v>34.385405937666306</v>
      </c>
      <c r="AA247" s="384">
        <f t="shared" si="90"/>
        <v>36.626637147640935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6.1191290943263164E-2</v>
      </c>
      <c r="AD247" s="230">
        <f>(INDEX(Models!$BJ247:$BT247,,AH247)*(1-AF247)+INDEX(Models!$BJ247:$BT247,,AH247+1)*AF247-ERP_i)*AE247*Ramure*Pc/MaxiM</f>
        <v>1.1670877701403515E-3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'2025'!Wh/'2025'!Env_an*'2026'!Env_an</f>
        <v>27.147921245381632</v>
      </c>
      <c r="C248" s="829"/>
      <c r="D248" s="391">
        <f t="shared" si="77"/>
        <v>28.630804810089153</v>
      </c>
      <c r="E248" s="383">
        <f t="shared" si="100"/>
        <v>29.209941870580394</v>
      </c>
      <c r="F248" s="383">
        <f t="shared" si="78"/>
        <v>29.210399908865941</v>
      </c>
      <c r="G248" s="110">
        <f t="shared" si="101"/>
        <v>0.52033256693164109</v>
      </c>
      <c r="H248" s="412" t="b">
        <f>Wh_hp&gt;='2025'!Maxi_hp</f>
        <v>0</v>
      </c>
      <c r="I248" s="388">
        <f>IF(H248,Wh_hp,'2025'!Maxi_hp)</f>
        <v>56.59830554422004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5.1793289589434521E-2</v>
      </c>
      <c r="M248" s="832"/>
      <c r="N248" s="832"/>
      <c r="O248" s="48">
        <f>IF(t&lt;Tnet,'2025'!Resal+('2025'!Salim-'2025'!Resal)*(1-EXP(('2025'!Tnet-t)/('2025'!Tau_j))),Resal+(Salim-Resal)*(1-EXP((Tnet-t)/(Tau_j))))*Salcycl</f>
        <v>1.9826710476084027E-2</v>
      </c>
      <c r="P248" s="169">
        <f>(INDEX(Models!$BJ248:$BT248,,T248)*(1-R248)+INDEX(Models!$BJ248:$BT248,,T248+1)*R248-ERP_i)*Q248*Ramure*Pc/MaxiM</f>
        <v>4.9813678753040724E-5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52.172391880774143</v>
      </c>
      <c r="W248" s="400">
        <f t="shared" si="86"/>
        <v>27.147921245381632</v>
      </c>
      <c r="X248" s="157">
        <f t="shared" si="87"/>
        <v>46256</v>
      </c>
      <c r="Y248" s="383">
        <f t="shared" si="88"/>
        <v>25.991821257291704</v>
      </c>
      <c r="Z248" s="383">
        <f t="shared" si="89"/>
        <v>27.41155591067001</v>
      </c>
      <c r="AA248" s="384">
        <f t="shared" si="90"/>
        <v>29.199351576993404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6.1227238612107535E-2</v>
      </c>
      <c r="AD248" s="230">
        <f>(INDEX(Models!$BJ248:$BT248,,AH248)*(1-AF248)+INDEX(Models!$BJ248:$BT248,,AH248+1)*AF248-ERP_i)*AE248*Ramure*Pc/MaxiM</f>
        <v>1.2015546997293715E-3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'2025'!Wh/'2025'!Env_an*'2026'!Env_an</f>
        <v>49.234166388931676</v>
      </c>
      <c r="C249" s="829"/>
      <c r="D249" s="391">
        <f t="shared" si="77"/>
        <v>51.924447937373806</v>
      </c>
      <c r="E249" s="383">
        <f t="shared" si="100"/>
        <v>52.978887920832634</v>
      </c>
      <c r="F249" s="383">
        <f t="shared" si="78"/>
        <v>52.981402791802843</v>
      </c>
      <c r="G249" s="110">
        <f t="shared" si="101"/>
        <v>0.94712926006454856</v>
      </c>
      <c r="H249" s="412" t="b">
        <f>Wh_hp&gt;='2025'!Maxi_hp</f>
        <v>0</v>
      </c>
      <c r="I249" s="388">
        <f>IF(H249,Wh_hp,'2025'!Maxi_hp)</f>
        <v>53.920594526150673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5.1811461754718846E-2</v>
      </c>
      <c r="M249" s="832"/>
      <c r="N249" s="832"/>
      <c r="O249" s="48">
        <f>IF(t&lt;Tnet,'2025'!Resal+('2025'!Salim-'2025'!Resal)*(1-EXP(('2025'!Tnet-t)/('2025'!Tau_j))),Resal+(Salim-Resal)*(1-EXP((Tnet-t)/(Tau_j))))*Salcycl</f>
        <v>1.990302221961502E-2</v>
      </c>
      <c r="P249" s="169">
        <f>(INDEX(Models!$BJ249:$BT249,,T249)*(1-R249)+INDEX(Models!$BJ249:$BT249,,T249+1)*R249-ERP_i)*Q249*Ramure*Pc/MaxiM</f>
        <v>5.1344838584536516E-5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51.982319136560733</v>
      </c>
      <c r="W249" s="400">
        <f t="shared" si="86"/>
        <v>49.234166388931676</v>
      </c>
      <c r="X249" s="157">
        <f t="shared" si="87"/>
        <v>46257</v>
      </c>
      <c r="Y249" s="383">
        <f t="shared" si="88"/>
        <v>47.104806020520861</v>
      </c>
      <c r="Z249" s="383">
        <f t="shared" si="89"/>
        <v>49.678733838834489</v>
      </c>
      <c r="AA249" s="384">
        <f t="shared" si="90"/>
        <v>52.920818928548549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6.1262942549913789E-2</v>
      </c>
      <c r="AD249" s="230">
        <f>(INDEX(Models!$BJ249:$BT249,,AH249)*(1-AF249)+INDEX(Models!$BJ249:$BT249,,AH249+1)*AF249-ERP_i)*AE249*Ramure*Pc/MaxiM</f>
        <v>1.2369098520215217E-3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'2025'!Wh/'2025'!Env_an*'2026'!Env_an</f>
        <v>46.937431890701681</v>
      </c>
      <c r="C250" s="829"/>
      <c r="D250" s="391">
        <f t="shared" si="77"/>
        <v>49.503162672668203</v>
      </c>
      <c r="E250" s="383">
        <f t="shared" si="100"/>
        <v>50.51235837196473</v>
      </c>
      <c r="F250" s="383">
        <f t="shared" si="78"/>
        <v>50.514674278017935</v>
      </c>
      <c r="G250" s="110">
        <f t="shared" si="101"/>
        <v>0.9063148331672588</v>
      </c>
      <c r="H250" s="412" t="b">
        <f>Wh_hp&gt;='2025'!Maxi_hp</f>
        <v>0</v>
      </c>
      <c r="I250" s="388">
        <f>IF(H250,Wh_hp,'2025'!Maxi_hp)</f>
        <v>53.710943273979339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5.1829633571737754E-2</v>
      </c>
      <c r="M250" s="832"/>
      <c r="N250" s="832"/>
      <c r="O250" s="48">
        <f>IF(t&lt;Tnet,'2025'!Resal+('2025'!Salim-'2025'!Resal)*(1-EXP(('2025'!Tnet-t)/('2025'!Tau_j))),Resal+(Salim-Resal)*(1-EXP((Tnet-t)/(Tau_j))))*Salcycl</f>
        <v>1.9979183942768531E-2</v>
      </c>
      <c r="P250" s="169">
        <f>(INDEX(Models!$BJ250:$BT250,,T250)*(1-R250)+INDEX(Models!$BJ250:$BT250,,T250+1)*R250-ERP_i)*Q250*Ramure*Pc/MaxiM</f>
        <v>5.2929602095312695E-5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51.788956421363416</v>
      </c>
      <c r="W250" s="400">
        <f t="shared" si="86"/>
        <v>46.937431890701681</v>
      </c>
      <c r="X250" s="157">
        <f t="shared" si="87"/>
        <v>46258</v>
      </c>
      <c r="Y250" s="383">
        <f t="shared" si="88"/>
        <v>44.910955999850529</v>
      </c>
      <c r="Z250" s="383">
        <f t="shared" si="89"/>
        <v>47.365913964416706</v>
      </c>
      <c r="AA250" s="384">
        <f t="shared" si="90"/>
        <v>50.45896766121183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6.1298394322339196E-2</v>
      </c>
      <c r="AD250" s="230">
        <f>(INDEX(Models!$BJ250:$BT250,,AH250)*(1-AF250)+INDEX(Models!$BJ250:$BT250,,AH250+1)*AF250-ERP_i)*AE250*Ramure*Pc/MaxiM</f>
        <v>1.2731643658621715E-3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'2025'!Wh/'2025'!Env_an*'2026'!Env_an</f>
        <v>32.908373325578452</v>
      </c>
      <c r="C251" s="829"/>
      <c r="D251" s="391">
        <f t="shared" si="77"/>
        <v>34.70790185428411</v>
      </c>
      <c r="E251" s="383">
        <f t="shared" si="100"/>
        <v>35.418221084978285</v>
      </c>
      <c r="F251" s="383">
        <f t="shared" si="78"/>
        <v>35.419153937656127</v>
      </c>
      <c r="G251" s="110">
        <f t="shared" si="101"/>
        <v>0.63783628940056158</v>
      </c>
      <c r="H251" s="412" t="b">
        <f>Wh_hp&gt;='2025'!Maxi_hp</f>
        <v>0</v>
      </c>
      <c r="I251" s="388">
        <f>IF(H251,Wh_hp,'2025'!Maxi_hp)</f>
        <v>50.59926404911738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5.1847805040497907E-2</v>
      </c>
      <c r="M251" s="832"/>
      <c r="N251" s="832"/>
      <c r="O251" s="48">
        <f>IF(t&lt;Tnet,'2025'!Resal+('2025'!Salim-'2025'!Resal)*(1-EXP(('2025'!Tnet-t)/('2025'!Tau_j))),Resal+(Salim-Resal)*(1-EXP((Tnet-t)/(Tau_j))))*Salcycl</f>
        <v>2.0055192184551492E-2</v>
      </c>
      <c r="P251" s="169">
        <f>(INDEX(Models!$BJ251:$BT251,,T251)*(1-R251)+INDEX(Models!$BJ251:$BT251,,T251+1)*R251-ERP_i)*Q251*Ramure*Pc/MaxiM</f>
        <v>5.4568683016115681E-5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51.592304806592381</v>
      </c>
      <c r="W251" s="400">
        <f t="shared" si="86"/>
        <v>32.908373325578452</v>
      </c>
      <c r="X251" s="157">
        <f t="shared" si="87"/>
        <v>46259</v>
      </c>
      <c r="Y251" s="383">
        <f t="shared" si="88"/>
        <v>31.503062108635643</v>
      </c>
      <c r="Z251" s="383">
        <f t="shared" si="89"/>
        <v>33.225744006194297</v>
      </c>
      <c r="AA251" s="384">
        <f t="shared" si="90"/>
        <v>35.396753821593386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6.1333585173979549E-2</v>
      </c>
      <c r="AD251" s="230">
        <f>(INDEX(Models!$BJ251:$BT251,,AH251)*(1-AF251)+INDEX(Models!$BJ251:$BT251,,AH251+1)*AF251-ERP_i)*AE251*Ramure*Pc/MaxiM</f>
        <v>1.3103299824132881E-3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'2025'!Wh/'2025'!Env_an*'2026'!Env_an</f>
        <v>43.702569008400687</v>
      </c>
      <c r="C252" s="829"/>
      <c r="D252" s="391">
        <f t="shared" si="77"/>
        <v>46.09323988970359</v>
      </c>
      <c r="E252" s="383">
        <f t="shared" si="100"/>
        <v>47.04020836326923</v>
      </c>
      <c r="F252" s="383">
        <f t="shared" si="78"/>
        <v>47.042289338521044</v>
      </c>
      <c r="G252" s="110">
        <f t="shared" si="101"/>
        <v>0.85036061450176414</v>
      </c>
      <c r="H252" s="412" t="b">
        <f>Wh_hp&gt;='2025'!Maxi_hp</f>
        <v>0</v>
      </c>
      <c r="I252" s="388">
        <f>IF(H252,Wh_hp,'2025'!Maxi_hp)</f>
        <v>53.844483293966427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5.1865976161006078E-2</v>
      </c>
      <c r="M252" s="832"/>
      <c r="N252" s="832"/>
      <c r="O252" s="48">
        <f>IF(t&lt;Tnet,'2025'!Resal+('2025'!Salim-'2025'!Resal)*(1-EXP(('2025'!Tnet-t)/('2025'!Tau_j))),Resal+(Salim-Resal)*(1-EXP((Tnet-t)/(Tau_j))))*Salcycl</f>
        <v>2.0131043345995584E-2</v>
      </c>
      <c r="P252" s="169">
        <f>(INDEX(Models!$BJ252:$BT252,,T252)*(1-R252)+INDEX(Models!$BJ252:$BT252,,T252+1)*R252-ERP_i)*Q252*Ramure*Pc/MaxiM</f>
        <v>5.6262767297792331E-5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51.392365369341135</v>
      </c>
      <c r="W252" s="400">
        <f t="shared" si="86"/>
        <v>43.702569008400687</v>
      </c>
      <c r="X252" s="157">
        <f t="shared" si="87"/>
        <v>46260</v>
      </c>
      <c r="Y252" s="383">
        <f t="shared" si="88"/>
        <v>41.820827838707814</v>
      </c>
      <c r="Z252" s="383">
        <f t="shared" si="89"/>
        <v>44.108561434569467</v>
      </c>
      <c r="AA252" s="384">
        <f t="shared" si="90"/>
        <v>46.992415786237828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6.1368506032688883E-2</v>
      </c>
      <c r="AD252" s="230">
        <f>(INDEX(Models!$BJ252:$BT252,,AH252)*(1-AF252)+INDEX(Models!$BJ252:$BT252,,AH252+1)*AF252-ERP_i)*AE252*Ramure*Pc/MaxiM</f>
        <v>1.3484177978453861E-3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'2025'!Wh/'2025'!Env_an*'2026'!Env_an</f>
        <v>49.700112319156105</v>
      </c>
      <c r="C253" s="829"/>
      <c r="D253" s="391">
        <f t="shared" si="77"/>
        <v>52.419872696357146</v>
      </c>
      <c r="E253" s="383">
        <f t="shared" si="100"/>
        <v>53.50095218930597</v>
      </c>
      <c r="F253" s="383">
        <f t="shared" si="78"/>
        <v>53.503927104775158</v>
      </c>
      <c r="G253" s="110">
        <f t="shared" si="101"/>
        <v>0.97090893278895973</v>
      </c>
      <c r="H253" s="412" t="b">
        <f>Wh_hp&gt;='2025'!Maxi_hp</f>
        <v>1</v>
      </c>
      <c r="I253" s="388">
        <f>IF(H253,Wh_hp,'2025'!Maxi_hp)</f>
        <v>53.503927104775158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5.1884146933268815E-2</v>
      </c>
      <c r="M253" s="832"/>
      <c r="N253" s="832"/>
      <c r="O253" s="48">
        <f>IF(t&lt;Tnet,'2025'!Resal+('2025'!Salim-'2025'!Resal)*(1-EXP(('2025'!Tnet-t)/('2025'!Tau_j))),Resal+(Salim-Resal)*(1-EXP((Tnet-t)/(Tau_j))))*Salcycl</f>
        <v>2.0206733688095172E-2</v>
      </c>
      <c r="P253" s="169">
        <f>(INDEX(Models!$BJ253:$BT253,,T253)*(1-R253)+INDEX(Models!$BJ253:$BT253,,T253+1)*R253-ERP_i)*Q253*Ramure*Pc/MaxiM</f>
        <v>5.8012545324538618E-5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51.189139187516986</v>
      </c>
      <c r="W253" s="400">
        <f t="shared" si="86"/>
        <v>49.700112319156105</v>
      </c>
      <c r="X253" s="157">
        <f t="shared" si="87"/>
        <v>46261</v>
      </c>
      <c r="Y253" s="383">
        <f t="shared" si="88"/>
        <v>47.549752369379625</v>
      </c>
      <c r="Z253" s="383">
        <f t="shared" si="89"/>
        <v>50.151837684790756</v>
      </c>
      <c r="AA253" s="384">
        <f t="shared" si="90"/>
        <v>53.432778462472562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6.1403147507781301E-2</v>
      </c>
      <c r="AD253" s="230">
        <f>(INDEX(Models!$BJ253:$BT253,,AH253)*(1-AF253)+INDEX(Models!$BJ253:$BT253,,AH253+1)*AF253-ERP_i)*AE253*Ramure*Pc/MaxiM</f>
        <v>1.3874390311595431E-3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'2025'!Wh/'2025'!Env_an*'2026'!Env_an</f>
        <v>48.619104380746947</v>
      </c>
      <c r="C254" s="829"/>
      <c r="D254" s="391">
        <f t="shared" si="77"/>
        <v>51.280691083673041</v>
      </c>
      <c r="E254" s="383">
        <f t="shared" si="100"/>
        <v>52.342311417664661</v>
      </c>
      <c r="F254" s="383">
        <f t="shared" si="78"/>
        <v>52.345234799331784</v>
      </c>
      <c r="G254" s="110">
        <f t="shared" si="101"/>
        <v>0.95363683390229192</v>
      </c>
      <c r="H254" s="412" t="b">
        <f>Wh_hp&gt;='2025'!Maxi_hp</f>
        <v>0</v>
      </c>
      <c r="I254" s="388">
        <f>IF(H254,Wh_hp,'2025'!Maxi_hp)</f>
        <v>54.734917062438733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5.1902317357292782E-2</v>
      </c>
      <c r="M254" s="832"/>
      <c r="N254" s="832"/>
      <c r="O254" s="48">
        <f>IF(t&lt;Tnet,'2025'!Resal+('2025'!Salim-'2025'!Resal)*(1-EXP(('2025'!Tnet-t)/('2025'!Tau_j))),Resal+(Salim-Resal)*(1-EXP((Tnet-t)/(Tau_j))))*Salcycl</f>
        <v>2.028225932783969E-2</v>
      </c>
      <c r="P254" s="169">
        <f>(INDEX(Models!$BJ254:$BT254,,T254)*(1-R254)+INDEX(Models!$BJ254:$BT254,,T254+1)*R254-ERP_i)*Q254*Ramure*Pc/MaxiM</f>
        <v>5.980911543166814E-5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50.982627830969868</v>
      </c>
      <c r="W254" s="400">
        <f t="shared" si="86"/>
        <v>48.619104380746947</v>
      </c>
      <c r="X254" s="157">
        <f t="shared" si="87"/>
        <v>46262</v>
      </c>
      <c r="Y254" s="383">
        <f t="shared" si="88"/>
        <v>46.517242825269378</v>
      </c>
      <c r="Z254" s="383">
        <f t="shared" si="89"/>
        <v>49.06376597779272</v>
      </c>
      <c r="AA254" s="384">
        <f t="shared" si="90"/>
        <v>52.275438206457807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6.1437499882465496E-2</v>
      </c>
      <c r="AD254" s="230">
        <f>(INDEX(Models!$BJ254:$BT254,,AH254)*(1-AF254)+INDEX(Models!$BJ254:$BT254,,AH254+1)*AF254-ERP_i)*AE254*Ramure*Pc/MaxiM</f>
        <v>1.4279601349644481E-3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'2025'!Wh/'2025'!Env_an*'2026'!Env_an</f>
        <v>33.268682893253683</v>
      </c>
      <c r="C255" s="829"/>
      <c r="D255" s="391">
        <f t="shared" si="77"/>
        <v>35.090604165866935</v>
      </c>
      <c r="E255" s="383">
        <f t="shared" si="100"/>
        <v>35.819810113680411</v>
      </c>
      <c r="F255" s="383">
        <f t="shared" si="78"/>
        <v>35.820930370267661</v>
      </c>
      <c r="G255" s="110">
        <f t="shared" si="101"/>
        <v>0.65522584856087884</v>
      </c>
      <c r="H255" s="412" t="b">
        <f>Wh_hp&gt;='2025'!Maxi_hp</f>
        <v>0</v>
      </c>
      <c r="I255" s="388">
        <f>IF(H255,Wh_hp,'2025'!Maxi_hp)</f>
        <v>54.247939934538053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5.1920487433084861E-2</v>
      </c>
      <c r="M255" s="832"/>
      <c r="N255" s="832"/>
      <c r="O255" s="48">
        <f>IF(t&lt;Tnet,'2025'!Resal+('2025'!Salim-'2025'!Resal)*(1-EXP(('2025'!Tnet-t)/('2025'!Tau_j))),Resal+(Salim-Resal)*(1-EXP((Tnet-t)/(Tau_j))))*Salcycl</f>
        <v>2.0357616232448302E-2</v>
      </c>
      <c r="P255" s="169">
        <f>(INDEX(Models!$BJ255:$BT255,,T255)*(1-R255)+INDEX(Models!$BJ255:$BT255,,T255+1)*R255-ERP_i)*Q255*Ramure*Pc/MaxiM</f>
        <v>6.1623989516873689E-5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50.772833861621137</v>
      </c>
      <c r="W255" s="400">
        <f t="shared" si="86"/>
        <v>33.268682893253683</v>
      </c>
      <c r="X255" s="157">
        <f t="shared" si="87"/>
        <v>46263</v>
      </c>
      <c r="Y255" s="383">
        <f t="shared" si="88"/>
        <v>31.849676872400181</v>
      </c>
      <c r="Z255" s="383">
        <f t="shared" si="89"/>
        <v>33.593887907320685</v>
      </c>
      <c r="AA255" s="384">
        <f t="shared" si="90"/>
        <v>35.79421382305167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6.1471553100964221E-2</v>
      </c>
      <c r="AD255" s="230">
        <f>(INDEX(Models!$BJ255:$BT255,,AH255)*(1-AF255)+INDEX(Models!$BJ255:$BT255,,AH255+1)*AF255-ERP_i)*AE255*Ramure*Pc/MaxiM</f>
        <v>1.4696456546700676E-3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'2025'!Wh/'2025'!Env_an*'2026'!Env_an</f>
        <v>48.298251454784811</v>
      </c>
      <c r="C256" s="829"/>
      <c r="D256" s="391">
        <f t="shared" si="77"/>
        <v>50.944226151164855</v>
      </c>
      <c r="E256" s="383">
        <f t="shared" si="100"/>
        <v>52.006872180068633</v>
      </c>
      <c r="F256" s="383">
        <f t="shared" si="78"/>
        <v>52.009961699421908</v>
      </c>
      <c r="G256" s="110">
        <f t="shared" si="101"/>
        <v>0.95526674098480335</v>
      </c>
      <c r="H256" s="412" t="b">
        <f>Wh_hp&gt;='2025'!Maxi_hp</f>
        <v>0</v>
      </c>
      <c r="I256" s="388">
        <f>IF(H256,Wh_hp,'2025'!Maxi_hp)</f>
        <v>52.905760781813107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5.1938657160651491E-2</v>
      </c>
      <c r="M256" s="832"/>
      <c r="N256" s="832"/>
      <c r="O256" s="48">
        <f>IF(t&lt;Tnet,'2025'!Resal+('2025'!Salim-'2025'!Resal)*(1-EXP(('2025'!Tnet-t)/('2025'!Tau_j))),Resal+(Salim-Resal)*(1-EXP((Tnet-t)/(Tau_j))))*Salcycl</f>
        <v>2.0432800211950288E-2</v>
      </c>
      <c r="P256" s="169">
        <f>(INDEX(Models!$BJ256:$BT256,,T256)*(1-R256)+INDEX(Models!$BJ256:$BT256,,T256+1)*R256-ERP_i)*Q256*Ramure*Pc/MaxiM</f>
        <v>6.3457321007648888E-5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50.559758366934219</v>
      </c>
      <c r="W256" s="400">
        <f t="shared" si="86"/>
        <v>48.298251454784811</v>
      </c>
      <c r="X256" s="157">
        <f t="shared" si="87"/>
        <v>46264</v>
      </c>
      <c r="Y256" s="383">
        <f t="shared" si="88"/>
        <v>46.210371699602142</v>
      </c>
      <c r="Z256" s="383">
        <f t="shared" si="89"/>
        <v>48.741963849308227</v>
      </c>
      <c r="AA256" s="384">
        <f t="shared" si="90"/>
        <v>51.936322794961079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6.1505296750866016E-2</v>
      </c>
      <c r="AD256" s="230">
        <f>(INDEX(Models!$BJ256:$BT256,,AH256)*(1-AF256)+INDEX(Models!$BJ256:$BT256,,AH256+1)*AF256-ERP_i)*AE256*Ramure*Pc/MaxiM</f>
        <v>1.5125095733980985E-3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'2025'!Wh/'2025'!Env_an*'2026'!Env_an</f>
        <v>24.947462790816235</v>
      </c>
      <c r="C257" s="829"/>
      <c r="D257" s="391">
        <f t="shared" si="77"/>
        <v>26.31469060609064</v>
      </c>
      <c r="E257" s="383">
        <f t="shared" si="100"/>
        <v>26.865646088595728</v>
      </c>
      <c r="F257" s="383">
        <f t="shared" si="78"/>
        <v>26.866136240300559</v>
      </c>
      <c r="G257" s="110">
        <f t="shared" si="101"/>
        <v>0.49552249961598754</v>
      </c>
      <c r="H257" s="412" t="b">
        <f>Wh_hp&gt;='2025'!Maxi_hp</f>
        <v>0</v>
      </c>
      <c r="I257" s="388">
        <f>IF(H257,Wh_hp,'2025'!Maxi_hp)</f>
        <v>52.429420207764473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5.1956826539999446E-2</v>
      </c>
      <c r="M257" s="832"/>
      <c r="N257" s="832"/>
      <c r="O257" s="48">
        <f>IF(t&lt;Tnet,'2025'!Resal+('2025'!Salim-'2025'!Resal)*(1-EXP(('2025'!Tnet-t)/('2025'!Tau_j))),Resal+(Salim-Resal)*(1-EXP((Tnet-t)/(Tau_j))))*Salcycl</f>
        <v>2.0507806910289163E-2</v>
      </c>
      <c r="P257" s="169">
        <f>(INDEX(Models!$BJ257:$BT257,,T257)*(1-R257)+INDEX(Models!$BJ257:$BT257,,T257+1)*R257-ERP_i)*Q257*Ramure*Pc/MaxiM</f>
        <v>6.5309265784888707E-5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50.343402439349852</v>
      </c>
      <c r="W257" s="400">
        <f t="shared" si="86"/>
        <v>24.947462790816235</v>
      </c>
      <c r="X257" s="157">
        <f t="shared" si="87"/>
        <v>46265</v>
      </c>
      <c r="Y257" s="383">
        <f t="shared" si="88"/>
        <v>23.892456399954956</v>
      </c>
      <c r="Z257" s="383">
        <f t="shared" si="89"/>
        <v>25.201865346233639</v>
      </c>
      <c r="AA257" s="384">
        <f t="shared" si="90"/>
        <v>26.854454077576829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6.1538720041346327E-2</v>
      </c>
      <c r="AD257" s="230">
        <f>(INDEX(Models!$BJ257:$BT257,,AH257)*(1-AF257)+INDEX(Models!$BJ257:$BT257,,AH257+1)*AF257-ERP_i)*AE257*Ramure*Pc/MaxiM</f>
        <v>1.5565659830411368E-3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'2025'!Wh/'2025'!Env_an*'2026'!Env_an</f>
        <v>40.837130679170507</v>
      </c>
      <c r="C258" s="829"/>
      <c r="D258" s="391">
        <f t="shared" si="77"/>
        <v>43.076005894773566</v>
      </c>
      <c r="E258" s="383">
        <f t="shared" si="100"/>
        <v>43.981255890659803</v>
      </c>
      <c r="F258" s="383">
        <f t="shared" si="78"/>
        <v>43.983428626503354</v>
      </c>
      <c r="G258" s="110">
        <f t="shared" si="101"/>
        <v>0.81471139984209973</v>
      </c>
      <c r="H258" s="412" t="b">
        <f>Wh_hp&gt;='2025'!Maxi_hp</f>
        <v>0</v>
      </c>
      <c r="I258" s="388">
        <f>IF(H258,Wh_hp,'2025'!Maxi_hp)</f>
        <v>47.872949450269061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5.1974995571135385E-2</v>
      </c>
      <c r="M258" s="832"/>
      <c r="N258" s="832"/>
      <c r="O258" s="48">
        <f>IF(t&lt;Tnet,'2025'!Resal+('2025'!Salim-'2025'!Resal)*(1-EXP(('2025'!Tnet-t)/('2025'!Tau_j))),Resal+(Salim-Resal)*(1-EXP((Tnet-t)/(Tau_j))))*Salcycl</f>
        <v>2.0582631795161645E-2</v>
      </c>
      <c r="P258" s="169">
        <f>(INDEX(Models!$BJ258:$BT258,,T258)*(1-R258)+INDEX(Models!$BJ258:$BT258,,T258+1)*R258-ERP_i)*Q258*Ramure*Pc/MaxiM</f>
        <v>6.7179981103989475E-5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50.123767171452364</v>
      </c>
      <c r="W258" s="400">
        <f t="shared" si="86"/>
        <v>40.837130679170507</v>
      </c>
      <c r="X258" s="157">
        <f t="shared" si="87"/>
        <v>46266</v>
      </c>
      <c r="Y258" s="383">
        <f t="shared" si="88"/>
        <v>39.083916543681518</v>
      </c>
      <c r="Z258" s="383">
        <f t="shared" si="89"/>
        <v>41.226672673288327</v>
      </c>
      <c r="AA258" s="384">
        <f t="shared" si="90"/>
        <v>43.931622249538037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6.1571811777976188E-2</v>
      </c>
      <c r="AD258" s="230">
        <f>(INDEX(Models!$BJ258:$BT258,,AH258)*(1-AF258)+INDEX(Models!$BJ258:$BT258,,AH258+1)*AF258-ERP_i)*AE258*Ramure*Pc/MaxiM</f>
        <v>1.6018290653827139E-3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'2025'!Wh/'2025'!Env_an*'2026'!Env_an</f>
        <v>39.30274538074373</v>
      </c>
      <c r="C259" s="829"/>
      <c r="D259" s="391">
        <f t="shared" si="77"/>
        <v>41.458293230363239</v>
      </c>
      <c r="E259" s="383">
        <f t="shared" si="100"/>
        <v>42.332772753190383</v>
      </c>
      <c r="F259" s="383">
        <f t="shared" si="78"/>
        <v>42.33480963219256</v>
      </c>
      <c r="G259" s="110">
        <f t="shared" si="101"/>
        <v>0.78760018775063079</v>
      </c>
      <c r="H259" s="412" t="b">
        <f>Wh_hp&gt;='2025'!Maxi_hp</f>
        <v>0</v>
      </c>
      <c r="I259" s="388">
        <f>IF(H259,Wh_hp,'2025'!Maxi_hp)</f>
        <v>52.448101483562709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5.1993164254066082E-2</v>
      </c>
      <c r="M259" s="832"/>
      <c r="N259" s="832"/>
      <c r="O259" s="48">
        <f>IF(t&lt;Tnet,'2025'!Resal+('2025'!Salim-'2025'!Resal)*(1-EXP(('2025'!Tnet-t)/('2025'!Tau_j))),Resal+(Salim-Resal)*(1-EXP((Tnet-t)/(Tau_j))))*Salcycl</f>
        <v>2.0657270146832923E-2</v>
      </c>
      <c r="P259" s="169">
        <f>(INDEX(Models!$BJ259:$BT259,,T259)*(1-R259)+INDEX(Models!$BJ259:$BT259,,T259+1)*R259-ERP_i)*Q259*Ramure*Pc/MaxiM</f>
        <v>6.9069624409164306E-5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49.900853659077676</v>
      </c>
      <c r="W259" s="400">
        <f t="shared" si="86"/>
        <v>39.30274538074373</v>
      </c>
      <c r="X259" s="157">
        <f t="shared" si="87"/>
        <v>46267</v>
      </c>
      <c r="Y259" s="383">
        <f t="shared" si="88"/>
        <v>37.618027722362783</v>
      </c>
      <c r="Z259" s="383">
        <f t="shared" si="89"/>
        <v>39.681177712989005</v>
      </c>
      <c r="AA259" s="384">
        <f t="shared" si="90"/>
        <v>42.286200503223959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6.1604560334909846E-2</v>
      </c>
      <c r="AD259" s="230">
        <f>(INDEX(Models!$BJ259:$BT259,,AH259)*(1-AF259)+INDEX(Models!$BJ259:$BT259,,AH259+1)*AF259-ERP_i)*AE259*Ramure*Pc/MaxiM</f>
        <v>1.6483130697148257E-3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'2025'!Wh/'2025'!Env_an*'2026'!Env_an</f>
        <v>38.372368672703011</v>
      </c>
      <c r="C260" s="829"/>
      <c r="D260" s="391">
        <f t="shared" si="77"/>
        <v>40.477666022623993</v>
      </c>
      <c r="E260" s="383">
        <f t="shared" si="100"/>
        <v>41.334603322931855</v>
      </c>
      <c r="F260" s="383">
        <f t="shared" si="78"/>
        <v>41.336583664271188</v>
      </c>
      <c r="G260" s="110">
        <f t="shared" si="101"/>
        <v>0.77245583640862381</v>
      </c>
      <c r="H260" s="412" t="b">
        <f>Wh_hp&gt;='2025'!Maxi_hp</f>
        <v>0</v>
      </c>
      <c r="I260" s="388">
        <f>IF(H260,Wh_hp,'2025'!Maxi_hp)</f>
        <v>55.043508007448153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5.2011332588797976E-2</v>
      </c>
      <c r="M260" s="832"/>
      <c r="N260" s="832"/>
      <c r="O260" s="48">
        <f>IF(t&lt;Tnet,'2025'!Resal+('2025'!Salim-'2025'!Resal)*(1-EXP(('2025'!Tnet-t)/('2025'!Tau_j))),Resal+(Salim-Resal)*(1-EXP((Tnet-t)/(Tau_j))))*Salcycl</f>
        <v>2.0731717046198004E-2</v>
      </c>
      <c r="P260" s="169">
        <f>(INDEX(Models!$BJ260:$BT260,,T260)*(1-R260)+INDEX(Models!$BJ260:$BT260,,T260+1)*R260-ERP_i)*Q260*Ramure*Pc/MaxiM</f>
        <v>7.097835205764005E-5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49.674662999200372</v>
      </c>
      <c r="W260" s="400">
        <f t="shared" si="86"/>
        <v>38.372368672703011</v>
      </c>
      <c r="X260" s="157">
        <f t="shared" si="87"/>
        <v>46268</v>
      </c>
      <c r="Y260" s="383">
        <f t="shared" si="88"/>
        <v>36.729175219645342</v>
      </c>
      <c r="Z260" s="383">
        <f t="shared" si="89"/>
        <v>38.744318874556335</v>
      </c>
      <c r="AA260" s="384">
        <f t="shared" si="90"/>
        <v>41.289263280606107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6.1636953625306093E-2</v>
      </c>
      <c r="AD260" s="230">
        <f>(INDEX(Models!$BJ260:$BT260,,AH260)*(1-AF260)+INDEX(Models!$BJ260:$BT260,,AH260+1)*AF260-ERP_i)*AE260*Ramure*Pc/MaxiM</f>
        <v>1.6960322872474828E-3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'2025'!Wh/'2025'!Env_an*'2026'!Env_an</f>
        <v>46.377161444495556</v>
      </c>
      <c r="C261" s="829"/>
      <c r="D261" s="391">
        <f t="shared" si="77"/>
        <v>48.922578785566188</v>
      </c>
      <c r="E261" s="383">
        <f t="shared" si="100"/>
        <v>49.96208836545437</v>
      </c>
      <c r="F261" s="383">
        <f t="shared" si="78"/>
        <v>49.965408255897493</v>
      </c>
      <c r="G261" s="110">
        <f t="shared" si="101"/>
        <v>0.93794473852335869</v>
      </c>
      <c r="H261" s="412" t="b">
        <f>Wh_hp&gt;='2025'!Maxi_hp</f>
        <v>0</v>
      </c>
      <c r="I261" s="388">
        <f>IF(H261,Wh_hp,'2025'!Maxi_hp)</f>
        <v>53.392231312994895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5.202950057533795E-2</v>
      </c>
      <c r="M261" s="832"/>
      <c r="N261" s="832"/>
      <c r="O261" s="48">
        <f>IF(t&lt;Tnet,'2025'!Resal+('2025'!Salim-'2025'!Resal)*(1-EXP(('2025'!Tnet-t)/('2025'!Tau_j))),Resal+(Salim-Resal)*(1-EXP((Tnet-t)/(Tau_j))))*Salcycl</f>
        <v>2.0805967362383875E-2</v>
      </c>
      <c r="P261" s="169">
        <f>(INDEX(Models!$BJ261:$BT261,,T261)*(1-R261)+INDEX(Models!$BJ261:$BT261,,T261+1)*R261-ERP_i)*Q261*Ramure*Pc/MaxiM</f>
        <v>7.290631794039009E-5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49.445196295133208</v>
      </c>
      <c r="W261" s="400">
        <f t="shared" si="86"/>
        <v>46.377161444495556</v>
      </c>
      <c r="X261" s="157">
        <f t="shared" si="87"/>
        <v>46269</v>
      </c>
      <c r="Y261" s="383">
        <f t="shared" si="88"/>
        <v>44.374055215862199</v>
      </c>
      <c r="Z261" s="383">
        <f t="shared" si="89"/>
        <v>46.809531776351164</v>
      </c>
      <c r="AA261" s="384">
        <f t="shared" si="90"/>
        <v>49.885947210827233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6.1668979070890841E-2</v>
      </c>
      <c r="AD261" s="230">
        <f>(INDEX(Models!$BJ261:$BT261,,AH261)*(1-AF261)+INDEX(Models!$BJ261:$BT261,,AH261+1)*AF261-ERP_i)*AE261*Ramure*Pc/MaxiM</f>
        <v>1.7450010218783335E-3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'2025'!Wh/'2025'!Env_an*'2026'!Env_an</f>
        <v>40.537623237173172</v>
      </c>
      <c r="C262" s="829"/>
      <c r="D262" s="391">
        <f t="shared" si="77"/>
        <v>42.763356213054166</v>
      </c>
      <c r="E262" s="383">
        <f t="shared" si="100"/>
        <v>43.675297104044922</v>
      </c>
      <c r="F262" s="383">
        <f t="shared" si="78"/>
        <v>43.677744568264885</v>
      </c>
      <c r="G262" s="110">
        <f t="shared" si="101"/>
        <v>0.82371140804154586</v>
      </c>
      <c r="H262" s="412" t="b">
        <f>Wh_hp&gt;='2025'!Maxi_hp</f>
        <v>0</v>
      </c>
      <c r="I262" s="388">
        <f>IF(H262,Wh_hp,'2025'!Maxi_hp)</f>
        <v>53.427461866974461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5.2047668213692555E-2</v>
      </c>
      <c r="M262" s="832"/>
      <c r="N262" s="832"/>
      <c r="O262" s="48">
        <f>IF(t&lt;Tnet,'2025'!Resal+('2025'!Salim-'2025'!Resal)*(1-EXP(('2025'!Tnet-t)/('2025'!Tau_j))),Resal+(Salim-Resal)*(1-EXP((Tnet-t)/(Tau_j))))*Salcycl</f>
        <v>2.0880015740208847E-2</v>
      </c>
      <c r="P262" s="169">
        <f>(INDEX(Models!$BJ262:$BT262,,T262)*(1-R262)+INDEX(Models!$BJ262:$BT262,,T262+1)*R262-ERP_i)*Q262*Ramure*Pc/MaxiM</f>
        <v>7.4894386853627343E-5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49.2124526466174</v>
      </c>
      <c r="W262" s="400">
        <f t="shared" si="86"/>
        <v>40.537623237173172</v>
      </c>
      <c r="X262" s="157">
        <f t="shared" si="87"/>
        <v>46270</v>
      </c>
      <c r="Y262" s="383">
        <f t="shared" si="88"/>
        <v>38.797529579452274</v>
      </c>
      <c r="Z262" s="383">
        <f t="shared" si="89"/>
        <v>40.927722078960215</v>
      </c>
      <c r="AA262" s="384">
        <f t="shared" si="90"/>
        <v>43.619044312648334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6.1700623571610713E-2</v>
      </c>
      <c r="AD262" s="230">
        <f>(INDEX(Models!$BJ262:$BT262,,AH262)*(1-AF262)+INDEX(Models!$BJ262:$BT262,,AH262+1)*AF262-ERP_i)*AE262*Ramure*Pc/MaxiM</f>
        <v>1.7962753517281268E-3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'2025'!Wh/'2025'!Env_an*'2026'!Env_an</f>
        <v>45.874519969581591</v>
      </c>
      <c r="C263" s="829"/>
      <c r="D263" s="391">
        <f t="shared" si="77"/>
        <v>48.394204669230284</v>
      </c>
      <c r="E263" s="383">
        <f t="shared" si="100"/>
        <v>49.429952811587683</v>
      </c>
      <c r="F263" s="383">
        <f t="shared" si="78"/>
        <v>49.433411613408111</v>
      </c>
      <c r="G263" s="110">
        <f t="shared" si="101"/>
        <v>0.93665865476397125</v>
      </c>
      <c r="H263" s="412" t="b">
        <f>Wh_hp&gt;='2025'!Maxi_hp</f>
        <v>0</v>
      </c>
      <c r="I263" s="388">
        <f>IF(H263,Wh_hp,'2025'!Maxi_hp)</f>
        <v>54.427802265876565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5.2065835503868563E-2</v>
      </c>
      <c r="M263" s="832"/>
      <c r="N263" s="832"/>
      <c r="O263" s="48">
        <f>IF(t&lt;Tnet,'2025'!Resal+('2025'!Salim-'2025'!Resal)*(1-EXP(('2025'!Tnet-t)/('2025'!Tau_j))),Resal+(Salim-Resal)*(1-EXP((Tnet-t)/(Tau_j))))*Salcycl</f>
        <v>2.0953856587833743E-2</v>
      </c>
      <c r="P263" s="169">
        <f>(INDEX(Models!$BJ263:$BT263,,T263)*(1-R263)+INDEX(Models!$BJ263:$BT263,,T263+1)*R263-ERP_i)*Q263*Ramure*Pc/MaxiM</f>
        <v>7.6929345928472128E-5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48.976433845093055</v>
      </c>
      <c r="W263" s="400">
        <f t="shared" si="86"/>
        <v>45.874519969581591</v>
      </c>
      <c r="X263" s="157">
        <f t="shared" si="87"/>
        <v>46271</v>
      </c>
      <c r="Y263" s="383">
        <f t="shared" si="88"/>
        <v>43.892925300483931</v>
      </c>
      <c r="Z263" s="383">
        <f t="shared" si="89"/>
        <v>46.303769760018035</v>
      </c>
      <c r="AA263" s="384">
        <f t="shared" si="90"/>
        <v>49.350253356231057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6.1731873476357134E-2</v>
      </c>
      <c r="AD263" s="230">
        <f>(INDEX(Models!$BJ263:$BT263,,AH263)*(1-AF263)+INDEX(Models!$BJ263:$BT263,,AH263+1)*AF263-ERP_i)*AE263*Ramure*Pc/MaxiM</f>
        <v>1.8495741199720361E-3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'2025'!Wh/'2025'!Env_an*'2026'!Env_an</f>
        <v>36.519394113092126</v>
      </c>
      <c r="C264" s="829"/>
      <c r="D264" s="391">
        <f t="shared" si="77"/>
        <v>38.52598142379891</v>
      </c>
      <c r="E264" s="383">
        <f t="shared" si="100"/>
        <v>39.353486228366251</v>
      </c>
      <c r="F264" s="383">
        <f t="shared" si="78"/>
        <v>39.355482170947404</v>
      </c>
      <c r="G264" s="110">
        <f t="shared" si="101"/>
        <v>0.74929222269350693</v>
      </c>
      <c r="H264" s="412" t="b">
        <f>Wh_hp&gt;='2025'!Maxi_hp</f>
        <v>0</v>
      </c>
      <c r="I264" s="388">
        <f>IF(H264,Wh_hp,'2025'!Maxi_hp)</f>
        <v>49.351657913110358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5.2084002445872635E-2</v>
      </c>
      <c r="M264" s="832"/>
      <c r="N264" s="832"/>
      <c r="O264" s="48">
        <f>IF(t&lt;Tnet,'2025'!Resal+('2025'!Salim-'2025'!Resal)*(1-EXP(('2025'!Tnet-t)/('2025'!Tau_j))),Resal+(Salim-Resal)*(1-EXP((Tnet-t)/(Tau_j))))*Salcycl</f>
        <v>2.1027484064953562E-2</v>
      </c>
      <c r="P264" s="169">
        <f>(INDEX(Models!$BJ264:$BT264,,T264)*(1-R264)+INDEX(Models!$BJ264:$BT264,,T264+1)*R264-ERP_i)*Q264*Ramure*Pc/MaxiM</f>
        <v>7.9011707905632313E-5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48.737141002173402</v>
      </c>
      <c r="W264" s="400">
        <f t="shared" si="86"/>
        <v>36.519394113092126</v>
      </c>
      <c r="X264" s="157">
        <f t="shared" si="87"/>
        <v>46272</v>
      </c>
      <c r="Y264" s="383">
        <f t="shared" si="88"/>
        <v>34.958793141424145</v>
      </c>
      <c r="Z264" s="383">
        <f t="shared" si="89"/>
        <v>36.879631983875186</v>
      </c>
      <c r="AA264" s="384">
        <f t="shared" si="90"/>
        <v>39.307361321089729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6.1762714555758866E-2</v>
      </c>
      <c r="AD264" s="230">
        <f>(INDEX(Models!$BJ264:$BT264,,AH264)*(1-AF264)+INDEX(Models!$BJ264:$BT264,,AH264+1)*AF264-ERP_i)*AE264*Ramure*Pc/MaxiM</f>
        <v>1.9049197953002034E-3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'2025'!Wh/'2025'!Env_an*'2026'!Env_an</f>
        <v>35.492698538456537</v>
      </c>
      <c r="C265" s="829"/>
      <c r="D265" s="391">
        <f t="shared" si="77"/>
        <v>37.443590837738157</v>
      </c>
      <c r="E265" s="383">
        <f t="shared" si="100"/>
        <v>38.250715047630763</v>
      </c>
      <c r="F265" s="383">
        <f t="shared" si="78"/>
        <v>38.252630106297275</v>
      </c>
      <c r="G265" s="110">
        <f t="shared" si="101"/>
        <v>0.73186733256396075</v>
      </c>
      <c r="H265" s="412" t="b">
        <f>Wh_hp&gt;='2025'!Maxi_hp</f>
        <v>0</v>
      </c>
      <c r="I265" s="388">
        <f>IF(H265,Wh_hp,'2025'!Maxi_hp)</f>
        <v>48.219770599083176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5.2102169039711321E-2</v>
      </c>
      <c r="M265" s="832"/>
      <c r="N265" s="832"/>
      <c r="O265" s="48">
        <f>IF(t&lt;Tnet,'2025'!Resal+('2025'!Salim-'2025'!Resal)*(1-EXP(('2025'!Tnet-t)/('2025'!Tau_j))),Resal+(Salim-Resal)*(1-EXP((Tnet-t)/(Tau_j))))*Salcycl</f>
        <v>2.1100892071888096E-2</v>
      </c>
      <c r="P265" s="169">
        <f>(INDEX(Models!$BJ265:$BT265,,T265)*(1-R265)+INDEX(Models!$BJ265:$BT265,,T265+1)*R265-ERP_i)*Q265*Ramure*Pc/MaxiM</f>
        <v>8.114197853541413E-5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48.494575236850309</v>
      </c>
      <c r="W265" s="400">
        <f t="shared" si="86"/>
        <v>35.492698538456537</v>
      </c>
      <c r="X265" s="157">
        <f t="shared" si="87"/>
        <v>46273</v>
      </c>
      <c r="Y265" s="383">
        <f t="shared" si="88"/>
        <v>33.977803868780505</v>
      </c>
      <c r="Z265" s="383">
        <f t="shared" si="89"/>
        <v>35.845428440698662</v>
      </c>
      <c r="AA265" s="384">
        <f t="shared" si="90"/>
        <v>38.206316391898213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6.1793131978046006E-2</v>
      </c>
      <c r="AD265" s="230">
        <f>(INDEX(Models!$BJ265:$BT265,,AH265)*(1-AF265)+INDEX(Models!$BJ265:$BT265,,AH265+1)*AF265-ERP_i)*AE265*Ramure*Pc/MaxiM</f>
        <v>1.9623348805835267E-3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'2025'!Wh/'2025'!Env_an*'2026'!Env_an</f>
        <v>23.771426231750361</v>
      </c>
      <c r="C266" s="829"/>
      <c r="D266" s="391">
        <f t="shared" si="77"/>
        <v>25.078527493157647</v>
      </c>
      <c r="E266" s="383">
        <f t="shared" si="100"/>
        <v>25.621029064676662</v>
      </c>
      <c r="F266" s="383">
        <f t="shared" si="78"/>
        <v>25.621616701399059</v>
      </c>
      <c r="G266" s="110">
        <f t="shared" si="101"/>
        <v>0.49265518431201361</v>
      </c>
      <c r="H266" s="412" t="b">
        <f>Wh_hp&gt;='2025'!Maxi_hp</f>
        <v>0</v>
      </c>
      <c r="I266" s="388">
        <f>IF(H266,Wh_hp,'2025'!Maxi_hp)</f>
        <v>50.375328728188094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5.2120335285391506E-2</v>
      </c>
      <c r="M266" s="832"/>
      <c r="N266" s="832"/>
      <c r="O266" s="48">
        <f>IF(t&lt;Tnet,'2025'!Resal+('2025'!Salim-'2025'!Resal)*(1-EXP(('2025'!Tnet-t)/('2025'!Tau_j))),Resal+(Salim-Resal)*(1-EXP((Tnet-t)/(Tau_j))))*Salcycl</f>
        <v>2.117407423993576E-2</v>
      </c>
      <c r="P266" s="169">
        <f>(INDEX(Models!$BJ266:$BT266,,T266)*(1-R266)+INDEX(Models!$BJ266:$BT266,,T266+1)*R266-ERP_i)*Q266*Ramure*Pc/MaxiM</f>
        <v>8.3320654893189979E-5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48.248737671293206</v>
      </c>
      <c r="W266" s="400">
        <f t="shared" si="86"/>
        <v>23.771426231750361</v>
      </c>
      <c r="X266" s="157">
        <f t="shared" si="87"/>
        <v>46274</v>
      </c>
      <c r="Y266" s="383">
        <f t="shared" si="88"/>
        <v>22.77207979727584</v>
      </c>
      <c r="Z266" s="383">
        <f t="shared" si="89"/>
        <v>24.024230759430999</v>
      </c>
      <c r="AA266" s="384">
        <f t="shared" si="90"/>
        <v>25.607357229648926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6.1823110288981284E-2</v>
      </c>
      <c r="AD266" s="230">
        <f>(INDEX(Models!$BJ266:$BT266,,AH266)*(1-AF266)+INDEX(Models!$BJ266:$BT266,,AH266+1)*AF266-ERP_i)*AE266*Ramure*Pc/MaxiM</f>
        <v>2.0218418614202675E-3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'2025'!Wh/'2025'!Env_an*'2026'!Env_an</f>
        <v>47.022176781129801</v>
      </c>
      <c r="C267" s="829"/>
      <c r="D267" s="391">
        <f t="shared" si="77"/>
        <v>49.608700047225156</v>
      </c>
      <c r="E267" s="383">
        <f t="shared" si="100"/>
        <v>50.685618598150128</v>
      </c>
      <c r="F267" s="383">
        <f t="shared" si="78"/>
        <v>50.689828871694885</v>
      </c>
      <c r="G267" s="110">
        <f t="shared" si="101"/>
        <v>0.9796338076702813</v>
      </c>
      <c r="H267" s="412" t="b">
        <f>Wh_hp&gt;='2025'!Maxi_hp</f>
        <v>1</v>
      </c>
      <c r="I267" s="388">
        <f>IF(H267,Wh_hp,'2025'!Maxi_hp)</f>
        <v>50.689828871694885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5.2138501182919628E-2</v>
      </c>
      <c r="M267" s="832"/>
      <c r="N267" s="832"/>
      <c r="O267" s="48">
        <f>IF(t&lt;Tnet,'2025'!Resal+('2025'!Salim-'2025'!Resal)*(1-EXP(('2025'!Tnet-t)/('2025'!Tau_j))),Resal+(Salim-Resal)*(1-EXP((Tnet-t)/(Tau_j))))*Salcycl</f>
        <v>2.1247023923355684E-2</v>
      </c>
      <c r="P267" s="169">
        <f>(INDEX(Models!$BJ267:$BT267,,T267)*(1-R267)+INDEX(Models!$BJ267:$BT267,,T267+1)*R267-ERP_i)*Q267*Ramure*Pc/MaxiM</f>
        <v>8.5548223594321486E-5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47.999629432567467</v>
      </c>
      <c r="W267" s="400">
        <f t="shared" si="86"/>
        <v>47.022176781129801</v>
      </c>
      <c r="X267" s="157">
        <f t="shared" si="87"/>
        <v>46275</v>
      </c>
      <c r="Y267" s="383">
        <f t="shared" si="88"/>
        <v>44.983927263620785</v>
      </c>
      <c r="Z267" s="383">
        <f t="shared" si="89"/>
        <v>47.458333648703082</v>
      </c>
      <c r="AA267" s="384">
        <f t="shared" si="90"/>
        <v>50.587290801166709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6.18526333968345E-2</v>
      </c>
      <c r="AD267" s="230">
        <f>(INDEX(Models!$BJ267:$BT267,,AH267)*(1-AF267)+INDEX(Models!$BJ267:$BT267,,AH267+1)*AF267-ERP_i)*AE267*Ramure*Pc/MaxiM</f>
        <v>2.0834631506065969E-3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'2025'!Wh/'2025'!Env_an*'2026'!Env_an</f>
        <v>46.444126907882293</v>
      </c>
      <c r="C268" s="829"/>
      <c r="D268" s="391">
        <f t="shared" si="77"/>
        <v>48.999792769302694</v>
      </c>
      <c r="E268" s="383">
        <f t="shared" si="100"/>
        <v>50.067212430114189</v>
      </c>
      <c r="F268" s="383">
        <f t="shared" si="78"/>
        <v>50.07144038380455</v>
      </c>
      <c r="G268" s="110">
        <f t="shared" si="101"/>
        <v>0.97270456399236649</v>
      </c>
      <c r="H268" s="412" t="b">
        <f>Wh_hp&gt;='2025'!Maxi_hp</f>
        <v>1</v>
      </c>
      <c r="I268" s="388">
        <f>IF(H268,Wh_hp,'2025'!Maxi_hp)</f>
        <v>50.07144038380455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5.2156666732302459E-2</v>
      </c>
      <c r="M268" s="832"/>
      <c r="N268" s="832"/>
      <c r="O268" s="48">
        <f>IF(t&lt;Tnet,'2025'!Resal+('2025'!Salim-'2025'!Resal)*(1-EXP(('2025'!Tnet-t)/('2025'!Tau_j))),Resal+(Salim-Resal)*(1-EXP((Tnet-t)/(Tau_j))))*Salcycl</f>
        <v>2.1319734193339383E-2</v>
      </c>
      <c r="P268" s="169">
        <f>(INDEX(Models!$BJ268:$BT268,,T268)*(1-R268)+INDEX(Models!$BJ268:$BT268,,T268+1)*R268-ERP_i)*Q268*Ramure*Pc/MaxiM</f>
        <v>8.7864137736716656E-5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47.74724979155306</v>
      </c>
      <c r="W268" s="400">
        <f t="shared" si="86"/>
        <v>46.444126907882293</v>
      </c>
      <c r="X268" s="157">
        <f t="shared" si="87"/>
        <v>46276</v>
      </c>
      <c r="Y268" s="383">
        <f t="shared" si="88"/>
        <v>44.431062233638343</v>
      </c>
      <c r="Z268" s="383">
        <f t="shared" si="89"/>
        <v>46.875955840151235</v>
      </c>
      <c r="AA268" s="384">
        <f t="shared" si="90"/>
        <v>49.968063802626347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6.1881684563342851E-2</v>
      </c>
      <c r="AD268" s="230">
        <f>(INDEX(Models!$BJ268:$BT268,,AH268)*(1-AF268)+INDEX(Models!$BJ268:$BT268,,AH268+1)*AF268-ERP_i)*AE268*Ramure*Pc/MaxiM</f>
        <v>2.148342870475336E-3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'2025'!Wh/'2025'!Env_an*'2026'!Env_an</f>
        <v>33.711790348003404</v>
      </c>
      <c r="C269" s="829"/>
      <c r="D269" s="391">
        <f t="shared" si="77"/>
        <v>35.567519711229941</v>
      </c>
      <c r="E269" s="383">
        <f t="shared" si="100"/>
        <v>36.345019559948788</v>
      </c>
      <c r="F269" s="383">
        <f t="shared" si="78"/>
        <v>36.346940801902576</v>
      </c>
      <c r="G269" s="110">
        <f t="shared" si="101"/>
        <v>0.70982087717347087</v>
      </c>
      <c r="H269" s="412" t="b">
        <f>Wh_hp&gt;='2025'!Maxi_hp</f>
        <v>0</v>
      </c>
      <c r="I269" s="388">
        <f>IF(H269,Wh_hp,'2025'!Maxi_hp)</f>
        <v>50.716513586551613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5.2174831933546773E-2</v>
      </c>
      <c r="M269" s="832"/>
      <c r="N269" s="832"/>
      <c r="O269" s="48">
        <f>IF(t&lt;Tnet,'2025'!Resal+('2025'!Salim-'2025'!Resal)*(1-EXP(('2025'!Tnet-t)/('2025'!Tau_j))),Resal+(Salim-Resal)*(1-EXP((Tnet-t)/(Tau_j))))*Salcycl</f>
        <v>2.1392197834325284E-2</v>
      </c>
      <c r="P269" s="169">
        <f>(INDEX(Models!$BJ269:$BT269,,T269)*(1-R269)+INDEX(Models!$BJ269:$BT269,,T269+1)*R269-ERP_i)*Q269*Ramure*Pc/MaxiM</f>
        <v>9.0279679625845911E-5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47.491599398962279</v>
      </c>
      <c r="W269" s="400">
        <f t="shared" si="86"/>
        <v>33.711790348003404</v>
      </c>
      <c r="X269" s="157">
        <f t="shared" si="87"/>
        <v>46277</v>
      </c>
      <c r="Y269" s="383">
        <f t="shared" si="88"/>
        <v>32.275773954690486</v>
      </c>
      <c r="Z269" s="383">
        <f t="shared" si="89"/>
        <v>34.052455075161696</v>
      </c>
      <c r="AA269" s="384">
        <f t="shared" si="90"/>
        <v>36.299783623623334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6.1910246401554576E-2</v>
      </c>
      <c r="AD269" s="230">
        <f>(INDEX(Models!$BJ269:$BT269,,AH269)*(1-AF269)+INDEX(Models!$BJ269:$BT269,,AH269+1)*AF269-ERP_i)*AE269*Ramure*Pc/MaxiM</f>
        <v>2.2159285761568955E-3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'2025'!Wh/'2025'!Env_an*'2026'!Env_an</f>
        <v>14.310301151491499</v>
      </c>
      <c r="C270" s="829"/>
      <c r="D270" s="391">
        <f t="shared" si="77"/>
        <v>15.09832814378394</v>
      </c>
      <c r="E270" s="383">
        <f t="shared" si="100"/>
        <v>15.429513506798109</v>
      </c>
      <c r="F270" s="383">
        <f t="shared" si="78"/>
        <v>15.429519591075026</v>
      </c>
      <c r="G270" s="110">
        <f t="shared" si="101"/>
        <v>0.30294658352942383</v>
      </c>
      <c r="H270" s="412" t="b">
        <f>Wh_hp&gt;='2025'!Maxi_hp</f>
        <v>0</v>
      </c>
      <c r="I270" s="388">
        <f>IF(H270,Wh_hp,'2025'!Maxi_hp)</f>
        <v>48.946025733501244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5.2192996786659118E-2</v>
      </c>
      <c r="M270" s="832"/>
      <c r="N270" s="832"/>
      <c r="O270" s="48">
        <f>IF(t&lt;Tnet,'2025'!Resal+('2025'!Salim-'2025'!Resal)*(1-EXP(('2025'!Tnet-t)/('2025'!Tau_j))),Resal+(Salim-Resal)*(1-EXP((Tnet-t)/(Tau_j))))*Salcycl</f>
        <v>2.146440734299572E-2</v>
      </c>
      <c r="P270" s="169">
        <f>(INDEX(Models!$BJ270:$BT270,,T270)*(1-R270)+INDEX(Models!$BJ270:$BT270,,T270+1)*R270-ERP_i)*Q270*Ramure*Pc/MaxiM</f>
        <v>9.2795970145945276E-5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47.232679401517977</v>
      </c>
      <c r="W270" s="400">
        <f t="shared" si="86"/>
        <v>14.310301151491499</v>
      </c>
      <c r="X270" s="157">
        <f t="shared" si="87"/>
        <v>46278</v>
      </c>
      <c r="Y270" s="383">
        <f t="shared" si="88"/>
        <v>13.718274931567365</v>
      </c>
      <c r="Z270" s="383">
        <f t="shared" si="89"/>
        <v>14.473700748209742</v>
      </c>
      <c r="AA270" s="384">
        <f t="shared" si="90"/>
        <v>15.429369690510896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6.1938300881395875E-2</v>
      </c>
      <c r="AD270" s="230">
        <f>(INDEX(Models!$BJ270:$BT270,,AH270)*(1-AF270)+INDEX(Models!$BJ270:$BT270,,AH270+1)*AF270-ERP_i)*AE270*Ramure*Pc/MaxiM</f>
        <v>2.2862483847036581E-3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'2025'!Wh/'2025'!Env_an*'2026'!Env_an</f>
        <v>35.885367616101057</v>
      </c>
      <c r="C271" s="829"/>
      <c r="D271" s="391">
        <f t="shared" ref="D271:D334" si="102">Wh/(1-Ppv)</f>
        <v>37.862196884493407</v>
      </c>
      <c r="E271" s="383">
        <f t="shared" si="100"/>
        <v>38.695558159235965</v>
      </c>
      <c r="F271" s="383">
        <f t="shared" ref="F271:F334" si="103">Wh_sa/(1-Pvg*MEDIAN((-Sdif+Wh/Env_an)/Csdif,0,1))</f>
        <v>38.698005640668264</v>
      </c>
      <c r="G271" s="110">
        <f t="shared" si="101"/>
        <v>0.76397355958655822</v>
      </c>
      <c r="H271" s="412" t="b">
        <f>Wh_hp&gt;='2025'!Maxi_hp</f>
        <v>0</v>
      </c>
      <c r="I271" s="388">
        <f>IF(H271,Wh_hp,'2025'!Maxi_hp)</f>
        <v>48.424336454195235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5.2211161291646158E-2</v>
      </c>
      <c r="M271" s="832"/>
      <c r="N271" s="832"/>
      <c r="O271" s="48">
        <f>IF(t&lt;Tnet,'2025'!Resal+('2025'!Salim-'2025'!Resal)*(1-EXP(('2025'!Tnet-t)/('2025'!Tau_j))),Resal+(Salim-Resal)*(1-EXP((Tnet-t)/(Tau_j))))*Salcycl</f>
        <v>2.1536354930278952E-2</v>
      </c>
      <c r="P271" s="169">
        <f>(INDEX(Models!$BJ271:$BT271,,T271)*(1-R271)+INDEX(Models!$BJ271:$BT271,,T271+1)*R271-ERP_i)*Q271*Ramure*Pc/MaxiM</f>
        <v>9.5414114606088215E-5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46.97049095020283</v>
      </c>
      <c r="W271" s="400">
        <f t="shared" ref="W271:W334" si="111">Wh*(A271&gt;Tmaj)</f>
        <v>35.885367616101057</v>
      </c>
      <c r="X271" s="157">
        <f t="shared" ref="X271:X334" si="112">t</f>
        <v>46279</v>
      </c>
      <c r="Y271" s="383">
        <f t="shared" ref="Y271:Y334" si="113">Wh_pvt_s*(1-Ppv)</f>
        <v>34.350978390412727</v>
      </c>
      <c r="Z271" s="383">
        <f t="shared" ref="Z271:Z334" si="114">Wh_sa_s*(1-Psa_s)</f>
        <v>36.243282245469594</v>
      </c>
      <c r="AA271" s="384">
        <f t="shared" ref="AA271:AA334" si="115">Wh_hp*(1-Pvg_s*MEDIAN((-Sdif+Wh/Env_an)/Csdif,0,1))</f>
        <v>38.637486116431155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6.1965829343731425E-2</v>
      </c>
      <c r="AD271" s="230">
        <f>(INDEX(Models!$BJ271:$BT271,,AH271)*(1-AF271)+INDEX(Models!$BJ271:$BT271,,AH271+1)*AF271-ERP_i)*AE271*Ramure*Pc/MaxiM</f>
        <v>2.3593301854190718E-3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'2025'!Wh/'2025'!Env_an*'2026'!Env_an</f>
        <v>41.099632062327075</v>
      </c>
      <c r="C272" s="829"/>
      <c r="D272" s="391">
        <f t="shared" si="102"/>
        <v>43.364532334550972</v>
      </c>
      <c r="E272" s="383">
        <f t="shared" si="100"/>
        <v>44.322248931108916</v>
      </c>
      <c r="F272" s="383">
        <f t="shared" si="103"/>
        <v>44.325853049603737</v>
      </c>
      <c r="G272" s="110">
        <f t="shared" si="101"/>
        <v>0.87996808706855212</v>
      </c>
      <c r="H272" s="412" t="b">
        <f>Wh_hp&gt;='2025'!Maxi_hp</f>
        <v>0</v>
      </c>
      <c r="I272" s="388">
        <f>IF(H272,Wh_hp,'2025'!Maxi_hp)</f>
        <v>49.537413864977964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5.2229325448514663E-2</v>
      </c>
      <c r="M272" s="832"/>
      <c r="N272" s="832"/>
      <c r="O272" s="48">
        <f>IF(t&lt;Tnet,'2025'!Resal+('2025'!Salim-'2025'!Resal)*(1-EXP(('2025'!Tnet-t)/('2025'!Tau_j))),Resal+(Salim-Resal)*(1-EXP((Tnet-t)/(Tau_j))))*Salcycl</f>
        <v>2.1608032526655937E-2</v>
      </c>
      <c r="P272" s="169">
        <f>(INDEX(Models!$BJ272:$BT272,,T272)*(1-R272)+INDEX(Models!$BJ272:$BT272,,T272+1)*R272-ERP_i)*Q272*Ramure*Pc/MaxiM</f>
        <v>9.81352004140767E-5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46.705035199690748</v>
      </c>
      <c r="W272" s="400">
        <f t="shared" si="111"/>
        <v>41.099632062327075</v>
      </c>
      <c r="X272" s="157">
        <f t="shared" si="112"/>
        <v>46280</v>
      </c>
      <c r="Y272" s="383">
        <f t="shared" si="113"/>
        <v>39.326870068510608</v>
      </c>
      <c r="Z272" s="383">
        <f t="shared" si="114"/>
        <v>41.494077760024922</v>
      </c>
      <c r="AA272" s="384">
        <f t="shared" si="115"/>
        <v>44.236417709826235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6.1992812523608866E-2</v>
      </c>
      <c r="AD272" s="230">
        <f>(INDEX(Models!$BJ272:$BT272,,AH272)*(1-AF272)+INDEX(Models!$BJ272:$BT272,,AH272+1)*AF272-ERP_i)*AE272*Ramure*Pc/MaxiM</f>
        <v>2.4352015633754259E-3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'2025'!Wh/'2025'!Env_an*'2026'!Env_an</f>
        <v>32.838716609629905</v>
      </c>
      <c r="C273" s="829"/>
      <c r="D273" s="391">
        <f t="shared" si="102"/>
        <v>34.649042062568704</v>
      </c>
      <c r="E273" s="383">
        <f t="shared" si="100"/>
        <v>35.416859451296105</v>
      </c>
      <c r="F273" s="383">
        <f t="shared" si="103"/>
        <v>35.418939492364146</v>
      </c>
      <c r="G273" s="110">
        <f t="shared" si="101"/>
        <v>0.7071476458080761</v>
      </c>
      <c r="H273" s="412" t="b">
        <f>Wh_hp&gt;='2025'!Maxi_hp</f>
        <v>0</v>
      </c>
      <c r="I273" s="388">
        <f>IF(H273,Wh_hp,'2025'!Maxi_hp)</f>
        <v>43.865326468567289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5.2247489257271185E-2</v>
      </c>
      <c r="M273" s="832"/>
      <c r="N273" s="832"/>
      <c r="O273" s="48">
        <f>IF(t&lt;Tnet,'2025'!Resal+('2025'!Salim-'2025'!Resal)*(1-EXP(('2025'!Tnet-t)/('2025'!Tau_j))),Resal+(Salim-Resal)*(1-EXP((Tnet-t)/(Tau_j))))*Salcycl</f>
        <v>2.1679431791044954E-2</v>
      </c>
      <c r="P273" s="169">
        <f>(INDEX(Models!$BJ273:$BT273,,T273)*(1-R273)+INDEX(Models!$BJ273:$BT273,,T273+1)*R273-ERP_i)*Q273*Ramure*Pc/MaxiM</f>
        <v>1.0096029470193741E-4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46.436313306218828</v>
      </c>
      <c r="W273" s="400">
        <f t="shared" si="111"/>
        <v>32.838716609629905</v>
      </c>
      <c r="X273" s="157">
        <f t="shared" si="112"/>
        <v>46281</v>
      </c>
      <c r="Y273" s="383">
        <f t="shared" si="113"/>
        <v>31.440460949104956</v>
      </c>
      <c r="Z273" s="383">
        <f t="shared" si="114"/>
        <v>33.173703675515341</v>
      </c>
      <c r="AA273" s="384">
        <f t="shared" si="115"/>
        <v>35.367146915116948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6.2019230583286414E-2</v>
      </c>
      <c r="AD273" s="230">
        <f>(INDEX(Models!$BJ273:$BT273,,AH273)*(1-AF273)+INDEX(Models!$BJ273:$BT273,,AH273+1)*AF273-ERP_i)*AE273*Ramure*Pc/MaxiM</f>
        <v>2.5138897219828451E-3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'2025'!Wh/'2025'!Env_an*'2026'!Env_an</f>
        <v>45.88943352186125</v>
      </c>
      <c r="C274" s="829"/>
      <c r="D274" s="391">
        <f t="shared" si="102"/>
        <v>48.420143950109484</v>
      </c>
      <c r="E274" s="383">
        <f t="shared" si="100"/>
        <v>49.496724643435591</v>
      </c>
      <c r="F274" s="383">
        <f t="shared" si="103"/>
        <v>49.501823662015703</v>
      </c>
      <c r="G274" s="110">
        <f t="shared" si="101"/>
        <v>0.99404446052517803</v>
      </c>
      <c r="H274" s="412" t="b">
        <f>Wh_hp&gt;='2025'!Maxi_hp</f>
        <v>1</v>
      </c>
      <c r="I274" s="388">
        <f>IF(H274,Wh_hp,'2025'!Maxi_hp)</f>
        <v>49.501823662015703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5.2265652717922384E-2</v>
      </c>
      <c r="M274" s="832"/>
      <c r="N274" s="832"/>
      <c r="O274" s="48">
        <f>IF(t&lt;Tnet,'2025'!Resal+('2025'!Salim-'2025'!Resal)*(1-EXP(('2025'!Tnet-t)/('2025'!Tau_j))),Resal+(Salim-Resal)*(1-EXP((Tnet-t)/(Tau_j))))*Salcycl</f>
        <v>2.1750544123506719E-2</v>
      </c>
      <c r="P274" s="169">
        <f>(INDEX(Models!$BJ274:$BT274,,T274)*(1-R274)+INDEX(Models!$BJ274:$BT274,,T274+1)*R274-ERP_i)*Q274*Ramure*Pc/MaxiM</f>
        <v>1.0389044193049262E-4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46.164326430801779</v>
      </c>
      <c r="W274" s="400">
        <f t="shared" si="111"/>
        <v>45.88943352186125</v>
      </c>
      <c r="X274" s="157">
        <f t="shared" si="112"/>
        <v>46282</v>
      </c>
      <c r="Y274" s="383">
        <f t="shared" si="113"/>
        <v>43.89052377827926</v>
      </c>
      <c r="Z274" s="383">
        <f t="shared" si="114"/>
        <v>46.310998334236757</v>
      </c>
      <c r="AA274" s="384">
        <f t="shared" si="115"/>
        <v>49.374438488526877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6.2045063155542868E-2</v>
      </c>
      <c r="AD274" s="230">
        <f>(INDEX(Models!$BJ274:$BT274,,AH274)*(1-AF274)+INDEX(Models!$BJ274:$BT274,,AH274+1)*AF274-ERP_i)*AE274*Ramure*Pc/MaxiM</f>
        <v>2.5954214053606271E-3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'2025'!Wh/'2025'!Env_an*'2026'!Env_an</f>
        <v>45.8831120166749</v>
      </c>
      <c r="C275" s="829"/>
      <c r="D275" s="391">
        <f t="shared" si="102"/>
        <v>48.414401677525277</v>
      </c>
      <c r="E275" s="383">
        <f t="shared" si="100"/>
        <v>49.494437653309781</v>
      </c>
      <c r="F275" s="383">
        <f t="shared" si="103"/>
        <v>49.499729573237367</v>
      </c>
      <c r="G275" s="110">
        <f t="shared" si="101"/>
        <v>0.99987482541908146</v>
      </c>
      <c r="H275" s="412" t="b">
        <f>Wh_hp&gt;='2025'!Maxi_hp</f>
        <v>1</v>
      </c>
      <c r="I275" s="388">
        <f>IF(H275,Wh_hp,'2025'!Maxi_hp)</f>
        <v>49.499729573237367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5.2283815830475144E-2</v>
      </c>
      <c r="M275" s="832"/>
      <c r="N275" s="832"/>
      <c r="O275" s="48">
        <f>IF(t&lt;Tnet,'2025'!Resal+('2025'!Salim-'2025'!Resal)*(1-EXP(('2025'!Tnet-t)/('2025'!Tau_j))),Resal+(Salim-Resal)*(1-EXP((Tnet-t)/(Tau_j))))*Salcycl</f>
        <v>2.1821360681977171E-2</v>
      </c>
      <c r="P275" s="169">
        <f>(INDEX(Models!$BJ275:$BT275,,T275)*(1-R275)+INDEX(Models!$BJ275:$BT275,,T275+1)*R275-ERP_i)*Q275*Ramure*Pc/MaxiM</f>
        <v>1.069271752270493E-4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45.888855257618708</v>
      </c>
      <c r="W275" s="400">
        <f t="shared" si="111"/>
        <v>45.8831120166749</v>
      </c>
      <c r="X275" s="157">
        <f t="shared" si="112"/>
        <v>46283</v>
      </c>
      <c r="Y275" s="383">
        <f t="shared" si="113"/>
        <v>43.881981007832749</v>
      </c>
      <c r="Z275" s="383">
        <f t="shared" si="114"/>
        <v>46.30287183107054</v>
      </c>
      <c r="AA275" s="384">
        <f t="shared" si="115"/>
        <v>49.367102148128765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6.2070289397660558E-2</v>
      </c>
      <c r="AD275" s="230">
        <f>(INDEX(Models!$BJ275:$BT275,,AH275)*(1-AF275)+INDEX(Models!$BJ275:$BT275,,AH275+1)*AF275-ERP_i)*AE275*Ramure*Pc/MaxiM</f>
        <v>2.6798356964128963E-3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'2025'!Wh/'2025'!Env_an*'2026'!Env_an</f>
        <v>45.261445890019367</v>
      </c>
      <c r="C276" s="829"/>
      <c r="D276" s="391">
        <f t="shared" si="102"/>
        <v>47.75935463378346</v>
      </c>
      <c r="E276" s="383">
        <f t="shared" si="100"/>
        <v>48.828297492146895</v>
      </c>
      <c r="F276" s="383">
        <f t="shared" si="103"/>
        <v>48.833614043887223</v>
      </c>
      <c r="G276" s="110">
        <f t="shared" si="101"/>
        <v>0.99236222786141826</v>
      </c>
      <c r="H276" s="412" t="b">
        <f>Wh_hp&gt;='2025'!Maxi_hp</f>
        <v>1</v>
      </c>
      <c r="I276" s="388">
        <f>IF(H276,Wh_hp,'2025'!Maxi_hp)</f>
        <v>48.833614043887223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5.2301978594935905E-2</v>
      </c>
      <c r="M276" s="832"/>
      <c r="N276" s="832"/>
      <c r="O276" s="48">
        <f>IF(t&lt;Tnet,'2025'!Resal+('2025'!Salim-'2025'!Resal)*(1-EXP(('2025'!Tnet-t)/('2025'!Tau_j))),Resal+(Salim-Resal)*(1-EXP((Tnet-t)/(Tau_j))))*Salcycl</f>
        <v>2.1891872403197243E-2</v>
      </c>
      <c r="P276" s="169">
        <f>(INDEX(Models!$BJ276:$BT276,,T276)*(1-R276)+INDEX(Models!$BJ276:$BT276,,T276+1)*R276-ERP_i)*Q276*Ramure*Pc/MaxiM</f>
        <v>1.1007155555573348E-4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45.609748399062703</v>
      </c>
      <c r="W276" s="400">
        <f t="shared" si="111"/>
        <v>45.261445890019367</v>
      </c>
      <c r="X276" s="157">
        <f t="shared" si="112"/>
        <v>46284</v>
      </c>
      <c r="Y276" s="383">
        <f t="shared" si="113"/>
        <v>43.286937410912721</v>
      </c>
      <c r="Z276" s="383">
        <f t="shared" si="114"/>
        <v>45.675876105275798</v>
      </c>
      <c r="AA276" s="384">
        <f t="shared" si="115"/>
        <v>48.699890344579231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6.2094888056355456E-2</v>
      </c>
      <c r="AD276" s="230">
        <f>(INDEX(Models!$BJ276:$BT276,,AH276)*(1-AF276)+INDEX(Models!$BJ276:$BT276,,AH276+1)*AF276-ERP_i)*AE276*Ramure*Pc/MaxiM</f>
        <v>2.7685568233709198E-3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'2025'!Wh/'2025'!Env_an*'2026'!Env_an</f>
        <v>46.985608861101902</v>
      </c>
      <c r="C277" s="829"/>
      <c r="D277" s="391">
        <f t="shared" si="102"/>
        <v>49.579621657510316</v>
      </c>
      <c r="E277" s="383">
        <f t="shared" si="100"/>
        <v>50.692943635558223</v>
      </c>
      <c r="F277" s="383">
        <f t="shared" si="103"/>
        <v>50.698686823362138</v>
      </c>
      <c r="G277" s="110">
        <f t="shared" si="101"/>
        <v>1.0365895377792056</v>
      </c>
      <c r="H277" s="412" t="b">
        <f>Wh_hp&gt;='2025'!Maxi_hp</f>
        <v>1</v>
      </c>
      <c r="I277" s="388">
        <f>IF(H277,Wh_hp,'2025'!Maxi_hp)</f>
        <v>50.698686823362138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5.2320141011311549E-2</v>
      </c>
      <c r="M277" s="832"/>
      <c r="N277" s="832"/>
      <c r="O277" s="48">
        <f>IF(t&lt;Tnet,'2025'!Resal+('2025'!Salim-'2025'!Resal)*(1-EXP(('2025'!Tnet-t)/('2025'!Tau_j))),Resal+(Salim-Resal)*(1-EXP((Tnet-t)/(Tau_j))))*Salcycl</f>
        <v>2.1962070027966851E-2</v>
      </c>
      <c r="P277" s="169">
        <f>(INDEX(Models!$BJ277:$BT277,,T277)*(1-R277)+INDEX(Models!$BJ277:$BT277,,T277+1)*R277-ERP_i)*Q277*Ramure*Pc/MaxiM</f>
        <v>1.1328080003178537E-4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45.327110827072502</v>
      </c>
      <c r="W277" s="400">
        <f t="shared" si="111"/>
        <v>46.985608861101902</v>
      </c>
      <c r="X277" s="157">
        <f t="shared" si="112"/>
        <v>46285</v>
      </c>
      <c r="Y277" s="383">
        <f t="shared" si="113"/>
        <v>44.932655536315771</v>
      </c>
      <c r="Z277" s="383">
        <f t="shared" si="114"/>
        <v>47.413327517866016</v>
      </c>
      <c r="AA277" s="384">
        <f t="shared" si="115"/>
        <v>50.553662250445932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6.2118837543806517E-2</v>
      </c>
      <c r="AD277" s="230">
        <f>(INDEX(Models!$BJ277:$BT277,,AH277)*(1-AF277)+INDEX(Models!$BJ277:$BT277,,AH277+1)*AF277-ERP_i)*AE277*Ramure*Pc/MaxiM</f>
        <v>2.8605193152532972E-3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'2025'!Wh/'2025'!Env_an*'2026'!Env_an</f>
        <v>45.777288672078981</v>
      </c>
      <c r="C278" s="829"/>
      <c r="D278" s="391">
        <f t="shared" si="102"/>
        <v>48.305517486716056</v>
      </c>
      <c r="E278" s="383">
        <f t="shared" si="100"/>
        <v>49.393758003458807</v>
      </c>
      <c r="F278" s="383">
        <f t="shared" si="103"/>
        <v>49.399515767454261</v>
      </c>
      <c r="G278" s="110">
        <f t="shared" si="101"/>
        <v>1.0163460501370338</v>
      </c>
      <c r="H278" s="412" t="b">
        <f>Wh_hp&gt;='2025'!Maxi_hp</f>
        <v>1</v>
      </c>
      <c r="I278" s="388">
        <f>IF(H278,Wh_hp,'2025'!Maxi_hp)</f>
        <v>49.399515767454261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5.2338303079608517E-2</v>
      </c>
      <c r="M278" s="832"/>
      <c r="N278" s="832"/>
      <c r="O278" s="48">
        <f>IF(t&lt;Tnet,'2025'!Resal+('2025'!Salim-'2025'!Resal)*(1-EXP(('2025'!Tnet-t)/('2025'!Tau_j))),Resal+(Salim-Resal)*(1-EXP((Tnet-t)/(Tau_j))))*Salcycl</f>
        <v>2.2031944130805919E-2</v>
      </c>
      <c r="P278" s="169">
        <f>(INDEX(Models!$BJ278:$BT278,,T278)*(1-R278)+INDEX(Models!$BJ278:$BT278,,T278+1)*R278-ERP_i)*Q278*Ramure*Pc/MaxiM</f>
        <v>1.1655506953879955E-4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45.041045484367096</v>
      </c>
      <c r="W278" s="400">
        <f t="shared" si="111"/>
        <v>45.777288672078981</v>
      </c>
      <c r="X278" s="157">
        <f t="shared" si="112"/>
        <v>46286</v>
      </c>
      <c r="Y278" s="383">
        <f t="shared" si="113"/>
        <v>43.775134326347803</v>
      </c>
      <c r="Z278" s="383">
        <f t="shared" si="114"/>
        <v>46.192786379995624</v>
      </c>
      <c r="AA278" s="384">
        <f t="shared" si="115"/>
        <v>49.253503296473369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6.2142116024808701E-2</v>
      </c>
      <c r="AD278" s="230">
        <f>(INDEX(Models!$BJ278:$BT278,,AH278)*(1-AF278)+INDEX(Models!$BJ278:$BT278,,AH278+1)*AF278-ERP_i)*AE278*Ramure*Pc/MaxiM</f>
        <v>2.9557470091050174E-3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'2025'!Wh/'2025'!Env_an*'2026'!Env_an</f>
        <v>44.298444018162598</v>
      </c>
      <c r="C279" s="829"/>
      <c r="D279" s="391">
        <f t="shared" si="102"/>
        <v>46.745893759308601</v>
      </c>
      <c r="E279" s="383">
        <f t="shared" si="100"/>
        <v>47.802397743361901</v>
      </c>
      <c r="F279" s="383">
        <f t="shared" si="103"/>
        <v>47.808046737033415</v>
      </c>
      <c r="G279" s="110">
        <f t="shared" si="101"/>
        <v>0.98987103167957269</v>
      </c>
      <c r="H279" s="412" t="b">
        <f>Wh_hp&gt;='2025'!Maxi_hp</f>
        <v>1</v>
      </c>
      <c r="I279" s="388">
        <f>IF(H279,Wh_hp,'2025'!Maxi_hp)</f>
        <v>47.808046737033415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5.235646479983358E-2</v>
      </c>
      <c r="M279" s="832"/>
      <c r="N279" s="832"/>
      <c r="O279" s="48">
        <f>IF(t&lt;Tnet,'2025'!Resal+('2025'!Salim-'2025'!Resal)*(1-EXP(('2025'!Tnet-t)/('2025'!Tau_j))),Resal+(Salim-Resal)*(1-EXP((Tnet-t)/(Tau_j))))*Salcycl</f>
        <v>2.2101485154058277E-2</v>
      </c>
      <c r="P279" s="169">
        <f>(INDEX(Models!$BJ279:$BT279,,T279)*(1-R279)+INDEX(Models!$BJ279:$BT279,,T279+1)*R279-ERP_i)*Q279*Ramure*Pc/MaxiM</f>
        <v>1.1989446605429666E-4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44.751655268683749</v>
      </c>
      <c r="W279" s="400">
        <f t="shared" si="111"/>
        <v>44.298444018162598</v>
      </c>
      <c r="X279" s="157">
        <f t="shared" si="112"/>
        <v>46287</v>
      </c>
      <c r="Y279" s="383">
        <f t="shared" si="113"/>
        <v>42.36072155893001</v>
      </c>
      <c r="Z279" s="383">
        <f t="shared" si="114"/>
        <v>44.701113852881768</v>
      </c>
      <c r="AA279" s="384">
        <f t="shared" si="115"/>
        <v>47.664140947872461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6.2164701514943604E-2</v>
      </c>
      <c r="AD279" s="230">
        <f>(INDEX(Models!$BJ279:$BT279,,AH279)*(1-AF279)+INDEX(Models!$BJ279:$BT279,,AH279+1)*AF279-ERP_i)*AE279*Ramure*Pc/MaxiM</f>
        <v>3.0542621848856097E-3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'2025'!Wh/'2025'!Env_an*'2026'!Env_an</f>
        <v>28.116936989728011</v>
      </c>
      <c r="C280" s="829"/>
      <c r="D280" s="391">
        <f t="shared" si="102"/>
        <v>29.670941456693434</v>
      </c>
      <c r="E280" s="383">
        <f t="shared" si="100"/>
        <v>30.343681616409967</v>
      </c>
      <c r="F280" s="383">
        <f t="shared" si="103"/>
        <v>30.345458459815958</v>
      </c>
      <c r="G280" s="110">
        <f t="shared" si="101"/>
        <v>0.63238240258863665</v>
      </c>
      <c r="H280" s="412" t="b">
        <f>Wh_hp&gt;='2025'!Maxi_hp</f>
        <v>0</v>
      </c>
      <c r="I280" s="388">
        <f>IF(H280,Wh_hp,'2025'!Maxi_hp)</f>
        <v>41.863369362780062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5.237462617199351E-2</v>
      </c>
      <c r="M280" s="832"/>
      <c r="N280" s="832"/>
      <c r="O280" s="48">
        <f>IF(t&lt;Tnet,'2025'!Resal+('2025'!Salim-'2025'!Resal)*(1-EXP(('2025'!Tnet-t)/('2025'!Tau_j))),Resal+(Salim-Resal)*(1-EXP((Tnet-t)/(Tau_j))))*Salcycl</f>
        <v>2.2170683446425005E-2</v>
      </c>
      <c r="P280" s="169">
        <f>(INDEX(Models!$BJ280:$BT280,,T280)*(1-R280)+INDEX(Models!$BJ280:$BT280,,T280+1)*R280-ERP_i)*Q280*Ramure*Pc/MaxiM</f>
        <v>1.2329968515681621E-4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44.459042999071094</v>
      </c>
      <c r="W280" s="400">
        <f t="shared" si="111"/>
        <v>28.116936989728011</v>
      </c>
      <c r="X280" s="157">
        <f t="shared" si="112"/>
        <v>46288</v>
      </c>
      <c r="Y280" s="383">
        <f t="shared" si="113"/>
        <v>26.927461950878104</v>
      </c>
      <c r="Z280" s="383">
        <f t="shared" si="114"/>
        <v>28.415724921022878</v>
      </c>
      <c r="AA280" s="384">
        <f t="shared" si="115"/>
        <v>30.299976596950113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6.2186571989527498E-2</v>
      </c>
      <c r="AD280" s="230">
        <f>(INDEX(Models!$BJ280:$BT280,,AH280)*(1-AF280)+INDEX(Models!$BJ280:$BT280,,AH280+1)*AF280-ERP_i)*AE280*Ramure*Pc/MaxiM</f>
        <v>3.1561021938111083E-3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'2025'!Wh/'2025'!Env_an*'2026'!Env_an</f>
        <v>17.032512985690776</v>
      </c>
      <c r="C281" s="829"/>
      <c r="D281" s="391">
        <f t="shared" si="102"/>
        <v>17.97423315858132</v>
      </c>
      <c r="E281" s="383">
        <f t="shared" si="100"/>
        <v>18.38306384570954</v>
      </c>
      <c r="F281" s="383">
        <f t="shared" si="103"/>
        <v>18.383349066501982</v>
      </c>
      <c r="G281" s="110">
        <f t="shared" si="101"/>
        <v>0.38562819285997701</v>
      </c>
      <c r="H281" s="412" t="b">
        <f>Wh_hp&gt;='2025'!Maxi_hp</f>
        <v>0</v>
      </c>
      <c r="I281" s="388">
        <f>IF(H281,Wh_hp,'2025'!Maxi_hp)</f>
        <v>40.4343470381435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5.2392787196094859E-2</v>
      </c>
      <c r="M281" s="832"/>
      <c r="N281" s="832"/>
      <c r="O281" s="48">
        <f>IF(t&lt;Tnet,'2025'!Resal+('2025'!Salim-'2025'!Resal)*(1-EXP(('2025'!Tnet-t)/('2025'!Tau_j))),Resal+(Salim-Resal)*(1-EXP((Tnet-t)/(Tau_j))))*Salcycl</f>
        <v>2.2239529305863686E-2</v>
      </c>
      <c r="P281" s="169">
        <f>(INDEX(Models!$BJ281:$BT281,,T281)*(1-R281)+INDEX(Models!$BJ281:$BT281,,T281+1)*R281-ERP_i)*Q281*Ramure*Pc/MaxiM</f>
        <v>1.2677109351531577E-4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44.163311458188602</v>
      </c>
      <c r="W281" s="400">
        <f t="shared" si="111"/>
        <v>17.032512985690776</v>
      </c>
      <c r="X281" s="157">
        <f t="shared" si="112"/>
        <v>46289</v>
      </c>
      <c r="Y281" s="383">
        <f t="shared" si="113"/>
        <v>16.330003282673307</v>
      </c>
      <c r="Z281" s="383">
        <f t="shared" si="114"/>
        <v>17.232882002189431</v>
      </c>
      <c r="AA281" s="384">
        <f t="shared" si="115"/>
        <v>18.376011514822576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6.2207705502963291E-2</v>
      </c>
      <c r="AD281" s="230">
        <f>(INDEX(Models!$BJ281:$BT281,,AH281)*(1-AF281)+INDEX(Models!$BJ281:$BT281,,AH281+1)*AF281-ERP_i)*AE281*Ramure*Pc/MaxiM</f>
        <v>3.2612960722798023E-3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'2025'!Wh/'2025'!Env_an*'2026'!Env_an</f>
        <v>35.870090210395063</v>
      </c>
      <c r="C282" s="829"/>
      <c r="D282" s="391">
        <f t="shared" si="102"/>
        <v>37.854057230660366</v>
      </c>
      <c r="E282" s="383">
        <f t="shared" si="100"/>
        <v>38.717773833709046</v>
      </c>
      <c r="F282" s="383">
        <f t="shared" si="103"/>
        <v>38.721506534658232</v>
      </c>
      <c r="G282" s="110">
        <f t="shared" si="101"/>
        <v>0.81771869963335997</v>
      </c>
      <c r="H282" s="412" t="b">
        <f>Wh_hp&gt;='2025'!Maxi_hp</f>
        <v>1</v>
      </c>
      <c r="I282" s="388">
        <f>IF(H282,Wh_hp,'2025'!Maxi_hp)</f>
        <v>38.721506534658232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5.2410947872144287E-2</v>
      </c>
      <c r="M282" s="832"/>
      <c r="N282" s="832"/>
      <c r="O282" s="48">
        <f>IF(t&lt;Tnet,'2025'!Resal+('2025'!Salim-'2025'!Resal)*(1-EXP(('2025'!Tnet-t)/('2025'!Tau_j))),Resal+(Salim-Resal)*(1-EXP((Tnet-t)/(Tau_j))))*Salcycl</f>
        <v>2.2308013026738072E-2</v>
      </c>
      <c r="P282" s="169">
        <f>(INDEX(Models!$BJ282:$BT282,,T282)*(1-R282)+INDEX(Models!$BJ282:$BT282,,T282+1)*R282-ERP_i)*Q282*Ramure*Pc/MaxiM</f>
        <v>1.3033224022757623E-4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43.864562358890495</v>
      </c>
      <c r="W282" s="400">
        <f t="shared" si="111"/>
        <v>35.870090210395063</v>
      </c>
      <c r="X282" s="157">
        <f t="shared" si="112"/>
        <v>46290</v>
      </c>
      <c r="Y282" s="383">
        <f t="shared" si="113"/>
        <v>34.322889107075127</v>
      </c>
      <c r="Z282" s="383">
        <f t="shared" si="114"/>
        <v>36.221280765118031</v>
      </c>
      <c r="AA282" s="384">
        <f t="shared" si="115"/>
        <v>38.624829774600499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6.2228080317988328E-2</v>
      </c>
      <c r="AD282" s="230">
        <f>(INDEX(Models!$BJ282:$BT282,,AH282)*(1-AF282)+INDEX(Models!$BJ282:$BT282,,AH282+1)*AF282-ERP_i)*AE282*Ramure*Pc/MaxiM</f>
        <v>3.3755982297543853E-3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'2025'!Wh/'2025'!Env_an*'2026'!Env_an</f>
        <v>32.84378873476453</v>
      </c>
      <c r="C283" s="829"/>
      <c r="D283" s="391">
        <f t="shared" si="102"/>
        <v>34.661035938303058</v>
      </c>
      <c r="E283" s="383">
        <f t="shared" si="100"/>
        <v>35.4543672908639</v>
      </c>
      <c r="F283" s="383">
        <f t="shared" si="103"/>
        <v>35.457447090173446</v>
      </c>
      <c r="G283" s="110">
        <f t="shared" si="101"/>
        <v>0.75390394273669348</v>
      </c>
      <c r="H283" s="412" t="b">
        <f>Wh_hp&gt;='2025'!Maxi_hp</f>
        <v>0</v>
      </c>
      <c r="I283" s="388">
        <f>IF(H283,Wh_hp,'2025'!Maxi_hp)</f>
        <v>39.693686966189702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5.2429108200148455E-2</v>
      </c>
      <c r="M283" s="832"/>
      <c r="N283" s="832"/>
      <c r="O283" s="48">
        <f>IF(t&lt;Tnet,'2025'!Resal+('2025'!Salim-'2025'!Resal)*(1-EXP(('2025'!Tnet-t)/('2025'!Tau_j))),Resal+(Salim-Resal)*(1-EXP((Tnet-t)/(Tau_j))))*Salcycl</f>
        <v>2.2376124951051395E-2</v>
      </c>
      <c r="P283" s="169">
        <f>(INDEX(Models!$BJ283:$BT283,,T283)*(1-R283)+INDEX(Models!$BJ283:$BT283,,T283+1)*R283-ERP_i)*Q283*Ramure*Pc/MaxiM</f>
        <v>1.3394147377767483E-4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43.562900222065849</v>
      </c>
      <c r="W283" s="400">
        <f t="shared" si="111"/>
        <v>32.84378873476453</v>
      </c>
      <c r="X283" s="157">
        <f t="shared" si="112"/>
        <v>46291</v>
      </c>
      <c r="Y283" s="383">
        <f t="shared" si="113"/>
        <v>31.43555125053863</v>
      </c>
      <c r="Z283" s="383">
        <f t="shared" si="114"/>
        <v>33.174880658088568</v>
      </c>
      <c r="AA283" s="384">
        <f t="shared" si="115"/>
        <v>35.377017763887167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6.2247675044179065E-2</v>
      </c>
      <c r="AD283" s="230">
        <f>(INDEX(Models!$BJ283:$BT283,,AH283)*(1-AF283)+INDEX(Models!$BJ283:$BT283,,AH283+1)*AF283-ERP_i)*AE283*Ramure*Pc/MaxiM</f>
        <v>3.497897562460777E-3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'2025'!Wh/'2025'!Env_an*'2026'!Env_an</f>
        <v>17.416495097655694</v>
      </c>
      <c r="C284" s="829"/>
      <c r="D284" s="391">
        <f t="shared" si="102"/>
        <v>18.38050222725365</v>
      </c>
      <c r="E284" s="383">
        <f t="shared" si="100"/>
        <v>18.802502885496761</v>
      </c>
      <c r="F284" s="383">
        <f t="shared" si="103"/>
        <v>18.802882157041608</v>
      </c>
      <c r="G284" s="110">
        <f t="shared" si="101"/>
        <v>0.40256779583826652</v>
      </c>
      <c r="H284" s="412" t="b">
        <f>Wh_hp&gt;='2025'!Maxi_hp</f>
        <v>0</v>
      </c>
      <c r="I284" s="388">
        <f>IF(H284,Wh_hp,'2025'!Maxi_hp)</f>
        <v>37.960845399345402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5.2447268180114137E-2</v>
      </c>
      <c r="M284" s="832"/>
      <c r="N284" s="832"/>
      <c r="O284" s="48">
        <f>IF(t&lt;Tnet,'2025'!Resal+('2025'!Salim-'2025'!Resal)*(1-EXP(('2025'!Tnet-t)/('2025'!Tau_j))),Resal+(Salim-Resal)*(1-EXP((Tnet-t)/(Tau_j))))*Salcycl</f>
        <v>2.244385552354411E-2</v>
      </c>
      <c r="P284" s="169">
        <f>(INDEX(Models!$BJ284:$BT284,,T284)*(1-R284)+INDEX(Models!$BJ284:$BT284,,T284+1)*R284-ERP_i)*Q284*Ramure*Pc/MaxiM</f>
        <v>1.3759818662876662E-4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43.258427686275674</v>
      </c>
      <c r="W284" s="400">
        <f t="shared" si="111"/>
        <v>17.416495097655694</v>
      </c>
      <c r="X284" s="157">
        <f t="shared" si="112"/>
        <v>46292</v>
      </c>
      <c r="Y284" s="383">
        <f t="shared" si="113"/>
        <v>16.698451722260852</v>
      </c>
      <c r="Z284" s="383">
        <f t="shared" si="114"/>
        <v>17.62271498092726</v>
      </c>
      <c r="AA284" s="384">
        <f t="shared" si="115"/>
        <v>18.792881340281049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6.2266468784945093E-2</v>
      </c>
      <c r="AD284" s="230">
        <f>(INDEX(Models!$BJ284:$BT284,,AH284)*(1-AF284)+INDEX(Models!$BJ284:$BT284,,AH284+1)*AF284-ERP_i)*AE284*Ramure*Pc/MaxiM</f>
        <v>3.6282559811073255E-3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'2025'!Wh/'2025'!Env_an*'2026'!Env_an</f>
        <v>19.741054591734006</v>
      </c>
      <c r="C285" s="829"/>
      <c r="D285" s="391">
        <f t="shared" si="102"/>
        <v>20.834125921284262</v>
      </c>
      <c r="E285" s="383">
        <f t="shared" si="100"/>
        <v>21.313927916291966</v>
      </c>
      <c r="F285" s="383">
        <f t="shared" si="103"/>
        <v>21.314614670852791</v>
      </c>
      <c r="G285" s="110">
        <f t="shared" si="101"/>
        <v>0.45956525969905787</v>
      </c>
      <c r="H285" s="412" t="b">
        <f>Wh_hp&gt;='2025'!Maxi_hp</f>
        <v>0</v>
      </c>
      <c r="I285" s="388">
        <f>IF(H285,Wh_hp,'2025'!Maxi_hp)</f>
        <v>38.326040675068562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5.2465427812047993E-2</v>
      </c>
      <c r="M285" s="832"/>
      <c r="N285" s="832"/>
      <c r="O285" s="48">
        <f>IF(t&lt;Tnet,'2025'!Resal+('2025'!Salim-'2025'!Resal)*(1-EXP(('2025'!Tnet-t)/('2025'!Tau_j))),Resal+(Salim-Resal)*(1-EXP((Tnet-t)/(Tau_j))))*Salcycl</f>
        <v>2.2511195350386447E-2</v>
      </c>
      <c r="P285" s="169">
        <f>(INDEX(Models!$BJ285:$BT285,,T285)*(1-R285)+INDEX(Models!$BJ285:$BT285,,T285+1)*R285-ERP_i)*Q285*Ramure*Pc/MaxiM</f>
        <v>1.4130167958203611E-4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42.951247328250481</v>
      </c>
      <c r="W285" s="400">
        <f t="shared" si="111"/>
        <v>19.741054591734006</v>
      </c>
      <c r="X285" s="157">
        <f t="shared" si="112"/>
        <v>46293</v>
      </c>
      <c r="Y285" s="383">
        <f t="shared" si="113"/>
        <v>18.922150732325267</v>
      </c>
      <c r="Z285" s="383">
        <f t="shared" si="114"/>
        <v>19.969878976164566</v>
      </c>
      <c r="AA285" s="384">
        <f t="shared" si="115"/>
        <v>21.296307596390935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6.2284441292121427E-2</v>
      </c>
      <c r="AD285" s="230">
        <f>(INDEX(Models!$BJ285:$BT285,,AH285)*(1-AF285)+INDEX(Models!$BJ285:$BT285,,AH285+1)*AF285-ERP_i)*AE285*Ramure*Pc/MaxiM</f>
        <v>3.7667319844112332E-3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'2025'!Wh/'2025'!Env_an*'2026'!Env_an</f>
        <v>23.720292544305135</v>
      </c>
      <c r="C286" s="829"/>
      <c r="D286" s="391">
        <f t="shared" si="102"/>
        <v>25.03417589528059</v>
      </c>
      <c r="E286" s="383">
        <f t="shared" si="100"/>
        <v>25.612457423355444</v>
      </c>
      <c r="F286" s="383">
        <f t="shared" si="103"/>
        <v>25.613817615579119</v>
      </c>
      <c r="G286" s="110">
        <f t="shared" si="101"/>
        <v>0.5562218199078619</v>
      </c>
      <c r="H286" s="412" t="b">
        <f>Wh_hp&gt;='2025'!Maxi_hp</f>
        <v>0</v>
      </c>
      <c r="I286" s="388">
        <f>IF(H286,Wh_hp,'2025'!Maxi_hp)</f>
        <v>44.025423023353014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5.2483587095956574E-2</v>
      </c>
      <c r="M286" s="832"/>
      <c r="N286" s="832"/>
      <c r="O286" s="48">
        <f>IF(t&lt;Tnet,'2025'!Resal+('2025'!Salim-'2025'!Resal)*(1-EXP(('2025'!Tnet-t)/('2025'!Tau_j))),Resal+(Salim-Resal)*(1-EXP((Tnet-t)/(Tau_j))))*Salcycl</f>
        <v>2.2578135261145695E-2</v>
      </c>
      <c r="P286" s="169">
        <f>(INDEX(Models!$BJ286:$BT286,,T286)*(1-R286)+INDEX(Models!$BJ286:$BT286,,T286+1)*R286-ERP_i)*Q286*Ramure*Pc/MaxiM</f>
        <v>1.4505116193281928E-4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42.641461665730084</v>
      </c>
      <c r="W286" s="400">
        <f t="shared" si="111"/>
        <v>23.720292544305135</v>
      </c>
      <c r="X286" s="157">
        <f t="shared" si="112"/>
        <v>46294</v>
      </c>
      <c r="Y286" s="383">
        <f t="shared" si="113"/>
        <v>22.724879011401686</v>
      </c>
      <c r="Z286" s="383">
        <f t="shared" si="114"/>
        <v>23.983625720795903</v>
      </c>
      <c r="AA286" s="384">
        <f t="shared" si="115"/>
        <v>25.57712056826141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6.2301573127151448E-2</v>
      </c>
      <c r="AD286" s="230">
        <f>(INDEX(Models!$BJ286:$BT286,,AH286)*(1-AF286)+INDEX(Models!$BJ286:$BT286,,AH286+1)*AF286-ERP_i)*AE286*Ramure*Pc/MaxiM</f>
        <v>3.9133802269133546E-3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'2025'!Wh/'2025'!Env_an*'2026'!Env_an</f>
        <v>28.149521195256742</v>
      </c>
      <c r="C287" s="829"/>
      <c r="D287" s="391">
        <f t="shared" si="102"/>
        <v>29.709311945816932</v>
      </c>
      <c r="E287" s="383">
        <f t="shared" si="100"/>
        <v>30.397656741263912</v>
      </c>
      <c r="F287" s="383">
        <f t="shared" si="103"/>
        <v>30.400016255179825</v>
      </c>
      <c r="G287" s="110">
        <f t="shared" si="101"/>
        <v>0.66496729912120578</v>
      </c>
      <c r="H287" s="412" t="b">
        <f>Wh_hp&gt;='2025'!Maxi_hp</f>
        <v>0</v>
      </c>
      <c r="I287" s="388">
        <f>IF(H287,Wh_hp,'2025'!Maxi_hp)</f>
        <v>36.159220038545989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5.2501746031846652E-2</v>
      </c>
      <c r="M287" s="832"/>
      <c r="N287" s="832"/>
      <c r="O287" s="48">
        <f>IF(t&lt;Tnet,'2025'!Resal+('2025'!Salim-'2025'!Resal)*(1-EXP(('2025'!Tnet-t)/('2025'!Tau_j))),Resal+(Salim-Resal)*(1-EXP((Tnet-t)/(Tau_j))))*Salcycl</f>
        <v>2.2644666373660645E-2</v>
      </c>
      <c r="P287" s="169">
        <f>(INDEX(Models!$BJ287:$BT287,,T287)*(1-R287)+INDEX(Models!$BJ287:$BT287,,T287+1)*R287-ERP_i)*Q287*Ramure*Pc/MaxiM</f>
        <v>1.4884575241604564E-4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42.329173149812227</v>
      </c>
      <c r="W287" s="400">
        <f t="shared" si="111"/>
        <v>28.149521195256742</v>
      </c>
      <c r="X287" s="157">
        <f t="shared" si="112"/>
        <v>46295</v>
      </c>
      <c r="Y287" s="383">
        <f t="shared" si="113"/>
        <v>26.95166496239445</v>
      </c>
      <c r="Z287" s="383">
        <f t="shared" si="114"/>
        <v>28.445081402018424</v>
      </c>
      <c r="AA287" s="384">
        <f t="shared" si="115"/>
        <v>30.335526036675443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6.231784582774285E-2</v>
      </c>
      <c r="AD287" s="230">
        <f>(INDEX(Models!$BJ287:$BT287,,AH287)*(1-AF287)+INDEX(Models!$BJ287:$BT287,,AH287+1)*AF287-ERP_i)*AE287*Ramure*Pc/MaxiM</f>
        <v>4.0682511054604209E-3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'2025'!Wh/'2025'!Env_an*'2026'!Env_an</f>
        <v>36.782825377361029</v>
      </c>
      <c r="C288" s="829"/>
      <c r="D288" s="391">
        <f t="shared" si="102"/>
        <v>38.821739429362985</v>
      </c>
      <c r="E288" s="383">
        <f t="shared" si="100"/>
        <v>39.723900193818579</v>
      </c>
      <c r="F288" s="383">
        <f t="shared" si="103"/>
        <v>39.728887123200145</v>
      </c>
      <c r="G288" s="110">
        <f t="shared" si="101"/>
        <v>0.87545585629487033</v>
      </c>
      <c r="H288" s="412" t="b">
        <f>Wh_hp&gt;='2025'!Maxi_hp</f>
        <v>0</v>
      </c>
      <c r="I288" s="388">
        <f>IF(H288,Wh_hp,'2025'!Maxi_hp)</f>
        <v>44.503895100671492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5.2519904619724889E-2</v>
      </c>
      <c r="M288" s="832"/>
      <c r="N288" s="832"/>
      <c r="O288" s="48">
        <f>IF(t&lt;Tnet,'2025'!Resal+('2025'!Salim-'2025'!Resal)*(1-EXP(('2025'!Tnet-t)/('2025'!Tau_j))),Resal+(Salim-Resal)*(1-EXP((Tnet-t)/(Tau_j))))*Salcycl</f>
        <v>2.2710780161409708E-2</v>
      </c>
      <c r="P288" s="169">
        <f>(INDEX(Models!$BJ288:$BT288,,T288)*(1-R288)+INDEX(Models!$BJ288:$BT288,,T288+1)*R288-ERP_i)*Q288*Ramure*Pc/MaxiM</f>
        <v>1.5268448092352127E-4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42.014484167022744</v>
      </c>
      <c r="W288" s="400">
        <f t="shared" si="111"/>
        <v>36.782825377361029</v>
      </c>
      <c r="X288" s="157">
        <f t="shared" si="112"/>
        <v>46296</v>
      </c>
      <c r="Y288" s="383">
        <f t="shared" si="113"/>
        <v>35.173177801700412</v>
      </c>
      <c r="Z288" s="383">
        <f t="shared" si="114"/>
        <v>37.122867248819098</v>
      </c>
      <c r="AA288" s="384">
        <f t="shared" si="115"/>
        <v>39.590682868100572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6.2333242078778835E-2</v>
      </c>
      <c r="AD288" s="230">
        <f>(INDEX(Models!$BJ288:$BT288,,AH288)*(1-AF288)+INDEX(Models!$BJ288:$BT288,,AH288+1)*AF288-ERP_i)*AE288*Ramure*Pc/MaxiM</f>
        <v>4.2313903680487623E-3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'2025'!Wh/'2025'!Env_an*'2026'!Env_an</f>
        <v>39.223574852541553</v>
      </c>
      <c r="C289" s="829"/>
      <c r="D289" s="391">
        <f t="shared" si="102"/>
        <v>41.398575831895513</v>
      </c>
      <c r="E289" s="383">
        <f t="shared" si="100"/>
        <v>42.363465981341164</v>
      </c>
      <c r="F289" s="383">
        <f t="shared" si="103"/>
        <v>42.369537938201859</v>
      </c>
      <c r="G289" s="110">
        <f t="shared" si="101"/>
        <v>0.9406928284534245</v>
      </c>
      <c r="H289" s="412" t="b">
        <f>Wh_hp&gt;='2025'!Maxi_hp</f>
        <v>1</v>
      </c>
      <c r="I289" s="388">
        <f>IF(H289,Wh_hp,'2025'!Maxi_hp)</f>
        <v>42.369537938201859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5.2538062859597945E-2</v>
      </c>
      <c r="M289" s="832"/>
      <c r="N289" s="832"/>
      <c r="O289" s="48">
        <f>IF(t&lt;Tnet,'2025'!Resal+('2025'!Salim-'2025'!Resal)*(1-EXP(('2025'!Tnet-t)/('2025'!Tau_j))),Resal+(Salim-Resal)*(1-EXP((Tnet-t)/(Tau_j))))*Salcycl</f>
        <v>2.2776468522916277E-2</v>
      </c>
      <c r="P289" s="169">
        <f>(INDEX(Models!$BJ289:$BT289,,T289)*(1-R289)+INDEX(Models!$BJ289:$BT289,,T289+1)*R289-ERP_i)*Q289*Ramure*Pc/MaxiM</f>
        <v>1.56572205292728E-4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41.695921750937252</v>
      </c>
      <c r="W289" s="400">
        <f t="shared" si="111"/>
        <v>39.223574852541553</v>
      </c>
      <c r="X289" s="157">
        <f t="shared" si="112"/>
        <v>46297</v>
      </c>
      <c r="Y289" s="383">
        <f t="shared" si="113"/>
        <v>37.488972797994549</v>
      </c>
      <c r="Z289" s="383">
        <f t="shared" si="114"/>
        <v>39.567787716245903</v>
      </c>
      <c r="AA289" s="384">
        <f t="shared" si="115"/>
        <v>42.198786962487972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6.2347745886175768E-2</v>
      </c>
      <c r="AD289" s="230">
        <f>(INDEX(Models!$BJ289:$BT289,,AH289)*(1-AF289)+INDEX(Models!$BJ289:$BT289,,AH289+1)*AF289-ERP_i)*AE289*Ramure*Pc/MaxiM</f>
        <v>4.4030050668642509E-3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'2025'!Wh/'2025'!Env_an*'2026'!Env_an</f>
        <v>37.866541459604875</v>
      </c>
      <c r="C290" s="829"/>
      <c r="D290" s="391">
        <f t="shared" si="102"/>
        <v>39.967059037148374</v>
      </c>
      <c r="E290" s="383">
        <f t="shared" si="100"/>
        <v>40.901315593138833</v>
      </c>
      <c r="F290" s="383">
        <f t="shared" si="103"/>
        <v>40.907102417729099</v>
      </c>
      <c r="G290" s="110">
        <f t="shared" si="101"/>
        <v>0.91524455371375757</v>
      </c>
      <c r="H290" s="412" t="b">
        <f>Wh_hp&gt;='2025'!Maxi_hp</f>
        <v>1</v>
      </c>
      <c r="I290" s="388">
        <f>IF(H290,Wh_hp,'2025'!Maxi_hp)</f>
        <v>40.907102417729099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5.2556220751472371E-2</v>
      </c>
      <c r="M290" s="832"/>
      <c r="N290" s="832"/>
      <c r="O290" s="48">
        <f>IF(t&lt;Tnet,'2025'!Resal+('2025'!Salim-'2025'!Resal)*(1-EXP(('2025'!Tnet-t)/('2025'!Tau_j))),Resal+(Salim-Resal)*(1-EXP((Tnet-t)/(Tau_j))))*Salcycl</f>
        <v>2.2841723852696175E-2</v>
      </c>
      <c r="P290" s="169">
        <f>(INDEX(Models!$BJ290:$BT290,,T290)*(1-R290)+INDEX(Models!$BJ290:$BT290,,T290+1)*R290-ERP_i)*Q290*Ramure*Pc/MaxiM</f>
        <v>1.609456611104547E-4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41.372334252081828</v>
      </c>
      <c r="W290" s="400">
        <f t="shared" si="111"/>
        <v>37.866541459604875</v>
      </c>
      <c r="X290" s="157">
        <f t="shared" si="112"/>
        <v>46298</v>
      </c>
      <c r="Y290" s="383">
        <f t="shared" si="113"/>
        <v>36.193728671134352</v>
      </c>
      <c r="Z290" s="383">
        <f t="shared" si="114"/>
        <v>38.201452649614403</v>
      </c>
      <c r="AA290" s="384">
        <f t="shared" si="115"/>
        <v>40.742190346278093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6.2361342752299861E-2</v>
      </c>
      <c r="AD290" s="230">
        <f>(INDEX(Models!$BJ290:$BT290,,AH290)*(1-AF290)+INDEX(Models!$BJ290:$BT290,,AH290+1)*AF290-ERP_i)*AE290*Ramure*Pc/MaxiM</f>
        <v>4.5866056506065362E-3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'2025'!Wh/'2025'!Env_an*'2026'!Env_an</f>
        <v>41.714442738563115</v>
      </c>
      <c r="C291" s="829"/>
      <c r="D291" s="391">
        <f t="shared" si="102"/>
        <v>44.029253360816725</v>
      </c>
      <c r="E291" s="383">
        <f t="shared" si="100"/>
        <v>45.061455350296711</v>
      </c>
      <c r="F291" s="383">
        <f t="shared" si="103"/>
        <v>45.068928153940952</v>
      </c>
      <c r="G291" s="110">
        <f t="shared" si="101"/>
        <v>1.0163264907080043</v>
      </c>
      <c r="H291" s="412" t="b">
        <f>Wh_hp&gt;='2025'!Maxi_hp</f>
        <v>1</v>
      </c>
      <c r="I291" s="388">
        <f>IF(H291,Wh_hp,'2025'!Maxi_hp)</f>
        <v>45.068928153940952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5.2574378295355051E-2</v>
      </c>
      <c r="M291" s="832"/>
      <c r="N291" s="832"/>
      <c r="O291" s="48">
        <f>IF(t&lt;Tnet,'2025'!Resal+('2025'!Salim-'2025'!Resal)*(1-EXP(('2025'!Tnet-t)/('2025'!Tau_j))),Resal+(Salim-Resal)*(1-EXP((Tnet-t)/(Tau_j))))*Salcycl</f>
        <v>2.2906539113215541E-2</v>
      </c>
      <c r="P291" s="169">
        <f>(INDEX(Models!$BJ291:$BT291,,T291)*(1-R291)+INDEX(Models!$BJ291:$BT291,,T291+1)*R291-ERP_i)*Q291*Ramure*Pc/MaxiM</f>
        <v>1.6580832849438809E-4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41.044332820158552</v>
      </c>
      <c r="W291" s="400">
        <f t="shared" si="111"/>
        <v>41.714442738563115</v>
      </c>
      <c r="X291" s="157">
        <f t="shared" si="112"/>
        <v>46299</v>
      </c>
      <c r="Y291" s="383">
        <f t="shared" si="113"/>
        <v>39.844716853432416</v>
      </c>
      <c r="Z291" s="383">
        <f t="shared" si="114"/>
        <v>42.05577297111963</v>
      </c>
      <c r="AA291" s="384">
        <f t="shared" si="115"/>
        <v>44.853463813426245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6.2374019851487279E-2</v>
      </c>
      <c r="AD291" s="230">
        <f>(INDEX(Models!$BJ291:$BT291,,AH291)*(1-AF291)+INDEX(Models!$BJ291:$BT291,,AH291+1)*AF291-ERP_i)*AE291*Ramure*Pc/MaxiM</f>
        <v>4.7807735692925969E-3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'2025'!Wh/'2025'!Env_an*'2026'!Env_an</f>
        <v>42.531455409977482</v>
      </c>
      <c r="C292" s="829"/>
      <c r="D292" s="391">
        <f t="shared" si="102"/>
        <v>44.892463911534634</v>
      </c>
      <c r="E292" s="383">
        <f t="shared" si="100"/>
        <v>45.947929570223231</v>
      </c>
      <c r="F292" s="383">
        <f t="shared" si="103"/>
        <v>45.955795501616805</v>
      </c>
      <c r="G292" s="110">
        <f t="shared" si="101"/>
        <v>1.0446773289765237</v>
      </c>
      <c r="H292" s="412" t="b">
        <f>Wh_hp&gt;='2025'!Maxi_hp</f>
        <v>1</v>
      </c>
      <c r="I292" s="388">
        <f>IF(H292,Wh_hp,'2025'!Maxi_hp)</f>
        <v>45.955795501616805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5.2592535491252423E-2</v>
      </c>
      <c r="M292" s="832"/>
      <c r="N292" s="832"/>
      <c r="O292" s="48">
        <f>IF(t&lt;Tnet,'2025'!Resal+('2025'!Salim-'2025'!Resal)*(1-EXP(('2025'!Tnet-t)/('2025'!Tau_j))),Resal+(Salim-Resal)*(1-EXP((Tnet-t)/(Tau_j))))*Salcycl</f>
        <v>2.2970907907297593E-2</v>
      </c>
      <c r="P292" s="169">
        <f>(INDEX(Models!$BJ292:$BT292,,T292)*(1-R292)+INDEX(Models!$BJ292:$BT292,,T292+1)*R292-ERP_i)*Q292*Ramure*Pc/MaxiM</f>
        <v>1.7116299060244102E-4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40.712528385818224</v>
      </c>
      <c r="W292" s="400">
        <f t="shared" si="111"/>
        <v>42.531455409977482</v>
      </c>
      <c r="X292" s="157">
        <f t="shared" si="112"/>
        <v>46300</v>
      </c>
      <c r="Y292" s="383">
        <f t="shared" si="113"/>
        <v>40.619135554665988</v>
      </c>
      <c r="Z292" s="383">
        <f t="shared" si="114"/>
        <v>42.873987250805477</v>
      </c>
      <c r="AA292" s="384">
        <f t="shared" si="115"/>
        <v>45.726681299658061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6.238576620415956E-2</v>
      </c>
      <c r="AD292" s="230">
        <f>(INDEX(Models!$BJ292:$BT292,,AH292)*(1-AF292)+INDEX(Models!$BJ292:$BT292,,AH292+1)*AF292-ERP_i)*AE292*Ramure*Pc/MaxiM</f>
        <v>4.9855344567081459E-3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'2025'!Wh/'2025'!Env_an*'2026'!Env_an</f>
        <v>11.749623656368836</v>
      </c>
      <c r="C293" s="829"/>
      <c r="D293" s="391">
        <f t="shared" si="102"/>
        <v>12.402107097218028</v>
      </c>
      <c r="E293" s="383">
        <f t="shared" si="100"/>
        <v>12.694523212160997</v>
      </c>
      <c r="F293" s="383">
        <f t="shared" si="103"/>
        <v>12.694523212160997</v>
      </c>
      <c r="G293" s="110">
        <f t="shared" si="101"/>
        <v>0.29094259492360769</v>
      </c>
      <c r="H293" s="412" t="b">
        <f>Wh_hp&gt;='2025'!Maxi_hp</f>
        <v>0</v>
      </c>
      <c r="I293" s="388">
        <f>IF(H293,Wh_hp,'2025'!Maxi_hp)</f>
        <v>29.938480404074163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5.2610692339171372E-2</v>
      </c>
      <c r="M293" s="832"/>
      <c r="N293" s="832"/>
      <c r="O293" s="48">
        <f>IF(t&lt;Tnet,'2025'!Resal+('2025'!Salim-'2025'!Resal)*(1-EXP(('2025'!Tnet-t)/('2025'!Tau_j))),Resal+(Salim-Resal)*(1-EXP((Tnet-t)/(Tau_j))))*Salcycl</f>
        <v>2.3034824550389001E-2</v>
      </c>
      <c r="P293" s="169">
        <f>(INDEX(Models!$BJ293:$BT293,,T293)*(1-R293)+INDEX(Models!$BJ293:$BT293,,T293+1)*R293-ERP_i)*Q293*Ramure*Pc/MaxiM</f>
        <v>1.7701202380917053E-4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40.377531639157063</v>
      </c>
      <c r="W293" s="400">
        <f t="shared" si="111"/>
        <v>11.749623656368836</v>
      </c>
      <c r="X293" s="157">
        <f t="shared" si="112"/>
        <v>46301</v>
      </c>
      <c r="Y293" s="383">
        <f t="shared" si="113"/>
        <v>11.276233467470222</v>
      </c>
      <c r="Z293" s="383">
        <f t="shared" si="114"/>
        <v>11.902428469782969</v>
      </c>
      <c r="AA293" s="384">
        <f t="shared" si="115"/>
        <v>12.694523212160997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6.2396572847984055E-2</v>
      </c>
      <c r="AD293" s="230">
        <f>(INDEX(Models!$BJ293:$BT293,,AH293)*(1-AF293)+INDEX(Models!$BJ293:$BT293,,AH293+1)*AF293-ERP_i)*AE293*Ramure*Pc/MaxiM</f>
        <v>5.200899572525286E-3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'2025'!Wh/'2025'!Env_an*'2026'!Env_an</f>
        <v>29.515525836262434</v>
      </c>
      <c r="C294" s="829"/>
      <c r="D294" s="391">
        <f t="shared" si="102"/>
        <v>31.155187489185153</v>
      </c>
      <c r="E294" s="383">
        <f t="shared" si="100"/>
        <v>31.891834135867398</v>
      </c>
      <c r="F294" s="383">
        <f t="shared" si="103"/>
        <v>31.895486396436315</v>
      </c>
      <c r="G294" s="110">
        <f t="shared" si="101"/>
        <v>0.73710110070218726</v>
      </c>
      <c r="H294" s="412" t="b">
        <f>Wh_hp&gt;='2025'!Maxi_hp</f>
        <v>0</v>
      </c>
      <c r="I294" s="388">
        <f>IF(H294,Wh_hp,'2025'!Maxi_hp)</f>
        <v>43.826307821277801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5.2628848839118447E-2</v>
      </c>
      <c r="M294" s="832"/>
      <c r="N294" s="832"/>
      <c r="O294" s="48">
        <f>IF(t&lt;Tnet,'2025'!Resal+('2025'!Salim-'2025'!Resal)*(1-EXP(('2025'!Tnet-t)/('2025'!Tau_j))),Resal+(Salim-Resal)*(1-EXP((Tnet-t)/(Tau_j))))*Salcycl</f>
        <v>2.3098284142076739E-2</v>
      </c>
      <c r="P294" s="169">
        <f>(INDEX(Models!$BJ294:$BT294,,T294)*(1-R294)+INDEX(Models!$BJ294:$BT294,,T294+1)*R294-ERP_i)*Q294*Ramure*Pc/MaxiM</f>
        <v>1.8335731258502933E-4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40.039953034999257</v>
      </c>
      <c r="W294" s="400">
        <f t="shared" si="111"/>
        <v>29.515525836262434</v>
      </c>
      <c r="X294" s="157">
        <f t="shared" si="112"/>
        <v>46302</v>
      </c>
      <c r="Y294" s="383">
        <f t="shared" si="113"/>
        <v>28.235120187315296</v>
      </c>
      <c r="Z294" s="383">
        <f t="shared" si="114"/>
        <v>29.803652087903231</v>
      </c>
      <c r="AA294" s="384">
        <f t="shared" si="115"/>
        <v>31.787389693178696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6.2406433004505504E-2</v>
      </c>
      <c r="AD294" s="230">
        <f>(INDEX(Models!$BJ294:$BT294,,AH294)*(1-AF294)+INDEX(Models!$BJ294:$BT294,,AH294+1)*AF294-ERP_i)*AE294*Ramure*Pc/MaxiM</f>
        <v>5.4268638928153352E-3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'2025'!Wh/'2025'!Env_an*'2026'!Env_an</f>
        <v>17.035106109523401</v>
      </c>
      <c r="C295" s="829"/>
      <c r="D295" s="391">
        <f t="shared" si="102"/>
        <v>17.981793691762562</v>
      </c>
      <c r="E295" s="383">
        <f t="shared" si="100"/>
        <v>18.40815005806758</v>
      </c>
      <c r="F295" s="383">
        <f t="shared" si="103"/>
        <v>18.408795765717919</v>
      </c>
      <c r="G295" s="110">
        <f t="shared" si="101"/>
        <v>0.42902495349553366</v>
      </c>
      <c r="H295" s="412" t="b">
        <f>Wh_hp&gt;='2025'!Maxi_hp</f>
        <v>0</v>
      </c>
      <c r="I295" s="388">
        <f>IF(H295,Wh_hp,'2025'!Maxi_hp)</f>
        <v>40.63677888339361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5.2647004991100421E-2</v>
      </c>
      <c r="M295" s="832"/>
      <c r="N295" s="832"/>
      <c r="O295" s="48">
        <f>IF(t&lt;Tnet,'2025'!Resal+('2025'!Salim-'2025'!Resal)*(1-EXP(('2025'!Tnet-t)/('2025'!Tau_j))),Resal+(Salim-Resal)*(1-EXP((Tnet-t)/(Tau_j))))*Salcycl</f>
        <v>2.3161282636229061E-2</v>
      </c>
      <c r="P295" s="169">
        <f>(INDEX(Models!$BJ295:$BT295,,T295)*(1-R295)+INDEX(Models!$BJ295:$BT295,,T295+1)*R295-ERP_i)*Q295*Ramure*Pc/MaxiM</f>
        <v>1.9020016255669056E-4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39.700402790471593</v>
      </c>
      <c r="W295" s="400">
        <f t="shared" si="111"/>
        <v>17.035106109523401</v>
      </c>
      <c r="X295" s="157">
        <f t="shared" si="112"/>
        <v>46303</v>
      </c>
      <c r="Y295" s="383">
        <f t="shared" si="113"/>
        <v>16.334049940300478</v>
      </c>
      <c r="Z295" s="383">
        <f t="shared" si="114"/>
        <v>17.24177790787164</v>
      </c>
      <c r="AA295" s="384">
        <f t="shared" si="115"/>
        <v>18.389569160675116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6.2415342239662164E-2</v>
      </c>
      <c r="AD295" s="230">
        <f>(INDEX(Models!$BJ295:$BT295,,AH295)*(1-AF295)+INDEX(Models!$BJ295:$BT295,,AH295+1)*AF295-ERP_i)*AE295*Ramure*Pc/MaxiM</f>
        <v>5.6634041777880589E-3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'2025'!Wh/'2025'!Env_an*'2026'!Env_an</f>
        <v>38.898262150462486</v>
      </c>
      <c r="C296" s="829"/>
      <c r="D296" s="391">
        <f t="shared" si="102"/>
        <v>41.060732214927143</v>
      </c>
      <c r="E296" s="383">
        <f t="shared" si="100"/>
        <v>42.036991611523604</v>
      </c>
      <c r="F296" s="383">
        <f t="shared" si="103"/>
        <v>42.045164060850539</v>
      </c>
      <c r="G296" s="110">
        <f t="shared" si="101"/>
        <v>0.98827850701413511</v>
      </c>
      <c r="H296" s="412" t="b">
        <f>Wh_hp&gt;='2025'!Maxi_hp</f>
        <v>1</v>
      </c>
      <c r="I296" s="388">
        <f>IF(H296,Wh_hp,'2025'!Maxi_hp)</f>
        <v>42.045164060850539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5.2665160795123844E-2</v>
      </c>
      <c r="M296" s="832"/>
      <c r="N296" s="832"/>
      <c r="O296" s="48">
        <f>IF(t&lt;Tnet,'2025'!Resal+('2025'!Salim-'2025'!Resal)*(1-EXP(('2025'!Tnet-t)/('2025'!Tau_j))),Resal+(Salim-Resal)*(1-EXP((Tnet-t)/(Tau_j))))*Salcycl</f>
        <v>2.322381690912538E-2</v>
      </c>
      <c r="P296" s="169">
        <f>(INDEX(Models!$BJ296:$BT296,,T296)*(1-R296)+INDEX(Models!$BJ296:$BT296,,T296+1)*R296-ERP_i)*Q296*Ramure*Pc/MaxiM</f>
        <v>1.9768237629927022E-4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39.359485332001142</v>
      </c>
      <c r="W296" s="400">
        <f t="shared" si="111"/>
        <v>38.898262150462486</v>
      </c>
      <c r="X296" s="157">
        <f t="shared" si="112"/>
        <v>46304</v>
      </c>
      <c r="Y296" s="383">
        <f t="shared" si="113"/>
        <v>37.127551636235964</v>
      </c>
      <c r="Z296" s="383">
        <f t="shared" si="114"/>
        <v>39.19158263766392</v>
      </c>
      <c r="AA296" s="384">
        <f t="shared" si="115"/>
        <v>41.800934878007062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6.2423298616606122E-2</v>
      </c>
      <c r="AD296" s="230">
        <f>(INDEX(Models!$BJ296:$BT296,,AH296)*(1-AF296)+INDEX(Models!$BJ296:$BT296,,AH296+1)*AF296-ERP_i)*AE296*Ramure*Pc/MaxiM</f>
        <v>5.9076298053042401E-3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'2025'!Wh/'2025'!Env_an*'2026'!Env_an</f>
        <v>31.230406549347499</v>
      </c>
      <c r="C297" s="829"/>
      <c r="D297" s="391">
        <f t="shared" si="102"/>
        <v>32.967229528524506</v>
      </c>
      <c r="E297" s="383">
        <f t="shared" ref="E297:E360" si="125">Wh_pvt/(1-Psa)</f>
        <v>33.753202719524019</v>
      </c>
      <c r="F297" s="383">
        <f t="shared" si="103"/>
        <v>33.758168800984315</v>
      </c>
      <c r="G297" s="110">
        <f t="shared" ref="G297:G360" si="126">+Wh_hp/MaxiM</f>
        <v>0.80036713308218088</v>
      </c>
      <c r="H297" s="412" t="b">
        <f>Wh_hp&gt;='2025'!Maxi_hp</f>
        <v>1</v>
      </c>
      <c r="I297" s="388">
        <f>IF(H297,Wh_hp,'2025'!Maxi_hp)</f>
        <v>33.758168800984315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5.2683316251195378E-2</v>
      </c>
      <c r="M297" s="832"/>
      <c r="N297" s="832"/>
      <c r="O297" s="48">
        <f>IF(t&lt;Tnet,'2025'!Resal+('2025'!Salim-'2025'!Resal)*(1-EXP(('2025'!Tnet-t)/('2025'!Tau_j))),Resal+(Salim-Resal)*(1-EXP((Tnet-t)/(Tau_j))))*Salcycl</f>
        <v>2.3285884824934898E-2</v>
      </c>
      <c r="P297" s="169">
        <f>(INDEX(Models!$BJ297:$BT297,,T297)*(1-R297)+INDEX(Models!$BJ297:$BT297,,T297+1)*R297-ERP_i)*Q297*Ramure*Pc/MaxiM</f>
        <v>2.0578014007052367E-4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39.017811476853396</v>
      </c>
      <c r="W297" s="400">
        <f t="shared" si="111"/>
        <v>31.230406549347499</v>
      </c>
      <c r="X297" s="157">
        <f t="shared" si="112"/>
        <v>46305</v>
      </c>
      <c r="Y297" s="383">
        <f t="shared" si="113"/>
        <v>29.85128232222711</v>
      </c>
      <c r="Z297" s="383">
        <f t="shared" si="114"/>
        <v>31.511407784033739</v>
      </c>
      <c r="AA297" s="384">
        <f t="shared" si="115"/>
        <v>33.609669637852569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6.2430302839266358E-2</v>
      </c>
      <c r="AD297" s="230">
        <f>(INDEX(Models!$BJ297:$BT297,,AH297)*(1-AF297)+INDEX(Models!$BJ297:$BT297,,AH297+1)*AF297-ERP_i)*AE297*Ramure*Pc/MaxiM</f>
        <v>6.1533784401096763E-3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'2025'!Wh/'2025'!Env_an*'2026'!Env_an</f>
        <v>22.717204316511221</v>
      </c>
      <c r="C298" s="829"/>
      <c r="D298" s="391">
        <f t="shared" si="102"/>
        <v>23.981040432005283</v>
      </c>
      <c r="E298" s="383">
        <f t="shared" si="125"/>
        <v>24.554322106384138</v>
      </c>
      <c r="F298" s="383">
        <f t="shared" si="103"/>
        <v>24.556484463640569</v>
      </c>
      <c r="G298" s="110">
        <f t="shared" si="126"/>
        <v>0.58729799248257575</v>
      </c>
      <c r="H298" s="412" t="b">
        <f>Wh_hp&gt;='2025'!Maxi_hp</f>
        <v>0</v>
      </c>
      <c r="I298" s="388">
        <f>IF(H298,Wh_hp,'2025'!Maxi_hp)</f>
        <v>42.372842429013986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5.2701471359321683E-2</v>
      </c>
      <c r="M298" s="832"/>
      <c r="N298" s="832"/>
      <c r="O298" s="48">
        <f>IF(t&lt;Tnet,'2025'!Resal+('2025'!Salim-'2025'!Resal)*(1-EXP(('2025'!Tnet-t)/('2025'!Tau_j))),Resal+(Salim-Resal)*(1-EXP((Tnet-t)/(Tau_j))))*Salcycl</f>
        <v>2.3347485297906038E-2</v>
      </c>
      <c r="P298" s="169">
        <f>(INDEX(Models!$BJ298:$BT298,,T298)*(1-R298)+INDEX(Models!$BJ298:$BT298,,T298+1)*R298-ERP_i)*Q298*Ramure*Pc/MaxiM</f>
        <v>2.1449365251018606E-4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38.675990817140494</v>
      </c>
      <c r="W298" s="400">
        <f t="shared" si="111"/>
        <v>22.717204316511221</v>
      </c>
      <c r="X298" s="157">
        <f t="shared" si="112"/>
        <v>46306</v>
      </c>
      <c r="Y298" s="383">
        <f t="shared" si="113"/>
        <v>21.752599280667255</v>
      </c>
      <c r="Z298" s="383">
        <f t="shared" si="114"/>
        <v>22.962771104354029</v>
      </c>
      <c r="AA298" s="384">
        <f t="shared" si="115"/>
        <v>24.491959889573664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6.2436358385129433E-2</v>
      </c>
      <c r="AD298" s="230">
        <f>(INDEX(Models!$BJ298:$BT298,,AH298)*(1-AF298)+INDEX(Models!$BJ298:$BT298,,AH298+1)*AF298-ERP_i)*AE298*Ramure*Pc/MaxiM</f>
        <v>6.4004740785160198E-3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'2025'!Wh/'2025'!Env_an*'2026'!Env_an</f>
        <v>28.198193600957172</v>
      </c>
      <c r="C299" s="829"/>
      <c r="D299" s="391">
        <f t="shared" si="102"/>
        <v>29.76752646678889</v>
      </c>
      <c r="E299" s="383">
        <f t="shared" si="125"/>
        <v>30.481045630890769</v>
      </c>
      <c r="F299" s="383">
        <f t="shared" si="103"/>
        <v>30.485291467321868</v>
      </c>
      <c r="G299" s="110">
        <f t="shared" si="126"/>
        <v>0.7355179166500404</v>
      </c>
      <c r="H299" s="412" t="b">
        <f>Wh_hp&gt;='2025'!Maxi_hp</f>
        <v>0</v>
      </c>
      <c r="I299" s="388">
        <f>IF(H299,Wh_hp,'2025'!Maxi_hp)</f>
        <v>40.061070375868503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5.2719626119509644E-2</v>
      </c>
      <c r="M299" s="832"/>
      <c r="N299" s="832"/>
      <c r="O299" s="48">
        <f>IF(t&lt;Tnet,'2025'!Resal+('2025'!Salim-'2025'!Resal)*(1-EXP(('2025'!Tnet-t)/('2025'!Tau_j))),Resal+(Salim-Resal)*(1-EXP((Tnet-t)/(Tau_j))))*Salcycl</f>
        <v>2.3408618350637102E-2</v>
      </c>
      <c r="P299" s="169">
        <f>(INDEX(Models!$BJ299:$BT299,,T299)*(1-R299)+INDEX(Models!$BJ299:$BT299,,T299+1)*R299-ERP_i)*Q299*Ramure*Pc/MaxiM</f>
        <v>2.2382206631116946E-4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38.334632717577357</v>
      </c>
      <c r="W299" s="400">
        <f t="shared" si="111"/>
        <v>28.198193600957172</v>
      </c>
      <c r="X299" s="157">
        <f t="shared" si="112"/>
        <v>46307</v>
      </c>
      <c r="Y299" s="383">
        <f t="shared" si="113"/>
        <v>26.962911282143711</v>
      </c>
      <c r="Z299" s="383">
        <f t="shared" si="114"/>
        <v>28.463496157627958</v>
      </c>
      <c r="AA299" s="384">
        <f t="shared" si="115"/>
        <v>30.359167237254816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6.2441471625763641E-2</v>
      </c>
      <c r="AD299" s="230">
        <f>(INDEX(Models!$BJ299:$BT299,,AH299)*(1-AF299)+INDEX(Models!$BJ299:$BT299,,AH299+1)*AF299-ERP_i)*AE299*Ramure*Pc/MaxiM</f>
        <v>6.6487219287905365E-3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'2025'!Wh/'2025'!Env_an*'2026'!Env_an</f>
        <v>23.611780246839274</v>
      </c>
      <c r="C300" s="829"/>
      <c r="D300" s="391">
        <f t="shared" si="102"/>
        <v>24.926340100520683</v>
      </c>
      <c r="E300" s="383">
        <f t="shared" si="125"/>
        <v>25.525403064054327</v>
      </c>
      <c r="F300" s="383">
        <f t="shared" si="103"/>
        <v>25.528143489430029</v>
      </c>
      <c r="G300" s="110">
        <f t="shared" si="126"/>
        <v>0.62137652965486545</v>
      </c>
      <c r="H300" s="412" t="b">
        <f>Wh_hp&gt;='2025'!Maxi_hp</f>
        <v>0</v>
      </c>
      <c r="I300" s="388">
        <f>IF(H300,Wh_hp,'2025'!Maxi_hp)</f>
        <v>39.39832701671196</v>
      </c>
      <c r="J300" s="85">
        <f>IF(H300,An,'2025'!An_max)</f>
        <v>2018</v>
      </c>
      <c r="K300" s="197">
        <f t="shared" si="104"/>
        <v>46308</v>
      </c>
      <c r="L300" s="147">
        <f>IF(t&lt;Tvie,1-EXP((T0-t)*PertePVj)+'2025'!Pspv,1-EXP((T0-t)*PertePVj)+Pspv)</f>
        <v>5.2737780531765588E-2</v>
      </c>
      <c r="M300" s="832"/>
      <c r="N300" s="832"/>
      <c r="O300" s="48">
        <f>IF(t&lt;Tnet,'2025'!Resal+('2025'!Salim-'2025'!Resal)*(1-EXP(('2025'!Tnet-t)/('2025'!Tau_j))),Resal+(Salim-Resal)*(1-EXP((Tnet-t)/(Tau_j))))*Salcycl</f>
        <v>2.3469285167812472E-2</v>
      </c>
      <c r="P300" s="169">
        <f>(INDEX(Models!$BJ300:$BT300,,T300)*(1-R300)+INDEX(Models!$BJ300:$BT300,,T300+1)*R300-ERP_i)*Q300*Ramure*Pc/MaxiM</f>
        <v>2.3376337521834238E-4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37.994346319123167</v>
      </c>
      <c r="W300" s="400">
        <f t="shared" si="111"/>
        <v>23.611780246839274</v>
      </c>
      <c r="X300" s="157">
        <f t="shared" si="112"/>
        <v>46308</v>
      </c>
      <c r="Y300" s="383">
        <f t="shared" si="113"/>
        <v>22.599978007084555</v>
      </c>
      <c r="Z300" s="383">
        <f t="shared" si="114"/>
        <v>23.858206885704288</v>
      </c>
      <c r="AA300" s="384">
        <f t="shared" si="115"/>
        <v>25.447278800328903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6.2445651933678618E-2</v>
      </c>
      <c r="AD300" s="230">
        <f>(INDEX(Models!$BJ300:$BT300,,AH300)*(1-AF300)+INDEX(Models!$BJ300:$BT300,,AH300+1)*AF300-ERP_i)*AE300*Ramure*Pc/MaxiM</f>
        <v>6.8979081962537185E-3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'2025'!Wh/'2025'!Env_an*'2026'!Env_an</f>
        <v>18.355523388265151</v>
      </c>
      <c r="C301" s="829"/>
      <c r="D301" s="391">
        <f t="shared" si="102"/>
        <v>19.377818303288482</v>
      </c>
      <c r="E301" s="383">
        <f t="shared" si="125"/>
        <v>19.844755236359045</v>
      </c>
      <c r="F301" s="383">
        <f t="shared" si="103"/>
        <v>19.846053684985527</v>
      </c>
      <c r="G301" s="110">
        <f t="shared" si="126"/>
        <v>0.4873689727729244</v>
      </c>
      <c r="H301" s="412" t="b">
        <f>Wh_hp&gt;='2025'!Maxi_hp</f>
        <v>0</v>
      </c>
      <c r="I301" s="388">
        <f>IF(H301,Wh_hp,'2025'!Maxi_hp)</f>
        <v>42.332847154201126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5.275593459609651E-2</v>
      </c>
      <c r="M301" s="832"/>
      <c r="N301" s="832"/>
      <c r="O301" s="48">
        <f>IF(t&lt;Tnet,'2025'!Resal+('2025'!Salim-'2025'!Resal)*(1-EXP(('2025'!Tnet-t)/('2025'!Tau_j))),Resal+(Salim-Resal)*(1-EXP((Tnet-t)/(Tau_j))))*Salcycl</f>
        <v>2.3529488144809818E-2</v>
      </c>
      <c r="P301" s="169">
        <f>(INDEX(Models!$BJ301:$BT301,,T301)*(1-R301)+INDEX(Models!$BJ301:$BT301,,T301+1)*R301-ERP_i)*Q301*Ramure*Pc/MaxiM</f>
        <v>2.4431430136538851E-4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37.655740539384361</v>
      </c>
      <c r="W301" s="400">
        <f t="shared" si="111"/>
        <v>18.355523388265151</v>
      </c>
      <c r="X301" s="157">
        <f t="shared" si="112"/>
        <v>46309</v>
      </c>
      <c r="Y301" s="383">
        <f t="shared" si="113"/>
        <v>17.591339054635142</v>
      </c>
      <c r="Z301" s="383">
        <f t="shared" si="114"/>
        <v>18.571073387653499</v>
      </c>
      <c r="AA301" s="384">
        <f t="shared" si="115"/>
        <v>19.808065523977834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6.2448911774193525E-2</v>
      </c>
      <c r="AD301" s="230">
        <f>(INDEX(Models!$BJ301:$BT301,,AH301)*(1-AF301)+INDEX(Models!$BJ301:$BT301,,AH301+1)*AF301-ERP_i)*AE301*Ramure*Pc/MaxiM</f>
        <v>7.1477999417623407E-3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'2025'!Wh/'2025'!Env_an*'2026'!Env_an</f>
        <v>37.720238541528609</v>
      </c>
      <c r="C302" s="829"/>
      <c r="D302" s="391">
        <f t="shared" si="102"/>
        <v>39.821797605103178</v>
      </c>
      <c r="E302" s="383">
        <f t="shared" si="125"/>
        <v>40.783857436411779</v>
      </c>
      <c r="F302" s="383">
        <f t="shared" si="103"/>
        <v>40.794279158401729</v>
      </c>
      <c r="G302" s="110">
        <f t="shared" si="126"/>
        <v>1.0107401032289725</v>
      </c>
      <c r="H302" s="412" t="b">
        <f>Wh_hp&gt;='2025'!Maxi_hp</f>
        <v>1</v>
      </c>
      <c r="I302" s="388">
        <f>IF(H302,Wh_hp,'2025'!Maxi_hp)</f>
        <v>40.794279158401729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5.2774088312508849E-2</v>
      </c>
      <c r="M302" s="832"/>
      <c r="N302" s="832"/>
      <c r="O302" s="48">
        <f>IF(t&lt;Tnet,'2025'!Resal+('2025'!Salim-'2025'!Resal)*(1-EXP(('2025'!Tnet-t)/('2025'!Tau_j))),Resal+(Salim-Resal)*(1-EXP((Tnet-t)/(Tau_j))))*Salcycl</f>
        <v>2.3589230930610213E-2</v>
      </c>
      <c r="P302" s="169">
        <f>(INDEX(Models!$BJ302:$BT302,,T302)*(1-R302)+INDEX(Models!$BJ302:$BT302,,T302+1)*R302-ERP_i)*Q302*Ramure*Pc/MaxiM</f>
        <v>2.5547018368631805E-4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37.319424074522438</v>
      </c>
      <c r="W302" s="400">
        <f t="shared" si="111"/>
        <v>37.720238541528609</v>
      </c>
      <c r="X302" s="157">
        <f t="shared" si="112"/>
        <v>46310</v>
      </c>
      <c r="Y302" s="383">
        <f t="shared" si="113"/>
        <v>35.96017256240436</v>
      </c>
      <c r="Z302" s="383">
        <f t="shared" si="114"/>
        <v>37.963670671066211</v>
      </c>
      <c r="AA302" s="384">
        <f t="shared" si="115"/>
        <v>40.492477165132797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6.2451266781082149E-2</v>
      </c>
      <c r="AD302" s="230">
        <f>(INDEX(Models!$BJ302:$BT302,,AH302)*(1-AF302)+INDEX(Models!$BJ302:$BT302,,AH302+1)*AF302-ERP_i)*AE302*Ramure*Pc/MaxiM</f>
        <v>7.3981450216843133E-3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'2025'!Wh/'2025'!Env_an*'2026'!Env_an</f>
        <v>33.295390868965612</v>
      </c>
      <c r="C303" s="829"/>
      <c r="D303" s="391">
        <f t="shared" si="102"/>
        <v>35.151096025707112</v>
      </c>
      <c r="E303" s="383">
        <f t="shared" si="125"/>
        <v>36.002501855606759</v>
      </c>
      <c r="F303" s="383">
        <f t="shared" si="103"/>
        <v>36.010754545637667</v>
      </c>
      <c r="G303" s="110">
        <f t="shared" si="126"/>
        <v>0.90024547005426281</v>
      </c>
      <c r="H303" s="412" t="b">
        <f>Wh_hp&gt;='2025'!Maxi_hp</f>
        <v>0</v>
      </c>
      <c r="I303" s="388">
        <f>IF(H303,Wh_hp,'2025'!Maxi_hp)</f>
        <v>38.803370286376357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5.2792241681009378E-2</v>
      </c>
      <c r="M303" s="832"/>
      <c r="N303" s="832"/>
      <c r="O303" s="48">
        <f>IF(t&lt;Tnet,'2025'!Resal+('2025'!Salim-'2025'!Resal)*(1-EXP(('2025'!Tnet-t)/('2025'!Tau_j))),Resal+(Salim-Resal)*(1-EXP((Tnet-t)/(Tau_j))))*Salcycl</f>
        <v>2.3648518464475885E-2</v>
      </c>
      <c r="P303" s="169">
        <f>(INDEX(Models!$BJ303:$BT303,,T303)*(1-R303)+INDEX(Models!$BJ303:$BT303,,T303+1)*R303-ERP_i)*Q303*Ramure*Pc/MaxiM</f>
        <v>2.6724381162198724E-4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36.983382978221947</v>
      </c>
      <c r="W303" s="400">
        <f t="shared" si="111"/>
        <v>33.295390868965612</v>
      </c>
      <c r="X303" s="157">
        <f t="shared" si="112"/>
        <v>46311</v>
      </c>
      <c r="Y303" s="383">
        <f t="shared" si="113"/>
        <v>31.769654246699009</v>
      </c>
      <c r="Z303" s="383">
        <f t="shared" si="114"/>
        <v>33.540323089287831</v>
      </c>
      <c r="AA303" s="384">
        <f t="shared" si="115"/>
        <v>35.774541050407201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6.2452735814871839E-2</v>
      </c>
      <c r="AD303" s="230">
        <f>(INDEX(Models!$BJ303:$BT303,,AH303)*(1-AF303)+INDEX(Models!$BJ303:$BT303,,AH303+1)*AF303-ERP_i)*AE303*Ramure*Pc/MaxiM</f>
        <v>7.6492143271519883E-3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'2025'!Wh/'2025'!Env_an*'2026'!Env_an</f>
        <v>19.767828375183033</v>
      </c>
      <c r="C304" s="829"/>
      <c r="D304" s="391">
        <f t="shared" si="102"/>
        <v>20.869980270693038</v>
      </c>
      <c r="E304" s="383">
        <f t="shared" si="125"/>
        <v>21.376766915592881</v>
      </c>
      <c r="F304" s="383">
        <f t="shared" si="103"/>
        <v>21.378810506431034</v>
      </c>
      <c r="G304" s="110">
        <f t="shared" si="126"/>
        <v>0.53933416051824734</v>
      </c>
      <c r="H304" s="412" t="b">
        <f>Wh_hp&gt;='2025'!Maxi_hp</f>
        <v>0</v>
      </c>
      <c r="I304" s="388">
        <f>IF(H304,Wh_hp,'2025'!Maxi_hp)</f>
        <v>35.6425652403491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5.2810394701604757E-2</v>
      </c>
      <c r="M304" s="832"/>
      <c r="N304" s="832"/>
      <c r="O304" s="48">
        <f>IF(t&lt;Tnet,'2025'!Resal+('2025'!Salim-'2025'!Resal)*(1-EXP(('2025'!Tnet-t)/('2025'!Tau_j))),Resal+(Salim-Resal)*(1-EXP((Tnet-t)/(Tau_j))))*Salcycl</f>
        <v>2.3707357005898703E-2</v>
      </c>
      <c r="P304" s="169">
        <f>(INDEX(Models!$BJ304:$BT304,,T304)*(1-R304)+INDEX(Models!$BJ304:$BT304,,T304+1)*R304-ERP_i)*Q304*Ramure*Pc/MaxiM</f>
        <v>2.7946266352554518E-4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36.645543157374448</v>
      </c>
      <c r="W304" s="400">
        <f t="shared" si="111"/>
        <v>19.767828375183033</v>
      </c>
      <c r="X304" s="157">
        <f t="shared" si="112"/>
        <v>46312</v>
      </c>
      <c r="Y304" s="383">
        <f t="shared" si="113"/>
        <v>18.933829998040167</v>
      </c>
      <c r="Z304" s="383">
        <f t="shared" si="114"/>
        <v>19.989482456445877</v>
      </c>
      <c r="AA304" s="384">
        <f t="shared" si="115"/>
        <v>21.321053479969208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6.2453341002794302E-2</v>
      </c>
      <c r="AD304" s="230">
        <f>(INDEX(Models!$BJ304:$BT304,,AH304)*(1-AF304)+INDEX(Models!$BJ304:$BT304,,AH304+1)*AF304-ERP_i)*AE304*Ramure*Pc/MaxiM</f>
        <v>7.8983190524315981E-3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'2025'!Wh/'2025'!Env_an*'2026'!Env_an</f>
        <v>34.872499876127641</v>
      </c>
      <c r="C305" s="829"/>
      <c r="D305" s="391">
        <f t="shared" si="102"/>
        <v>36.817515751193675</v>
      </c>
      <c r="E305" s="383">
        <f t="shared" si="125"/>
        <v>37.713812958297488</v>
      </c>
      <c r="F305" s="383">
        <f t="shared" si="103"/>
        <v>37.724195124519703</v>
      </c>
      <c r="G305" s="110">
        <f t="shared" si="126"/>
        <v>0.96048900987435393</v>
      </c>
      <c r="H305" s="412" t="b">
        <f>Wh_hp&gt;='2025'!Maxi_hp</f>
        <v>0</v>
      </c>
      <c r="I305" s="388">
        <f>IF(H305,Wh_hp,'2025'!Maxi_hp)</f>
        <v>38.775386152374139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5.2828547374301649E-2</v>
      </c>
      <c r="M305" s="832"/>
      <c r="N305" s="832"/>
      <c r="O305" s="48">
        <f>IF(t&lt;Tnet,'2025'!Resal+('2025'!Salim-'2025'!Resal)*(1-EXP(('2025'!Tnet-t)/('2025'!Tau_j))),Resal+(Salim-Resal)*(1-EXP((Tnet-t)/(Tau_j))))*Salcycl</f>
        <v>2.3765754157366786E-2</v>
      </c>
      <c r="P305" s="169">
        <f>(INDEX(Models!$BJ305:$BT305,,T305)*(1-R305)+INDEX(Models!$BJ305:$BT305,,T305+1)*R305-ERP_i)*Q305*Ramure*Pc/MaxiM</f>
        <v>2.9166884618433015E-4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36.306428790099716</v>
      </c>
      <c r="W305" s="400">
        <f t="shared" si="111"/>
        <v>34.872499876127641</v>
      </c>
      <c r="X305" s="157">
        <f t="shared" si="112"/>
        <v>46313</v>
      </c>
      <c r="Y305" s="383">
        <f t="shared" si="113"/>
        <v>33.242391075364829</v>
      </c>
      <c r="Z305" s="383">
        <f t="shared" si="114"/>
        <v>35.096487529487973</v>
      </c>
      <c r="AA305" s="384">
        <f t="shared" si="115"/>
        <v>37.434380957326795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6.2453107759519177E-2</v>
      </c>
      <c r="AD305" s="230">
        <f>(INDEX(Models!$BJ305:$BT305,,AH305)*(1-AF305)+INDEX(Models!$BJ305:$BT305,,AH305+1)*AF305-ERP_i)*AE305*Ramure*Pc/MaxiM</f>
        <v>8.1418233867404828E-3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'2025'!Wh/'2025'!Env_an*'2026'!Env_an</f>
        <v>16.210307884239274</v>
      </c>
      <c r="C306" s="829"/>
      <c r="D306" s="391">
        <f t="shared" si="102"/>
        <v>17.114766827175238</v>
      </c>
      <c r="E306" s="383">
        <f t="shared" si="125"/>
        <v>17.532455108959336</v>
      </c>
      <c r="F306" s="383">
        <f t="shared" si="103"/>
        <v>17.533602121513567</v>
      </c>
      <c r="G306" s="110">
        <f t="shared" si="126"/>
        <v>0.45059767607065077</v>
      </c>
      <c r="H306" s="412" t="b">
        <f>Wh_hp&gt;='2025'!Maxi_hp</f>
        <v>0</v>
      </c>
      <c r="I306" s="388">
        <f>IF(H306,Wh_hp,'2025'!Maxi_hp)</f>
        <v>38.555741543850147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5.2846699699106714E-2</v>
      </c>
      <c r="M306" s="832"/>
      <c r="N306" s="832"/>
      <c r="O306" s="48">
        <f>IF(t&lt;Tnet,'2025'!Resal+('2025'!Salim-'2025'!Resal)*(1-EXP(('2025'!Tnet-t)/('2025'!Tau_j))),Resal+(Salim-Resal)*(1-EXP((Tnet-t)/(Tau_j))))*Salcycl</f>
        <v>2.3823718879545503E-2</v>
      </c>
      <c r="P306" s="169">
        <f>(INDEX(Models!$BJ306:$BT306,,T306)*(1-R306)+INDEX(Models!$BJ306:$BT306,,T306+1)*R306-ERP_i)*Q306*Ramure*Pc/MaxiM</f>
        <v>3.03855412077798E-4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35.966546983231737</v>
      </c>
      <c r="W306" s="400">
        <f t="shared" si="111"/>
        <v>16.210307884239274</v>
      </c>
      <c r="X306" s="157">
        <f t="shared" si="112"/>
        <v>46314</v>
      </c>
      <c r="Y306" s="383">
        <f t="shared" si="113"/>
        <v>15.541778206418538</v>
      </c>
      <c r="Z306" s="383">
        <f t="shared" si="114"/>
        <v>16.408936337424151</v>
      </c>
      <c r="AA306" s="384">
        <f t="shared" si="115"/>
        <v>17.501970535205501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6.2452064787944503E-2</v>
      </c>
      <c r="AD306" s="230">
        <f>(INDEX(Models!$BJ306:$BT306,,AH306)*(1-AF306)+INDEX(Models!$BJ306:$BT306,,AH306+1)*AF306-ERP_i)*AE306*Ramure*Pc/MaxiM</f>
        <v>8.3795322525950233E-3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'2025'!Wh/'2025'!Env_an*'2026'!Env_an</f>
        <v>6.8267069101163473</v>
      </c>
      <c r="C307" s="829"/>
      <c r="D307" s="391">
        <f t="shared" si="102"/>
        <v>7.2077431844829283</v>
      </c>
      <c r="E307" s="383">
        <f t="shared" si="125"/>
        <v>7.3840844358219675</v>
      </c>
      <c r="F307" s="383">
        <f t="shared" si="103"/>
        <v>7.3840844358219675</v>
      </c>
      <c r="G307" s="110">
        <f t="shared" si="126"/>
        <v>0.19155875088270061</v>
      </c>
      <c r="H307" s="412" t="b">
        <f>Wh_hp&gt;='2025'!Maxi_hp</f>
        <v>0</v>
      </c>
      <c r="I307" s="388">
        <f>IF(H307,Wh_hp,'2025'!Maxi_hp)</f>
        <v>31.702695928532638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5.2864851676026503E-2</v>
      </c>
      <c r="M307" s="832"/>
      <c r="N307" s="832"/>
      <c r="O307" s="48">
        <f>IF(t&lt;Tnet,'2025'!Resal+('2025'!Salim-'2025'!Resal)*(1-EXP(('2025'!Tnet-t)/('2025'!Tau_j))),Resal+(Salim-Resal)*(1-EXP((Tnet-t)/(Tau_j))))*Salcycl</f>
        <v>2.3881261498523054E-2</v>
      </c>
      <c r="P307" s="169">
        <f>(INDEX(Models!$BJ307:$BT307,,T307)*(1-R307)+INDEX(Models!$BJ307:$BT307,,T307+1)*R307-ERP_i)*Q307*Ramure*Pc/MaxiM</f>
        <v>3.1601496404256256E-4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35.62640462589242</v>
      </c>
      <c r="W307" s="400">
        <f t="shared" si="111"/>
        <v>6.8267069101163473</v>
      </c>
      <c r="X307" s="157">
        <f t="shared" si="112"/>
        <v>46315</v>
      </c>
      <c r="Y307" s="383">
        <f t="shared" si="113"/>
        <v>6.5569660175593736</v>
      </c>
      <c r="Z307" s="383">
        <f t="shared" si="114"/>
        <v>6.9229465606491489</v>
      </c>
      <c r="AA307" s="384">
        <f t="shared" si="115"/>
        <v>7.3840844358219675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6.2450244059470451E-2</v>
      </c>
      <c r="AD307" s="230">
        <f>(INDEX(Models!$BJ307:$BT307,,AH307)*(1-AF307)+INDEX(Models!$BJ307:$BT307,,AH307+1)*AF307-ERP_i)*AE307*Ramure*Pc/MaxiM</f>
        <v>8.6112451346294257E-3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'2025'!Wh/'2025'!Env_an*'2026'!Env_an</f>
        <v>16.615404143791501</v>
      </c>
      <c r="C308" s="829"/>
      <c r="D308" s="391">
        <f t="shared" si="102"/>
        <v>17.543137966875015</v>
      </c>
      <c r="E308" s="383">
        <f t="shared" si="125"/>
        <v>17.973392103253982</v>
      </c>
      <c r="F308" s="383">
        <f t="shared" si="103"/>
        <v>17.974831878371706</v>
      </c>
      <c r="G308" s="110">
        <f t="shared" si="126"/>
        <v>0.47075449747810688</v>
      </c>
      <c r="H308" s="412" t="b">
        <f>Wh_hp&gt;='2025'!Maxi_hp</f>
        <v>0</v>
      </c>
      <c r="I308" s="388">
        <f>IF(H308,Wh_hp,'2025'!Maxi_hp)</f>
        <v>24.418087613545492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5.2883003305067899E-2</v>
      </c>
      <c r="M308" s="832"/>
      <c r="N308" s="832"/>
      <c r="O308" s="48">
        <f>IF(t&lt;Tnet,'2025'!Resal+('2025'!Salim-'2025'!Resal)*(1-EXP(('2025'!Tnet-t)/('2025'!Tau_j))),Resal+(Salim-Resal)*(1-EXP((Tnet-t)/(Tau_j))))*Salcycl</f>
        <v>2.3938393704829454E-2</v>
      </c>
      <c r="P308" s="169">
        <f>(INDEX(Models!$BJ308:$BT308,,T308)*(1-R308)+INDEX(Models!$BJ308:$BT308,,T308+1)*R308-ERP_i)*Q308*Ramure*Pc/MaxiM</f>
        <v>3.281396711498691E-4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35.286508392419996</v>
      </c>
      <c r="W308" s="400">
        <f t="shared" si="111"/>
        <v>16.615404143791501</v>
      </c>
      <c r="X308" s="157">
        <f t="shared" si="112"/>
        <v>46316</v>
      </c>
      <c r="Y308" s="383">
        <f t="shared" si="113"/>
        <v>15.926713399094737</v>
      </c>
      <c r="Z308" s="383">
        <f t="shared" si="114"/>
        <v>16.815993646690682</v>
      </c>
      <c r="AA308" s="384">
        <f t="shared" si="115"/>
        <v>17.936058929022128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6.2447680773343235E-2</v>
      </c>
      <c r="AD308" s="230">
        <f>(INDEX(Models!$BJ308:$BT308,,AH308)*(1-AF308)+INDEX(Models!$BJ308:$BT308,,AH308+1)*AF308-ERP_i)*AE308*Ramure*Pc/MaxiM</f>
        <v>8.8367569993716005E-3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'2025'!Wh/'2025'!Env_an*'2026'!Env_an</f>
        <v>33.571633067638061</v>
      </c>
      <c r="C309" s="829"/>
      <c r="D309" s="391">
        <f t="shared" si="102"/>
        <v>35.446810256612125</v>
      </c>
      <c r="E309" s="383">
        <f t="shared" si="125"/>
        <v>36.318271858349128</v>
      </c>
      <c r="F309" s="383">
        <f t="shared" si="103"/>
        <v>36.329936976032066</v>
      </c>
      <c r="G309" s="110">
        <f t="shared" si="126"/>
        <v>0.96061579403213415</v>
      </c>
      <c r="H309" s="412" t="b">
        <f>Wh_hp&gt;='2025'!Maxi_hp</f>
        <v>1</v>
      </c>
      <c r="I309" s="388">
        <f>IF(H309,Wh_hp,'2025'!Maxi_hp)</f>
        <v>36.329936976032066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5.2901154586237453E-2</v>
      </c>
      <c r="M309" s="832"/>
      <c r="N309" s="832"/>
      <c r="O309" s="48">
        <f>IF(t&lt;Tnet,'2025'!Resal+('2025'!Salim-'2025'!Resal)*(1-EXP(('2025'!Tnet-t)/('2025'!Tau_j))),Resal+(Salim-Resal)*(1-EXP((Tnet-t)/(Tau_j))))*Salcycl</f>
        <v>2.3995128543999291E-2</v>
      </c>
      <c r="P309" s="169">
        <f>(INDEX(Models!$BJ309:$BT309,,T309)*(1-R309)+INDEX(Models!$BJ309:$BT309,,T309+1)*R309-ERP_i)*Q309*Ramure*Pc/MaxiM</f>
        <v>3.4022128511181473E-4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34.947364746983972</v>
      </c>
      <c r="W309" s="400">
        <f t="shared" si="111"/>
        <v>33.571633067638061</v>
      </c>
      <c r="X309" s="157">
        <f t="shared" si="112"/>
        <v>46317</v>
      </c>
      <c r="Y309" s="383">
        <f t="shared" si="113"/>
        <v>31.983743236188122</v>
      </c>
      <c r="Z309" s="383">
        <f t="shared" si="114"/>
        <v>33.770227248260731</v>
      </c>
      <c r="AA309" s="384">
        <f t="shared" si="115"/>
        <v>36.019440049350457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6.2444413294822518E-2</v>
      </c>
      <c r="AD309" s="230">
        <f>(INDEX(Models!$BJ309:$BT309,,AH309)*(1-AF309)+INDEX(Models!$BJ309:$BT309,,AH309+1)*AF309-ERP_i)*AE309*Ramure*Pc/MaxiM</f>
        <v>9.0558592112108451E-3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'2025'!Wh/'2025'!Env_an*'2026'!Env_an</f>
        <v>17.255463097535191</v>
      </c>
      <c r="C310" s="829"/>
      <c r="D310" s="391">
        <f t="shared" si="102"/>
        <v>18.219633446335905</v>
      </c>
      <c r="E310" s="383">
        <f t="shared" si="125"/>
        <v>18.668641921579667</v>
      </c>
      <c r="F310" s="383">
        <f t="shared" si="103"/>
        <v>18.670507527200719</v>
      </c>
      <c r="G310" s="110">
        <f t="shared" si="126"/>
        <v>0.49845038533579045</v>
      </c>
      <c r="H310" s="412" t="b">
        <f>Wh_hp&gt;='2025'!Maxi_hp</f>
        <v>0</v>
      </c>
      <c r="I310" s="388">
        <f>IF(H310,Wh_hp,'2025'!Maxi_hp)</f>
        <v>37.404529448025627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5.2919305519541826E-2</v>
      </c>
      <c r="M310" s="832"/>
      <c r="N310" s="832"/>
      <c r="O310" s="48">
        <f>IF(t&lt;Tnet,'2025'!Resal+('2025'!Salim-'2025'!Resal)*(1-EXP(('2025'!Tnet-t)/('2025'!Tau_j))),Resal+(Salim-Resal)*(1-EXP((Tnet-t)/(Tau_j))))*Salcycl</f>
        <v>2.4051480398514586E-2</v>
      </c>
      <c r="P310" s="169">
        <f>(INDEX(Models!$BJ310:$BT310,,T310)*(1-R310)+INDEX(Models!$BJ310:$BT310,,T310+1)*R310-ERP_i)*Q310*Ramure*Pc/MaxiM</f>
        <v>3.5223667401100003E-4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34.60948044929826</v>
      </c>
      <c r="W310" s="400">
        <f t="shared" si="111"/>
        <v>17.255463097535191</v>
      </c>
      <c r="X310" s="157">
        <f t="shared" si="112"/>
        <v>46318</v>
      </c>
      <c r="Y310" s="383">
        <f t="shared" si="113"/>
        <v>16.534789702087007</v>
      </c>
      <c r="Z310" s="383">
        <f t="shared" si="114"/>
        <v>17.458691533309658</v>
      </c>
      <c r="AA310" s="384">
        <f t="shared" si="115"/>
        <v>18.621422126369623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6.2440483072097569E-2</v>
      </c>
      <c r="AD310" s="230">
        <f>(INDEX(Models!$BJ310:$BT310,,AH310)*(1-AF310)+INDEX(Models!$BJ310:$BT310,,AH310+1)*AF310-ERP_i)*AE310*Ramure*Pc/MaxiM</f>
        <v>9.2675955390235029E-3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'2025'!Wh/'2025'!Env_an*'2026'!Env_an</f>
        <v>25.532170783392605</v>
      </c>
      <c r="C311" s="829"/>
      <c r="D311" s="391">
        <f t="shared" si="102"/>
        <v>26.959329083363059</v>
      </c>
      <c r="E311" s="383">
        <f t="shared" si="125"/>
        <v>27.625305159534349</v>
      </c>
      <c r="F311" s="383">
        <f t="shared" si="103"/>
        <v>27.631699115157726</v>
      </c>
      <c r="G311" s="110">
        <f t="shared" si="126"/>
        <v>0.74485777742103065</v>
      </c>
      <c r="H311" s="412" t="b">
        <f>Wh_hp&gt;='2025'!Maxi_hp</f>
        <v>0</v>
      </c>
      <c r="I311" s="388">
        <f>IF(H311,Wh_hp,'2025'!Maxi_hp)</f>
        <v>38.420312161688102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5.293745610498779E-2</v>
      </c>
      <c r="M311" s="832"/>
      <c r="N311" s="832"/>
      <c r="O311" s="48">
        <f>IF(t&lt;Tnet,'2025'!Resal+('2025'!Salim-'2025'!Resal)*(1-EXP(('2025'!Tnet-t)/('2025'!Tau_j))),Resal+(Salim-Resal)*(1-EXP((Tnet-t)/(Tau_j))))*Salcycl</f>
        <v>2.4107464961031954E-2</v>
      </c>
      <c r="P311" s="169">
        <f>(INDEX(Models!$BJ311:$BT311,,T311)*(1-R311)+INDEX(Models!$BJ311:$BT311,,T311+1)*R311-ERP_i)*Q311*Ramure*Pc/MaxiM</f>
        <v>3.6403438423628781E-4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34.273366421922837</v>
      </c>
      <c r="W311" s="400">
        <f t="shared" si="111"/>
        <v>25.532170783392605</v>
      </c>
      <c r="X311" s="157">
        <f t="shared" si="112"/>
        <v>46319</v>
      </c>
      <c r="Y311" s="383">
        <f t="shared" si="113"/>
        <v>24.387297476306582</v>
      </c>
      <c r="Z311" s="383">
        <f t="shared" si="114"/>
        <v>25.750461396148371</v>
      </c>
      <c r="AA311" s="384">
        <f t="shared" si="115"/>
        <v>27.465281941342386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6.2435934532052415E-2</v>
      </c>
      <c r="AD311" s="230">
        <f>(INDEX(Models!$BJ311:$BT311,,AH311)*(1-AF311)+INDEX(Models!$BJ311:$BT311,,AH311+1)*AF311-ERP_i)*AE311*Ramure*Pc/MaxiM</f>
        <v>9.4748191830947553E-3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'2025'!Wh/'2025'!Env_an*'2026'!Env_an</f>
        <v>22.576047110573786</v>
      </c>
      <c r="C312" s="829"/>
      <c r="D312" s="391">
        <f t="shared" si="102"/>
        <v>23.838425380870156</v>
      </c>
      <c r="E312" s="383">
        <f t="shared" si="125"/>
        <v>24.428698444688408</v>
      </c>
      <c r="F312" s="383">
        <f t="shared" si="103"/>
        <v>24.433486227241616</v>
      </c>
      <c r="G312" s="110">
        <f t="shared" si="126"/>
        <v>0.66506494168892971</v>
      </c>
      <c r="H312" s="412" t="b">
        <f>Wh_hp&gt;='2025'!Maxi_hp</f>
        <v>0</v>
      </c>
      <c r="I312" s="388">
        <f>IF(H312,Wh_hp,'2025'!Maxi_hp)</f>
        <v>35.228620832517834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5.2955606342581785E-2</v>
      </c>
      <c r="M312" s="832"/>
      <c r="N312" s="832"/>
      <c r="O312" s="48">
        <f>IF(t&lt;Tnet,'2025'!Resal+('2025'!Salim-'2025'!Resal)*(1-EXP(('2025'!Tnet-t)/('2025'!Tau_j))),Resal+(Salim-Resal)*(1-EXP((Tnet-t)/(Tau_j))))*Salcycl</f>
        <v>2.4163099198868492E-2</v>
      </c>
      <c r="P312" s="169">
        <f>(INDEX(Models!$BJ312:$BT312,,T312)*(1-R312)+INDEX(Models!$BJ312:$BT312,,T312+1)*R312-ERP_i)*Q312*Ramure*Pc/MaxiM</f>
        <v>3.7560790210971502E-4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33.93952826754731</v>
      </c>
      <c r="W312" s="400">
        <f t="shared" si="111"/>
        <v>22.576047110573786</v>
      </c>
      <c r="X312" s="157">
        <f t="shared" si="112"/>
        <v>46320</v>
      </c>
      <c r="Y312" s="383">
        <f t="shared" si="113"/>
        <v>21.58544239471145</v>
      </c>
      <c r="Z312" s="383">
        <f t="shared" si="114"/>
        <v>22.792429308778232</v>
      </c>
      <c r="AA312" s="384">
        <f t="shared" si="115"/>
        <v>24.310130572058089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6.2430814955156719E-2</v>
      </c>
      <c r="AD312" s="230">
        <f>(INDEX(Models!$BJ312:$BT312,,AH312)*(1-AF312)+INDEX(Models!$BJ312:$BT312,,AH312+1)*AF312-ERP_i)*AE312*Ramure*Pc/MaxiM</f>
        <v>9.6774150333522671E-3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'2025'!Wh/'2025'!Env_an*'2026'!Env_an</f>
        <v>12.585970060211491</v>
      </c>
      <c r="C313" s="829"/>
      <c r="D313" s="391">
        <f t="shared" si="102"/>
        <v>13.289990792799152</v>
      </c>
      <c r="E313" s="383">
        <f t="shared" si="125"/>
        <v>13.619841582008027</v>
      </c>
      <c r="F313" s="383">
        <f t="shared" si="103"/>
        <v>13.620402411208106</v>
      </c>
      <c r="G313" s="110">
        <f t="shared" si="126"/>
        <v>0.37435853063384733</v>
      </c>
      <c r="H313" s="412" t="b">
        <f>Wh_hp&gt;='2025'!Maxi_hp</f>
        <v>0</v>
      </c>
      <c r="I313" s="388">
        <f>IF(H313,Wh_hp,'2025'!Maxi_hp)</f>
        <v>35.899581400046522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5.2973756232330693E-2</v>
      </c>
      <c r="M313" s="832"/>
      <c r="N313" s="832"/>
      <c r="O313" s="48">
        <f>IF(t&lt;Tnet,'2025'!Resal+('2025'!Salim-'2025'!Resal)*(1-EXP(('2025'!Tnet-t)/('2025'!Tau_j))),Resal+(Salim-Resal)*(1-EXP((Tnet-t)/(Tau_j))))*Salcycl</f>
        <v>2.4218401309792949E-2</v>
      </c>
      <c r="P313" s="169">
        <f>(INDEX(Models!$BJ313:$BT313,,T313)*(1-R313)+INDEX(Models!$BJ313:$BT313,,T313+1)*R313-ERP_i)*Q313*Ramure*Pc/MaxiM</f>
        <v>3.8694769882339689E-4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33.608471492054299</v>
      </c>
      <c r="W313" s="400">
        <f t="shared" si="111"/>
        <v>12.585970060211491</v>
      </c>
      <c r="X313" s="157">
        <f t="shared" si="112"/>
        <v>46321</v>
      </c>
      <c r="Y313" s="383">
        <f t="shared" si="113"/>
        <v>12.080955366792145</v>
      </c>
      <c r="Z313" s="383">
        <f t="shared" si="114"/>
        <v>12.7567271195453</v>
      </c>
      <c r="AA313" s="384">
        <f t="shared" si="115"/>
        <v>13.606089637089344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6.2425174329936384E-2</v>
      </c>
      <c r="AD313" s="230">
        <f>(INDEX(Models!$BJ313:$BT313,,AH313)*(1-AF313)+INDEX(Models!$BJ313:$BT313,,AH313+1)*AF313-ERP_i)*AE313*Ramure*Pc/MaxiM</f>
        <v>9.8751901795423851E-3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'2025'!Wh/'2025'!Env_an*'2026'!Env_an</f>
        <v>14.561202348529529</v>
      </c>
      <c r="C314" s="829"/>
      <c r="D314" s="391">
        <f t="shared" si="102"/>
        <v>15.376006221397995</v>
      </c>
      <c r="E314" s="383">
        <f t="shared" si="125"/>
        <v>15.758518907201106</v>
      </c>
      <c r="F314" s="383">
        <f t="shared" si="103"/>
        <v>15.759751359622495</v>
      </c>
      <c r="G314" s="110">
        <f t="shared" si="126"/>
        <v>0.43738695671890804</v>
      </c>
      <c r="H314" s="412" t="b">
        <f>Wh_hp&gt;='2025'!Maxi_hp</f>
        <v>0</v>
      </c>
      <c r="I314" s="388">
        <f>IF(H314,Wh_hp,'2025'!Maxi_hp)</f>
        <v>30.879725572368368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5.2991905774241066E-2</v>
      </c>
      <c r="M314" s="832"/>
      <c r="N314" s="832"/>
      <c r="O314" s="48">
        <f>IF(t&lt;Tnet,'2025'!Resal+('2025'!Salim-'2025'!Resal)*(1-EXP(('2025'!Tnet-t)/('2025'!Tau_j))),Resal+(Salim-Resal)*(1-EXP((Tnet-t)/(Tau_j))))*Salcycl</f>
        <v>2.427339066924087E-2</v>
      </c>
      <c r="P314" s="169">
        <f>(INDEX(Models!$BJ314:$BT314,,T314)*(1-R314)+INDEX(Models!$BJ314:$BT314,,T314+1)*R314-ERP_i)*Q314*Ramure*Pc/MaxiM</f>
        <v>3.9804407661050403E-4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33.280701409116034</v>
      </c>
      <c r="W314" s="400">
        <f t="shared" si="111"/>
        <v>14.561202348529529</v>
      </c>
      <c r="X314" s="157">
        <f t="shared" si="112"/>
        <v>46322</v>
      </c>
      <c r="Y314" s="383">
        <f t="shared" si="113"/>
        <v>13.965353269356212</v>
      </c>
      <c r="Z314" s="383">
        <f t="shared" si="114"/>
        <v>14.746815105919239</v>
      </c>
      <c r="AA314" s="384">
        <f t="shared" si="115"/>
        <v>15.728578257482122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6.2419065187653236E-2</v>
      </c>
      <c r="AD314" s="230">
        <f>(INDEX(Models!$BJ314:$BT314,,AH314)*(1-AF314)+INDEX(Models!$BJ314:$BT314,,AH314+1)*AF314-ERP_i)*AE314*Ramure*Pc/MaxiM</f>
        <v>1.0067949432527406E-2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'2025'!Wh/'2025'!Env_an*'2026'!Env_an</f>
        <v>17.517567079268041</v>
      </c>
      <c r="C315" s="829"/>
      <c r="D315" s="391">
        <f t="shared" si="102"/>
        <v>18.498155309011242</v>
      </c>
      <c r="E315" s="383">
        <f t="shared" si="125"/>
        <v>18.95940128758609</v>
      </c>
      <c r="F315" s="383">
        <f t="shared" si="103"/>
        <v>18.961965775512514</v>
      </c>
      <c r="G315" s="110">
        <f t="shared" si="126"/>
        <v>0.53138695813273851</v>
      </c>
      <c r="H315" s="412" t="b">
        <f>Wh_hp&gt;='2025'!Maxi_hp</f>
        <v>0</v>
      </c>
      <c r="I315" s="388">
        <f>IF(H315,Wh_hp,'2025'!Maxi_hp)</f>
        <v>35.461193234664123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5.3010054968319675E-2</v>
      </c>
      <c r="M315" s="832"/>
      <c r="N315" s="832"/>
      <c r="O315" s="48">
        <f>IF(t&lt;Tnet,'2025'!Resal+('2025'!Salim-'2025'!Resal)*(1-EXP(('2025'!Tnet-t)/('2025'!Tau_j))),Resal+(Salim-Resal)*(1-EXP((Tnet-t)/(Tau_j))))*Salcycl</f>
        <v>2.4328087769145766E-2</v>
      </c>
      <c r="P315" s="169">
        <f>(INDEX(Models!$BJ315:$BT315,,T315)*(1-R315)+INDEX(Models!$BJ315:$BT315,,T315+1)*R315-ERP_i)*Q315*Ramure*Pc/MaxiM</f>
        <v>4.0888719867832502E-4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32.956723148560833</v>
      </c>
      <c r="W315" s="400">
        <f t="shared" si="111"/>
        <v>17.517567079268041</v>
      </c>
      <c r="X315" s="157">
        <f t="shared" si="112"/>
        <v>46323</v>
      </c>
      <c r="Y315" s="383">
        <f t="shared" si="113"/>
        <v>16.778952108995224</v>
      </c>
      <c r="Z315" s="383">
        <f t="shared" si="114"/>
        <v>17.718194577487203</v>
      </c>
      <c r="AA315" s="384">
        <f t="shared" si="115"/>
        <v>18.897644624194964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6.2412542417994883E-2</v>
      </c>
      <c r="AD315" s="230">
        <f>(INDEX(Models!$BJ315:$BT315,,AH315)*(1-AF315)+INDEX(Models!$BJ315:$BT315,,AH315+1)*AF315-ERP_i)*AE315*Ramure*Pc/MaxiM</f>
        <v>1.0255495885554375E-2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'2025'!Wh/'2025'!Env_an*'2026'!Env_an</f>
        <v>27.20760206387089</v>
      </c>
      <c r="C316" s="829"/>
      <c r="D316" s="391">
        <f t="shared" si="102"/>
        <v>28.731164089013014</v>
      </c>
      <c r="E316" s="383">
        <f t="shared" si="125"/>
        <v>29.449209865218258</v>
      </c>
      <c r="F316" s="383">
        <f t="shared" si="103"/>
        <v>29.458630111735602</v>
      </c>
      <c r="G316" s="110">
        <f t="shared" si="126"/>
        <v>0.83355866623705488</v>
      </c>
      <c r="H316" s="412" t="b">
        <f>Wh_hp&gt;='2025'!Maxi_hp</f>
        <v>0</v>
      </c>
      <c r="I316" s="388">
        <f>IF(H316,Wh_hp,'2025'!Maxi_hp)</f>
        <v>29.777598995663187</v>
      </c>
      <c r="J316" s="85">
        <f>IF(H316,An,'2025'!An_max)</f>
        <v>2018</v>
      </c>
      <c r="K316" s="197">
        <f t="shared" si="104"/>
        <v>46324</v>
      </c>
      <c r="L316" s="147">
        <f>IF(t&lt;Tvie,1-EXP((T0-t)*PertePVj)+'2025'!Pspv,1-EXP((T0-t)*PertePVj)+Pspv)</f>
        <v>5.3028203814573072E-2</v>
      </c>
      <c r="M316" s="832"/>
      <c r="N316" s="832"/>
      <c r="O316" s="48">
        <f>IF(t&lt;Tnet,'2025'!Resal+('2025'!Salim-'2025'!Resal)*(1-EXP(('2025'!Tnet-t)/('2025'!Tau_j))),Resal+(Salim-Resal)*(1-EXP((Tnet-t)/(Tau_j))))*Salcycl</f>
        <v>2.4382514148649916E-2</v>
      </c>
      <c r="P316" s="169">
        <f>(INDEX(Models!$BJ316:$BT316,,T316)*(1-R316)+INDEX(Models!$BJ316:$BT316,,T316+1)*R316-ERP_i)*Q316*Ramure*Pc/MaxiM</f>
        <v>4.1946711832830443E-4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32.637041661415488</v>
      </c>
      <c r="W316" s="400">
        <f t="shared" si="111"/>
        <v>27.20760206387089</v>
      </c>
      <c r="X316" s="157">
        <f t="shared" si="112"/>
        <v>46324</v>
      </c>
      <c r="Y316" s="383">
        <f t="shared" si="113"/>
        <v>25.947470638094281</v>
      </c>
      <c r="Z316" s="383">
        <f t="shared" si="114"/>
        <v>27.400468253241932</v>
      </c>
      <c r="AA316" s="384">
        <f t="shared" si="115"/>
        <v>29.224225418068482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6.2405663066743687E-2</v>
      </c>
      <c r="AD316" s="230">
        <f>(INDEX(Models!$BJ316:$BT316,,AH316)*(1-AF316)+INDEX(Models!$BJ316:$BT316,,AH316+1)*AF316-ERP_i)*AE316*Ramure*Pc/MaxiM</f>
        <v>1.0437631456261266E-2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'2025'!Wh/'2025'!Env_an*'2026'!Env_an</f>
        <v>23.393056622903988</v>
      </c>
      <c r="C317" s="829"/>
      <c r="D317" s="391">
        <f t="shared" si="102"/>
        <v>24.703486469526094</v>
      </c>
      <c r="E317" s="383">
        <f t="shared" si="125"/>
        <v>25.322279215480723</v>
      </c>
      <c r="F317" s="383">
        <f t="shared" si="103"/>
        <v>25.32886995427528</v>
      </c>
      <c r="G317" s="110">
        <f t="shared" si="126"/>
        <v>0.72366702352118628</v>
      </c>
      <c r="H317" s="412" t="b">
        <f>Wh_hp&gt;='2025'!Maxi_hp</f>
        <v>0</v>
      </c>
      <c r="I317" s="388">
        <f>IF(H317,Wh_hp,'2025'!Maxi_hp)</f>
        <v>28.491037803008169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5.3046352313008027E-2</v>
      </c>
      <c r="M317" s="832"/>
      <c r="N317" s="832"/>
      <c r="O317" s="48">
        <f>IF(t&lt;Tnet,'2025'!Resal+('2025'!Salim-'2025'!Resal)*(1-EXP(('2025'!Tnet-t)/('2025'!Tau_j))),Resal+(Salim-Resal)*(1-EXP((Tnet-t)/(Tau_j))))*Salcycl</f>
        <v>2.4436692317030155E-2</v>
      </c>
      <c r="P317" s="169">
        <f>(INDEX(Models!$BJ317:$BT317,,T317)*(1-R317)+INDEX(Models!$BJ317:$BT317,,T317+1)*R317-ERP_i)*Q317*Ramure*Pc/MaxiM</f>
        <v>4.2979941587619418E-4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32.320235046577992</v>
      </c>
      <c r="W317" s="400">
        <f t="shared" si="111"/>
        <v>23.393056622903988</v>
      </c>
      <c r="X317" s="157">
        <f t="shared" si="112"/>
        <v>46325</v>
      </c>
      <c r="Y317" s="383">
        <f t="shared" si="113"/>
        <v>22.34410193672328</v>
      </c>
      <c r="Z317" s="383">
        <f t="shared" si="114"/>
        <v>23.59577154731965</v>
      </c>
      <c r="AA317" s="384">
        <f t="shared" si="115"/>
        <v>25.166097961583358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6.2398486116554457E-2</v>
      </c>
      <c r="AD317" s="230">
        <f>(INDEX(Models!$BJ317:$BT317,,AH317)*(1-AF317)+INDEX(Models!$BJ317:$BT317,,AH317+1)*AF317-ERP_i)*AE317*Ramure*Pc/MaxiM</f>
        <v>1.0614789868139204E-2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'2025'!Wh/'2025'!Env_an*'2026'!Env_an</f>
        <v>22.251257525860133</v>
      </c>
      <c r="C318" s="829"/>
      <c r="D318" s="391">
        <f t="shared" si="102"/>
        <v>23.498176524963547</v>
      </c>
      <c r="E318" s="383">
        <f t="shared" si="125"/>
        <v>24.088109889099261</v>
      </c>
      <c r="F318" s="383">
        <f t="shared" si="103"/>
        <v>24.094095694919297</v>
      </c>
      <c r="G318" s="110">
        <f t="shared" si="126"/>
        <v>0.69511551766373703</v>
      </c>
      <c r="H318" s="412" t="b">
        <f>Wh_hp&gt;='2025'!Maxi_hp</f>
        <v>0</v>
      </c>
      <c r="I318" s="388">
        <f>IF(H318,Wh_hp,'2025'!Maxi_hp)</f>
        <v>34.120858369867321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5.3064500463631092E-2</v>
      </c>
      <c r="M318" s="832"/>
      <c r="N318" s="832"/>
      <c r="O318" s="48">
        <f>IF(t&lt;Tnet,'2025'!Resal+('2025'!Salim-'2025'!Resal)*(1-EXP(('2025'!Tnet-t)/('2025'!Tau_j))),Resal+(Salim-Resal)*(1-EXP((Tnet-t)/(Tau_j))))*Salcycl</f>
        <v>2.4490645669242809E-2</v>
      </c>
      <c r="P318" s="169">
        <f>(INDEX(Models!$BJ318:$BT318,,T318)*(1-R318)+INDEX(Models!$BJ318:$BT318,,T318+1)*R318-ERP_i)*Q318*Ramure*Pc/MaxiM</f>
        <v>4.3998670459506839E-4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32.00474399585957</v>
      </c>
      <c r="W318" s="400">
        <f t="shared" si="111"/>
        <v>22.251257525860133</v>
      </c>
      <c r="X318" s="157">
        <f t="shared" si="112"/>
        <v>46326</v>
      </c>
      <c r="Y318" s="383">
        <f t="shared" si="113"/>
        <v>21.261726934302647</v>
      </c>
      <c r="Z318" s="383">
        <f t="shared" si="114"/>
        <v>22.453194483375739</v>
      </c>
      <c r="AA318" s="384">
        <f t="shared" si="115"/>
        <v>23.947291689412555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6.2391072252123474E-2</v>
      </c>
      <c r="AD318" s="230">
        <f>(INDEX(Models!$BJ318:$BT318,,AH318)*(1-AF318)+INDEX(Models!$BJ318:$BT318,,AH318+1)*AF318-ERP_i)*AE318*Ramure*Pc/MaxiM</f>
        <v>1.0790829596924199E-2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'2025'!Wh/'2025'!Env_an*'2026'!Env_an</f>
        <v>19.726377164814679</v>
      </c>
      <c r="C319" s="829"/>
      <c r="D319" s="391">
        <f t="shared" si="102"/>
        <v>20.832205818914385</v>
      </c>
      <c r="E319" s="383">
        <f t="shared" si="125"/>
        <v>21.356385451708878</v>
      </c>
      <c r="F319" s="383">
        <f t="shared" si="103"/>
        <v>21.36081565528956</v>
      </c>
      <c r="G319" s="110">
        <f t="shared" si="126"/>
        <v>0.62231138760923843</v>
      </c>
      <c r="H319" s="412" t="b">
        <f>Wh_hp&gt;='2025'!Maxi_hp</f>
        <v>0</v>
      </c>
      <c r="I319" s="388">
        <f>IF(H319,Wh_hp,'2025'!Maxi_hp)</f>
        <v>32.848992554762482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5.308264826644904E-2</v>
      </c>
      <c r="M319" s="832"/>
      <c r="N319" s="832"/>
      <c r="O319" s="48">
        <f>IF(t&lt;Tnet,'2025'!Resal+('2025'!Salim-'2025'!Resal)*(1-EXP(('2025'!Tnet-t)/('2025'!Tau_j))),Resal+(Salim-Resal)*(1-EXP((Tnet-t)/(Tau_j))))*Salcycl</f>
        <v>2.4544398394558384E-2</v>
      </c>
      <c r="P319" s="169">
        <f>(INDEX(Models!$BJ319:$BT319,,T319)*(1-R319)+INDEX(Models!$BJ319:$BT319,,T319+1)*R319-ERP_i)*Q319*Ramure*Pc/MaxiM</f>
        <v>4.5021979520156423E-4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31.690865026193062</v>
      </c>
      <c r="W319" s="400">
        <f t="shared" si="111"/>
        <v>19.726377164814679</v>
      </c>
      <c r="X319" s="157">
        <f t="shared" si="112"/>
        <v>46327</v>
      </c>
      <c r="Y319" s="383">
        <f t="shared" si="113"/>
        <v>18.86927182040646</v>
      </c>
      <c r="Z319" s="383">
        <f t="shared" si="114"/>
        <v>19.927052541451374</v>
      </c>
      <c r="AA319" s="384">
        <f t="shared" si="115"/>
        <v>21.252881314633026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6.2383483611174739E-2</v>
      </c>
      <c r="AD319" s="230">
        <f>(INDEX(Models!$BJ319:$BT319,,AH319)*(1-AF319)+INDEX(Models!$BJ319:$BT319,,AH319+1)*AF319-ERP_i)*AE319*Ramure*Pc/MaxiM</f>
        <v>1.0968836050221382E-2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'2025'!Wh/'2025'!Env_an*'2026'!Env_an</f>
        <v>29.266303224539559</v>
      </c>
      <c r="C320" s="829"/>
      <c r="D320" s="391">
        <f t="shared" si="102"/>
        <v>30.907516969388897</v>
      </c>
      <c r="E320" s="383">
        <f t="shared" si="125"/>
        <v>31.686951830341506</v>
      </c>
      <c r="F320" s="383">
        <f t="shared" si="103"/>
        <v>31.700145657097558</v>
      </c>
      <c r="G320" s="110">
        <f t="shared" si="126"/>
        <v>0.93263325650616558</v>
      </c>
      <c r="H320" s="412" t="b">
        <f>Wh_hp&gt;='2025'!Maxi_hp</f>
        <v>1</v>
      </c>
      <c r="I320" s="388">
        <f>IF(H320,Wh_hp,'2025'!Maxi_hp)</f>
        <v>31.700145657097558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5.3100795721468419E-2</v>
      </c>
      <c r="M320" s="832"/>
      <c r="N320" s="832"/>
      <c r="O320" s="48">
        <f>IF(t&lt;Tnet,'2025'!Resal+('2025'!Salim-'2025'!Resal)*(1-EXP(('2025'!Tnet-t)/('2025'!Tau_j))),Resal+(Salim-Resal)*(1-EXP((Tnet-t)/(Tau_j))))*Salcycl</f>
        <v>2.4597975378820476E-2</v>
      </c>
      <c r="P320" s="169">
        <f>(INDEX(Models!$BJ320:$BT320,,T320)*(1-R320)+INDEX(Models!$BJ320:$BT320,,T320+1)*R320-ERP_i)*Q320*Ramure*Pc/MaxiM</f>
        <v>4.6049738950260913E-4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31.378900836533937</v>
      </c>
      <c r="W320" s="400">
        <f t="shared" si="111"/>
        <v>29.266303224539559</v>
      </c>
      <c r="X320" s="157">
        <f t="shared" si="112"/>
        <v>46328</v>
      </c>
      <c r="Y320" s="383">
        <f t="shared" si="113"/>
        <v>27.86092001893396</v>
      </c>
      <c r="Z320" s="383">
        <f t="shared" si="114"/>
        <v>29.423321820364141</v>
      </c>
      <c r="AA320" s="384">
        <f t="shared" si="115"/>
        <v>31.380718739233121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6.2375783522822387E-2</v>
      </c>
      <c r="AD320" s="230">
        <f>(INDEX(Models!$BJ320:$BT320,,AH320)*(1-AF320)+INDEX(Models!$BJ320:$BT320,,AH320+1)*AF320-ERP_i)*AE320*Ramure*Pc/MaxiM</f>
        <v>1.1148794397046901E-2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'2025'!Wh/'2025'!Env_an*'2026'!Env_an</f>
        <v>10.273878726440978</v>
      </c>
      <c r="C321" s="829"/>
      <c r="D321" s="391">
        <f t="shared" si="102"/>
        <v>10.850231556150236</v>
      </c>
      <c r="E321" s="383">
        <f t="shared" si="125"/>
        <v>11.124465221482737</v>
      </c>
      <c r="F321" s="383">
        <f t="shared" si="103"/>
        <v>11.124694766213635</v>
      </c>
      <c r="G321" s="110">
        <f t="shared" si="126"/>
        <v>0.33052890593832268</v>
      </c>
      <c r="H321" s="412" t="b">
        <f>Wh_hp&gt;='2025'!Maxi_hp</f>
        <v>0</v>
      </c>
      <c r="I321" s="388">
        <f>IF(H321,Wh_hp,'2025'!Maxi_hp)</f>
        <v>29.614967506581426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5.3118942828696003E-2</v>
      </c>
      <c r="M321" s="832"/>
      <c r="N321" s="832"/>
      <c r="O321" s="48">
        <f>IF(t&lt;Tnet,'2025'!Resal+('2025'!Salim-'2025'!Resal)*(1-EXP(('2025'!Tnet-t)/('2025'!Tau_j))),Resal+(Salim-Resal)*(1-EXP((Tnet-t)/(Tau_j))))*Salcycl</f>
        <v>2.4651402100922627E-2</v>
      </c>
      <c r="P321" s="169">
        <f>(INDEX(Models!$BJ321:$BT321,,T321)*(1-R321)+INDEX(Models!$BJ321:$BT321,,T321+1)*R321-ERP_i)*Q321*Ramure*Pc/MaxiM</f>
        <v>4.7081837691414661E-4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31.069154027868933</v>
      </c>
      <c r="W321" s="400">
        <f t="shared" si="111"/>
        <v>10.273878726440978</v>
      </c>
      <c r="X321" s="157">
        <f t="shared" si="112"/>
        <v>46329</v>
      </c>
      <c r="Y321" s="383">
        <f t="shared" si="113"/>
        <v>9.8718881050361009</v>
      </c>
      <c r="Z321" s="383">
        <f t="shared" si="114"/>
        <v>10.425689721291086</v>
      </c>
      <c r="AA321" s="384">
        <f t="shared" si="115"/>
        <v>11.119170553259805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6.2368036234987947E-2</v>
      </c>
      <c r="AD321" s="230">
        <f>(INDEX(Models!$BJ321:$BT321,,AH321)*(1-AF321)+INDEX(Models!$BJ321:$BT321,,AH321+1)*AF321-ERP_i)*AE321*Ramure*Pc/MaxiM</f>
        <v>1.1330693440333059E-2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'2025'!Wh/'2025'!Env_an*'2026'!Env_an</f>
        <v>17.744414172957217</v>
      </c>
      <c r="C322" s="829"/>
      <c r="D322" s="391">
        <f t="shared" si="102"/>
        <v>18.740214637025797</v>
      </c>
      <c r="E322" s="383">
        <f t="shared" si="125"/>
        <v>19.214913394904073</v>
      </c>
      <c r="F322" s="383">
        <f t="shared" si="103"/>
        <v>19.218570572200022</v>
      </c>
      <c r="G322" s="110">
        <f t="shared" si="126"/>
        <v>0.57666255731281379</v>
      </c>
      <c r="H322" s="412" t="b">
        <f>Wh_hp&gt;='2025'!Maxi_hp</f>
        <v>1</v>
      </c>
      <c r="I322" s="388">
        <f>IF(H322,Wh_hp,'2025'!Maxi_hp)</f>
        <v>19.218570572200022</v>
      </c>
      <c r="J322" s="85">
        <f>IF(H322,An,'2025'!An_max)</f>
        <v>2026</v>
      </c>
      <c r="K322" s="197">
        <f t="shared" si="104"/>
        <v>46330</v>
      </c>
      <c r="L322" s="147">
        <f>IF(t&lt;Tvie,1-EXP((T0-t)*PertePVj)+'2025'!Pspv,1-EXP((T0-t)*PertePVj)+Pspv)</f>
        <v>5.3137089588138342E-2</v>
      </c>
      <c r="M322" s="832"/>
      <c r="N322" s="832"/>
      <c r="O322" s="48">
        <f>IF(t&lt;Tnet,'2025'!Resal+('2025'!Salim-'2025'!Resal)*(1-EXP(('2025'!Tnet-t)/('2025'!Tau_j))),Resal+(Salim-Resal)*(1-EXP((Tnet-t)/(Tau_j))))*Salcycl</f>
        <v>2.4704704524151931E-2</v>
      </c>
      <c r="P322" s="169">
        <f>(INDEX(Models!$BJ322:$BT322,,T322)*(1-R322)+INDEX(Models!$BJ322:$BT322,,T322+1)*R322-ERP_i)*Q322*Ramure*Pc/MaxiM</f>
        <v>4.8118183031907089E-4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30.761927110022754</v>
      </c>
      <c r="W322" s="400">
        <f t="shared" si="111"/>
        <v>17.744414172957217</v>
      </c>
      <c r="X322" s="157">
        <f t="shared" si="112"/>
        <v>46330</v>
      </c>
      <c r="Y322" s="383">
        <f t="shared" si="113"/>
        <v>16.984861936030782</v>
      </c>
      <c r="Z322" s="383">
        <f t="shared" si="114"/>
        <v>17.938037015984492</v>
      </c>
      <c r="AA322" s="384">
        <f t="shared" si="115"/>
        <v>19.131055503381798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6.236030663265902E-2</v>
      </c>
      <c r="AD322" s="230">
        <f>(INDEX(Models!$BJ322:$BT322,,AH322)*(1-AF322)+INDEX(Models!$BJ322:$BT322,,AH322+1)*AF322-ERP_i)*AE322*Ramure*Pc/MaxiM</f>
        <v>1.1514525434989908E-2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'2025'!Wh/'2025'!Env_an*'2026'!Env_an</f>
        <v>30.227868071981547</v>
      </c>
      <c r="C323" s="829"/>
      <c r="D323" s="391">
        <f t="shared" si="102"/>
        <v>31.92484050318436</v>
      </c>
      <c r="E323" s="383">
        <f t="shared" si="125"/>
        <v>32.735298032405254</v>
      </c>
      <c r="F323" s="383">
        <f t="shared" si="103"/>
        <v>32.7512246842103</v>
      </c>
      <c r="G323" s="110">
        <f t="shared" si="126"/>
        <v>0.99245458731744296</v>
      </c>
      <c r="H323" s="412" t="b">
        <f>Wh_hp&gt;='2025'!Maxi_hp</f>
        <v>1</v>
      </c>
      <c r="I323" s="388">
        <f>IF(H323,Wh_hp,'2025'!Maxi_hp)</f>
        <v>32.7512246842103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5.3155235999802319E-2</v>
      </c>
      <c r="M323" s="832"/>
      <c r="N323" s="832"/>
      <c r="O323" s="48">
        <f>IF(t&lt;Tnet,'2025'!Resal+('2025'!Salim-'2025'!Resal)*(1-EXP(('2025'!Tnet-t)/('2025'!Tau_j))),Resal+(Salim-Resal)*(1-EXP((Tnet-t)/(Tau_j))))*Salcycl</f>
        <v>2.4757908983098539E-2</v>
      </c>
      <c r="P323" s="169">
        <f>(INDEX(Models!$BJ323:$BT323,,T323)*(1-R323)+INDEX(Models!$BJ323:$BT323,,T323+1)*R323-ERP_i)*Q323*Ramure*Pc/MaxiM</f>
        <v>4.9158699689801121E-4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30.457522508021022</v>
      </c>
      <c r="W323" s="400">
        <f t="shared" si="111"/>
        <v>30.227868071981547</v>
      </c>
      <c r="X323" s="157">
        <f t="shared" si="112"/>
        <v>46331</v>
      </c>
      <c r="Y323" s="383">
        <f t="shared" si="113"/>
        <v>28.740207624865633</v>
      </c>
      <c r="Z323" s="383">
        <f t="shared" si="114"/>
        <v>30.353663786917906</v>
      </c>
      <c r="AA323" s="384">
        <f t="shared" si="115"/>
        <v>32.372153676949203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6.2352659948867614E-2</v>
      </c>
      <c r="AD323" s="230">
        <f>(INDEX(Models!$BJ323:$BT323,,AH323)*(1-AF323)+INDEX(Models!$BJ323:$BT323,,AH323+1)*AF323-ERP_i)*AE323*Ramure*Pc/MaxiM</f>
        <v>1.1700285807187828E-2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'2025'!Wh/'2025'!Env_an*'2026'!Env_an</f>
        <v>30.186505771678746</v>
      </c>
      <c r="C324" s="829"/>
      <c r="D324" s="391">
        <f t="shared" si="102"/>
        <v>31.881767157616427</v>
      </c>
      <c r="E324" s="383">
        <f t="shared" si="125"/>
        <v>32.692912382015258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Wh_hp&gt;='2025'!Maxi_hp</f>
        <v>1</v>
      </c>
      <c r="I324" s="388">
        <f>IF(H324,Wh_hp,'2025'!Maxi_hp)</f>
        <v>32.709345157525121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5.3173382063694374E-2</v>
      </c>
      <c r="M324" s="832"/>
      <c r="N324" s="832"/>
      <c r="O324" s="48">
        <f>IF(t&lt;Tnet,'2025'!Resal+('2025'!Salim-'2025'!Resal)*(1-EXP(('2025'!Tnet-t)/('2025'!Tau_j))),Resal+(Salim-Resal)*(1-EXP((Tnet-t)/(Tau_j))))*Salcycl</f>
        <v>2.4811042066874827E-2</v>
      </c>
      <c r="P324" s="169">
        <f>(INDEX(Models!$BJ324:$BT324,,T324)*(1-R324)+INDEX(Models!$BJ324:$BT324,,T324+1)*R324-ERP_i)*Q324*Ramure*Pc/MaxiM</f>
        <v>5.0238778644842654E-4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30.156231866287669</v>
      </c>
      <c r="W324" s="400">
        <f t="shared" si="111"/>
        <v>30.186505771678746</v>
      </c>
      <c r="X324" s="157">
        <f t="shared" si="112"/>
        <v>46332</v>
      </c>
      <c r="Y324" s="383">
        <f t="shared" si="113"/>
        <v>28.694161571578881</v>
      </c>
      <c r="Z324" s="383">
        <f t="shared" si="114"/>
        <v>30.305613538960706</v>
      </c>
      <c r="AA324" s="384">
        <f t="shared" si="115"/>
        <v>32.320649660895683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6.2345161470344537E-2</v>
      </c>
      <c r="AD324" s="230">
        <f>(INDEX(Models!$BJ324:$BT324,,AH324)*(1-AF324)+INDEX(Models!$BJ324:$BT324,,AH324+1)*AF324-ERP_i)*AE324*Ramure*Pc/MaxiM</f>
        <v>1.1883316365935202E-2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'2025'!Wh/'2025'!Env_an*'2026'!Env_an</f>
        <v>28.316888550467823</v>
      </c>
      <c r="C325" s="829"/>
      <c r="D325" s="391">
        <f t="shared" si="102"/>
        <v>29.907726199436436</v>
      </c>
      <c r="E325" s="383">
        <f t="shared" si="125"/>
        <v>30.670316962859754</v>
      </c>
      <c r="F325" s="383">
        <f t="shared" si="103"/>
        <v>30.684914387235704</v>
      </c>
      <c r="G325" s="110">
        <f t="shared" si="126"/>
        <v>0.94833801898564818</v>
      </c>
      <c r="H325" s="412" t="b">
        <f>Wh_hp&gt;='2025'!Maxi_hp</f>
        <v>1</v>
      </c>
      <c r="I325" s="388">
        <f>IF(H325,Wh_hp,'2025'!Maxi_hp)</f>
        <v>30.684914387235704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5.3191527779821279E-2</v>
      </c>
      <c r="M325" s="832"/>
      <c r="N325" s="832"/>
      <c r="O325" s="48">
        <f>IF(t&lt;Tnet,'2025'!Resal+('2025'!Salim-'2025'!Resal)*(1-EXP(('2025'!Tnet-t)/('2025'!Tau_j))),Resal+(Salim-Resal)*(1-EXP((Tnet-t)/(Tau_j))))*Salcycl</f>
        <v>2.486413049942646E-2</v>
      </c>
      <c r="P325" s="169">
        <f>(INDEX(Models!$BJ325:$BT325,,T325)*(1-R325)+INDEX(Models!$BJ325:$BT325,,T325+1)*R325-ERP_i)*Q325*Ramure*Pc/MaxiM</f>
        <v>5.1359855625234701E-4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29.858357323413777</v>
      </c>
      <c r="W325" s="400">
        <f t="shared" si="111"/>
        <v>28.316888550467823</v>
      </c>
      <c r="X325" s="157">
        <f t="shared" si="112"/>
        <v>46333</v>
      </c>
      <c r="Y325" s="383">
        <f t="shared" si="113"/>
        <v>26.937236393873086</v>
      </c>
      <c r="Z325" s="383">
        <f t="shared" si="114"/>
        <v>28.450565435592001</v>
      </c>
      <c r="AA325" s="384">
        <f t="shared" si="115"/>
        <v>30.342022690968829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6.233787623986619E-2</v>
      </c>
      <c r="AD325" s="230">
        <f>(INDEX(Models!$BJ325:$BT325,,AH325)*(1-AF325)+INDEX(Models!$BJ325:$BT325,,AH325+1)*AF325-ERP_i)*AE325*Ramure*Pc/MaxiM</f>
        <v>1.2064366673051512E-2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'2025'!Wh/'2025'!Env_an*'2026'!Env_an</f>
        <v>20.42145079641714</v>
      </c>
      <c r="C326" s="829"/>
      <c r="D326" s="391">
        <f t="shared" si="102"/>
        <v>21.569137555852386</v>
      </c>
      <c r="E326" s="383">
        <f t="shared" si="125"/>
        <v>22.120313862951264</v>
      </c>
      <c r="F326" s="383">
        <f t="shared" si="103"/>
        <v>22.126801091365788</v>
      </c>
      <c r="G326" s="110">
        <f t="shared" si="126"/>
        <v>0.6905889541764938</v>
      </c>
      <c r="H326" s="412" t="b">
        <f>Wh_hp&gt;='2025'!Maxi_hp</f>
        <v>0</v>
      </c>
      <c r="I326" s="388">
        <f>IF(H326,Wh_hp,'2025'!Maxi_hp)</f>
        <v>24.301685975957074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5.3209673148189585E-2</v>
      </c>
      <c r="M326" s="832"/>
      <c r="N326" s="832"/>
      <c r="O326" s="48">
        <f>IF(t&lt;Tnet,'2025'!Resal+('2025'!Salim-'2025'!Resal)*(1-EXP(('2025'!Tnet-t)/('2025'!Tau_j))),Resal+(Salim-Resal)*(1-EXP((Tnet-t)/(Tau_j))))*Salcycl</f>
        <v>2.491720101775001E-2</v>
      </c>
      <c r="P326" s="169">
        <f>(INDEX(Models!$BJ326:$BT326,,T326)*(1-R326)+INDEX(Models!$BJ326:$BT326,,T326+1)*R326-ERP_i)*Q326*Ramure*Pc/MaxiM</f>
        <v>5.2521898067778522E-4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29.564201391249647</v>
      </c>
      <c r="W326" s="400">
        <f t="shared" si="111"/>
        <v>20.42145079641714</v>
      </c>
      <c r="X326" s="157">
        <f t="shared" si="112"/>
        <v>46334</v>
      </c>
      <c r="Y326" s="383">
        <f t="shared" si="113"/>
        <v>19.509390861451589</v>
      </c>
      <c r="Z326" s="383">
        <f t="shared" si="114"/>
        <v>20.605819797845438</v>
      </c>
      <c r="AA326" s="384">
        <f t="shared" si="115"/>
        <v>21.975576577355813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6.2330868757355128E-2</v>
      </c>
      <c r="AD326" s="230">
        <f>(INDEX(Models!$BJ326:$BT326,,AH326)*(1-AF326)+INDEX(Models!$BJ326:$BT326,,AH326+1)*AF326-ERP_i)*AE326*Ramure*Pc/MaxiM</f>
        <v>1.2243438958309684E-2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'2025'!Wh/'2025'!Env_an*'2026'!Env_an</f>
        <v>10.059560972133829</v>
      </c>
      <c r="C327" s="829"/>
      <c r="D327" s="391">
        <f t="shared" si="102"/>
        <v>10.625112529898363</v>
      </c>
      <c r="E327" s="383">
        <f t="shared" si="125"/>
        <v>10.897219145904822</v>
      </c>
      <c r="F327" s="383">
        <f t="shared" si="103"/>
        <v>10.897584094222145</v>
      </c>
      <c r="G327" s="110">
        <f t="shared" si="126"/>
        <v>0.34346076239045908</v>
      </c>
      <c r="H327" s="412" t="b">
        <f>Wh_hp&gt;='2025'!Maxi_hp</f>
        <v>0</v>
      </c>
      <c r="I327" s="388">
        <f>IF(H327,Wh_hp,'2025'!Maxi_hp)</f>
        <v>24.305673600704964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5.3227818168806174E-2</v>
      </c>
      <c r="M327" s="832"/>
      <c r="N327" s="832"/>
      <c r="O327" s="48">
        <f>IF(t&lt;Tnet,'2025'!Resal+('2025'!Salim-'2025'!Resal)*(1-EXP(('2025'!Tnet-t)/('2025'!Tau_j))),Resal+(Salim-Resal)*(1-EXP((Tnet-t)/(Tau_j))))*Salcycl</f>
        <v>2.4970280248857519E-2</v>
      </c>
      <c r="P327" s="169">
        <f>(INDEX(Models!$BJ327:$BT327,,T327)*(1-R327)+INDEX(Models!$BJ327:$BT327,,T327+1)*R327-ERP_i)*Q327*Ramure*Pc/MaxiM</f>
        <v>5.3724869883166771E-4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29.274066505374442</v>
      </c>
      <c r="W327" s="400">
        <f t="shared" si="111"/>
        <v>10.059560972133829</v>
      </c>
      <c r="X327" s="157">
        <f t="shared" si="112"/>
        <v>46335</v>
      </c>
      <c r="Y327" s="383">
        <f t="shared" si="113"/>
        <v>9.6670074516136477</v>
      </c>
      <c r="Z327" s="383">
        <f t="shared" si="114"/>
        <v>10.210489531828303</v>
      </c>
      <c r="AA327" s="384">
        <f t="shared" si="115"/>
        <v>10.889146932267057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6.2324202681822025E-2</v>
      </c>
      <c r="AD327" s="230">
        <f>(INDEX(Models!$BJ327:$BT327,,AH327)*(1-AF327)+INDEX(Models!$BJ327:$BT327,,AH327+1)*AF327-ERP_i)*AE327*Ramure*Pc/MaxiM</f>
        <v>1.2420537558425974E-2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'2025'!Wh/'2025'!Env_an*'2026'!Env_an</f>
        <v>20.312467703880714</v>
      </c>
      <c r="C328" s="829"/>
      <c r="D328" s="391">
        <f t="shared" si="102"/>
        <v>21.454851953785678</v>
      </c>
      <c r="E328" s="383">
        <f t="shared" si="125"/>
        <v>22.005504372777253</v>
      </c>
      <c r="F328" s="383">
        <f t="shared" si="103"/>
        <v>22.012430968794117</v>
      </c>
      <c r="G328" s="110">
        <f t="shared" si="126"/>
        <v>0.70054897574427422</v>
      </c>
      <c r="H328" s="412" t="b">
        <f>Wh_hp&gt;='2025'!Maxi_hp</f>
        <v>1</v>
      </c>
      <c r="I328" s="388">
        <f>IF(H328,Wh_hp,'2025'!Maxi_hp)</f>
        <v>22.012430968794117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5.3245962841677485E-2</v>
      </c>
      <c r="M328" s="832"/>
      <c r="N328" s="832"/>
      <c r="O328" s="48">
        <f>IF(t&lt;Tnet,'2025'!Resal+('2025'!Salim-'2025'!Resal)*(1-EXP(('2025'!Tnet-t)/('2025'!Tau_j))),Resal+(Salim-Resal)*(1-EXP((Tnet-t)/(Tau_j))))*Salcycl</f>
        <v>2.5023394586346337E-2</v>
      </c>
      <c r="P328" s="169">
        <f>(INDEX(Models!$BJ328:$BT328,,T328)*(1-R328)+INDEX(Models!$BJ328:$BT328,,T328+1)*R328-ERP_i)*Q328*Ramure*Pc/MaxiM</f>
        <v>5.4968728474182038E-4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28.988255028589954</v>
      </c>
      <c r="W328" s="400">
        <f t="shared" si="111"/>
        <v>20.312467703880714</v>
      </c>
      <c r="X328" s="157">
        <f t="shared" si="112"/>
        <v>46336</v>
      </c>
      <c r="Y328" s="383">
        <f t="shared" si="113"/>
        <v>19.400727384228023</v>
      </c>
      <c r="Z328" s="383">
        <f t="shared" si="114"/>
        <v>20.491834861839312</v>
      </c>
      <c r="AA328" s="384">
        <f t="shared" si="115"/>
        <v>21.853713265622538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6.2317940536245488E-2</v>
      </c>
      <c r="AD328" s="230">
        <f>(INDEX(Models!$BJ328:$BT328,,AH328)*(1-AF328)+INDEX(Models!$BJ328:$BT328,,AH328+1)*AF328-ERP_i)*AE328*Ramure*Pc/MaxiM</f>
        <v>1.2595667927564908E-2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'2025'!Wh/'2025'!Env_an*'2026'!Env_an</f>
        <v>27.787415170399882</v>
      </c>
      <c r="C329" s="829"/>
      <c r="D329" s="391">
        <f t="shared" si="102"/>
        <v>29.350757038738248</v>
      </c>
      <c r="E329" s="383">
        <f t="shared" si="125"/>
        <v>30.10570485598927</v>
      </c>
      <c r="F329" s="383">
        <f t="shared" si="103"/>
        <v>30.121873964250081</v>
      </c>
      <c r="G329" s="110">
        <f t="shared" si="126"/>
        <v>0.96793926149034992</v>
      </c>
      <c r="H329" s="412" t="b">
        <f>Wh_hp&gt;='2025'!Maxi_hp</f>
        <v>1</v>
      </c>
      <c r="I329" s="388">
        <f>IF(H329,Wh_hp,'2025'!Maxi_hp)</f>
        <v>30.121873964250081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5.3264107166810293E-2</v>
      </c>
      <c r="M329" s="832"/>
      <c r="N329" s="832"/>
      <c r="O329" s="48">
        <f>IF(t&lt;Tnet,'2025'!Resal+('2025'!Salim-'2025'!Resal)*(1-EXP(('2025'!Tnet-t)/('2025'!Tau_j))),Resal+(Salim-Resal)*(1-EXP((Tnet-t)/(Tau_j))))*Salcycl</f>
        <v>2.5076570067444525E-2</v>
      </c>
      <c r="P329" s="169">
        <f>(INDEX(Models!$BJ329:$BT329,,T329)*(1-R329)+INDEX(Models!$BJ329:$BT329,,T329+1)*R329-ERP_i)*Q329*Ramure*Pc/MaxiM</f>
        <v>5.6253420960857188E-4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28.707069250258847</v>
      </c>
      <c r="W329" s="400">
        <f t="shared" si="111"/>
        <v>27.787415170399882</v>
      </c>
      <c r="X329" s="157">
        <f t="shared" si="112"/>
        <v>46337</v>
      </c>
      <c r="Y329" s="383">
        <f t="shared" si="113"/>
        <v>26.414656868077682</v>
      </c>
      <c r="Z329" s="383">
        <f t="shared" si="114"/>
        <v>27.900766272872065</v>
      </c>
      <c r="AA329" s="384">
        <f t="shared" si="115"/>
        <v>29.754855069317657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6.2312143417477969E-2</v>
      </c>
      <c r="AD329" s="230">
        <f>(INDEX(Models!$BJ329:$BT329,,AH329)*(1-AF329)+INDEX(Models!$BJ329:$BT329,,AH329+1)*AF329-ERP_i)*AE329*Ramure*Pc/MaxiM</f>
        <v>1.2768835525248283E-2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'2025'!Wh/'2025'!Env_an*'2026'!Env_an</f>
        <v>27.365488615282725</v>
      </c>
      <c r="C330" s="829"/>
      <c r="D330" s="391">
        <f t="shared" si="102"/>
        <v>28.905646533358958</v>
      </c>
      <c r="E330" s="383">
        <f t="shared" si="125"/>
        <v>29.650765291253961</v>
      </c>
      <c r="F330" s="383">
        <f t="shared" si="103"/>
        <v>29.66693279231125</v>
      </c>
      <c r="G330" s="110">
        <f t="shared" si="126"/>
        <v>0.9624996039625503</v>
      </c>
      <c r="H330" s="412" t="b">
        <f>Wh_hp&gt;='2025'!Maxi_hp</f>
        <v>1</v>
      </c>
      <c r="I330" s="388">
        <f>IF(H330,Wh_hp,'2025'!Maxi_hp)</f>
        <v>29.66693279231125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5.3282251144211257E-2</v>
      </c>
      <c r="M330" s="832"/>
      <c r="N330" s="832"/>
      <c r="O330" s="48">
        <f>IF(t&lt;Tnet,'2025'!Resal+('2025'!Salim-'2025'!Resal)*(1-EXP(('2025'!Tnet-t)/('2025'!Tau_j))),Resal+(Salim-Resal)*(1-EXP((Tnet-t)/(Tau_j))))*Salcycl</f>
        <v>2.5129832251405311E-2</v>
      </c>
      <c r="P330" s="169">
        <f>(INDEX(Models!$BJ330:$BT330,,T330)*(1-R330)+INDEX(Models!$BJ330:$BT330,,T330+1)*R330-ERP_i)*Q330*Ramure*Pc/MaxiM</f>
        <v>5.7578879527648414E-4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28.430811390254235</v>
      </c>
      <c r="W330" s="400">
        <f t="shared" si="111"/>
        <v>27.365488615282725</v>
      </c>
      <c r="X330" s="157">
        <f t="shared" si="112"/>
        <v>46338</v>
      </c>
      <c r="Y330" s="383">
        <f t="shared" si="113"/>
        <v>26.013698105822343</v>
      </c>
      <c r="Z330" s="383">
        <f t="shared" si="114"/>
        <v>27.477775860083668</v>
      </c>
      <c r="AA330" s="384">
        <f t="shared" si="115"/>
        <v>29.303590910369707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6.2306870713238545E-2</v>
      </c>
      <c r="AD330" s="230">
        <f>(INDEX(Models!$BJ330:$BT330,,AH330)*(1-AF330)+INDEX(Models!$BJ330:$BT330,,AH330+1)*AF330-ERP_i)*AE330*Ramure*Pc/MaxiM</f>
        <v>1.2940044582972631E-2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'2025'!Wh/'2025'!Env_an*'2026'!Env_an</f>
        <v>26.319926118600492</v>
      </c>
      <c r="C331" s="829"/>
      <c r="D331" s="391">
        <f t="shared" si="102"/>
        <v>27.801771515806379</v>
      </c>
      <c r="E331" s="383">
        <f t="shared" si="125"/>
        <v>28.519996464752971</v>
      </c>
      <c r="F331" s="383">
        <f t="shared" si="103"/>
        <v>28.535249109296942</v>
      </c>
      <c r="G331" s="110">
        <f t="shared" si="126"/>
        <v>0.93467388644288818</v>
      </c>
      <c r="H331" s="412" t="b">
        <f>Wh_hp&gt;='2025'!Maxi_hp</f>
        <v>0</v>
      </c>
      <c r="I331" s="388">
        <f>IF(H331,Wh_hp,'2025'!Maxi_hp)</f>
        <v>29.071978311267806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5.3300394773887039E-2</v>
      </c>
      <c r="M331" s="832"/>
      <c r="N331" s="832"/>
      <c r="O331" s="48">
        <f>IF(t&lt;Tnet,'2025'!Resal+('2025'!Salim-'2025'!Resal)*(1-EXP(('2025'!Tnet-t)/('2025'!Tau_j))),Resal+(Salim-Resal)*(1-EXP((Tnet-t)/(Tau_j))))*Salcycl</f>
        <v>2.5183206100120779E-2</v>
      </c>
      <c r="P331" s="169">
        <f>(INDEX(Models!$BJ331:$BT331,,T331)*(1-R331)+INDEX(Models!$BJ331:$BT331,,T331+1)*R331-ERP_i)*Q331*Ramure*Pc/MaxiM</f>
        <v>5.8948901256442531E-4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28.157926449783385</v>
      </c>
      <c r="W331" s="400">
        <f t="shared" si="111"/>
        <v>26.319926118600492</v>
      </c>
      <c r="X331" s="157">
        <f t="shared" si="112"/>
        <v>46339</v>
      </c>
      <c r="Y331" s="383">
        <f t="shared" si="113"/>
        <v>25.030129742072983</v>
      </c>
      <c r="Z331" s="383">
        <f t="shared" si="114"/>
        <v>26.439357958847676</v>
      </c>
      <c r="AA331" s="384">
        <f t="shared" si="115"/>
        <v>28.196032229235495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6.2302179828209361E-2</v>
      </c>
      <c r="AD331" s="230">
        <f>(INDEX(Models!$BJ331:$BT331,,AH331)*(1-AF331)+INDEX(Models!$BJ331:$BT331,,AH331+1)*AF331-ERP_i)*AE331*Ramure*Pc/MaxiM</f>
        <v>1.3110160870540476E-2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'2025'!Wh/'2025'!Env_an*'2026'!Env_an</f>
        <v>9.7462088691509106</v>
      </c>
      <c r="C332" s="829"/>
      <c r="D332" s="391">
        <f t="shared" si="102"/>
        <v>10.295130158285318</v>
      </c>
      <c r="E332" s="383">
        <f t="shared" si="125"/>
        <v>10.561672075479855</v>
      </c>
      <c r="F332" s="383">
        <f t="shared" si="103"/>
        <v>10.562122123592815</v>
      </c>
      <c r="G332" s="110">
        <f t="shared" si="126"/>
        <v>0.34929329565344652</v>
      </c>
      <c r="H332" s="412" t="b">
        <f>Wh_hp&gt;='2025'!Maxi_hp</f>
        <v>0</v>
      </c>
      <c r="I332" s="388">
        <f>IF(H332,Wh_hp,'2025'!Maxi_hp)</f>
        <v>19.875209801097167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5.3318538055844411E-2</v>
      </c>
      <c r="M332" s="832"/>
      <c r="N332" s="832"/>
      <c r="O332" s="48">
        <f>IF(t&lt;Tnet,'2025'!Resal+('2025'!Salim-'2025'!Resal)*(1-EXP(('2025'!Tnet-t)/('2025'!Tau_j))),Resal+(Salim-Resal)*(1-EXP((Tnet-t)/(Tau_j))))*Salcycl</f>
        <v>2.5236715861813586E-2</v>
      </c>
      <c r="P332" s="169">
        <f>(INDEX(Models!$BJ332:$BT332,,T332)*(1-R332)+INDEX(Models!$BJ332:$BT332,,T332+1)*R332-ERP_i)*Q332*Ramure*Pc/MaxiM</f>
        <v>6.0269377698789423E-4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27.887022341044045</v>
      </c>
      <c r="W332" s="400">
        <f t="shared" si="111"/>
        <v>9.7462088691509106</v>
      </c>
      <c r="X332" s="157">
        <f t="shared" si="112"/>
        <v>46340</v>
      </c>
      <c r="Y332" s="383">
        <f t="shared" si="113"/>
        <v>9.3672504143282751</v>
      </c>
      <c r="Z332" s="383">
        <f t="shared" si="114"/>
        <v>9.8948281876051425</v>
      </c>
      <c r="AA332" s="384">
        <f t="shared" si="115"/>
        <v>10.552211167676017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6.2298125921190495E-2</v>
      </c>
      <c r="AD332" s="230">
        <f>(INDEX(Models!$BJ332:$BT332,,AH332)*(1-AF332)+INDEX(Models!$BJ332:$BT332,,AH332+1)*AF332-ERP_i)*AE332*Ramure*Pc/MaxiM</f>
        <v>1.3272517499905904E-2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'2025'!Wh/'2025'!Env_an*'2026'!Env_an</f>
        <v>12.5069327485943</v>
      </c>
      <c r="C333" s="829"/>
      <c r="D333" s="391">
        <f t="shared" si="102"/>
        <v>13.211595397691088</v>
      </c>
      <c r="E333" s="383">
        <f t="shared" si="125"/>
        <v>13.554391168215336</v>
      </c>
      <c r="F333" s="383">
        <f t="shared" si="103"/>
        <v>13.556212516995297</v>
      </c>
      <c r="G333" s="110">
        <f t="shared" si="126"/>
        <v>0.45262662942392828</v>
      </c>
      <c r="H333" s="412" t="b">
        <f>Wh_hp&gt;='2025'!Maxi_hp</f>
        <v>0</v>
      </c>
      <c r="I333" s="388">
        <f>IF(H333,Wh_hp,'2025'!Maxi_hp)</f>
        <v>26.911873928380832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5.3336680990089813E-2</v>
      </c>
      <c r="M333" s="832"/>
      <c r="N333" s="832"/>
      <c r="O333" s="48">
        <f>IF(t&lt;Tnet,'2025'!Resal+('2025'!Salim-'2025'!Resal)*(1-EXP(('2025'!Tnet-t)/('2025'!Tau_j))),Resal+(Salim-Resal)*(1-EXP((Tnet-t)/(Tau_j))))*Salcycl</f>
        <v>2.5290384958646748E-2</v>
      </c>
      <c r="P333" s="169">
        <f>(INDEX(Models!$BJ333:$BT333,,T333)*(1-R333)+INDEX(Models!$BJ333:$BT333,,T333+1)*R333-ERP_i)*Q333*Ramure*Pc/MaxiM</f>
        <v>6.1532290602033576E-4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27.618605927993801</v>
      </c>
      <c r="W333" s="400">
        <f t="shared" si="111"/>
        <v>12.5069327485943</v>
      </c>
      <c r="X333" s="157">
        <f t="shared" si="112"/>
        <v>46341</v>
      </c>
      <c r="Y333" s="383">
        <f t="shared" si="113"/>
        <v>11.99845812170034</v>
      </c>
      <c r="Z333" s="383">
        <f t="shared" si="114"/>
        <v>12.674472413538961</v>
      </c>
      <c r="AA333" s="384">
        <f t="shared" si="115"/>
        <v>13.516478201520219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6.2294761655188921E-2</v>
      </c>
      <c r="AD333" s="230">
        <f>(INDEX(Models!$BJ333:$BT333,,AH333)*(1-AF333)+INDEX(Models!$BJ333:$BT333,,AH333+1)*AF333-ERP_i)*AE333*Ramure*Pc/MaxiM</f>
        <v>1.3423806980767145E-2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'2025'!Wh/'2025'!Env_an*'2026'!Env_an</f>
        <v>26.929085620200777</v>
      </c>
      <c r="C334" s="829"/>
      <c r="D334" s="391">
        <f t="shared" si="102"/>
        <v>28.446862975570934</v>
      </c>
      <c r="E334" s="383">
        <f t="shared" si="125"/>
        <v>29.186574401709766</v>
      </c>
      <c r="F334" s="383">
        <f t="shared" si="103"/>
        <v>29.204490810604817</v>
      </c>
      <c r="G334" s="110">
        <f t="shared" si="126"/>
        <v>0.9844818611915257</v>
      </c>
      <c r="H334" s="412" t="b">
        <f>Wh_hp&gt;='2025'!Maxi_hp</f>
        <v>1</v>
      </c>
      <c r="I334" s="388">
        <f>IF(H334,Wh_hp,'2025'!Maxi_hp)</f>
        <v>29.204490810604817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5.3354823576630017E-2</v>
      </c>
      <c r="M334" s="832"/>
      <c r="N334" s="832"/>
      <c r="O334" s="48">
        <f>IF(t&lt;Tnet,'2025'!Resal+('2025'!Salim-'2025'!Resal)*(1-EXP(('2025'!Tnet-t)/('2025'!Tau_j))),Resal+(Salim-Resal)*(1-EXP((Tnet-t)/(Tau_j))))*Salcycl</f>
        <v>2.5344235879065591E-2</v>
      </c>
      <c r="P334" s="169">
        <f>(INDEX(Models!$BJ334:$BT334,,T334)*(1-R334)+INDEX(Models!$BJ334:$BT334,,T334+1)*R334-ERP_i)*Q334*Ramure*Pc/MaxiM</f>
        <v>6.2737720899852425E-4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27.353181656075769</v>
      </c>
      <c r="W334" s="400">
        <f t="shared" si="111"/>
        <v>26.929085620200777</v>
      </c>
      <c r="X334" s="157">
        <f t="shared" si="112"/>
        <v>46342</v>
      </c>
      <c r="Y334" s="383">
        <f t="shared" si="113"/>
        <v>25.580296745013481</v>
      </c>
      <c r="Z334" s="383">
        <f t="shared" si="114"/>
        <v>27.022053650198028</v>
      </c>
      <c r="AA334" s="384">
        <f t="shared" si="115"/>
        <v>28.817134541943584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6.2292136962222897E-2</v>
      </c>
      <c r="AD334" s="230">
        <f>(INDEX(Models!$BJ334:$BT334,,AH334)*(1-AF334)+INDEX(Models!$BJ334:$BT334,,AH334+1)*AF334-ERP_i)*AE334*Ramure*Pc/MaxiM</f>
        <v>1.3564018110119714E-2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'2025'!Wh/'2025'!Env_an*'2026'!Env_an</f>
        <v>13.786706057472214</v>
      </c>
      <c r="C335" s="829"/>
      <c r="D335" s="391">
        <f t="shared" ref="D335:D379" si="127">Wh/(1-Ppv)</f>
        <v>14.564031619220309</v>
      </c>
      <c r="E335" s="383">
        <f t="shared" si="125"/>
        <v>14.943572816377296</v>
      </c>
      <c r="F335" s="383">
        <f t="shared" ref="F335:F379" si="128">Wh_sa/(1-Pvg*MEDIAN((-Sdif+Wh/Env_an)/Csdif,0,1))</f>
        <v>14.946422380041062</v>
      </c>
      <c r="G335" s="110">
        <f t="shared" si="126"/>
        <v>0.5086706460779804</v>
      </c>
      <c r="H335" s="412" t="b">
        <f>Wh_hp&gt;='2025'!Maxi_hp</f>
        <v>0</v>
      </c>
      <c r="I335" s="388">
        <f>IF(H335,Wh_hp,'2025'!Maxi_hp)</f>
        <v>23.200751935750731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5.3372965815471685E-2</v>
      </c>
      <c r="M335" s="832"/>
      <c r="N335" s="832"/>
      <c r="O335" s="48">
        <f>IF(t&lt;Tnet,'2025'!Resal+('2025'!Salim-'2025'!Resal)*(1-EXP(('2025'!Tnet-t)/('2025'!Tau_j))),Resal+(Salim-Resal)*(1-EXP((Tnet-t)/(Tau_j))))*Salcycl</f>
        <v>2.5398290075652592E-2</v>
      </c>
      <c r="P335" s="169">
        <f>(INDEX(Models!$BJ335:$BT335,,T335)*(1-R335)+INDEX(Models!$BJ335:$BT335,,T335+1)*R335-ERP_i)*Q335*Ramure*Pc/MaxiM</f>
        <v>6.3885639858171249E-4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27.091253882226951</v>
      </c>
      <c r="W335" s="400">
        <f t="shared" ref="W335:W379" si="136">Wh*(A335&gt;Tmaj)</f>
        <v>13.786706057472214</v>
      </c>
      <c r="X335" s="157">
        <f t="shared" ref="X335:X379" si="137">t</f>
        <v>46343</v>
      </c>
      <c r="Y335" s="383">
        <f t="shared" ref="Y335:Y379" si="138">Wh_pvt_s*(1-Ppv)</f>
        <v>13.213145852663089</v>
      </c>
      <c r="Z335" s="383">
        <f t="shared" ref="Z335:Z379" si="139">Wh_sa_s*(1-Psa_s)</f>
        <v>13.958132797301264</v>
      </c>
      <c r="AA335" s="384">
        <f t="shared" ref="AA335:AA379" si="140">Wh_hp*(1-Pvg_s*MEDIAN((-Sdif+Wh/Env_an)/Csdif,0,1))</f>
        <v>14.885345411062419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6.2290298824511821E-2</v>
      </c>
      <c r="AD335" s="230">
        <f>(INDEX(Models!$BJ335:$BT335,,AH335)*(1-AF335)+INDEX(Models!$BJ335:$BT335,,AH335+1)*AF335-ERP_i)*AE335*Ramure*Pc/MaxiM</f>
        <v>1.3693118330407553E-2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'2025'!Wh/'2025'!Env_an*'2026'!Env_an</f>
        <v>15.782429779990284</v>
      </c>
      <c r="C336" s="829"/>
      <c r="D336" s="391">
        <f t="shared" si="127"/>
        <v>16.672598269971566</v>
      </c>
      <c r="E336" s="383">
        <f t="shared" si="125"/>
        <v>17.108041866693306</v>
      </c>
      <c r="F336" s="383">
        <f t="shared" si="128"/>
        <v>17.112619197645138</v>
      </c>
      <c r="G336" s="110">
        <f t="shared" si="126"/>
        <v>0.58794032454580225</v>
      </c>
      <c r="H336" s="412" t="b">
        <f>Wh_hp&gt;='2025'!Maxi_hp</f>
        <v>0</v>
      </c>
      <c r="I336" s="388">
        <f>IF(H336,Wh_hp,'2025'!Maxi_hp)</f>
        <v>27.250192771666942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5.3391107706621477E-2</v>
      </c>
      <c r="M336" s="832"/>
      <c r="N336" s="832"/>
      <c r="O336" s="48">
        <f>IF(t&lt;Tnet,'2025'!Resal+('2025'!Salim-'2025'!Resal)*(1-EXP(('2025'!Tnet-t)/('2025'!Tau_j))),Resal+(Salim-Resal)*(1-EXP((Tnet-t)/(Tau_j))))*Salcycl</f>
        <v>2.5452567869235842E-2</v>
      </c>
      <c r="P336" s="169">
        <f>(INDEX(Models!$BJ336:$BT336,,T336)*(1-R336)+INDEX(Models!$BJ336:$BT336,,T336+1)*R336-ERP_i)*Q336*Ramure*Pc/MaxiM</f>
        <v>6.4975898808689318E-4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26.833326886604951</v>
      </c>
      <c r="W336" s="400">
        <f t="shared" si="136"/>
        <v>15.782429779990284</v>
      </c>
      <c r="X336" s="157">
        <f t="shared" si="137"/>
        <v>46344</v>
      </c>
      <c r="Y336" s="383">
        <f t="shared" si="138"/>
        <v>15.103573218940175</v>
      </c>
      <c r="Z336" s="383">
        <f t="shared" si="139"/>
        <v>15.955452501981345</v>
      </c>
      <c r="AA336" s="384">
        <f t="shared" si="140"/>
        <v>17.015325035851358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6.2289291073597347E-2</v>
      </c>
      <c r="AD336" s="230">
        <f>(INDEX(Models!$BJ336:$BT336,,AH336)*(1-AF336)+INDEX(Models!$BJ336:$BT336,,AH336+1)*AF336-ERP_i)*AE336*Ramure*Pc/MaxiM</f>
        <v>1.3811052069238985E-2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'2025'!Wh/'2025'!Env_an*'2026'!Env_an</f>
        <v>7.2129940991236641</v>
      </c>
      <c r="C337" s="829"/>
      <c r="D337" s="391">
        <f t="shared" si="127"/>
        <v>7.6199710312078812</v>
      </c>
      <c r="E337" s="383">
        <f t="shared" si="125"/>
        <v>7.81942171173272</v>
      </c>
      <c r="F337" s="383">
        <f t="shared" si="128"/>
        <v>7.81942171173272</v>
      </c>
      <c r="G337" s="110">
        <f t="shared" si="126"/>
        <v>0.27119107333336789</v>
      </c>
      <c r="H337" s="412" t="b">
        <f>Wh_hp&gt;='2025'!Maxi_hp</f>
        <v>0</v>
      </c>
      <c r="I337" s="388">
        <f>IF(H337,Wh_hp,'2025'!Maxi_hp)</f>
        <v>28.562272949049884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5.3409249250086055E-2</v>
      </c>
      <c r="M337" s="832"/>
      <c r="N337" s="832"/>
      <c r="O337" s="48">
        <f>IF(t&lt;Tnet,'2025'!Resal+('2025'!Salim-'2025'!Resal)*(1-EXP(('2025'!Tnet-t)/('2025'!Tau_j))),Resal+(Salim-Resal)*(1-EXP((Tnet-t)/(Tau_j))))*Salcycl</f>
        <v>2.5507088359944936E-2</v>
      </c>
      <c r="P337" s="169">
        <f>(INDEX(Models!$BJ337:$BT337,,T337)*(1-R337)+INDEX(Models!$BJ337:$BT337,,T337+1)*R337-ERP_i)*Q337*Ramure*Pc/MaxiM</f>
        <v>6.6008219321487106E-4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26.579904867658321</v>
      </c>
      <c r="W337" s="400">
        <f t="shared" si="136"/>
        <v>7.2129940991236641</v>
      </c>
      <c r="X337" s="157">
        <f t="shared" si="137"/>
        <v>46345</v>
      </c>
      <c r="Y337" s="383">
        <f t="shared" si="138"/>
        <v>6.9407408885026882</v>
      </c>
      <c r="Z337" s="383">
        <f t="shared" si="139"/>
        <v>7.3323565469069409</v>
      </c>
      <c r="AA337" s="384">
        <f t="shared" si="140"/>
        <v>7.81942171173272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6.2289154208802676E-2</v>
      </c>
      <c r="AD337" s="230">
        <f>(INDEX(Models!$BJ337:$BT337,,AH337)*(1-AF337)+INDEX(Models!$BJ337:$BT337,,AH337+1)*AF337-ERP_i)*AE337*Ramure*Pc/MaxiM</f>
        <v>1.3917739230817549E-2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'2025'!Wh/'2025'!Env_an*'2026'!Env_an</f>
        <v>15.873131148631959</v>
      </c>
      <c r="C338" s="829"/>
      <c r="D338" s="391">
        <f t="shared" si="127"/>
        <v>16.769058166714558</v>
      </c>
      <c r="E338" s="383">
        <f t="shared" si="125"/>
        <v>17.208951127002202</v>
      </c>
      <c r="F338" s="383">
        <f t="shared" si="128"/>
        <v>17.213934048116634</v>
      </c>
      <c r="G338" s="110">
        <f t="shared" si="126"/>
        <v>0.60258993521096915</v>
      </c>
      <c r="H338" s="412" t="b">
        <f>Wh_hp&gt;='2025'!Maxi_hp</f>
        <v>0</v>
      </c>
      <c r="I338" s="388">
        <f>IF(H338,Wh_hp,'2025'!Maxi_hp)</f>
        <v>28.66422438766487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5.3427390445872192E-2</v>
      </c>
      <c r="M338" s="832"/>
      <c r="N338" s="832"/>
      <c r="O338" s="48">
        <f>IF(t&lt;Tnet,'2025'!Resal+('2025'!Salim-'2025'!Resal)*(1-EXP(('2025'!Tnet-t)/('2025'!Tau_j))),Resal+(Salim-Resal)*(1-EXP((Tnet-t)/(Tau_j))))*Salcycl</f>
        <v>2.5561869345855439E-2</v>
      </c>
      <c r="P338" s="169">
        <f>(INDEX(Models!$BJ338:$BT338,,T338)*(1-R338)+INDEX(Models!$BJ338:$BT338,,T338+1)*R338-ERP_i)*Q338*Ramure*Pc/MaxiM</f>
        <v>6.6914305502574825E-4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26.331509837114243</v>
      </c>
      <c r="W338" s="400">
        <f t="shared" si="136"/>
        <v>15.873131148631959</v>
      </c>
      <c r="X338" s="157">
        <f t="shared" si="137"/>
        <v>46346</v>
      </c>
      <c r="Y338" s="383">
        <f t="shared" si="138"/>
        <v>15.186657331370009</v>
      </c>
      <c r="Z338" s="383">
        <f t="shared" si="139"/>
        <v>16.043837713119029</v>
      </c>
      <c r="AA338" s="384">
        <f t="shared" si="140"/>
        <v>17.109592980710804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6.2289925236286812E-2</v>
      </c>
      <c r="AD338" s="230">
        <f>(INDEX(Models!$BJ338:$BT338,,AH338)*(1-AF338)+INDEX(Models!$BJ338:$BT338,,AH338+1)*AF338-ERP_i)*AE338*Ramure*Pc/MaxiM</f>
        <v>1.4011680900655988E-2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'2025'!Wh/'2025'!Env_an*'2026'!Env_an</f>
        <v>3.1883852849003955</v>
      </c>
      <c r="C339" s="829"/>
      <c r="D339" s="391">
        <f t="shared" si="127"/>
        <v>3.3684118456057521</v>
      </c>
      <c r="E339" s="383">
        <f t="shared" si="125"/>
        <v>3.4569687629100656</v>
      </c>
      <c r="F339" s="383">
        <f t="shared" si="128"/>
        <v>3.4569687629100656</v>
      </c>
      <c r="G339" s="110">
        <f t="shared" si="126"/>
        <v>0.12213079328345777</v>
      </c>
      <c r="H339" s="412" t="b">
        <f>Wh_hp&gt;='2025'!Maxi_hp</f>
        <v>0</v>
      </c>
      <c r="I339" s="388">
        <f>IF(H339,Wh_hp,'2025'!Maxi_hp)</f>
        <v>27.981917732937102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5.3445531293986326E-2</v>
      </c>
      <c r="M339" s="832"/>
      <c r="N339" s="832"/>
      <c r="O339" s="48">
        <f>IF(t&lt;Tnet,'2025'!Resal+('2025'!Salim-'2025'!Resal)*(1-EXP(('2025'!Tnet-t)/('2025'!Tau_j))),Resal+(Salim-Resal)*(1-EXP((Tnet-t)/(Tau_j))))*Salcycl</f>
        <v>2.5616927249804355E-2</v>
      </c>
      <c r="P339" s="169">
        <f>(INDEX(Models!$BJ339:$BT339,,T339)*(1-R339)+INDEX(Models!$BJ339:$BT339,,T339+1)*R339-ERP_i)*Q339*Ramure*Pc/MaxiM</f>
        <v>6.7657989455711129E-4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26.088654645233476</v>
      </c>
      <c r="W339" s="400">
        <f t="shared" si="136"/>
        <v>3.1883852849003955</v>
      </c>
      <c r="X339" s="157">
        <f t="shared" si="137"/>
        <v>46347</v>
      </c>
      <c r="Y339" s="383">
        <f t="shared" si="138"/>
        <v>3.0683779593886298</v>
      </c>
      <c r="Z339" s="383">
        <f t="shared" si="139"/>
        <v>3.2416285177790694</v>
      </c>
      <c r="AA339" s="384">
        <f t="shared" si="140"/>
        <v>3.4569687629100656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6.2291637529788807E-2</v>
      </c>
      <c r="AD339" s="230">
        <f>(INDEX(Models!$BJ339:$BT339,,AH339)*(1-AF339)+INDEX(Models!$BJ339:$BT339,,AH339+1)*AF339-ERP_i)*AE339*Ramure*Pc/MaxiM</f>
        <v>1.409740401427827E-2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'2025'!Wh/'2025'!Env_an*'2026'!Env_an</f>
        <v>7.8882181130150153</v>
      </c>
      <c r="C340" s="829"/>
      <c r="D340" s="391">
        <f t="shared" si="127"/>
        <v>8.3337721732978078</v>
      </c>
      <c r="E340" s="383">
        <f t="shared" si="125"/>
        <v>8.5533563061382232</v>
      </c>
      <c r="F340" s="383">
        <f t="shared" si="128"/>
        <v>8.5533990954629839</v>
      </c>
      <c r="G340" s="110">
        <f t="shared" si="126"/>
        <v>0.30492506393641722</v>
      </c>
      <c r="H340" s="412" t="b">
        <f>Wh_hp&gt;='2025'!Maxi_hp</f>
        <v>0</v>
      </c>
      <c r="I340" s="388">
        <f>IF(H340,Wh_hp,'2025'!Maxi_hp)</f>
        <v>29.203443370360098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5.3463671794435341E-2</v>
      </c>
      <c r="M340" s="832"/>
      <c r="N340" s="832"/>
      <c r="O340" s="48">
        <f>IF(t&lt;Tnet,'2025'!Resal+('2025'!Salim-'2025'!Resal)*(1-EXP(('2025'!Tnet-t)/('2025'!Tau_j))),Resal+(Salim-Resal)*(1-EXP((Tnet-t)/(Tau_j))))*Salcycl</f>
        <v>2.5672277054895162E-2</v>
      </c>
      <c r="P340" s="169">
        <f>(INDEX(Models!$BJ340:$BT340,,T340)*(1-R340)+INDEX(Models!$BJ340:$BT340,,T340+1)*R340-ERP_i)*Q340*Ramure*Pc/MaxiM</f>
        <v>6.8238391153179758E-4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25.851842590677879</v>
      </c>
      <c r="W340" s="400">
        <f t="shared" si="136"/>
        <v>7.8882181130150153</v>
      </c>
      <c r="X340" s="157">
        <f t="shared" si="137"/>
        <v>46348</v>
      </c>
      <c r="Y340" s="383">
        <f t="shared" si="138"/>
        <v>7.5909728311017464</v>
      </c>
      <c r="Z340" s="383">
        <f t="shared" si="139"/>
        <v>8.0197374415545646</v>
      </c>
      <c r="AA340" s="384">
        <f t="shared" si="140"/>
        <v>8.5525102585077057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6.2294320713986905E-2</v>
      </c>
      <c r="AD340" s="230">
        <f>(INDEX(Models!$BJ340:$BT340,,AH340)*(1-AF340)+INDEX(Models!$BJ340:$BT340,,AH340+1)*AF340-ERP_i)*AE340*Ramure*Pc/MaxiM</f>
        <v>1.4174751334504148E-2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'2025'!Wh/'2025'!Env_an*'2026'!Env_an</f>
        <v>13.229766479222889</v>
      </c>
      <c r="C341" s="829"/>
      <c r="D341" s="391">
        <f t="shared" si="127"/>
        <v>13.977297685573104</v>
      </c>
      <c r="E341" s="383">
        <f t="shared" si="125"/>
        <v>14.34640091636847</v>
      </c>
      <c r="F341" s="383">
        <f t="shared" si="128"/>
        <v>14.34944576110637</v>
      </c>
      <c r="G341" s="110">
        <f t="shared" si="126"/>
        <v>0.51610756085878584</v>
      </c>
      <c r="H341" s="412" t="b">
        <f>Wh_hp&gt;='2025'!Maxi_hp</f>
        <v>0</v>
      </c>
      <c r="I341" s="388">
        <f>IF(H341,Wh_hp,'2025'!Maxi_hp)</f>
        <v>29.107219927904186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5.3481811947225788E-2</v>
      </c>
      <c r="M341" s="832"/>
      <c r="N341" s="832"/>
      <c r="O341" s="48">
        <f>IF(t&lt;Tnet,'2025'!Resal+('2025'!Salim-'2025'!Resal)*(1-EXP(('2025'!Tnet-t)/('2025'!Tau_j))),Resal+(Salim-Resal)*(1-EXP((Tnet-t)/(Tau_j))))*Salcycl</f>
        <v>2.5727932249142622E-2</v>
      </c>
      <c r="P341" s="169">
        <f>(INDEX(Models!$BJ341:$BT341,,T341)*(1-R341)+INDEX(Models!$BJ341:$BT341,,T341+1)*R341-ERP_i)*Q341*Ramure*Pc/MaxiM</f>
        <v>6.8654033832482619E-4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25.621577049094551</v>
      </c>
      <c r="W341" s="400">
        <f t="shared" si="136"/>
        <v>13.229766479222889</v>
      </c>
      <c r="X341" s="157">
        <f t="shared" si="137"/>
        <v>46349</v>
      </c>
      <c r="Y341" s="383">
        <f t="shared" si="138"/>
        <v>12.679812149157504</v>
      </c>
      <c r="Z341" s="383">
        <f t="shared" si="139"/>
        <v>13.396268882316001</v>
      </c>
      <c r="AA341" s="384">
        <f t="shared" si="140"/>
        <v>14.286275267064138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6.2298000571217857E-2</v>
      </c>
      <c r="AD341" s="230">
        <f>(INDEX(Models!$BJ341:$BT341,,AH341)*(1-AF341)+INDEX(Models!$BJ341:$BT341,,AH341+1)*AF341-ERP_i)*AE341*Ramure*Pc/MaxiM</f>
        <v>1.4243449530301648E-2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'2025'!Wh/'2025'!Env_an*'2026'!Env_an</f>
        <v>13.884318691648971</v>
      </c>
      <c r="C342" s="829"/>
      <c r="D342" s="391">
        <f t="shared" si="127"/>
        <v>14.669115672370653</v>
      </c>
      <c r="E342" s="383">
        <f t="shared" si="125"/>
        <v>15.057353029106483</v>
      </c>
      <c r="F342" s="383">
        <f t="shared" si="128"/>
        <v>15.061009818572012</v>
      </c>
      <c r="G342" s="110">
        <f t="shared" si="126"/>
        <v>0.54641798840902511</v>
      </c>
      <c r="H342" s="412" t="b">
        <f>Wh_hp&gt;='2025'!Maxi_hp</f>
        <v>0</v>
      </c>
      <c r="I342" s="388">
        <f>IF(H342,Wh_hp,'2025'!Maxi_hp)</f>
        <v>27.112988230859333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5.3499951752364328E-2</v>
      </c>
      <c r="M342" s="832"/>
      <c r="N342" s="832"/>
      <c r="O342" s="48">
        <f>IF(t&lt;Tnet,'2025'!Resal+('2025'!Salim-'2025'!Resal)*(1-EXP(('2025'!Tnet-t)/('2025'!Tau_j))),Resal+(Salim-Resal)*(1-EXP((Tnet-t)/(Tau_j))))*Salcycl</f>
        <v>2.5783904779634971E-2</v>
      </c>
      <c r="P342" s="169">
        <f>(INDEX(Models!$BJ342:$BT342,,T342)*(1-R342)+INDEX(Models!$BJ342:$BT342,,T342+1)*R342-ERP_i)*Q342*Ramure*Pc/MaxiM</f>
        <v>6.8903562568066706E-4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25.398361294586682</v>
      </c>
      <c r="W342" s="400">
        <f t="shared" si="136"/>
        <v>13.884318691648971</v>
      </c>
      <c r="X342" s="157">
        <f t="shared" si="137"/>
        <v>46350</v>
      </c>
      <c r="Y342" s="383">
        <f t="shared" si="138"/>
        <v>13.299734647310293</v>
      </c>
      <c r="Z342" s="383">
        <f t="shared" si="139"/>
        <v>14.051488609993863</v>
      </c>
      <c r="AA342" s="384">
        <f t="shared" si="140"/>
        <v>14.985100836475638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6.2302698972117987E-2</v>
      </c>
      <c r="AD342" s="230">
        <f>(INDEX(Models!$BJ342:$BT342,,AH342)*(1-AF342)+INDEX(Models!$BJ342:$BT342,,AH342+1)*AF342-ERP_i)*AE342*Ramure*Pc/MaxiM</f>
        <v>1.4303255209688089E-2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'2025'!Wh/'2025'!Env_an*'2026'!Env_an</f>
        <v>4.8114839102873637</v>
      </c>
      <c r="C343" s="829"/>
      <c r="D343" s="391">
        <f t="shared" si="127"/>
        <v>5.0835455655330275</v>
      </c>
      <c r="E343" s="383">
        <f t="shared" si="125"/>
        <v>5.2183898285590926</v>
      </c>
      <c r="F343" s="383">
        <f t="shared" si="128"/>
        <v>5.2183898285590926</v>
      </c>
      <c r="G343" s="110">
        <f t="shared" si="126"/>
        <v>0.19093127257488829</v>
      </c>
      <c r="H343" s="412" t="b">
        <f>Wh_hp&gt;='2025'!Maxi_hp</f>
        <v>0</v>
      </c>
      <c r="I343" s="388">
        <f>IF(H343,Wh_hp,'2025'!Maxi_hp)</f>
        <v>25.709723482797013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5.3518091209857621E-2</v>
      </c>
      <c r="M343" s="832"/>
      <c r="N343" s="832"/>
      <c r="O343" s="48">
        <f>IF(t&lt;Tnet,'2025'!Resal+('2025'!Salim-'2025'!Resal)*(1-EXP(('2025'!Tnet-t)/('2025'!Tau_j))),Resal+(Salim-Resal)*(1-EXP((Tnet-t)/(Tau_j))))*Salcycl</f>
        <v>2.5840205016515346E-2</v>
      </c>
      <c r="P343" s="169">
        <f>(INDEX(Models!$BJ343:$BT343,,T343)*(1-R343)+INDEX(Models!$BJ343:$BT343,,T343+1)*R343-ERP_i)*Q343*Ramure*Pc/MaxiM</f>
        <v>6.8985840744632441E-4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25.182698480018097</v>
      </c>
      <c r="W343" s="400">
        <f t="shared" si="136"/>
        <v>4.8114839102873637</v>
      </c>
      <c r="X343" s="157">
        <f t="shared" si="137"/>
        <v>46351</v>
      </c>
      <c r="Y343" s="383">
        <f t="shared" si="138"/>
        <v>4.631363259569671</v>
      </c>
      <c r="Z343" s="383">
        <f t="shared" si="139"/>
        <v>4.8932401312242666</v>
      </c>
      <c r="AA343" s="384">
        <f t="shared" si="140"/>
        <v>5.2183898285590926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6.2308433830556995E-2</v>
      </c>
      <c r="AD343" s="230">
        <f>(INDEX(Models!$BJ343:$BT343,,AH343)*(1-AF343)+INDEX(Models!$BJ343:$BT343,,AH343+1)*AF343-ERP_i)*AE343*Ramure*Pc/MaxiM</f>
        <v>1.435397058635973E-2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'2025'!Wh/'2025'!Env_an*'2026'!Env_an</f>
        <v>11.056619681132986</v>
      </c>
      <c r="C344" s="829"/>
      <c r="D344" s="391">
        <f t="shared" si="127"/>
        <v>11.682031616347951</v>
      </c>
      <c r="E344" s="383">
        <f t="shared" si="125"/>
        <v>11.992602135752481</v>
      </c>
      <c r="F344" s="383">
        <f t="shared" si="128"/>
        <v>11.994286884156343</v>
      </c>
      <c r="G344" s="110">
        <f t="shared" si="126"/>
        <v>0.44246299556978758</v>
      </c>
      <c r="H344" s="412" t="b">
        <f>Wh_hp&gt;='2025'!Maxi_hp</f>
        <v>0</v>
      </c>
      <c r="I344" s="388">
        <f>IF(H344,Wh_hp,'2025'!Maxi_hp)</f>
        <v>26.915508219914461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5.353623031971233E-2</v>
      </c>
      <c r="M344" s="832"/>
      <c r="N344" s="832"/>
      <c r="O344" s="48">
        <f>IF(t&lt;Tnet,'2025'!Resal+('2025'!Salim-'2025'!Resal)*(1-EXP(('2025'!Tnet-t)/('2025'!Tau_j))),Resal+(Salim-Resal)*(1-EXP((Tnet-t)/(Tau_j))))*Salcycl</f>
        <v>2.5896841727005418E-2</v>
      </c>
      <c r="P344" s="169">
        <f>(INDEX(Models!$BJ344:$BT344,,T344)*(1-R344)+INDEX(Models!$BJ344:$BT344,,T344+1)*R344-ERP_i)*Q344*Ramure*Pc/MaxiM</f>
        <v>6.8899620152538036E-4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24.975091729831153</v>
      </c>
      <c r="W344" s="400">
        <f t="shared" si="136"/>
        <v>11.056619681132986</v>
      </c>
      <c r="X344" s="157">
        <f t="shared" si="137"/>
        <v>46352</v>
      </c>
      <c r="Y344" s="383">
        <f t="shared" si="138"/>
        <v>10.613506419536327</v>
      </c>
      <c r="Z344" s="383">
        <f t="shared" si="139"/>
        <v>11.213853883832799</v>
      </c>
      <c r="AA344" s="384">
        <f t="shared" si="140"/>
        <v>11.959087010953555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6.2315219083043924E-2</v>
      </c>
      <c r="AD344" s="230">
        <f>(INDEX(Models!$BJ344:$BT344,,AH344)*(1-AF344)+INDEX(Models!$BJ344:$BT344,,AH344+1)*AF344-ERP_i)*AE344*Ramure*Pc/MaxiM</f>
        <v>1.4395371365411322E-2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'2025'!Wh/'2025'!Env_an*'2026'!Env_an</f>
        <v>14.555507994925772</v>
      </c>
      <c r="C345" s="829"/>
      <c r="D345" s="391">
        <f t="shared" si="127"/>
        <v>15.379127463250832</v>
      </c>
      <c r="E345" s="383">
        <f t="shared" si="125"/>
        <v>15.788910024543078</v>
      </c>
      <c r="F345" s="383">
        <f t="shared" si="128"/>
        <v>15.793363780570999</v>
      </c>
      <c r="G345" s="110">
        <f t="shared" si="126"/>
        <v>0.58730659175882693</v>
      </c>
      <c r="H345" s="412" t="b">
        <f>Wh_hp&gt;='2025'!Maxi_hp</f>
        <v>0</v>
      </c>
      <c r="I345" s="388">
        <f>IF(H345,Wh_hp,'2025'!Maxi_hp)</f>
        <v>23.300191289146664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5.3554369081935116E-2</v>
      </c>
      <c r="M345" s="832"/>
      <c r="N345" s="832"/>
      <c r="O345" s="48">
        <f>IF(t&lt;Tnet,'2025'!Resal+('2025'!Salim-'2025'!Resal)*(1-EXP(('2025'!Tnet-t)/('2025'!Tau_j))),Resal+(Salim-Resal)*(1-EXP((Tnet-t)/(Tau_j))))*Salcycl</f>
        <v>2.5953822059613975E-2</v>
      </c>
      <c r="P345" s="169">
        <f>(INDEX(Models!$BJ345:$BT345,,T345)*(1-R345)+INDEX(Models!$BJ345:$BT345,,T345+1)*R345-ERP_i)*Q345*Ramure*Pc/MaxiM</f>
        <v>6.8650708802084771E-4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24.773463736645645</v>
      </c>
      <c r="W345" s="400">
        <f t="shared" si="136"/>
        <v>14.555507994925772</v>
      </c>
      <c r="X345" s="157">
        <f t="shared" si="137"/>
        <v>46353</v>
      </c>
      <c r="Y345" s="383">
        <f t="shared" si="138"/>
        <v>13.932909793735298</v>
      </c>
      <c r="Z345" s="383">
        <f t="shared" si="139"/>
        <v>14.721299711870602</v>
      </c>
      <c r="AA345" s="384">
        <f t="shared" si="140"/>
        <v>15.699756661972648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6.2323064692590281E-2</v>
      </c>
      <c r="AD345" s="230">
        <f>(INDEX(Models!$BJ345:$BT345,,AH345)*(1-AF345)+INDEX(Models!$BJ345:$BT345,,AH345+1)*AF345-ERP_i)*AE345*Ramure*Pc/MaxiM</f>
        <v>1.4428709162361051E-2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'2025'!Wh/'2025'!Env_an*'2026'!Env_an</f>
        <v>10.560393359356535</v>
      </c>
      <c r="C346" s="829"/>
      <c r="D346" s="391">
        <f t="shared" si="127"/>
        <v>11.158164194303398</v>
      </c>
      <c r="E346" s="383">
        <f t="shared" si="125"/>
        <v>11.456151897354605</v>
      </c>
      <c r="F346" s="383">
        <f t="shared" si="128"/>
        <v>11.457603948667121</v>
      </c>
      <c r="G346" s="110">
        <f t="shared" si="126"/>
        <v>0.42946808319699586</v>
      </c>
      <c r="H346" s="412" t="b">
        <f>Wh_hp&gt;='2025'!Maxi_hp</f>
        <v>0</v>
      </c>
      <c r="I346" s="388">
        <f>IF(H346,Wh_hp,'2025'!Maxi_hp)</f>
        <v>16.384266753107251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5.3572507496532751E-2</v>
      </c>
      <c r="M346" s="832"/>
      <c r="N346" s="832"/>
      <c r="O346" s="48">
        <f>IF(t&lt;Tnet,'2025'!Resal+('2025'!Salim-'2025'!Resal)*(1-EXP(('2025'!Tnet-t)/('2025'!Tau_j))),Resal+(Salim-Resal)*(1-EXP((Tnet-t)/(Tau_j))))*Salcycl</f>
        <v>2.6011151538591064E-2</v>
      </c>
      <c r="P346" s="169">
        <f>(INDEX(Models!$BJ346:$BT346,,T346)*(1-R346)+INDEX(Models!$BJ346:$BT346,,T346+1)*R346-ERP_i)*Q346*Ramure*Pc/MaxiM</f>
        <v>6.8394461661751759E-4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24.575768602626724</v>
      </c>
      <c r="W346" s="400">
        <f t="shared" si="136"/>
        <v>10.560393359356535</v>
      </c>
      <c r="X346" s="157">
        <f t="shared" si="137"/>
        <v>46354</v>
      </c>
      <c r="Y346" s="383">
        <f t="shared" si="138"/>
        <v>10.140647282865649</v>
      </c>
      <c r="Z346" s="383">
        <f t="shared" si="139"/>
        <v>10.714658400340687</v>
      </c>
      <c r="AA346" s="384">
        <f t="shared" si="140"/>
        <v>11.426920971845675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6.2331976676823275E-2</v>
      </c>
      <c r="AD346" s="230">
        <f>(INDEX(Models!$BJ346:$BT346,,AH346)*(1-AF346)+INDEX(Models!$BJ346:$BT346,,AH346+1)*AF346-ERP_i)*AE346*Ramure*Pc/MaxiM</f>
        <v>1.445228322026448E-2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'2025'!Wh/'2025'!Env_an*'2026'!Env_an</f>
        <v>15.380906101552288</v>
      </c>
      <c r="C347" s="829"/>
      <c r="D347" s="391">
        <f t="shared" si="127"/>
        <v>16.251853417816648</v>
      </c>
      <c r="E347" s="383">
        <f t="shared" si="125"/>
        <v>16.68686041305045</v>
      </c>
      <c r="F347" s="383">
        <f t="shared" si="128"/>
        <v>16.692242685766246</v>
      </c>
      <c r="G347" s="110">
        <f t="shared" si="126"/>
        <v>0.63058808145517087</v>
      </c>
      <c r="H347" s="412" t="b">
        <f>Wh_hp&gt;='2025'!Maxi_hp</f>
        <v>1</v>
      </c>
      <c r="I347" s="388">
        <f>IF(H347,Wh_hp,'2025'!Maxi_hp)</f>
        <v>16.692242685766246</v>
      </c>
      <c r="J347" s="85">
        <f>IF(H347,An,'2025'!An_max)</f>
        <v>2026</v>
      </c>
      <c r="K347" s="197">
        <f t="shared" si="129"/>
        <v>46355</v>
      </c>
      <c r="L347" s="147">
        <f>IF(t&lt;Tvie,1-EXP((T0-t)*PertePVj)+'2025'!Pspv,1-EXP((T0-t)*PertePVj)+Pspv)</f>
        <v>5.3590645563511785E-2</v>
      </c>
      <c r="M347" s="832"/>
      <c r="N347" s="832"/>
      <c r="O347" s="48">
        <f>IF(t&lt;Tnet,'2025'!Resal+('2025'!Salim-'2025'!Resal)*(1-EXP(('2025'!Tnet-t)/('2025'!Tau_j))),Resal+(Salim-Resal)*(1-EXP((Tnet-t)/(Tau_j))))*Salcycl</f>
        <v>2.606883406860595E-2</v>
      </c>
      <c r="P347" s="169">
        <f>(INDEX(Models!$BJ347:$BT347,,T347)*(1-R347)+INDEX(Models!$BJ347:$BT347,,T347+1)*R347-ERP_i)*Q347*Ramure*Pc/MaxiM</f>
        <v>6.8228160517497434E-4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24.382588416342692</v>
      </c>
      <c r="W347" s="400">
        <f t="shared" si="136"/>
        <v>15.380906101552288</v>
      </c>
      <c r="X347" s="157">
        <f t="shared" si="137"/>
        <v>46355</v>
      </c>
      <c r="Y347" s="383">
        <f t="shared" si="138"/>
        <v>14.711515282579375</v>
      </c>
      <c r="Z347" s="383">
        <f t="shared" si="139"/>
        <v>15.544558191036602</v>
      </c>
      <c r="AA347" s="384">
        <f t="shared" si="140"/>
        <v>16.578067355935076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6.2341957159950293E-2</v>
      </c>
      <c r="AD347" s="230">
        <f>(INDEX(Models!$BJ347:$BT347,,AH347)*(1-AF347)+INDEX(Models!$BJ347:$BT347,,AH347+1)*AF347-ERP_i)*AE347*Ramure*Pc/MaxiM</f>
        <v>1.4473389109400787E-2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'2025'!Wh/'2025'!Env_an*'2026'!Env_an</f>
        <v>4.0195099735307149</v>
      </c>
      <c r="C348" s="829"/>
      <c r="D348" s="391">
        <f t="shared" si="127"/>
        <v>4.2471970391628826</v>
      </c>
      <c r="E348" s="383">
        <f t="shared" si="125"/>
        <v>4.3611399851078367</v>
      </c>
      <c r="F348" s="383">
        <f t="shared" si="128"/>
        <v>4.3611399851078367</v>
      </c>
      <c r="G348" s="110">
        <f t="shared" si="126"/>
        <v>0.16601978643511733</v>
      </c>
      <c r="H348" s="412" t="b">
        <f>Wh_hp&gt;='2025'!Maxi_hp</f>
        <v>0</v>
      </c>
      <c r="I348" s="388">
        <f>IF(H348,Wh_hp,'2025'!Maxi_hp)</f>
        <v>25.310170680267795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5.360878328287888E-2</v>
      </c>
      <c r="M348" s="832"/>
      <c r="N348" s="832"/>
      <c r="O348" s="48">
        <f>IF(t&lt;Tnet,'2025'!Resal+('2025'!Salim-'2025'!Resal)*(1-EXP(('2025'!Tnet-t)/('2025'!Tau_j))),Resal+(Salim-Resal)*(1-EXP((Tnet-t)/(Tau_j))))*Salcycl</f>
        <v>2.6126871949545202E-2</v>
      </c>
      <c r="P348" s="169">
        <f>(INDEX(Models!$BJ348:$BT348,,T348)*(1-R348)+INDEX(Models!$BJ348:$BT348,,T348+1)*R348-ERP_i)*Q348*Ramure*Pc/MaxiM</f>
        <v>6.8150494450103705E-4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24.194529723594648</v>
      </c>
      <c r="W348" s="400">
        <f t="shared" si="136"/>
        <v>4.0195099735307149</v>
      </c>
      <c r="X348" s="157">
        <f t="shared" si="137"/>
        <v>46356</v>
      </c>
      <c r="Y348" s="383">
        <f t="shared" si="138"/>
        <v>3.8699922420255488</v>
      </c>
      <c r="Z348" s="383">
        <f t="shared" si="139"/>
        <v>4.0892098042181004</v>
      </c>
      <c r="AA348" s="384">
        <f t="shared" si="140"/>
        <v>4.3611399851078367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6.2353004447990037E-2</v>
      </c>
      <c r="AD348" s="230">
        <f>(INDEX(Models!$BJ348:$BT348,,AH348)*(1-AF348)+INDEX(Models!$BJ348:$BT348,,AH348+1)*AF348-ERP_i)*AE348*Ramure*Pc/MaxiM</f>
        <v>1.4491717921311471E-2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'2025'!Wh/'2025'!Env_an*'2026'!Env_an</f>
        <v>3.8049097268431979</v>
      </c>
      <c r="C349" s="829"/>
      <c r="D349" s="391">
        <f t="shared" si="127"/>
        <v>4.0205177111284618</v>
      </c>
      <c r="E349" s="383">
        <f t="shared" si="125"/>
        <v>4.1286269044279447</v>
      </c>
      <c r="F349" s="383">
        <f t="shared" si="128"/>
        <v>4.1286269044279447</v>
      </c>
      <c r="G349" s="110">
        <f t="shared" si="126"/>
        <v>0.1583493587881136</v>
      </c>
      <c r="H349" s="412" t="b">
        <f>Wh_hp&gt;='2025'!Maxi_hp</f>
        <v>0</v>
      </c>
      <c r="I349" s="388">
        <f>IF(H349,Wh_hp,'2025'!Maxi_hp)</f>
        <v>26.146261330818092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5.3626920654640697E-2</v>
      </c>
      <c r="M349" s="832"/>
      <c r="N349" s="832"/>
      <c r="O349" s="48">
        <f>IF(t&lt;Tnet,'2025'!Resal+('2025'!Salim-'2025'!Resal)*(1-EXP(('2025'!Tnet-t)/('2025'!Tau_j))),Resal+(Salim-Resal)*(1-EXP((Tnet-t)/(Tau_j))))*Salcycl</f>
        <v>2.6185265901245706E-2</v>
      </c>
      <c r="P349" s="169">
        <f>(INDEX(Models!$BJ349:$BT349,,T349)*(1-R349)+INDEX(Models!$BJ349:$BT349,,T349+1)*R349-ERP_i)*Q349*Ramure*Pc/MaxiM</f>
        <v>6.8160079845201119E-4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24.012198890070671</v>
      </c>
      <c r="W349" s="400">
        <f t="shared" si="136"/>
        <v>3.8049097268431979</v>
      </c>
      <c r="X349" s="157">
        <f t="shared" si="137"/>
        <v>46357</v>
      </c>
      <c r="Y349" s="383">
        <f t="shared" si="138"/>
        <v>3.6635470550712541</v>
      </c>
      <c r="Z349" s="383">
        <f t="shared" si="139"/>
        <v>3.8711446204761688</v>
      </c>
      <c r="AA349" s="384">
        <f t="shared" si="140"/>
        <v>4.1286269044279447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6.2365113126503773E-2</v>
      </c>
      <c r="AD349" s="230">
        <f>(INDEX(Models!$BJ349:$BT349,,AH349)*(1-AF349)+INDEX(Models!$BJ349:$BT349,,AH349+1)*AF349-ERP_i)*AE349*Ramure*Pc/MaxiM</f>
        <v>1.4506927569110178E-2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'2025'!Wh/'2025'!Env_an*'2026'!Env_an</f>
        <v>5.7165667017787776</v>
      </c>
      <c r="C350" s="829"/>
      <c r="D350" s="391">
        <f t="shared" si="127"/>
        <v>6.0406158895914084</v>
      </c>
      <c r="E350" s="383">
        <f t="shared" si="125"/>
        <v>6.2034184983198974</v>
      </c>
      <c r="F350" s="383">
        <f t="shared" si="128"/>
        <v>6.2034184983198974</v>
      </c>
      <c r="G350" s="110">
        <f t="shared" si="126"/>
        <v>0.23966338303592749</v>
      </c>
      <c r="H350" s="412" t="b">
        <f>Wh_hp&gt;='2025'!Maxi_hp</f>
        <v>0</v>
      </c>
      <c r="I350" s="388">
        <f>IF(H350,Wh_hp,'2025'!Maxi_hp)</f>
        <v>9.9498204075695913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5.3645057678804009E-2</v>
      </c>
      <c r="M350" s="832"/>
      <c r="N350" s="832"/>
      <c r="O350" s="48">
        <f>IF(t&lt;Tnet,'2025'!Resal+('2025'!Salim-'2025'!Resal)*(1-EXP(('2025'!Tnet-t)/('2025'!Tau_j))),Resal+(Salim-Resal)*(1-EXP((Tnet-t)/(Tau_j))))*Salcycl</f>
        <v>2.6244015097898261E-2</v>
      </c>
      <c r="P350" s="169">
        <f>(INDEX(Models!$BJ350:$BT350,,T350)*(1-R350)+INDEX(Models!$BJ350:$BT350,,T350+1)*R350-ERP_i)*Q350*Ramure*Pc/MaxiM</f>
        <v>6.8255442612031648E-4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23.836202099416628</v>
      </c>
      <c r="W350" s="400">
        <f t="shared" si="136"/>
        <v>5.7165667017787776</v>
      </c>
      <c r="X350" s="157">
        <f t="shared" si="137"/>
        <v>46358</v>
      </c>
      <c r="Y350" s="383">
        <f t="shared" si="138"/>
        <v>5.5044356284254139</v>
      </c>
      <c r="Z350" s="383">
        <f t="shared" si="139"/>
        <v>5.8164599583791157</v>
      </c>
      <c r="AA350" s="384">
        <f t="shared" si="140"/>
        <v>6.2034184983198974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6.2378274179887103E-2</v>
      </c>
      <c r="AD350" s="230">
        <f>(INDEX(Models!$BJ350:$BT350,,AH350)*(1-AF350)+INDEX(Models!$BJ350:$BT350,,AH350+1)*AF350-ERP_i)*AE350*Ramure*Pc/MaxiM</f>
        <v>1.4518643619470192E-2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'2025'!Wh/'2025'!Env_an*'2026'!Env_an</f>
        <v>9.5811241396642846</v>
      </c>
      <c r="C351" s="829"/>
      <c r="D351" s="391">
        <f t="shared" si="127"/>
        <v>10.12443358698051</v>
      </c>
      <c r="E351" s="383">
        <f t="shared" si="125"/>
        <v>10.397931600632008</v>
      </c>
      <c r="F351" s="383">
        <f t="shared" si="128"/>
        <v>10.398997335500425</v>
      </c>
      <c r="G351" s="110">
        <f t="shared" si="126"/>
        <v>0.40459246354580963</v>
      </c>
      <c r="H351" s="412" t="b">
        <f>Wh_hp&gt;='2025'!Maxi_hp</f>
        <v>0</v>
      </c>
      <c r="I351" s="388">
        <f>IF(H351,Wh_hp,'2025'!Maxi_hp)</f>
        <v>16.647333469246274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5.3663194355375365E-2</v>
      </c>
      <c r="M351" s="832"/>
      <c r="N351" s="832"/>
      <c r="O351" s="48">
        <f>IF(t&lt;Tnet,'2025'!Resal+('2025'!Salim-'2025'!Resal)*(1-EXP(('2025'!Tnet-t)/('2025'!Tau_j))),Resal+(Salim-Resal)*(1-EXP((Tnet-t)/(Tau_j))))*Salcycl</f>
        <v>2.6303117211780254E-2</v>
      </c>
      <c r="P351" s="169">
        <f>(INDEX(Models!$BJ351:$BT351,,T351)*(1-R351)+INDEX(Models!$BJ351:$BT351,,T351+1)*R351-ERP_i)*Q351*Ramure*Pc/MaxiM</f>
        <v>6.8434999623143578E-4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23.667145348457399</v>
      </c>
      <c r="W351" s="400">
        <f t="shared" si="136"/>
        <v>9.5811241396642846</v>
      </c>
      <c r="X351" s="157">
        <f t="shared" si="137"/>
        <v>46359</v>
      </c>
      <c r="Y351" s="383">
        <f t="shared" si="138"/>
        <v>9.2068801294536549</v>
      </c>
      <c r="Z351" s="383">
        <f t="shared" si="139"/>
        <v>9.7289676091400903</v>
      </c>
      <c r="AA351" s="384">
        <f t="shared" si="140"/>
        <v>10.37637535012383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6.2392475131117307E-2</v>
      </c>
      <c r="AD351" s="230">
        <f>(INDEX(Models!$BJ351:$BT351,,AH351)*(1-AF351)+INDEX(Models!$BJ351:$BT351,,AH351+1)*AF351-ERP_i)*AE351*Ramure*Pc/MaxiM</f>
        <v>1.4526460629192287E-2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'2025'!Wh/'2025'!Env_an*'2026'!Env_an</f>
        <v>17.571578663935018</v>
      </c>
      <c r="C352" s="829"/>
      <c r="D352" s="391">
        <f t="shared" si="127"/>
        <v>18.568352536722628</v>
      </c>
      <c r="E352" s="383">
        <f t="shared" si="125"/>
        <v>19.071116141730162</v>
      </c>
      <c r="F352" s="383">
        <f t="shared" si="128"/>
        <v>19.07950596524082</v>
      </c>
      <c r="G352" s="110">
        <f t="shared" si="126"/>
        <v>0.74736261181338082</v>
      </c>
      <c r="H352" s="412" t="b">
        <f>Wh_hp&gt;='2025'!Maxi_hp</f>
        <v>1</v>
      </c>
      <c r="I352" s="388">
        <f>IF(H352,Wh_hp,'2025'!Maxi_hp)</f>
        <v>19.07950596524082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5.3681330684361428E-2</v>
      </c>
      <c r="M352" s="832"/>
      <c r="N352" s="832"/>
      <c r="O352" s="48">
        <f>IF(t&lt;Tnet,'2025'!Resal+('2025'!Salim-'2025'!Resal)*(1-EXP(('2025'!Tnet-t)/('2025'!Tau_j))),Resal+(Salim-Resal)*(1-EXP((Tnet-t)/(Tau_j))))*Salcycl</f>
        <v>2.6362568465902084E-2</v>
      </c>
      <c r="P352" s="169">
        <f>(INDEX(Models!$BJ352:$BT352,,T352)*(1-R352)+INDEX(Models!$BJ352:$BT352,,T352+1)*R352-ERP_i)*Q352*Ramure*Pc/MaxiM</f>
        <v>6.8777123200593118E-4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23.505615595152825</v>
      </c>
      <c r="W352" s="400">
        <f t="shared" si="136"/>
        <v>17.571578663935018</v>
      </c>
      <c r="X352" s="157">
        <f t="shared" si="137"/>
        <v>46360</v>
      </c>
      <c r="Y352" s="383">
        <f t="shared" si="138"/>
        <v>16.771268280833336</v>
      </c>
      <c r="Z352" s="383">
        <f t="shared" si="139"/>
        <v>17.722643359622218</v>
      </c>
      <c r="AA352" s="384">
        <f t="shared" si="140"/>
        <v>18.902291927329017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6.2407700200696581E-2</v>
      </c>
      <c r="AD352" s="230">
        <f>(INDEX(Models!$BJ352:$BT352,,AH352)*(1-AF352)+INDEX(Models!$BJ352:$BT352,,AH352+1)*AF352-ERP_i)*AE352*Ramure*Pc/MaxiM</f>
        <v>1.4527447094510303E-2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'2025'!Wh/'2025'!Env_an*'2026'!Env_an</f>
        <v>23.295845555346144</v>
      </c>
      <c r="C353" s="829"/>
      <c r="D353" s="391">
        <f t="shared" si="127"/>
        <v>24.617808756024559</v>
      </c>
      <c r="E353" s="383">
        <f t="shared" si="125"/>
        <v>25.285922599309195</v>
      </c>
      <c r="F353" s="383">
        <f t="shared" si="128"/>
        <v>25.303409719606442</v>
      </c>
      <c r="G353" s="110">
        <f t="shared" si="126"/>
        <v>0.99758425775374848</v>
      </c>
      <c r="H353" s="412" t="b">
        <f>Wh_hp&gt;='2025'!Maxi_hp</f>
        <v>1</v>
      </c>
      <c r="I353" s="388">
        <f>IF(H353,Wh_hp,'2025'!Maxi_hp)</f>
        <v>25.303409719606442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5.3699466665768858E-2</v>
      </c>
      <c r="M353" s="832"/>
      <c r="N353" s="832"/>
      <c r="O353" s="48">
        <f>IF(t&lt;Tnet,'2025'!Resal+('2025'!Salim-'2025'!Resal)*(1-EXP(('2025'!Tnet-t)/('2025'!Tau_j))),Resal+(Salim-Resal)*(1-EXP((Tnet-t)/(Tau_j))))*Salcycl</f>
        <v>2.6422363695081889E-2</v>
      </c>
      <c r="P353" s="169">
        <f>(INDEX(Models!$BJ353:$BT353,,T353)*(1-R353)+INDEX(Models!$BJ353:$BT353,,T353+1)*R353-ERP_i)*Q353*Ramure*Pc/MaxiM</f>
        <v>6.9348829069634246E-4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23.352202721321529</v>
      </c>
      <c r="W353" s="400">
        <f t="shared" si="136"/>
        <v>23.295845555346144</v>
      </c>
      <c r="X353" s="157">
        <f t="shared" si="137"/>
        <v>46361</v>
      </c>
      <c r="Y353" s="383">
        <f t="shared" si="138"/>
        <v>22.125006401639933</v>
      </c>
      <c r="Z353" s="383">
        <f t="shared" si="139"/>
        <v>23.380528301811104</v>
      </c>
      <c r="AA353" s="384">
        <f t="shared" si="140"/>
        <v>24.937206763250124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6.2423930483388866E-2</v>
      </c>
      <c r="AD353" s="230">
        <f>(INDEX(Models!$BJ353:$BT353,,AH353)*(1-AF353)+INDEX(Models!$BJ353:$BT353,,AH353+1)*AF353-ERP_i)*AE353*Ramure*Pc/MaxiM</f>
        <v>1.452254333101707E-2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'2025'!Wh/'2025'!Env_an*'2026'!Env_an</f>
        <v>11.452452099764605</v>
      </c>
      <c r="C354" s="829"/>
      <c r="D354" s="391">
        <f t="shared" si="127"/>
        <v>12.102573320179827</v>
      </c>
      <c r="E354" s="383">
        <f t="shared" si="125"/>
        <v>12.431798376105782</v>
      </c>
      <c r="F354" s="383">
        <f t="shared" si="128"/>
        <v>12.434209255745419</v>
      </c>
      <c r="G354" s="110">
        <f t="shared" si="126"/>
        <v>0.49322984110422763</v>
      </c>
      <c r="H354" s="412" t="b">
        <f>Wh_hp&gt;='2025'!Maxi_hp</f>
        <v>0</v>
      </c>
      <c r="I354" s="388">
        <f>IF(H354,Wh_hp,'2025'!Maxi_hp)</f>
        <v>18.881092862283797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5.3717602299604317E-2</v>
      </c>
      <c r="M354" s="832"/>
      <c r="N354" s="832"/>
      <c r="O354" s="48">
        <f>IF(t&lt;Tnet,'2025'!Resal+('2025'!Salim-'2025'!Resal)*(1-EXP(('2025'!Tnet-t)/('2025'!Tau_j))),Resal+(Salim-Resal)*(1-EXP((Tnet-t)/(Tau_j))))*Salcycl</f>
        <v>2.6482496414897819E-2</v>
      </c>
      <c r="P354" s="169">
        <f>(INDEX(Models!$BJ354:$BT354,,T354)*(1-R354)+INDEX(Models!$BJ354:$BT354,,T354+1)*R354-ERP_i)*Q354*Ramure*Pc/MaxiM</f>
        <v>7.0148513330942574E-4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23.20751264318659</v>
      </c>
      <c r="W354" s="400">
        <f t="shared" si="136"/>
        <v>11.452452099764605</v>
      </c>
      <c r="X354" s="157">
        <f t="shared" si="137"/>
        <v>46362</v>
      </c>
      <c r="Y354" s="383">
        <f t="shared" si="138"/>
        <v>10.987327010280771</v>
      </c>
      <c r="Z354" s="383">
        <f t="shared" si="139"/>
        <v>11.611044479937044</v>
      </c>
      <c r="AA354" s="384">
        <f t="shared" si="140"/>
        <v>12.384336628447281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6.2441144141217528E-2</v>
      </c>
      <c r="AD354" s="230">
        <f>(INDEX(Models!$BJ354:$BT354,,AH354)*(1-AF354)+INDEX(Models!$BJ354:$BT354,,AH354+1)*AF354-ERP_i)*AE354*Ramure*Pc/MaxiM</f>
        <v>1.4511262210505372E-2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'2025'!Wh/'2025'!Env_an*'2026'!Env_an</f>
        <v>20.637844798750539</v>
      </c>
      <c r="C355" s="829"/>
      <c r="D355" s="391">
        <f t="shared" si="127"/>
        <v>21.80981108395547</v>
      </c>
      <c r="E355" s="383">
        <f t="shared" si="125"/>
        <v>22.404492610442901</v>
      </c>
      <c r="F355" s="383">
        <f t="shared" si="128"/>
        <v>22.418043522276314</v>
      </c>
      <c r="G355" s="110">
        <f t="shared" si="126"/>
        <v>0.89439556145110144</v>
      </c>
      <c r="H355" s="412" t="b">
        <f>Wh_hp&gt;='2025'!Maxi_hp</f>
        <v>1</v>
      </c>
      <c r="I355" s="388">
        <f>IF(H355,Wh_hp,'2025'!Maxi_hp)</f>
        <v>22.418043522276314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5.3735737585874577E-2</v>
      </c>
      <c r="M355" s="832"/>
      <c r="N355" s="832"/>
      <c r="O355" s="48">
        <f>IF(t&lt;Tnet,'2025'!Resal+('2025'!Salim-'2025'!Resal)*(1-EXP(('2025'!Tnet-t)/('2025'!Tau_j))),Resal+(Salim-Resal)*(1-EXP((Tnet-t)/(Tau_j))))*Salcycl</f>
        <v>2.6542958897906241E-2</v>
      </c>
      <c r="P355" s="169">
        <f>(INDEX(Models!$BJ355:$BT355,,T355)*(1-R355)+INDEX(Models!$BJ355:$BT355,,T355+1)*R355-ERP_i)*Q355*Ramure*Pc/MaxiM</f>
        <v>7.1174290143474685E-4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23.072151019529407</v>
      </c>
      <c r="W355" s="400">
        <f t="shared" si="136"/>
        <v>20.637844798750539</v>
      </c>
      <c r="X355" s="157">
        <f t="shared" si="137"/>
        <v>46363</v>
      </c>
      <c r="Y355" s="383">
        <f t="shared" si="138"/>
        <v>19.643620637858302</v>
      </c>
      <c r="Z355" s="383">
        <f t="shared" si="139"/>
        <v>20.759127675120229</v>
      </c>
      <c r="AA355" s="384">
        <f t="shared" si="140"/>
        <v>22.142108649709236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6.2459316611074754E-2</v>
      </c>
      <c r="AD355" s="230">
        <f>(INDEX(Models!$BJ355:$BT355,,AH355)*(1-AF355)+INDEX(Models!$BJ355:$BT355,,AH355+1)*AF355-ERP_i)*AE355*Ramure*Pc/MaxiM</f>
        <v>1.4493097528956769E-2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'2025'!Wh/'2025'!Env_an*'2026'!Env_an</f>
        <v>4.1450628875265547</v>
      </c>
      <c r="C356" s="829"/>
      <c r="D356" s="391">
        <f t="shared" si="127"/>
        <v>4.3805335284019487</v>
      </c>
      <c r="E356" s="383">
        <f t="shared" si="125"/>
        <v>4.5002572113402168</v>
      </c>
      <c r="F356" s="383">
        <f t="shared" si="128"/>
        <v>4.5002572113402168</v>
      </c>
      <c r="G356" s="110">
        <f t="shared" si="126"/>
        <v>0.18050772774884377</v>
      </c>
      <c r="H356" s="412" t="b">
        <f>Wh_hp&gt;='2025'!Maxi_hp</f>
        <v>0</v>
      </c>
      <c r="I356" s="388">
        <f>IF(H356,Wh_hp,'2025'!Maxi_hp)</f>
        <v>17.076709643331426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5.3753872524586188E-2</v>
      </c>
      <c r="M356" s="832"/>
      <c r="N356" s="832"/>
      <c r="O356" s="48">
        <f>IF(t&lt;Tnet,'2025'!Resal+('2025'!Salim-'2025'!Resal)*(1-EXP(('2025'!Tnet-t)/('2025'!Tau_j))),Resal+(Salim-Resal)*(1-EXP((Tnet-t)/(Tau_j))))*Salcycl</f>
        <v>2.660374225645953E-2</v>
      </c>
      <c r="P356" s="169">
        <f>(INDEX(Models!$BJ356:$BT356,,T356)*(1-R356)+INDEX(Models!$BJ356:$BT356,,T356+1)*R356-ERP_i)*Q356*Ramure*Pc/MaxiM</f>
        <v>7.2423919682051887E-4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22.946723235435851</v>
      </c>
      <c r="W356" s="400">
        <f t="shared" si="136"/>
        <v>4.1450628875265547</v>
      </c>
      <c r="X356" s="157">
        <f t="shared" si="137"/>
        <v>46364</v>
      </c>
      <c r="Y356" s="383">
        <f t="shared" si="138"/>
        <v>3.9922959156440911</v>
      </c>
      <c r="Z356" s="383">
        <f t="shared" si="139"/>
        <v>4.2190882474684921</v>
      </c>
      <c r="AA356" s="384">
        <f t="shared" si="140"/>
        <v>4.5002572113402168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6.2478420825193219E-2</v>
      </c>
      <c r="AD356" s="230">
        <f>(INDEX(Models!$BJ356:$BT356,,AH356)*(1-AF356)+INDEX(Models!$BJ356:$BT356,,AH356+1)*AF356-ERP_i)*AE356*Ramure*Pc/MaxiM</f>
        <v>1.4467528690336146E-2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'2025'!Wh/'2025'!Env_an*'2026'!Env_an</f>
        <v>5.059042217972574</v>
      </c>
      <c r="C357" s="829"/>
      <c r="D357" s="391">
        <f t="shared" si="127"/>
        <v>5.346536200595593</v>
      </c>
      <c r="E357" s="383">
        <f t="shared" si="125"/>
        <v>5.4930063160798559</v>
      </c>
      <c r="F357" s="383">
        <f t="shared" si="128"/>
        <v>5.4930063160798559</v>
      </c>
      <c r="G357" s="110">
        <f t="shared" si="126"/>
        <v>0.22141470387089865</v>
      </c>
      <c r="H357" s="412" t="b">
        <f>Wh_hp&gt;='2025'!Maxi_hp</f>
        <v>0</v>
      </c>
      <c r="I357" s="388">
        <f>IF(H357,Wh_hp,'2025'!Maxi_hp)</f>
        <v>11.827516861952027</v>
      </c>
      <c r="J357" s="85">
        <f>IF(H357,An,'2025'!An_max)</f>
        <v>2018</v>
      </c>
      <c r="K357" s="197">
        <f t="shared" si="129"/>
        <v>46365</v>
      </c>
      <c r="L357" s="147">
        <f>IF(t&lt;Tvie,1-EXP((T0-t)*PertePVj)+'2025'!Pspv,1-EXP((T0-t)*PertePVj)+Pspv)</f>
        <v>5.3772007115745812E-2</v>
      </c>
      <c r="M357" s="832"/>
      <c r="N357" s="832"/>
      <c r="O357" s="48">
        <f>IF(t&lt;Tnet,'2025'!Resal+('2025'!Salim-'2025'!Resal)*(1-EXP(('2025'!Tnet-t)/('2025'!Tau_j))),Resal+(Salim-Resal)*(1-EXP((Tnet-t)/(Tau_j))))*Salcycl</f>
        <v>2.666483653140838E-2</v>
      </c>
      <c r="P357" s="169">
        <f>(INDEX(Models!$BJ357:$BT357,,T357)*(1-R357)+INDEX(Models!$BJ357:$BT357,,T357+1)*R357-ERP_i)*Q357*Ramure*Pc/MaxiM</f>
        <v>7.3894734577730175E-4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22.831834398410365</v>
      </c>
      <c r="W357" s="400">
        <f t="shared" si="136"/>
        <v>5.059042217972574</v>
      </c>
      <c r="X357" s="157">
        <f t="shared" si="137"/>
        <v>46365</v>
      </c>
      <c r="Y357" s="383">
        <f t="shared" si="138"/>
        <v>4.8727922436107365</v>
      </c>
      <c r="Z357" s="383">
        <f t="shared" si="139"/>
        <v>5.1497020593923528</v>
      </c>
      <c r="AA357" s="384">
        <f t="shared" si="140"/>
        <v>5.4930063160798559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6.2498427442644125E-2</v>
      </c>
      <c r="AD357" s="230">
        <f>(INDEX(Models!$BJ357:$BT357,,AH357)*(1-AF357)+INDEX(Models!$BJ357:$BT357,,AH357+1)*AF357-ERP_i)*AE357*Ramure*Pc/MaxiM</f>
        <v>1.4434026004760977E-2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'2025'!Wh/'2025'!Env_an*'2026'!Env_an</f>
        <v>12.247251196397295</v>
      </c>
      <c r="C358" s="829"/>
      <c r="D358" s="391">
        <f t="shared" si="127"/>
        <v>12.943482975322356</v>
      </c>
      <c r="E358" s="383">
        <f t="shared" si="125"/>
        <v>13.298912787688074</v>
      </c>
      <c r="F358" s="383">
        <f t="shared" si="128"/>
        <v>13.302343626910851</v>
      </c>
      <c r="G358" s="110">
        <f t="shared" si="126"/>
        <v>0.53859131062131704</v>
      </c>
      <c r="H358" s="412" t="b">
        <f>Wh_hp&gt;='2025'!Maxi_hp</f>
        <v>0</v>
      </c>
      <c r="I358" s="388">
        <f>IF(H358,Wh_hp,'2025'!Maxi_hp)</f>
        <v>21.581579026303849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5.3790141359360111E-2</v>
      </c>
      <c r="M358" s="832"/>
      <c r="N358" s="832"/>
      <c r="O358" s="48">
        <f>IF(t&lt;Tnet,'2025'!Resal+('2025'!Salim-'2025'!Resal)*(1-EXP(('2025'!Tnet-t)/('2025'!Tau_j))),Resal+(Salim-Resal)*(1-EXP((Tnet-t)/(Tau_j))))*Salcycl</f>
        <v>2.672623078593088E-2</v>
      </c>
      <c r="P358" s="169">
        <f>(INDEX(Models!$BJ358:$BT358,,T358)*(1-R358)+INDEX(Models!$BJ358:$BT358,,T358+1)*R358-ERP_i)*Q358*Ramure*Pc/MaxiM</f>
        <v>7.5583566134822678E-4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22.728089351602929</v>
      </c>
      <c r="W358" s="400">
        <f t="shared" si="136"/>
        <v>12.247251196397295</v>
      </c>
      <c r="X358" s="157">
        <f t="shared" si="137"/>
        <v>46366</v>
      </c>
      <c r="Y358" s="383">
        <f t="shared" si="138"/>
        <v>11.741941190535218</v>
      </c>
      <c r="Z358" s="383">
        <f t="shared" si="139"/>
        <v>12.409447104476513</v>
      </c>
      <c r="AA358" s="384">
        <f t="shared" si="140"/>
        <v>13.237016156015123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6.2519305089957802E-2</v>
      </c>
      <c r="AD358" s="230">
        <f>(INDEX(Models!$BJ358:$BT358,,AH358)*(1-AF358)+INDEX(Models!$BJ358:$BT358,,AH358+1)*AF358-ERP_i)*AE358*Ramure*Pc/MaxiM</f>
        <v>1.4392056567644243E-2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'2025'!Wh/'2025'!Env_an*'2026'!Env_an</f>
        <v>17.524652820144063</v>
      </c>
      <c r="C359" s="829"/>
      <c r="D359" s="391">
        <f t="shared" si="127"/>
        <v>18.521249300584461</v>
      </c>
      <c r="E359" s="383">
        <f t="shared" si="125"/>
        <v>19.031051455139814</v>
      </c>
      <c r="F359" s="383">
        <f t="shared" si="128"/>
        <v>19.041049198929276</v>
      </c>
      <c r="G359" s="110">
        <f t="shared" si="126"/>
        <v>0.77408458745816189</v>
      </c>
      <c r="H359" s="412" t="b">
        <f>Wh_hp&gt;='2025'!Maxi_hp</f>
        <v>1</v>
      </c>
      <c r="I359" s="388">
        <f>IF(H359,Wh_hp,'2025'!Maxi_hp)</f>
        <v>19.041049198929276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5.3808275255435856E-2</v>
      </c>
      <c r="M359" s="832"/>
      <c r="N359" s="832"/>
      <c r="O359" s="48">
        <f>IF(t&lt;Tnet,'2025'!Resal+('2025'!Salim-'2025'!Resal)*(1-EXP(('2025'!Tnet-t)/('2025'!Tau_j))),Resal+(Salim-Resal)*(1-EXP((Tnet-t)/(Tau_j))))*Salcycl</f>
        <v>2.6787913203695751E-2</v>
      </c>
      <c r="P359" s="169">
        <f>(INDEX(Models!$BJ359:$BT359,,T359)*(1-R359)+INDEX(Models!$BJ359:$BT359,,T359+1)*R359-ERP_i)*Q359*Ramure*Pc/MaxiM</f>
        <v>7.7495418520633292E-4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22.633535844858812</v>
      </c>
      <c r="W359" s="400">
        <f t="shared" si="136"/>
        <v>17.524652820144063</v>
      </c>
      <c r="X359" s="157">
        <f t="shared" si="137"/>
        <v>46367</v>
      </c>
      <c r="Y359" s="383">
        <f t="shared" si="138"/>
        <v>16.72558369976527</v>
      </c>
      <c r="Z359" s="383">
        <f t="shared" si="139"/>
        <v>17.676738511193957</v>
      </c>
      <c r="AA359" s="384">
        <f t="shared" si="140"/>
        <v>18.856012796075181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6.2541020608910883E-2</v>
      </c>
      <c r="AD359" s="230">
        <f>(INDEX(Models!$BJ359:$BT359,,AH359)*(1-AF359)+INDEX(Models!$BJ359:$BT359,,AH359+1)*AF359-ERP_i)*AE359*Ramure*Pc/MaxiM</f>
        <v>1.4342709497962213E-2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'2025'!Wh/'2025'!Env_an*'2026'!Env_an</f>
        <v>5.3561272637156909</v>
      </c>
      <c r="C360" s="829"/>
      <c r="D360" s="391">
        <f t="shared" si="127"/>
        <v>5.6608293800984475</v>
      </c>
      <c r="E360" s="383">
        <f t="shared" si="125"/>
        <v>5.8170154969036769</v>
      </c>
      <c r="F360" s="383">
        <f t="shared" si="128"/>
        <v>5.8170154969036769</v>
      </c>
      <c r="G360" s="110">
        <f t="shared" si="126"/>
        <v>0.23737377256222153</v>
      </c>
      <c r="H360" s="412" t="b">
        <f>Wh_hp&gt;='2025'!Maxi_hp</f>
        <v>0</v>
      </c>
      <c r="I360" s="388">
        <f>IF(H360,Wh_hp,'2025'!Maxi_hp)</f>
        <v>23.902821263615333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5.3826408803979486E-2</v>
      </c>
      <c r="M360" s="832"/>
      <c r="N360" s="832"/>
      <c r="O360" s="48">
        <f>IF(t&lt;Tnet,'2025'!Resal+('2025'!Salim-'2025'!Resal)*(1-EXP(('2025'!Tnet-t)/('2025'!Tau_j))),Resal+(Salim-Resal)*(1-EXP((Tnet-t)/(Tau_j))))*Salcycl</f>
        <v>2.6849871190538412E-2</v>
      </c>
      <c r="P360" s="169">
        <f>(INDEX(Models!$BJ360:$BT360,,T360)*(1-R360)+INDEX(Models!$BJ360:$BT360,,T360+1)*R360-ERP_i)*Q360*Ramure*Pc/MaxiM</f>
        <v>7.9636039066502461E-4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22.546138094142865</v>
      </c>
      <c r="W360" s="400">
        <f t="shared" si="136"/>
        <v>5.3561272637156909</v>
      </c>
      <c r="X360" s="157">
        <f t="shared" si="137"/>
        <v>46368</v>
      </c>
      <c r="Y360" s="383">
        <f t="shared" si="138"/>
        <v>5.1595625756616226</v>
      </c>
      <c r="Z360" s="383">
        <f t="shared" si="139"/>
        <v>5.4530824191992338</v>
      </c>
      <c r="AA360" s="384">
        <f t="shared" si="140"/>
        <v>5.8170154969036769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6.2563539309489505E-2</v>
      </c>
      <c r="AD360" s="230">
        <f>(INDEX(Models!$BJ360:$BT360,,AH360)*(1-AF360)+INDEX(Models!$BJ360:$BT360,,AH360+1)*AF360-ERP_i)*AE360*Ramure*Pc/MaxiM</f>
        <v>1.4287134291940794E-2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'2025'!Wh/'2025'!Env_an*'2026'!Env_an</f>
        <v>5.4228663625803302</v>
      </c>
      <c r="C361" s="829"/>
      <c r="D361" s="391">
        <f t="shared" si="127"/>
        <v>5.7314750094788076</v>
      </c>
      <c r="E361" s="383">
        <f t="shared" ref="E361:E379" si="150">Wh_pvt/(1-Psa)</f>
        <v>5.8899868750696616</v>
      </c>
      <c r="F361" s="383">
        <f t="shared" si="128"/>
        <v>5.8899868750696616</v>
      </c>
      <c r="G361" s="110">
        <f t="shared" ref="G361:G379" si="151">+Wh_hp/MaxiM</f>
        <v>0.24117906878292272</v>
      </c>
      <c r="H361" s="412" t="b">
        <f>Wh_hp&gt;='2025'!Maxi_hp</f>
        <v>0</v>
      </c>
      <c r="I361" s="388">
        <f>IF(H361,Wh_hp,'2025'!Maxi_hp)</f>
        <v>25.0294040728553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5.3844542004997886E-2</v>
      </c>
      <c r="M361" s="832"/>
      <c r="N361" s="832"/>
      <c r="O361" s="48">
        <f>IF(t&lt;Tnet,'2025'!Resal+('2025'!Salim-'2025'!Resal)*(1-EXP(('2025'!Tnet-t)/('2025'!Tau_j))),Resal+(Salim-Resal)*(1-EXP((Tnet-t)/(Tau_j))))*Salcycl</f>
        <v>2.6912091478808076E-2</v>
      </c>
      <c r="P361" s="169">
        <f>(INDEX(Models!$BJ361:$BT361,,T361)*(1-R361)+INDEX(Models!$BJ361:$BT361,,T361+1)*R361-ERP_i)*Q361*Ramure*Pc/MaxiM</f>
        <v>8.1677348908575651E-4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22.46644842126609</v>
      </c>
      <c r="W361" s="400">
        <f t="shared" si="136"/>
        <v>5.4228663625803302</v>
      </c>
      <c r="X361" s="157">
        <f t="shared" si="137"/>
        <v>46369</v>
      </c>
      <c r="Y361" s="383">
        <f t="shared" si="138"/>
        <v>5.2240566641577333</v>
      </c>
      <c r="Z361" s="383">
        <f t="shared" si="139"/>
        <v>5.5213512959361148</v>
      </c>
      <c r="AA361" s="384">
        <f t="shared" si="140"/>
        <v>5.8899868750696616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6.2586825226021797E-2</v>
      </c>
      <c r="AD361" s="230">
        <f>(INDEX(Models!$BJ361:$BT361,,AH361)*(1-AF361)+INDEX(Models!$BJ361:$BT361,,AH361+1)*AF361-ERP_i)*AE361*Ramure*Pc/MaxiM</f>
        <v>1.4232744769095603E-2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'2025'!Wh/'2025'!Env_an*'2026'!Env_an</f>
        <v>17.316190267829196</v>
      </c>
      <c r="C362" s="829"/>
      <c r="D362" s="391">
        <f t="shared" si="127"/>
        <v>18.301984085914189</v>
      </c>
      <c r="E362" s="383">
        <f t="shared" si="150"/>
        <v>18.809358253065565</v>
      </c>
      <c r="F362" s="383">
        <f t="shared" si="128"/>
        <v>18.819996582921998</v>
      </c>
      <c r="G362" s="110">
        <f t="shared" si="151"/>
        <v>0.77300911898403646</v>
      </c>
      <c r="H362" s="412" t="b">
        <f>Wh_hp&gt;='2025'!Maxi_hp</f>
        <v>0</v>
      </c>
      <c r="I362" s="388">
        <f>IF(H362,Wh_hp,'2025'!Maxi_hp)</f>
        <v>24.68921870882129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5.3862674858497606E-2</v>
      </c>
      <c r="M362" s="832"/>
      <c r="N362" s="832"/>
      <c r="O362" s="48">
        <f>IF(t&lt;Tnet,'2025'!Resal+('2025'!Salim-'2025'!Resal)*(1-EXP(('2025'!Tnet-t)/('2025'!Tau_j))),Resal+(Salim-Resal)*(1-EXP((Tnet-t)/(Tau_j))))*Salcycl</f>
        <v>2.6974560233530877E-2</v>
      </c>
      <c r="P362" s="169">
        <f>(INDEX(Models!$BJ362:$BT362,,T362)*(1-R362)+INDEX(Models!$BJ362:$BT362,,T362+1)*R362-ERP_i)*Q362*Ramure*Pc/MaxiM</f>
        <v>8.3616128574981908E-4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22.39494507749589</v>
      </c>
      <c r="W362" s="400">
        <f t="shared" si="136"/>
        <v>17.316190267829196</v>
      </c>
      <c r="X362" s="157">
        <f t="shared" si="137"/>
        <v>46370</v>
      </c>
      <c r="Y362" s="383">
        <f t="shared" si="138"/>
        <v>16.53143881526028</v>
      </c>
      <c r="Z362" s="383">
        <f t="shared" si="139"/>
        <v>17.47255749876253</v>
      </c>
      <c r="AA362" s="384">
        <f t="shared" si="140"/>
        <v>18.639598439971458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6.2610841374473092E-2</v>
      </c>
      <c r="AD362" s="230">
        <f>(INDEX(Models!$BJ362:$BT362,,AH362)*(1-AF362)+INDEX(Models!$BJ362:$BT362,,AH362+1)*AF362-ERP_i)*AE362*Ramure*Pc/MaxiM</f>
        <v>1.4179100027169945E-2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'2025'!Wh/'2025'!Env_an*'2026'!Env_an</f>
        <v>5.9179172813851757</v>
      </c>
      <c r="C363" s="829"/>
      <c r="D363" s="391">
        <f t="shared" si="127"/>
        <v>6.2549384130980297</v>
      </c>
      <c r="E363" s="383">
        <f t="shared" si="150"/>
        <v>6.428754335864765</v>
      </c>
      <c r="F363" s="383">
        <f t="shared" si="128"/>
        <v>6.428754335864765</v>
      </c>
      <c r="G363" s="110">
        <f t="shared" si="151"/>
        <v>0.26476949508368769</v>
      </c>
      <c r="H363" s="412" t="b">
        <f>Wh_hp&gt;='2025'!Maxi_hp</f>
        <v>0</v>
      </c>
      <c r="I363" s="388">
        <f>IF(H363,Wh_hp,'2025'!Maxi_hp)</f>
        <v>24.850474320764231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5.3880807364485306E-2</v>
      </c>
      <c r="M363" s="832"/>
      <c r="N363" s="832"/>
      <c r="O363" s="48">
        <f>IF(t&lt;Tnet,'2025'!Resal+('2025'!Salim-'2025'!Resal)*(1-EXP(('2025'!Tnet-t)/('2025'!Tau_j))),Resal+(Salim-Resal)*(1-EXP((Tnet-t)/(Tau_j))))*Salcycl</f>
        <v>2.7037263159528455E-2</v>
      </c>
      <c r="P363" s="169">
        <f>(INDEX(Models!$BJ363:$BT363,,T363)*(1-R363)+INDEX(Models!$BJ363:$BT363,,T363+1)*R363-ERP_i)*Q363*Ramure*Pc/MaxiM</f>
        <v>8.5448933793932339E-4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22.33210620542409</v>
      </c>
      <c r="W363" s="400">
        <f t="shared" si="136"/>
        <v>5.9179172813851757</v>
      </c>
      <c r="X363" s="157">
        <f t="shared" si="137"/>
        <v>46371</v>
      </c>
      <c r="Y363" s="383">
        <f t="shared" si="138"/>
        <v>5.701395405513745</v>
      </c>
      <c r="Z363" s="383">
        <f t="shared" si="139"/>
        <v>6.0260857721656693</v>
      </c>
      <c r="AA363" s="384">
        <f t="shared" si="140"/>
        <v>6.428754335864765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6.263555000891638E-2</v>
      </c>
      <c r="AD363" s="230">
        <f>(INDEX(Models!$BJ363:$BT363,,AH363)*(1-AF363)+INDEX(Models!$BJ363:$BT363,,AH363+1)*AF363-ERP_i)*AE363*Ramure*Pc/MaxiM</f>
        <v>1.4125758950619349E-2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'2025'!Wh/'2025'!Env_an*'2026'!Env_an</f>
        <v>5.2269505887474299</v>
      </c>
      <c r="C364" s="829"/>
      <c r="D364" s="391">
        <f t="shared" si="127"/>
        <v>5.5247275445521185</v>
      </c>
      <c r="E364" s="383">
        <f t="shared" si="150"/>
        <v>5.6786191782843716</v>
      </c>
      <c r="F364" s="383">
        <f t="shared" si="128"/>
        <v>5.6786191782843716</v>
      </c>
      <c r="G364" s="110">
        <f t="shared" si="151"/>
        <v>0.23441503152495358</v>
      </c>
      <c r="H364" s="412" t="b">
        <f>Wh_hp&gt;='2025'!Maxi_hp</f>
        <v>0</v>
      </c>
      <c r="I364" s="388">
        <f>IF(H364,Wh_hp,'2025'!Maxi_hp)</f>
        <v>24.489416018785828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5.3898939522967759E-2</v>
      </c>
      <c r="M364" s="832"/>
      <c r="N364" s="832"/>
      <c r="O364" s="48">
        <f>IF(t&lt;Tnet,'2025'!Resal+('2025'!Salim-'2025'!Resal)*(1-EXP(('2025'!Tnet-t)/('2025'!Tau_j))),Resal+(Salim-Resal)*(1-EXP((Tnet-t)/(Tau_j))))*Salcycl</f>
        <v>2.7100185608633642E-2</v>
      </c>
      <c r="P364" s="169">
        <f>(INDEX(Models!$BJ364:$BT364,,T364)*(1-R364)+INDEX(Models!$BJ364:$BT364,,T364+1)*R364-ERP_i)*Q364*Ramure*Pc/MaxiM</f>
        <v>8.7172141737755179E-4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22.278409835743481</v>
      </c>
      <c r="W364" s="400">
        <f t="shared" si="136"/>
        <v>5.2269505887474299</v>
      </c>
      <c r="X364" s="157">
        <f t="shared" si="137"/>
        <v>46372</v>
      </c>
      <c r="Y364" s="383">
        <f t="shared" si="138"/>
        <v>5.0358988878704185</v>
      </c>
      <c r="Z364" s="383">
        <f t="shared" si="139"/>
        <v>5.3227917167023104</v>
      </c>
      <c r="AA364" s="384">
        <f t="shared" si="140"/>
        <v>5.6786191782843716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6.266091287522535E-2</v>
      </c>
      <c r="AD364" s="230">
        <f>(INDEX(Models!$BJ364:$BT364,,AH364)*(1-AF364)+INDEX(Models!$BJ364:$BT364,,AH364+1)*AF364-ERP_i)*AE364*Ramure*Pc/MaxiM</f>
        <v>1.4072282731368452E-2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'2025'!Wh/'2025'!Env_an*'2026'!Env_an</f>
        <v>3.5436786503983844</v>
      </c>
      <c r="C365" s="829"/>
      <c r="D365" s="391">
        <f t="shared" si="127"/>
        <v>3.745632167145089</v>
      </c>
      <c r="E365" s="383">
        <f t="shared" si="150"/>
        <v>3.8502168102719976</v>
      </c>
      <c r="F365" s="383">
        <f t="shared" si="128"/>
        <v>3.8502168102719976</v>
      </c>
      <c r="G365" s="110">
        <f t="shared" si="151"/>
        <v>0.15923717451536262</v>
      </c>
      <c r="H365" s="412" t="b">
        <f>Wh_hp&gt;='2025'!Maxi_hp</f>
        <v>0</v>
      </c>
      <c r="I365" s="388">
        <f>IF(H365,Wh_hp,'2025'!Maxi_hp)</f>
        <v>24.995973707121568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5.3917071333951405E-2</v>
      </c>
      <c r="M365" s="832"/>
      <c r="N365" s="832"/>
      <c r="O365" s="48">
        <f>IF(t&lt;Tnet,'2025'!Resal+('2025'!Salim-'2025'!Resal)*(1-EXP(('2025'!Tnet-t)/('2025'!Tau_j))),Resal+(Salim-Resal)*(1-EXP((Tnet-t)/(Tau_j))))*Salcycl</f>
        <v>2.7163312686155013E-2</v>
      </c>
      <c r="P365" s="169">
        <f>(INDEX(Models!$BJ365:$BT365,,T365)*(1-R365)+INDEX(Models!$BJ365:$BT365,,T365+1)*R365-ERP_i)*Q365*Ramure*Pc/MaxiM</f>
        <v>8.878200165628675E-4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22.234333862905341</v>
      </c>
      <c r="W365" s="400">
        <f t="shared" si="136"/>
        <v>3.5436786503983844</v>
      </c>
      <c r="X365" s="157">
        <f t="shared" si="137"/>
        <v>46373</v>
      </c>
      <c r="Y365" s="383">
        <f t="shared" si="138"/>
        <v>3.4142795957281415</v>
      </c>
      <c r="Z365" s="383">
        <f t="shared" si="139"/>
        <v>3.6088586869886594</v>
      </c>
      <c r="AA365" s="384">
        <f t="shared" si="140"/>
        <v>3.8502168102719976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6.2686891460090821E-2</v>
      </c>
      <c r="AD365" s="230">
        <f>(INDEX(Models!$BJ365:$BT365,,AH365)*(1-AF365)+INDEX(Models!$BJ365:$BT365,,AH365+1)*AF365-ERP_i)*AE365*Ramure*Pc/MaxiM</f>
        <v>1.4018237561509026E-2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'2025'!Wh/'2025'!Env_an*'2026'!Env_an</f>
        <v>21.138101660662112</v>
      </c>
      <c r="C366" s="829"/>
      <c r="D366" s="391">
        <f t="shared" si="127"/>
        <v>22.343185924649035</v>
      </c>
      <c r="E366" s="383">
        <f t="shared" si="150"/>
        <v>22.968541901853008</v>
      </c>
      <c r="F366" s="383">
        <f t="shared" si="128"/>
        <v>22.9878383577528</v>
      </c>
      <c r="G366" s="110">
        <f t="shared" si="151"/>
        <v>0.95209112298523768</v>
      </c>
      <c r="H366" s="412" t="b">
        <f>Wh_hp&gt;='2025'!Maxi_hp</f>
        <v>0</v>
      </c>
      <c r="I366" s="388">
        <f>IF(H366,Wh_hp,'2025'!Maxi_hp)</f>
        <v>25.161787004742354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5.3935202797443127E-2</v>
      </c>
      <c r="M366" s="832"/>
      <c r="N366" s="832"/>
      <c r="O366" s="48">
        <f>IF(t&lt;Tnet,'2025'!Resal+('2025'!Salim-'2025'!Resal)*(1-EXP(('2025'!Tnet-t)/('2025'!Tau_j))),Resal+(Salim-Resal)*(1-EXP((Tnet-t)/(Tau_j))))*Salcycl</f>
        <v>2.7226629355759122E-2</v>
      </c>
      <c r="P366" s="169">
        <f>(INDEX(Models!$BJ366:$BT366,,T366)*(1-R366)+INDEX(Models!$BJ366:$BT366,,T366+1)*R366-ERP_i)*Q366*Ramure*Pc/MaxiM</f>
        <v>9.0101097405635743E-4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22.200394630927367</v>
      </c>
      <c r="W366" s="400">
        <f t="shared" si="136"/>
        <v>21.138101660662112</v>
      </c>
      <c r="X366" s="157">
        <f t="shared" si="137"/>
        <v>46374</v>
      </c>
      <c r="Y366" s="383">
        <f t="shared" si="138"/>
        <v>20.118830307139703</v>
      </c>
      <c r="Z366" s="383">
        <f t="shared" si="139"/>
        <v>21.265805858784287</v>
      </c>
      <c r="AA366" s="384">
        <f t="shared" si="140"/>
        <v>22.688691943799547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6.2713447233528646E-2</v>
      </c>
      <c r="AD366" s="230">
        <f>(INDEX(Models!$BJ366:$BT366,,AH366)*(1-AF366)+INDEX(Models!$BJ366:$BT366,,AH366+1)*AF366-ERP_i)*AE366*Ramure*Pc/MaxiM</f>
        <v>1.3968067671141483E-2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'2025'!Wh/'2025'!Env_an*'2026'!Env_an</f>
        <v>17.987446510804435</v>
      </c>
      <c r="C367" s="829"/>
      <c r="D367" s="391">
        <f t="shared" si="127"/>
        <v>19.013276147583639</v>
      </c>
      <c r="E367" s="383">
        <f t="shared" si="150"/>
        <v>19.546708169734281</v>
      </c>
      <c r="F367" s="383">
        <f t="shared" si="128"/>
        <v>19.559710333009676</v>
      </c>
      <c r="G367" s="110">
        <f t="shared" si="151"/>
        <v>0.81088302857415973</v>
      </c>
      <c r="H367" s="412" t="b">
        <f>Wh_hp&gt;='2025'!Maxi_hp</f>
        <v>0</v>
      </c>
      <c r="I367" s="388">
        <f>IF(H367,Wh_hp,'2025'!Maxi_hp)</f>
        <v>24.884744497458982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5.3953333913449475E-2</v>
      </c>
      <c r="M367" s="832"/>
      <c r="N367" s="832"/>
      <c r="O367" s="48">
        <f>IF(t&lt;Tnet,'2025'!Resal+('2025'!Salim-'2025'!Resal)*(1-EXP(('2025'!Tnet-t)/('2025'!Tau_j))),Resal+(Salim-Resal)*(1-EXP((Tnet-t)/(Tau_j))))*Salcycl</f>
        <v>2.7290120541964051E-2</v>
      </c>
      <c r="P367" s="169">
        <f>(INDEX(Models!$BJ367:$BT367,,T367)*(1-R367)+INDEX(Models!$BJ367:$BT367,,T367+1)*R367-ERP_i)*Q367*Ramure*Pc/MaxiM</f>
        <v>9.1045872490295196E-4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22.177087351441969</v>
      </c>
      <c r="W367" s="400">
        <f t="shared" si="136"/>
        <v>17.987446510804435</v>
      </c>
      <c r="X367" s="157">
        <f t="shared" si="137"/>
        <v>46375</v>
      </c>
      <c r="Y367" s="383">
        <f t="shared" si="138"/>
        <v>17.167108718654088</v>
      </c>
      <c r="Z367" s="383">
        <f t="shared" si="139"/>
        <v>18.14615423747345</v>
      </c>
      <c r="AA367" s="384">
        <f t="shared" si="140"/>
        <v>19.360865425602121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6.2740541883131981E-2</v>
      </c>
      <c r="AD367" s="230">
        <f>(INDEX(Models!$BJ367:$BT367,,AH367)*(1-AF367)+INDEX(Models!$BJ367:$BT367,,AH367+1)*AF367-ERP_i)*AE367*Ramure*Pc/MaxiM</f>
        <v>1.3923843057281235E-2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'2025'!Wh/'2025'!Env_an*'2026'!Env_an</f>
        <v>4.5848387603970657</v>
      </c>
      <c r="C368" s="829"/>
      <c r="D368" s="391">
        <f t="shared" si="127"/>
        <v>4.8464064129479958</v>
      </c>
      <c r="E368" s="383">
        <f t="shared" si="150"/>
        <v>4.9827021064730568</v>
      </c>
      <c r="F368" s="383">
        <f t="shared" si="128"/>
        <v>4.9827021064730568</v>
      </c>
      <c r="G368" s="110">
        <f t="shared" si="151"/>
        <v>0.20666191352706118</v>
      </c>
      <c r="H368" s="412" t="b">
        <f>Wh_hp&gt;='2025'!Maxi_hp</f>
        <v>0</v>
      </c>
      <c r="I368" s="388">
        <f>IF(H368,Wh_hp,'2025'!Maxi_hp)</f>
        <v>24.174700505084488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5.397146468197711E-2</v>
      </c>
      <c r="M368" s="832"/>
      <c r="N368" s="832"/>
      <c r="O368" s="48">
        <f>IF(t&lt;Tnet,'2025'!Resal+('2025'!Salim-'2025'!Resal)*(1-EXP(('2025'!Tnet-t)/('2025'!Tau_j))),Resal+(Salim-Resal)*(1-EXP((Tnet-t)/(Tau_j))))*Salcycl</f>
        <v>2.7353771229469848E-2</v>
      </c>
      <c r="P368" s="169">
        <f>(INDEX(Models!$BJ368:$BT368,,T368)*(1-R368)+INDEX(Models!$BJ368:$BT368,,T368+1)*R368-ERP_i)*Q368*Ramure*Pc/MaxiM</f>
        <v>9.161373455975634E-4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22.164889215473725</v>
      </c>
      <c r="W368" s="400">
        <f t="shared" si="136"/>
        <v>4.5848387603970657</v>
      </c>
      <c r="X368" s="157">
        <f t="shared" si="137"/>
        <v>46376</v>
      </c>
      <c r="Y368" s="383">
        <f t="shared" si="138"/>
        <v>4.4179032863003718</v>
      </c>
      <c r="Z368" s="383">
        <f t="shared" si="139"/>
        <v>4.6699471753409867</v>
      </c>
      <c r="AA368" s="384">
        <f t="shared" si="140"/>
        <v>4.9827021064730568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6.2768137538418922E-2</v>
      </c>
      <c r="AD368" s="230">
        <f>(INDEX(Models!$BJ368:$BT368,,AH368)*(1-AF368)+INDEX(Models!$BJ368:$BT368,,AH368+1)*AF368-ERP_i)*AE368*Ramure*Pc/MaxiM</f>
        <v>1.3885126958041364E-2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'2025'!Wh/'2025'!Env_an*'2026'!Env_an</f>
        <v>20.991394274306558</v>
      </c>
      <c r="C369" s="829"/>
      <c r="D369" s="391">
        <f t="shared" si="127"/>
        <v>22.189390482013557</v>
      </c>
      <c r="E369" s="383">
        <f t="shared" si="150"/>
        <v>22.814920071605712</v>
      </c>
      <c r="F369" s="383">
        <f t="shared" si="128"/>
        <v>22.834297883487768</v>
      </c>
      <c r="G369" s="110">
        <f t="shared" si="151"/>
        <v>0.94701649539148303</v>
      </c>
      <c r="H369" s="412" t="b">
        <f>Wh_hp&gt;='2025'!Maxi_hp</f>
        <v>1</v>
      </c>
      <c r="I369" s="388">
        <f>IF(H369,Wh_hp,'2025'!Maxi_hp)</f>
        <v>22.834297883487768</v>
      </c>
      <c r="J369" s="85">
        <f>IF(H369,An,'2025'!An_max)</f>
        <v>2026</v>
      </c>
      <c r="K369" s="197">
        <f t="shared" si="129"/>
        <v>46377</v>
      </c>
      <c r="L369" s="147">
        <f>IF(t&lt;Tvie,1-EXP((T0-t)*PertePVj)+'2025'!Pspv,1-EXP((T0-t)*PertePVj)+Pspv)</f>
        <v>5.3989595103032695E-2</v>
      </c>
      <c r="M369" s="832"/>
      <c r="N369" s="832"/>
      <c r="O369" s="48">
        <f>IF(t&lt;Tnet,'2025'!Resal+('2025'!Salim-'2025'!Resal)*(1-EXP(('2025'!Tnet-t)/('2025'!Tau_j))),Resal+(Salim-Resal)*(1-EXP((Tnet-t)/(Tau_j))))*Salcycl</f>
        <v>2.7417566558589734E-2</v>
      </c>
      <c r="P369" s="169">
        <f>(INDEX(Models!$BJ369:$BT369,,T369)*(1-R369)+INDEX(Models!$BJ369:$BT369,,T369+1)*R369-ERP_i)*Q369*Ramure*Pc/MaxiM</f>
        <v>9.1802732274944736E-4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22.164277326671577</v>
      </c>
      <c r="W369" s="400">
        <f t="shared" si="136"/>
        <v>20.991394274306558</v>
      </c>
      <c r="X369" s="157">
        <f t="shared" si="137"/>
        <v>46377</v>
      </c>
      <c r="Y369" s="383">
        <f t="shared" si="138"/>
        <v>19.985768275025489</v>
      </c>
      <c r="Z369" s="383">
        <f t="shared" si="139"/>
        <v>21.126372576422344</v>
      </c>
      <c r="AA369" s="384">
        <f t="shared" si="140"/>
        <v>22.541919386615827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6.2796196983738575E-2</v>
      </c>
      <c r="AD369" s="230">
        <f>(INDEX(Models!$BJ369:$BT369,,AH369)*(1-AF369)+INDEX(Models!$BJ369:$BT369,,AH369+1)*AF369-ERP_i)*AE369*Ramure*Pc/MaxiM</f>
        <v>1.3851483869622863E-2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'2025'!Wh/'2025'!Env_an*'2026'!Env_an</f>
        <v>17.747610825463834</v>
      </c>
      <c r="C370" s="829"/>
      <c r="D370" s="391">
        <f t="shared" si="127"/>
        <v>18.760841179995289</v>
      </c>
      <c r="E370" s="383">
        <f t="shared" si="150"/>
        <v>19.290986263036334</v>
      </c>
      <c r="F370" s="383">
        <f t="shared" si="128"/>
        <v>19.30362596781158</v>
      </c>
      <c r="G370" s="110">
        <f t="shared" si="151"/>
        <v>0.80010763090477444</v>
      </c>
      <c r="H370" s="412" t="b">
        <f>Wh_hp&gt;='2025'!Maxi_hp</f>
        <v>0</v>
      </c>
      <c r="I370" s="388">
        <f>IF(H370,Wh_hp,'2025'!Maxi_hp)</f>
        <v>24.5370383220707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5.4007725176622889E-2</v>
      </c>
      <c r="M370" s="832"/>
      <c r="N370" s="832"/>
      <c r="O370" s="48">
        <f>IF(t&lt;Tnet,'2025'!Resal+('2025'!Salim-'2025'!Resal)*(1-EXP(('2025'!Tnet-t)/('2025'!Tau_j))),Resal+(Salim-Resal)*(1-EXP((Tnet-t)/(Tau_j))))*Salcycl</f>
        <v>2.7481491916090433E-2</v>
      </c>
      <c r="P370" s="169">
        <f>(INDEX(Models!$BJ370:$BT370,,T370)*(1-R370)+INDEX(Models!$BJ370:$BT370,,T370+1)*R370-ERP_i)*Q370*Ramure*Pc/MaxiM</f>
        <v>9.1611688661274245E-4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22.175728697317286</v>
      </c>
      <c r="W370" s="400">
        <f t="shared" si="136"/>
        <v>17.747610825463834</v>
      </c>
      <c r="X370" s="157">
        <f t="shared" si="137"/>
        <v>46378</v>
      </c>
      <c r="Y370" s="383">
        <f t="shared" si="138"/>
        <v>16.944758984533006</v>
      </c>
      <c r="Z370" s="383">
        <f t="shared" si="139"/>
        <v>17.912153656536681</v>
      </c>
      <c r="AA370" s="384">
        <f t="shared" si="140"/>
        <v>19.112916599511465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6.28246838583221E-2</v>
      </c>
      <c r="AD370" s="230">
        <f>(INDEX(Models!$BJ370:$BT370,,AH370)*(1-AF370)+INDEX(Models!$BJ370:$BT370,,AH370+1)*AF370-ERP_i)*AE370*Ramure*Pc/MaxiM</f>
        <v>1.3822480496312867E-2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'2025'!Wh/'2025'!Env_an*'2026'!Env_an</f>
        <v>17.985836018346834</v>
      </c>
      <c r="C371" s="829"/>
      <c r="D371" s="391">
        <f t="shared" si="127"/>
        <v>19.013031287972357</v>
      </c>
      <c r="E371" s="383">
        <f t="shared" si="150"/>
        <v>19.551590263175843</v>
      </c>
      <c r="F371" s="383">
        <f t="shared" si="128"/>
        <v>19.564571805692882</v>
      </c>
      <c r="G371" s="110">
        <f t="shared" si="151"/>
        <v>0.80998285265370495</v>
      </c>
      <c r="H371" s="412" t="b">
        <f>Wh_hp&gt;='2025'!Maxi_hp</f>
        <v>0</v>
      </c>
      <c r="I371" s="388">
        <f>IF(H371,Wh_hp,'2025'!Maxi_hp)</f>
        <v>20.621523847427799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5.4025854902754356E-2</v>
      </c>
      <c r="M371" s="832"/>
      <c r="N371" s="832"/>
      <c r="O371" s="48">
        <f>IF(t&lt;Tnet,'2025'!Resal+('2025'!Salim-'2025'!Resal)*(1-EXP(('2025'!Tnet-t)/('2025'!Tau_j))),Resal+(Salim-Resal)*(1-EXP((Tnet-t)/(Tau_j))))*Salcycl</f>
        <v>2.7545533020801198E-2</v>
      </c>
      <c r="P371" s="169">
        <f>(INDEX(Models!$BJ371:$BT371,,T371)*(1-R371)+INDEX(Models!$BJ371:$BT371,,T371+1)*R371-ERP_i)*Q371*Ramure*Pc/MaxiM</f>
        <v>9.1039112395440748E-4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22.199720501444528</v>
      </c>
      <c r="W371" s="400">
        <f t="shared" si="136"/>
        <v>17.985836018346834</v>
      </c>
      <c r="X371" s="157">
        <f t="shared" si="137"/>
        <v>46379</v>
      </c>
      <c r="Y371" s="383">
        <f t="shared" si="138"/>
        <v>17.169893977352704</v>
      </c>
      <c r="Z371" s="383">
        <f t="shared" si="139"/>
        <v>18.150489700315909</v>
      </c>
      <c r="AA371" s="384">
        <f t="shared" si="140"/>
        <v>19.367826607080932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6.2853562842201463E-2</v>
      </c>
      <c r="AD371" s="230">
        <f>(INDEX(Models!$BJ371:$BT371,,AH371)*(1-AF371)+INDEX(Models!$BJ371:$BT371,,AH371+1)*AF371-ERP_i)*AE371*Ramure*Pc/MaxiM</f>
        <v>1.3797673293591642E-2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'2025'!Wh/'2025'!Env_an*'2026'!Env_an</f>
        <v>21.375487192049579</v>
      </c>
      <c r="C372" s="829"/>
      <c r="D372" s="391">
        <f t="shared" si="127"/>
        <v>22.596703056867131</v>
      </c>
      <c r="E372" s="383">
        <f t="shared" si="150"/>
        <v>23.238305132442154</v>
      </c>
      <c r="F372" s="383">
        <f t="shared" si="128"/>
        <v>23.258098341697242</v>
      </c>
      <c r="G372" s="110">
        <f t="shared" si="151"/>
        <v>0.96122143554332917</v>
      </c>
      <c r="H372" s="412" t="b">
        <f>Wh_hp&gt;='2025'!Maxi_hp</f>
        <v>1</v>
      </c>
      <c r="I372" s="388">
        <f>IF(H372,Wh_hp,'2025'!Maxi_hp)</f>
        <v>23.258098341697242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5.4043984281433755E-2</v>
      </c>
      <c r="M372" s="832"/>
      <c r="N372" s="832"/>
      <c r="O372" s="48">
        <f>IF(t&lt;Tnet,'2025'!Resal+('2025'!Salim-'2025'!Resal)*(1-EXP(('2025'!Tnet-t)/('2025'!Tau_j))),Resal+(Salim-Resal)*(1-EXP((Tnet-t)/(Tau_j))))*Salcycl</f>
        <v>2.7609676003406372E-2</v>
      </c>
      <c r="P372" s="169">
        <f>(INDEX(Models!$BJ372:$BT372,,T372)*(1-R372)+INDEX(Models!$BJ372:$BT372,,T372+1)*R372-ERP_i)*Q372*Ramure*Pc/MaxiM</f>
        <v>9.0086898123042003E-4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22.236729271778145</v>
      </c>
      <c r="W372" s="400">
        <f t="shared" si="136"/>
        <v>21.375487192049579</v>
      </c>
      <c r="X372" s="157">
        <f t="shared" si="137"/>
        <v>46380</v>
      </c>
      <c r="Y372" s="383">
        <f t="shared" si="138"/>
        <v>20.349319081982355</v>
      </c>
      <c r="Z372" s="383">
        <f t="shared" si="139"/>
        <v>21.511908316925943</v>
      </c>
      <c r="AA372" s="384">
        <f t="shared" si="140"/>
        <v>22.955408686289729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6.2882799826862845E-2</v>
      </c>
      <c r="AD372" s="230">
        <f>(INDEX(Models!$BJ372:$BT372,,AH372)*(1-AF372)+INDEX(Models!$BJ372:$BT372,,AH372+1)*AF372-ERP_i)*AE372*Ramure*Pc/MaxiM</f>
        <v>1.3776630054362046E-2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'2025'!Wh/'2025'!Env_an*'2026'!Env_an</f>
        <v>12.075981069639873</v>
      </c>
      <c r="C373" s="829"/>
      <c r="D373" s="391">
        <f t="shared" si="127"/>
        <v>12.76614589561464</v>
      </c>
      <c r="E373" s="383">
        <f t="shared" si="150"/>
        <v>13.129490192458972</v>
      </c>
      <c r="F373" s="383">
        <f t="shared" si="128"/>
        <v>13.133517425278077</v>
      </c>
      <c r="G373" s="110">
        <f t="shared" si="151"/>
        <v>0.5415215050195753</v>
      </c>
      <c r="H373" s="412" t="b">
        <f>Wh_hp&gt;='2025'!Maxi_hp</f>
        <v>1</v>
      </c>
      <c r="I373" s="388">
        <f>IF(H373,Wh_hp,'2025'!Maxi_hp)</f>
        <v>13.133517425278077</v>
      </c>
      <c r="J373" s="85">
        <f>IF(H373,An,'2025'!An_max)</f>
        <v>2026</v>
      </c>
      <c r="K373" s="197">
        <f t="shared" si="129"/>
        <v>46381</v>
      </c>
      <c r="L373" s="147">
        <f>IF(t&lt;Tvie,1-EXP((T0-t)*PertePVj)+'2025'!Pspv,1-EXP((T0-t)*PertePVj)+Pspv)</f>
        <v>5.4062113312667748E-2</v>
      </c>
      <c r="M373" s="832"/>
      <c r="N373" s="832"/>
      <c r="O373" s="48">
        <f>IF(t&lt;Tnet,'2025'!Resal+('2025'!Salim-'2025'!Resal)*(1-EXP(('2025'!Tnet-t)/('2025'!Tau_j))),Resal+(Salim-Resal)*(1-EXP((Tnet-t)/(Tau_j))))*Salcycl</f>
        <v>2.7673907479897522E-2</v>
      </c>
      <c r="P373" s="169">
        <f>(INDEX(Models!$BJ373:$BT373,,T373)*(1-R373)+INDEX(Models!$BJ373:$BT373,,T373+1)*R373-ERP_i)*Q373*Ramure*Pc/MaxiM</f>
        <v>8.875689590331909E-4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22.287136322756773</v>
      </c>
      <c r="W373" s="400">
        <f t="shared" si="136"/>
        <v>12.075981069639873</v>
      </c>
      <c r="X373" s="157">
        <f t="shared" si="137"/>
        <v>46381</v>
      </c>
      <c r="Y373" s="383">
        <f t="shared" si="138"/>
        <v>11.586561419936508</v>
      </c>
      <c r="Z373" s="383">
        <f t="shared" si="139"/>
        <v>12.248755000724799</v>
      </c>
      <c r="AA373" s="384">
        <f t="shared" si="140"/>
        <v>13.071088023076948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6.2912362069655073E-2</v>
      </c>
      <c r="AD373" s="230">
        <f>(INDEX(Models!$BJ373:$BT373,,AH373)*(1-AF373)+INDEX(Models!$BJ373:$BT373,,AH373+1)*AF373-ERP_i)*AE373*Ramure*Pc/MaxiM</f>
        <v>1.375892629347188E-2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'2025'!Wh/'2025'!Env_an*'2026'!Env_an</f>
        <v>20.876661957507881</v>
      </c>
      <c r="C374" s="829"/>
      <c r="D374" s="391">
        <f t="shared" si="127"/>
        <v>22.070225070221884</v>
      </c>
      <c r="E374" s="383">
        <f t="shared" si="150"/>
        <v>22.699879191030476</v>
      </c>
      <c r="F374" s="383">
        <f t="shared" si="128"/>
        <v>22.717792821100165</v>
      </c>
      <c r="G374" s="110">
        <f t="shared" si="151"/>
        <v>0.93397342512297687</v>
      </c>
      <c r="H374" s="412" t="b">
        <f>Wh_hp&gt;='2025'!Maxi_hp</f>
        <v>1</v>
      </c>
      <c r="I374" s="388">
        <f>IF(H374,Wh_hp,'2025'!Maxi_hp)</f>
        <v>22.717792821100165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5.4080241996462997E-2</v>
      </c>
      <c r="M374" s="832"/>
      <c r="N374" s="832"/>
      <c r="O374" s="48">
        <f>IF(t&lt;Tnet,'2025'!Resal+('2025'!Salim-'2025'!Resal)*(1-EXP(('2025'!Tnet-t)/('2025'!Tau_j))),Resal+(Salim-Resal)*(1-EXP((Tnet-t)/(Tau_j))))*Salcycl</f>
        <v>2.7738214618225468E-2</v>
      </c>
      <c r="P374" s="169">
        <f>(INDEX(Models!$BJ374:$BT374,,T374)*(1-R374)+INDEX(Models!$BJ374:$BT374,,T374+1)*R374-ERP_i)*Q374*Ramure*Pc/MaxiM</f>
        <v>8.705464230176123E-4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22.350687703783912</v>
      </c>
      <c r="W374" s="400">
        <f t="shared" si="136"/>
        <v>20.876661957507881</v>
      </c>
      <c r="X374" s="157">
        <f t="shared" si="137"/>
        <v>46382</v>
      </c>
      <c r="Y374" s="383">
        <f t="shared" si="138"/>
        <v>19.885937503052538</v>
      </c>
      <c r="Z374" s="383">
        <f t="shared" si="139"/>
        <v>21.022858794094645</v>
      </c>
      <c r="AA374" s="384">
        <f t="shared" si="140"/>
        <v>22.43496527679827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6.2942218331132949E-2</v>
      </c>
      <c r="AD374" s="230">
        <f>(INDEX(Models!$BJ374:$BT374,,AH374)*(1-AF374)+INDEX(Models!$BJ374:$BT374,,AH374+1)*AF374-ERP_i)*AE374*Ramure*Pc/MaxiM</f>
        <v>1.3744534528457173E-2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'2025'!Wh/'2025'!Env_an*'2026'!Env_an</f>
        <v>7.0735926825659687</v>
      </c>
      <c r="C375" s="829"/>
      <c r="D375" s="391">
        <f t="shared" si="127"/>
        <v>7.478148319772842</v>
      </c>
      <c r="E375" s="383">
        <f t="shared" si="150"/>
        <v>7.6920059711267843</v>
      </c>
      <c r="F375" s="383">
        <f t="shared" si="128"/>
        <v>7.6921499893121901</v>
      </c>
      <c r="G375" s="110">
        <f t="shared" si="151"/>
        <v>0.3151443575855899</v>
      </c>
      <c r="H375" s="412" t="b">
        <f>Wh_hp&gt;='2025'!Maxi_hp</f>
        <v>0</v>
      </c>
      <c r="I375" s="388">
        <f>IF(H375,Wh_hp,'2025'!Maxi_hp)</f>
        <v>21.290446008401918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5.4098370332826162E-2</v>
      </c>
      <c r="M375" s="832"/>
      <c r="N375" s="832"/>
      <c r="O375" s="48">
        <f>IF(t&lt;Tnet,'2025'!Resal+('2025'!Salim-'2025'!Resal)*(1-EXP(('2025'!Tnet-t)/('2025'!Tau_j))),Resal+(Salim-Resal)*(1-EXP((Tnet-t)/(Tau_j))))*Salcycl</f>
        <v>2.7802585197761447E-2</v>
      </c>
      <c r="P375" s="169">
        <f>(INDEX(Models!$BJ375:$BT375,,T375)*(1-R375)+INDEX(Models!$BJ375:$BT375,,T375+1)*R375-ERP_i)*Q375*Ramure*Pc/MaxiM</f>
        <v>8.5066051906370623E-4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22.426889815201072</v>
      </c>
      <c r="W375" s="400">
        <f t="shared" si="136"/>
        <v>7.0735926825659687</v>
      </c>
      <c r="X375" s="157">
        <f t="shared" si="137"/>
        <v>46383</v>
      </c>
      <c r="Y375" s="383">
        <f t="shared" si="138"/>
        <v>6.8157689227124285</v>
      </c>
      <c r="Z375" s="383">
        <f t="shared" si="139"/>
        <v>7.205579004140878</v>
      </c>
      <c r="AA375" s="384">
        <f t="shared" si="140"/>
        <v>7.6898252890529939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6.2972338994681035E-2</v>
      </c>
      <c r="AD375" s="230">
        <f>(INDEX(Models!$BJ375:$BT375,,AH375)*(1-AF375)+INDEX(Models!$BJ375:$BT375,,AH375+1)*AF375-ERP_i)*AE375*Ramure*Pc/MaxiM</f>
        <v>1.3731118216653678E-2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'2025'!Wh/'2025'!Env_an*'2026'!Env_an</f>
        <v>21.958551648586855</v>
      </c>
      <c r="C376" s="829"/>
      <c r="D376" s="391">
        <f t="shared" si="127"/>
        <v>23.214858499621617</v>
      </c>
      <c r="E376" s="383">
        <f t="shared" si="150"/>
        <v>23.880331891392171</v>
      </c>
      <c r="F376" s="383">
        <f t="shared" si="128"/>
        <v>23.899460218766578</v>
      </c>
      <c r="G376" s="110">
        <f t="shared" si="151"/>
        <v>0.97524692255118084</v>
      </c>
      <c r="H376" s="412" t="b">
        <f>Wh_hp&gt;='2025'!Maxi_hp</f>
        <v>1</v>
      </c>
      <c r="I376" s="388">
        <f>IF(H376,Wh_hp,'2025'!Maxi_hp)</f>
        <v>23.899460218766578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5.4116498321763906E-2</v>
      </c>
      <c r="M376" s="832"/>
      <c r="N376" s="832"/>
      <c r="O376" s="48">
        <f>IF(t&lt;Tnet,'2025'!Resal+('2025'!Salim-'2025'!Resal)*(1-EXP(('2025'!Tnet-t)/('2025'!Tau_j))),Resal+(Salim-Resal)*(1-EXP((Tnet-t)/(Tau_j))))*Salcycl</f>
        <v>2.7867007661247334E-2</v>
      </c>
      <c r="P376" s="169">
        <f>(INDEX(Models!$BJ376:$BT376,,T376)*(1-R376)+INDEX(Models!$BJ376:$BT376,,T376+1)*R376-ERP_i)*Q376*Ramure*Pc/MaxiM</f>
        <v>8.2967104577226698E-4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22.515228851347</v>
      </c>
      <c r="W376" s="400">
        <f t="shared" si="136"/>
        <v>21.958551648586855</v>
      </c>
      <c r="X376" s="157">
        <f t="shared" si="137"/>
        <v>46384</v>
      </c>
      <c r="Y376" s="383">
        <f t="shared" si="138"/>
        <v>20.901630055010994</v>
      </c>
      <c r="Z376" s="383">
        <f t="shared" si="139"/>
        <v>22.097467624634774</v>
      </c>
      <c r="AA376" s="384">
        <f t="shared" si="140"/>
        <v>23.583277704495028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6.3002696167931513E-2</v>
      </c>
      <c r="AD376" s="230">
        <f>(INDEX(Models!$BJ376:$BT376,,AH376)*(1-AF376)+INDEX(Models!$BJ376:$BT376,,AH376+1)*AF376-ERP_i)*AE376*Ramure*Pc/MaxiM</f>
        <v>1.3714083418583321E-2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'2025'!Wh/'2025'!Env_an*'2026'!Env_an</f>
        <v>10.428866232091195</v>
      </c>
      <c r="C377" s="829"/>
      <c r="D377" s="391">
        <f t="shared" si="127"/>
        <v>11.025740574034758</v>
      </c>
      <c r="E377" s="383">
        <f t="shared" si="150"/>
        <v>11.342554816768574</v>
      </c>
      <c r="F377" s="383">
        <f t="shared" si="128"/>
        <v>11.344664020934141</v>
      </c>
      <c r="G377" s="110">
        <f t="shared" si="151"/>
        <v>0.46085676039159301</v>
      </c>
      <c r="H377" s="412" t="b">
        <f>Wh_hp&gt;='2025'!Maxi_hp</f>
        <v>0</v>
      </c>
      <c r="I377" s="388">
        <f>IF(H377,Wh_hp,'2025'!Maxi_hp)</f>
        <v>25.022994124609578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5.4134625963282779E-2</v>
      </c>
      <c r="M377" s="832"/>
      <c r="N377" s="832"/>
      <c r="O377" s="48">
        <f>IF(t&lt;Tnet,'2025'!Resal+('2025'!Salim-'2025'!Resal)*(1-EXP(('2025'!Tnet-t)/('2025'!Tau_j))),Resal+(Salim-Resal)*(1-EXP((Tnet-t)/(Tau_j))))*Salcycl</f>
        <v>2.7931471158988301E-2</v>
      </c>
      <c r="P377" s="169">
        <f>(INDEX(Models!$BJ377:$BT377,,T377)*(1-R377)+INDEX(Models!$BJ377:$BT377,,T377+1)*R377-ERP_i)*Q377*Ramure*Pc/MaxiM</f>
        <v>8.0762954934307659E-4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22.615229286685608</v>
      </c>
      <c r="W377" s="400">
        <f t="shared" si="136"/>
        <v>10.428866232091195</v>
      </c>
      <c r="X377" s="157">
        <f t="shared" si="137"/>
        <v>46385</v>
      </c>
      <c r="Y377" s="383">
        <f t="shared" si="138"/>
        <v>10.022450723685225</v>
      </c>
      <c r="Z377" s="383">
        <f t="shared" si="139"/>
        <v>10.596064724213244</v>
      </c>
      <c r="AA377" s="384">
        <f t="shared" si="140"/>
        <v>11.308901708505394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6.3033263765660499E-2</v>
      </c>
      <c r="AD377" s="230">
        <f>(INDEX(Models!$BJ377:$BT377,,AH377)*(1-AF377)+INDEX(Models!$BJ377:$BT377,,AH377+1)*AF377-ERP_i)*AE377*Ramure*Pc/MaxiM</f>
        <v>1.369364841100932E-2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'2025'!Wh/'2025'!Env_an*'2026'!Env_an</f>
        <v>14.128951233010516</v>
      </c>
      <c r="C378" s="829"/>
      <c r="D378" s="391">
        <f t="shared" si="127"/>
        <v>14.937878480556989</v>
      </c>
      <c r="E378" s="383">
        <f t="shared" si="150"/>
        <v>15.368123949762333</v>
      </c>
      <c r="F378" s="383">
        <f t="shared" si="128"/>
        <v>15.373667257583794</v>
      </c>
      <c r="G378" s="110">
        <f t="shared" si="151"/>
        <v>0.62143359202949877</v>
      </c>
      <c r="H378" s="412" t="b">
        <f>Wh_hp&gt;='2025'!Maxi_hp</f>
        <v>0</v>
      </c>
      <c r="I378" s="388">
        <f>IF(H378,Wh_hp,'2025'!Maxi_hp)</f>
        <v>25.027651179472095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5.4152753257389663E-2</v>
      </c>
      <c r="M378" s="832"/>
      <c r="N378" s="832"/>
      <c r="O378" s="48">
        <f>IF(t&lt;Tnet,'2025'!Resal+('2025'!Salim-'2025'!Resal)*(1-EXP(('2025'!Tnet-t)/('2025'!Tau_j))),Resal+(Salim-Resal)*(1-EXP((Tnet-t)/(Tau_j))))*Salcycl</f>
        <v>2.7995965585116054E-2</v>
      </c>
      <c r="P378" s="169">
        <f>(INDEX(Models!$BJ378:$BT378,,T378)*(1-R378)+INDEX(Models!$BJ378:$BT378,,T378+1)*R378-ERP_i)*Q378*Ramure*Pc/MaxiM</f>
        <v>7.8458887559813145E-4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22.726415716541325</v>
      </c>
      <c r="W378" s="400">
        <f t="shared" si="136"/>
        <v>14.128951233010516</v>
      </c>
      <c r="X378" s="157">
        <f t="shared" si="137"/>
        <v>46386</v>
      </c>
      <c r="Y378" s="383">
        <f t="shared" si="138"/>
        <v>13.538527166312949</v>
      </c>
      <c r="Z378" s="383">
        <f t="shared" si="139"/>
        <v>14.313650764368228</v>
      </c>
      <c r="AA378" s="384">
        <f t="shared" si="140"/>
        <v>15.277085129451748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6.3064017574018388E-2</v>
      </c>
      <c r="AD378" s="230">
        <f>(INDEX(Models!$BJ378:$BT378,,AH378)*(1-AF378)+INDEX(Models!$BJ378:$BT378,,AH378+1)*AF378-ERP_i)*AE378*Ramure*Pc/MaxiM</f>
        <v>1.3670044268631066E-2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'2025'!Wh/'2025'!Env_an*'2026'!Env_an</f>
        <v>11.688848078017312</v>
      </c>
      <c r="C379" s="829"/>
      <c r="D379" s="391">
        <f t="shared" si="127"/>
        <v>12.358308528859348</v>
      </c>
      <c r="E379" s="383">
        <f t="shared" si="150"/>
        <v>12.715100368876437</v>
      </c>
      <c r="F379" s="383">
        <f t="shared" si="128"/>
        <v>12.718024277589175</v>
      </c>
      <c r="G379" s="110">
        <f t="shared" si="151"/>
        <v>0.51131317419773059</v>
      </c>
      <c r="H379" s="412" t="b">
        <f>Wh_hp&gt;='2025'!Maxi_hp</f>
        <v>0</v>
      </c>
      <c r="I379" s="388">
        <f>IF(H379,Wh_hp,'2025'!Maxi_hp)</f>
        <v>25.278911318099443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5.4170880204090999E-2</v>
      </c>
      <c r="M379" s="832"/>
      <c r="N379" s="832"/>
      <c r="O379" s="48">
        <f>IF(t&lt;Tnet,'2025'!Resal+('2025'!Salim-'2025'!Resal)*(1-EXP(('2025'!Tnet-t)/('2025'!Tau_j))),Resal+(Salim-Resal)*(1-EXP((Tnet-t)/(Tau_j))))*Salcycl</f>
        <v>2.8060481605826016E-2</v>
      </c>
      <c r="P379" s="169">
        <f>(INDEX(Models!$BJ379:$BT379,,T379)*(1-R379)+INDEX(Models!$BJ379:$BT379,,T379+1)*R379-ERP_i)*Q379*Ramure*Pc/MaxiM</f>
        <v>7.6060271030869628E-4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22.848312873260031</v>
      </c>
      <c r="W379" s="400">
        <f t="shared" si="136"/>
        <v>11.688848078017312</v>
      </c>
      <c r="X379" s="157">
        <f t="shared" si="137"/>
        <v>46387</v>
      </c>
      <c r="Y379" s="383">
        <f t="shared" si="138"/>
        <v>11.223626579705027</v>
      </c>
      <c r="Z379" s="383">
        <f t="shared" si="139"/>
        <v>11.866442198488095</v>
      </c>
      <c r="AA379" s="384">
        <f t="shared" si="140"/>
        <v>12.665575889739278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6.3094935296118843E-2</v>
      </c>
      <c r="AD379" s="230">
        <f>(INDEX(Models!$BJ379:$BT379,,AH379)*(1-AF379)+INDEX(Models!$BJ379:$BT379,,AH379+1)*AF379-ERP_i)*AE379*Ramure*Pc/MaxiM</f>
        <v>1.3643512800569763E-2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17.030411167079539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1.7494170998254119</v>
      </c>
      <c r="C381" s="374"/>
      <c r="D381" s="372">
        <f>MIN(D15:D380)</f>
        <v>1.837070986557986</v>
      </c>
      <c r="E381" s="372">
        <f>MIN(E15:E380)</f>
        <v>1.9315691586229558</v>
      </c>
      <c r="F381" s="373">
        <f>MIN(F15:F380)</f>
        <v>1.9315691586229558</v>
      </c>
      <c r="G381" s="125">
        <f>+MIN(G15:G380)</f>
        <v>7.2192481081095702E-2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4.7549666746066976E-2</v>
      </c>
      <c r="M381" s="833"/>
      <c r="N381" s="833"/>
      <c r="O381" s="47">
        <f t="shared" si="152"/>
        <v>1.0110637789076154E-2</v>
      </c>
      <c r="P381" s="168">
        <f t="shared" si="152"/>
        <v>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22.164277326671577</v>
      </c>
      <c r="W381" s="58"/>
      <c r="X381" s="112" t="s">
        <v>7</v>
      </c>
      <c r="Y381" s="372">
        <f>MIN(Y15:Y380)</f>
        <v>1.7037212617460309</v>
      </c>
      <c r="Z381" s="372">
        <f>MIN(Z15:Z380)</f>
        <v>1.7890855756742921</v>
      </c>
      <c r="AA381" s="372">
        <f>MIN(AA15:AA380)</f>
        <v>1.9315691586229558</v>
      </c>
      <c r="AB381" s="200" t="s">
        <v>7</v>
      </c>
      <c r="AC381" s="47">
        <f t="shared" ref="AC381:AH381" si="153">MIN(AC15:AC380)</f>
        <v>5.4387607163515733E-2</v>
      </c>
      <c r="AD381" s="168">
        <f t="shared" si="153"/>
        <v>3.3821532452278815E-4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31.018749884037074</v>
      </c>
      <c r="C382" s="374"/>
      <c r="D382" s="374">
        <f>AVERAGE(D15:D380)</f>
        <v>32.678957680595417</v>
      </c>
      <c r="E382" s="374">
        <f>AVERAGE(E15:E380)</f>
        <v>33.580815338333437</v>
      </c>
      <c r="F382" s="375">
        <f>AVERAGE(F15:F380)</f>
        <v>33.601529218854196</v>
      </c>
      <c r="G382" s="126">
        <f>AVERAGE(G15:G380)</f>
        <v>0.6882949770233534</v>
      </c>
      <c r="H382" s="94"/>
      <c r="I382" s="375">
        <f>AVERAGE(I15:I380)</f>
        <v>43.531582232672875</v>
      </c>
      <c r="J382" s="59">
        <f>AVERAGE(J15:J380)</f>
        <v>2021.3907103825136</v>
      </c>
      <c r="K382" s="200" t="s">
        <v>8</v>
      </c>
      <c r="L382" s="147">
        <f t="shared" ref="L382:V382" si="154">AVERAGE(L15:L380)</f>
        <v>5.0864112053621242E-2</v>
      </c>
      <c r="M382" s="832"/>
      <c r="N382" s="832"/>
      <c r="O382" s="48">
        <f t="shared" si="154"/>
        <v>3.0141719027960635E-2</v>
      </c>
      <c r="P382" s="169">
        <f t="shared" si="154"/>
        <v>1.5074141021854896E-3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43.578278276295656</v>
      </c>
      <c r="X382" s="112" t="s">
        <v>8</v>
      </c>
      <c r="Y382" s="374">
        <f>AVERAGE(Y15:Y380)</f>
        <v>29.801619895601419</v>
      </c>
      <c r="Z382" s="374">
        <f>AVERAGE(Z15:Z380)</f>
        <v>31.396360373414218</v>
      </c>
      <c r="AA382" s="374">
        <f>AVERAGE(AA15:AA380)</f>
        <v>33.536010739600769</v>
      </c>
      <c r="AB382" s="200" t="s">
        <v>8</v>
      </c>
      <c r="AC382" s="48">
        <f t="shared" ref="AC382:AH382" si="155">AVERAGE(AC15:AC380)</f>
        <v>6.5194480630414955E-2</v>
      </c>
      <c r="AD382" s="169">
        <f t="shared" si="155"/>
        <v>4.7406043401206069E-3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60.909884882304148</v>
      </c>
      <c r="C383" s="376"/>
      <c r="D383" s="376">
        <f>MAX(D15:D380)</f>
        <v>64.132368495700192</v>
      </c>
      <c r="E383" s="376">
        <f>MAX(E15:E380)</f>
        <v>64.958872533441053</v>
      </c>
      <c r="F383" s="377">
        <f>MAX(F15:F380)</f>
        <v>64.959236791876052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2026</v>
      </c>
      <c r="K383" s="200" t="s">
        <v>9</v>
      </c>
      <c r="L383" s="148">
        <f t="shared" ref="L383:T383" si="156">MAX(L15:L380)</f>
        <v>5.4170880204090999E-2</v>
      </c>
      <c r="M383" s="834"/>
      <c r="N383" s="834"/>
      <c r="O383" s="49">
        <f t="shared" si="156"/>
        <v>5.4317741392980352E-2</v>
      </c>
      <c r="P383" s="170">
        <f t="shared" si="156"/>
        <v>1.1753896867321749E-2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60.087756115208705</v>
      </c>
      <c r="X383" s="112" t="s">
        <v>9</v>
      </c>
      <c r="Y383" s="376">
        <f>MAX(Y15:Y380)</f>
        <v>58.179103710422197</v>
      </c>
      <c r="Z383" s="376">
        <f>MAX(Z15:Z380)</f>
        <v>61.257113276704807</v>
      </c>
      <c r="AA383" s="376">
        <f>MAX(AA15:AA380)</f>
        <v>64.935933467128109</v>
      </c>
      <c r="AB383" s="200" t="s">
        <v>9</v>
      </c>
      <c r="AC383" s="49">
        <f t="shared" ref="AC383:AH383" si="157">MAX(AC15:AC380)</f>
        <v>7.7037760848720702E-2</v>
      </c>
      <c r="AD383" s="170">
        <f t="shared" si="157"/>
        <v>1.4527447094510303E-2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'2026'!An+1</f>
        <v>2027</v>
      </c>
      <c r="K1" s="1279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352.39330271929128</v>
      </c>
      <c r="AK4" s="822">
        <f>AM12-AK12</f>
        <v>23.402720044289033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352.39330271929128</v>
      </c>
      <c r="AA5" s="236">
        <f>Wh_Pvg_s-Wh_Pvg</f>
        <v>23.402720044289033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11100.015027760486</v>
      </c>
      <c r="AK6" s="514">
        <f>SUMIF(AK15:AK380,"FAUX",Wh)</f>
        <v>11100.015027760486</v>
      </c>
      <c r="AL6" s="514">
        <f>SUMIF(AJ15:AJ380,"FAUX",Wh_s)</f>
        <v>10722.343095416216</v>
      </c>
      <c r="AM6" s="514">
        <f>SUMIF(AK15:AK380,"FAUX",Wh_s)</f>
        <v>10722.343095416216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11775.902849751208</v>
      </c>
      <c r="AK8" s="514">
        <f>SUMIF(AK15:AK380,"FAUX",Wh_sa)</f>
        <v>12264.358112609361</v>
      </c>
      <c r="AL8" s="514">
        <f>SUMIF(AJ15:AJ380,"FAUX",Wh_pvt_s)</f>
        <v>11375.259261445432</v>
      </c>
      <c r="AM8" s="514">
        <f>SUMIF(AK15:AK380,"FAUX",Wh_sa_s)</f>
        <v>12237.567205710395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11775.902849751208</v>
      </c>
      <c r="E9" s="184">
        <f>SUM(E$15:E$380)</f>
        <v>12264.358112609361</v>
      </c>
      <c r="F9" s="184">
        <f>SUM(F$15:F$380)</f>
        <v>12266.816731988918</v>
      </c>
      <c r="H9" s="1280">
        <f>+SUM(Wh)</f>
        <v>11100.015027760486</v>
      </c>
      <c r="I9" s="1281"/>
      <c r="J9" s="1282"/>
      <c r="K9" s="191"/>
      <c r="L9" s="231"/>
      <c r="M9" s="231"/>
      <c r="N9" s="231"/>
      <c r="O9" s="222">
        <f>Tnet_2027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10722.343095416216</v>
      </c>
      <c r="Y9" s="1275"/>
      <c r="Z9" s="514">
        <f>SUM(Z$15:Z$380)</f>
        <v>11375.259261445432</v>
      </c>
      <c r="AA9" s="514">
        <f>SUM(AA$15:AA$380)</f>
        <v>12237.567205710395</v>
      </c>
      <c r="AB9" s="514">
        <f>F9</f>
        <v>12266.816731988918</v>
      </c>
      <c r="AC9" s="324">
        <f>IF(An_Tnet,Tnet,'2026'!Tnet_s)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0.01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5.3792459287066725E-2</v>
      </c>
      <c r="AD10" s="426"/>
      <c r="AE10" s="426"/>
      <c r="AF10" s="259"/>
      <c r="AG10" s="260"/>
      <c r="AH10" s="261"/>
      <c r="AI10" s="471"/>
      <c r="AJ10" s="514">
        <f>SUMIF(AJ15:AJ380,"FAUX",Wh_sa)</f>
        <v>12264.358112609361</v>
      </c>
      <c r="AK10" s="514">
        <f>SUMIF(AK15:AK380,"FAUX",Wh_hp)</f>
        <v>12266.816731988918</v>
      </c>
      <c r="AL10" s="514">
        <f>SUMIF(AJ15:AJ380,"FAUX",Wh_sa_s)</f>
        <v>12237.567205710395</v>
      </c>
      <c r="AM10" s="514">
        <f>SUMIF(AK15:AK380,"FAUX",Wh_hp)</f>
        <v>12266.816731988918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675.88782199072193</v>
      </c>
      <c r="E11" s="51">
        <f>(E$9-D$9)*Prod_an/D$9</f>
        <v>460.41996331761078</v>
      </c>
      <c r="F11" s="186">
        <f>(F$9-E$9)*Prod_an/E$9</f>
        <v>2.2252050869718207</v>
      </c>
      <c r="G11" s="185" t="s">
        <v>6</v>
      </c>
      <c r="K11" s="194"/>
      <c r="L11" s="211">
        <f>Tvie_2027</f>
        <v>43481</v>
      </c>
      <c r="M11" s="831"/>
      <c r="N11" s="831"/>
      <c r="O11" s="202">
        <f>IF(An_Tnet,Salim_2027,'2026'!Salim)</f>
        <v>0.1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652.91616602921567</v>
      </c>
      <c r="Z11" s="51">
        <f>(AA$9-Z$9)*Prod_an_s/Z$9</f>
        <v>812.81326603690206</v>
      </c>
      <c r="AA11" s="186">
        <f>(AB$9-AA$9)*Prod_an_s/AA$9</f>
        <v>25.627925131260852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Pspv_2027</f>
        <v>0</v>
      </c>
      <c r="M12" s="212"/>
      <c r="N12" s="212"/>
      <c r="O12" s="205">
        <f>IF(An_Tnet,Tau_2027*365,'2026'!Tau_j)</f>
        <v>1095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460.41996331761078</v>
      </c>
      <c r="AK12" s="822">
        <f>IF($AK8=0,0,($AK10-$AK8)*$AK6/$AK8)</f>
        <v>2.2252050869718207</v>
      </c>
      <c r="AL12" s="821">
        <f>IF($AL8=0,0,($AL10-$AL8)*$AL6/$AL8)</f>
        <v>812.81326603690206</v>
      </c>
      <c r="AM12" s="822">
        <f>IF($AM8=0,0,($AM10-$AM8)*$AM6/$AM8)</f>
        <v>25.627925131260852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460.41996331761078</v>
      </c>
      <c r="AK13" s="73">
        <f>+AK11+AK12</f>
        <v>2.2252050869718207</v>
      </c>
      <c r="AL13" s="73">
        <f>+AL11+AL12</f>
        <v>812.81326603690206</v>
      </c>
      <c r="AM13" s="73">
        <f>+AM11+AM12</f>
        <v>25.627925131260852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'2026'!Wh/'2026'!Env_an*'2027'!Env_an</f>
        <v>23.380447486581428</v>
      </c>
      <c r="C15" s="829"/>
      <c r="D15" s="391">
        <f t="shared" ref="D15:D78" si="0">Wh/(1-Ppv)</f>
        <v>24.719999719564814</v>
      </c>
      <c r="E15" s="398">
        <f t="shared" ref="E15:E79" si="1">Wh_pvt/(1-Psa)</f>
        <v>25.435369765868614</v>
      </c>
      <c r="F15" s="398">
        <f t="shared" ref="F15:F78" si="2">Wh_sa/(1-Pvg*MEDIAN((-Sdif+Wh/Env_an)/Csdif,0,1))</f>
        <v>25.454097031999805</v>
      </c>
      <c r="G15" s="123">
        <f>+Wh_hp/MaxiM</f>
        <v>1.0174061864224477</v>
      </c>
      <c r="H15" s="412" t="b">
        <f>Wh_hp&gt;='2026'!Maxi_hp</f>
        <v>1</v>
      </c>
      <c r="I15" s="394">
        <f>IF(H15,Wh_hp,'2026'!Maxi_hp)</f>
        <v>25.454097031999805</v>
      </c>
      <c r="J15" s="84">
        <f>IF(H15,An,'2026'!An_max)</f>
        <v>2027</v>
      </c>
      <c r="K15" s="197">
        <f t="shared" ref="K15:K78" si="3">t</f>
        <v>46388</v>
      </c>
      <c r="L15" s="146">
        <f>IF(t&lt;Tvie,1-EXP((T0-t)*PertePVj)+'2026'!Pspv,1-EXP((T0-t)*PertePVj)+Pspv)</f>
        <v>5.4189006803393669E-2</v>
      </c>
      <c r="M15" s="832"/>
      <c r="N15" s="832"/>
      <c r="O15" s="48">
        <f>IF(t&lt;Tnet,'2026'!Resal+('2026'!Salim-'2026'!Resal)*(1-EXP(('2026'!Tnet-t)/('2026'!Tau_j))),Resal+(Salim-Resal)*(1-EXP((Tnet-t)/(Tau_j))))*Salcycl</f>
        <v>2.8125010679567443E-2</v>
      </c>
      <c r="P15" s="301">
        <f>(INDEX(Models!$BJ15:$BT15,,T15)*(1-R15)+INDEX(Models!$BJ15:$BT15,,T15+1)*R15-ERP_i)*Q15*Ramure*Pc/MaxiM</f>
        <v>7.3572698759047546E-4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22.980445566971799</v>
      </c>
      <c r="W15" s="400">
        <f t="shared" ref="W15:W78" si="10">Wh*(A15&gt;Tmaj)</f>
        <v>23.380447486581428</v>
      </c>
      <c r="X15" s="156">
        <f t="shared" ref="X15:X78" si="11">t</f>
        <v>46388</v>
      </c>
      <c r="Y15" s="383">
        <f t="shared" ref="Y15:Y78" si="12">Wh_pvt_s*(1-Ppv)</f>
        <v>22.247950245934359</v>
      </c>
      <c r="Z15" s="383">
        <f>Wh_sa_s*(1-Psa_s)</f>
        <v>23.522617527146529</v>
      </c>
      <c r="AA15" s="384">
        <f t="shared" ref="AA15:AA78" si="13">Wh_hp*(1-Pvg_s*MEDIAN((-Sdif+Wh/Env_an)/Csdif,0,1))</f>
        <v>25.107557090129593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6.3125996579179042E-2</v>
      </c>
      <c r="AD15" s="230">
        <f>(INDEX(Models!$BJ15:$BT15,,AH15)*(1-AF15)+INDEX(Models!$BJ15:$BT15,,AH15+1)*AF15-ERP_i)*AE15*Ramure*Pc/MaxiM</f>
        <v>1.3614308982736897E-2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'2026'!Wh/'2026'!Env_an*'2027'!Env_an</f>
        <v>16.123539835816654</v>
      </c>
      <c r="C16" s="829"/>
      <c r="D16" s="391">
        <f t="shared" si="0"/>
        <v>17.047643727640271</v>
      </c>
      <c r="E16" s="383">
        <f t="shared" si="1"/>
        <v>17.542148925383685</v>
      </c>
      <c r="F16" s="383">
        <f t="shared" si="2"/>
        <v>17.549252252479395</v>
      </c>
      <c r="G16" s="110">
        <f t="shared" ref="G16:G79" si="21">+Wh_hp/MaxiM</f>
        <v>0.69710145984062244</v>
      </c>
      <c r="H16" s="412" t="b">
        <f>Wh_hp&gt;='2026'!Maxi_hp</f>
        <v>0</v>
      </c>
      <c r="I16" s="388">
        <f>IF(H16,Wh_hp,'2026'!Maxi_hp)</f>
        <v>24.084283353934023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5.4207133055304113E-2</v>
      </c>
      <c r="M16" s="832"/>
      <c r="N16" s="832"/>
      <c r="O16" s="48">
        <f>IF(t&lt;Tnet,'2026'!Resal+('2026'!Salim-'2026'!Resal)*(1-EXP(('2026'!Tnet-t)/('2026'!Tau_j))),Resal+(Salim-Resal)*(1-EXP((Tnet-t)/(Tau_j))))*Salcycl</f>
        <v>2.818954506923951E-2</v>
      </c>
      <c r="P16" s="169">
        <f>(INDEX(Models!$BJ16:$BT16,,T16)*(1-R16)+INDEX(Models!$BJ16:$BT16,,T16+1)*R16-ERP_i)*Q16*Ramure*Pc/MaxiM</f>
        <v>7.1312319000702592E-4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23.122266885494952</v>
      </c>
      <c r="W16" s="400">
        <f t="shared" si="10"/>
        <v>16.123539835816654</v>
      </c>
      <c r="X16" s="157">
        <f t="shared" si="11"/>
        <v>46389</v>
      </c>
      <c r="Y16" s="383">
        <f t="shared" si="12"/>
        <v>15.429862084689974</v>
      </c>
      <c r="Z16" s="383">
        <f t="shared" ref="Z16:Z78" si="22">Wh_sa_s*(1-Psa_s)</f>
        <v>16.314208558724747</v>
      </c>
      <c r="AA16" s="384">
        <f t="shared" si="13"/>
        <v>17.414029614249689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6.3157183023564531E-2</v>
      </c>
      <c r="AD16" s="230">
        <f>(INDEX(Models!$BJ16:$BT16,,AH16)*(1-AF16)+INDEX(Models!$BJ16:$BT16,,AH16+1)*AF16-ERP_i)*AE16*Ramure*Pc/MaxiM</f>
        <v>1.3575384863490912E-2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'2026'!Wh/'2026'!Env_an*'2027'!Env_an</f>
        <v>17.408008734477011</v>
      </c>
      <c r="C17" s="829"/>
      <c r="D17" s="391">
        <f t="shared" si="0"/>
        <v>18.406083371746149</v>
      </c>
      <c r="E17" s="383">
        <f t="shared" si="1"/>
        <v>18.941250950615313</v>
      </c>
      <c r="F17" s="383">
        <f t="shared" si="2"/>
        <v>18.949652000949357</v>
      </c>
      <c r="G17" s="110">
        <f t="shared" si="21"/>
        <v>0.74779523944475623</v>
      </c>
      <c r="H17" s="412" t="b">
        <f>Wh_hp&gt;='2026'!Maxi_hp</f>
        <v>0</v>
      </c>
      <c r="I17" s="388">
        <f>IF(H17,Wh_hp,'2026'!Maxi_hp)</f>
        <v>25.872417420672249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5.4225258959829103E-2</v>
      </c>
      <c r="M17" s="832"/>
      <c r="N17" s="832"/>
      <c r="O17" s="48">
        <f>IF(t&lt;Tnet,'2026'!Resal+('2026'!Salim-'2026'!Resal)*(1-EXP(('2026'!Tnet-t)/('2026'!Tau_j))),Resal+(Salim-Resal)*(1-EXP((Tnet-t)/(Tau_j))))*Salcycl</f>
        <v>2.8254077846520294E-2</v>
      </c>
      <c r="P17" s="169">
        <f>(INDEX(Models!$BJ17:$BT17,,T17)*(1-R17)+INDEX(Models!$BJ17:$BT17,,T17+1)*R17-ERP_i)*Q17*Ramure*Pc/MaxiM</f>
        <v>6.9273949351100902E-4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23.273302985978837</v>
      </c>
      <c r="W17" s="400">
        <f t="shared" si="10"/>
        <v>17.408008734477011</v>
      </c>
      <c r="X17" s="157">
        <f t="shared" si="11"/>
        <v>46390</v>
      </c>
      <c r="Y17" s="383">
        <f t="shared" si="12"/>
        <v>16.644284581344973</v>
      </c>
      <c r="Z17" s="383">
        <f t="shared" si="22"/>
        <v>17.598571688475683</v>
      </c>
      <c r="AA17" s="384">
        <f t="shared" si="13"/>
        <v>18.785605512385114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6.3188478174250676E-2</v>
      </c>
      <c r="AD17" s="230">
        <f>(INDEX(Models!$BJ17:$BT17,,AH17)*(1-AF17)+INDEX(Models!$BJ17:$BT17,,AH17+1)*AF17-ERP_i)*AE17*Ramure*Pc/MaxiM</f>
        <v>1.3527056365768061E-2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'2026'!Wh/'2026'!Env_an*'2027'!Env_an</f>
        <v>18.496562261361742</v>
      </c>
      <c r="C18" s="829"/>
      <c r="D18" s="391">
        <f t="shared" si="0"/>
        <v>19.557423081746059</v>
      </c>
      <c r="E18" s="383">
        <f t="shared" si="1"/>
        <v>20.127403014902395</v>
      </c>
      <c r="F18" s="383">
        <f t="shared" si="2"/>
        <v>20.136898629847206</v>
      </c>
      <c r="G18" s="110">
        <f t="shared" si="21"/>
        <v>0.78917522526974526</v>
      </c>
      <c r="H18" s="412" t="b">
        <f>Wh_hp&gt;='2026'!Maxi_hp</f>
        <v>0</v>
      </c>
      <c r="I18" s="388">
        <f>IF(H18,Wh_hp,'2026'!Maxi_hp)</f>
        <v>21.824345162432092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5.424338451697519E-2</v>
      </c>
      <c r="M18" s="832"/>
      <c r="N18" s="832"/>
      <c r="O18" s="48">
        <f>IF(t&lt;Tnet,'2026'!Resal+('2026'!Salim-'2026'!Resal)*(1-EXP(('2026'!Tnet-t)/('2026'!Tau_j))),Resal+(Salim-Resal)*(1-EXP((Tnet-t)/(Tau_j))))*Salcycl</f>
        <v>2.831860288852572E-2</v>
      </c>
      <c r="P18" s="169">
        <f>(INDEX(Models!$BJ18:$BT18,,T18)*(1-R18)+INDEX(Models!$BJ18:$BT18,,T18+1)*R18-ERP_i)*Q18*Ramure*Pc/MaxiM</f>
        <v>6.7456187112744032E-4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23.433079158436367</v>
      </c>
      <c r="W18" s="400">
        <f t="shared" si="10"/>
        <v>18.496562261361742</v>
      </c>
      <c r="X18" s="157">
        <f t="shared" si="11"/>
        <v>46391</v>
      </c>
      <c r="Y18" s="383">
        <f t="shared" si="12"/>
        <v>17.672619803945153</v>
      </c>
      <c r="Z18" s="383">
        <f>Wh_sa_s*(1-Psa_s)</f>
        <v>18.686223828230101</v>
      </c>
      <c r="AA18" s="384">
        <f t="shared" si="13"/>
        <v>19.947288781914409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6.3219867495359905E-2</v>
      </c>
      <c r="AD18" s="230">
        <f>(INDEX(Models!$BJ18:$BT18,,AH18)*(1-AF18)+INDEX(Models!$BJ18:$BT18,,AH18+1)*AF18-ERP_i)*AE18*Ramure*Pc/MaxiM</f>
        <v>1.3469751516791344E-2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'2026'!Wh/'2026'!Env_an*'2027'!Env_an</f>
        <v>14.625774341919739</v>
      </c>
      <c r="C19" s="829"/>
      <c r="D19" s="391">
        <f t="shared" si="0"/>
        <v>15.464924492704039</v>
      </c>
      <c r="E19" s="383">
        <f t="shared" si="1"/>
        <v>15.916689725485927</v>
      </c>
      <c r="F19" s="383">
        <f t="shared" si="2"/>
        <v>15.921478673980209</v>
      </c>
      <c r="G19" s="110">
        <f t="shared" si="21"/>
        <v>0.6194849806154844</v>
      </c>
      <c r="H19" s="412" t="b">
        <f>Wh_hp&gt;='2026'!Maxi_hp</f>
        <v>1</v>
      </c>
      <c r="I19" s="388">
        <f>IF(H19,Wh_hp,'2026'!Maxi_hp)</f>
        <v>15.921478673980209</v>
      </c>
      <c r="J19" s="85">
        <f>IF(H19,An,'2026'!An_max)</f>
        <v>2027</v>
      </c>
      <c r="K19" s="197">
        <f t="shared" si="3"/>
        <v>46392</v>
      </c>
      <c r="L19" s="147">
        <f>IF(t&lt;Tvie,1-EXP((T0-t)*PertePVj)+'2026'!Pspv,1-EXP((T0-t)*PertePVj)+Pspv)</f>
        <v>5.4261509726749146E-2</v>
      </c>
      <c r="M19" s="832"/>
      <c r="N19" s="832"/>
      <c r="O19" s="48">
        <f>IF(t&lt;Tnet,'2026'!Resal+('2026'!Salim-'2026'!Resal)*(1-EXP(('2026'!Tnet-t)/('2026'!Tau_j))),Resal+(Salim-Resal)*(1-EXP((Tnet-t)/(Tau_j))))*Salcycl</f>
        <v>2.8383114867064269E-2</v>
      </c>
      <c r="P19" s="169">
        <f>(INDEX(Models!$BJ19:$BT19,,T19)*(1-R19)+INDEX(Models!$BJ19:$BT19,,T19+1)*R19-ERP_i)*Q19*Ramure*Pc/MaxiM</f>
        <v>6.5857156314969001E-4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23.60112081071734</v>
      </c>
      <c r="W19" s="400">
        <f t="shared" si="10"/>
        <v>14.625774341919739</v>
      </c>
      <c r="X19" s="157">
        <f t="shared" si="11"/>
        <v>46392</v>
      </c>
      <c r="Y19" s="383">
        <f t="shared" si="12"/>
        <v>14.01879459610606</v>
      </c>
      <c r="Z19" s="383">
        <f t="shared" si="22"/>
        <v>14.823119435538285</v>
      </c>
      <c r="AA19" s="384">
        <f t="shared" si="13"/>
        <v>15.824009194835318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6.3251338328576476E-2</v>
      </c>
      <c r="AD19" s="230">
        <f>(INDEX(Models!$BJ19:$BT19,,AH19)*(1-AF19)+INDEX(Models!$BJ19:$BT19,,AH19+1)*AF19-ERP_i)*AE19*Ramure*Pc/MaxiM</f>
        <v>1.3403908460589952E-2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'2026'!Wh/'2026'!Env_an*'2027'!Env_an</f>
        <v>20.986124196011421</v>
      </c>
      <c r="C20" s="829"/>
      <c r="D20" s="391">
        <f t="shared" si="0"/>
        <v>22.190623109712323</v>
      </c>
      <c r="E20" s="383">
        <f t="shared" si="1"/>
        <v>22.840377236006706</v>
      </c>
      <c r="F20" s="383">
        <f t="shared" si="2"/>
        <v>22.852640766946632</v>
      </c>
      <c r="G20" s="110">
        <f t="shared" si="21"/>
        <v>0.88252913445918812</v>
      </c>
      <c r="H20" s="412" t="b">
        <f>Wh_hp&gt;='2026'!Maxi_hp</f>
        <v>0</v>
      </c>
      <c r="I20" s="388">
        <f>IF(H20,Wh_hp,'2026'!Maxi_hp)</f>
        <v>25.97684931198668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5.4279634589157633E-2</v>
      </c>
      <c r="M20" s="832"/>
      <c r="N20" s="832"/>
      <c r="O20" s="48">
        <f>IF(t&lt;Tnet,'2026'!Resal+('2026'!Salim-'2026'!Resal)*(1-EXP(('2026'!Tnet-t)/('2026'!Tau_j))),Resal+(Salim-Resal)*(1-EXP((Tnet-t)/(Tau_j))))*Salcycl</f>
        <v>2.8447609230817628E-2</v>
      </c>
      <c r="P20" s="169">
        <f>(INDEX(Models!$BJ20:$BT20,,T20)*(1-R20)+INDEX(Models!$BJ20:$BT20,,T20+1)*R20-ERP_i)*Q20*Ramure*Pc/MaxiM</f>
        <v>6.4474555345846369E-4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23.776953463318289</v>
      </c>
      <c r="W20" s="400">
        <f t="shared" si="10"/>
        <v>20.986124196011421</v>
      </c>
      <c r="X20" s="157">
        <f t="shared" si="11"/>
        <v>46393</v>
      </c>
      <c r="Y20" s="383">
        <f t="shared" si="12"/>
        <v>20.019915792488632</v>
      </c>
      <c r="Z20" s="383">
        <f t="shared" si="22"/>
        <v>21.168959160344958</v>
      </c>
      <c r="AA20" s="384">
        <f t="shared" si="13"/>
        <v>22.599094971859881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6.3282879836370015E-2</v>
      </c>
      <c r="AD20" s="230">
        <f>(INDEX(Models!$BJ20:$BT20,,AH20)*(1-AF20)+INDEX(Models!$BJ20:$BT20,,AH20+1)*AF20-ERP_i)*AE20*Ramure*Pc/MaxiM</f>
        <v>1.3329971994283943E-2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'2026'!Wh/'2026'!Env_an*'2027'!Env_an</f>
        <v>10.29001053884404</v>
      </c>
      <c r="C21" s="829"/>
      <c r="D21" s="391">
        <f t="shared" si="0"/>
        <v>10.880814376729282</v>
      </c>
      <c r="E21" s="383">
        <f t="shared" si="1"/>
        <v>11.200154090598474</v>
      </c>
      <c r="F21" s="383">
        <f t="shared" si="2"/>
        <v>11.201465595566711</v>
      </c>
      <c r="G21" s="110">
        <f t="shared" si="21"/>
        <v>0.42924275595777295</v>
      </c>
      <c r="H21" s="412" t="b">
        <f>Wh_hp&gt;='2026'!Maxi_hp</f>
        <v>0</v>
      </c>
      <c r="I21" s="388">
        <f>IF(H21,Wh_hp,'2026'!Maxi_hp)</f>
        <v>15.082360291680677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5.429775910420731E-2</v>
      </c>
      <c r="M21" s="832"/>
      <c r="N21" s="832"/>
      <c r="O21" s="48">
        <f>IF(t&lt;Tnet,'2026'!Resal+('2026'!Salim-'2026'!Resal)*(1-EXP(('2026'!Tnet-t)/('2026'!Tau_j))),Resal+(Salim-Resal)*(1-EXP((Tnet-t)/(Tau_j))))*Salcycl</f>
        <v>2.8512082180838009E-2</v>
      </c>
      <c r="P21" s="169">
        <f>(INDEX(Models!$BJ21:$BT21,,T21)*(1-R21)+INDEX(Models!$BJ21:$BT21,,T21+1)*R21-ERP_i)*Q21*Ramure*Pc/MaxiM</f>
        <v>6.3305705679304186E-4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23.960102760887342</v>
      </c>
      <c r="W21" s="400">
        <f t="shared" si="10"/>
        <v>10.29001053884404</v>
      </c>
      <c r="X21" s="157">
        <f t="shared" si="11"/>
        <v>46394</v>
      </c>
      <c r="Y21" s="383">
        <f t="shared" si="12"/>
        <v>9.8982319052855701</v>
      </c>
      <c r="Z21" s="383">
        <f t="shared" si="22"/>
        <v>10.466541663166325</v>
      </c>
      <c r="AA21" s="384">
        <f t="shared" si="13"/>
        <v>11.174018891546723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6.3314482931079788E-2</v>
      </c>
      <c r="AD21" s="230">
        <f>(INDEX(Models!$BJ21:$BT21,,AH21)*(1-AF21)+INDEX(Models!$BJ21:$BT21,,AH21+1)*AF21-ERP_i)*AE21*Ramure*Pc/MaxiM</f>
        <v>1.3248390274047731E-2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'2026'!Wh/'2026'!Env_an*'2027'!Env_an</f>
        <v>7.3225575045930746</v>
      </c>
      <c r="C22" s="829"/>
      <c r="D22" s="391">
        <f t="shared" si="0"/>
        <v>7.7431325905397097</v>
      </c>
      <c r="E22" s="383">
        <f t="shared" si="1"/>
        <v>7.9709136486475618</v>
      </c>
      <c r="F22" s="383">
        <f t="shared" si="2"/>
        <v>7.9709364403783542</v>
      </c>
      <c r="G22" s="110">
        <f t="shared" si="21"/>
        <v>0.30302212678262064</v>
      </c>
      <c r="H22" s="412" t="b">
        <f>Wh_hp&gt;='2026'!Maxi_hp</f>
        <v>0</v>
      </c>
      <c r="I22" s="388">
        <f>IF(H22,Wh_hp,'2026'!Maxi_hp)</f>
        <v>20.347217475948305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5.4315883271904619E-2</v>
      </c>
      <c r="M22" s="832"/>
      <c r="N22" s="832"/>
      <c r="O22" s="48">
        <f>IF(t&lt;Tnet,'2026'!Resal+('2026'!Salim-'2026'!Resal)*(1-EXP(('2026'!Tnet-t)/('2026'!Tau_j))),Resal+(Salim-Resal)*(1-EXP((Tnet-t)/(Tau_j))))*Salcycl</f>
        <v>2.8576530639809312E-2</v>
      </c>
      <c r="P22" s="169">
        <f>(INDEX(Models!$BJ22:$BT22,,T22)*(1-R22)+INDEX(Models!$BJ22:$BT22,,T22+1)*R22-ERP_i)*Q22*Ramure*Pc/MaxiM</f>
        <v>6.2347601040921492E-4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24.150094477078294</v>
      </c>
      <c r="W22" s="400">
        <f t="shared" si="10"/>
        <v>7.3225575045930746</v>
      </c>
      <c r="X22" s="157">
        <f t="shared" si="11"/>
        <v>46395</v>
      </c>
      <c r="Y22" s="383">
        <f t="shared" si="12"/>
        <v>7.0600594292727017</v>
      </c>
      <c r="Z22" s="383">
        <f t="shared" si="22"/>
        <v>7.4655577950270482</v>
      </c>
      <c r="AA22" s="384">
        <f t="shared" si="13"/>
        <v>7.9704553788413994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6.3346140191019376E-2</v>
      </c>
      <c r="AD22" s="230">
        <f>(INDEX(Models!$BJ22:$BT22,,AH22)*(1-AF22)+INDEX(Models!$BJ22:$BT22,,AH22+1)*AF22-ERP_i)*AE22*Ramure*Pc/MaxiM</f>
        <v>1.3159611727323214E-2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'2026'!Wh/'2026'!Env_an*'2027'!Env_an</f>
        <v>2.1859127331560049</v>
      </c>
      <c r="C23" s="829"/>
      <c r="D23" s="391">
        <f t="shared" si="0"/>
        <v>2.3115061232504917</v>
      </c>
      <c r="E23" s="383">
        <f t="shared" si="1"/>
        <v>2.3796619061950346</v>
      </c>
      <c r="F23" s="383">
        <f t="shared" si="2"/>
        <v>2.3796619061950346</v>
      </c>
      <c r="G23" s="110">
        <f t="shared" si="21"/>
        <v>8.9717452261240102E-2</v>
      </c>
      <c r="H23" s="412" t="b">
        <f>Wh_hp&gt;='2026'!Maxi_hp</f>
        <v>0</v>
      </c>
      <c r="I23" s="388">
        <f>IF(H23,Wh_hp,'2026'!Maxi_hp)</f>
        <v>25.649292652260151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5.4334007092256553E-2</v>
      </c>
      <c r="M23" s="832"/>
      <c r="N23" s="832"/>
      <c r="O23" s="48">
        <f>IF(t&lt;Tnet,'2026'!Resal+('2026'!Salim-'2026'!Resal)*(1-EXP(('2026'!Tnet-t)/('2026'!Tau_j))),Resal+(Salim-Resal)*(1-EXP((Tnet-t)/(Tau_j))))*Salcycl</f>
        <v>2.8640952215569542E-2</v>
      </c>
      <c r="P23" s="169">
        <f>(INDEX(Models!$BJ23:$BT23,,T23)*(1-R23)+INDEX(Models!$BJ23:$BT23,,T23+1)*R23-ERP_i)*Q23*Ramure*Pc/MaxiM</f>
        <v>6.1589501024045821E-4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24.349403436577671</v>
      </c>
      <c r="W23" s="400">
        <f t="shared" si="10"/>
        <v>2.1859127331560049</v>
      </c>
      <c r="X23" s="157">
        <f t="shared" si="11"/>
        <v>46396</v>
      </c>
      <c r="Y23" s="383">
        <f t="shared" si="12"/>
        <v>2.1077420319175046</v>
      </c>
      <c r="Z23" s="383">
        <f t="shared" si="22"/>
        <v>2.2288440609317015</v>
      </c>
      <c r="AA23" s="384">
        <f t="shared" si="13"/>
        <v>2.3796619061950346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6.337784576485643E-2</v>
      </c>
      <c r="AD23" s="230">
        <f>(INDEX(Models!$BJ23:$BT23,,AH23)*(1-AF23)+INDEX(Models!$BJ23:$BT23,,AH23+1)*AF23-ERP_i)*AE23*Ramure*Pc/MaxiM</f>
        <v>1.3062500990190972E-2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'2026'!Wh/'2026'!Env_an*'2027'!Env_an</f>
        <v>1.7924299256203731</v>
      </c>
      <c r="C24" s="829"/>
      <c r="D24" s="391">
        <f t="shared" si="0"/>
        <v>1.8954517675715954</v>
      </c>
      <c r="E24" s="383">
        <f t="shared" si="1"/>
        <v>1.9514693693879472</v>
      </c>
      <c r="F24" s="383">
        <f t="shared" si="2"/>
        <v>1.9514693693879472</v>
      </c>
      <c r="G24" s="110">
        <f t="shared" si="21"/>
        <v>7.2936252321565129E-2</v>
      </c>
      <c r="H24" s="412" t="b">
        <f>Wh_hp&gt;='2026'!Maxi_hp</f>
        <v>0</v>
      </c>
      <c r="I24" s="388">
        <f>IF(H24,Wh_hp,'2026'!Maxi_hp)</f>
        <v>9.0351524420219071</v>
      </c>
      <c r="J24" s="85">
        <f>IF(H24,An,'2026'!An_max)</f>
        <v>2020</v>
      </c>
      <c r="K24" s="197">
        <f t="shared" si="3"/>
        <v>46397</v>
      </c>
      <c r="L24" s="147">
        <f>IF(t&lt;Tvie,1-EXP((T0-t)*PertePVj)+'2026'!Pspv,1-EXP((T0-t)*PertePVj)+Pspv)</f>
        <v>5.4352130565269552E-2</v>
      </c>
      <c r="M24" s="832"/>
      <c r="N24" s="832"/>
      <c r="O24" s="48">
        <f>IF(t&lt;Tnet,'2026'!Resal+('2026'!Salim-'2026'!Resal)*(1-EXP(('2026'!Tnet-t)/('2026'!Tau_j))),Resal+(Salim-Resal)*(1-EXP((Tnet-t)/(Tau_j))))*Salcycl</f>
        <v>2.870534515943798E-2</v>
      </c>
      <c r="P24" s="169">
        <f>(INDEX(Models!$BJ24:$BT24,,T24)*(1-R24)+INDEX(Models!$BJ24:$BT24,,T24+1)*R24-ERP_i)*Q24*Ramure*Pc/MaxiM</f>
        <v>6.096036785570465E-4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24.56031392792735</v>
      </c>
      <c r="W24" s="400">
        <f t="shared" si="10"/>
        <v>1.7924299256203731</v>
      </c>
      <c r="X24" s="157">
        <f t="shared" si="11"/>
        <v>46397</v>
      </c>
      <c r="Y24" s="383">
        <f t="shared" si="12"/>
        <v>1.7283866035177551</v>
      </c>
      <c r="Z24" s="383">
        <f t="shared" si="22"/>
        <v>1.8277274865018347</v>
      </c>
      <c r="AA24" s="384">
        <f t="shared" si="13"/>
        <v>1.9514693693879472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6.3409595265603677E-2</v>
      </c>
      <c r="AD24" s="230">
        <f>(INDEX(Models!$BJ24:$BT24,,AH24)*(1-AF24)+INDEX(Models!$BJ24:$BT24,,AH24+1)*AF24-ERP_i)*AE24*Ramure*Pc/MaxiM</f>
        <v>1.295487385282843E-2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'2026'!Wh/'2026'!Env_an*'2027'!Env_an</f>
        <v>25.124090062057029</v>
      </c>
      <c r="C25" s="829"/>
      <c r="D25" s="391">
        <f t="shared" si="0"/>
        <v>26.568633400250505</v>
      </c>
      <c r="E25" s="383">
        <f t="shared" si="1"/>
        <v>27.35564739675808</v>
      </c>
      <c r="F25" s="383">
        <f t="shared" si="2"/>
        <v>27.372177107233075</v>
      </c>
      <c r="G25" s="110">
        <f t="shared" si="21"/>
        <v>1.0138014686256271</v>
      </c>
      <c r="H25" s="412" t="b">
        <f>Wh_hp&gt;='2026'!Maxi_hp</f>
        <v>1</v>
      </c>
      <c r="I25" s="388">
        <f>IF(H25,Wh_hp,'2026'!Maxi_hp)</f>
        <v>27.372177107233075</v>
      </c>
      <c r="J25" s="85">
        <f>IF(H25,An,'2026'!An_max)</f>
        <v>2027</v>
      </c>
      <c r="K25" s="197">
        <f t="shared" si="3"/>
        <v>46398</v>
      </c>
      <c r="L25" s="147">
        <f>IF(t&lt;Tvie,1-EXP((T0-t)*PertePVj)+'2026'!Pspv,1-EXP((T0-t)*PertePVj)+Pspv)</f>
        <v>5.4370253690950276E-2</v>
      </c>
      <c r="M25" s="832"/>
      <c r="N25" s="832"/>
      <c r="O25" s="48">
        <f>IF(t&lt;Tnet,'2026'!Resal+('2026'!Salim-'2026'!Resal)*(1-EXP(('2026'!Tnet-t)/('2026'!Tau_j))),Resal+(Salim-Resal)*(1-EXP((Tnet-t)/(Tau_j))))*Salcycl</f>
        <v>2.8769708319929765E-2</v>
      </c>
      <c r="P25" s="169">
        <f>(INDEX(Models!$BJ25:$BT25,,T25)*(1-R25)+INDEX(Models!$BJ25:$BT25,,T25+1)*R25-ERP_i)*Q25*Ramure*Pc/MaxiM</f>
        <v>6.0388731266207906E-4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24.782061221628354</v>
      </c>
      <c r="W25" s="400">
        <f t="shared" si="10"/>
        <v>25.124090062057029</v>
      </c>
      <c r="X25" s="157">
        <f t="shared" si="11"/>
        <v>46398</v>
      </c>
      <c r="Y25" s="383">
        <f t="shared" si="12"/>
        <v>23.930573368399944</v>
      </c>
      <c r="Z25" s="383">
        <f t="shared" si="22"/>
        <v>25.306493859573425</v>
      </c>
      <c r="AA25" s="384">
        <f t="shared" si="13"/>
        <v>27.020726169166579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6.3441385655625598E-2</v>
      </c>
      <c r="AD25" s="230">
        <f>(INDEX(Models!$BJ25:$BT25,,AH25)*(1-AF25)+INDEX(Models!$BJ25:$BT25,,AH25+1)*AF25-ERP_i)*AE25*Ramure*Pc/MaxiM</f>
        <v>1.283971445492452E-2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'2026'!Wh/'2026'!Env_an*'2027'!Env_an</f>
        <v>21.837843447969423</v>
      </c>
      <c r="C26" s="829"/>
      <c r="D26" s="391">
        <f t="shared" si="0"/>
        <v>23.093882207614982</v>
      </c>
      <c r="E26" s="383">
        <f t="shared" si="1"/>
        <v>23.779542513612711</v>
      </c>
      <c r="F26" s="383">
        <f t="shared" si="2"/>
        <v>23.791203746694698</v>
      </c>
      <c r="G26" s="110">
        <f t="shared" si="21"/>
        <v>0.87293475245629049</v>
      </c>
      <c r="H26" s="412" t="b">
        <f>Wh_hp&gt;='2026'!Maxi_hp</f>
        <v>0</v>
      </c>
      <c r="I26" s="388">
        <f>IF(H26,Wh_hp,'2026'!Maxi_hp)</f>
        <v>27.37093962937724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5.4388376469305499E-2</v>
      </c>
      <c r="M26" s="832"/>
      <c r="N26" s="832"/>
      <c r="O26" s="48">
        <f>IF(t&lt;Tnet,'2026'!Resal+('2026'!Salim-'2026'!Resal)*(1-EXP(('2026'!Tnet-t)/('2026'!Tau_j))),Resal+(Salim-Resal)*(1-EXP((Tnet-t)/(Tau_j))))*Salcycl</f>
        <v>2.8834041092473492E-2</v>
      </c>
      <c r="P26" s="169">
        <f>(INDEX(Models!$BJ26:$BT26,,T26)*(1-R26)+INDEX(Models!$BJ26:$BT26,,T26+1)*R26-ERP_i)*Q26*Ramure*Pc/MaxiM</f>
        <v>5.9875483325235444E-4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25.013863298225001</v>
      </c>
      <c r="W26" s="400">
        <f t="shared" si="10"/>
        <v>21.837843447969423</v>
      </c>
      <c r="X26" s="157">
        <f t="shared" si="11"/>
        <v>46399</v>
      </c>
      <c r="Y26" s="383">
        <f t="shared" si="12"/>
        <v>20.849916467474131</v>
      </c>
      <c r="Z26" s="383">
        <f t="shared" si="22"/>
        <v>22.049133014699393</v>
      </c>
      <c r="AA26" s="384">
        <f t="shared" si="13"/>
        <v>23.543515648216655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6.3473215124116578E-2</v>
      </c>
      <c r="AD26" s="230">
        <f>(INDEX(Models!$BJ26:$BT26,,AH26)*(1-AF26)+INDEX(Models!$BJ26:$BT26,,AH26+1)*AF26-ERP_i)*AE26*Ramure*Pc/MaxiM</f>
        <v>1.2717732769779838E-2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'2026'!Wh/'2026'!Env_an*'2027'!Env_an</f>
        <v>5.5975116841414021</v>
      </c>
      <c r="C27" s="829"/>
      <c r="D27" s="391">
        <f t="shared" si="0"/>
        <v>5.9195750368756688</v>
      </c>
      <c r="E27" s="383">
        <f t="shared" si="1"/>
        <v>6.095731581174034</v>
      </c>
      <c r="F27" s="383">
        <f t="shared" si="2"/>
        <v>6.095731581174034</v>
      </c>
      <c r="G27" s="110">
        <f t="shared" si="21"/>
        <v>0.22150858121819922</v>
      </c>
      <c r="H27" s="412" t="b">
        <f>Wh_hp&gt;='2026'!Maxi_hp</f>
        <v>0</v>
      </c>
      <c r="I27" s="388">
        <f>IF(H27,Wh_hp,'2026'!Maxi_hp)</f>
        <v>16.17097757884445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5.4406498900341771E-2</v>
      </c>
      <c r="M27" s="832"/>
      <c r="N27" s="832"/>
      <c r="O27" s="48">
        <f>IF(t&lt;Tnet,'2026'!Resal+('2026'!Salim-'2026'!Resal)*(1-EXP(('2026'!Tnet-t)/('2026'!Tau_j))),Resal+(Salim-Resal)*(1-EXP((Tnet-t)/(Tau_j))))*Salcycl</f>
        <v>2.8898343365774955E-2</v>
      </c>
      <c r="P27" s="169">
        <f>(INDEX(Models!$BJ27:$BT27,,T27)*(1-R27)+INDEX(Models!$BJ27:$BT27,,T27+1)*R27-ERP_i)*Q27*Ramure*Pc/MaxiM</f>
        <v>5.9421301317968533E-4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25.254938382484841</v>
      </c>
      <c r="W27" s="400">
        <f t="shared" si="10"/>
        <v>5.5975116841414021</v>
      </c>
      <c r="X27" s="157">
        <f t="shared" si="11"/>
        <v>46400</v>
      </c>
      <c r="Y27" s="383">
        <f t="shared" si="12"/>
        <v>5.3980355243622471</v>
      </c>
      <c r="Z27" s="383">
        <f t="shared" si="22"/>
        <v>5.7086216414185529</v>
      </c>
      <c r="AA27" s="384">
        <f t="shared" si="13"/>
        <v>6.095731581174034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6.3505082958545345E-2</v>
      </c>
      <c r="AD27" s="230">
        <f>(INDEX(Models!$BJ27:$BT27,,AH27)*(1-AF27)+INDEX(Models!$BJ27:$BT27,,AH27+1)*AF27-ERP_i)*AE27*Ramure*Pc/MaxiM</f>
        <v>1.2589619081168103E-2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'2026'!Wh/'2026'!Env_an*'2027'!Env_an</f>
        <v>26.561125274755661</v>
      </c>
      <c r="C28" s="829"/>
      <c r="D28" s="391">
        <f t="shared" si="0"/>
        <v>28.08990786371572</v>
      </c>
      <c r="E28" s="383">
        <f t="shared" si="1"/>
        <v>28.927730601413732</v>
      </c>
      <c r="F28" s="383">
        <f t="shared" si="2"/>
        <v>28.944815761904696</v>
      </c>
      <c r="G28" s="110">
        <f t="shared" si="21"/>
        <v>1.041428771929483</v>
      </c>
      <c r="H28" s="412" t="b">
        <f>Wh_hp&gt;='2026'!Maxi_hp</f>
        <v>1</v>
      </c>
      <c r="I28" s="388">
        <f>IF(H28,Wh_hp,'2026'!Maxi_hp)</f>
        <v>28.944815761904696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5.4424620984065863E-2</v>
      </c>
      <c r="M28" s="832"/>
      <c r="N28" s="832"/>
      <c r="O28" s="48">
        <f>IF(t&lt;Tnet,'2026'!Resal+('2026'!Salim-'2026'!Resal)*(1-EXP(('2026'!Tnet-t)/('2026'!Tau_j))),Resal+(Salim-Resal)*(1-EXP((Tnet-t)/(Tau_j))))*Salcycl</f>
        <v>2.89626154654893E-2</v>
      </c>
      <c r="P28" s="169">
        <f>(INDEX(Models!$BJ28:$BT28,,T28)*(1-R28)+INDEX(Models!$BJ28:$BT28,,T28+1)*R28-ERP_i)*Q28*Ramure*Pc/MaxiM</f>
        <v>5.902666864941908E-4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25.504504955768741</v>
      </c>
      <c r="W28" s="400">
        <f t="shared" si="10"/>
        <v>26.561125274755661</v>
      </c>
      <c r="X28" s="157">
        <f t="shared" si="11"/>
        <v>46401</v>
      </c>
      <c r="Y28" s="383">
        <f t="shared" si="12"/>
        <v>25.311274284107274</v>
      </c>
      <c r="Z28" s="383">
        <f t="shared" si="22"/>
        <v>26.768119016009983</v>
      </c>
      <c r="AA28" s="384">
        <f t="shared" si="13"/>
        <v>28.584277983591157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6.3536989411582909E-2</v>
      </c>
      <c r="AD28" s="230">
        <f>(INDEX(Models!$BJ28:$BT28,,AH28)*(1-AF28)+INDEX(Models!$BJ28:$BT28,,AH28+1)*AF28-ERP_i)*AE28*Ramure*Pc/MaxiM</f>
        <v>1.2456039840752914E-2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'2026'!Wh/'2026'!Env_an*'2027'!Env_an</f>
        <v>26.870946167735966</v>
      </c>
      <c r="C29" s="829"/>
      <c r="D29" s="391">
        <f t="shared" si="0"/>
        <v>28.418105789856632</v>
      </c>
      <c r="E29" s="383">
        <f t="shared" si="1"/>
        <v>29.26765382421129</v>
      </c>
      <c r="F29" s="383">
        <f t="shared" si="2"/>
        <v>29.2848416531018</v>
      </c>
      <c r="G29" s="110">
        <f t="shared" si="21"/>
        <v>1.0430546469739896</v>
      </c>
      <c r="H29" s="412" t="b">
        <f>Wh_hp&gt;='2026'!Maxi_hp</f>
        <v>1</v>
      </c>
      <c r="I29" s="388">
        <f>IF(H29,Wh_hp,'2026'!Maxi_hp)</f>
        <v>29.2848416531018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5.4442742720484216E-2</v>
      </c>
      <c r="M29" s="832"/>
      <c r="N29" s="832"/>
      <c r="O29" s="48">
        <f>IF(t&lt;Tnet,'2026'!Resal+('2026'!Salim-'2026'!Resal)*(1-EXP(('2026'!Tnet-t)/('2026'!Tau_j))),Resal+(Salim-Resal)*(1-EXP((Tnet-t)/(Tau_j))))*Salcycl</f>
        <v>2.9026858095877864E-2</v>
      </c>
      <c r="P29" s="169">
        <f>(INDEX(Models!$BJ29:$BT29,,T29)*(1-R29)+INDEX(Models!$BJ29:$BT29,,T29+1)*R29-ERP_i)*Q29*Ramure*Pc/MaxiM</f>
        <v>5.8691896285830586E-4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25.761781749107186</v>
      </c>
      <c r="W29" s="400">
        <f t="shared" si="10"/>
        <v>26.870946167735966</v>
      </c>
      <c r="X29" s="157">
        <f t="shared" si="11"/>
        <v>46402</v>
      </c>
      <c r="Y29" s="383">
        <f t="shared" si="12"/>
        <v>25.610840085120824</v>
      </c>
      <c r="Z29" s="383">
        <f t="shared" si="22"/>
        <v>27.085446056229692</v>
      </c>
      <c r="AA29" s="384">
        <f t="shared" si="13"/>
        <v>28.924121683824051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6.3568935565039064E-2</v>
      </c>
      <c r="AD29" s="230">
        <f>(INDEX(Models!$BJ29:$BT29,,AH29)*(1-AF29)+INDEX(Models!$BJ29:$BT29,,AH29+1)*AF29-ERP_i)*AE29*Ramure*Pc/MaxiM</f>
        <v>1.2317634274779927E-2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'2026'!Wh/'2026'!Env_an*'2027'!Env_an</f>
        <v>26.28741867709919</v>
      </c>
      <c r="C30" s="829"/>
      <c r="D30" s="391">
        <f t="shared" si="0"/>
        <v>27.801513104314637</v>
      </c>
      <c r="E30" s="383">
        <f t="shared" si="1"/>
        <v>28.634522055127377</v>
      </c>
      <c r="F30" s="383">
        <f t="shared" si="2"/>
        <v>28.65123538605047</v>
      </c>
      <c r="G30" s="110">
        <f t="shared" si="21"/>
        <v>1.010044152286218</v>
      </c>
      <c r="H30" s="412" t="b">
        <f>Wh_hp&gt;='2026'!Maxi_hp</f>
        <v>1</v>
      </c>
      <c r="I30" s="388">
        <f>IF(H30,Wh_hp,'2026'!Maxi_hp)</f>
        <v>28.65123538605047</v>
      </c>
      <c r="J30" s="85">
        <f>IF(H30,An,'2026'!An_max)</f>
        <v>2027</v>
      </c>
      <c r="K30" s="197">
        <f t="shared" si="3"/>
        <v>46403</v>
      </c>
      <c r="L30" s="147">
        <f>IF(t&lt;Tvie,1-EXP((T0-t)*PertePVj)+'2026'!Pspv,1-EXP((T0-t)*PertePVj)+Pspv)</f>
        <v>5.4460864109603713E-2</v>
      </c>
      <c r="M30" s="832"/>
      <c r="N30" s="832"/>
      <c r="O30" s="48">
        <f>IF(t&lt;Tnet,'2026'!Resal+('2026'!Salim-'2026'!Resal)*(1-EXP(('2026'!Tnet-t)/('2026'!Tau_j))),Resal+(Salim-Resal)*(1-EXP((Tnet-t)/(Tau_j))))*Salcycl</f>
        <v>2.9091072280131868E-2</v>
      </c>
      <c r="P30" s="169">
        <f>(INDEX(Models!$BJ30:$BT30,,T30)*(1-R30)+INDEX(Models!$BJ30:$BT30,,T30+1)*R30-ERP_i)*Q30*Ramure*Pc/MaxiM</f>
        <v>5.8333718242502524E-4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26.026009474534412</v>
      </c>
      <c r="W30" s="400">
        <f t="shared" si="10"/>
        <v>26.28741867709919</v>
      </c>
      <c r="X30" s="157">
        <f t="shared" si="11"/>
        <v>46403</v>
      </c>
      <c r="Y30" s="383">
        <f t="shared" si="12"/>
        <v>25.059168718949316</v>
      </c>
      <c r="Z30" s="383">
        <f t="shared" si="22"/>
        <v>26.502518793525741</v>
      </c>
      <c r="AA30" s="384">
        <f t="shared" si="13"/>
        <v>28.302589622233299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6.3600923192325104E-2</v>
      </c>
      <c r="AD30" s="230">
        <f>(INDEX(Models!$BJ30:$BT30,,AH30)*(1-AF30)+INDEX(Models!$BJ30:$BT30,,AH30+1)*AF30-ERP_i)*AE30*Ramure*Pc/MaxiM</f>
        <v>1.216861189821212E-2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'2026'!Wh/'2026'!Env_an*'2027'!Env_an</f>
        <v>12.137861015239155</v>
      </c>
      <c r="C31" s="829"/>
      <c r="D31" s="391">
        <f t="shared" si="0"/>
        <v>12.837219717621091</v>
      </c>
      <c r="E31" s="383">
        <f t="shared" si="1"/>
        <v>13.222731894665026</v>
      </c>
      <c r="F31" s="383">
        <f t="shared" si="2"/>
        <v>13.224497170305186</v>
      </c>
      <c r="G31" s="110">
        <f t="shared" si="21"/>
        <v>0.46137276010537387</v>
      </c>
      <c r="H31" s="412" t="b">
        <f>Wh_hp&gt;='2026'!Maxi_hp</f>
        <v>1</v>
      </c>
      <c r="I31" s="388">
        <f>IF(H31,Wh_hp,'2026'!Maxi_hp)</f>
        <v>13.224497170305186</v>
      </c>
      <c r="J31" s="85">
        <f>IF(H31,An,'2026'!An_max)</f>
        <v>2027</v>
      </c>
      <c r="K31" s="197">
        <f t="shared" si="3"/>
        <v>46404</v>
      </c>
      <c r="L31" s="147">
        <f>IF(t&lt;Tvie,1-EXP((T0-t)*PertePVj)+'2026'!Pspv,1-EXP((T0-t)*PertePVj)+Pspv)</f>
        <v>5.4478985151430903E-2</v>
      </c>
      <c r="M31" s="832"/>
      <c r="N31" s="832"/>
      <c r="O31" s="48">
        <f>IF(t&lt;Tnet,'2026'!Resal+('2026'!Salim-'2026'!Resal)*(1-EXP(('2026'!Tnet-t)/('2026'!Tau_j))),Resal+(Salim-Resal)*(1-EXP((Tnet-t)/(Tau_j))))*Salcycl</f>
        <v>2.9155259300045075E-2</v>
      </c>
      <c r="P31" s="169">
        <f>(INDEX(Models!$BJ31:$BT31,,T31)*(1-R31)+INDEX(Models!$BJ31:$BT31,,T31+1)*R31-ERP_i)*Q31*Ramure*Pc/MaxiM</f>
        <v>5.7829428304612053E-4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26.296440348497725</v>
      </c>
      <c r="W31" s="400">
        <f t="shared" si="10"/>
        <v>12.137861015239155</v>
      </c>
      <c r="X31" s="157">
        <f t="shared" si="11"/>
        <v>46404</v>
      </c>
      <c r="Y31" s="383">
        <f t="shared" si="12"/>
        <v>11.675906836354201</v>
      </c>
      <c r="Z31" s="383">
        <f t="shared" si="22"/>
        <v>12.348648684687531</v>
      </c>
      <c r="AA31" s="384">
        <f t="shared" si="13"/>
        <v>13.187829223195845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6.3632954620939E-2</v>
      </c>
      <c r="AD31" s="230">
        <f>(INDEX(Models!$BJ31:$BT31,,AH31)*(1-AF31)+INDEX(Models!$BJ31:$BT31,,AH31+1)*AF31-ERP_i)*AE31*Ramure*Pc/MaxiM</f>
        <v>1.2012211408784237E-2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'2026'!Wh/'2026'!Env_an*'2027'!Env_an</f>
        <v>3.8556850158164577</v>
      </c>
      <c r="C32" s="829"/>
      <c r="D32" s="391">
        <f t="shared" si="0"/>
        <v>4.0779198452546943</v>
      </c>
      <c r="E32" s="383">
        <f t="shared" si="1"/>
        <v>4.2006607177134674</v>
      </c>
      <c r="F32" s="383">
        <f t="shared" si="2"/>
        <v>4.2006607177134674</v>
      </c>
      <c r="G32" s="110">
        <f t="shared" si="21"/>
        <v>0.14501872307301789</v>
      </c>
      <c r="H32" s="412" t="b">
        <f>Wh_hp&gt;='2026'!Maxi_hp</f>
        <v>0</v>
      </c>
      <c r="I32" s="388">
        <f>IF(H32,Wh_hp,'2026'!Maxi_hp)</f>
        <v>29.066008249734857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5.4497105845972449E-2</v>
      </c>
      <c r="M32" s="832"/>
      <c r="N32" s="832"/>
      <c r="O32" s="48">
        <f>IF(t&lt;Tnet,'2026'!Resal+('2026'!Salim-'2026'!Resal)*(1-EXP(('2026'!Tnet-t)/('2026'!Tau_j))),Resal+(Salim-Resal)*(1-EXP((Tnet-t)/(Tau_j))))*Salcycl</f>
        <v>2.9219420635709953E-2</v>
      </c>
      <c r="P32" s="169">
        <f>(INDEX(Models!$BJ32:$BT32,,T32)*(1-R32)+INDEX(Models!$BJ32:$BT32,,T32+1)*R32-ERP_i)*Q32*Ramure*Pc/MaxiM</f>
        <v>5.7185453755922999E-4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26.572293861010696</v>
      </c>
      <c r="W32" s="400">
        <f t="shared" si="10"/>
        <v>3.8556850158164577</v>
      </c>
      <c r="X32" s="157">
        <f t="shared" si="11"/>
        <v>46405</v>
      </c>
      <c r="Y32" s="383">
        <f t="shared" si="12"/>
        <v>3.7188761089215974</v>
      </c>
      <c r="Z32" s="383">
        <f t="shared" si="22"/>
        <v>3.933225516193684</v>
      </c>
      <c r="AA32" s="384">
        <f t="shared" si="13"/>
        <v>4.2006607177134674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6.3665032596432997E-2</v>
      </c>
      <c r="AD32" s="230">
        <f>(INDEX(Models!$BJ32:$BT32,,AH32)*(1-AF32)+INDEX(Models!$BJ32:$BT32,,AH32+1)*AF32-ERP_i)*AE32*Ramure*Pc/MaxiM</f>
        <v>1.1849098929636268E-2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'2026'!Wh/'2026'!Env_an*'2027'!Env_an</f>
        <v>10.519564454130235</v>
      </c>
      <c r="C33" s="829"/>
      <c r="D33" s="391">
        <f t="shared" si="0"/>
        <v>11.126106676235263</v>
      </c>
      <c r="E33" s="383">
        <f t="shared" si="1"/>
        <v>11.461747420527052</v>
      </c>
      <c r="F33" s="383">
        <f t="shared" si="2"/>
        <v>11.462594900419925</v>
      </c>
      <c r="G33" s="110">
        <f t="shared" si="21"/>
        <v>0.39155737779019256</v>
      </c>
      <c r="H33" s="412" t="b">
        <f>Wh_hp&gt;='2026'!Maxi_hp</f>
        <v>0</v>
      </c>
      <c r="I33" s="388">
        <f>IF(H33,Wh_hp,'2026'!Maxi_hp)</f>
        <v>30.468754573897851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5.4515226193235122E-2</v>
      </c>
      <c r="M33" s="832"/>
      <c r="N33" s="832"/>
      <c r="O33" s="48">
        <f>IF(t&lt;Tnet,'2026'!Resal+('2026'!Salim-'2026'!Resal)*(1-EXP(('2026'!Tnet-t)/('2026'!Tau_j))),Resal+(Salim-Resal)*(1-EXP((Tnet-t)/(Tau_j))))*Salcycl</f>
        <v>2.9283557905898667E-2</v>
      </c>
      <c r="P33" s="169">
        <f>(INDEX(Models!$BJ33:$BT33,,T33)*(1-R33)+INDEX(Models!$BJ33:$BT33,,T33+1)*R33-ERP_i)*Q33*Ramure*Pc/MaxiM</f>
        <v>5.640806928213346E-4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26.852789766186621</v>
      </c>
      <c r="W33" s="400">
        <f t="shared" si="10"/>
        <v>10.519564454130235</v>
      </c>
      <c r="X33" s="157">
        <f t="shared" si="11"/>
        <v>46406</v>
      </c>
      <c r="Y33" s="383">
        <f t="shared" si="12"/>
        <v>10.131843126364432</v>
      </c>
      <c r="Z33" s="383">
        <f t="shared" si="22"/>
        <v>10.716029921424356</v>
      </c>
      <c r="AA33" s="384">
        <f t="shared" si="13"/>
        <v>11.445046907187432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6.3697160149274526E-2</v>
      </c>
      <c r="AD33" s="230">
        <f>(INDEX(Models!$BJ33:$BT33,,AH33)*(1-AF33)+INDEX(Models!$BJ33:$BT33,,AH33+1)*AF33-ERP_i)*AE33*Ramure*Pc/MaxiM</f>
        <v>1.1679904459627841E-2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'2026'!Wh/'2026'!Env_an*'2027'!Env_an</f>
        <v>6.5874108800599291</v>
      </c>
      <c r="C34" s="829"/>
      <c r="D34" s="391">
        <f t="shared" si="0"/>
        <v>6.9673645850297756</v>
      </c>
      <c r="E34" s="383">
        <f t="shared" si="1"/>
        <v>7.1780228510844504</v>
      </c>
      <c r="F34" s="383">
        <f t="shared" si="2"/>
        <v>7.1780228510844504</v>
      </c>
      <c r="G34" s="110">
        <f t="shared" si="21"/>
        <v>0.24261041091753355</v>
      </c>
      <c r="H34" s="412" t="b">
        <f>Wh_hp&gt;='2026'!Maxi_hp</f>
        <v>0</v>
      </c>
      <c r="I34" s="388">
        <f>IF(H34,Wh_hp,'2026'!Maxi_hp)</f>
        <v>12.26188245483894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5.4533346193225363E-2</v>
      </c>
      <c r="M34" s="832"/>
      <c r="N34" s="832"/>
      <c r="O34" s="48">
        <f>IF(t&lt;Tnet,'2026'!Resal+('2026'!Salim-'2026'!Resal)*(1-EXP(('2026'!Tnet-t)/('2026'!Tau_j))),Resal+(Salim-Resal)*(1-EXP((Tnet-t)/(Tau_j))))*Salcycl</f>
        <v>2.9347672809769521E-2</v>
      </c>
      <c r="P34" s="169">
        <f>(INDEX(Models!$BJ34:$BT34,,T34)*(1-R34)+INDEX(Models!$BJ34:$BT34,,T34+1)*R34-ERP_i)*Q34*Ramure*Pc/MaxiM</f>
        <v>5.5503663125570501E-4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27.137147993019422</v>
      </c>
      <c r="W34" s="400">
        <f t="shared" si="10"/>
        <v>6.5874108800599291</v>
      </c>
      <c r="X34" s="157">
        <f t="shared" si="11"/>
        <v>46407</v>
      </c>
      <c r="Y34" s="383">
        <f t="shared" si="12"/>
        <v>6.3540768991395611</v>
      </c>
      <c r="Z34" s="383">
        <f t="shared" si="22"/>
        <v>6.7205721889353338</v>
      </c>
      <c r="AA34" s="384">
        <f t="shared" si="13"/>
        <v>7.1780228510844504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6.3729340465948123E-2</v>
      </c>
      <c r="AD34" s="230">
        <f>(INDEX(Models!$BJ34:$BT34,,AH34)*(1-AF34)+INDEX(Models!$BJ34:$BT34,,AH34+1)*AF34-ERP_i)*AE34*Ramure*Pc/MaxiM</f>
        <v>1.150528450900489E-2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'2026'!Wh/'2026'!Env_an*'2027'!Env_an</f>
        <v>21.001347063334794</v>
      </c>
      <c r="C35" s="829"/>
      <c r="D35" s="391">
        <f t="shared" si="0"/>
        <v>22.213104473344991</v>
      </c>
      <c r="E35" s="383">
        <f t="shared" si="1"/>
        <v>22.886228907082558</v>
      </c>
      <c r="F35" s="383">
        <f t="shared" si="2"/>
        <v>22.894528267515891</v>
      </c>
      <c r="G35" s="110">
        <f t="shared" si="21"/>
        <v>0.76564566803741463</v>
      </c>
      <c r="H35" s="412" t="b">
        <f>Wh_hp&gt;='2026'!Maxi_hp</f>
        <v>1</v>
      </c>
      <c r="I35" s="388">
        <f>IF(H35,Wh_hp,'2026'!Maxi_hp)</f>
        <v>22.894528267515891</v>
      </c>
      <c r="J35" s="85">
        <f>IF(H35,An,'2026'!An_max)</f>
        <v>2027</v>
      </c>
      <c r="K35" s="197">
        <f t="shared" si="3"/>
        <v>46408</v>
      </c>
      <c r="L35" s="147">
        <f>IF(t&lt;Tvie,1-EXP((T0-t)*PertePVj)+'2026'!Pspv,1-EXP((T0-t)*PertePVj)+Pspv)</f>
        <v>5.4551465845949942E-2</v>
      </c>
      <c r="M35" s="832"/>
      <c r="N35" s="832"/>
      <c r="O35" s="48">
        <f>IF(t&lt;Tnet,'2026'!Resal+('2026'!Salim-'2026'!Resal)*(1-EXP(('2026'!Tnet-t)/('2026'!Tau_j))),Resal+(Salim-Resal)*(1-EXP((Tnet-t)/(Tau_j))))*Salcycl</f>
        <v>2.9411767070513663E-2</v>
      </c>
      <c r="P35" s="169">
        <f>(INDEX(Models!$BJ35:$BT35,,T35)*(1-R35)+INDEX(Models!$BJ35:$BT35,,T35+1)*R35-ERP_i)*Q35*Ramure*Pc/MaxiM</f>
        <v>5.4478505104732749E-4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27.424588691898883</v>
      </c>
      <c r="W35" s="400">
        <f t="shared" si="10"/>
        <v>21.001347063334794</v>
      </c>
      <c r="X35" s="157">
        <f t="shared" si="11"/>
        <v>46408</v>
      </c>
      <c r="Y35" s="383">
        <f t="shared" si="12"/>
        <v>20.112713723891027</v>
      </c>
      <c r="Z35" s="383">
        <f t="shared" si="22"/>
        <v>21.273197849830172</v>
      </c>
      <c r="AA35" s="384">
        <f t="shared" si="13"/>
        <v>22.721987606893492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6.37615767655723E-2</v>
      </c>
      <c r="AD35" s="230">
        <f>(INDEX(Models!$BJ35:$BT35,,AH35)*(1-AF35)+INDEX(Models!$BJ35:$BT35,,AH35+1)*AF35-ERP_i)*AE35*Ramure*Pc/MaxiM</f>
        <v>1.1325881477252041E-2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'2026'!Wh/'2026'!Env_an*'2027'!Env_an</f>
        <v>28.031995673678512</v>
      </c>
      <c r="C36" s="829"/>
      <c r="D36" s="391">
        <f t="shared" si="0"/>
        <v>29.6499829426029</v>
      </c>
      <c r="E36" s="383">
        <f t="shared" si="1"/>
        <v>30.550484199548041</v>
      </c>
      <c r="F36" s="383">
        <f t="shared" si="2"/>
        <v>30.566788013971937</v>
      </c>
      <c r="G36" s="110">
        <f t="shared" si="21"/>
        <v>1.011462059241816</v>
      </c>
      <c r="H36" s="412" t="b">
        <f>Wh_hp&gt;='2026'!Maxi_hp</f>
        <v>1</v>
      </c>
      <c r="I36" s="388">
        <f>IF(H36,Wh_hp,'2026'!Maxi_hp)</f>
        <v>30.566788013971937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5.4569585151415523E-2</v>
      </c>
      <c r="M36" s="832"/>
      <c r="N36" s="832"/>
      <c r="O36" s="48">
        <f>IF(t&lt;Tnet,'2026'!Resal+('2026'!Salim-'2026'!Resal)*(1-EXP(('2026'!Tnet-t)/('2026'!Tau_j))),Resal+(Salim-Resal)*(1-EXP((Tnet-t)/(Tau_j))))*Salcycl</f>
        <v>2.9475842381524814E-2</v>
      </c>
      <c r="P36" s="169">
        <f>(INDEX(Models!$BJ36:$BT36,,T36)*(1-R36)+INDEX(Models!$BJ36:$BT36,,T36+1)*R36-ERP_i)*Q36*Ramure*Pc/MaxiM</f>
        <v>5.3338330531957649E-4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27.714332354385171</v>
      </c>
      <c r="W36" s="400">
        <f t="shared" si="10"/>
        <v>28.031995673678512</v>
      </c>
      <c r="X36" s="157">
        <f t="shared" si="11"/>
        <v>46409</v>
      </c>
      <c r="Y36" s="383">
        <f t="shared" si="12"/>
        <v>26.753750840148204</v>
      </c>
      <c r="Z36" s="383">
        <f t="shared" si="22"/>
        <v>28.297958707445385</v>
      </c>
      <c r="AA36" s="384">
        <f t="shared" si="13"/>
        <v>30.226205390725021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6.3793872183219025E-2</v>
      </c>
      <c r="AD36" s="230">
        <f>(INDEX(Models!$BJ36:$BT36,,AH36)*(1-AF36)+INDEX(Models!$BJ36:$BT36,,AH36+1)*AF36-ERP_i)*AE36*Ramure*Pc/MaxiM</f>
        <v>1.1142244421992816E-2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'2026'!Wh/'2026'!Env_an*'2027'!Env_an</f>
        <v>28.154563654498496</v>
      </c>
      <c r="C37" s="829"/>
      <c r="D37" s="391">
        <f t="shared" si="0"/>
        <v>29.780196192586079</v>
      </c>
      <c r="E37" s="383">
        <f t="shared" si="1"/>
        <v>30.686677590865827</v>
      </c>
      <c r="F37" s="383">
        <f t="shared" si="2"/>
        <v>30.702667936607376</v>
      </c>
      <c r="G37" s="110">
        <f t="shared" si="21"/>
        <v>1.0051787273423884</v>
      </c>
      <c r="H37" s="412" t="b">
        <f>Wh_hp&gt;='2026'!Maxi_hp</f>
        <v>1</v>
      </c>
      <c r="I37" s="388">
        <f>IF(H37,Wh_hp,'2026'!Maxi_hp)</f>
        <v>30.702667936607376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5.4587704109628765E-2</v>
      </c>
      <c r="M37" s="832"/>
      <c r="N37" s="832"/>
      <c r="O37" s="48">
        <f>IF(t&lt;Tnet,'2026'!Resal+('2026'!Salim-'2026'!Resal)*(1-EXP(('2026'!Tnet-t)/('2026'!Tau_j))),Resal+(Salim-Resal)*(1-EXP((Tnet-t)/(Tau_j))))*Salcycl</f>
        <v>2.9539900355637413E-2</v>
      </c>
      <c r="P37" s="169">
        <f>(INDEX(Models!$BJ37:$BT37,,T37)*(1-R37)+INDEX(Models!$BJ37:$BT37,,T37+1)*R37-ERP_i)*Q37*Ramure*Pc/MaxiM</f>
        <v>5.2081290702702071E-4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28.009510039012557</v>
      </c>
      <c r="W37" s="400">
        <f t="shared" si="10"/>
        <v>28.154563654498496</v>
      </c>
      <c r="X37" s="157">
        <f t="shared" si="11"/>
        <v>46410</v>
      </c>
      <c r="Y37" s="383">
        <f t="shared" si="12"/>
        <v>26.87636970143009</v>
      </c>
      <c r="Z37" s="383">
        <f t="shared" si="22"/>
        <v>28.428199863974097</v>
      </c>
      <c r="AA37" s="384">
        <f t="shared" si="13"/>
        <v>30.366370822033126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6.3826229661028133E-2</v>
      </c>
      <c r="AD37" s="230">
        <f>(INDEX(Models!$BJ37:$BT37,,AH37)*(1-AF37)+INDEX(Models!$BJ37:$BT37,,AH37+1)*AF37-ERP_i)*AE37*Ramure*Pc/MaxiM</f>
        <v>1.095335152204404E-2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'2026'!Wh/'2026'!Env_an*'2027'!Env_an</f>
        <v>28.698804411783978</v>
      </c>
      <c r="C38" s="829"/>
      <c r="D38" s="391">
        <f t="shared" si="0"/>
        <v>30.356442954167125</v>
      </c>
      <c r="E38" s="383">
        <f t="shared" si="1"/>
        <v>31.282529147617577</v>
      </c>
      <c r="F38" s="383">
        <f t="shared" si="2"/>
        <v>31.298408115461406</v>
      </c>
      <c r="G38" s="110">
        <f t="shared" si="21"/>
        <v>1.013620723408297</v>
      </c>
      <c r="H38" s="412" t="b">
        <f>Wh_hp&gt;='2026'!Maxi_hp</f>
        <v>1</v>
      </c>
      <c r="I38" s="388">
        <f>IF(H38,Wh_hp,'2026'!Maxi_hp)</f>
        <v>31.298408115461406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5.4605822720596331E-2</v>
      </c>
      <c r="M38" s="832"/>
      <c r="N38" s="832"/>
      <c r="O38" s="48">
        <f>IF(t&lt;Tnet,'2026'!Resal+('2026'!Salim-'2026'!Resal)*(1-EXP(('2026'!Tnet-t)/('2026'!Tau_j))),Resal+(Salim-Resal)*(1-EXP((Tnet-t)/(Tau_j))))*Salcycl</f>
        <v>2.9603942477936716E-2</v>
      </c>
      <c r="P38" s="169">
        <f>(INDEX(Models!$BJ38:$BT38,,T38)*(1-R38)+INDEX(Models!$BJ38:$BT38,,T38+1)*R38-ERP_i)*Q38*Ramure*Pc/MaxiM</f>
        <v>5.073410694004432E-4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28.313158708204313</v>
      </c>
      <c r="W38" s="400">
        <f t="shared" si="10"/>
        <v>28.698804411783978</v>
      </c>
      <c r="X38" s="157">
        <f t="shared" si="11"/>
        <v>46411</v>
      </c>
      <c r="Y38" s="383">
        <f t="shared" si="12"/>
        <v>27.401894509532976</v>
      </c>
      <c r="Z38" s="383">
        <f t="shared" si="22"/>
        <v>28.984623734819731</v>
      </c>
      <c r="AA38" s="384">
        <f t="shared" si="13"/>
        <v>30.961802714985691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6.3858651848104256E-2</v>
      </c>
      <c r="AD38" s="230">
        <f>(INDEX(Models!$BJ38:$BT38,,AH38)*(1-AF38)+INDEX(Models!$BJ38:$BT38,,AH38+1)*AF38-ERP_i)*AE38*Ramure*Pc/MaxiM</f>
        <v>1.075471312259592E-2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'2026'!Wh/'2026'!Env_an*'2027'!Env_an</f>
        <v>27.74882405176615</v>
      </c>
      <c r="C39" s="829"/>
      <c r="D39" s="391">
        <f t="shared" si="0"/>
        <v>29.352154401559737</v>
      </c>
      <c r="E39" s="383">
        <f t="shared" si="1"/>
        <v>30.249598586839682</v>
      </c>
      <c r="F39" s="383">
        <f t="shared" si="2"/>
        <v>30.263882617905516</v>
      </c>
      <c r="G39" s="110">
        <f t="shared" si="21"/>
        <v>0.9693921634922078</v>
      </c>
      <c r="H39" s="412" t="b">
        <f>Wh_hp&gt;='2026'!Maxi_hp</f>
        <v>1</v>
      </c>
      <c r="I39" s="388">
        <f>IF(H39,Wh_hp,'2026'!Maxi_hp)</f>
        <v>30.263882617905516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5.462394098432477E-2</v>
      </c>
      <c r="M39" s="832"/>
      <c r="N39" s="832"/>
      <c r="O39" s="48">
        <f>IF(t&lt;Tnet,'2026'!Resal+('2026'!Salim-'2026'!Resal)*(1-EXP(('2026'!Tnet-t)/('2026'!Tau_j))),Resal+(Salim-Resal)*(1-EXP((Tnet-t)/(Tau_j))))*Salcycl</f>
        <v>2.9667970062597231E-2</v>
      </c>
      <c r="P39" s="169">
        <f>(INDEX(Models!$BJ39:$BT39,,T39)*(1-R39)+INDEX(Models!$BJ39:$BT39,,T39+1)*R39-ERP_i)*Q39*Ramure*Pc/MaxiM</f>
        <v>4.935486729023312E-4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28.624354916075724</v>
      </c>
      <c r="W39" s="400">
        <f t="shared" si="10"/>
        <v>27.74882405176615</v>
      </c>
      <c r="X39" s="157">
        <f t="shared" si="11"/>
        <v>46412</v>
      </c>
      <c r="Y39" s="383">
        <f t="shared" si="12"/>
        <v>26.512609710671121</v>
      </c>
      <c r="Z39" s="383">
        <f t="shared" si="22"/>
        <v>28.044511448995259</v>
      </c>
      <c r="AA39" s="384">
        <f t="shared" si="13"/>
        <v>29.958600626059191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6.3891141010070485E-2</v>
      </c>
      <c r="AD39" s="230">
        <f>(INDEX(Models!$BJ39:$BT39,,AH39)*(1-AF39)+INDEX(Models!$BJ39:$BT39,,AH39+1)*AF39-ERP_i)*AE39*Ramure*Pc/MaxiM</f>
        <v>1.0548249387186133E-2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'2026'!Wh/'2026'!Env_an*'2027'!Env_an</f>
        <v>28.422266959058213</v>
      </c>
      <c r="C40" s="829"/>
      <c r="D40" s="391">
        <f t="shared" si="0"/>
        <v>30.065085110525754</v>
      </c>
      <c r="E40" s="383">
        <f t="shared" si="1"/>
        <v>30.986371416330062</v>
      </c>
      <c r="F40" s="383">
        <f t="shared" si="2"/>
        <v>31.000854013017825</v>
      </c>
      <c r="G40" s="110">
        <f t="shared" si="21"/>
        <v>0.98202370091968549</v>
      </c>
      <c r="H40" s="412" t="b">
        <f>Wh_hp&gt;='2026'!Maxi_hp</f>
        <v>1</v>
      </c>
      <c r="I40" s="388">
        <f>IF(H40,Wh_hp,'2026'!Maxi_hp)</f>
        <v>31.000854013017825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5.4642058900820856E-2</v>
      </c>
      <c r="M40" s="832"/>
      <c r="N40" s="832"/>
      <c r="O40" s="48">
        <f>IF(t&lt;Tnet,'2026'!Resal+('2026'!Salim-'2026'!Resal)*(1-EXP(('2026'!Tnet-t)/('2026'!Tau_j))),Resal+(Salim-Resal)*(1-EXP((Tnet-t)/(Tau_j))))*Salcycl</f>
        <v>2.9731984214156224E-2</v>
      </c>
      <c r="P40" s="169">
        <f>(INDEX(Models!$BJ40:$BT40,,T40)*(1-R40)+INDEX(Models!$BJ40:$BT40,,T40+1)*R40-ERP_i)*Q40*Ramure*Pc/MaxiM</f>
        <v>4.7947244489774207E-4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28.942190539127878</v>
      </c>
      <c r="W40" s="400">
        <f t="shared" si="10"/>
        <v>28.422266959058213</v>
      </c>
      <c r="X40" s="157">
        <f t="shared" si="11"/>
        <v>46413</v>
      </c>
      <c r="Y40" s="383">
        <f t="shared" si="12"/>
        <v>27.157256349824237</v>
      </c>
      <c r="Z40" s="383">
        <f t="shared" si="22"/>
        <v>28.726956393097165</v>
      </c>
      <c r="AA40" s="384">
        <f t="shared" si="13"/>
        <v>30.688691040297069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6.3923698949035282E-2</v>
      </c>
      <c r="AD40" s="230">
        <f>(INDEX(Models!$BJ40:$BT40,,AH40)*(1-AF40)+INDEX(Models!$BJ40:$BT40,,AH40+1)*AF40-ERP_i)*AE40*Ramure*Pc/MaxiM</f>
        <v>1.0334717382789588E-2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'2026'!Wh/'2026'!Env_an*'2027'!Env_an</f>
        <v>27.15753604499303</v>
      </c>
      <c r="C41" s="829"/>
      <c r="D41" s="391">
        <f t="shared" si="0"/>
        <v>28.727802816543271</v>
      </c>
      <c r="E41" s="383">
        <f t="shared" si="1"/>
        <v>29.610063858621597</v>
      </c>
      <c r="F41" s="383">
        <f t="shared" si="2"/>
        <v>29.622424636548875</v>
      </c>
      <c r="G41" s="110">
        <f t="shared" si="21"/>
        <v>0.92791841334353942</v>
      </c>
      <c r="H41" s="412" t="b">
        <f>Wh_hp&gt;='2026'!Maxi_hp</f>
        <v>1</v>
      </c>
      <c r="I41" s="388">
        <f>IF(H41,Wh_hp,'2026'!Maxi_hp)</f>
        <v>29.622424636548875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5.4660176470091248E-2</v>
      </c>
      <c r="M41" s="832"/>
      <c r="N41" s="832"/>
      <c r="O41" s="48">
        <f>IF(t&lt;Tnet,'2026'!Resal+('2026'!Salim-'2026'!Resal)*(1-EXP(('2026'!Tnet-t)/('2026'!Tau_j))),Resal+(Salim-Resal)*(1-EXP((Tnet-t)/(Tau_j))))*Salcycl</f>
        <v>2.9795985793574686E-2</v>
      </c>
      <c r="P41" s="169">
        <f>(INDEX(Models!$BJ41:$BT41,,T41)*(1-R41)+INDEX(Models!$BJ41:$BT41,,T41+1)*R41-ERP_i)*Q41*Ramure*Pc/MaxiM</f>
        <v>4.6514599681753946E-4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29.265757772940777</v>
      </c>
      <c r="W41" s="400">
        <f t="shared" si="10"/>
        <v>27.15753604499303</v>
      </c>
      <c r="X41" s="157">
        <f t="shared" si="11"/>
        <v>46414</v>
      </c>
      <c r="Y41" s="383">
        <f t="shared" si="12"/>
        <v>25.97442454468769</v>
      </c>
      <c r="Z41" s="383">
        <f t="shared" si="22"/>
        <v>27.476283023494048</v>
      </c>
      <c r="AA41" s="384">
        <f t="shared" si="13"/>
        <v>29.353633611467647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6.3956326934603736E-2</v>
      </c>
      <c r="AD41" s="230">
        <f>(INDEX(Models!$BJ41:$BT41,,AH41)*(1-AF41)+INDEX(Models!$BJ41:$BT41,,AH41+1)*AF41-ERP_i)*AE41*Ramure*Pc/MaxiM</f>
        <v>1.011482206318819E-2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'2026'!Wh/'2026'!Env_an*'2027'!Env_an</f>
        <v>4.2915398195206116</v>
      </c>
      <c r="C42" s="829"/>
      <c r="D42" s="391">
        <f t="shared" si="0"/>
        <v>4.5397665058195651</v>
      </c>
      <c r="E42" s="383">
        <f t="shared" si="1"/>
        <v>4.6794961455607158</v>
      </c>
      <c r="F42" s="383">
        <f t="shared" si="2"/>
        <v>4.6794961455607158</v>
      </c>
      <c r="G42" s="110">
        <f t="shared" si="21"/>
        <v>0.14494777438140274</v>
      </c>
      <c r="H42" s="412" t="b">
        <f>Wh_hp&gt;='2026'!Maxi_hp</f>
        <v>0</v>
      </c>
      <c r="I42" s="388">
        <f>IF(H42,Wh_hp,'2026'!Maxi_hp)</f>
        <v>18.471919028830147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5.4678293692142499E-2</v>
      </c>
      <c r="M42" s="832"/>
      <c r="N42" s="832"/>
      <c r="O42" s="48">
        <f>IF(t&lt;Tnet,'2026'!Resal+('2026'!Salim-'2026'!Resal)*(1-EXP(('2026'!Tnet-t)/('2026'!Tau_j))),Resal+(Salim-Resal)*(1-EXP((Tnet-t)/(Tau_j))))*Salcycl</f>
        <v>2.9859975389381961E-2</v>
      </c>
      <c r="P42" s="169">
        <f>(INDEX(Models!$BJ42:$BT42,,T42)*(1-R42)+INDEX(Models!$BJ42:$BT42,,T42+1)*R42-ERP_i)*Q42*Ramure*Pc/MaxiM</f>
        <v>4.5059982997172908E-4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29.594149138988008</v>
      </c>
      <c r="W42" s="400">
        <f t="shared" si="10"/>
        <v>4.2915398195206116</v>
      </c>
      <c r="X42" s="157">
        <f t="shared" si="11"/>
        <v>46415</v>
      </c>
      <c r="Y42" s="383">
        <f t="shared" si="12"/>
        <v>4.1405655534713821</v>
      </c>
      <c r="Z42" s="383">
        <f t="shared" si="22"/>
        <v>4.3800597466900308</v>
      </c>
      <c r="AA42" s="384">
        <f t="shared" si="13"/>
        <v>4.6794961455607158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6.3989025646436506E-2</v>
      </c>
      <c r="AD42" s="230">
        <f>(INDEX(Models!$BJ42:$BT42,,AH42)*(1-AF42)+INDEX(Models!$BJ42:$BT42,,AH42+1)*AF42-ERP_i)*AE42*Ramure*Pc/MaxiM</f>
        <v>9.8892152961790533E-3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'2026'!Wh/'2026'!Env_an*'2027'!Env_an</f>
        <v>9.0573493560697518</v>
      </c>
      <c r="C43" s="829"/>
      <c r="D43" s="391">
        <f t="shared" si="0"/>
        <v>9.5814185594092987</v>
      </c>
      <c r="E43" s="383">
        <f t="shared" si="1"/>
        <v>9.8769767503748422</v>
      </c>
      <c r="F43" s="383">
        <f t="shared" si="2"/>
        <v>9.8769930698629178</v>
      </c>
      <c r="G43" s="110">
        <f t="shared" si="21"/>
        <v>0.3025221602884306</v>
      </c>
      <c r="H43" s="412" t="b">
        <f>Wh_hp&gt;='2026'!Maxi_hp</f>
        <v>0</v>
      </c>
      <c r="I43" s="388">
        <f>IF(H43,Wh_hp,'2026'!Maxi_hp)</f>
        <v>19.775703807846384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5.4696410566981379E-2</v>
      </c>
      <c r="M43" s="832"/>
      <c r="N43" s="832"/>
      <c r="O43" s="48">
        <f>IF(t&lt;Tnet,'2026'!Resal+('2026'!Salim-'2026'!Resal)*(1-EXP(('2026'!Tnet-t)/('2026'!Tau_j))),Resal+(Salim-Resal)*(1-EXP((Tnet-t)/(Tau_j))))*Salcycl</f>
        <v>2.9923953294141954E-2</v>
      </c>
      <c r="P43" s="169">
        <f>(INDEX(Models!$BJ43:$BT43,,T43)*(1-R43)+INDEX(Models!$BJ43:$BT43,,T43+1)*R43-ERP_i)*Q43*Ramure*Pc/MaxiM</f>
        <v>4.358613733576824E-4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29.926457478102293</v>
      </c>
      <c r="W43" s="400">
        <f t="shared" si="10"/>
        <v>9.0573493560697518</v>
      </c>
      <c r="X43" s="157">
        <f t="shared" si="11"/>
        <v>46416</v>
      </c>
      <c r="Y43" s="383">
        <f t="shared" si="12"/>
        <v>8.7386810911912303</v>
      </c>
      <c r="Z43" s="383">
        <f t="shared" si="22"/>
        <v>9.2443117627772722</v>
      </c>
      <c r="AA43" s="384">
        <f t="shared" si="13"/>
        <v>9.8766314372124544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6.4021795128729228E-2</v>
      </c>
      <c r="AD43" s="230">
        <f>(INDEX(Models!$BJ43:$BT43,,AH43)*(1-AF43)+INDEX(Models!$BJ43:$BT43,,AH43+1)*AF43-ERP_i)*AE43*Ramure*Pc/MaxiM</f>
        <v>9.6584955943021539E-3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'2026'!Wh/'2026'!Env_an*'2027'!Env_an</f>
        <v>4.6771958154211166</v>
      </c>
      <c r="C44" s="829"/>
      <c r="D44" s="391">
        <f t="shared" si="0"/>
        <v>4.9479188557140361</v>
      </c>
      <c r="E44" s="383">
        <f t="shared" si="1"/>
        <v>5.1008837468233557</v>
      </c>
      <c r="F44" s="383">
        <f t="shared" si="2"/>
        <v>5.1008837468233557</v>
      </c>
      <c r="G44" s="110">
        <f t="shared" si="21"/>
        <v>0.15449281406531815</v>
      </c>
      <c r="H44" s="412" t="b">
        <f>Wh_hp&gt;='2026'!Maxi_hp</f>
        <v>0</v>
      </c>
      <c r="I44" s="388">
        <f>IF(H44,Wh_hp,'2026'!Maxi_hp)</f>
        <v>11.80160840972839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5.471452709461444E-2</v>
      </c>
      <c r="M44" s="832"/>
      <c r="N44" s="832"/>
      <c r="O44" s="48">
        <f>IF(t&lt;Tnet,'2026'!Resal+('2026'!Salim-'2026'!Resal)*(1-EXP(('2026'!Tnet-t)/('2026'!Tau_j))),Resal+(Salim-Resal)*(1-EXP((Tnet-t)/(Tau_j))))*Salcycl</f>
        <v>2.998791948641848E-2</v>
      </c>
      <c r="P44" s="169">
        <f>(INDEX(Models!$BJ44:$BT44,,T44)*(1-R44)+INDEX(Models!$BJ44:$BT44,,T44+1)*R44-ERP_i)*Q44*Ramure*Pc/MaxiM</f>
        <v>4.2101499414524393E-4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30.261774142295245</v>
      </c>
      <c r="W44" s="400">
        <f t="shared" si="10"/>
        <v>4.6771958154211166</v>
      </c>
      <c r="X44" s="157">
        <f t="shared" si="11"/>
        <v>46417</v>
      </c>
      <c r="Y44" s="383">
        <f t="shared" si="12"/>
        <v>4.5129332239452893</v>
      </c>
      <c r="Z44" s="383">
        <f t="shared" si="22"/>
        <v>4.7741485014834169</v>
      </c>
      <c r="AA44" s="384">
        <f t="shared" si="13"/>
        <v>5.1008837468233557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6.4054634756853107E-2</v>
      </c>
      <c r="AD44" s="230">
        <f>(INDEX(Models!$BJ44:$BT44,,AH44)*(1-AF44)+INDEX(Models!$BJ44:$BT44,,AH44+1)*AF44-ERP_i)*AE44*Ramure*Pc/MaxiM</f>
        <v>9.4256194206918577E-3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'2026'!Wh/'2026'!Env_an*'2027'!Env_an</f>
        <v>7.7553585733902786</v>
      </c>
      <c r="C45" s="829"/>
      <c r="D45" s="391">
        <f t="shared" si="0"/>
        <v>8.204407481350156</v>
      </c>
      <c r="E45" s="383">
        <f t="shared" si="1"/>
        <v>8.458604391511539</v>
      </c>
      <c r="F45" s="383">
        <f t="shared" si="2"/>
        <v>8.458604391511539</v>
      </c>
      <c r="G45" s="110">
        <f t="shared" si="21"/>
        <v>0.2533468569149212</v>
      </c>
      <c r="H45" s="412" t="b">
        <f>Wh_hp&gt;='2026'!Maxi_hp</f>
        <v>0</v>
      </c>
      <c r="I45" s="388">
        <f>IF(H45,Wh_hp,'2026'!Maxi_hp)</f>
        <v>23.12427848668732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5.4732643275048454E-2</v>
      </c>
      <c r="M45" s="832"/>
      <c r="N45" s="832"/>
      <c r="O45" s="48">
        <f>IF(t&lt;Tnet,'2026'!Resal+('2026'!Salim-'2026'!Resal)*(1-EXP(('2026'!Tnet-t)/('2026'!Tau_j))),Resal+(Salim-Resal)*(1-EXP((Tnet-t)/(Tau_j))))*Salcycl</f>
        <v>3.0051873618356959E-2</v>
      </c>
      <c r="P45" s="169">
        <f>(INDEX(Models!$BJ45:$BT45,,T45)*(1-R45)+INDEX(Models!$BJ45:$BT45,,T45+1)*R45-ERP_i)*Q45*Ramure*Pc/MaxiM</f>
        <v>4.0678989084046418E-4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30.599170900810186</v>
      </c>
      <c r="W45" s="400">
        <f t="shared" si="10"/>
        <v>7.7553585733902786</v>
      </c>
      <c r="X45" s="157">
        <f t="shared" si="11"/>
        <v>46418</v>
      </c>
      <c r="Y45" s="383">
        <f t="shared" si="12"/>
        <v>7.4832215231318164</v>
      </c>
      <c r="Z45" s="383">
        <f t="shared" si="22"/>
        <v>7.9165132170212464</v>
      </c>
      <c r="AA45" s="384">
        <f t="shared" si="13"/>
        <v>8.458604391511539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6.4087543216265988E-2</v>
      </c>
      <c r="AD45" s="230">
        <f>(INDEX(Models!$BJ45:$BT45,,AH45)*(1-AF45)+INDEX(Models!$BJ45:$BT45,,AH45+1)*AF45-ERP_i)*AE45*Ramure*Pc/MaxiM</f>
        <v>9.1964332226157734E-3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'2026'!Wh/'2026'!Env_an*'2027'!Env_an</f>
        <v>12.868853689645359</v>
      </c>
      <c r="C46" s="829"/>
      <c r="D46" s="391">
        <f t="shared" si="0"/>
        <v>13.614243876573127</v>
      </c>
      <c r="E46" s="383">
        <f t="shared" si="1"/>
        <v>14.036978937540461</v>
      </c>
      <c r="F46" s="383">
        <f t="shared" si="2"/>
        <v>14.037893266098706</v>
      </c>
      <c r="G46" s="110">
        <f t="shared" si="21"/>
        <v>0.415823236525517</v>
      </c>
      <c r="H46" s="412" t="b">
        <f>Wh_hp&gt;='2026'!Maxi_hp</f>
        <v>1</v>
      </c>
      <c r="I46" s="388">
        <f>IF(H46,Wh_hp,'2026'!Maxi_hp)</f>
        <v>14.037893266098706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5.475075910828997E-2</v>
      </c>
      <c r="M46" s="832"/>
      <c r="N46" s="832"/>
      <c r="O46" s="48">
        <f>IF(t&lt;Tnet,'2026'!Resal+('2026'!Salim-'2026'!Resal)*(1-EXP(('2026'!Tnet-t)/('2026'!Tau_j))),Resal+(Salim-Resal)*(1-EXP((Tnet-t)/(Tau_j))))*Salcycl</f>
        <v>3.0115815008938399E-2</v>
      </c>
      <c r="P46" s="169">
        <f>(INDEX(Models!$BJ46:$BT46,,T46)*(1-R46)+INDEX(Models!$BJ46:$BT46,,T46+1)*R46-ERP_i)*Q46*Ramure*Pc/MaxiM</f>
        <v>3.9317989882958868E-4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30.937741558639559</v>
      </c>
      <c r="W46" s="400">
        <f t="shared" si="10"/>
        <v>12.868853689645359</v>
      </c>
      <c r="X46" s="157">
        <f t="shared" si="11"/>
        <v>46419</v>
      </c>
      <c r="Y46" s="383">
        <f t="shared" si="12"/>
        <v>12.400017621542151</v>
      </c>
      <c r="Z46" s="383">
        <f t="shared" si="22"/>
        <v>13.118251869575134</v>
      </c>
      <c r="AA46" s="384">
        <f t="shared" si="13"/>
        <v>14.017031176344313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6.4120518493673159E-2</v>
      </c>
      <c r="AD46" s="230">
        <f>(INDEX(Models!$BJ46:$BT46,,AH46)*(1-AF46)+INDEX(Models!$BJ46:$BT46,,AH46+1)*AF46-ERP_i)*AE46*Ramure*Pc/MaxiM</f>
        <v>8.9711234162258447E-3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'2026'!Wh/'2026'!Env_an*'2027'!Env_an</f>
        <v>5.4322934419556992</v>
      </c>
      <c r="C47" s="829"/>
      <c r="D47" s="391">
        <f t="shared" si="0"/>
        <v>5.7470530708818774</v>
      </c>
      <c r="E47" s="383">
        <f t="shared" si="1"/>
        <v>5.9258950586817347</v>
      </c>
      <c r="F47" s="383">
        <f t="shared" si="2"/>
        <v>5.9258950586817347</v>
      </c>
      <c r="G47" s="110">
        <f t="shared" si="21"/>
        <v>0.17361962735080144</v>
      </c>
      <c r="H47" s="412" t="b">
        <f>Wh_hp&gt;='2026'!Maxi_hp</f>
        <v>0</v>
      </c>
      <c r="I47" s="388">
        <f>IF(H47,Wh_hp,'2026'!Maxi_hp)</f>
        <v>29.977059055663016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5.4768874594345651E-2</v>
      </c>
      <c r="M47" s="832"/>
      <c r="N47" s="832"/>
      <c r="O47" s="48">
        <f>IF(t&lt;Tnet,'2026'!Resal+('2026'!Salim-'2026'!Resal)*(1-EXP(('2026'!Tnet-t)/('2026'!Tau_j))),Resal+(Salim-Resal)*(1-EXP((Tnet-t)/(Tau_j))))*Salcycl</f>
        <v>3.0179742642901568E-2</v>
      </c>
      <c r="P47" s="169">
        <f>(INDEX(Models!$BJ47:$BT47,,T47)*(1-R47)+INDEX(Models!$BJ47:$BT47,,T47+1)*R47-ERP_i)*Q47*Ramure*Pc/MaxiM</f>
        <v>3.801773017056535E-4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31.276580247007409</v>
      </c>
      <c r="W47" s="400">
        <f t="shared" si="10"/>
        <v>5.4322934419556992</v>
      </c>
      <c r="X47" s="157">
        <f t="shared" si="11"/>
        <v>46420</v>
      </c>
      <c r="Y47" s="383">
        <f t="shared" si="12"/>
        <v>5.2419945362438094</v>
      </c>
      <c r="Z47" s="383">
        <f t="shared" si="22"/>
        <v>5.5457278070420726</v>
      </c>
      <c r="AA47" s="384">
        <f t="shared" si="13"/>
        <v>5.9258950586817347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6.4153557880289785E-2</v>
      </c>
      <c r="AD47" s="230">
        <f>(INDEX(Models!$BJ47:$BT47,,AH47)*(1-AF47)+INDEX(Models!$BJ47:$BT47,,AH47+1)*AF47-ERP_i)*AE47*Ramure*Pc/MaxiM</f>
        <v>8.7498387158464717E-3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'2026'!Wh/'2026'!Env_an*'2027'!Env_an</f>
        <v>10.660644940709878</v>
      </c>
      <c r="C48" s="829"/>
      <c r="D48" s="391">
        <f t="shared" si="0"/>
        <v>11.278563482427106</v>
      </c>
      <c r="E48" s="383">
        <f t="shared" si="1"/>
        <v>11.630306460604331</v>
      </c>
      <c r="F48" s="383">
        <f t="shared" si="2"/>
        <v>11.630533800914868</v>
      </c>
      <c r="G48" s="110">
        <f t="shared" si="21"/>
        <v>0.33708702304379518</v>
      </c>
      <c r="H48" s="412" t="b">
        <f>Wh_hp&gt;='2026'!Maxi_hp</f>
        <v>0</v>
      </c>
      <c r="I48" s="388">
        <f>IF(H48,Wh_hp,'2026'!Maxi_hp)</f>
        <v>27.588451395254136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5.4786989733222158E-2</v>
      </c>
      <c r="M48" s="832"/>
      <c r="N48" s="832"/>
      <c r="O48" s="48">
        <f>IF(t&lt;Tnet,'2026'!Resal+('2026'!Salim-'2026'!Resal)*(1-EXP(('2026'!Tnet-t)/('2026'!Tau_j))),Resal+(Salim-Resal)*(1-EXP((Tnet-t)/(Tau_j))))*Salcycl</f>
        <v>3.0243655175269311E-2</v>
      </c>
      <c r="P48" s="169">
        <f>(INDEX(Models!$BJ48:$BT48,,T48)*(1-R48)+INDEX(Models!$BJ48:$BT48,,T48+1)*R48-ERP_i)*Q48*Ramure*Pc/MaxiM</f>
        <v>3.6777310523289608E-4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31.614781415966046</v>
      </c>
      <c r="W48" s="400">
        <f t="shared" si="10"/>
        <v>10.660644940709878</v>
      </c>
      <c r="X48" s="157">
        <f t="shared" si="11"/>
        <v>46421</v>
      </c>
      <c r="Y48" s="383">
        <f t="shared" si="12"/>
        <v>10.283041096387135</v>
      </c>
      <c r="Z48" s="383">
        <f t="shared" si="22"/>
        <v>10.879072743068612</v>
      </c>
      <c r="AA48" s="384">
        <f t="shared" si="13"/>
        <v>11.625259284790916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6.4186657986934029E-2</v>
      </c>
      <c r="AD48" s="230">
        <f>(INDEX(Models!$BJ48:$BT48,,AH48)*(1-AF48)+INDEX(Models!$BJ48:$BT48,,AH48+1)*AF48-ERP_i)*AE48*Ramure*Pc/MaxiM</f>
        <v>8.5326934273698644E-3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'2026'!Wh/'2026'!Env_an*'2027'!Env_an</f>
        <v>10.499494903060596</v>
      </c>
      <c r="C49" s="829"/>
      <c r="D49" s="391">
        <f t="shared" si="0"/>
        <v>11.108285659735117</v>
      </c>
      <c r="E49" s="383">
        <f t="shared" si="1"/>
        <v>11.455472990966173</v>
      </c>
      <c r="F49" s="383">
        <f t="shared" si="2"/>
        <v>11.455639640793221</v>
      </c>
      <c r="G49" s="110">
        <f t="shared" si="21"/>
        <v>0.32849568822683883</v>
      </c>
      <c r="H49" s="412" t="b">
        <f>Wh_hp&gt;='2026'!Maxi_hp</f>
        <v>0</v>
      </c>
      <c r="I49" s="388">
        <f>IF(H49,Wh_hp,'2026'!Maxi_hp)</f>
        <v>19.347515119040757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5.4805104524926151E-2</v>
      </c>
      <c r="M49" s="832"/>
      <c r="N49" s="832"/>
      <c r="O49" s="48">
        <f>IF(t&lt;Tnet,'2026'!Resal+('2026'!Salim-'2026'!Resal)*(1-EXP(('2026'!Tnet-t)/('2026'!Tau_j))),Resal+(Salim-Resal)*(1-EXP((Tnet-t)/(Tau_j))))*Salcycl</f>
        <v>3.0307550941357789E-2</v>
      </c>
      <c r="P49" s="169">
        <f>(INDEX(Models!$BJ49:$BT49,,T49)*(1-R49)+INDEX(Models!$BJ49:$BT49,,T49+1)*R49-ERP_i)*Q49*Ramure*Pc/MaxiM</f>
        <v>3.5595728921079649E-4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31.951439838454306</v>
      </c>
      <c r="W49" s="400">
        <f t="shared" si="10"/>
        <v>10.499494903060596</v>
      </c>
      <c r="X49" s="157">
        <f t="shared" si="11"/>
        <v>46422</v>
      </c>
      <c r="Y49" s="383">
        <f t="shared" si="12"/>
        <v>10.129006831727288</v>
      </c>
      <c r="Z49" s="383">
        <f t="shared" si="22"/>
        <v>10.716315629948728</v>
      </c>
      <c r="AA49" s="384">
        <f t="shared" si="13"/>
        <v>11.451744543320569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6.4219814770562086E-2</v>
      </c>
      <c r="AD49" s="230">
        <f>(INDEX(Models!$BJ49:$BT49,,AH49)*(1-AF49)+INDEX(Models!$BJ49:$BT49,,AH49+1)*AF49-ERP_i)*AE49*Ramure*Pc/MaxiM</f>
        <v>8.3197706360958884E-3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'2026'!Wh/'2026'!Env_an*'2027'!Env_an</f>
        <v>9.2255238172682823</v>
      </c>
      <c r="C50" s="829"/>
      <c r="D50" s="391">
        <f t="shared" si="0"/>
        <v>9.7606331454837481</v>
      </c>
      <c r="E50" s="383">
        <f t="shared" si="1"/>
        <v>10.066362963160303</v>
      </c>
      <c r="F50" s="383">
        <f t="shared" si="2"/>
        <v>10.066362963160303</v>
      </c>
      <c r="G50" s="110">
        <f t="shared" si="21"/>
        <v>0.28564837411562127</v>
      </c>
      <c r="H50" s="412" t="b">
        <f>Wh_hp&gt;='2026'!Maxi_hp</f>
        <v>0</v>
      </c>
      <c r="I50" s="388">
        <f>IF(H50,Wh_hp,'2026'!Maxi_hp)</f>
        <v>35.681802082367859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5.4823218969464294E-2</v>
      </c>
      <c r="M50" s="832"/>
      <c r="N50" s="832"/>
      <c r="O50" s="48">
        <f>IF(t&lt;Tnet,'2026'!Resal+('2026'!Salim-'2026'!Resal)*(1-EXP(('2026'!Tnet-t)/('2026'!Tau_j))),Resal+(Salim-Resal)*(1-EXP((Tnet-t)/(Tau_j))))*Salcycl</f>
        <v>3.0371427972091816E-2</v>
      </c>
      <c r="P50" s="169">
        <f>(INDEX(Models!$BJ50:$BT50,,T50)*(1-R50)+INDEX(Models!$BJ50:$BT50,,T50+1)*R50-ERP_i)*Q50*Ramure*Pc/MaxiM</f>
        <v>3.4471903775409933E-4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32.285650608472594</v>
      </c>
      <c r="W50" s="400">
        <f t="shared" si="10"/>
        <v>9.2255238172682823</v>
      </c>
      <c r="X50" s="157">
        <f t="shared" si="11"/>
        <v>46423</v>
      </c>
      <c r="Y50" s="383">
        <f t="shared" si="12"/>
        <v>8.9031576286173824</v>
      </c>
      <c r="Z50" s="383">
        <f t="shared" si="22"/>
        <v>9.4195687064066256</v>
      </c>
      <c r="AA50" s="384">
        <f t="shared" si="13"/>
        <v>10.066362963160303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6.4253023571744824E-2</v>
      </c>
      <c r="AD50" s="230">
        <f>(INDEX(Models!$BJ50:$BT50,,AH50)*(1-AF50)+INDEX(Models!$BJ50:$BT50,,AH50+1)*AF50-ERP_i)*AE50*Ramure*Pc/MaxiM</f>
        <v>8.111125265036781E-3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'2026'!Wh/'2026'!Env_an*'2027'!Env_an</f>
        <v>21.491790984489452</v>
      </c>
      <c r="C51" s="829"/>
      <c r="D51" s="391">
        <f t="shared" si="0"/>
        <v>22.738818080382039</v>
      </c>
      <c r="E51" s="383">
        <f t="shared" si="1"/>
        <v>23.452604767353844</v>
      </c>
      <c r="F51" s="383">
        <f t="shared" si="2"/>
        <v>23.456621596817079</v>
      </c>
      <c r="G51" s="110">
        <f t="shared" si="21"/>
        <v>0.65876631367507832</v>
      </c>
      <c r="H51" s="412" t="b">
        <f>Wh_hp&gt;='2026'!Maxi_hp</f>
        <v>0</v>
      </c>
      <c r="I51" s="388">
        <f>IF(H51,Wh_hp,'2026'!Maxi_hp)</f>
        <v>37.076232391062831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5.4841333066843245E-2</v>
      </c>
      <c r="M51" s="832"/>
      <c r="N51" s="832"/>
      <c r="O51" s="48">
        <f>IF(t&lt;Tnet,'2026'!Resal+('2026'!Salim-'2026'!Resal)*(1-EXP(('2026'!Tnet-t)/('2026'!Tau_j))),Resal+(Salim-Resal)*(1-EXP((Tnet-t)/(Tau_j))))*Salcycl</f>
        <v>3.0435284014396598E-2</v>
      </c>
      <c r="P51" s="169">
        <f>(INDEX(Models!$BJ51:$BT51,,T51)*(1-R51)+INDEX(Models!$BJ51:$BT51,,T51+1)*R51-ERP_i)*Q51*Ramure*Pc/MaxiM</f>
        <v>3.340215473316687E-4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32.618990346020325</v>
      </c>
      <c r="W51" s="400">
        <f t="shared" si="10"/>
        <v>21.491790984489452</v>
      </c>
      <c r="X51" s="157">
        <f t="shared" si="11"/>
        <v>46424</v>
      </c>
      <c r="Y51" s="383">
        <f t="shared" si="12"/>
        <v>20.660901665708209</v>
      </c>
      <c r="Z51" s="383">
        <f t="shared" si="22"/>
        <v>21.859717726282444</v>
      </c>
      <c r="AA51" s="384">
        <f t="shared" si="13"/>
        <v>23.361544497516547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6.4286279162482418E-2</v>
      </c>
      <c r="AD51" s="230">
        <f>(INDEX(Models!$BJ51:$BT51,,AH51)*(1-AF51)+INDEX(Models!$BJ51:$BT51,,AH51+1)*AF51-ERP_i)*AE51*Ramure*Pc/MaxiM</f>
        <v>7.9061857404794898E-3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'2026'!Wh/'2026'!Env_an*'2027'!Env_an</f>
        <v>9.057113295896583</v>
      </c>
      <c r="C52" s="829"/>
      <c r="D52" s="391">
        <f t="shared" si="0"/>
        <v>9.5828215871122353</v>
      </c>
      <c r="E52" s="383">
        <f t="shared" si="1"/>
        <v>9.8842835017071771</v>
      </c>
      <c r="F52" s="383">
        <f t="shared" si="2"/>
        <v>9.8842835017071771</v>
      </c>
      <c r="G52" s="110">
        <f t="shared" si="21"/>
        <v>0.27475566166323356</v>
      </c>
      <c r="H52" s="412" t="b">
        <f>Wh_hp&gt;='2026'!Maxi_hp</f>
        <v>0</v>
      </c>
      <c r="I52" s="388">
        <f>IF(H52,Wh_hp,'2026'!Maxi_hp)</f>
        <v>24.451684563184926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5.4859446817069779E-2</v>
      </c>
      <c r="M52" s="832"/>
      <c r="N52" s="832"/>
      <c r="O52" s="48">
        <f>IF(t&lt;Tnet,'2026'!Resal+('2026'!Salim-'2026'!Resal)*(1-EXP(('2026'!Tnet-t)/('2026'!Tau_j))),Resal+(Salim-Resal)*(1-EXP((Tnet-t)/(Tau_j))))*Salcycl</f>
        <v>3.0499116556387186E-2</v>
      </c>
      <c r="P52" s="169">
        <f>(INDEX(Models!$BJ52:$BT52,,T52)*(1-R52)+INDEX(Models!$BJ52:$BT52,,T52+1)*R52-ERP_i)*Q52*Ramure*Pc/MaxiM</f>
        <v>3.238165584880138E-4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32.953571903959258</v>
      </c>
      <c r="W52" s="400">
        <f t="shared" si="10"/>
        <v>9.057113295896583</v>
      </c>
      <c r="X52" s="157">
        <f t="shared" si="11"/>
        <v>46425</v>
      </c>
      <c r="Y52" s="383">
        <f t="shared" si="12"/>
        <v>8.74116130827821</v>
      </c>
      <c r="Z52" s="383">
        <f t="shared" si="22"/>
        <v>9.2485305797542843</v>
      </c>
      <c r="AA52" s="384">
        <f t="shared" si="13"/>
        <v>9.8842835017071771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6.4319575803657117E-2</v>
      </c>
      <c r="AD52" s="230">
        <f>(INDEX(Models!$BJ52:$BT52,,AH52)*(1-AF52)+INDEX(Models!$BJ52:$BT52,,AH52+1)*AF52-ERP_i)*AE52*Ramure*Pc/MaxiM</f>
        <v>7.7038226806740067E-3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'2026'!Wh/'2026'!Env_an*'2027'!Env_an</f>
        <v>33.587732354749484</v>
      </c>
      <c r="C53" s="829"/>
      <c r="D53" s="391">
        <f t="shared" si="0"/>
        <v>35.537969411215308</v>
      </c>
      <c r="E53" s="383">
        <f t="shared" si="1"/>
        <v>36.658355915114555</v>
      </c>
      <c r="F53" s="383">
        <f t="shared" si="2"/>
        <v>36.669864928426442</v>
      </c>
      <c r="G53" s="110">
        <f t="shared" si="21"/>
        <v>1.0089647411935272</v>
      </c>
      <c r="H53" s="412" t="b">
        <f>Wh_hp&gt;='2026'!Maxi_hp</f>
        <v>1</v>
      </c>
      <c r="I53" s="388">
        <f>IF(H53,Wh_hp,'2026'!Maxi_hp)</f>
        <v>36.669864928426442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5.4877560220150223E-2</v>
      </c>
      <c r="M53" s="832"/>
      <c r="N53" s="832"/>
      <c r="O53" s="48">
        <f>IF(t&lt;Tnet,'2026'!Resal+('2026'!Salim-'2026'!Resal)*(1-EXP(('2026'!Tnet-t)/('2026'!Tau_j))),Resal+(Salim-Resal)*(1-EXP((Tnet-t)/(Tau_j))))*Salcycl</f>
        <v>3.0562922857031376E-2</v>
      </c>
      <c r="P53" s="169">
        <f>(INDEX(Models!$BJ53:$BT53,,T53)*(1-R53)+INDEX(Models!$BJ53:$BT53,,T53+1)*R53-ERP_i)*Q53*Ramure*Pc/MaxiM</f>
        <v>3.1385480514722105E-4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33.289302374449477</v>
      </c>
      <c r="W53" s="400">
        <f t="shared" si="10"/>
        <v>33.587732354749484</v>
      </c>
      <c r="X53" s="157">
        <f t="shared" si="11"/>
        <v>46426</v>
      </c>
      <c r="Y53" s="383">
        <f t="shared" si="12"/>
        <v>32.183766924461004</v>
      </c>
      <c r="Z53" s="383">
        <f t="shared" si="22"/>
        <v>34.052484175444683</v>
      </c>
      <c r="AA53" s="384">
        <f t="shared" si="13"/>
        <v>36.394581291961245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6.4352907311338609E-2</v>
      </c>
      <c r="AD53" s="230">
        <f>(INDEX(Models!$BJ53:$BT53,,AH53)*(1-AF53)+INDEX(Models!$BJ53:$BT53,,AH53+1)*AF53-ERP_i)*AE53*Ramure*Pc/MaxiM</f>
        <v>7.5070807324354484E-3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'2026'!Wh/'2026'!Env_an*'2027'!Env_an</f>
        <v>33.873056524936032</v>
      </c>
      <c r="C54" s="829"/>
      <c r="D54" s="391">
        <f t="shared" si="0"/>
        <v>35.840547511144031</v>
      </c>
      <c r="E54" s="383">
        <f t="shared" si="1"/>
        <v>36.972905598288726</v>
      </c>
      <c r="F54" s="383">
        <f t="shared" si="2"/>
        <v>36.984153600859244</v>
      </c>
      <c r="G54" s="110">
        <f t="shared" si="21"/>
        <v>1.0073447597282732</v>
      </c>
      <c r="H54" s="412" t="b">
        <f>Wh_hp&gt;='2026'!Maxi_hp</f>
        <v>0</v>
      </c>
      <c r="I54" s="388">
        <f>IF(H54,Wh_hp,'2026'!Maxi_hp)</f>
        <v>36.984153600859251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5.4895673276091572E-2</v>
      </c>
      <c r="M54" s="832"/>
      <c r="N54" s="832"/>
      <c r="O54" s="48">
        <f>IF(t&lt;Tnet,'2026'!Resal+('2026'!Salim-'2026'!Resal)*(1-EXP(('2026'!Tnet-t)/('2026'!Tau_j))),Resal+(Salim-Resal)*(1-EXP((Tnet-t)/(Tau_j))))*Salcycl</f>
        <v>3.0626699979920048E-2</v>
      </c>
      <c r="P54" s="169">
        <f>(INDEX(Models!$BJ54:$BT54,,T54)*(1-R54)+INDEX(Models!$BJ54:$BT54,,T54+1)*R54-ERP_i)*Q54*Ramure*Pc/MaxiM</f>
        <v>3.0413032272977927E-4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33.626081039100391</v>
      </c>
      <c r="W54" s="400">
        <f t="shared" si="10"/>
        <v>33.873056524936032</v>
      </c>
      <c r="X54" s="157">
        <f t="shared" si="11"/>
        <v>46427</v>
      </c>
      <c r="Y54" s="383">
        <f t="shared" si="12"/>
        <v>32.464081718399186</v>
      </c>
      <c r="Z54" s="383">
        <f t="shared" si="22"/>
        <v>34.349733463745807</v>
      </c>
      <c r="AA54" s="384">
        <f t="shared" si="13"/>
        <v>36.713584096737726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6.4386267131079908E-2</v>
      </c>
      <c r="AD54" s="230">
        <f>(INDEX(Models!$BJ54:$BT54,,AH54)*(1-AF54)+INDEX(Models!$BJ54:$BT54,,AH54+1)*AF54-ERP_i)*AE54*Ramure*Pc/MaxiM</f>
        <v>7.3158225287933247E-3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'2026'!Wh/'2026'!Env_an*'2027'!Env_an</f>
        <v>31.586800340681663</v>
      </c>
      <c r="C55" s="829"/>
      <c r="D55" s="391">
        <f t="shared" si="0"/>
        <v>33.422136385302302</v>
      </c>
      <c r="E55" s="383">
        <f t="shared" si="1"/>
        <v>34.48035378075506</v>
      </c>
      <c r="F55" s="383">
        <f t="shared" si="2"/>
        <v>34.489499678455374</v>
      </c>
      <c r="G55" s="110">
        <f t="shared" si="21"/>
        <v>0.92998612909591893</v>
      </c>
      <c r="H55" s="412" t="b">
        <f>Wh_hp&gt;='2026'!Maxi_hp</f>
        <v>1</v>
      </c>
      <c r="I55" s="388">
        <f>IF(H55,Wh_hp,'2026'!Maxi_hp)</f>
        <v>34.489499678455374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5.4913785984900265E-2</v>
      </c>
      <c r="M55" s="832"/>
      <c r="N55" s="832"/>
      <c r="O55" s="48">
        <f>IF(t&lt;Tnet,'2026'!Resal+('2026'!Salim-'2026'!Resal)*(1-EXP(('2026'!Tnet-t)/('2026'!Tau_j))),Resal+(Salim-Resal)*(1-EXP((Tnet-t)/(Tau_j))))*Salcycl</f>
        <v>3.0690444830742902E-2</v>
      </c>
      <c r="P55" s="169">
        <f>(INDEX(Models!$BJ55:$BT55,,T55)*(1-R55)+INDEX(Models!$BJ55:$BT55,,T55+1)*R55-ERP_i)*Q55*Ramure*Pc/MaxiM</f>
        <v>2.9463721909544387E-4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33.963807223443446</v>
      </c>
      <c r="W55" s="400">
        <f t="shared" si="10"/>
        <v>31.586800340681663</v>
      </c>
      <c r="X55" s="157">
        <f t="shared" si="11"/>
        <v>46428</v>
      </c>
      <c r="Y55" s="383">
        <f t="shared" si="12"/>
        <v>30.30006367926218</v>
      </c>
      <c r="Z55" s="383">
        <f t="shared" si="22"/>
        <v>32.060634500778015</v>
      </c>
      <c r="AA55" s="384">
        <f t="shared" si="13"/>
        <v>34.268178512523797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6.4419648419276249E-2</v>
      </c>
      <c r="AD55" s="230">
        <f>(INDEX(Models!$BJ55:$BT55,,AH55)*(1-AF55)+INDEX(Models!$BJ55:$BT55,,AH55+1)*AF55-ERP_i)*AE55*Ramure*Pc/MaxiM</f>
        <v>7.1299127755156851E-3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'2026'!Wh/'2026'!Env_an*'2027'!Env_an</f>
        <v>17.496709779449517</v>
      </c>
      <c r="C56" s="829"/>
      <c r="D56" s="391">
        <f t="shared" si="0"/>
        <v>18.513702609196784</v>
      </c>
      <c r="E56" s="383">
        <f t="shared" si="1"/>
        <v>19.101142078022868</v>
      </c>
      <c r="F56" s="383">
        <f t="shared" si="2"/>
        <v>19.10277805080225</v>
      </c>
      <c r="G56" s="110">
        <f t="shared" si="21"/>
        <v>0.50997087452224388</v>
      </c>
      <c r="H56" s="412" t="b">
        <f>Wh_hp&gt;='2026'!Maxi_hp</f>
        <v>0</v>
      </c>
      <c r="I56" s="388">
        <f>IF(H56,Wh_hp,'2026'!Maxi_hp)</f>
        <v>31.561088268066062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5.4931898346583075E-2</v>
      </c>
      <c r="M56" s="832"/>
      <c r="N56" s="832"/>
      <c r="O56" s="48">
        <f>IF(t&lt;Tnet,'2026'!Resal+('2026'!Salim-'2026'!Resal)*(1-EXP(('2026'!Tnet-t)/('2026'!Tau_j))),Resal+(Salim-Resal)*(1-EXP((Tnet-t)/(Tau_j))))*Salcycl</f>
        <v>3.0754154198034726E-2</v>
      </c>
      <c r="P56" s="169">
        <f>(INDEX(Models!$BJ56:$BT56,,T56)*(1-R56)+INDEX(Models!$BJ56:$BT56,,T56+1)*R56-ERP_i)*Q56*Ramure*Pc/MaxiM</f>
        <v>2.8536968961796223E-4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34.302380295879033</v>
      </c>
      <c r="W56" s="400">
        <f t="shared" si="10"/>
        <v>17.496709779449517</v>
      </c>
      <c r="X56" s="157">
        <f t="shared" si="11"/>
        <v>46429</v>
      </c>
      <c r="Y56" s="383">
        <f t="shared" si="12"/>
        <v>16.854604382340209</v>
      </c>
      <c r="Z56" s="383">
        <f t="shared" si="22"/>
        <v>17.834274961616753</v>
      </c>
      <c r="AA56" s="384">
        <f t="shared" si="13"/>
        <v>19.062939438505801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6.4453044130604195E-2</v>
      </c>
      <c r="AD56" s="230">
        <f>(INDEX(Models!$BJ56:$BT56,,AH56)*(1-AF56)+INDEX(Models!$BJ56:$BT56,,AH56+1)*AF56-ERP_i)*AE56*Ramure*Pc/MaxiM</f>
        <v>6.9492185744868826E-3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'2026'!Wh/'2026'!Env_an*'2027'!Env_an</f>
        <v>26.809991402580348</v>
      </c>
      <c r="C57" s="829"/>
      <c r="D57" s="391">
        <f t="shared" si="0"/>
        <v>28.368860585698396</v>
      </c>
      <c r="E57" s="383">
        <f t="shared" si="1"/>
        <v>29.270926881985353</v>
      </c>
      <c r="F57" s="383">
        <f t="shared" si="2"/>
        <v>29.27640387950817</v>
      </c>
      <c r="G57" s="110">
        <f t="shared" si="21"/>
        <v>0.77385343692990871</v>
      </c>
      <c r="H57" s="412" t="b">
        <f>Wh_hp&gt;='2026'!Maxi_hp</f>
        <v>1</v>
      </c>
      <c r="I57" s="388">
        <f>IF(H57,Wh_hp,'2026'!Maxi_hp)</f>
        <v>29.27640387950817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5.4950010361146551E-2</v>
      </c>
      <c r="M57" s="832"/>
      <c r="N57" s="832"/>
      <c r="O57" s="48">
        <f>IF(t&lt;Tnet,'2026'!Resal+('2026'!Salim-'2026'!Resal)*(1-EXP(('2026'!Tnet-t)/('2026'!Tau_j))),Resal+(Salim-Resal)*(1-EXP((Tnet-t)/(Tau_j))))*Salcycl</f>
        <v>3.0817824796731376E-2</v>
      </c>
      <c r="P57" s="169">
        <f>(INDEX(Models!$BJ57:$BT57,,T57)*(1-R57)+INDEX(Models!$BJ57:$BT57,,T57+1)*R57-ERP_i)*Q57*Ramure*Pc/MaxiM</f>
        <v>2.7632203028889342E-4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34.64169966572635</v>
      </c>
      <c r="W57" s="400">
        <f t="shared" si="10"/>
        <v>26.809991402580348</v>
      </c>
      <c r="X57" s="157">
        <f t="shared" si="11"/>
        <v>46430</v>
      </c>
      <c r="Y57" s="383">
        <f t="shared" si="12"/>
        <v>25.764775386843038</v>
      </c>
      <c r="Z57" s="383">
        <f t="shared" si="22"/>
        <v>27.262870397669577</v>
      </c>
      <c r="AA57" s="384">
        <f t="shared" si="13"/>
        <v>29.142143706484852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6.4486447110515419E-2</v>
      </c>
      <c r="AD57" s="230">
        <f>(INDEX(Models!$BJ57:$BT57,,AH57)*(1-AF57)+INDEX(Models!$BJ57:$BT57,,AH57+1)*AF57-ERP_i)*AE57*Ramure*Pc/MaxiM</f>
        <v>6.7736097090046014E-3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'2026'!Wh/'2026'!Env_an*'2027'!Env_an</f>
        <v>32.799167613494923</v>
      </c>
      <c r="C58" s="829"/>
      <c r="D58" s="391">
        <f t="shared" si="0"/>
        <v>34.706943096884032</v>
      </c>
      <c r="E58" s="383">
        <f t="shared" si="1"/>
        <v>35.812897416492412</v>
      </c>
      <c r="F58" s="383">
        <f t="shared" si="2"/>
        <v>35.821621277188584</v>
      </c>
      <c r="G58" s="110">
        <f t="shared" si="21"/>
        <v>0.93758779081269517</v>
      </c>
      <c r="H58" s="412" t="b">
        <f>Wh_hp&gt;='2026'!Maxi_hp</f>
        <v>1</v>
      </c>
      <c r="I58" s="388">
        <f>IF(H58,Wh_hp,'2026'!Maxi_hp)</f>
        <v>35.821621277188584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5.4968122028597466E-2</v>
      </c>
      <c r="M58" s="832"/>
      <c r="N58" s="832"/>
      <c r="O58" s="48">
        <f>IF(t&lt;Tnet,'2026'!Resal+('2026'!Salim-'2026'!Resal)*(1-EXP(('2026'!Tnet-t)/('2026'!Tau_j))),Resal+(Salim-Resal)*(1-EXP((Tnet-t)/(Tau_j))))*Salcycl</f>
        <v>3.088145331405286E-2</v>
      </c>
      <c r="P58" s="169">
        <f>(INDEX(Models!$BJ58:$BT58,,T58)*(1-R58)+INDEX(Models!$BJ58:$BT58,,T58+1)*R58-ERP_i)*Q58*Ramure*Pc/MaxiM</f>
        <v>2.6736608044813671E-4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34.981669069805491</v>
      </c>
      <c r="W58" s="400">
        <f t="shared" si="10"/>
        <v>32.799167613494923</v>
      </c>
      <c r="X58" s="157">
        <f t="shared" si="11"/>
        <v>46431</v>
      </c>
      <c r="Y58" s="383">
        <f t="shared" si="12"/>
        <v>31.47799965128279</v>
      </c>
      <c r="Z58" s="383">
        <f t="shared" si="22"/>
        <v>33.308928920845716</v>
      </c>
      <c r="AA58" s="384">
        <f t="shared" si="13"/>
        <v>35.606238066807116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6.4519850191728081E-2</v>
      </c>
      <c r="AD58" s="230">
        <f>(INDEX(Models!$BJ58:$BT58,,AH58)*(1-AF58)+INDEX(Models!$BJ58:$BT58,,AH58+1)*AF58-ERP_i)*AE58*Ramure*Pc/MaxiM</f>
        <v>6.6009954491043198E-3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'2026'!Wh/'2026'!Env_an*'2027'!Env_an</f>
        <v>15.397539143629514</v>
      </c>
      <c r="C59" s="829"/>
      <c r="D59" s="391">
        <f t="shared" si="0"/>
        <v>16.293454854309008</v>
      </c>
      <c r="E59" s="383">
        <f t="shared" si="1"/>
        <v>16.813757183329908</v>
      </c>
      <c r="F59" s="383">
        <f t="shared" si="2"/>
        <v>16.814600975199191</v>
      </c>
      <c r="G59" s="110">
        <f t="shared" si="21"/>
        <v>0.43582609898142188</v>
      </c>
      <c r="H59" s="412" t="b">
        <f>Wh_hp&gt;='2026'!Maxi_hp</f>
        <v>0</v>
      </c>
      <c r="I59" s="388">
        <f>IF(H59,Wh_hp,'2026'!Maxi_hp)</f>
        <v>38.116109222133424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5.498623334894237E-2</v>
      </c>
      <c r="M59" s="832"/>
      <c r="N59" s="832"/>
      <c r="O59" s="48">
        <f>IF(t&lt;Tnet,'2026'!Resal+('2026'!Salim-'2026'!Resal)*(1-EXP(('2026'!Tnet-t)/('2026'!Tau_j))),Resal+(Salim-Resal)*(1-EXP((Tnet-t)/(Tau_j))))*Salcycl</f>
        <v>3.0945036457214713E-2</v>
      </c>
      <c r="P59" s="169">
        <f>(INDEX(Models!$BJ59:$BT59,,T59)*(1-R59)+INDEX(Models!$BJ59:$BT59,,T59+1)*R59-ERP_i)*Q59*Ramure*Pc/MaxiM</f>
        <v>2.5844812236536273E-4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35.322189823731755</v>
      </c>
      <c r="W59" s="400">
        <f t="shared" si="10"/>
        <v>15.397539143629514</v>
      </c>
      <c r="X59" s="157">
        <f t="shared" si="11"/>
        <v>46432</v>
      </c>
      <c r="Y59" s="383">
        <f t="shared" si="12"/>
        <v>14.845720654645577</v>
      </c>
      <c r="Z59" s="383">
        <f t="shared" si="22"/>
        <v>15.709528451903809</v>
      </c>
      <c r="AA59" s="384">
        <f t="shared" si="13"/>
        <v>16.793610528510158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6.4553246293638039E-2</v>
      </c>
      <c r="AD59" s="230">
        <f>(INDEX(Models!$BJ59:$BT59,,AH59)*(1-AF59)+INDEX(Models!$BJ59:$BT59,,AH59+1)*AF59-ERP_i)*AE59*Ramure*Pc/MaxiM</f>
        <v>6.4292412997696401E-3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'2026'!Wh/'2026'!Env_an*'2027'!Env_an</f>
        <v>18.5700441287179</v>
      </c>
      <c r="C60" s="829"/>
      <c r="D60" s="391">
        <f t="shared" si="0"/>
        <v>19.65093068644666</v>
      </c>
      <c r="E60" s="383">
        <f t="shared" si="1"/>
        <v>20.2797776103926</v>
      </c>
      <c r="F60" s="383">
        <f t="shared" si="2"/>
        <v>20.281373499070817</v>
      </c>
      <c r="G60" s="110">
        <f t="shared" si="21"/>
        <v>0.52061763092714708</v>
      </c>
      <c r="H60" s="412" t="b">
        <f>Wh_hp&gt;='2026'!Maxi_hp</f>
        <v>0</v>
      </c>
      <c r="I60" s="388">
        <f>IF(H60,Wh_hp,'2026'!Maxi_hp)</f>
        <v>37.957548920378891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5.5004344322187926E-2</v>
      </c>
      <c r="M60" s="832"/>
      <c r="N60" s="832"/>
      <c r="O60" s="48">
        <f>IF(t&lt;Tnet,'2026'!Resal+('2026'!Salim-'2026'!Resal)*(1-EXP(('2026'!Tnet-t)/('2026'!Tau_j))),Resal+(Salim-Resal)*(1-EXP((Tnet-t)/(Tau_j))))*Salcycl</f>
        <v>3.1008571002459111E-2</v>
      </c>
      <c r="P60" s="169">
        <f>(INDEX(Models!$BJ60:$BT60,,T60)*(1-R60)+INDEX(Models!$BJ60:$BT60,,T60+1)*R60-ERP_i)*Q60*Ramure*Pc/MaxiM</f>
        <v>2.4956743654979167E-4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35.663161457358392</v>
      </c>
      <c r="W60" s="400">
        <f t="shared" si="10"/>
        <v>18.5700441287179</v>
      </c>
      <c r="X60" s="157">
        <f t="shared" si="11"/>
        <v>46433</v>
      </c>
      <c r="Y60" s="383">
        <f t="shared" si="12"/>
        <v>17.892578939029086</v>
      </c>
      <c r="Z60" s="383">
        <f t="shared" si="22"/>
        <v>18.934033010125713</v>
      </c>
      <c r="AA60" s="384">
        <f t="shared" si="13"/>
        <v>20.241353809429377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6.4586628523564948E-2</v>
      </c>
      <c r="AD60" s="230">
        <f>(INDEX(Models!$BJ60:$BT60,,AH60)*(1-AF60)+INDEX(Models!$BJ60:$BT60,,AH60+1)*AF60-ERP_i)*AE60*Ramure*Pc/MaxiM</f>
        <v>6.2583383738800003E-3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'2026'!Wh/'2026'!Env_an*'2027'!Env_an</f>
        <v>9.1336283584681954</v>
      </c>
      <c r="C61" s="829"/>
      <c r="D61" s="391">
        <f t="shared" si="0"/>
        <v>9.6654448629981857</v>
      </c>
      <c r="E61" s="383">
        <f t="shared" si="1"/>
        <v>9.9754010619185056</v>
      </c>
      <c r="F61" s="383">
        <f t="shared" si="2"/>
        <v>9.9754010619185056</v>
      </c>
      <c r="G61" s="110">
        <f t="shared" si="21"/>
        <v>0.25361923808484199</v>
      </c>
      <c r="H61" s="412" t="b">
        <f>Wh_hp&gt;='2026'!Maxi_hp</f>
        <v>0</v>
      </c>
      <c r="I61" s="388">
        <f>IF(H61,Wh_hp,'2026'!Maxi_hp)</f>
        <v>33.411514000889703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5.5022454948340904E-2</v>
      </c>
      <c r="M61" s="832"/>
      <c r="N61" s="832"/>
      <c r="O61" s="48">
        <f>IF(t&lt;Tnet,'2026'!Resal+('2026'!Salim-'2026'!Resal)*(1-EXP(('2026'!Tnet-t)/('2026'!Tau_j))),Resal+(Salim-Resal)*(1-EXP((Tnet-t)/(Tau_j))))*Salcycl</f>
        <v>3.1072053844891572E-2</v>
      </c>
      <c r="P61" s="169">
        <f>(INDEX(Models!$BJ61:$BT61,,T61)*(1-R61)+INDEX(Models!$BJ61:$BT61,,T61+1)*R61-ERP_i)*Q61*Ramure*Pc/MaxiM</f>
        <v>2.4072324595179076E-4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36.004483535068957</v>
      </c>
      <c r="W61" s="400">
        <f t="shared" si="10"/>
        <v>9.1336283584681954</v>
      </c>
      <c r="X61" s="157">
        <f t="shared" si="11"/>
        <v>46434</v>
      </c>
      <c r="Y61" s="383">
        <f t="shared" si="12"/>
        <v>8.8173877290217053</v>
      </c>
      <c r="Z61" s="383">
        <f t="shared" si="22"/>
        <v>9.3307907422706915</v>
      </c>
      <c r="AA61" s="384">
        <f t="shared" si="13"/>
        <v>9.9754010619185056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6.46199902787509E-2</v>
      </c>
      <c r="AD61" s="230">
        <f>(INDEX(Models!$BJ61:$BT61,,AH61)*(1-AF61)+INDEX(Models!$BJ61:$BT61,,AH61+1)*AF61-ERP_i)*AE61*Ramure*Pc/MaxiM</f>
        <v>6.0882769867710868E-3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'2026'!Wh/'2026'!Env_an*'2027'!Env_an</f>
        <v>11.378818276197613</v>
      </c>
      <c r="C62" s="829"/>
      <c r="D62" s="391">
        <f t="shared" si="0"/>
        <v>12.041594440438562</v>
      </c>
      <c r="E62" s="383">
        <f t="shared" si="1"/>
        <v>12.42856376441553</v>
      </c>
      <c r="F62" s="383">
        <f t="shared" si="2"/>
        <v>12.428617577870323</v>
      </c>
      <c r="G62" s="110">
        <f t="shared" si="21"/>
        <v>0.31299761180101449</v>
      </c>
      <c r="H62" s="412" t="b">
        <f>Wh_hp&gt;='2026'!Maxi_hp</f>
        <v>0</v>
      </c>
      <c r="I62" s="388">
        <f>IF(H62,Wh_hp,'2026'!Maxi_hp)</f>
        <v>36.826584894030596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5.5040565227407745E-2</v>
      </c>
      <c r="M62" s="832"/>
      <c r="N62" s="832"/>
      <c r="O62" s="48">
        <f>IF(t&lt;Tnet,'2026'!Resal+('2026'!Salim-'2026'!Resal)*(1-EXP(('2026'!Tnet-t)/('2026'!Tau_j))),Resal+(Salim-Resal)*(1-EXP((Tnet-t)/(Tau_j))))*Salcycl</f>
        <v>3.1135482048610347E-2</v>
      </c>
      <c r="P62" s="169">
        <f>(INDEX(Models!$BJ62:$BT62,,T62)*(1-R62)+INDEX(Models!$BJ62:$BT62,,T62+1)*R62-ERP_i)*Q62*Ramure*Pc/MaxiM</f>
        <v>2.3191472364860049E-4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36.34605565218439</v>
      </c>
      <c r="W62" s="400">
        <f t="shared" si="10"/>
        <v>11.378818276197613</v>
      </c>
      <c r="X62" s="157">
        <f t="shared" si="11"/>
        <v>46435</v>
      </c>
      <c r="Y62" s="383">
        <f t="shared" si="12"/>
        <v>10.984001963766778</v>
      </c>
      <c r="Z62" s="383">
        <f t="shared" si="22"/>
        <v>11.623781465719865</v>
      </c>
      <c r="AA62" s="384">
        <f t="shared" si="13"/>
        <v>12.427244123196457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6.4653325348044341E-2</v>
      </c>
      <c r="AD62" s="230">
        <f>(INDEX(Models!$BJ62:$BT62,,AH62)*(1-AF62)+INDEX(Models!$BJ62:$BT62,,AH62+1)*AF62-ERP_i)*AE62*Ramure*Pc/MaxiM</f>
        <v>5.9190468696432115E-3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'2026'!Wh/'2026'!Env_an*'2027'!Env_an</f>
        <v>29.374032917704124</v>
      </c>
      <c r="C63" s="829"/>
      <c r="D63" s="391">
        <f t="shared" si="0"/>
        <v>31.085562823341455</v>
      </c>
      <c r="E63" s="383">
        <f t="shared" si="1"/>
        <v>32.086628836355395</v>
      </c>
      <c r="F63" s="383">
        <f t="shared" si="2"/>
        <v>32.091750465237126</v>
      </c>
      <c r="G63" s="110">
        <f t="shared" si="21"/>
        <v>0.8005981289298586</v>
      </c>
      <c r="H63" s="412" t="b">
        <f>Wh_hp&gt;='2026'!Maxi_hp</f>
        <v>1</v>
      </c>
      <c r="I63" s="388">
        <f>IF(H63,Wh_hp,'2026'!Maxi_hp)</f>
        <v>32.091750465237126</v>
      </c>
      <c r="J63" s="85">
        <f>IF(H63,An,'2026'!An_max)</f>
        <v>2027</v>
      </c>
      <c r="K63" s="197">
        <f t="shared" si="3"/>
        <v>46436</v>
      </c>
      <c r="L63" s="147">
        <f>IF(t&lt;Tvie,1-EXP((T0-t)*PertePVj)+'2026'!Pspv,1-EXP((T0-t)*PertePVj)+Pspv)</f>
        <v>5.5058675159395221E-2</v>
      </c>
      <c r="M63" s="832"/>
      <c r="N63" s="832"/>
      <c r="O63" s="48">
        <f>IF(t&lt;Tnet,'2026'!Resal+('2026'!Salim-'2026'!Resal)*(1-EXP(('2026'!Tnet-t)/('2026'!Tau_j))),Resal+(Salim-Resal)*(1-EXP((Tnet-t)/(Tau_j))))*Salcycl</f>
        <v>3.1198852896621349E-2</v>
      </c>
      <c r="P63" s="169">
        <f>(INDEX(Models!$BJ63:$BT63,,T63)*(1-R63)+INDEX(Models!$BJ63:$BT63,,T63+1)*R63-ERP_i)*Q63*Ramure*Pc/MaxiM</f>
        <v>2.2314099842815567E-4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36.687777433735768</v>
      </c>
      <c r="W63" s="400">
        <f t="shared" si="10"/>
        <v>29.374032917704124</v>
      </c>
      <c r="X63" s="157">
        <f t="shared" si="11"/>
        <v>46436</v>
      </c>
      <c r="Y63" s="383">
        <f t="shared" si="12"/>
        <v>28.246554874885458</v>
      </c>
      <c r="Z63" s="383">
        <f t="shared" si="22"/>
        <v>29.892390281111012</v>
      </c>
      <c r="AA63" s="384">
        <f t="shared" si="13"/>
        <v>31.959759345236645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6.4686628012227465E-2</v>
      </c>
      <c r="AD63" s="230">
        <f>(INDEX(Models!$BJ63:$BT63,,AH63)*(1-AF63)+INDEX(Models!$BJ63:$BT63,,AH63+1)*AF63-ERP_i)*AE63*Ramure*Pc/MaxiM</f>
        <v>5.7506373422774775E-3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'2026'!Wh/'2026'!Env_an*'2027'!Env_an</f>
        <v>19.929886597106776</v>
      </c>
      <c r="C64" s="829"/>
      <c r="D64" s="391">
        <f t="shared" si="0"/>
        <v>21.091540852569572</v>
      </c>
      <c r="E64" s="383">
        <f t="shared" si="1"/>
        <v>21.772186516790672</v>
      </c>
      <c r="F64" s="383">
        <f t="shared" si="2"/>
        <v>21.773775185390672</v>
      </c>
      <c r="G64" s="110">
        <f t="shared" si="21"/>
        <v>0.53813962970463325</v>
      </c>
      <c r="H64" s="412" t="b">
        <f>Wh_hp&gt;='2026'!Maxi_hp</f>
        <v>0</v>
      </c>
      <c r="I64" s="388">
        <f>IF(H64,Wh_hp,'2026'!Maxi_hp)</f>
        <v>39.436937045771522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5.5076784744310103E-2</v>
      </c>
      <c r="M64" s="832"/>
      <c r="N64" s="832"/>
      <c r="O64" s="48">
        <f>IF(t&lt;Tnet,'2026'!Resal+('2026'!Salim-'2026'!Resal)*(1-EXP(('2026'!Tnet-t)/('2026'!Tau_j))),Resal+(Salim-Resal)*(1-EXP((Tnet-t)/(Tau_j))))*Salcycl</f>
        <v>3.1262163940042727E-2</v>
      </c>
      <c r="P64" s="169">
        <f>(INDEX(Models!$BJ64:$BT64,,T64)*(1-R64)+INDEX(Models!$BJ64:$BT64,,T64+1)*R64-ERP_i)*Q64*Ramure*Pc/MaxiM</f>
        <v>2.1440115831487583E-4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37.029548530937269</v>
      </c>
      <c r="W64" s="400">
        <f t="shared" si="10"/>
        <v>19.929886597106776</v>
      </c>
      <c r="X64" s="157">
        <f t="shared" si="11"/>
        <v>46437</v>
      </c>
      <c r="Y64" s="383">
        <f t="shared" si="12"/>
        <v>19.206402523139246</v>
      </c>
      <c r="Z64" s="383">
        <f t="shared" si="22"/>
        <v>20.325887027701107</v>
      </c>
      <c r="AA64" s="384">
        <f t="shared" si="13"/>
        <v>21.732406023243577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6.4719893141981039E-2</v>
      </c>
      <c r="AD64" s="230">
        <f>(INDEX(Models!$BJ64:$BT64,,AH64)*(1-AF64)+INDEX(Models!$BJ64:$BT64,,AH64+1)*AF64-ERP_i)*AE64*Ramure*Pc/MaxiM</f>
        <v>5.5830374458527747E-3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'2026'!Wh/'2026'!Env_an*'2027'!Env_an</f>
        <v>19.808184149178128</v>
      </c>
      <c r="C65" s="829"/>
      <c r="D65" s="391">
        <f t="shared" si="0"/>
        <v>20.963146482144335</v>
      </c>
      <c r="E65" s="383">
        <f t="shared" si="1"/>
        <v>21.641061677963087</v>
      </c>
      <c r="F65" s="383">
        <f t="shared" si="2"/>
        <v>21.642524601253545</v>
      </c>
      <c r="G65" s="110">
        <f t="shared" si="21"/>
        <v>0.52996101314030919</v>
      </c>
      <c r="H65" s="412" t="b">
        <f>Wh_hp&gt;='2026'!Maxi_hp</f>
        <v>0</v>
      </c>
      <c r="I65" s="388">
        <f>IF(H65,Wh_hp,'2026'!Maxi_hp)</f>
        <v>41.467946828147284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5.5094893982158832E-2</v>
      </c>
      <c r="M65" s="832"/>
      <c r="N65" s="832"/>
      <c r="O65" s="48">
        <f>IF(t&lt;Tnet,'2026'!Resal+('2026'!Salim-'2026'!Resal)*(1-EXP(('2026'!Tnet-t)/('2026'!Tau_j))),Resal+(Salim-Resal)*(1-EXP((Tnet-t)/(Tau_j))))*Salcycl</f>
        <v>3.1325413046120028E-2</v>
      </c>
      <c r="P65" s="169">
        <f>(INDEX(Models!$BJ65:$BT65,,T65)*(1-R65)+INDEX(Models!$BJ65:$BT65,,T65+1)*R65-ERP_i)*Q65*Ramure*Pc/MaxiM</f>
        <v>2.0569286983701282E-4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37.371519795343559</v>
      </c>
      <c r="W65" s="400">
        <f t="shared" si="10"/>
        <v>19.808184149178128</v>
      </c>
      <c r="X65" s="157">
        <f t="shared" si="11"/>
        <v>46438</v>
      </c>
      <c r="Y65" s="383">
        <f t="shared" si="12"/>
        <v>19.091880510907032</v>
      </c>
      <c r="Z65" s="383">
        <f t="shared" si="22"/>
        <v>20.205077091145014</v>
      </c>
      <c r="AA65" s="384">
        <f t="shared" si="13"/>
        <v>21.604003652007638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6.4753116292526766E-2</v>
      </c>
      <c r="AD65" s="230">
        <f>(INDEX(Models!$BJ65:$BT65,,AH65)*(1-AF65)+INDEX(Models!$BJ65:$BT65,,AH65+1)*AF65-ERP_i)*AE65*Ramure*Pc/MaxiM</f>
        <v>5.4161996400678538E-3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'2026'!Wh/'2026'!Env_an*'2027'!Env_an</f>
        <v>21.929614827244361</v>
      </c>
      <c r="C66" s="829"/>
      <c r="D66" s="391">
        <f t="shared" si="0"/>
        <v>23.208716908923293</v>
      </c>
      <c r="E66" s="383">
        <f t="shared" si="1"/>
        <v>23.960813254577097</v>
      </c>
      <c r="F66" s="383">
        <f t="shared" si="2"/>
        <v>23.962712426185501</v>
      </c>
      <c r="G66" s="110">
        <f t="shared" si="21"/>
        <v>0.58140438934485761</v>
      </c>
      <c r="H66" s="412" t="b">
        <f>Wh_hp&gt;='2026'!Maxi_hp</f>
        <v>1</v>
      </c>
      <c r="I66" s="388">
        <f>IF(H66,Wh_hp,'2026'!Maxi_hp)</f>
        <v>23.962712426185501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5.511300287294818E-2</v>
      </c>
      <c r="M66" s="832"/>
      <c r="N66" s="832"/>
      <c r="O66" s="48">
        <f>IF(t&lt;Tnet,'2026'!Resal+('2026'!Salim-'2026'!Resal)*(1-EXP(('2026'!Tnet-t)/('2026'!Tau_j))),Resal+(Salim-Resal)*(1-EXP((Tnet-t)/(Tau_j))))*Salcycl</f>
        <v>3.1388598444593033E-2</v>
      </c>
      <c r="P66" s="169">
        <f>(INDEX(Models!$BJ66:$BT66,,T66)*(1-R66)+INDEX(Models!$BJ66:$BT66,,T66+1)*R66-ERP_i)*Q66*Ramure*Pc/MaxiM</f>
        <v>1.971013760269492E-4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37.713905682300116</v>
      </c>
      <c r="W66" s="400">
        <f t="shared" si="10"/>
        <v>21.929614827244361</v>
      </c>
      <c r="X66" s="157">
        <f t="shared" si="11"/>
        <v>46439</v>
      </c>
      <c r="Y66" s="383">
        <f t="shared" si="12"/>
        <v>21.130473062186564</v>
      </c>
      <c r="Z66" s="383">
        <f t="shared" si="22"/>
        <v>22.362963112450693</v>
      </c>
      <c r="AA66" s="384">
        <f t="shared" si="13"/>
        <v>23.912142181036195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6.478629379404148E-2</v>
      </c>
      <c r="AD66" s="230">
        <f>(INDEX(Models!$BJ66:$BT66,,AH66)*(1-AF66)+INDEX(Models!$BJ66:$BT66,,AH66+1)*AF66-ERP_i)*AE66*Ramure*Pc/MaxiM</f>
        <v>5.2483224058566822E-3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'2026'!Wh/'2026'!Env_an*'2027'!Env_an</f>
        <v>33.509689430854642</v>
      </c>
      <c r="C67" s="829"/>
      <c r="D67" s="391">
        <f t="shared" si="0"/>
        <v>35.46490929667209</v>
      </c>
      <c r="E67" s="383">
        <f t="shared" si="1"/>
        <v>36.616563143043621</v>
      </c>
      <c r="F67" s="383">
        <f t="shared" si="2"/>
        <v>36.622292128502451</v>
      </c>
      <c r="G67" s="110">
        <f t="shared" si="21"/>
        <v>0.88049161244123197</v>
      </c>
      <c r="H67" s="412" t="b">
        <f>Wh_hp&gt;='2026'!Maxi_hp</f>
        <v>0</v>
      </c>
      <c r="I67" s="388">
        <f>IF(H67,Wh_hp,'2026'!Maxi_hp)</f>
        <v>39.949310572645629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5.5131111416684697E-2</v>
      </c>
      <c r="M67" s="832"/>
      <c r="N67" s="832"/>
      <c r="O67" s="48">
        <f>IF(t&lt;Tnet,'2026'!Resal+('2026'!Salim-'2026'!Resal)*(1-EXP(('2026'!Tnet-t)/('2026'!Tau_j))),Resal+(Salim-Resal)*(1-EXP((Tnet-t)/(Tau_j))))*Salcycl</f>
        <v>3.1451718771982003E-2</v>
      </c>
      <c r="P67" s="169">
        <f>(INDEX(Models!$BJ67:$BT67,,T67)*(1-R67)+INDEX(Models!$BJ67:$BT67,,T67+1)*R67-ERP_i)*Q67*Ramure*Pc/MaxiM</f>
        <v>1.8863100374501513E-4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38.056705923850991</v>
      </c>
      <c r="W67" s="400">
        <f t="shared" si="10"/>
        <v>33.509689430854642</v>
      </c>
      <c r="X67" s="157">
        <f t="shared" si="11"/>
        <v>46440</v>
      </c>
      <c r="Y67" s="383">
        <f t="shared" si="12"/>
        <v>32.223974081184792</v>
      </c>
      <c r="Z67" s="383">
        <f t="shared" si="22"/>
        <v>34.104175161804356</v>
      </c>
      <c r="AA67" s="384">
        <f t="shared" si="13"/>
        <v>36.468010558200582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6.4819422837001164E-2</v>
      </c>
      <c r="AD67" s="230">
        <f>(INDEX(Models!$BJ67:$BT67,,AH67)*(1-AF67)+INDEX(Models!$BJ67:$BT67,,AH67+1)*AF67-ERP_i)*AE67*Ramure*Pc/MaxiM</f>
        <v>5.0798326640111796E-3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'2026'!Wh/'2026'!Env_an*'2027'!Env_an</f>
        <v>35.210313524524402</v>
      </c>
      <c r="C68" s="829"/>
      <c r="D68" s="391">
        <f t="shared" si="0"/>
        <v>37.265475412018652</v>
      </c>
      <c r="E68" s="383">
        <f t="shared" si="1"/>
        <v>38.478104133623162</v>
      </c>
      <c r="F68" s="383">
        <f t="shared" si="2"/>
        <v>38.484218715508433</v>
      </c>
      <c r="G68" s="110">
        <f t="shared" si="21"/>
        <v>0.91691752666178106</v>
      </c>
      <c r="H68" s="412" t="b">
        <f>Wh_hp&gt;='2026'!Maxi_hp</f>
        <v>0</v>
      </c>
      <c r="I68" s="388">
        <f>IF(H68,Wh_hp,'2026'!Maxi_hp)</f>
        <v>41.571938803017574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5.5149219613375156E-2</v>
      </c>
      <c r="M68" s="832"/>
      <c r="N68" s="832"/>
      <c r="O68" s="48">
        <f>IF(t&lt;Tnet,'2026'!Resal+('2026'!Salim-'2026'!Resal)*(1-EXP(('2026'!Tnet-t)/('2026'!Tau_j))),Resal+(Salim-Resal)*(1-EXP((Tnet-t)/(Tau_j))))*Salcycl</f>
        <v>3.1514773113389537E-2</v>
      </c>
      <c r="P68" s="169">
        <f>(INDEX(Models!$BJ68:$BT68,,T68)*(1-R68)+INDEX(Models!$BJ68:$BT68,,T68+1)*R68-ERP_i)*Q68*Ramure*Pc/MaxiM</f>
        <v>1.8027736928060613E-4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38.399920564670708</v>
      </c>
      <c r="W68" s="400">
        <f t="shared" si="10"/>
        <v>35.210313524524402</v>
      </c>
      <c r="X68" s="157">
        <f t="shared" si="11"/>
        <v>46441</v>
      </c>
      <c r="Y68" s="383">
        <f t="shared" si="12"/>
        <v>33.856519352259738</v>
      </c>
      <c r="Z68" s="383">
        <f t="shared" si="22"/>
        <v>35.83266273898397</v>
      </c>
      <c r="AA68" s="384">
        <f t="shared" si="13"/>
        <v>38.317658763393823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6.4852501551682859E-2</v>
      </c>
      <c r="AD68" s="230">
        <f>(INDEX(Models!$BJ68:$BT68,,AH68)*(1-AF68)+INDEX(Models!$BJ68:$BT68,,AH68+1)*AF68-ERP_i)*AE68*Ramure*Pc/MaxiM</f>
        <v>4.9107184363744736E-3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'2026'!Wh/'2026'!Env_an*'2027'!Env_an</f>
        <v>21.916521947066485</v>
      </c>
      <c r="C69" s="829"/>
      <c r="D69" s="391">
        <f t="shared" si="0"/>
        <v>23.196193976038476</v>
      </c>
      <c r="E69" s="383">
        <f t="shared" si="1"/>
        <v>23.952562263526524</v>
      </c>
      <c r="F69" s="383">
        <f t="shared" si="2"/>
        <v>23.95412637144409</v>
      </c>
      <c r="G69" s="110">
        <f t="shared" si="21"/>
        <v>0.56562144221559629</v>
      </c>
      <c r="H69" s="412" t="b">
        <f>Wh_hp&gt;='2026'!Maxi_hp</f>
        <v>0</v>
      </c>
      <c r="I69" s="388">
        <f>IF(H69,Wh_hp,'2026'!Maxi_hp)</f>
        <v>41.52507944394246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5.5167327463026217E-2</v>
      </c>
      <c r="M69" s="832"/>
      <c r="N69" s="832"/>
      <c r="O69" s="48">
        <f>IF(t&lt;Tnet,'2026'!Resal+('2026'!Salim-'2026'!Resal)*(1-EXP(('2026'!Tnet-t)/('2026'!Tau_j))),Resal+(Salim-Resal)*(1-EXP((Tnet-t)/(Tau_j))))*Salcycl</f>
        <v>3.1577761041448049E-2</v>
      </c>
      <c r="P69" s="169">
        <f>(INDEX(Models!$BJ69:$BT69,,T69)*(1-R69)+INDEX(Models!$BJ69:$BT69,,T69+1)*R69-ERP_i)*Q69*Ramure*Pc/MaxiM</f>
        <v>1.7203728008402189E-4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38.743549590692027</v>
      </c>
      <c r="W69" s="400">
        <f t="shared" si="10"/>
        <v>21.916521947066485</v>
      </c>
      <c r="X69" s="157">
        <f t="shared" si="11"/>
        <v>46442</v>
      </c>
      <c r="Y69" s="383">
        <f t="shared" si="12"/>
        <v>21.126027138536148</v>
      </c>
      <c r="Z69" s="383">
        <f t="shared" si="22"/>
        <v>22.359543390694327</v>
      </c>
      <c r="AA69" s="384">
        <f t="shared" si="13"/>
        <v>23.911022752886275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6.4885529081129295E-2</v>
      </c>
      <c r="AD69" s="230">
        <f>(INDEX(Models!$BJ69:$BT69,,AH69)*(1-AF69)+INDEX(Models!$BJ69:$BT69,,AH69+1)*AF69-ERP_i)*AE69*Ramure*Pc/MaxiM</f>
        <v>4.7409959473974162E-3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'2026'!Wh/'2026'!Env_an*'2027'!Env_an</f>
        <v>31.383024285439674</v>
      </c>
      <c r="C70" s="829"/>
      <c r="D70" s="391">
        <f t="shared" si="0"/>
        <v>33.216067413501946</v>
      </c>
      <c r="E70" s="383">
        <f t="shared" si="1"/>
        <v>34.301386704753291</v>
      </c>
      <c r="F70" s="383">
        <f t="shared" si="2"/>
        <v>34.305426290622748</v>
      </c>
      <c r="G70" s="110">
        <f t="shared" si="21"/>
        <v>0.80285260045452855</v>
      </c>
      <c r="H70" s="412" t="b">
        <f>Wh_hp&gt;='2026'!Maxi_hp</f>
        <v>0</v>
      </c>
      <c r="I70" s="388">
        <f>IF(H70,Wh_hp,'2026'!Maxi_hp)</f>
        <v>36.519009293012743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5.5185434965644431E-2</v>
      </c>
      <c r="M70" s="832"/>
      <c r="N70" s="832"/>
      <c r="O70" s="48">
        <f>IF(t&lt;Tnet,'2026'!Resal+('2026'!Salim-'2026'!Resal)*(1-EXP(('2026'!Tnet-t)/('2026'!Tau_j))),Resal+(Salim-Resal)*(1-EXP((Tnet-t)/(Tau_j))))*Salcycl</f>
        <v>3.1640682652079158E-2</v>
      </c>
      <c r="P70" s="169">
        <f>(INDEX(Models!$BJ70:$BT70,,T70)*(1-R70)+INDEX(Models!$BJ70:$BT70,,T70+1)*R70-ERP_i)*Q70*Ramure*Pc/MaxiM</f>
        <v>1.6390770014876194E-4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39.087592965887929</v>
      </c>
      <c r="W70" s="400">
        <f t="shared" si="10"/>
        <v>31.383024285439674</v>
      </c>
      <c r="X70" s="157">
        <f t="shared" si="11"/>
        <v>46443</v>
      </c>
      <c r="Y70" s="383">
        <f t="shared" si="12"/>
        <v>30.208589549529243</v>
      </c>
      <c r="Z70" s="383">
        <f t="shared" si="22"/>
        <v>31.973035416140934</v>
      </c>
      <c r="AA70" s="384">
        <f t="shared" si="13"/>
        <v>34.192779569723427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6.4918505646964178E-2</v>
      </c>
      <c r="AD70" s="230">
        <f>(INDEX(Models!$BJ70:$BT70,,AH70)*(1-AF70)+INDEX(Models!$BJ70:$BT70,,AH70+1)*AF70-ERP_i)*AE70*Ramure*Pc/MaxiM</f>
        <v>4.5706826265312804E-3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'2026'!Wh/'2026'!Env_an*'2027'!Env_an</f>
        <v>39.772334457706201</v>
      </c>
      <c r="C71" s="829"/>
      <c r="D71" s="391">
        <f t="shared" si="0"/>
        <v>42.096193445731352</v>
      </c>
      <c r="E71" s="383">
        <f t="shared" si="1"/>
        <v>43.474488572153462</v>
      </c>
      <c r="F71" s="383">
        <f t="shared" si="2"/>
        <v>43.481266681339832</v>
      </c>
      <c r="G71" s="110">
        <f t="shared" si="21"/>
        <v>1.0086296254599767</v>
      </c>
      <c r="H71" s="412" t="b">
        <f>Wh_hp&gt;='2026'!Maxi_hp</f>
        <v>1</v>
      </c>
      <c r="I71" s="388">
        <f>IF(H71,Wh_hp,'2026'!Maxi_hp)</f>
        <v>43.481266681339832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5.520354212123646E-2</v>
      </c>
      <c r="M71" s="832"/>
      <c r="N71" s="832"/>
      <c r="O71" s="48">
        <f>IF(t&lt;Tnet,'2026'!Resal+('2026'!Salim-'2026'!Resal)*(1-EXP(('2026'!Tnet-t)/('2026'!Tau_j))),Resal+(Salim-Resal)*(1-EXP((Tnet-t)/(Tau_j))))*Salcycl</f>
        <v>3.1703538596770185E-2</v>
      </c>
      <c r="P71" s="169">
        <f>(INDEX(Models!$BJ71:$BT71,,T71)*(1-R71)+INDEX(Models!$BJ71:$BT71,,T71+1)*R71-ERP_i)*Q71*Ramure*Pc/MaxiM</f>
        <v>1.5588573433353005E-4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39.432050629653446</v>
      </c>
      <c r="W71" s="400">
        <f t="shared" si="10"/>
        <v>39.772334457706201</v>
      </c>
      <c r="X71" s="157">
        <f t="shared" si="11"/>
        <v>46444</v>
      </c>
      <c r="Y71" s="383">
        <f t="shared" si="12"/>
        <v>38.243672407728631</v>
      </c>
      <c r="Z71" s="383">
        <f t="shared" si="22"/>
        <v>40.47821315248418</v>
      </c>
      <c r="AA71" s="384">
        <f t="shared" si="13"/>
        <v>43.289957938082424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6.4951432607531723E-2</v>
      </c>
      <c r="AD71" s="230">
        <f>(INDEX(Models!$BJ71:$BT71,,AH71)*(1-AF71)+INDEX(Models!$BJ71:$BT71,,AH71+1)*AF71-ERP_i)*AE71*Ramure*Pc/MaxiM</f>
        <v>4.3997969208084461E-3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'2026'!Wh/'2026'!Env_an*'2027'!Env_an</f>
        <v>28.428305835984869</v>
      </c>
      <c r="C72" s="829"/>
      <c r="D72" s="391">
        <f t="shared" si="0"/>
        <v>30.089920883329835</v>
      </c>
      <c r="E72" s="383">
        <f t="shared" si="1"/>
        <v>31.07712716371757</v>
      </c>
      <c r="F72" s="383">
        <f t="shared" si="2"/>
        <v>31.079856430573685</v>
      </c>
      <c r="G72" s="110">
        <f t="shared" si="21"/>
        <v>0.71465045124551563</v>
      </c>
      <c r="H72" s="412" t="b">
        <f>Wh_hp&gt;='2026'!Maxi_hp</f>
        <v>0</v>
      </c>
      <c r="I72" s="388">
        <f>IF(H72,Wh_hp,'2026'!Maxi_hp)</f>
        <v>42.979805880549684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5.5221648929808964E-2</v>
      </c>
      <c r="M72" s="832"/>
      <c r="N72" s="832"/>
      <c r="O72" s="48">
        <f>IF(t&lt;Tnet,'2026'!Resal+('2026'!Salim-'2026'!Resal)*(1-EXP(('2026'!Tnet-t)/('2026'!Tau_j))),Resal+(Salim-Resal)*(1-EXP((Tnet-t)/(Tau_j))))*Salcycl</f>
        <v>3.1766330111114502E-2</v>
      </c>
      <c r="P72" s="169">
        <f>(INDEX(Models!$BJ72:$BT72,,T72)*(1-R72)+INDEX(Models!$BJ72:$BT72,,T72+1)*R72-ERP_i)*Q72*Ramure*Pc/MaxiM</f>
        <v>1.4823053253607438E-4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39.77691207575505</v>
      </c>
      <c r="W72" s="400">
        <f t="shared" si="10"/>
        <v>28.428305835984869</v>
      </c>
      <c r="X72" s="157">
        <f t="shared" si="11"/>
        <v>46445</v>
      </c>
      <c r="Y72" s="383">
        <f t="shared" si="12"/>
        <v>27.386597040892759</v>
      </c>
      <c r="Z72" s="383">
        <f t="shared" si="22"/>
        <v>28.987324921100047</v>
      </c>
      <c r="AA72" s="384">
        <f t="shared" si="13"/>
        <v>31.001966393580702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6.4984312507925537E-2</v>
      </c>
      <c r="AD72" s="230">
        <f>(INDEX(Models!$BJ72:$BT72,,AH72)*(1-AF72)+INDEX(Models!$BJ72:$BT72,,AH72+1)*AF72-ERP_i)*AE72*Ramure*Pc/MaxiM</f>
        <v>4.2303234793110624E-3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'2026'!Wh/'2026'!Env_an*'2027'!Env_an</f>
        <v>34.31825898632605</v>
      </c>
      <c r="C73" s="829"/>
      <c r="D73" s="391">
        <f t="shared" si="0"/>
        <v>36.32483392709063</v>
      </c>
      <c r="E73" s="383">
        <f t="shared" si="1"/>
        <v>37.519029326629088</v>
      </c>
      <c r="F73" s="383">
        <f t="shared" si="2"/>
        <v>37.523227982646929</v>
      </c>
      <c r="G73" s="110">
        <f t="shared" si="21"/>
        <v>0.85531904673324488</v>
      </c>
      <c r="H73" s="412" t="b">
        <f>Wh_hp&gt;='2026'!Maxi_hp</f>
        <v>1</v>
      </c>
      <c r="I73" s="388">
        <f>IF(H73,Wh_hp,'2026'!Maxi_hp)</f>
        <v>37.523227982646929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5.5239755391368717E-2</v>
      </c>
      <c r="M73" s="832"/>
      <c r="N73" s="832"/>
      <c r="O73" s="48">
        <f>IF(t&lt;Tnet,'2026'!Resal+('2026'!Salim-'2026'!Resal)*(1-EXP(('2026'!Tnet-t)/('2026'!Tau_j))),Resal+(Salim-Resal)*(1-EXP((Tnet-t)/(Tau_j))))*Salcycl</f>
        <v>3.1829059039405326E-2</v>
      </c>
      <c r="P73" s="169">
        <f>(INDEX(Models!$BJ73:$BT73,,T73)*(1-R73)+INDEX(Models!$BJ73:$BT73,,T73+1)*R73-ERP_i)*Q73*Ramure*Pc/MaxiM</f>
        <v>1.4104122637225163E-4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40.1221728343519</v>
      </c>
      <c r="W73" s="400">
        <f t="shared" si="10"/>
        <v>34.31825898632605</v>
      </c>
      <c r="X73" s="157">
        <f t="shared" si="11"/>
        <v>46446</v>
      </c>
      <c r="Y73" s="383">
        <f t="shared" si="12"/>
        <v>33.038700953727165</v>
      </c>
      <c r="Z73" s="383">
        <f t="shared" si="22"/>
        <v>34.970460645720237</v>
      </c>
      <c r="AA73" s="384">
        <f t="shared" si="13"/>
        <v>37.402248194033419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6.5017149121562923E-2</v>
      </c>
      <c r="AD73" s="230">
        <f>(INDEX(Models!$BJ73:$BT73,,AH73)*(1-AF73)+INDEX(Models!$BJ73:$BT73,,AH73+1)*AF73-ERP_i)*AE73*Ramure*Pc/MaxiM</f>
        <v>4.0639522932580411E-3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'2026'!Wh/'2026'!Env_an*'2027'!Env_an</f>
        <v>39.815206321310008</v>
      </c>
      <c r="C74" s="829"/>
      <c r="D74" s="391">
        <f t="shared" si="0"/>
        <v>42.143993264421951</v>
      </c>
      <c r="E74" s="383">
        <f t="shared" si="1"/>
        <v>43.532313974603504</v>
      </c>
      <c r="F74" s="383">
        <f t="shared" si="2"/>
        <v>43.538026711857071</v>
      </c>
      <c r="G74" s="110">
        <f t="shared" si="21"/>
        <v>0.98386991409350399</v>
      </c>
      <c r="H74" s="412" t="b">
        <f>Wh_hp&gt;='2026'!Maxi_hp</f>
        <v>1</v>
      </c>
      <c r="I74" s="388">
        <f>IF(H74,Wh_hp,'2026'!Maxi_hp)</f>
        <v>43.538026711857071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5.5257861505922157E-2</v>
      </c>
      <c r="M74" s="832"/>
      <c r="N74" s="832"/>
      <c r="O74" s="48">
        <f>IF(t&lt;Tnet,'2026'!Resal+('2026'!Salim-'2026'!Resal)*(1-EXP(('2026'!Tnet-t)/('2026'!Tau_j))),Resal+(Salim-Resal)*(1-EXP((Tnet-t)/(Tau_j))))*Salcycl</f>
        <v>3.1891727855116785E-2</v>
      </c>
      <c r="P74" s="169">
        <f>(INDEX(Models!$BJ74:$BT74,,T74)*(1-R74)+INDEX(Models!$BJ74:$BT74,,T74+1)*R74-ERP_i)*Q74*Ramure*Pc/MaxiM</f>
        <v>1.3430683564375092E-4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40.467832725429702</v>
      </c>
      <c r="W74" s="400">
        <f t="shared" si="10"/>
        <v>39.815206321310008</v>
      </c>
      <c r="X74" s="157">
        <f t="shared" si="11"/>
        <v>46447</v>
      </c>
      <c r="Y74" s="383">
        <f t="shared" si="12"/>
        <v>38.310012182830846</v>
      </c>
      <c r="Z74" s="383">
        <f t="shared" si="22"/>
        <v>40.55076048994399</v>
      </c>
      <c r="AA74" s="384">
        <f t="shared" si="13"/>
        <v>43.372114243727538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6.5049947483055245E-2</v>
      </c>
      <c r="AD74" s="230">
        <f>(INDEX(Models!$BJ74:$BT74,,AH74)*(1-AF74)+INDEX(Models!$BJ74:$BT74,,AH74+1)*AF74-ERP_i)*AE74*Ramure*Pc/MaxiM</f>
        <v>3.9006132435763139E-3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'2026'!Wh/'2026'!Env_an*'2027'!Env_an</f>
        <v>11.600683382757891</v>
      </c>
      <c r="C75" s="829"/>
      <c r="D75" s="391">
        <f t="shared" si="0"/>
        <v>12.279441382768363</v>
      </c>
      <c r="E75" s="383">
        <f t="shared" si="1"/>
        <v>12.684774991577465</v>
      </c>
      <c r="F75" s="383">
        <f t="shared" si="2"/>
        <v>12.684774991577465</v>
      </c>
      <c r="G75" s="110">
        <f t="shared" si="21"/>
        <v>0.2841973128275655</v>
      </c>
      <c r="H75" s="412" t="b">
        <f>Wh_hp&gt;='2026'!Maxi_hp</f>
        <v>0</v>
      </c>
      <c r="I75" s="388">
        <f>IF(H75,Wh_hp,'2026'!Maxi_hp)</f>
        <v>30.966593074683484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5.5275967273476057E-2</v>
      </c>
      <c r="M75" s="832"/>
      <c r="N75" s="832"/>
      <c r="O75" s="48">
        <f>IF(t&lt;Tnet,'2026'!Resal+('2026'!Salim-'2026'!Resal)*(1-EXP(('2026'!Tnet-t)/('2026'!Tau_j))),Resal+(Salim-Resal)*(1-EXP((Tnet-t)/(Tau_j))))*Salcycl</f>
        <v>3.1954339677151319E-2</v>
      </c>
      <c r="P75" s="169">
        <f>(INDEX(Models!$BJ75:$BT75,,T75)*(1-R75)+INDEX(Models!$BJ75:$BT75,,T75+1)*R75-ERP_i)*Q75*Ramure*Pc/MaxiM</f>
        <v>1.2801677661523247E-4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40.813891536344052</v>
      </c>
      <c r="W75" s="400">
        <f t="shared" si="10"/>
        <v>11.600683382757891</v>
      </c>
      <c r="X75" s="157">
        <f t="shared" si="11"/>
        <v>46448</v>
      </c>
      <c r="Y75" s="383">
        <f t="shared" si="12"/>
        <v>11.203685806880783</v>
      </c>
      <c r="Z75" s="383">
        <f t="shared" si="22"/>
        <v>11.859215409759766</v>
      </c>
      <c r="AA75" s="384">
        <f t="shared" si="13"/>
        <v>12.684774991577465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6.5082713912218398E-2</v>
      </c>
      <c r="AD75" s="230">
        <f>(INDEX(Models!$BJ75:$BT75,,AH75)*(1-AF75)+INDEX(Models!$BJ75:$BT75,,AH75+1)*AF75-ERP_i)*AE75*Ramure*Pc/MaxiM</f>
        <v>3.7402391099702844E-3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'2026'!Wh/'2026'!Env_an*'2027'!Env_an</f>
        <v>35.593955641375956</v>
      </c>
      <c r="C76" s="829"/>
      <c r="D76" s="391">
        <f t="shared" si="0"/>
        <v>37.67728624597494</v>
      </c>
      <c r="E76" s="383">
        <f t="shared" si="1"/>
        <v>38.923495853487196</v>
      </c>
      <c r="F76" s="383">
        <f t="shared" si="2"/>
        <v>38.927332528635397</v>
      </c>
      <c r="G76" s="110">
        <f t="shared" si="21"/>
        <v>0.86474280116981694</v>
      </c>
      <c r="H76" s="412" t="b">
        <f>Wh_hp&gt;='2026'!Maxi_hp</f>
        <v>1</v>
      </c>
      <c r="I76" s="388">
        <f>IF(H76,Wh_hp,'2026'!Maxi_hp)</f>
        <v>38.927332528635397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5.5294072694037077E-2</v>
      </c>
      <c r="M76" s="832"/>
      <c r="N76" s="832"/>
      <c r="O76" s="48">
        <f>IF(t&lt;Tnet,'2026'!Resal+('2026'!Salim-'2026'!Resal)*(1-EXP(('2026'!Tnet-t)/('2026'!Tau_j))),Resal+(Salim-Resal)*(1-EXP((Tnet-t)/(Tau_j))))*Salcycl</f>
        <v>3.2016898281776632E-2</v>
      </c>
      <c r="P76" s="169">
        <f>(INDEX(Models!$BJ76:$BT76,,T76)*(1-R76)+INDEX(Models!$BJ76:$BT76,,T76+1)*R76-ERP_i)*Q76*Ramure*Pc/MaxiM</f>
        <v>1.2216084389193171E-4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41.160349019987429</v>
      </c>
      <c r="W76" s="400">
        <f t="shared" si="10"/>
        <v>35.593955641375956</v>
      </c>
      <c r="X76" s="157">
        <f t="shared" si="11"/>
        <v>46449</v>
      </c>
      <c r="Y76" s="383">
        <f t="shared" si="12"/>
        <v>34.280889267531514</v>
      </c>
      <c r="Z76" s="383">
        <f t="shared" si="22"/>
        <v>36.287365492975177</v>
      </c>
      <c r="AA76" s="384">
        <f t="shared" si="13"/>
        <v>38.814809515245329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6.5115456029159385E-2</v>
      </c>
      <c r="AD76" s="230">
        <f>(INDEX(Models!$BJ76:$BT76,,AH76)*(1-AF76)+INDEX(Models!$BJ76:$BT76,,AH76+1)*AF76-ERP_i)*AE76*Ramure*Pc/MaxiM</f>
        <v>3.5827652178090016E-3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'2026'!Wh/'2026'!Env_an*'2027'!Env_an</f>
        <v>3.8246835713405476</v>
      </c>
      <c r="C77" s="829"/>
      <c r="D77" s="391">
        <f t="shared" si="0"/>
        <v>4.048621651862149</v>
      </c>
      <c r="E77" s="383">
        <f t="shared" si="1"/>
        <v>4.1828035127939307</v>
      </c>
      <c r="F77" s="383">
        <f t="shared" si="2"/>
        <v>4.1828035127939307</v>
      </c>
      <c r="G77" s="110">
        <f t="shared" si="21"/>
        <v>9.2134296416424621E-2</v>
      </c>
      <c r="H77" s="412" t="b">
        <f>Wh_hp&gt;='2026'!Maxi_hp</f>
        <v>0</v>
      </c>
      <c r="I77" s="388">
        <f>IF(H77,Wh_hp,'2026'!Maxi_hp)</f>
        <v>32.038386239307918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5.5312177767611881E-2</v>
      </c>
      <c r="M77" s="832"/>
      <c r="N77" s="832"/>
      <c r="O77" s="48">
        <f>IF(t&lt;Tnet,'2026'!Resal+('2026'!Salim-'2026'!Resal)*(1-EXP(('2026'!Tnet-t)/('2026'!Tau_j))),Resal+(Salim-Resal)*(1-EXP((Tnet-t)/(Tau_j))))*Salcycl</f>
        <v>3.2079408110220926E-2</v>
      </c>
      <c r="P77" s="169">
        <f>(INDEX(Models!$BJ77:$BT77,,T77)*(1-R77)+INDEX(Models!$BJ77:$BT77,,T77+1)*R77-ERP_i)*Q77*Ramure*Pc/MaxiM</f>
        <v>1.16729194802913E-4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41.507204893846115</v>
      </c>
      <c r="W77" s="400">
        <f t="shared" si="10"/>
        <v>3.8246835713405476</v>
      </c>
      <c r="X77" s="157">
        <f t="shared" si="11"/>
        <v>46450</v>
      </c>
      <c r="Y77" s="383">
        <f t="shared" si="12"/>
        <v>3.6940141753292268</v>
      </c>
      <c r="Z77" s="383">
        <f t="shared" si="22"/>
        <v>3.9103014650913104</v>
      </c>
      <c r="AA77" s="384">
        <f t="shared" si="13"/>
        <v>4.1828035127939307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6.514818276046655E-2</v>
      </c>
      <c r="AD77" s="230">
        <f>(INDEX(Models!$BJ77:$BT77,,AH77)*(1-AF77)+INDEX(Models!$BJ77:$BT77,,AH77+1)*AF77-ERP_i)*AE77*Ramure*Pc/MaxiM</f>
        <v>3.4281290913236915E-3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'2026'!Wh/'2026'!Env_an*'2027'!Env_an</f>
        <v>13.168923200481625</v>
      </c>
      <c r="C78" s="829"/>
      <c r="D78" s="391">
        <f t="shared" si="0"/>
        <v>13.940240653899091</v>
      </c>
      <c r="E78" s="383">
        <f t="shared" si="1"/>
        <v>14.403186049001425</v>
      </c>
      <c r="F78" s="383">
        <f t="shared" si="2"/>
        <v>14.403219691457657</v>
      </c>
      <c r="G78" s="110">
        <f t="shared" si="21"/>
        <v>0.31460167425661945</v>
      </c>
      <c r="H78" s="412" t="b">
        <f>Wh_hp&gt;='2026'!Maxi_hp</f>
        <v>0</v>
      </c>
      <c r="I78" s="388">
        <f>IF(H78,Wh_hp,'2026'!Maxi_hp)</f>
        <v>38.035034481034316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5.5330282494207017E-2</v>
      </c>
      <c r="M78" s="832"/>
      <c r="N78" s="832"/>
      <c r="O78" s="48">
        <f>IF(t&lt;Tnet,'2026'!Resal+('2026'!Salim-'2026'!Resal)*(1-EXP(('2026'!Tnet-t)/('2026'!Tau_j))),Resal+(Salim-Resal)*(1-EXP((Tnet-t)/(Tau_j))))*Salcycl</f>
        <v>3.2141874271937952E-2</v>
      </c>
      <c r="P78" s="169">
        <f>(INDEX(Models!$BJ78:$BT78,,T78)*(1-R78)+INDEX(Models!$BJ78:$BT78,,T78+1)*R78-ERP_i)*Q78*Ramure*Pc/MaxiM</f>
        <v>1.1171233627726766E-4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41.854458837482753</v>
      </c>
      <c r="W78" s="400">
        <f t="shared" si="10"/>
        <v>13.168923200481625</v>
      </c>
      <c r="X78" s="157">
        <f t="shared" si="11"/>
        <v>46451</v>
      </c>
      <c r="Y78" s="383">
        <f t="shared" si="12"/>
        <v>12.718544172771168</v>
      </c>
      <c r="Z78" s="383">
        <f t="shared" si="22"/>
        <v>13.463482460676182</v>
      </c>
      <c r="AA78" s="384">
        <f t="shared" si="13"/>
        <v>14.402233034319856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6.5180904336617357E-2</v>
      </c>
      <c r="AD78" s="230">
        <f>(INDEX(Models!$BJ78:$BT78,,AH78)*(1-AF78)+INDEX(Models!$BJ78:$BT78,,AH78+1)*AF78-ERP_i)*AE78*Ramure*Pc/MaxiM</f>
        <v>3.2762701155250157E-3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'2026'!Wh/'2026'!Env_an*'2027'!Env_an</f>
        <v>15.876103964724699</v>
      </c>
      <c r="C79" s="829"/>
      <c r="D79" s="391">
        <f t="shared" ref="D79:D142" si="25">Wh/(1-Ppv)</f>
        <v>16.806305884753975</v>
      </c>
      <c r="E79" s="383">
        <f t="shared" si="1"/>
        <v>17.365551354407678</v>
      </c>
      <c r="F79" s="383">
        <f t="shared" ref="F79:F142" si="26">Wh_sa/(1-Pvg*MEDIAN((-Sdif+Wh/Env_an)/Csdif,0,1))</f>
        <v>17.365753765152615</v>
      </c>
      <c r="G79" s="110">
        <f t="shared" si="21"/>
        <v>0.37614658551726016</v>
      </c>
      <c r="H79" s="412" t="b">
        <f>Wh_hp&gt;='2026'!Maxi_hp</f>
        <v>1</v>
      </c>
      <c r="I79" s="388">
        <f>IF(H79,Wh_hp,'2026'!Maxi_hp)</f>
        <v>17.365753765152615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5.5348386873829258E-2</v>
      </c>
      <c r="M79" s="832"/>
      <c r="N79" s="832"/>
      <c r="O79" s="48">
        <f>IF(t&lt;Tnet,'2026'!Resal+('2026'!Salim-'2026'!Resal)*(1-EXP(('2026'!Tnet-t)/('2026'!Tau_j))),Resal+(Salim-Resal)*(1-EXP((Tnet-t)/(Tau_j))))*Salcycl</f>
        <v>3.2204302543596242E-2</v>
      </c>
      <c r="P79" s="169">
        <f>(INDEX(Models!$BJ79:$BT79,,T79)*(1-R79)+INDEX(Models!$BJ79:$BT79,,T79+1)*R79-ERP_i)*Q79*Ramure*Pc/MaxiM</f>
        <v>1.0709835554678599E-4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42.203197640029487</v>
      </c>
      <c r="W79" s="400">
        <f t="shared" ref="W79:W142" si="34">Wh*(A79&gt;Tmaj)</f>
        <v>15.876103964724699</v>
      </c>
      <c r="X79" s="157">
        <f t="shared" ref="X79:X142" si="35">t</f>
        <v>46452</v>
      </c>
      <c r="Y79" s="383">
        <f t="shared" ref="Y79:Y142" si="36">Wh_pvt_s*(1-Ppv)</f>
        <v>15.329565797588684</v>
      </c>
      <c r="Z79" s="383">
        <f t="shared" ref="Z79:Z142" si="37">Wh_sa_s*(1-Psa_s)</f>
        <v>16.227745323863875</v>
      </c>
      <c r="AA79" s="384">
        <f t="shared" ref="AA79:AA142" si="38">Wh_hp*(1-Pvg_s*MEDIAN((-Sdif+Wh/Env_an)/Csdif,0,1))</f>
        <v>17.359843793462936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6.5213632280802403E-2</v>
      </c>
      <c r="AD79" s="230">
        <f>(INDEX(Models!$BJ79:$BT79,,AH79)*(1-AF79)+INDEX(Models!$BJ79:$BT79,,AH79+1)*AF79-ERP_i)*AE79*Ramure*Pc/MaxiM</f>
        <v>3.1270486627927325E-3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'2026'!Wh/'2026'!Env_an*'2027'!Env_an</f>
        <v>39.106674984504714</v>
      </c>
      <c r="C80" s="829"/>
      <c r="D80" s="391">
        <f t="shared" si="25"/>
        <v>41.398780170345738</v>
      </c>
      <c r="E80" s="383">
        <f t="shared" ref="E80:E143" si="47">Wh_pvt/(1-Psa)</f>
        <v>42.77912121359612</v>
      </c>
      <c r="F80" s="383">
        <f t="shared" si="26"/>
        <v>42.783013737775434</v>
      </c>
      <c r="G80" s="110">
        <f t="shared" ref="G80:G143" si="48">+Wh_hp/MaxiM</f>
        <v>0.91897472932318747</v>
      </c>
      <c r="H80" s="412" t="b">
        <f>Wh_hp&gt;='2026'!Maxi_hp</f>
        <v>1</v>
      </c>
      <c r="I80" s="388">
        <f>IF(H80,Wh_hp,'2026'!Maxi_hp)</f>
        <v>42.783013737775434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5.5366490906485155E-2</v>
      </c>
      <c r="M80" s="832"/>
      <c r="N80" s="832"/>
      <c r="O80" s="48">
        <f>IF(t&lt;Tnet,'2026'!Resal+('2026'!Salim-'2026'!Resal)*(1-EXP(('2026'!Tnet-t)/('2026'!Tau_j))),Resal+(Salim-Resal)*(1-EXP((Tnet-t)/(Tau_j))))*Salcycl</f>
        <v>3.2266699363886805E-2</v>
      </c>
      <c r="P80" s="169">
        <f>(INDEX(Models!$BJ80:$BT80,,T80)*(1-R80)+INDEX(Models!$BJ80:$BT80,,T80+1)*R80-ERP_i)*Q80*Ramure*Pc/MaxiM</f>
        <v>1.0289099983846557E-4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42.554172611613403</v>
      </c>
      <c r="W80" s="400">
        <f t="shared" si="34"/>
        <v>39.106674984504714</v>
      </c>
      <c r="X80" s="157">
        <f t="shared" si="35"/>
        <v>46453</v>
      </c>
      <c r="Y80" s="383">
        <f t="shared" si="36"/>
        <v>37.67771383247522</v>
      </c>
      <c r="Z80" s="383">
        <f t="shared" si="37"/>
        <v>39.886065304449495</v>
      </c>
      <c r="AA80" s="384">
        <f t="shared" si="38"/>
        <v>42.670137269323313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6.5246379389441486E-2</v>
      </c>
      <c r="AD80" s="230">
        <f>(INDEX(Models!$BJ80:$BT80,,AH80)*(1-AF80)+INDEX(Models!$BJ80:$BT80,,AH80+1)*AF80-ERP_i)*AE80*Ramure*Pc/MaxiM</f>
        <v>2.9836610287509906E-3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'2026'!Wh/'2026'!Env_an*'2027'!Env_an</f>
        <v>31.870323935950605</v>
      </c>
      <c r="C81" s="829"/>
      <c r="D81" s="391">
        <f t="shared" si="25"/>
        <v>33.738941534826267</v>
      </c>
      <c r="E81" s="383">
        <f t="shared" si="47"/>
        <v>34.866131194446353</v>
      </c>
      <c r="F81" s="383">
        <f t="shared" si="26"/>
        <v>34.86831481647873</v>
      </c>
      <c r="G81" s="110">
        <f t="shared" si="48"/>
        <v>0.74275176967236722</v>
      </c>
      <c r="H81" s="412" t="b">
        <f>Wh_hp&gt;='2026'!Maxi_hp</f>
        <v>1</v>
      </c>
      <c r="I81" s="388">
        <f>IF(H81,Wh_hp,'2026'!Maxi_hp)</f>
        <v>34.86831481647873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5.5384594592181369E-2</v>
      </c>
      <c r="M81" s="832"/>
      <c r="N81" s="832"/>
      <c r="O81" s="48">
        <f>IF(t&lt;Tnet,'2026'!Resal+('2026'!Salim-'2026'!Resal)*(1-EXP(('2026'!Tnet-t)/('2026'!Tau_j))),Resal+(Salim-Resal)*(1-EXP((Tnet-t)/(Tau_j))))*Salcycl</f>
        <v>3.2329071824281699E-2</v>
      </c>
      <c r="P81" s="169">
        <f>(INDEX(Models!$BJ81:$BT81,,T81)*(1-R81)+INDEX(Models!$BJ81:$BT81,,T81+1)*R81-ERP_i)*Q81*Ramure*Pc/MaxiM</f>
        <v>9.900513863257343E-5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42.90688452339711</v>
      </c>
      <c r="W81" s="400">
        <f t="shared" si="34"/>
        <v>31.870323935950605</v>
      </c>
      <c r="X81" s="157">
        <f t="shared" si="35"/>
        <v>46454</v>
      </c>
      <c r="Y81" s="383">
        <f t="shared" si="36"/>
        <v>30.731584145822143</v>
      </c>
      <c r="Z81" s="383">
        <f t="shared" si="37"/>
        <v>32.533435268880041</v>
      </c>
      <c r="AA81" s="384">
        <f t="shared" si="38"/>
        <v>34.805509694855438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6.5279159704741574E-2</v>
      </c>
      <c r="AD81" s="230">
        <f>(INDEX(Models!$BJ81:$BT81,,AH81)*(1-AF81)+INDEX(Models!$BJ81:$BT81,,AH81+1)*AF81-ERP_i)*AE81*Ramure*Pc/MaxiM</f>
        <v>2.8475760369514754E-3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'2026'!Wh/'2026'!Env_an*'2027'!Env_an</f>
        <v>31.071268976711274</v>
      </c>
      <c r="C82" s="829"/>
      <c r="D82" s="391">
        <f t="shared" si="25"/>
        <v>32.893666865924551</v>
      </c>
      <c r="E82" s="383">
        <f t="shared" si="47"/>
        <v>33.994807204154576</v>
      </c>
      <c r="F82" s="383">
        <f t="shared" si="26"/>
        <v>33.996745700020377</v>
      </c>
      <c r="G82" s="110">
        <f t="shared" si="48"/>
        <v>0.71820338687049246</v>
      </c>
      <c r="H82" s="412" t="b">
        <f>Wh_hp&gt;='2026'!Maxi_hp</f>
        <v>0</v>
      </c>
      <c r="I82" s="388">
        <f>IF(H82,Wh_hp,'2026'!Maxi_hp)</f>
        <v>45.223150143497143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5.540269793092456E-2</v>
      </c>
      <c r="M82" s="832"/>
      <c r="N82" s="832"/>
      <c r="O82" s="48">
        <f>IF(t&lt;Tnet,'2026'!Resal+('2026'!Salim-'2026'!Resal)*(1-EXP(('2026'!Tnet-t)/('2026'!Tau_j))),Resal+(Salim-Resal)*(1-EXP((Tnet-t)/(Tau_j))))*Salcycl</f>
        <v>3.2391427655911138E-2</v>
      </c>
      <c r="P82" s="169">
        <f>(INDEX(Models!$BJ82:$BT82,,T82)*(1-R82)+INDEX(Models!$BJ82:$BT82,,T82+1)*R82-ERP_i)*Q82*Ramure*Pc/MaxiM</f>
        <v>9.5435372594137845E-5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43.260830933924147</v>
      </c>
      <c r="W82" s="400">
        <f t="shared" si="34"/>
        <v>31.071268976711274</v>
      </c>
      <c r="X82" s="157">
        <f t="shared" si="35"/>
        <v>46455</v>
      </c>
      <c r="Y82" s="383">
        <f t="shared" si="36"/>
        <v>29.967099340762744</v>
      </c>
      <c r="Z82" s="383">
        <f t="shared" si="37"/>
        <v>31.724735265622581</v>
      </c>
      <c r="AA82" s="384">
        <f t="shared" si="38"/>
        <v>33.941523668439594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6.5311988479712466E-2</v>
      </c>
      <c r="AD82" s="230">
        <f>(INDEX(Models!$BJ82:$BT82,,AH82)*(1-AF82)+INDEX(Models!$BJ82:$BT82,,AH82+1)*AF82-ERP_i)*AE82*Ramure*Pc/MaxiM</f>
        <v>2.7186723749563677E-3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'2026'!Wh/'2026'!Env_an*'2027'!Env_an</f>
        <v>24.733632686563254</v>
      </c>
      <c r="C83" s="829"/>
      <c r="D83" s="391">
        <f t="shared" si="25"/>
        <v>26.184816170761064</v>
      </c>
      <c r="E83" s="383">
        <f t="shared" si="47"/>
        <v>27.063116469209501</v>
      </c>
      <c r="F83" s="383">
        <f t="shared" si="26"/>
        <v>27.064068303374103</v>
      </c>
      <c r="G83" s="110">
        <f t="shared" si="48"/>
        <v>0.56705110001969161</v>
      </c>
      <c r="H83" s="412" t="b">
        <f>Wh_hp&gt;='2026'!Maxi_hp</f>
        <v>0</v>
      </c>
      <c r="I83" s="388">
        <f>IF(H83,Wh_hp,'2026'!Maxi_hp)</f>
        <v>44.941946667610743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5.5420800922721503E-2</v>
      </c>
      <c r="M83" s="832"/>
      <c r="N83" s="832"/>
      <c r="O83" s="48">
        <f>IF(t&lt;Tnet,'2026'!Resal+('2026'!Salim-'2026'!Resal)*(1-EXP(('2026'!Tnet-t)/('2026'!Tau_j))),Resal+(Salim-Resal)*(1-EXP((Tnet-t)/(Tau_j))))*Salcycl</f>
        <v>3.2453775212758808E-2</v>
      </c>
      <c r="P83" s="169">
        <f>(INDEX(Models!$BJ83:$BT83,,T83)*(1-R83)+INDEX(Models!$BJ83:$BT83,,T83+1)*R83-ERP_i)*Q83*Ramure*Pc/MaxiM</f>
        <v>9.2176307224896097E-5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43.615509527656037</v>
      </c>
      <c r="W83" s="400">
        <f t="shared" si="34"/>
        <v>24.733632686563254</v>
      </c>
      <c r="X83" s="157">
        <f t="shared" si="35"/>
        <v>46456</v>
      </c>
      <c r="Y83" s="383">
        <f t="shared" si="36"/>
        <v>23.869995050984272</v>
      </c>
      <c r="Z83" s="383">
        <f t="shared" si="37"/>
        <v>25.27050677624694</v>
      </c>
      <c r="AA83" s="384">
        <f t="shared" si="38"/>
        <v>27.037252878903214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6.5344882136115209E-2</v>
      </c>
      <c r="AD83" s="230">
        <f>(INDEX(Models!$BJ83:$BT83,,AH83)*(1-AF83)+INDEX(Models!$BJ83:$BT83,,AH83+1)*AF83-ERP_i)*AE83*Ramure*Pc/MaxiM</f>
        <v>2.596825052424168E-3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'2026'!Wh/'2026'!Env_an*'2027'!Env_an</f>
        <v>15.338952637024459</v>
      </c>
      <c r="C84" s="829"/>
      <c r="D84" s="391">
        <f t="shared" si="25"/>
        <v>16.23923819746464</v>
      </c>
      <c r="E84" s="383">
        <f t="shared" si="47"/>
        <v>16.785022046461933</v>
      </c>
      <c r="F84" s="383">
        <f t="shared" si="26"/>
        <v>16.785126552212308</v>
      </c>
      <c r="G84" s="110">
        <f t="shared" si="48"/>
        <v>0.34881814199748129</v>
      </c>
      <c r="H84" s="412" t="b">
        <f>Wh_hp&gt;='2026'!Maxi_hp</f>
        <v>0</v>
      </c>
      <c r="I84" s="388">
        <f>IF(H84,Wh_hp,'2026'!Maxi_hp)</f>
        <v>33.644561072825525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5.5438903567578635E-2</v>
      </c>
      <c r="M84" s="832"/>
      <c r="N84" s="832"/>
      <c r="O84" s="48">
        <f>IF(t&lt;Tnet,'2026'!Resal+('2026'!Salim-'2026'!Resal)*(1-EXP(('2026'!Tnet-t)/('2026'!Tau_j))),Resal+(Salim-Resal)*(1-EXP((Tnet-t)/(Tau_j))))*Salcycl</f>
        <v>3.2516123451404005E-2</v>
      </c>
      <c r="P84" s="169">
        <f>(INDEX(Models!$BJ84:$BT84,,T84)*(1-R84)+INDEX(Models!$BJ84:$BT84,,T84+1)*R84-ERP_i)*Q84*Ramure*Pc/MaxiM</f>
        <v>8.9222597974404917E-5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43.970418114726918</v>
      </c>
      <c r="W84" s="400">
        <f t="shared" si="34"/>
        <v>15.338952637024459</v>
      </c>
      <c r="X84" s="157">
        <f t="shared" si="35"/>
        <v>46457</v>
      </c>
      <c r="Y84" s="383">
        <f t="shared" si="36"/>
        <v>14.815472861782482</v>
      </c>
      <c r="Z84" s="383">
        <f t="shared" si="37"/>
        <v>15.685033946178891</v>
      </c>
      <c r="AA84" s="384">
        <f t="shared" si="38"/>
        <v>16.78221951412069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6.537785821587061E-2</v>
      </c>
      <c r="AD84" s="230">
        <f>(INDEX(Models!$BJ84:$BT84,,AH84)*(1-AF84)+INDEX(Models!$BJ84:$BT84,,AH84+1)*AF84-ERP_i)*AE84*Ramure*Pc/MaxiM</f>
        <v>2.481906402363968E-3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'2026'!Wh/'2026'!Env_an*'2027'!Env_an</f>
        <v>15.964499890836157</v>
      </c>
      <c r="C85" s="829"/>
      <c r="D85" s="391">
        <f t="shared" si="25"/>
        <v>16.901824469583548</v>
      </c>
      <c r="E85" s="383">
        <f t="shared" si="47"/>
        <v>17.471003232293821</v>
      </c>
      <c r="F85" s="383">
        <f t="shared" si="26"/>
        <v>17.471133236215504</v>
      </c>
      <c r="G85" s="110">
        <f t="shared" si="48"/>
        <v>0.36014025875426214</v>
      </c>
      <c r="H85" s="412" t="b">
        <f>Wh_hp&gt;='2026'!Maxi_hp</f>
        <v>0</v>
      </c>
      <c r="I85" s="388">
        <f>IF(H85,Wh_hp,'2026'!Maxi_hp)</f>
        <v>43.401527185164618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5.5457005865502729E-2</v>
      </c>
      <c r="M85" s="832"/>
      <c r="N85" s="832"/>
      <c r="O85" s="48">
        <f>IF(t&lt;Tnet,'2026'!Resal+('2026'!Salim-'2026'!Resal)*(1-EXP(('2026'!Tnet-t)/('2026'!Tau_j))),Resal+(Salim-Resal)*(1-EXP((Tnet-t)/(Tau_j))))*Salcycl</f>
        <v>3.2578481907563898E-2</v>
      </c>
      <c r="P85" s="169">
        <f>(INDEX(Models!$BJ85:$BT85,,T85)*(1-R85)+INDEX(Models!$BJ85:$BT85,,T85+1)*R85-ERP_i)*Q85*Ramure*Pc/MaxiM</f>
        <v>8.6568993482908708E-5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44.325054629894623</v>
      </c>
      <c r="W85" s="400">
        <f t="shared" si="34"/>
        <v>15.964499890836157</v>
      </c>
      <c r="X85" s="157">
        <f t="shared" si="35"/>
        <v>46458</v>
      </c>
      <c r="Y85" s="383">
        <f t="shared" si="36"/>
        <v>15.419662907444343</v>
      </c>
      <c r="Z85" s="383">
        <f t="shared" si="37"/>
        <v>16.324998441784722</v>
      </c>
      <c r="AA85" s="384">
        <f t="shared" si="38"/>
        <v>17.467568430717574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6.5410935326498401E-2</v>
      </c>
      <c r="AD85" s="230">
        <f>(INDEX(Models!$BJ85:$BT85,,AH85)*(1-AF85)+INDEX(Models!$BJ85:$BT85,,AH85+1)*AF85-ERP_i)*AE85*Ramure*Pc/MaxiM</f>
        <v>2.3737870360135797E-3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'2026'!Wh/'2026'!Env_an*'2027'!Env_an</f>
        <v>8.9517338489599538</v>
      </c>
      <c r="C86" s="829"/>
      <c r="D86" s="391">
        <f t="shared" si="25"/>
        <v>9.4774991353227751</v>
      </c>
      <c r="E86" s="383">
        <f t="shared" si="47"/>
        <v>9.7972911507138107</v>
      </c>
      <c r="F86" s="383">
        <f t="shared" si="26"/>
        <v>9.7972911507138107</v>
      </c>
      <c r="G86" s="110">
        <f t="shared" si="48"/>
        <v>0.20034012896079276</v>
      </c>
      <c r="H86" s="412" t="b">
        <f>Wh_hp&gt;='2026'!Maxi_hp</f>
        <v>0</v>
      </c>
      <c r="I86" s="388">
        <f>IF(H86,Wh_hp,'2026'!Maxi_hp)</f>
        <v>43.4645843753053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5.5475107816500446E-2</v>
      </c>
      <c r="M86" s="832"/>
      <c r="N86" s="832"/>
      <c r="O86" s="48">
        <f>IF(t&lt;Tnet,'2026'!Resal+('2026'!Salim-'2026'!Resal)*(1-EXP(('2026'!Tnet-t)/('2026'!Tau_j))),Resal+(Salim-Resal)*(1-EXP((Tnet-t)/(Tau_j))))*Salcycl</f>
        <v>3.2640860669710427E-2</v>
      </c>
      <c r="P86" s="169">
        <f>(INDEX(Models!$BJ86:$BT86,,T86)*(1-R86)+INDEX(Models!$BJ86:$BT86,,T86+1)*R86-ERP_i)*Q86*Ramure*Pc/MaxiM</f>
        <v>8.421017122526893E-5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44.678917141315743</v>
      </c>
      <c r="W86" s="400">
        <f t="shared" si="34"/>
        <v>8.9517338489599538</v>
      </c>
      <c r="X86" s="157">
        <f t="shared" si="35"/>
        <v>46459</v>
      </c>
      <c r="Y86" s="383">
        <f t="shared" si="36"/>
        <v>8.6481794067020168</v>
      </c>
      <c r="Z86" s="383">
        <f t="shared" si="37"/>
        <v>9.1561159248113011</v>
      </c>
      <c r="AA86" s="384">
        <f t="shared" si="38"/>
        <v>9.7972911507138107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6.5444133081193068E-2</v>
      </c>
      <c r="AD86" s="230">
        <f>(INDEX(Models!$BJ86:$BT86,,AH86)*(1-AF86)+INDEX(Models!$BJ86:$BT86,,AH86+1)*AF86-ERP_i)*AE86*Ramure*Pc/MaxiM</f>
        <v>2.2731256022280981E-3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'2026'!Wh/'2026'!Env_an*'2027'!Env_an</f>
        <v>14.422992260045024</v>
      </c>
      <c r="C87" s="829"/>
      <c r="D87" s="391">
        <f t="shared" si="25"/>
        <v>15.270395516370005</v>
      </c>
      <c r="E87" s="383">
        <f t="shared" si="47"/>
        <v>15.786671295680058</v>
      </c>
      <c r="F87" s="383">
        <f t="shared" si="26"/>
        <v>15.786708768796322</v>
      </c>
      <c r="G87" s="110">
        <f t="shared" si="48"/>
        <v>0.32026116261277898</v>
      </c>
      <c r="H87" s="412" t="b">
        <f>Wh_hp&gt;='2026'!Maxi_hp</f>
        <v>0</v>
      </c>
      <c r="I87" s="388">
        <f>IF(H87,Wh_hp,'2026'!Maxi_hp)</f>
        <v>41.9627960937136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5.5493209420578338E-2</v>
      </c>
      <c r="M87" s="832"/>
      <c r="N87" s="832"/>
      <c r="O87" s="48">
        <f>IF(t&lt;Tnet,'2026'!Resal+('2026'!Salim-'2026'!Resal)*(1-EXP(('2026'!Tnet-t)/('2026'!Tau_j))),Resal+(Salim-Resal)*(1-EXP((Tnet-t)/(Tau_j))))*Salcycl</f>
        <v>3.2703270350053423E-2</v>
      </c>
      <c r="P87" s="169">
        <f>(INDEX(Models!$BJ87:$BT87,,T87)*(1-R87)+INDEX(Models!$BJ87:$BT87,,T87+1)*R87-ERP_i)*Q87*Ramure*Pc/MaxiM</f>
        <v>8.1906094873925988E-5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45.031514420096883</v>
      </c>
      <c r="W87" s="400">
        <f t="shared" si="34"/>
        <v>14.422992260045024</v>
      </c>
      <c r="X87" s="157">
        <f t="shared" si="35"/>
        <v>46460</v>
      </c>
      <c r="Y87" s="383">
        <f t="shared" si="36"/>
        <v>13.933462172590412</v>
      </c>
      <c r="Z87" s="383">
        <f t="shared" si="37"/>
        <v>14.752103755699547</v>
      </c>
      <c r="AA87" s="384">
        <f t="shared" si="38"/>
        <v>15.785712290757036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6.5477472034169398E-2</v>
      </c>
      <c r="AD87" s="230">
        <f>(INDEX(Models!$BJ87:$BT87,,AH87)*(1-AF87)+INDEX(Models!$BJ87:$BT87,,AH87+1)*AF87-ERP_i)*AE87*Ramure*Pc/MaxiM</f>
        <v>2.1780314252864068E-3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'2026'!Wh/'2026'!Env_an*'2027'!Env_an</f>
        <v>13.728063817961319</v>
      </c>
      <c r="C88" s="829"/>
      <c r="D88" s="391">
        <f t="shared" si="25"/>
        <v>14.534916058986646</v>
      </c>
      <c r="E88" s="383">
        <f t="shared" si="47"/>
        <v>15.027296271840777</v>
      </c>
      <c r="F88" s="383">
        <f t="shared" si="26"/>
        <v>15.027300543315519</v>
      </c>
      <c r="G88" s="110">
        <f t="shared" si="48"/>
        <v>0.30247388593636398</v>
      </c>
      <c r="H88" s="412" t="b">
        <f>Wh_hp&gt;='2026'!Maxi_hp</f>
        <v>0</v>
      </c>
      <c r="I88" s="388">
        <f>IF(H88,Wh_hp,'2026'!Maxi_hp)</f>
        <v>33.906662518762403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5.5511310677743175E-2</v>
      </c>
      <c r="M88" s="832"/>
      <c r="N88" s="832"/>
      <c r="O88" s="48">
        <f>IF(t&lt;Tnet,'2026'!Resal+('2026'!Salim-'2026'!Resal)*(1-EXP(('2026'!Tnet-t)/('2026'!Tau_j))),Resal+(Salim-Resal)*(1-EXP((Tnet-t)/(Tau_j))))*Salcycl</f>
        <v>3.2765722053193877E-2</v>
      </c>
      <c r="P88" s="169">
        <f>(INDEX(Models!$BJ88:$BT88,,T88)*(1-R88)+INDEX(Models!$BJ88:$BT88,,T88+1)*R88-ERP_i)*Q88*Ramure*Pc/MaxiM</f>
        <v>7.9656383356569021E-5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45.382344824290342</v>
      </c>
      <c r="W88" s="400">
        <f t="shared" si="34"/>
        <v>13.728063817961319</v>
      </c>
      <c r="X88" s="157">
        <f t="shared" si="35"/>
        <v>46461</v>
      </c>
      <c r="Y88" s="383">
        <f t="shared" si="36"/>
        <v>13.263211744179987</v>
      </c>
      <c r="Z88" s="383">
        <f t="shared" si="37"/>
        <v>14.042742802666446</v>
      </c>
      <c r="AA88" s="384">
        <f t="shared" si="38"/>
        <v>15.027188555593394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6.5510973611928189E-2</v>
      </c>
      <c r="AD88" s="230">
        <f>(INDEX(Models!$BJ88:$BT88,,AH88)*(1-AF88)+INDEX(Models!$BJ88:$BT88,,AH88+1)*AF88-ERP_i)*AE88*Ramure*Pc/MaxiM</f>
        <v>2.0883974426975805E-3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'2026'!Wh/'2026'!Env_an*'2027'!Env_an</f>
        <v>13.700529878543538</v>
      </c>
      <c r="C89" s="829"/>
      <c r="D89" s="391">
        <f t="shared" si="25"/>
        <v>14.506041846765346</v>
      </c>
      <c r="E89" s="383">
        <f t="shared" si="47"/>
        <v>14.998413163890177</v>
      </c>
      <c r="F89" s="383">
        <f t="shared" si="26"/>
        <v>14.998413163890177</v>
      </c>
      <c r="G89" s="110">
        <f t="shared" si="48"/>
        <v>0.29956695753064422</v>
      </c>
      <c r="H89" s="412" t="b">
        <f>Wh_hp&gt;='2026'!Maxi_hp</f>
        <v>0</v>
      </c>
      <c r="I89" s="388">
        <f>IF(H89,Wh_hp,'2026'!Maxi_hp)</f>
        <v>50.695816320188271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5.552941158800162E-2</v>
      </c>
      <c r="M89" s="832"/>
      <c r="N89" s="832"/>
      <c r="O89" s="48">
        <f>IF(t&lt;Tnet,'2026'!Resal+('2026'!Salim-'2026'!Resal)*(1-EXP(('2026'!Tnet-t)/('2026'!Tau_j))),Resal+(Salim-Resal)*(1-EXP((Tnet-t)/(Tau_j))))*Salcycl</f>
        <v>3.2828227342760009E-2</v>
      </c>
      <c r="P89" s="169">
        <f>(INDEX(Models!$BJ89:$BT89,,T89)*(1-R89)+INDEX(Models!$BJ89:$BT89,,T89+1)*R89-ERP_i)*Q89*Ramure*Pc/MaxiM</f>
        <v>7.7460558088594103E-5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45.730906842259628</v>
      </c>
      <c r="W89" s="400">
        <f t="shared" si="34"/>
        <v>13.700529878543538</v>
      </c>
      <c r="X89" s="157">
        <f t="shared" si="35"/>
        <v>46462</v>
      </c>
      <c r="Y89" s="383">
        <f t="shared" si="36"/>
        <v>13.237083284696501</v>
      </c>
      <c r="Z89" s="383">
        <f t="shared" si="37"/>
        <v>14.015347271907</v>
      </c>
      <c r="AA89" s="384">
        <f t="shared" si="38"/>
        <v>14.998413163890177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6.554466004110239E-2</v>
      </c>
      <c r="AD89" s="230">
        <f>(INDEX(Models!$BJ89:$BT89,,AH89)*(1-AF89)+INDEX(Models!$BJ89:$BT89,,AH89+1)*AF89-ERP_i)*AE89*Ramure*Pc/MaxiM</f>
        <v>2.0041170733897185E-3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'2026'!Wh/'2026'!Env_an*'2027'!Env_an</f>
        <v>11.50608029632704</v>
      </c>
      <c r="C90" s="829"/>
      <c r="D90" s="391">
        <f t="shared" si="25"/>
        <v>12.182804793639372</v>
      </c>
      <c r="E90" s="383">
        <f t="shared" si="47"/>
        <v>12.597134605941532</v>
      </c>
      <c r="F90" s="383">
        <f t="shared" si="26"/>
        <v>12.597134605941532</v>
      </c>
      <c r="G90" s="110">
        <f t="shared" si="48"/>
        <v>0.24969700317406782</v>
      </c>
      <c r="H90" s="412" t="b">
        <f>Wh_hp&gt;='2026'!Maxi_hp</f>
        <v>0</v>
      </c>
      <c r="I90" s="388">
        <f>IF(H90,Wh_hp,'2026'!Maxi_hp)</f>
        <v>27.308423529990701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5.5547512151360112E-2</v>
      </c>
      <c r="M90" s="832"/>
      <c r="N90" s="832"/>
      <c r="O90" s="48">
        <f>IF(t&lt;Tnet,'2026'!Resal+('2026'!Salim-'2026'!Resal)*(1-EXP(('2026'!Tnet-t)/('2026'!Tau_j))),Resal+(Salim-Resal)*(1-EXP((Tnet-t)/(Tau_j))))*Salcycl</f>
        <v>3.2890798206342775E-2</v>
      </c>
      <c r="P90" s="169">
        <f>(INDEX(Models!$BJ90:$BT90,,T90)*(1-R90)+INDEX(Models!$BJ90:$BT90,,T90+1)*R90-ERP_i)*Q90*Ramure*Pc/MaxiM</f>
        <v>7.5318049359886607E-5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46.076699097517292</v>
      </c>
      <c r="W90" s="400">
        <f t="shared" si="34"/>
        <v>11.50608029632704</v>
      </c>
      <c r="X90" s="157">
        <f t="shared" si="35"/>
        <v>46463</v>
      </c>
      <c r="Y90" s="383">
        <f t="shared" si="36"/>
        <v>11.117181146863448</v>
      </c>
      <c r="Z90" s="383">
        <f t="shared" si="37"/>
        <v>11.771032730494658</v>
      </c>
      <c r="AA90" s="384">
        <f t="shared" si="38"/>
        <v>12.597134605941532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6.557855427354381E-2</v>
      </c>
      <c r="AD90" s="230">
        <f>(INDEX(Models!$BJ90:$BT90,,AH90)*(1-AF90)+INDEX(Models!$BJ90:$BT90,,AH90+1)*AF90-ERP_i)*AE90*Ramure*Pc/MaxiM</f>
        <v>1.9250848608022965E-3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'2026'!Wh/'2026'!Env_an*'2027'!Env_an</f>
        <v>14.874437073309915</v>
      </c>
      <c r="C91" s="829"/>
      <c r="D91" s="391">
        <f t="shared" si="25"/>
        <v>15.749571667548185</v>
      </c>
      <c r="E91" s="383">
        <f t="shared" si="47"/>
        <v>16.286260076104519</v>
      </c>
      <c r="F91" s="383">
        <f t="shared" si="26"/>
        <v>16.286294895433468</v>
      </c>
      <c r="G91" s="110">
        <f t="shared" si="48"/>
        <v>0.32041424937058183</v>
      </c>
      <c r="H91" s="412" t="b">
        <f>Wh_hp&gt;='2026'!Maxi_hp</f>
        <v>0</v>
      </c>
      <c r="I91" s="388">
        <f>IF(H91,Wh_hp,'2026'!Maxi_hp)</f>
        <v>34.112652515484889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5.5565612367825534E-2</v>
      </c>
      <c r="M91" s="832"/>
      <c r="N91" s="832"/>
      <c r="O91" s="48">
        <f>IF(t&lt;Tnet,'2026'!Resal+('2026'!Salim-'2026'!Resal)*(1-EXP(('2026'!Tnet-t)/('2026'!Tau_j))),Resal+(Salim-Resal)*(1-EXP((Tnet-t)/(Tau_j))))*Salcycl</f>
        <v>3.2953447019047268E-2</v>
      </c>
      <c r="P91" s="169">
        <f>(INDEX(Models!$BJ91:$BT91,,T91)*(1-R91)+INDEX(Models!$BJ91:$BT91,,T91+1)*R91-ERP_i)*Q91*Ramure*Pc/MaxiM</f>
        <v>7.3228202471657859E-5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46.419220346224485</v>
      </c>
      <c r="W91" s="400">
        <f t="shared" si="34"/>
        <v>14.874437073309915</v>
      </c>
      <c r="X91" s="157">
        <f t="shared" si="35"/>
        <v>46464</v>
      </c>
      <c r="Y91" s="383">
        <f t="shared" si="36"/>
        <v>14.371349437000452</v>
      </c>
      <c r="Z91" s="383">
        <f t="shared" si="37"/>
        <v>15.216884968612145</v>
      </c>
      <c r="AA91" s="384">
        <f t="shared" si="38"/>
        <v>16.285414668442971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6.5612679909303515E-2</v>
      </c>
      <c r="AD91" s="230">
        <f>(INDEX(Models!$BJ91:$BT91,,AH91)*(1-AF91)+INDEX(Models!$BJ91:$BT91,,AH91+1)*AF91-ERP_i)*AE91*Ramure*Pc/MaxiM</f>
        <v>1.8511970859726515E-3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'2026'!Wh/'2026'!Env_an*'2027'!Env_an</f>
        <v>28.418139048312707</v>
      </c>
      <c r="C92" s="829"/>
      <c r="D92" s="391">
        <f t="shared" si="25"/>
        <v>30.090691378944502</v>
      </c>
      <c r="E92" s="383">
        <f t="shared" si="47"/>
        <v>31.11809211181831</v>
      </c>
      <c r="F92" s="383">
        <f t="shared" si="26"/>
        <v>31.119066152217666</v>
      </c>
      <c r="G92" s="110">
        <f t="shared" si="48"/>
        <v>0.60774678056490894</v>
      </c>
      <c r="H92" s="412" t="b">
        <f>Wh_hp&gt;='2026'!Maxi_hp</f>
        <v>0</v>
      </c>
      <c r="I92" s="388">
        <f>IF(H92,Wh_hp,'2026'!Maxi_hp)</f>
        <v>46.811989092410982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5.5583712237404326E-2</v>
      </c>
      <c r="M92" s="832"/>
      <c r="N92" s="832"/>
      <c r="O92" s="48">
        <f>IF(t&lt;Tnet,'2026'!Resal+('2026'!Salim-'2026'!Resal)*(1-EXP(('2026'!Tnet-t)/('2026'!Tau_j))),Resal+(Salim-Resal)*(1-EXP((Tnet-t)/(Tau_j))))*Salcycl</f>
        <v>3.3016186505971962E-2</v>
      </c>
      <c r="P92" s="169">
        <f>(INDEX(Models!$BJ92:$BT92,,T92)*(1-R92)+INDEX(Models!$BJ92:$BT92,,T92+1)*R92-ERP_i)*Q92*Ramure*Pc/MaxiM</f>
        <v>7.1190283601295837E-5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46.75796948070284</v>
      </c>
      <c r="W92" s="400">
        <f t="shared" si="34"/>
        <v>28.418139048312707</v>
      </c>
      <c r="X92" s="157">
        <f t="shared" si="35"/>
        <v>46465</v>
      </c>
      <c r="Y92" s="383">
        <f t="shared" si="36"/>
        <v>27.438509179327124</v>
      </c>
      <c r="Z92" s="383">
        <f t="shared" si="37"/>
        <v>29.05340529898244</v>
      </c>
      <c r="AA92" s="384">
        <f t="shared" si="38"/>
        <v>31.094679633320052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6.5647061118142086E-2</v>
      </c>
      <c r="AD92" s="230">
        <f>(INDEX(Models!$BJ92:$BT92,,AH92)*(1-AF92)+INDEX(Models!$BJ92:$BT92,,AH92+1)*AF92-ERP_i)*AE92*Ramure*Pc/MaxiM</f>
        <v>1.7823523516264461E-3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'2026'!Wh/'2026'!Env_an*'2027'!Env_an</f>
        <v>31.554530029390385</v>
      </c>
      <c r="C93" s="829"/>
      <c r="D93" s="391">
        <f t="shared" si="25"/>
        <v>33.41231529488585</v>
      </c>
      <c r="E93" s="383">
        <f t="shared" si="47"/>
        <v>34.555373522051852</v>
      </c>
      <c r="F93" s="383">
        <f t="shared" si="26"/>
        <v>34.556637531221014</v>
      </c>
      <c r="G93" s="110">
        <f t="shared" si="48"/>
        <v>0.6699906279362926</v>
      </c>
      <c r="H93" s="412" t="b">
        <f>Wh_hp&gt;='2026'!Maxi_hp</f>
        <v>0</v>
      </c>
      <c r="I93" s="388">
        <f>IF(H93,Wh_hp,'2026'!Maxi_hp)</f>
        <v>50.974512464979433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5.560181176010337E-2</v>
      </c>
      <c r="M93" s="832"/>
      <c r="N93" s="832"/>
      <c r="O93" s="48">
        <f>IF(t&lt;Tnet,'2026'!Resal+('2026'!Salim-'2026'!Resal)*(1-EXP(('2026'!Tnet-t)/('2026'!Tau_j))),Resal+(Salim-Resal)*(1-EXP((Tnet-t)/(Tau_j))))*Salcycl</f>
        <v>3.3079029703919793E-2</v>
      </c>
      <c r="P93" s="169">
        <f>(INDEX(Models!$BJ93:$BT93,,T93)*(1-R93)+INDEX(Models!$BJ93:$BT93,,T93+1)*R93-ERP_i)*Q93*Ramure*Pc/MaxiM</f>
        <v>6.9199093928368812E-5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47.095435860689776</v>
      </c>
      <c r="W93" s="400">
        <f t="shared" si="34"/>
        <v>31.554530029390385</v>
      </c>
      <c r="X93" s="157">
        <f t="shared" si="35"/>
        <v>46466</v>
      </c>
      <c r="Y93" s="383">
        <f t="shared" si="36"/>
        <v>30.463992494028041</v>
      </c>
      <c r="Z93" s="383">
        <f t="shared" si="37"/>
        <v>32.257571936689864</v>
      </c>
      <c r="AA93" s="384">
        <f t="shared" si="38"/>
        <v>34.525249816455286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6.5681722560182884E-2</v>
      </c>
      <c r="AD93" s="230">
        <f>(INDEX(Models!$BJ93:$BT93,,AH93)*(1-AF93)+INDEX(Models!$BJ93:$BT93,,AH93+1)*AF93-ERP_i)*AE93*Ramure*Pc/MaxiM</f>
        <v>1.7183430905930209E-3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'2026'!Wh/'2026'!Env_an*'2027'!Env_an</f>
        <v>44.666881743298518</v>
      </c>
      <c r="C94" s="829"/>
      <c r="D94" s="391">
        <f t="shared" si="25"/>
        <v>47.297568278430866</v>
      </c>
      <c r="E94" s="383">
        <f t="shared" si="47"/>
        <v>48.918835842965322</v>
      </c>
      <c r="F94" s="383">
        <f t="shared" si="26"/>
        <v>48.921852696838236</v>
      </c>
      <c r="G94" s="110">
        <f t="shared" si="48"/>
        <v>0.94166039994913175</v>
      </c>
      <c r="H94" s="412" t="b">
        <f>Wh_hp&gt;='2026'!Maxi_hp</f>
        <v>0</v>
      </c>
      <c r="I94" s="388">
        <f>IF(H94,Wh_hp,'2026'!Maxi_hp)</f>
        <v>52.150714918937091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5.5619910935929107E-2</v>
      </c>
      <c r="M94" s="832"/>
      <c r="N94" s="832"/>
      <c r="O94" s="48">
        <f>IF(t&lt;Tnet,'2026'!Resal+('2026'!Salim-'2026'!Resal)*(1-EXP(('2026'!Tnet-t)/('2026'!Tau_j))),Resal+(Salim-Resal)*(1-EXP((Tnet-t)/(Tau_j))))*Salcycl</f>
        <v>3.3141989922632197E-2</v>
      </c>
      <c r="P94" s="169">
        <f>(INDEX(Models!$BJ94:$BT94,,T94)*(1-R94)+INDEX(Models!$BJ94:$BT94,,T94+1)*R94-ERP_i)*Q94*Ramure*Pc/MaxiM</f>
        <v>6.7272971036371485E-5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47.433906448521171</v>
      </c>
      <c r="W94" s="400">
        <f t="shared" si="34"/>
        <v>44.666881743298518</v>
      </c>
      <c r="X94" s="157">
        <f t="shared" si="35"/>
        <v>46467</v>
      </c>
      <c r="Y94" s="383">
        <f t="shared" si="36"/>
        <v>43.098991532452672</v>
      </c>
      <c r="Z94" s="383">
        <f t="shared" si="37"/>
        <v>45.637336101787135</v>
      </c>
      <c r="AA94" s="384">
        <f t="shared" si="38"/>
        <v>48.84742730542964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6.5716689306290071E-2</v>
      </c>
      <c r="AD94" s="230">
        <f>(INDEX(Models!$BJ94:$BT94,,AH94)*(1-AF94)+INDEX(Models!$BJ94:$BT94,,AH94+1)*AF94-ERP_i)*AE94*Ramure*Pc/MaxiM</f>
        <v>1.659615417754572E-3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'2026'!Wh/'2026'!Env_an*'2027'!Env_an</f>
        <v>42.406382468391378</v>
      </c>
      <c r="C95" s="829"/>
      <c r="D95" s="391">
        <f t="shared" si="25"/>
        <v>44.904795943591225</v>
      </c>
      <c r="E95" s="383">
        <f t="shared" si="47"/>
        <v>46.447074811248079</v>
      </c>
      <c r="F95" s="383">
        <f t="shared" si="26"/>
        <v>46.449625117080927</v>
      </c>
      <c r="G95" s="110">
        <f t="shared" si="48"/>
        <v>0.88766271910797989</v>
      </c>
      <c r="H95" s="412" t="b">
        <f>Wh_hp&gt;='2026'!Maxi_hp</f>
        <v>0</v>
      </c>
      <c r="I95" s="388">
        <f>IF(H95,Wh_hp,'2026'!Maxi_hp)</f>
        <v>50.892769880316351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5.5638009764888308E-2</v>
      </c>
      <c r="M95" s="832"/>
      <c r="N95" s="832"/>
      <c r="O95" s="48">
        <f>IF(t&lt;Tnet,'2026'!Resal+('2026'!Salim-'2026'!Resal)*(1-EXP(('2026'!Tnet-t)/('2026'!Tau_j))),Resal+(Salim-Resal)*(1-EXP((Tnet-t)/(Tau_j))))*Salcycl</f>
        <v>3.320508070582219E-2</v>
      </c>
      <c r="P95" s="169">
        <f>(INDEX(Models!$BJ95:$BT95,,T95)*(1-R95)+INDEX(Models!$BJ95:$BT95,,T95+1)*R95-ERP_i)*Q95*Ramure*Pc/MaxiM</f>
        <v>6.5399294874896421E-5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47.772579039476007</v>
      </c>
      <c r="W95" s="400">
        <f t="shared" si="34"/>
        <v>42.406382468391378</v>
      </c>
      <c r="X95" s="157">
        <f t="shared" si="35"/>
        <v>46468</v>
      </c>
      <c r="Y95" s="383">
        <f t="shared" si="36"/>
        <v>40.925876608571798</v>
      </c>
      <c r="Z95" s="383">
        <f t="shared" si="37"/>
        <v>43.337064633851632</v>
      </c>
      <c r="AA95" s="384">
        <f t="shared" si="38"/>
        <v>46.387109225416303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6.5751986758715589E-2</v>
      </c>
      <c r="AD95" s="230">
        <f>(INDEX(Models!$BJ95:$BT95,,AH95)*(1-AF95)+INDEX(Models!$BJ95:$BT95,,AH95+1)*AF95-ERP_i)*AE95*Ramure*Pc/MaxiM</f>
        <v>1.6031391924390755E-3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'2026'!Wh/'2026'!Env_an*'2027'!Env_an</f>
        <v>48.33541792897509</v>
      </c>
      <c r="C96" s="829"/>
      <c r="D96" s="391">
        <f t="shared" si="25"/>
        <v>51.184127256066304</v>
      </c>
      <c r="E96" s="383">
        <f t="shared" si="47"/>
        <v>52.945536069827988</v>
      </c>
      <c r="F96" s="383">
        <f t="shared" si="26"/>
        <v>52.948902458584236</v>
      </c>
      <c r="G96" s="110">
        <f t="shared" si="48"/>
        <v>1.0046718730909368</v>
      </c>
      <c r="H96" s="412" t="b">
        <f>Wh_hp&gt;='2026'!Maxi_hp</f>
        <v>0</v>
      </c>
      <c r="I96" s="388">
        <f>IF(H96,Wh_hp,'2026'!Maxi_hp)</f>
        <v>53.286062169656844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5.5656108246987523E-2</v>
      </c>
      <c r="M96" s="832"/>
      <c r="N96" s="832"/>
      <c r="O96" s="48">
        <f>IF(t&lt;Tnet,'2026'!Resal+('2026'!Salim-'2026'!Resal)*(1-EXP(('2026'!Tnet-t)/('2026'!Tau_j))),Resal+(Salim-Resal)*(1-EXP((Tnet-t)/(Tau_j))))*Salcycl</f>
        <v>3.3268315792262824E-2</v>
      </c>
      <c r="P96" s="169">
        <f>(INDEX(Models!$BJ96:$BT96,,T96)*(1-R96)+INDEX(Models!$BJ96:$BT96,,T96+1)*R96-ERP_i)*Q96*Ramure*Pc/MaxiM</f>
        <v>6.357806488774075E-5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48.11065107284044</v>
      </c>
      <c r="W96" s="400">
        <f t="shared" si="34"/>
        <v>48.33541792897509</v>
      </c>
      <c r="X96" s="157">
        <f t="shared" si="35"/>
        <v>46469</v>
      </c>
      <c r="Y96" s="383">
        <f t="shared" si="36"/>
        <v>46.640108120143701</v>
      </c>
      <c r="Z96" s="383">
        <f t="shared" si="37"/>
        <v>49.388902207610343</v>
      </c>
      <c r="AA96" s="384">
        <f t="shared" si="38"/>
        <v>52.866890176744683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6.5787640572515696E-2</v>
      </c>
      <c r="AD96" s="230">
        <f>(INDEX(Models!$BJ96:$BT96,,AH96)*(1-AF96)+INDEX(Models!$BJ96:$BT96,,AH96+1)*AF96-ERP_i)*AE96*Ramure*Pc/MaxiM</f>
        <v>1.5488948407136932E-3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'2026'!Wh/'2026'!Env_an*'2027'!Env_an</f>
        <v>47.540946718802161</v>
      </c>
      <c r="C97" s="829"/>
      <c r="D97" s="391">
        <f t="shared" si="25"/>
        <v>50.343797702136314</v>
      </c>
      <c r="E97" s="383">
        <f t="shared" si="47"/>
        <v>52.079703218645342</v>
      </c>
      <c r="F97" s="383">
        <f t="shared" si="26"/>
        <v>52.082836376462787</v>
      </c>
      <c r="G97" s="110">
        <f t="shared" si="48"/>
        <v>0.98128994443152295</v>
      </c>
      <c r="H97" s="412" t="b">
        <f>Wh_hp&gt;='2026'!Maxi_hp</f>
        <v>0</v>
      </c>
      <c r="I97" s="388">
        <f>IF(H97,Wh_hp,'2026'!Maxi_hp)</f>
        <v>52.432685420203406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5.5674206382233526E-2</v>
      </c>
      <c r="M97" s="832"/>
      <c r="N97" s="832"/>
      <c r="O97" s="48">
        <f>IF(t&lt;Tnet,'2026'!Resal+('2026'!Salim-'2026'!Resal)*(1-EXP(('2026'!Tnet-t)/('2026'!Tau_j))),Resal+(Salim-Resal)*(1-EXP((Tnet-t)/(Tau_j))))*Salcycl</f>
        <v>3.3331709077165927E-2</v>
      </c>
      <c r="P97" s="169">
        <f>(INDEX(Models!$BJ97:$BT97,,T97)*(1-R97)+INDEX(Models!$BJ97:$BT97,,T97+1)*R97-ERP_i)*Q97*Ramure*Pc/MaxiM</f>
        <v>6.1809135752466415E-5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48.447320233392865</v>
      </c>
      <c r="W97" s="400">
        <f t="shared" si="34"/>
        <v>47.540946718802161</v>
      </c>
      <c r="X97" s="157">
        <f t="shared" si="35"/>
        <v>46470</v>
      </c>
      <c r="Y97" s="383">
        <f t="shared" si="36"/>
        <v>45.878812747819403</v>
      </c>
      <c r="Z97" s="383">
        <f t="shared" si="37"/>
        <v>48.583670019279076</v>
      </c>
      <c r="AA97" s="384">
        <f t="shared" si="38"/>
        <v>52.006959287215821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6.5823676578189091E-2</v>
      </c>
      <c r="AD97" s="230">
        <f>(INDEX(Models!$BJ97:$BT97,,AH97)*(1-AF97)+INDEX(Models!$BJ97:$BT97,,AH97+1)*AF97-ERP_i)*AE97*Ramure*Pc/MaxiM</f>
        <v>1.4968595848116352E-3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'2026'!Wh/'2026'!Env_an*'2027'!Env_an</f>
        <v>42.306856055179061</v>
      </c>
      <c r="C98" s="829"/>
      <c r="D98" s="391">
        <f t="shared" si="25"/>
        <v>44.801981644364098</v>
      </c>
      <c r="E98" s="383">
        <f t="shared" si="47"/>
        <v>46.349847529063013</v>
      </c>
      <c r="F98" s="383">
        <f t="shared" si="26"/>
        <v>46.352104768587438</v>
      </c>
      <c r="G98" s="110">
        <f t="shared" si="48"/>
        <v>0.86725761340690632</v>
      </c>
      <c r="H98" s="412" t="b">
        <f>Wh_hp&gt;='2026'!Maxi_hp</f>
        <v>1</v>
      </c>
      <c r="I98" s="388">
        <f>IF(H98,Wh_hp,'2026'!Maxi_hp)</f>
        <v>46.352104768587438</v>
      </c>
      <c r="J98" s="85">
        <f>IF(H98,An,'2026'!An_max)</f>
        <v>2027</v>
      </c>
      <c r="K98" s="197">
        <f t="shared" si="27"/>
        <v>46471</v>
      </c>
      <c r="L98" s="147">
        <f>IF(t&lt;Tvie,1-EXP((T0-t)*PertePVj)+'2026'!Pspv,1-EXP((T0-t)*PertePVj)+Pspv)</f>
        <v>5.5692304170632867E-2</v>
      </c>
      <c r="M98" s="832"/>
      <c r="N98" s="832"/>
      <c r="O98" s="48">
        <f>IF(t&lt;Tnet,'2026'!Resal+('2026'!Salim-'2026'!Resal)*(1-EXP(('2026'!Tnet-t)/('2026'!Tau_j))),Resal+(Salim-Resal)*(1-EXP((Tnet-t)/(Tau_j))))*Salcycl</f>
        <v>3.3395274574060801E-2</v>
      </c>
      <c r="P98" s="169">
        <f>(INDEX(Models!$BJ98:$BT98,,T98)*(1-R98)+INDEX(Models!$BJ98:$BT98,,T98+1)*R98-ERP_i)*Q98*Ramure*Pc/MaxiM</f>
        <v>6.0092230879560634E-5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48.78178445442645</v>
      </c>
      <c r="W98" s="400">
        <f t="shared" si="34"/>
        <v>42.306856055179061</v>
      </c>
      <c r="X98" s="157">
        <f t="shared" si="35"/>
        <v>46471</v>
      </c>
      <c r="Y98" s="383">
        <f t="shared" si="36"/>
        <v>40.839962642893475</v>
      </c>
      <c r="Z98" s="383">
        <f t="shared" si="37"/>
        <v>43.248575462497456</v>
      </c>
      <c r="AA98" s="384">
        <f t="shared" si="38"/>
        <v>46.297750926960347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6.5860120705934333E-2</v>
      </c>
      <c r="AD98" s="230">
        <f>(INDEX(Models!$BJ98:$BT98,,AH98)*(1-AF98)+INDEX(Models!$BJ98:$BT98,,AH98+1)*AF98-ERP_i)*AE98*Ramure*Pc/MaxiM</f>
        <v>1.4470079780637627E-3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'2026'!Wh/'2026'!Env_an*'2027'!Env_an</f>
        <v>46.832079712303688</v>
      </c>
      <c r="C99" s="829"/>
      <c r="D99" s="391">
        <f t="shared" si="25"/>
        <v>49.595039267890307</v>
      </c>
      <c r="E99" s="383">
        <f t="shared" si="47"/>
        <v>51.311884980939439</v>
      </c>
      <c r="F99" s="383">
        <f t="shared" si="26"/>
        <v>51.314684205221816</v>
      </c>
      <c r="G99" s="110">
        <f t="shared" si="48"/>
        <v>0.95354931403309262</v>
      </c>
      <c r="H99" s="412" t="b">
        <f>Wh_hp&gt;='2026'!Maxi_hp</f>
        <v>0</v>
      </c>
      <c r="I99" s="388">
        <f>IF(H99,Wh_hp,'2026'!Maxi_hp)</f>
        <v>54.664172365947202</v>
      </c>
      <c r="J99" s="85">
        <f>IF(H99,An,'2026'!An_max)</f>
        <v>2018</v>
      </c>
      <c r="K99" s="197">
        <f t="shared" si="27"/>
        <v>46472</v>
      </c>
      <c r="L99" s="147">
        <f>IF(t&lt;Tvie,1-EXP((T0-t)*PertePVj)+'2026'!Pspv,1-EXP((T0-t)*PertePVj)+Pspv)</f>
        <v>5.5710401612192317E-2</v>
      </c>
      <c r="M99" s="832"/>
      <c r="N99" s="832"/>
      <c r="O99" s="48">
        <f>IF(t&lt;Tnet,'2026'!Resal+('2026'!Salim-'2026'!Resal)*(1-EXP(('2026'!Tnet-t)/('2026'!Tau_j))),Resal+(Salim-Resal)*(1-EXP((Tnet-t)/(Tau_j))))*Salcycl</f>
        <v>3.3459026377356392E-2</v>
      </c>
      <c r="P99" s="169">
        <f>(INDEX(Models!$BJ99:$BT99,,T99)*(1-R99)+INDEX(Models!$BJ99:$BT99,,T99+1)*R99-ERP_i)*Q99*Ramure*Pc/MaxiM</f>
        <v>5.8426955461572354E-5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49.113241921355026</v>
      </c>
      <c r="W99" s="400">
        <f t="shared" si="34"/>
        <v>46.832079712303688</v>
      </c>
      <c r="X99" s="157">
        <f t="shared" si="35"/>
        <v>46472</v>
      </c>
      <c r="Y99" s="383">
        <f t="shared" si="36"/>
        <v>45.20368841355188</v>
      </c>
      <c r="Z99" s="383">
        <f t="shared" si="37"/>
        <v>47.870577512162008</v>
      </c>
      <c r="AA99" s="384">
        <f t="shared" si="38"/>
        <v>51.247643414481971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6.5896998911868801E-2</v>
      </c>
      <c r="AD99" s="230">
        <f>(INDEX(Models!$BJ99:$BT99,,AH99)*(1-AF99)+INDEX(Models!$BJ99:$BT99,,AH99+1)*AF99-ERP_i)*AE99*Ramure*Pc/MaxiM</f>
        <v>1.3993124164188057E-3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'2026'!Wh/'2026'!Env_an*'2027'!Env_an</f>
        <v>45.276723086120839</v>
      </c>
      <c r="C100" s="829"/>
      <c r="D100" s="391">
        <f t="shared" si="25"/>
        <v>47.948839951347757</v>
      </c>
      <c r="E100" s="383">
        <f t="shared" si="47"/>
        <v>49.611981341437449</v>
      </c>
      <c r="F100" s="383">
        <f t="shared" si="26"/>
        <v>49.614461950129368</v>
      </c>
      <c r="G100" s="110">
        <f t="shared" si="48"/>
        <v>0.91576857780038312</v>
      </c>
      <c r="H100" s="412" t="b">
        <f>Wh_hp&gt;='2026'!Maxi_hp</f>
        <v>0</v>
      </c>
      <c r="I100" s="388">
        <f>IF(H100,Wh_hp,'2026'!Maxi_hp)</f>
        <v>53.82661692337178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5.5728498706918317E-2</v>
      </c>
      <c r="M100" s="832"/>
      <c r="N100" s="832"/>
      <c r="O100" s="48">
        <f>IF(t&lt;Tnet,'2026'!Resal+('2026'!Salim-'2026'!Resal)*(1-EXP(('2026'!Tnet-t)/('2026'!Tau_j))),Resal+(Salim-Resal)*(1-EXP((Tnet-t)/(Tau_j))))*Salcycl</f>
        <v>3.3522978625741509E-2</v>
      </c>
      <c r="P100" s="169">
        <f>(INDEX(Models!$BJ100:$BT100,,T100)*(1-R100)+INDEX(Models!$BJ100:$BT100,,T100+1)*R100-ERP_i)*Q100*Ramure*Pc/MaxiM</f>
        <v>5.6836336203448832E-5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49.440889911385462</v>
      </c>
      <c r="W100" s="400">
        <f t="shared" si="34"/>
        <v>45.276723086120839</v>
      </c>
      <c r="X100" s="157">
        <f t="shared" si="35"/>
        <v>46473</v>
      </c>
      <c r="Y100" s="383">
        <f t="shared" si="36"/>
        <v>43.708395727752766</v>
      </c>
      <c r="Z100" s="383">
        <f t="shared" si="37"/>
        <v>46.287953907217002</v>
      </c>
      <c r="AA100" s="384">
        <f t="shared" si="38"/>
        <v>49.555353275516104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6.5934337106490479E-2</v>
      </c>
      <c r="AD100" s="230">
        <f>(INDEX(Models!$BJ100:$BT100,,AH100)*(1-AF100)+INDEX(Models!$BJ100:$BT100,,AH100+1)*AF100-ERP_i)*AE100*Ramure*Pc/MaxiM</f>
        <v>1.3543129610915237E-3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'2026'!Wh/'2026'!Env_an*'2027'!Env_an</f>
        <v>14.57956073747034</v>
      </c>
      <c r="C101" s="829"/>
      <c r="D101" s="391">
        <f t="shared" si="25"/>
        <v>15.440305184277163</v>
      </c>
      <c r="E101" s="383">
        <f t="shared" si="47"/>
        <v>15.976924470578528</v>
      </c>
      <c r="F101" s="383">
        <f t="shared" si="26"/>
        <v>15.976924470578528</v>
      </c>
      <c r="G101" s="110">
        <f t="shared" si="48"/>
        <v>0.29295827415927578</v>
      </c>
      <c r="H101" s="412" t="b">
        <f>Wh_hp&gt;='2026'!Maxi_hp</f>
        <v>0</v>
      </c>
      <c r="I101" s="388">
        <f>IF(H101,Wh_hp,'2026'!Maxi_hp)</f>
        <v>53.283033319082513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5.5746595454817638E-2</v>
      </c>
      <c r="M101" s="832"/>
      <c r="N101" s="832"/>
      <c r="O101" s="48">
        <f>IF(t&lt;Tnet,'2026'!Resal+('2026'!Salim-'2026'!Resal)*(1-EXP(('2026'!Tnet-t)/('2026'!Tau_j))),Resal+(Salim-Resal)*(1-EXP((Tnet-t)/(Tau_j))))*Salcycl</f>
        <v>3.3587145466547584E-2</v>
      </c>
      <c r="P101" s="169">
        <f>(INDEX(Models!$BJ101:$BT101,,T101)*(1-R101)+INDEX(Models!$BJ101:$BT101,,T101+1)*R101-ERP_i)*Q101*Ramure*Pc/MaxiM</f>
        <v>5.5319764132979904E-5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49.763927103431094</v>
      </c>
      <c r="W101" s="400">
        <f t="shared" si="34"/>
        <v>14.57956073747034</v>
      </c>
      <c r="X101" s="157">
        <f t="shared" si="35"/>
        <v>46474</v>
      </c>
      <c r="Y101" s="383">
        <f t="shared" si="36"/>
        <v>14.090991799270652</v>
      </c>
      <c r="Z101" s="383">
        <f t="shared" si="37"/>
        <v>14.922892235753014</v>
      </c>
      <c r="AA101" s="384">
        <f t="shared" si="38"/>
        <v>15.976924470578528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6.5972161085602679E-2</v>
      </c>
      <c r="AD101" s="230">
        <f>(INDEX(Models!$BJ101:$BT101,,AH101)*(1-AF101)+INDEX(Models!$BJ101:$BT101,,AH101+1)*AF101-ERP_i)*AE101*Ramure*Pc/MaxiM</f>
        <v>1.3112455965800492E-3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'2026'!Wh/'2026'!Env_an*'2027'!Env_an</f>
        <v>27.982188164044491</v>
      </c>
      <c r="C102" s="829"/>
      <c r="D102" s="391">
        <f t="shared" si="25"/>
        <v>29.634761507746997</v>
      </c>
      <c r="E102" s="383">
        <f t="shared" si="47"/>
        <v>30.666744725875496</v>
      </c>
      <c r="F102" s="383">
        <f t="shared" si="26"/>
        <v>30.667355425714078</v>
      </c>
      <c r="G102" s="110">
        <f t="shared" si="48"/>
        <v>0.55871346689562984</v>
      </c>
      <c r="H102" s="412" t="b">
        <f>Wh_hp&gt;='2026'!Maxi_hp</f>
        <v>0</v>
      </c>
      <c r="I102" s="388">
        <f>IF(H102,Wh_hp,'2026'!Maxi_hp)</f>
        <v>55.473113479022246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5.5764691855896942E-2</v>
      </c>
      <c r="M102" s="832"/>
      <c r="N102" s="832"/>
      <c r="O102" s="48">
        <f>IF(t&lt;Tnet,'2026'!Resal+('2026'!Salim-'2026'!Resal)*(1-EXP(('2026'!Tnet-t)/('2026'!Tau_j))),Resal+(Salim-Resal)*(1-EXP((Tnet-t)/(Tau_j))))*Salcycl</f>
        <v>3.3651541021168463E-2</v>
      </c>
      <c r="P102" s="169">
        <f>(INDEX(Models!$BJ102:$BT102,,T102)*(1-R102)+INDEX(Models!$BJ102:$BT102,,T102+1)*R102-ERP_i)*Q102*Ramure*Pc/MaxiM</f>
        <v>5.3876407468672109E-5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50.081552444228663</v>
      </c>
      <c r="W102" s="400">
        <f t="shared" si="34"/>
        <v>27.982188164044491</v>
      </c>
      <c r="X102" s="157">
        <f t="shared" si="35"/>
        <v>46475</v>
      </c>
      <c r="Y102" s="383">
        <f t="shared" si="36"/>
        <v>27.033024204389694</v>
      </c>
      <c r="Z102" s="383">
        <f t="shared" si="37"/>
        <v>28.629541779710795</v>
      </c>
      <c r="AA102" s="384">
        <f t="shared" si="38"/>
        <v>30.652958808763522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6.6010496463859897E-2</v>
      </c>
      <c r="AD102" s="230">
        <f>(INDEX(Models!$BJ102:$BT102,,AH102)*(1-AF102)+INDEX(Models!$BJ102:$BT102,,AH102+1)*AF102-ERP_i)*AE102*Ramure*Pc/MaxiM</f>
        <v>1.2700805731368689E-3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'2026'!Wh/'2026'!Env_an*'2027'!Env_an</f>
        <v>7.8458400406581505</v>
      </c>
      <c r="C103" s="829"/>
      <c r="D103" s="391">
        <f t="shared" si="25"/>
        <v>8.3093592662782996</v>
      </c>
      <c r="E103" s="383">
        <f t="shared" si="47"/>
        <v>8.5992946261922469</v>
      </c>
      <c r="F103" s="383">
        <f t="shared" si="26"/>
        <v>8.5992946261922469</v>
      </c>
      <c r="G103" s="110">
        <f t="shared" si="48"/>
        <v>0.15568498634977637</v>
      </c>
      <c r="H103" s="412" t="b">
        <f>Wh_hp&gt;='2026'!Maxi_hp</f>
        <v>0</v>
      </c>
      <c r="I103" s="388">
        <f>IF(H103,Wh_hp,'2026'!Maxi_hp)</f>
        <v>54.228775027955102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5.5782787910162779E-2</v>
      </c>
      <c r="M103" s="832"/>
      <c r="N103" s="832"/>
      <c r="O103" s="48">
        <f>IF(t&lt;Tnet,'2026'!Resal+('2026'!Salim-'2026'!Resal)*(1-EXP(('2026'!Tnet-t)/('2026'!Tau_j))),Resal+(Salim-Resal)*(1-EXP((Tnet-t)/(Tau_j))))*Salcycl</f>
        <v>3.3716179351599901E-2</v>
      </c>
      <c r="P103" s="169">
        <f>(INDEX(Models!$BJ103:$BT103,,T103)*(1-R103)+INDEX(Models!$BJ103:$BT103,,T103+1)*R103-ERP_i)*Q103*Ramure*Pc/MaxiM</f>
        <v>5.2505420236557602E-5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50.392965150174724</v>
      </c>
      <c r="W103" s="400">
        <f t="shared" si="34"/>
        <v>7.8458400406581505</v>
      </c>
      <c r="X103" s="157">
        <f t="shared" si="35"/>
        <v>46476</v>
      </c>
      <c r="Y103" s="383">
        <f t="shared" si="36"/>
        <v>7.5833074125493747</v>
      </c>
      <c r="Z103" s="383">
        <f t="shared" si="37"/>
        <v>8.0313166456320264</v>
      </c>
      <c r="AA103" s="384">
        <f t="shared" si="38"/>
        <v>8.5992946261922469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6.6049368611029849E-2</v>
      </c>
      <c r="AD103" s="230">
        <f>(INDEX(Models!$BJ103:$BT103,,AH103)*(1-AF103)+INDEX(Models!$BJ103:$BT103,,AH103+1)*AF103-ERP_i)*AE103*Ramure*Pc/MaxiM</f>
        <v>1.230787436423077E-3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'2026'!Wh/'2026'!Env_an*'2027'!Env_an</f>
        <v>27.945894546931452</v>
      </c>
      <c r="C104" s="829"/>
      <c r="D104" s="391">
        <f t="shared" si="25"/>
        <v>29.597458906765205</v>
      </c>
      <c r="E104" s="383">
        <f t="shared" si="47"/>
        <v>30.632249196782769</v>
      </c>
      <c r="F104" s="383">
        <f t="shared" si="26"/>
        <v>30.632812160416108</v>
      </c>
      <c r="G104" s="110">
        <f t="shared" si="48"/>
        <v>0.55121163162617892</v>
      </c>
      <c r="H104" s="412" t="b">
        <f>Wh_hp&gt;='2026'!Maxi_hp</f>
        <v>0</v>
      </c>
      <c r="I104" s="388">
        <f>IF(H104,Wh_hp,'2026'!Maxi_hp)</f>
        <v>49.948595361830613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5.5800883617621921E-2</v>
      </c>
      <c r="M104" s="832"/>
      <c r="N104" s="832"/>
      <c r="O104" s="48">
        <f>IF(t&lt;Tnet,'2026'!Resal+('2026'!Salim-'2026'!Resal)*(1-EXP(('2026'!Tnet-t)/('2026'!Tau_j))),Resal+(Salim-Resal)*(1-EXP((Tnet-t)/(Tau_j))))*Salcycl</f>
        <v>3.3781074428130706E-2</v>
      </c>
      <c r="P104" s="169">
        <f>(INDEX(Models!$BJ104:$BT104,,T104)*(1-R104)+INDEX(Models!$BJ104:$BT104,,T104+1)*R104-ERP_i)*Q104*Ramure*Pc/MaxiM</f>
        <v>5.120595677716556E-5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50.697364704304448</v>
      </c>
      <c r="W104" s="400">
        <f t="shared" si="34"/>
        <v>27.945894546931452</v>
      </c>
      <c r="X104" s="157">
        <f t="shared" si="35"/>
        <v>46477</v>
      </c>
      <c r="Y104" s="383">
        <f t="shared" si="36"/>
        <v>27.000387513042885</v>
      </c>
      <c r="Z104" s="383">
        <f t="shared" si="37"/>
        <v>28.596073693113237</v>
      </c>
      <c r="AA104" s="384">
        <f t="shared" si="38"/>
        <v>30.619692506577742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6.6088802591005497E-2</v>
      </c>
      <c r="AD104" s="230">
        <f>(INDEX(Models!$BJ104:$BT104,,AH104)*(1-AF104)+INDEX(Models!$BJ104:$BT104,,AH104+1)*AF104-ERP_i)*AE104*Ramure*Pc/MaxiM</f>
        <v>1.1933353907623027E-3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'2026'!Wh/'2026'!Env_an*'2027'!Env_an</f>
        <v>32.724671645382841</v>
      </c>
      <c r="C105" s="829"/>
      <c r="D105" s="391">
        <f t="shared" si="25"/>
        <v>34.659319470296872</v>
      </c>
      <c r="E105" s="383">
        <f t="shared" si="47"/>
        <v>35.873502654297162</v>
      </c>
      <c r="F105" s="383">
        <f t="shared" si="26"/>
        <v>35.874378100473962</v>
      </c>
      <c r="G105" s="110">
        <f t="shared" si="48"/>
        <v>0.64171993275915418</v>
      </c>
      <c r="H105" s="412" t="b">
        <f>Wh_hp&gt;='2026'!Maxi_hp</f>
        <v>0</v>
      </c>
      <c r="I105" s="388">
        <f>IF(H105,Wh_hp,'2026'!Maxi_hp)</f>
        <v>50.703405728850484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5.5818978978281031E-2</v>
      </c>
      <c r="M105" s="832"/>
      <c r="N105" s="832"/>
      <c r="O105" s="48">
        <f>IF(t&lt;Tnet,'2026'!Resal+('2026'!Salim-'2026'!Resal)*(1-EXP(('2026'!Tnet-t)/('2026'!Tau_j))),Resal+(Salim-Resal)*(1-EXP((Tnet-t)/(Tau_j))))*Salcycl</f>
        <v>3.3846240098187021E-2</v>
      </c>
      <c r="P105" s="169">
        <f>(INDEX(Models!$BJ105:$BT105,,T105)*(1-R105)+INDEX(Models!$BJ105:$BT105,,T105+1)*R105-ERP_i)*Q105*Ramure*Pc/MaxiM</f>
        <v>4.9986408229945831E-5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50.993950396738605</v>
      </c>
      <c r="W105" s="400">
        <f t="shared" si="34"/>
        <v>32.724671645382841</v>
      </c>
      <c r="X105" s="157">
        <f t="shared" si="35"/>
        <v>46478</v>
      </c>
      <c r="Y105" s="383">
        <f t="shared" si="36"/>
        <v>31.614119828556319</v>
      </c>
      <c r="Z105" s="383">
        <f t="shared" si="37"/>
        <v>33.483113009776439</v>
      </c>
      <c r="AA105" s="384">
        <f t="shared" si="38"/>
        <v>35.854102619433171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6.6128823103541678E-2</v>
      </c>
      <c r="AD105" s="230">
        <f>(INDEX(Models!$BJ105:$BT105,,AH105)*(1-AF105)+INDEX(Models!$BJ105:$BT105,,AH105+1)*AF105-ERP_i)*AE105*Ramure*Pc/MaxiM</f>
        <v>1.1576936415136419E-3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'2026'!Wh/'2026'!Env_an*'2027'!Env_an</f>
        <v>20.428916878336789</v>
      </c>
      <c r="C106" s="829"/>
      <c r="D106" s="391">
        <f t="shared" si="25"/>
        <v>21.637067412416979</v>
      </c>
      <c r="E106" s="383">
        <f t="shared" si="47"/>
        <v>22.396573056222934</v>
      </c>
      <c r="F106" s="383">
        <f t="shared" si="26"/>
        <v>22.396726951340916</v>
      </c>
      <c r="G106" s="110">
        <f t="shared" si="48"/>
        <v>0.39834816006078921</v>
      </c>
      <c r="H106" s="412" t="b">
        <f>Wh_hp&gt;='2026'!Maxi_hp</f>
        <v>0</v>
      </c>
      <c r="I106" s="388">
        <f>IF(H106,Wh_hp,'2026'!Maxi_hp)</f>
        <v>45.942881049826532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5.5837073992146546E-2</v>
      </c>
      <c r="M106" s="832"/>
      <c r="N106" s="832"/>
      <c r="O106" s="48">
        <f>IF(t&lt;Tnet,'2026'!Resal+('2026'!Salim-'2026'!Resal)*(1-EXP(('2026'!Tnet-t)/('2026'!Tau_j))),Resal+(Salim-Resal)*(1-EXP((Tnet-t)/(Tau_j))))*Salcycl</f>
        <v>3.3911690056301909E-2</v>
      </c>
      <c r="P106" s="169">
        <f>(INDEX(Models!$BJ106:$BT106,,T106)*(1-R106)+INDEX(Models!$BJ106:$BT106,,T106+1)*R106-ERP_i)*Q106*Ramure*Pc/MaxiM</f>
        <v>4.8898795558116331E-5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51.281919548848037</v>
      </c>
      <c r="W106" s="400">
        <f t="shared" si="34"/>
        <v>20.428916878336789</v>
      </c>
      <c r="X106" s="157">
        <f t="shared" si="35"/>
        <v>46479</v>
      </c>
      <c r="Y106" s="383">
        <f t="shared" si="36"/>
        <v>19.743810950296066</v>
      </c>
      <c r="Z106" s="383">
        <f t="shared" si="37"/>
        <v>20.911444843293751</v>
      </c>
      <c r="AA106" s="384">
        <f t="shared" si="38"/>
        <v>22.393190009113511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6.6169454428633076E-2</v>
      </c>
      <c r="AD106" s="230">
        <f>(INDEX(Models!$BJ106:$BT106,,AH106)*(1-AF106)+INDEX(Models!$BJ106:$BT106,,AH106+1)*AF106-ERP_i)*AE106*Ramure*Pc/MaxiM</f>
        <v>1.1238317182820719E-3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'2026'!Wh/'2026'!Env_an*'2027'!Env_an</f>
        <v>22.727365933029716</v>
      </c>
      <c r="C107" s="829"/>
      <c r="D107" s="391">
        <f t="shared" si="25"/>
        <v>24.071906320510926</v>
      </c>
      <c r="E107" s="383">
        <f t="shared" si="47"/>
        <v>24.918575675983877</v>
      </c>
      <c r="F107" s="383">
        <f t="shared" si="26"/>
        <v>24.918815597933222</v>
      </c>
      <c r="G107" s="110">
        <f t="shared" si="48"/>
        <v>0.44075463225588757</v>
      </c>
      <c r="H107" s="412" t="b">
        <f>Wh_hp&gt;='2026'!Maxi_hp</f>
        <v>0</v>
      </c>
      <c r="I107" s="388">
        <f>IF(H107,Wh_hp,'2026'!Maxi_hp)</f>
        <v>55.561785950469968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5.5855168659225352E-2</v>
      </c>
      <c r="M107" s="832"/>
      <c r="N107" s="832"/>
      <c r="O107" s="48">
        <f>IF(t&lt;Tnet,'2026'!Resal+('2026'!Salim-'2026'!Resal)*(1-EXP(('2026'!Tnet-t)/('2026'!Tau_j))),Resal+(Salim-Resal)*(1-EXP((Tnet-t)/(Tau_j))))*Salcycl</f>
        <v>3.3977437815153999E-2</v>
      </c>
      <c r="P107" s="169">
        <f>(INDEX(Models!$BJ107:$BT107,,T107)*(1-R107)+INDEX(Models!$BJ107:$BT107,,T107+1)*R107-ERP_i)*Q107*Ramure*Pc/MaxiM</f>
        <v>4.7876887993333386E-5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51.562694906104923</v>
      </c>
      <c r="W107" s="400">
        <f t="shared" si="34"/>
        <v>22.727365933029716</v>
      </c>
      <c r="X107" s="157">
        <f t="shared" si="35"/>
        <v>46480</v>
      </c>
      <c r="Y107" s="383">
        <f t="shared" si="36"/>
        <v>21.964410179634385</v>
      </c>
      <c r="Z107" s="383">
        <f t="shared" si="37"/>
        <v>23.263814459951924</v>
      </c>
      <c r="AA107" s="384">
        <f t="shared" si="38"/>
        <v>24.913344977846087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6.6210720373397841E-2</v>
      </c>
      <c r="AD107" s="230">
        <f>(INDEX(Models!$BJ107:$BT107,,AH107)*(1-AF107)+INDEX(Models!$BJ107:$BT107,,AH107+1)*AF107-ERP_i)*AE107*Ramure*Pc/MaxiM</f>
        <v>1.0916727956066965E-3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'2026'!Wh/'2026'!Env_an*'2027'!Env_an</f>
        <v>45.750206021086314</v>
      </c>
      <c r="C108" s="829"/>
      <c r="D108" s="391">
        <f t="shared" si="25"/>
        <v>48.457695590178048</v>
      </c>
      <c r="E108" s="383">
        <f t="shared" si="47"/>
        <v>50.165504785679133</v>
      </c>
      <c r="F108" s="383">
        <f t="shared" si="26"/>
        <v>50.16746340872043</v>
      </c>
      <c r="G108" s="110">
        <f t="shared" si="48"/>
        <v>0.88255145092554543</v>
      </c>
      <c r="H108" s="412" t="b">
        <f>Wh_hp&gt;='2026'!Maxi_hp</f>
        <v>0</v>
      </c>
      <c r="I108" s="388">
        <f>IF(H108,Wh_hp,'2026'!Maxi_hp)</f>
        <v>57.558924699627966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5.5873262979523886E-2</v>
      </c>
      <c r="M108" s="832"/>
      <c r="N108" s="832"/>
      <c r="O108" s="48">
        <f>IF(t&lt;Tnet,'2026'!Resal+('2026'!Salim-'2026'!Resal)*(1-EXP(('2026'!Tnet-t)/('2026'!Tau_j))),Resal+(Salim-Resal)*(1-EXP((Tnet-t)/(Tau_j))))*Salcycl</f>
        <v>3.404349667759371E-2</v>
      </c>
      <c r="P108" s="169">
        <f>(INDEX(Models!$BJ108:$BT108,,T108)*(1-R108)+INDEX(Models!$BJ108:$BT108,,T108+1)*R108-ERP_i)*Q108*Ramure*Pc/MaxiM</f>
        <v>4.6912360905129133E-5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51.838162947528332</v>
      </c>
      <c r="W108" s="400">
        <f t="shared" si="34"/>
        <v>45.750206021086314</v>
      </c>
      <c r="X108" s="157">
        <f t="shared" si="35"/>
        <v>46481</v>
      </c>
      <c r="Y108" s="383">
        <f t="shared" si="36"/>
        <v>44.187355954476701</v>
      </c>
      <c r="Z108" s="383">
        <f t="shared" si="37"/>
        <v>46.802356317040058</v>
      </c>
      <c r="AA108" s="384">
        <f t="shared" si="38"/>
        <v>50.123147366782348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6.6252644221281354E-2</v>
      </c>
      <c r="AD108" s="230">
        <f>(INDEX(Models!$BJ108:$BT108,,AH108)*(1-AF108)+INDEX(Models!$BJ108:$BT108,,AH108+1)*AF108-ERP_i)*AE108*Ramure*Pc/MaxiM</f>
        <v>1.0614447545307789E-3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'2026'!Wh/'2026'!Env_an*'2027'!Env_an</f>
        <v>52.498103936130391</v>
      </c>
      <c r="C109" s="829"/>
      <c r="D109" s="391">
        <f t="shared" si="25"/>
        <v>55.605998655728477</v>
      </c>
      <c r="E109" s="383">
        <f t="shared" si="47"/>
        <v>57.569693992736362</v>
      </c>
      <c r="F109" s="383">
        <f t="shared" si="26"/>
        <v>57.572341328599002</v>
      </c>
      <c r="G109" s="110">
        <f t="shared" si="48"/>
        <v>1.0074820979511778</v>
      </c>
      <c r="H109" s="412" t="b">
        <f>Wh_hp&gt;='2026'!Maxi_hp</f>
        <v>0</v>
      </c>
      <c r="I109" s="388">
        <f>IF(H109,Wh_hp,'2026'!Maxi_hp)</f>
        <v>59.132284614261103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5.5891356953049032E-2</v>
      </c>
      <c r="M109" s="832"/>
      <c r="N109" s="832"/>
      <c r="O109" s="48">
        <f>IF(t&lt;Tnet,'2026'!Resal+('2026'!Salim-'2026'!Resal)*(1-EXP(('2026'!Tnet-t)/('2026'!Tau_j))),Resal+(Salim-Resal)*(1-EXP((Tnet-t)/(Tau_j))))*Salcycl</f>
        <v>3.4109879709550837E-2</v>
      </c>
      <c r="P109" s="169">
        <f>(INDEX(Models!$BJ109:$BT109,,T109)*(1-R109)+INDEX(Models!$BJ109:$BT109,,T109+1)*R109-ERP_i)*Q109*Ramure*Pc/MaxiM</f>
        <v>4.5982772309548461E-5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52.108225091930535</v>
      </c>
      <c r="W109" s="400">
        <f t="shared" si="34"/>
        <v>52.498103936130391</v>
      </c>
      <c r="X109" s="157">
        <f t="shared" si="35"/>
        <v>46482</v>
      </c>
      <c r="Y109" s="383">
        <f t="shared" si="36"/>
        <v>50.698694960395599</v>
      </c>
      <c r="Z109" s="383">
        <f t="shared" si="37"/>
        <v>53.700064429845845</v>
      </c>
      <c r="AA109" s="384">
        <f t="shared" si="38"/>
        <v>57.512896184925225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6.6295248683351238E-2</v>
      </c>
      <c r="AD109" s="230">
        <f>(INDEX(Models!$BJ109:$BT109,,AH109)*(1-AF109)+INDEX(Models!$BJ109:$BT109,,AH109+1)*AF109-ERP_i)*AE109*Ramure*Pc/MaxiM</f>
        <v>1.0325295498143212E-3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'2026'!Wh/'2026'!Env_an*'2027'!Env_an</f>
        <v>11.363522553459452</v>
      </c>
      <c r="C110" s="829"/>
      <c r="D110" s="391">
        <f t="shared" si="25"/>
        <v>12.036475272883822</v>
      </c>
      <c r="E110" s="383">
        <f t="shared" si="47"/>
        <v>12.462397648799771</v>
      </c>
      <c r="F110" s="383">
        <f t="shared" si="26"/>
        <v>12.462397648799771</v>
      </c>
      <c r="G110" s="110">
        <f t="shared" si="48"/>
        <v>0.21696403809365003</v>
      </c>
      <c r="H110" s="412" t="b">
        <f>Wh_hp&gt;='2026'!Maxi_hp</f>
        <v>0</v>
      </c>
      <c r="I110" s="388">
        <f>IF(H110,Wh_hp,'2026'!Maxi_hp)</f>
        <v>59.680123270108488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5.5909450579807229E-2</v>
      </c>
      <c r="M110" s="832"/>
      <c r="N110" s="832"/>
      <c r="O110" s="48">
        <f>IF(t&lt;Tnet,'2026'!Resal+('2026'!Salim-'2026'!Resal)*(1-EXP(('2026'!Tnet-t)/('2026'!Tau_j))),Resal+(Salim-Resal)*(1-EXP((Tnet-t)/(Tau_j))))*Salcycl</f>
        <v>3.4176599713697048E-2</v>
      </c>
      <c r="P110" s="169">
        <f>(INDEX(Models!$BJ110:$BT110,,T110)*(1-R110)+INDEX(Models!$BJ110:$BT110,,T110+1)*R110-ERP_i)*Q110*Ramure*Pc/MaxiM</f>
        <v>4.5087420538408984E-5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52.372781689445574</v>
      </c>
      <c r="W110" s="400">
        <f t="shared" si="34"/>
        <v>11.363522553459452</v>
      </c>
      <c r="X110" s="157">
        <f t="shared" si="35"/>
        <v>46483</v>
      </c>
      <c r="Y110" s="383">
        <f t="shared" si="36"/>
        <v>10.985116818181138</v>
      </c>
      <c r="Z110" s="383">
        <f t="shared" si="37"/>
        <v>11.635660186332316</v>
      </c>
      <c r="AA110" s="384">
        <f t="shared" si="38"/>
        <v>12.462397648799771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6.6338555851415529E-2</v>
      </c>
      <c r="AD110" s="230">
        <f>(INDEX(Models!$BJ110:$BT110,,AH110)*(1-AF110)+INDEX(Models!$BJ110:$BT110,,AH110+1)*AF110-ERP_i)*AE110*Ramure*Pc/MaxiM</f>
        <v>1.004898348691998E-3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'2026'!Wh/'2026'!Env_an*'2027'!Env_an</f>
        <v>38.14643802530842</v>
      </c>
      <c r="C111" s="829"/>
      <c r="D111" s="391">
        <f t="shared" si="25"/>
        <v>40.406260957203131</v>
      </c>
      <c r="E111" s="383">
        <f t="shared" si="47"/>
        <v>41.838981188854866</v>
      </c>
      <c r="F111" s="383">
        <f t="shared" si="26"/>
        <v>41.840104068185596</v>
      </c>
      <c r="G111" s="110">
        <f t="shared" si="48"/>
        <v>0.72476759615137731</v>
      </c>
      <c r="H111" s="412" t="b">
        <f>Wh_hp&gt;='2026'!Maxi_hp</f>
        <v>0</v>
      </c>
      <c r="I111" s="388">
        <f>IF(H111,Wh_hp,'2026'!Maxi_hp)</f>
        <v>57.850737846912956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5.592754385980514E-2</v>
      </c>
      <c r="M111" s="832"/>
      <c r="N111" s="832"/>
      <c r="O111" s="48">
        <f>IF(t&lt;Tnet,'2026'!Resal+('2026'!Salim-'2026'!Resal)*(1-EXP(('2026'!Tnet-t)/('2026'!Tau_j))),Resal+(Salim-Resal)*(1-EXP((Tnet-t)/(Tau_j))))*Salcycl</f>
        <v>3.4243669203718255E-2</v>
      </c>
      <c r="P111" s="169">
        <f>(INDEX(Models!$BJ111:$BT111,,T111)*(1-R111)+INDEX(Models!$BJ111:$BT111,,T111+1)*R111-ERP_i)*Q111*Ramure*Pc/MaxiM</f>
        <v>4.4225638068058612E-5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52.631733138273468</v>
      </c>
      <c r="W111" s="400">
        <f t="shared" si="34"/>
        <v>38.14643802530842</v>
      </c>
      <c r="X111" s="157">
        <f t="shared" si="35"/>
        <v>46484</v>
      </c>
      <c r="Y111" s="383">
        <f t="shared" si="36"/>
        <v>36.856073649050828</v>
      </c>
      <c r="Z111" s="383">
        <f t="shared" si="37"/>
        <v>39.039454450069982</v>
      </c>
      <c r="AA111" s="384">
        <f t="shared" si="38"/>
        <v>41.81525956227393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6.6382587152664804E-2</v>
      </c>
      <c r="AD111" s="230">
        <f>(INDEX(Models!$BJ111:$BT111,,AH111)*(1-AF111)+INDEX(Models!$BJ111:$BT111,,AH111+1)*AF111-ERP_i)*AE111*Ramure*Pc/MaxiM</f>
        <v>9.7852377931841711E-4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'2026'!Wh/'2026'!Env_an*'2027'!Env_an</f>
        <v>30.991254616219877</v>
      </c>
      <c r="C112" s="829"/>
      <c r="D112" s="391">
        <f t="shared" si="25"/>
        <v>32.827828379440625</v>
      </c>
      <c r="E112" s="383">
        <f t="shared" si="47"/>
        <v>33.994207029122627</v>
      </c>
      <c r="F112" s="383">
        <f t="shared" si="26"/>
        <v>33.994809806706776</v>
      </c>
      <c r="G112" s="110">
        <f t="shared" si="48"/>
        <v>0.58599737141682828</v>
      </c>
      <c r="H112" s="412" t="b">
        <f>Wh_hp&gt;='2026'!Maxi_hp</f>
        <v>0</v>
      </c>
      <c r="I112" s="388">
        <f>IF(H112,Wh_hp,'2026'!Maxi_hp)</f>
        <v>57.096062387011123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5.5945636793049536E-2</v>
      </c>
      <c r="M112" s="832"/>
      <c r="N112" s="832"/>
      <c r="O112" s="48">
        <f>IF(t&lt;Tnet,'2026'!Resal+('2026'!Salim-'2026'!Resal)*(1-EXP(('2026'!Tnet-t)/('2026'!Tau_j))),Resal+(Salim-Resal)*(1-EXP((Tnet-t)/(Tau_j))))*Salcycl</f>
        <v>3.4311100379037236E-2</v>
      </c>
      <c r="P112" s="169">
        <f>(INDEX(Models!$BJ112:$BT112,,T112)*(1-R112)+INDEX(Models!$BJ112:$BT112,,T112+1)*R112-ERP_i)*Q112*Ramure*Pc/MaxiM</f>
        <v>4.3396793095841492E-5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52.884979887009479</v>
      </c>
      <c r="W112" s="400">
        <f t="shared" si="34"/>
        <v>30.991254616219877</v>
      </c>
      <c r="X112" s="157">
        <f t="shared" si="35"/>
        <v>46485</v>
      </c>
      <c r="Y112" s="383">
        <f t="shared" si="36"/>
        <v>29.949427505468119</v>
      </c>
      <c r="Z112" s="383">
        <f t="shared" si="37"/>
        <v>31.724261517874865</v>
      </c>
      <c r="AA112" s="384">
        <f t="shared" si="38"/>
        <v>33.981567444180207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6.6427363305512702E-2</v>
      </c>
      <c r="AD112" s="230">
        <f>(INDEX(Models!$BJ112:$BT112,,AH112)*(1-AF112)+INDEX(Models!$BJ112:$BT112,,AH112+1)*AF112-ERP_i)*AE112*Ramure*Pc/MaxiM</f>
        <v>9.5337995602573814E-4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'2026'!Wh/'2026'!Env_an*'2027'!Env_an</f>
        <v>36.358742816811628</v>
      </c>
      <c r="C113" s="829"/>
      <c r="D113" s="391">
        <f t="shared" si="25"/>
        <v>38.514137590195993</v>
      </c>
      <c r="E113" s="383">
        <f t="shared" si="47"/>
        <v>39.885352332922238</v>
      </c>
      <c r="F113" s="383">
        <f t="shared" si="26"/>
        <v>39.886285186137108</v>
      </c>
      <c r="G113" s="110">
        <f t="shared" si="48"/>
        <v>0.68429110876214716</v>
      </c>
      <c r="H113" s="412" t="b">
        <f>Wh_hp&gt;='2026'!Maxi_hp</f>
        <v>0</v>
      </c>
      <c r="I113" s="388">
        <f>IF(H113,Wh_hp,'2026'!Maxi_hp)</f>
        <v>45.048186570983958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5.5963729379546967E-2</v>
      </c>
      <c r="M113" s="832"/>
      <c r="N113" s="832"/>
      <c r="O113" s="48">
        <f>IF(t&lt;Tnet,'2026'!Resal+('2026'!Salim-'2026'!Resal)*(1-EXP(('2026'!Tnet-t)/('2026'!Tau_j))),Resal+(Salim-Resal)*(1-EXP((Tnet-t)/(Tau_j))))*Salcycl</f>
        <v>3.4378905099815699E-2</v>
      </c>
      <c r="P113" s="169">
        <f>(INDEX(Models!$BJ113:$BT113,,T113)*(1-R113)+INDEX(Models!$BJ113:$BT113,,T113+1)*R113-ERP_i)*Q113*Ramure*Pc/MaxiM</f>
        <v>4.260029122728814E-5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53.132422434808625</v>
      </c>
      <c r="W113" s="400">
        <f t="shared" si="34"/>
        <v>36.358742816811628</v>
      </c>
      <c r="X113" s="157">
        <f t="shared" si="35"/>
        <v>46486</v>
      </c>
      <c r="Y113" s="383">
        <f t="shared" si="36"/>
        <v>35.133185987931434</v>
      </c>
      <c r="Z113" s="383">
        <f t="shared" si="37"/>
        <v>37.215928117720196</v>
      </c>
      <c r="AA113" s="384">
        <f t="shared" si="38"/>
        <v>39.865932427884061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6.6472904276292058E-2</v>
      </c>
      <c r="AD113" s="230">
        <f>(INDEX(Models!$BJ113:$BT113,,AH113)*(1-AF113)+INDEX(Models!$BJ113:$BT113,,AH113+1)*AF113-ERP_i)*AE113*Ramure*Pc/MaxiM</f>
        <v>9.2944250503679748E-4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'2026'!Wh/'2026'!Env_an*'2027'!Env_an</f>
        <v>53.165814863549393</v>
      </c>
      <c r="C114" s="829"/>
      <c r="D114" s="391">
        <f t="shared" si="25"/>
        <v>56.31863462072986</v>
      </c>
      <c r="E114" s="383">
        <f t="shared" si="47"/>
        <v>58.327859945368779</v>
      </c>
      <c r="F114" s="383">
        <f t="shared" si="26"/>
        <v>58.330287086673387</v>
      </c>
      <c r="G114" s="110">
        <f t="shared" si="48"/>
        <v>0.99609999989994435</v>
      </c>
      <c r="H114" s="412" t="b">
        <f>Wh_hp&gt;='2026'!Maxi_hp</f>
        <v>0</v>
      </c>
      <c r="I114" s="388">
        <f>IF(H114,Wh_hp,'2026'!Maxi_hp)</f>
        <v>58.330300369076909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5.5981821619304206E-2</v>
      </c>
      <c r="M114" s="832"/>
      <c r="N114" s="832"/>
      <c r="O114" s="48">
        <f>IF(t&lt;Tnet,'2026'!Resal+('2026'!Salim-'2026'!Resal)*(1-EXP(('2026'!Tnet-t)/('2026'!Tau_j))),Resal+(Salim-Resal)*(1-EXP((Tnet-t)/(Tau_j))))*Salcycl</f>
        <v>3.444709486205743E-2</v>
      </c>
      <c r="P114" s="169">
        <f>(INDEX(Models!$BJ114:$BT114,,T114)*(1-R114)+INDEX(Models!$BJ114:$BT114,,T114+1)*R114-ERP_i)*Q114*Ramure*Pc/MaxiM</f>
        <v>4.184342336738712E-5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53.373960922287438</v>
      </c>
      <c r="W114" s="400">
        <f t="shared" si="34"/>
        <v>53.165814863549393</v>
      </c>
      <c r="X114" s="157">
        <f t="shared" si="35"/>
        <v>46487</v>
      </c>
      <c r="Y114" s="383">
        <f t="shared" si="36"/>
        <v>51.355625544404319</v>
      </c>
      <c r="Z114" s="383">
        <f t="shared" si="37"/>
        <v>54.401098114970885</v>
      </c>
      <c r="AA114" s="384">
        <f t="shared" si="38"/>
        <v>58.277684788807257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6.6519229236452107E-2</v>
      </c>
      <c r="AD114" s="230">
        <f>(INDEX(Models!$BJ114:$BT114,,AH114)*(1-AF114)+INDEX(Models!$BJ114:$BT114,,AH114+1)*AF114-ERP_i)*AE114*Ramure*Pc/MaxiM</f>
        <v>9.0685293663418653E-4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'2026'!Wh/'2026'!Env_an*'2027'!Env_an</f>
        <v>44.064195433783304</v>
      </c>
      <c r="C115" s="829"/>
      <c r="D115" s="391">
        <f t="shared" si="25"/>
        <v>46.678168852433402</v>
      </c>
      <c r="E115" s="383">
        <f t="shared" si="47"/>
        <v>48.346894841117347</v>
      </c>
      <c r="F115" s="383">
        <f t="shared" si="26"/>
        <v>48.348376574831249</v>
      </c>
      <c r="G115" s="110">
        <f t="shared" si="48"/>
        <v>0.821938966179246</v>
      </c>
      <c r="H115" s="412" t="b">
        <f>Wh_hp&gt;='2026'!Maxi_hp</f>
        <v>0</v>
      </c>
      <c r="I115" s="388">
        <f>IF(H115,Wh_hp,'2026'!Maxi_hp)</f>
        <v>59.403908056990687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5.5999913512327693E-2</v>
      </c>
      <c r="M115" s="832"/>
      <c r="N115" s="832"/>
      <c r="O115" s="48">
        <f>IF(t&lt;Tnet,'2026'!Resal+('2026'!Salim-'2026'!Resal)*(1-EXP(('2026'!Tnet-t)/('2026'!Tau_j))),Resal+(Salim-Resal)*(1-EXP((Tnet-t)/(Tau_j))))*Salcycl</f>
        <v>3.4515680772630584E-2</v>
      </c>
      <c r="P115" s="169">
        <f>(INDEX(Models!$BJ115:$BT115,,T115)*(1-R115)+INDEX(Models!$BJ115:$BT115,,T115+1)*R115-ERP_i)*Q115*Ramure*Pc/MaxiM</f>
        <v>4.1101666880868512E-5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53.609497246414172</v>
      </c>
      <c r="W115" s="400">
        <f t="shared" si="34"/>
        <v>44.064195433783304</v>
      </c>
      <c r="X115" s="157">
        <f t="shared" si="35"/>
        <v>46488</v>
      </c>
      <c r="Y115" s="383">
        <f t="shared" si="36"/>
        <v>42.57461082524906</v>
      </c>
      <c r="Z115" s="383">
        <f t="shared" si="37"/>
        <v>45.100219199826356</v>
      </c>
      <c r="AA115" s="384">
        <f t="shared" si="38"/>
        <v>48.316470608108993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6.6566356519899783E-2</v>
      </c>
      <c r="AD115" s="230">
        <f>(INDEX(Models!$BJ115:$BT115,,AH115)*(1-AF115)+INDEX(Models!$BJ115:$BT115,,AH115+1)*AF115-ERP_i)*AE115*Ramure*Pc/MaxiM</f>
        <v>8.8503649706462835E-4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'2026'!Wh/'2026'!Env_an*'2027'!Env_an</f>
        <v>37.634286208990737</v>
      </c>
      <c r="C116" s="829"/>
      <c r="D116" s="391">
        <f t="shared" si="25"/>
        <v>39.867589011936552</v>
      </c>
      <c r="E116" s="383">
        <f t="shared" si="47"/>
        <v>41.295790442300174</v>
      </c>
      <c r="F116" s="383">
        <f t="shared" si="26"/>
        <v>41.29674085413626</v>
      </c>
      <c r="G116" s="110">
        <f t="shared" si="48"/>
        <v>0.6990040735200399</v>
      </c>
      <c r="H116" s="412" t="b">
        <f>Wh_hp&gt;='2026'!Maxi_hp</f>
        <v>0</v>
      </c>
      <c r="I116" s="388">
        <f>IF(H116,Wh_hp,'2026'!Maxi_hp)</f>
        <v>58.857771528976158</v>
      </c>
      <c r="J116" s="85">
        <f>IF(H116,An,'2026'!An_max)</f>
        <v>2018</v>
      </c>
      <c r="K116" s="197">
        <f t="shared" si="27"/>
        <v>46489</v>
      </c>
      <c r="L116" s="147">
        <f>IF(t&lt;Tvie,1-EXP((T0-t)*PertePVj)+'2026'!Pspv,1-EXP((T0-t)*PertePVj)+Pspv)</f>
        <v>5.6018005058624198E-2</v>
      </c>
      <c r="M116" s="832"/>
      <c r="N116" s="832"/>
      <c r="O116" s="48">
        <f>IF(t&lt;Tnet,'2026'!Resal+('2026'!Salim-'2026'!Resal)*(1-EXP(('2026'!Tnet-t)/('2026'!Tau_j))),Resal+(Salim-Resal)*(1-EXP((Tnet-t)/(Tau_j))))*Salcycl</f>
        <v>3.4584673524027831E-2</v>
      </c>
      <c r="P116" s="169">
        <f>(INDEX(Models!$BJ116:$BT116,,T116)*(1-R116)+INDEX(Models!$BJ116:$BT116,,T116+1)*R116-ERP_i)*Q116*Ramure*Pc/MaxiM</f>
        <v>4.0374165601316978E-5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53.838932117911853</v>
      </c>
      <c r="W116" s="400">
        <f t="shared" si="34"/>
        <v>37.634286208990737</v>
      </c>
      <c r="X116" s="157">
        <f t="shared" si="35"/>
        <v>46489</v>
      </c>
      <c r="Y116" s="383">
        <f t="shared" si="36"/>
        <v>36.368609319412023</v>
      </c>
      <c r="Z116" s="383">
        <f t="shared" si="37"/>
        <v>38.526804022009578</v>
      </c>
      <c r="AA116" s="384">
        <f t="shared" si="38"/>
        <v>41.27640285230914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6.6614303580132317E-2</v>
      </c>
      <c r="AD116" s="230">
        <f>(INDEX(Models!$BJ116:$BT116,,AH116)*(1-AF116)+INDEX(Models!$BJ116:$BT116,,AH116+1)*AF116-ERP_i)*AE116*Ramure*Pc/MaxiM</f>
        <v>8.6397267225937779E-4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'2026'!Wh/'2026'!Env_an*'2027'!Env_an</f>
        <v>8.0424556560241953</v>
      </c>
      <c r="C117" s="829"/>
      <c r="D117" s="391">
        <f t="shared" si="25"/>
        <v>8.5198762623703352</v>
      </c>
      <c r="E117" s="383">
        <f t="shared" si="47"/>
        <v>8.8257236246478747</v>
      </c>
      <c r="F117" s="383">
        <f t="shared" si="26"/>
        <v>8.8257236246478747</v>
      </c>
      <c r="G117" s="110">
        <f t="shared" si="48"/>
        <v>0.14875720380079743</v>
      </c>
      <c r="H117" s="412" t="b">
        <f>Wh_hp&gt;='2026'!Maxi_hp</f>
        <v>0</v>
      </c>
      <c r="I117" s="388">
        <f>IF(H117,Wh_hp,'2026'!Maxi_hp)</f>
        <v>58.816606841862637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5.6036096258200385E-2</v>
      </c>
      <c r="M117" s="832"/>
      <c r="N117" s="832"/>
      <c r="O117" s="48">
        <f>IF(t&lt;Tnet,'2026'!Resal+('2026'!Salim-'2026'!Resal)*(1-EXP(('2026'!Tnet-t)/('2026'!Tau_j))),Resal+(Salim-Resal)*(1-EXP((Tnet-t)/(Tau_j))))*Salcycl</f>
        <v>3.4654083368687263E-2</v>
      </c>
      <c r="P117" s="169">
        <f>(INDEX(Models!$BJ117:$BT117,,T117)*(1-R117)+INDEX(Models!$BJ117:$BT117,,T117+1)*R117-ERP_i)*Q117*Ramure*Pc/MaxiM</f>
        <v>3.9660048291776993E-5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54.06216631104342</v>
      </c>
      <c r="W117" s="400">
        <f t="shared" si="34"/>
        <v>8.0424556560241953</v>
      </c>
      <c r="X117" s="157">
        <f t="shared" si="35"/>
        <v>46490</v>
      </c>
      <c r="Y117" s="383">
        <f t="shared" si="36"/>
        <v>7.7757833808992372</v>
      </c>
      <c r="Z117" s="383">
        <f t="shared" si="37"/>
        <v>8.2373736432893629</v>
      </c>
      <c r="AA117" s="384">
        <f t="shared" si="38"/>
        <v>8.8257236246478747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6.6663086946820729E-2</v>
      </c>
      <c r="AD117" s="230">
        <f>(INDEX(Models!$BJ117:$BT117,,AH117)*(1-AF117)+INDEX(Models!$BJ117:$BT117,,AH117+1)*AF117-ERP_i)*AE117*Ramure*Pc/MaxiM</f>
        <v>8.4364172637305579E-4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'2026'!Wh/'2026'!Env_an*'2027'!Env_an</f>
        <v>40.706477787523056</v>
      </c>
      <c r="C118" s="829"/>
      <c r="D118" s="391">
        <f t="shared" si="25"/>
        <v>43.123744214661293</v>
      </c>
      <c r="E118" s="383">
        <f t="shared" si="47"/>
        <v>44.675036616263121</v>
      </c>
      <c r="F118" s="383">
        <f t="shared" si="26"/>
        <v>44.676155386888937</v>
      </c>
      <c r="G118" s="110">
        <f t="shared" si="48"/>
        <v>0.74993709861608415</v>
      </c>
      <c r="H118" s="412" t="b">
        <f>Wh_hp&gt;='2026'!Maxi_hp</f>
        <v>0</v>
      </c>
      <c r="I118" s="388">
        <f>IF(H118,Wh_hp,'2026'!Maxi_hp)</f>
        <v>59.036177217934771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5.6054187111062803E-2</v>
      </c>
      <c r="M118" s="832"/>
      <c r="N118" s="832"/>
      <c r="O118" s="48">
        <f>IF(t&lt;Tnet,'2026'!Resal+('2026'!Salim-'2026'!Resal)*(1-EXP(('2026'!Tnet-t)/('2026'!Tau_j))),Resal+(Salim-Resal)*(1-EXP((Tnet-t)/(Tau_j))))*Salcycl</f>
        <v>3.47239200927058E-2</v>
      </c>
      <c r="P118" s="169">
        <f>(INDEX(Models!$BJ118:$BT118,,T118)*(1-R118)+INDEX(Models!$BJ118:$BT118,,T118+1)*R118-ERP_i)*Q118*Ramure*Pc/MaxiM</f>
        <v>3.8958428032265985E-5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54.279100675091875</v>
      </c>
      <c r="W118" s="400">
        <f t="shared" si="34"/>
        <v>40.706477787523056</v>
      </c>
      <c r="X118" s="157">
        <f t="shared" si="35"/>
        <v>46491</v>
      </c>
      <c r="Y118" s="383">
        <f t="shared" si="36"/>
        <v>39.337622640463643</v>
      </c>
      <c r="Z118" s="383">
        <f t="shared" si="37"/>
        <v>41.673602555713686</v>
      </c>
      <c r="AA118" s="384">
        <f t="shared" si="38"/>
        <v>44.652491838444597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6.6712722181523729E-2</v>
      </c>
      <c r="AD118" s="230">
        <f>(INDEX(Models!$BJ118:$BT118,,AH118)*(1-AF118)+INDEX(Models!$BJ118:$BT118,,AH118+1)*AF118-ERP_i)*AE118*Ramure*Pc/MaxiM</f>
        <v>8.2402471765118742E-4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'2026'!Wh/'2026'!Env_an*'2027'!Env_an</f>
        <v>44.419247634272381</v>
      </c>
      <c r="C119" s="829"/>
      <c r="D119" s="391">
        <f t="shared" si="25"/>
        <v>47.057890748397227</v>
      </c>
      <c r="E119" s="383">
        <f t="shared" si="47"/>
        <v>48.754255731338191</v>
      </c>
      <c r="F119" s="383">
        <f t="shared" si="26"/>
        <v>48.755628925704691</v>
      </c>
      <c r="G119" s="110">
        <f t="shared" si="48"/>
        <v>0.8151788483768444</v>
      </c>
      <c r="H119" s="412" t="b">
        <f>Wh_hp&gt;='2026'!Maxi_hp</f>
        <v>0</v>
      </c>
      <c r="I119" s="388">
        <f>IF(H119,Wh_hp,'2026'!Maxi_hp)</f>
        <v>59.816550107721071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5.6072277617218114E-2</v>
      </c>
      <c r="M119" s="832"/>
      <c r="N119" s="832"/>
      <c r="O119" s="48">
        <f>IF(t&lt;Tnet,'2026'!Resal+('2026'!Salim-'2026'!Resal)*(1-EXP(('2026'!Tnet-t)/('2026'!Tau_j))),Resal+(Salim-Resal)*(1-EXP((Tnet-t)/(Tau_j))))*Salcycl</f>
        <v>3.4794192988789163E-2</v>
      </c>
      <c r="P119" s="169">
        <f>(INDEX(Models!$BJ119:$BT119,,T119)*(1-R119)+INDEX(Models!$BJ119:$BT119,,T119+1)*R119-ERP_i)*Q119*Ramure*Pc/MaxiM</f>
        <v>3.8268401588948151E-5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54.489636129988277</v>
      </c>
      <c r="W119" s="400">
        <f t="shared" si="34"/>
        <v>44.419247634272381</v>
      </c>
      <c r="X119" s="157">
        <f t="shared" si="35"/>
        <v>46492</v>
      </c>
      <c r="Y119" s="383">
        <f t="shared" si="36"/>
        <v>42.923777521905102</v>
      </c>
      <c r="Z119" s="383">
        <f t="shared" si="37"/>
        <v>45.473585004529234</v>
      </c>
      <c r="AA119" s="384">
        <f t="shared" si="38"/>
        <v>48.726739200379271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6.6763223832238608E-2</v>
      </c>
      <c r="AD119" s="230">
        <f>(INDEX(Models!$BJ119:$BT119,,AH119)*(1-AF119)+INDEX(Models!$BJ119:$BT119,,AH119+1)*AF119-ERP_i)*AE119*Ramure*Pc/MaxiM</f>
        <v>8.0510351449190887E-4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'2026'!Wh/'2026'!Env_an*'2027'!Env_an</f>
        <v>46.08788738300494</v>
      </c>
      <c r="C120" s="829"/>
      <c r="D120" s="391">
        <f t="shared" si="25"/>
        <v>48.826588700496117</v>
      </c>
      <c r="E120" s="383">
        <f t="shared" si="47"/>
        <v>50.590419153032876</v>
      </c>
      <c r="F120" s="383">
        <f t="shared" si="26"/>
        <v>50.59189339200546</v>
      </c>
      <c r="G120" s="110">
        <f t="shared" si="48"/>
        <v>0.8426476933776853</v>
      </c>
      <c r="H120" s="412" t="b">
        <f>Wh_hp&gt;='2026'!Maxi_hp</f>
        <v>0</v>
      </c>
      <c r="I120" s="388">
        <f>IF(H120,Wh_hp,'2026'!Maxi_hp)</f>
        <v>51.884062779817704</v>
      </c>
      <c r="J120" s="85">
        <f>IF(H120,An,'2026'!An_max)</f>
        <v>2021</v>
      </c>
      <c r="K120" s="197">
        <f t="shared" si="27"/>
        <v>46493</v>
      </c>
      <c r="L120" s="147">
        <f>IF(t&lt;Tvie,1-EXP((T0-t)*PertePVj)+'2026'!Pspv,1-EXP((T0-t)*PertePVj)+Pspv)</f>
        <v>5.6090367776673089E-2</v>
      </c>
      <c r="M120" s="832"/>
      <c r="N120" s="832"/>
      <c r="O120" s="48">
        <f>IF(t&lt;Tnet,'2026'!Resal+('2026'!Salim-'2026'!Resal)*(1-EXP(('2026'!Tnet-t)/('2026'!Tau_j))),Resal+(Salim-Resal)*(1-EXP((Tnet-t)/(Tau_j))))*Salcycl</f>
        <v>3.4864910828298977E-2</v>
      </c>
      <c r="P120" s="169">
        <f>(INDEX(Models!$BJ120:$BT120,,T120)*(1-R120)+INDEX(Models!$BJ120:$BT120,,T120+1)*R120-ERP_i)*Q120*Ramure*Pc/MaxiM</f>
        <v>3.75890487417819E-5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54.693673675287819</v>
      </c>
      <c r="W120" s="400">
        <f t="shared" si="34"/>
        <v>46.08788738300494</v>
      </c>
      <c r="X120" s="157">
        <f t="shared" si="35"/>
        <v>46493</v>
      </c>
      <c r="Y120" s="383">
        <f t="shared" si="36"/>
        <v>44.536315754367159</v>
      </c>
      <c r="Z120" s="383">
        <f t="shared" si="37"/>
        <v>47.182817331214572</v>
      </c>
      <c r="AA120" s="384">
        <f t="shared" si="38"/>
        <v>50.561032784656831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6.6814605386530224E-2</v>
      </c>
      <c r="AD120" s="230">
        <f>(INDEX(Models!$BJ120:$BT120,,AH120)*(1-AF120)+INDEX(Models!$BJ120:$BT120,,AH120+1)*AF120-ERP_i)*AE120*Ramure*Pc/MaxiM</f>
        <v>7.8686081117194766E-4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'2026'!Wh/'2026'!Env_an*'2027'!Env_an</f>
        <v>54.094194116782198</v>
      </c>
      <c r="C121" s="829"/>
      <c r="D121" s="391">
        <f t="shared" si="25"/>
        <v>57.309756138542426</v>
      </c>
      <c r="E121" s="383">
        <f t="shared" si="47"/>
        <v>59.384414917667996</v>
      </c>
      <c r="F121" s="383">
        <f t="shared" si="26"/>
        <v>59.386561938487965</v>
      </c>
      <c r="G121" s="110">
        <f t="shared" si="48"/>
        <v>0.98547655563177339</v>
      </c>
      <c r="H121" s="412" t="b">
        <f>Wh_hp&gt;='2026'!Maxi_hp</f>
        <v>0</v>
      </c>
      <c r="I121" s="388">
        <f>IF(H121,Wh_hp,'2026'!Maxi_hp)</f>
        <v>59.386605451986874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5.610845758943428E-2</v>
      </c>
      <c r="M121" s="832"/>
      <c r="N121" s="832"/>
      <c r="O121" s="48">
        <f>IF(t&lt;Tnet,'2026'!Resal+('2026'!Salim-'2026'!Resal)*(1-EXP(('2026'!Tnet-t)/('2026'!Tau_j))),Resal+(Salim-Resal)*(1-EXP((Tnet-t)/(Tau_j))))*Salcycl</f>
        <v>3.493608183227747E-2</v>
      </c>
      <c r="P121" s="169">
        <f>(INDEX(Models!$BJ121:$BT121,,T121)*(1-R121)+INDEX(Models!$BJ121:$BT121,,T121+1)*R121-ERP_i)*Q121*Ramure*Pc/MaxiM</f>
        <v>3.691926347010917E-5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54.89136435823449</v>
      </c>
      <c r="W121" s="400">
        <f t="shared" si="34"/>
        <v>54.094194116782198</v>
      </c>
      <c r="X121" s="157">
        <f t="shared" si="35"/>
        <v>46494</v>
      </c>
      <c r="Y121" s="383">
        <f t="shared" si="36"/>
        <v>52.266882635951887</v>
      </c>
      <c r="Z121" s="383">
        <f t="shared" si="37"/>
        <v>55.373822401745066</v>
      </c>
      <c r="AA121" s="384">
        <f t="shared" si="38"/>
        <v>59.341825050253973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6.6866879223019884E-2</v>
      </c>
      <c r="AD121" s="230">
        <f>(INDEX(Models!$BJ121:$BT121,,AH121)*(1-AF121)+INDEX(Models!$BJ121:$BT121,,AH121+1)*AF121-ERP_i)*AE121*Ramure*Pc/MaxiM</f>
        <v>7.6927664053559391E-4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'2026'!Wh/'2026'!Env_an*'2027'!Env_an</f>
        <v>40.016625154089837</v>
      </c>
      <c r="C122" s="829"/>
      <c r="D122" s="391">
        <f t="shared" si="25"/>
        <v>42.396176128542066</v>
      </c>
      <c r="E122" s="383">
        <f t="shared" si="47"/>
        <v>43.93421245730584</v>
      </c>
      <c r="F122" s="383">
        <f t="shared" si="26"/>
        <v>43.935183481040717</v>
      </c>
      <c r="G122" s="110">
        <f t="shared" si="48"/>
        <v>0.72646937340609741</v>
      </c>
      <c r="H122" s="412" t="b">
        <f>Wh_hp&gt;='2026'!Maxi_hp</f>
        <v>0</v>
      </c>
      <c r="I122" s="388">
        <f>IF(H122,Wh_hp,'2026'!Maxi_hp)</f>
        <v>43.935777254192558</v>
      </c>
      <c r="J122" s="85">
        <f>IF(H122,An,'2026'!An_max)</f>
        <v>2026</v>
      </c>
      <c r="K122" s="197">
        <f t="shared" si="27"/>
        <v>46495</v>
      </c>
      <c r="L122" s="147">
        <f>IF(t&lt;Tvie,1-EXP((T0-t)*PertePVj)+'2026'!Pspv,1-EXP((T0-t)*PertePVj)+Pspv)</f>
        <v>5.6126547055508236E-2</v>
      </c>
      <c r="M122" s="832"/>
      <c r="N122" s="832"/>
      <c r="O122" s="48">
        <f>IF(t&lt;Tnet,'2026'!Resal+('2026'!Salim-'2026'!Resal)*(1-EXP(('2026'!Tnet-t)/('2026'!Tau_j))),Resal+(Salim-Resal)*(1-EXP((Tnet-t)/(Tau_j))))*Salcycl</f>
        <v>3.5007713641354112E-2</v>
      </c>
      <c r="P122" s="169">
        <f>(INDEX(Models!$BJ122:$BT122,,T122)*(1-R122)+INDEX(Models!$BJ122:$BT122,,T122+1)*R122-ERP_i)*Q122*Ramure*Pc/MaxiM</f>
        <v>3.6275808994595226E-5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55.082924882393897</v>
      </c>
      <c r="W122" s="400">
        <f t="shared" si="34"/>
        <v>40.016625154089837</v>
      </c>
      <c r="X122" s="157">
        <f t="shared" si="35"/>
        <v>46495</v>
      </c>
      <c r="Y122" s="383">
        <f t="shared" si="36"/>
        <v>38.676388012990579</v>
      </c>
      <c r="Z122" s="383">
        <f t="shared" si="37"/>
        <v>40.976243046497778</v>
      </c>
      <c r="AA122" s="384">
        <f t="shared" si="38"/>
        <v>43.915040007694024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6.692005656106341E-2</v>
      </c>
      <c r="AD122" s="230">
        <f>(INDEX(Models!$BJ122:$BT122,,AH122)*(1-AF122)+INDEX(Models!$BJ122:$BT122,,AH122+1)*AF122-ERP_i)*AE122*Ramure*Pc/MaxiM</f>
        <v>7.5252619000637565E-4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'2026'!Wh/'2026'!Env_an*'2027'!Env_an</f>
        <v>9.3541013127354891</v>
      </c>
      <c r="C123" s="829"/>
      <c r="D123" s="391">
        <f t="shared" si="25"/>
        <v>9.9105240815994957</v>
      </c>
      <c r="E123" s="383">
        <f t="shared" si="47"/>
        <v>10.270822621437373</v>
      </c>
      <c r="F123" s="383">
        <f t="shared" si="26"/>
        <v>10.270822621437373</v>
      </c>
      <c r="G123" s="110">
        <f t="shared" si="48"/>
        <v>0.16924273479939581</v>
      </c>
      <c r="H123" s="412" t="b">
        <f>Wh_hp&gt;='2026'!Maxi_hp</f>
        <v>0</v>
      </c>
      <c r="I123" s="388">
        <f>IF(H123,Wh_hp,'2026'!Maxi_hp)</f>
        <v>59.533076172726751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5.6144636174901841E-2</v>
      </c>
      <c r="M123" s="832"/>
      <c r="N123" s="832"/>
      <c r="O123" s="48">
        <f>IF(t&lt;Tnet,'2026'!Resal+('2026'!Salim-'2026'!Resal)*(1-EXP(('2026'!Tnet-t)/('2026'!Tau_j))),Resal+(Salim-Resal)*(1-EXP((Tnet-t)/(Tau_j))))*Salcycl</f>
        <v>3.5079813284464578E-2</v>
      </c>
      <c r="P123" s="169">
        <f>(INDEX(Models!$BJ123:$BT123,,T123)*(1-R123)+INDEX(Models!$BJ123:$BT123,,T123+1)*R123-ERP_i)*Q123*Ramure*Pc/MaxiM</f>
        <v>3.5663254363552337E-5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55.268355986613507</v>
      </c>
      <c r="W123" s="400">
        <f t="shared" si="34"/>
        <v>9.3541013127354891</v>
      </c>
      <c r="X123" s="157">
        <f t="shared" si="35"/>
        <v>46496</v>
      </c>
      <c r="Y123" s="383">
        <f t="shared" si="36"/>
        <v>9.0449121830998251</v>
      </c>
      <c r="Z123" s="383">
        <f t="shared" si="37"/>
        <v>9.5829430331826764</v>
      </c>
      <c r="AA123" s="384">
        <f t="shared" si="38"/>
        <v>10.270822621437373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6.6974147408499468E-2</v>
      </c>
      <c r="AD123" s="230">
        <f>(INDEX(Models!$BJ123:$BT123,,AH123)*(1-AF123)+INDEX(Models!$BJ123:$BT123,,AH123+1)*AF123-ERP_i)*AE123*Ramure*Pc/MaxiM</f>
        <v>7.3628299281341492E-4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'2026'!Wh/'2026'!Env_an*'2027'!Env_an</f>
        <v>9.7593368320605371</v>
      </c>
      <c r="C124" s="829"/>
      <c r="D124" s="391">
        <f t="shared" si="25"/>
        <v>10.340062943073466</v>
      </c>
      <c r="E124" s="383">
        <f t="shared" si="47"/>
        <v>10.716783464376764</v>
      </c>
      <c r="F124" s="383">
        <f t="shared" si="26"/>
        <v>10.716783464376764</v>
      </c>
      <c r="G124" s="110">
        <f t="shared" si="48"/>
        <v>0.17600372469695807</v>
      </c>
      <c r="H124" s="412" t="b">
        <f>Wh_hp&gt;='2026'!Maxi_hp</f>
        <v>0</v>
      </c>
      <c r="I124" s="388">
        <f>IF(H124,Wh_hp,'2026'!Maxi_hp)</f>
        <v>52.580415314681325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5.6162724947621534E-2</v>
      </c>
      <c r="M124" s="832"/>
      <c r="N124" s="832"/>
      <c r="O124" s="48">
        <f>IF(t&lt;Tnet,'2026'!Resal+('2026'!Salim-'2026'!Resal)*(1-EXP(('2026'!Tnet-t)/('2026'!Tau_j))),Resal+(Salim-Resal)*(1-EXP((Tnet-t)/(Tau_j))))*Salcycl</f>
        <v>3.5152387146342889E-2</v>
      </c>
      <c r="P124" s="169">
        <f>(INDEX(Models!$BJ124:$BT124,,T124)*(1-R124)+INDEX(Models!$BJ124:$BT124,,T124+1)*R124-ERP_i)*Q124*Ramure*Pc/MaxiM</f>
        <v>3.5080913600056531E-5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55.44765874933217</v>
      </c>
      <c r="W124" s="400">
        <f t="shared" si="34"/>
        <v>9.7593368320605371</v>
      </c>
      <c r="X124" s="157">
        <f t="shared" si="35"/>
        <v>46497</v>
      </c>
      <c r="Y124" s="383">
        <f t="shared" si="36"/>
        <v>9.436906466679023</v>
      </c>
      <c r="Z124" s="383">
        <f t="shared" si="37"/>
        <v>9.9984464654199208</v>
      </c>
      <c r="AA124" s="384">
        <f t="shared" si="38"/>
        <v>10.716783464376764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6.7029160507407828E-2</v>
      </c>
      <c r="AD124" s="230">
        <f>(INDEX(Models!$BJ124:$BT124,,AH124)*(1-AF124)+INDEX(Models!$BJ124:$BT124,,AH124+1)*AF124-ERP_i)*AE124*Ramure*Pc/MaxiM</f>
        <v>7.2053103143335717E-4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'2026'!Wh/'2026'!Env_an*'2027'!Env_an</f>
        <v>9.3942143175961217</v>
      </c>
      <c r="C125" s="829"/>
      <c r="D125" s="391">
        <f t="shared" si="25"/>
        <v>9.9534046888532366</v>
      </c>
      <c r="E125" s="383">
        <f t="shared" si="47"/>
        <v>10.316819193995808</v>
      </c>
      <c r="F125" s="383">
        <f t="shared" si="26"/>
        <v>10.316819193995808</v>
      </c>
      <c r="G125" s="110">
        <f t="shared" si="48"/>
        <v>0.16889156862263693</v>
      </c>
      <c r="H125" s="412" t="b">
        <f>Wh_hp&gt;='2026'!Maxi_hp</f>
        <v>0</v>
      </c>
      <c r="I125" s="388">
        <f>IF(H125,Wh_hp,'2026'!Maxi_hp)</f>
        <v>55.246951602065522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5.6180813373673977E-2</v>
      </c>
      <c r="M125" s="832"/>
      <c r="N125" s="832"/>
      <c r="O125" s="48">
        <f>IF(t&lt;Tnet,'2026'!Resal+('2026'!Salim-'2026'!Resal)*(1-EXP(('2026'!Tnet-t)/('2026'!Tau_j))),Resal+(Salim-Resal)*(1-EXP((Tnet-t)/(Tau_j))))*Salcycl</f>
        <v>3.5225440933778579E-2</v>
      </c>
      <c r="P125" s="169">
        <f>(INDEX(Models!$BJ125:$BT125,,T125)*(1-R125)+INDEX(Models!$BJ125:$BT125,,T125+1)*R125-ERP_i)*Q125*Ramure*Pc/MaxiM</f>
        <v>3.4528237747952319E-5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55.620834293510271</v>
      </c>
      <c r="W125" s="400">
        <f t="shared" si="34"/>
        <v>9.3942143175961217</v>
      </c>
      <c r="X125" s="157">
        <f t="shared" si="35"/>
        <v>46498</v>
      </c>
      <c r="Y125" s="383">
        <f t="shared" si="36"/>
        <v>9.0839900342812783</v>
      </c>
      <c r="Z125" s="383">
        <f t="shared" si="37"/>
        <v>9.6247143128674111</v>
      </c>
      <c r="AA125" s="384">
        <f t="shared" si="38"/>
        <v>10.316819193995808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6.7085103277877409E-2</v>
      </c>
      <c r="AD125" s="230">
        <f>(INDEX(Models!$BJ125:$BT125,,AH125)*(1-AF125)+INDEX(Models!$BJ125:$BT125,,AH125+1)*AF125-ERP_i)*AE125*Ramure*Pc/MaxiM</f>
        <v>7.0525698809769126E-4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'2026'!Wh/'2026'!Env_an*'2027'!Env_an</f>
        <v>27.3040190389464</v>
      </c>
      <c r="C126" s="829"/>
      <c r="D126" s="391">
        <f t="shared" si="25"/>
        <v>28.929844520189022</v>
      </c>
      <c r="E126" s="383">
        <f t="shared" si="47"/>
        <v>29.988404603752947</v>
      </c>
      <c r="F126" s="383">
        <f t="shared" si="26"/>
        <v>29.988680558023962</v>
      </c>
      <c r="G126" s="110">
        <f t="shared" si="48"/>
        <v>0.48941347045457712</v>
      </c>
      <c r="H126" s="412" t="b">
        <f>Wh_hp&gt;='2026'!Maxi_hp</f>
        <v>0</v>
      </c>
      <c r="I126" s="388">
        <f>IF(H126,Wh_hp,'2026'!Maxi_hp)</f>
        <v>61.484611749803321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5.6198901453065941E-2</v>
      </c>
      <c r="M126" s="832"/>
      <c r="N126" s="832"/>
      <c r="O126" s="48">
        <f>IF(t&lt;Tnet,'2026'!Resal+('2026'!Salim-'2026'!Resal)*(1-EXP(('2026'!Tnet-t)/('2026'!Tau_j))),Resal+(Salim-Resal)*(1-EXP((Tnet-t)/(Tau_j))))*Salcycl</f>
        <v>3.5298979640665848E-2</v>
      </c>
      <c r="P126" s="169">
        <f>(INDEX(Models!$BJ126:$BT126,,T126)*(1-R126)+INDEX(Models!$BJ126:$BT126,,T126+1)*R126-ERP_i)*Q126*Ramure*Pc/MaxiM</f>
        <v>3.4004712576533493E-5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55.787883795252277</v>
      </c>
      <c r="W126" s="400">
        <f t="shared" si="34"/>
        <v>27.3040190389464</v>
      </c>
      <c r="X126" s="157">
        <f t="shared" si="35"/>
        <v>46499</v>
      </c>
      <c r="Y126" s="383">
        <f t="shared" si="36"/>
        <v>26.398073509656996</v>
      </c>
      <c r="Z126" s="383">
        <f t="shared" si="37"/>
        <v>27.969954209948668</v>
      </c>
      <c r="AA126" s="384">
        <f t="shared" si="38"/>
        <v>29.983077449143213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6.7141981759850047E-2</v>
      </c>
      <c r="AD126" s="230">
        <f>(INDEX(Models!$BJ126:$BT126,,AH126)*(1-AF126)+INDEX(Models!$BJ126:$BT126,,AH126+1)*AF126-ERP_i)*AE126*Ramure*Pc/MaxiM</f>
        <v>6.9044811781837385E-4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'2026'!Wh/'2026'!Env_an*'2027'!Env_an</f>
        <v>9.0934230628476431</v>
      </c>
      <c r="C127" s="829"/>
      <c r="D127" s="391">
        <f t="shared" si="25"/>
        <v>9.6350781468325017</v>
      </c>
      <c r="E127" s="383">
        <f t="shared" si="47"/>
        <v>9.9883978178761481</v>
      </c>
      <c r="F127" s="383">
        <f t="shared" si="26"/>
        <v>9.9883978178761481</v>
      </c>
      <c r="G127" s="110">
        <f t="shared" si="48"/>
        <v>0.16252568355026148</v>
      </c>
      <c r="H127" s="412" t="b">
        <f>Wh_hp&gt;='2026'!Maxi_hp</f>
        <v>0</v>
      </c>
      <c r="I127" s="388">
        <f>IF(H127,Wh_hp,'2026'!Maxi_hp)</f>
        <v>61.411826255045938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5.6216989185803978E-2</v>
      </c>
      <c r="M127" s="832"/>
      <c r="N127" s="832"/>
      <c r="O127" s="48">
        <f>IF(t&lt;Tnet,'2026'!Resal+('2026'!Salim-'2026'!Resal)*(1-EXP(('2026'!Tnet-t)/('2026'!Tau_j))),Resal+(Salim-Resal)*(1-EXP((Tnet-t)/(Tau_j))))*Salcycl</f>
        <v>3.5373007511906772E-2</v>
      </c>
      <c r="P127" s="169">
        <f>(INDEX(Models!$BJ127:$BT127,,T127)*(1-R127)+INDEX(Models!$BJ127:$BT127,,T127+1)*R127-ERP_i)*Q127*Ramure*Pc/MaxiM</f>
        <v>3.3509762222940568E-5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55.948808494572148</v>
      </c>
      <c r="W127" s="400">
        <f t="shared" si="34"/>
        <v>9.0934230628476431</v>
      </c>
      <c r="X127" s="157">
        <f t="shared" si="35"/>
        <v>46500</v>
      </c>
      <c r="Y127" s="383">
        <f t="shared" si="36"/>
        <v>8.7933956987870285</v>
      </c>
      <c r="Z127" s="383">
        <f t="shared" si="37"/>
        <v>9.317179476669132</v>
      </c>
      <c r="AA127" s="384">
        <f t="shared" si="38"/>
        <v>9.9883978178761481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6.7199800553172109E-2</v>
      </c>
      <c r="AD127" s="230">
        <f>(INDEX(Models!$BJ127:$BT127,,AH127)*(1-AF127)+INDEX(Models!$BJ127:$BT127,,AH127+1)*AF127-ERP_i)*AE127*Ramure*Pc/MaxiM</f>
        <v>6.7609030884418077E-4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'2026'!Wh/'2026'!Env_an*'2027'!Env_an</f>
        <v>31.422220627858838</v>
      </c>
      <c r="C128" s="829"/>
      <c r="D128" s="391">
        <f t="shared" si="25"/>
        <v>33.294541731559214</v>
      </c>
      <c r="E128" s="383">
        <f t="shared" si="47"/>
        <v>34.518123895052923</v>
      </c>
      <c r="F128" s="383">
        <f t="shared" si="26"/>
        <v>34.518547761235453</v>
      </c>
      <c r="G128" s="110">
        <f t="shared" si="48"/>
        <v>0.56006321797932923</v>
      </c>
      <c r="H128" s="412" t="b">
        <f>Wh_hp&gt;='2026'!Maxi_hp</f>
        <v>0</v>
      </c>
      <c r="I128" s="388">
        <f>IF(H128,Wh_hp,'2026'!Maxi_hp)</f>
        <v>58.10105142457774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5.6235076571894749E-2</v>
      </c>
      <c r="M128" s="832"/>
      <c r="N128" s="832"/>
      <c r="O128" s="48">
        <f>IF(t&lt;Tnet,'2026'!Resal+('2026'!Salim-'2026'!Resal)*(1-EXP(('2026'!Tnet-t)/('2026'!Tau_j))),Resal+(Salim-Resal)*(1-EXP((Tnet-t)/(Tau_j))))*Salcycl</f>
        <v>3.5447528006267846E-2</v>
      </c>
      <c r="P128" s="169">
        <f>(INDEX(Models!$BJ128:$BT128,,T128)*(1-R128)+INDEX(Models!$BJ128:$BT128,,T128+1)*R128-ERP_i)*Q128*Ramure*Pc/MaxiM</f>
        <v>3.3050340133747153E-5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56.103609273526644</v>
      </c>
      <c r="W128" s="400">
        <f t="shared" si="34"/>
        <v>31.422220627858838</v>
      </c>
      <c r="X128" s="157">
        <f t="shared" si="35"/>
        <v>46501</v>
      </c>
      <c r="Y128" s="383">
        <f t="shared" si="36"/>
        <v>30.378806895864201</v>
      </c>
      <c r="Z128" s="383">
        <f t="shared" si="37"/>
        <v>32.188955259660503</v>
      </c>
      <c r="AA128" s="384">
        <f t="shared" si="38"/>
        <v>34.510051740353809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6.725856275605549E-2</v>
      </c>
      <c r="AD128" s="230">
        <f>(INDEX(Models!$BJ128:$BT128,,AH128)*(1-AF128)+INDEX(Models!$BJ128:$BT128,,AH128+1)*AF128-ERP_i)*AE128*Ramure*Pc/MaxiM</f>
        <v>6.6246469167184207E-4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'2026'!Wh/'2026'!Env_an*'2027'!Env_an</f>
        <v>47.555943394694431</v>
      </c>
      <c r="C129" s="829"/>
      <c r="D129" s="391">
        <f t="shared" si="25"/>
        <v>50.390572514841125</v>
      </c>
      <c r="E129" s="383">
        <f t="shared" si="47"/>
        <v>52.246501137725438</v>
      </c>
      <c r="F129" s="383">
        <f t="shared" si="26"/>
        <v>52.247828983828448</v>
      </c>
      <c r="G129" s="110">
        <f t="shared" si="48"/>
        <v>0.84539851714763137</v>
      </c>
      <c r="H129" s="412" t="b">
        <f>Wh_hp&gt;='2026'!Maxi_hp</f>
        <v>0</v>
      </c>
      <c r="I129" s="388">
        <f>IF(H129,Wh_hp,'2026'!Maxi_hp)</f>
        <v>57.415722541484826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5.6253163611344803E-2</v>
      </c>
      <c r="M129" s="832"/>
      <c r="N129" s="832"/>
      <c r="O129" s="48">
        <f>IF(t&lt;Tnet,'2026'!Resal+('2026'!Salim-'2026'!Resal)*(1-EXP(('2026'!Tnet-t)/('2026'!Tau_j))),Resal+(Salim-Resal)*(1-EXP((Tnet-t)/(Tau_j))))*Salcycl</f>
        <v>3.5522543758326697E-2</v>
      </c>
      <c r="P129" s="169">
        <f>(INDEX(Models!$BJ129:$BT129,,T129)*(1-R129)+INDEX(Models!$BJ129:$BT129,,T129+1)*R129-ERP_i)*Q129*Ramure*Pc/MaxiM</f>
        <v>3.2618105400291249E-5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56.25228793446739</v>
      </c>
      <c r="W129" s="400">
        <f t="shared" si="34"/>
        <v>47.555943394694431</v>
      </c>
      <c r="X129" s="157">
        <f t="shared" si="35"/>
        <v>46502</v>
      </c>
      <c r="Y129" s="383">
        <f t="shared" si="36"/>
        <v>45.96607604542676</v>
      </c>
      <c r="Z129" s="383">
        <f t="shared" si="37"/>
        <v>48.705939212809128</v>
      </c>
      <c r="AA129" s="384">
        <f t="shared" si="38"/>
        <v>52.221393044444881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6.7318269902218147E-2</v>
      </c>
      <c r="AD129" s="230">
        <f>(INDEX(Models!$BJ129:$BT129,,AH129)*(1-AF129)+INDEX(Models!$BJ129:$BT129,,AH129+1)*AF129-ERP_i)*AE129*Ramure*Pc/MaxiM</f>
        <v>6.4939020810921488E-4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'2026'!Wh/'2026'!Env_an*'2027'!Env_an</f>
        <v>54.52416683179495</v>
      </c>
      <c r="C130" s="829"/>
      <c r="D130" s="391">
        <f t="shared" si="25"/>
        <v>57.775252528195132</v>
      </c>
      <c r="E130" s="383">
        <f t="shared" si="47"/>
        <v>59.907855764884708</v>
      </c>
      <c r="F130" s="383">
        <f t="shared" si="26"/>
        <v>59.909694177648724</v>
      </c>
      <c r="G130" s="110">
        <f t="shared" si="48"/>
        <v>0.96682742434758406</v>
      </c>
      <c r="H130" s="412" t="b">
        <f>Wh_hp&gt;='2026'!Maxi_hp</f>
        <v>0</v>
      </c>
      <c r="I130" s="388">
        <f>IF(H130,Wh_hp,'2026'!Maxi_hp)</f>
        <v>59.909778849647175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5.6271250304161025E-2</v>
      </c>
      <c r="M130" s="832"/>
      <c r="N130" s="832"/>
      <c r="O130" s="48">
        <f>IF(t&lt;Tnet,'2026'!Resal+('2026'!Salim-'2026'!Resal)*(1-EXP(('2026'!Tnet-t)/('2026'!Tau_j))),Resal+(Salim-Resal)*(1-EXP((Tnet-t)/(Tau_j))))*Salcycl</f>
        <v>3.5598056539683641E-2</v>
      </c>
      <c r="P130" s="169">
        <f>(INDEX(Models!$BJ130:$BT130,,T130)*(1-R130)+INDEX(Models!$BJ130:$BT130,,T130+1)*R130-ERP_i)*Q130*Ramure*Pc/MaxiM</f>
        <v>3.2212879662751592E-5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56.394845890861362</v>
      </c>
      <c r="W130" s="400">
        <f t="shared" si="34"/>
        <v>54.52416683179495</v>
      </c>
      <c r="X130" s="157">
        <f t="shared" si="35"/>
        <v>46503</v>
      </c>
      <c r="Y130" s="383">
        <f t="shared" si="36"/>
        <v>52.697008019832609</v>
      </c>
      <c r="Z130" s="383">
        <f t="shared" si="37"/>
        <v>55.839146615822294</v>
      </c>
      <c r="AA130" s="384">
        <f t="shared" si="38"/>
        <v>59.873348272810489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6.7378921897043753E-2</v>
      </c>
      <c r="AD130" s="230">
        <f>(INDEX(Models!$BJ130:$BT130,,AH130)*(1-AF130)+INDEX(Models!$BJ130:$BT130,,AH130+1)*AF130-ERP_i)*AE130*Ramure*Pc/MaxiM</f>
        <v>6.3685712028593877E-4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'2026'!Wh/'2026'!Env_an*'2027'!Env_an</f>
        <v>39.579740709443918</v>
      </c>
      <c r="C131" s="829"/>
      <c r="D131" s="391">
        <f t="shared" si="25"/>
        <v>41.940546235811041</v>
      </c>
      <c r="E131" s="383">
        <f t="shared" si="47"/>
        <v>43.492085829204889</v>
      </c>
      <c r="F131" s="383">
        <f t="shared" si="26"/>
        <v>43.492877289801996</v>
      </c>
      <c r="G131" s="110">
        <f t="shared" si="48"/>
        <v>0.70012916228183775</v>
      </c>
      <c r="H131" s="412" t="b">
        <f>Wh_hp&gt;='2026'!Maxi_hp</f>
        <v>0</v>
      </c>
      <c r="I131" s="388">
        <f>IF(H131,Wh_hp,'2026'!Maxi_hp)</f>
        <v>43.493424228291978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5.6289336650349742E-2</v>
      </c>
      <c r="M131" s="832"/>
      <c r="N131" s="832"/>
      <c r="O131" s="48">
        <f>IF(t&lt;Tnet,'2026'!Resal+('2026'!Salim-'2026'!Resal)*(1-EXP(('2026'!Tnet-t)/('2026'!Tau_j))),Resal+(Salim-Resal)*(1-EXP((Tnet-t)/(Tau_j))))*Salcycl</f>
        <v>3.5674067219650198E-2</v>
      </c>
      <c r="P131" s="169">
        <f>(INDEX(Models!$BJ131:$BT131,,T131)*(1-R131)+INDEX(Models!$BJ131:$BT131,,T131+1)*R131-ERP_i)*Q131*Ramure*Pc/MaxiM</f>
        <v>3.18345438123016E-5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56.531284626145592</v>
      </c>
      <c r="W131" s="400">
        <f t="shared" si="34"/>
        <v>39.579740709443918</v>
      </c>
      <c r="X131" s="157">
        <f t="shared" si="35"/>
        <v>46504</v>
      </c>
      <c r="Y131" s="383">
        <f t="shared" si="36"/>
        <v>38.262945001865802</v>
      </c>
      <c r="Z131" s="383">
        <f t="shared" si="37"/>
        <v>40.545207856456273</v>
      </c>
      <c r="AA131" s="384">
        <f t="shared" si="38"/>
        <v>43.477342296695184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6.7440516953166857E-2</v>
      </c>
      <c r="AD131" s="230">
        <f>(INDEX(Models!$BJ131:$BT131,,AH131)*(1-AF131)+INDEX(Models!$BJ131:$BT131,,AH131+1)*AF131-ERP_i)*AE131*Ramure*Pc/MaxiM</f>
        <v>6.2485665172866639E-4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'2026'!Wh/'2026'!Env_an*'2027'!Env_an</f>
        <v>23.848695137829029</v>
      </c>
      <c r="C132" s="829"/>
      <c r="D132" s="391">
        <f t="shared" si="25"/>
        <v>25.271678203506593</v>
      </c>
      <c r="E132" s="383">
        <f t="shared" si="47"/>
        <v>26.208652623801406</v>
      </c>
      <c r="F132" s="383">
        <f t="shared" si="26"/>
        <v>26.208795132343241</v>
      </c>
      <c r="G132" s="110">
        <f t="shared" si="48"/>
        <v>0.42088595422817848</v>
      </c>
      <c r="H132" s="412" t="b">
        <f>Wh_hp&gt;='2026'!Maxi_hp</f>
        <v>0</v>
      </c>
      <c r="I132" s="388">
        <f>IF(H132,Wh_hp,'2026'!Maxi_hp)</f>
        <v>46.721279625112096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5.6307422649917838E-2</v>
      </c>
      <c r="M132" s="832"/>
      <c r="N132" s="832"/>
      <c r="O132" s="48">
        <f>IF(t&lt;Tnet,'2026'!Resal+('2026'!Salim-'2026'!Resal)*(1-EXP(('2026'!Tnet-t)/('2026'!Tau_j))),Resal+(Salim-Resal)*(1-EXP((Tnet-t)/(Tau_j))))*Salcycl</f>
        <v>3.575057572566321E-2</v>
      </c>
      <c r="P132" s="169">
        <f>(INDEX(Models!$BJ132:$BT132,,T132)*(1-R132)+INDEX(Models!$BJ132:$BT132,,T132+1)*R132-ERP_i)*Q132*Ramure*Pc/MaxiM</f>
        <v>3.1483039551518476E-5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56.661605694184914</v>
      </c>
      <c r="W132" s="400">
        <f t="shared" si="34"/>
        <v>23.848695137829029</v>
      </c>
      <c r="X132" s="157">
        <f t="shared" si="35"/>
        <v>46505</v>
      </c>
      <c r="Y132" s="383">
        <f t="shared" si="36"/>
        <v>23.06104611187925</v>
      </c>
      <c r="Z132" s="383">
        <f t="shared" si="37"/>
        <v>24.437032424940099</v>
      </c>
      <c r="AA132" s="384">
        <f t="shared" si="38"/>
        <v>26.206018652317656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6.7503051525955662E-2</v>
      </c>
      <c r="AD132" s="230">
        <f>(INDEX(Models!$BJ132:$BT132,,AH132)*(1-AF132)+INDEX(Models!$BJ132:$BT132,,AH132+1)*AF132-ERP_i)*AE132*Ramure*Pc/MaxiM</f>
        <v>6.1338098989511115E-4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'2026'!Wh/'2026'!Env_an*'2027'!Env_an</f>
        <v>43.61704069414958</v>
      </c>
      <c r="C133" s="829"/>
      <c r="D133" s="391">
        <f t="shared" si="25"/>
        <v>46.220429902378292</v>
      </c>
      <c r="E133" s="383">
        <f t="shared" si="47"/>
        <v>47.937929971585355</v>
      </c>
      <c r="F133" s="383">
        <f t="shared" si="26"/>
        <v>47.93892882411874</v>
      </c>
      <c r="G133" s="110">
        <f t="shared" si="48"/>
        <v>0.76808959655415887</v>
      </c>
      <c r="H133" s="412" t="b">
        <f>Wh_hp&gt;='2026'!Maxi_hp</f>
        <v>0</v>
      </c>
      <c r="I133" s="388">
        <f>IF(H133,Wh_hp,'2026'!Maxi_hp)</f>
        <v>51.783140656081144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5.6325508302871863E-2</v>
      </c>
      <c r="M133" s="832"/>
      <c r="N133" s="832"/>
      <c r="O133" s="48">
        <f>IF(t&lt;Tnet,'2026'!Resal+('2026'!Salim-'2026'!Resal)*(1-EXP(('2026'!Tnet-t)/('2026'!Tau_j))),Resal+(Salim-Resal)*(1-EXP((Tnet-t)/(Tau_j))))*Salcycl</f>
        <v>3.5827581003708156E-2</v>
      </c>
      <c r="P133" s="169">
        <f>(INDEX(Models!$BJ133:$BT133,,T133)*(1-R133)+INDEX(Models!$BJ133:$BT133,,T133+1)*R133-ERP_i)*Q133*Ramure*Pc/MaxiM</f>
        <v>3.1158371034561665E-5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56.785810726310437</v>
      </c>
      <c r="W133" s="400">
        <f t="shared" si="34"/>
        <v>43.61704069414958</v>
      </c>
      <c r="X133" s="157">
        <f t="shared" si="35"/>
        <v>46506</v>
      </c>
      <c r="Y133" s="383">
        <f t="shared" si="36"/>
        <v>42.165126821011121</v>
      </c>
      <c r="Z133" s="383">
        <f t="shared" si="37"/>
        <v>44.681855016744478</v>
      </c>
      <c r="AA133" s="384">
        <f t="shared" si="38"/>
        <v>47.919616773838747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6.7566520249425097E-2</v>
      </c>
      <c r="AD133" s="230">
        <f>(INDEX(Models!$BJ133:$BT133,,AH133)*(1-AF133)+INDEX(Models!$BJ133:$BT133,,AH133+1)*AF133-ERP_i)*AE133*Ramure*Pc/MaxiM</f>
        <v>6.0242328867591384E-4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'2026'!Wh/'2026'!Env_an*'2027'!Env_an</f>
        <v>46.171361041917862</v>
      </c>
      <c r="C134" s="829"/>
      <c r="D134" s="391">
        <f t="shared" si="25"/>
        <v>48.928148772401428</v>
      </c>
      <c r="E134" s="383">
        <f t="shared" si="47"/>
        <v>50.750343982820191</v>
      </c>
      <c r="F134" s="383">
        <f t="shared" si="26"/>
        <v>50.75148820138638</v>
      </c>
      <c r="G134" s="110">
        <f t="shared" si="48"/>
        <v>0.81138508888191663</v>
      </c>
      <c r="H134" s="412" t="b">
        <f>Wh_hp&gt;='2026'!Maxi_hp</f>
        <v>0</v>
      </c>
      <c r="I134" s="388">
        <f>IF(H134,Wh_hp,'2026'!Maxi_hp)</f>
        <v>61.648626642094747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5.6343593609218479E-2</v>
      </c>
      <c r="M134" s="832"/>
      <c r="N134" s="832"/>
      <c r="O134" s="48">
        <f>IF(t&lt;Tnet,'2026'!Resal+('2026'!Salim-'2026'!Resal)*(1-EXP(('2026'!Tnet-t)/('2026'!Tau_j))),Resal+(Salim-Resal)*(1-EXP((Tnet-t)/(Tau_j))))*Salcycl</f>
        <v>3.5905080979068998E-2</v>
      </c>
      <c r="P134" s="169">
        <f>(INDEX(Models!$BJ134:$BT134,,T134)*(1-R134)+INDEX(Models!$BJ134:$BT134,,T134+1)*R134-ERP_i)*Q134*Ramure*Pc/MaxiM</f>
        <v>3.0860606594068154E-5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56.9039014235588</v>
      </c>
      <c r="W134" s="400">
        <f t="shared" si="34"/>
        <v>46.171361041917862</v>
      </c>
      <c r="X134" s="157">
        <f t="shared" si="35"/>
        <v>46507</v>
      </c>
      <c r="Y134" s="383">
        <f t="shared" si="36"/>
        <v>44.633678080967172</v>
      </c>
      <c r="Z134" s="383">
        <f t="shared" si="37"/>
        <v>47.298654233354227</v>
      </c>
      <c r="AA134" s="384">
        <f t="shared" si="38"/>
        <v>50.729539448050048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6.7630915873171729E-2</v>
      </c>
      <c r="AD134" s="230">
        <f>(INDEX(Models!$BJ134:$BT134,,AH134)*(1-AF134)+INDEX(Models!$BJ134:$BT134,,AH134+1)*AF134-ERP_i)*AE134*Ramure*Pc/MaxiM</f>
        <v>5.9197767101311176E-4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'2026'!Wh/'2026'!Env_an*'2027'!Env_an</f>
        <v>46.717436973410322</v>
      </c>
      <c r="C135" s="829"/>
      <c r="D135" s="391">
        <f t="shared" si="25"/>
        <v>49.507778470211896</v>
      </c>
      <c r="E135" s="383">
        <f t="shared" si="47"/>
        <v>51.355714883049657</v>
      </c>
      <c r="F135" s="383">
        <f t="shared" si="26"/>
        <v>51.356880557163571</v>
      </c>
      <c r="G135" s="110">
        <f t="shared" si="48"/>
        <v>0.81938185764634164</v>
      </c>
      <c r="H135" s="412" t="b">
        <f>Wh_hp&gt;='2026'!Maxi_hp</f>
        <v>0</v>
      </c>
      <c r="I135" s="388">
        <f>IF(H135,Wh_hp,'2026'!Maxi_hp)</f>
        <v>57.098058064772587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5.6361678568964346E-2</v>
      </c>
      <c r="M135" s="832"/>
      <c r="N135" s="832"/>
      <c r="O135" s="48">
        <f>IF(t&lt;Tnet,'2026'!Resal+('2026'!Salim-'2026'!Resal)*(1-EXP(('2026'!Tnet-t)/('2026'!Tau_j))),Resal+(Salim-Resal)*(1-EXP((Tnet-t)/(Tau_j))))*Salcycl</f>
        <v>3.5983072517751818E-2</v>
      </c>
      <c r="P135" s="169">
        <f>(INDEX(Models!$BJ135:$BT135,,T135)*(1-R135)+INDEX(Models!$BJ135:$BT135,,T135+1)*R135-ERP_i)*Q135*Ramure*Pc/MaxiM</f>
        <v>3.0590344815412778E-5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57.015014180266242</v>
      </c>
      <c r="W135" s="400">
        <f t="shared" si="34"/>
        <v>46.717436973410322</v>
      </c>
      <c r="X135" s="157">
        <f t="shared" si="35"/>
        <v>46508</v>
      </c>
      <c r="Y135" s="383">
        <f t="shared" si="36"/>
        <v>45.162091625007214</v>
      </c>
      <c r="Z135" s="383">
        <f t="shared" si="37"/>
        <v>47.859535374229516</v>
      </c>
      <c r="AA135" s="384">
        <f t="shared" si="38"/>
        <v>51.33470106337947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6.7696229200972735E-2</v>
      </c>
      <c r="AD135" s="230">
        <f>(INDEX(Models!$BJ135:$BT135,,AH135)*(1-AF135)+INDEX(Models!$BJ135:$BT135,,AH135+1)*AF135-ERP_i)*AE135*Ramure*Pc/MaxiM</f>
        <v>5.8204806522641091E-4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'2026'!Wh/'2026'!Env_an*'2027'!Env_an</f>
        <v>27.755680295714011</v>
      </c>
      <c r="C136" s="829"/>
      <c r="D136" s="391">
        <f t="shared" si="25"/>
        <v>29.414036720230687</v>
      </c>
      <c r="E136" s="383">
        <f t="shared" si="47"/>
        <v>30.514434570603502</v>
      </c>
      <c r="F136" s="383">
        <f t="shared" si="26"/>
        <v>30.514680688693481</v>
      </c>
      <c r="G136" s="110">
        <f t="shared" si="48"/>
        <v>0.48592026269676636</v>
      </c>
      <c r="H136" s="412" t="b">
        <f>Wh_hp&gt;='2026'!Maxi_hp</f>
        <v>0</v>
      </c>
      <c r="I136" s="388">
        <f>IF(H136,Wh_hp,'2026'!Maxi_hp)</f>
        <v>49.564429764978506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5.6379763182116127E-2</v>
      </c>
      <c r="M136" s="832"/>
      <c r="N136" s="832"/>
      <c r="O136" s="48">
        <f>IF(t&lt;Tnet,'2026'!Resal+('2026'!Salim-'2026'!Resal)*(1-EXP(('2026'!Tnet-t)/('2026'!Tau_j))),Resal+(Salim-Resal)*(1-EXP((Tnet-t)/(Tau_j))))*Salcycl</f>
        <v>3.6061551388958092E-2</v>
      </c>
      <c r="P136" s="169">
        <f>(INDEX(Models!$BJ136:$BT136,,T136)*(1-R136)+INDEX(Models!$BJ136:$BT136,,T136+1)*R136-ERP_i)*Q136*Ramure*Pc/MaxiM</f>
        <v>3.0365519106334871E-5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57.118551068942089</v>
      </c>
      <c r="W136" s="400">
        <f t="shared" si="34"/>
        <v>27.755680295714011</v>
      </c>
      <c r="X136" s="157">
        <f t="shared" si="35"/>
        <v>46509</v>
      </c>
      <c r="Y136" s="383">
        <f t="shared" si="36"/>
        <v>26.839014930637166</v>
      </c>
      <c r="Z136" s="383">
        <f t="shared" si="37"/>
        <v>28.442602101397092</v>
      </c>
      <c r="AA136" s="384">
        <f t="shared" si="38"/>
        <v>30.510036923373661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6.7762449031738614E-2</v>
      </c>
      <c r="AD136" s="230">
        <f>(INDEX(Models!$BJ136:$BT136,,AH136)*(1-AF136)+INDEX(Models!$BJ136:$BT136,,AH136+1)*AF136-ERP_i)*AE136*Ramure*Pc/MaxiM</f>
        <v>5.7293774933919869E-4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'2026'!Wh/'2026'!Env_an*'2027'!Env_an</f>
        <v>38.74065023611729</v>
      </c>
      <c r="C137" s="829"/>
      <c r="D137" s="391">
        <f t="shared" si="25"/>
        <v>41.056127448808788</v>
      </c>
      <c r="E137" s="383">
        <f t="shared" si="47"/>
        <v>42.595552536142577</v>
      </c>
      <c r="F137" s="383">
        <f t="shared" si="26"/>
        <v>42.596244783513015</v>
      </c>
      <c r="G137" s="110">
        <f t="shared" si="48"/>
        <v>0.67709811656123664</v>
      </c>
      <c r="H137" s="412" t="b">
        <f>Wh_hp&gt;='2026'!Maxi_hp</f>
        <v>0</v>
      </c>
      <c r="I137" s="388">
        <f>IF(H137,Wh_hp,'2026'!Maxi_hp)</f>
        <v>61.404519088032231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5.6397847448680372E-2</v>
      </c>
      <c r="M137" s="832"/>
      <c r="N137" s="832"/>
      <c r="O137" s="48">
        <f>IF(t&lt;Tnet,'2026'!Resal+('2026'!Salim-'2026'!Resal)*(1-EXP(('2026'!Tnet-t)/('2026'!Tau_j))),Resal+(Salim-Resal)*(1-EXP((Tnet-t)/(Tau_j))))*Salcycl</f>
        <v>3.6140512229007445E-2</v>
      </c>
      <c r="P137" s="169">
        <f>(INDEX(Models!$BJ137:$BT137,,T137)*(1-R137)+INDEX(Models!$BJ137:$BT137,,T137+1)*R137-ERP_i)*Q137*Ramure*Pc/MaxiM</f>
        <v>3.0166354217732944E-5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57.214914949994196</v>
      </c>
      <c r="W137" s="400">
        <f t="shared" si="34"/>
        <v>38.74065023611729</v>
      </c>
      <c r="X137" s="157">
        <f t="shared" si="35"/>
        <v>46510</v>
      </c>
      <c r="Y137" s="383">
        <f t="shared" si="36"/>
        <v>37.456180134770328</v>
      </c>
      <c r="Z137" s="383">
        <f t="shared" si="37"/>
        <v>39.69488627542443</v>
      </c>
      <c r="AA137" s="384">
        <f t="shared" si="38"/>
        <v>42.583292348339654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6.78295621035475E-2</v>
      </c>
      <c r="AD137" s="230">
        <f>(INDEX(Models!$BJ137:$BT137,,AH137)*(1-AF137)+INDEX(Models!$BJ137:$BT137,,AH137+1)*AF137-ERP_i)*AE137*Ramure*Pc/MaxiM</f>
        <v>5.6443370405542944E-4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'2026'!Wh/'2026'!Env_an*'2027'!Env_an</f>
        <v>20.978534833671979</v>
      </c>
      <c r="C138" s="829"/>
      <c r="D138" s="391">
        <f t="shared" si="25"/>
        <v>22.232820085762189</v>
      </c>
      <c r="E138" s="383">
        <f t="shared" si="47"/>
        <v>23.068354705333586</v>
      </c>
      <c r="F138" s="383">
        <f t="shared" si="26"/>
        <v>23.068420028620029</v>
      </c>
      <c r="G138" s="110">
        <f t="shared" si="48"/>
        <v>0.36607879471543847</v>
      </c>
      <c r="H138" s="412" t="b">
        <f>Wh_hp&gt;='2026'!Maxi_hp</f>
        <v>0</v>
      </c>
      <c r="I138" s="388">
        <f>IF(H138,Wh_hp,'2026'!Maxi_hp)</f>
        <v>54.000058250195806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5.6415931368663741E-2</v>
      </c>
      <c r="M138" s="832"/>
      <c r="N138" s="832"/>
      <c r="O138" s="48">
        <f>IF(t&lt;Tnet,'2026'!Resal+('2026'!Salim-'2026'!Resal)*(1-EXP(('2026'!Tnet-t)/('2026'!Tau_j))),Resal+(Salim-Resal)*(1-EXP((Tnet-t)/(Tau_j))))*Salcycl</f>
        <v>3.6219948507130229E-2</v>
      </c>
      <c r="P138" s="169">
        <f>(INDEX(Models!$BJ138:$BT138,,T138)*(1-R138)+INDEX(Models!$BJ138:$BT138,,T138+1)*R138-ERP_i)*Q138*Ramure*Pc/MaxiM</f>
        <v>2.9993058565038922E-5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57.304507471567085</v>
      </c>
      <c r="W138" s="400">
        <f t="shared" si="34"/>
        <v>20.978534833671979</v>
      </c>
      <c r="X138" s="157">
        <f t="shared" si="35"/>
        <v>46511</v>
      </c>
      <c r="Y138" s="383">
        <f t="shared" si="36"/>
        <v>20.28800196297319</v>
      </c>
      <c r="Z138" s="383">
        <f t="shared" si="37"/>
        <v>21.501000957340061</v>
      </c>
      <c r="AA138" s="384">
        <f t="shared" si="38"/>
        <v>23.067207931380803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6.7897553041521883E-2</v>
      </c>
      <c r="AD138" s="230">
        <f>(INDEX(Models!$BJ138:$BT138,,AH138)*(1-AF138)+INDEX(Models!$BJ138:$BT138,,AH138+1)*AF138-ERP_i)*AE138*Ramure*Pc/MaxiM</f>
        <v>5.5653206480664095E-4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'2026'!Wh/'2026'!Env_an*'2027'!Env_an</f>
        <v>43.034085865927644</v>
      </c>
      <c r="C139" s="829"/>
      <c r="D139" s="391">
        <f t="shared" si="25"/>
        <v>45.607924138220937</v>
      </c>
      <c r="E139" s="383">
        <f t="shared" si="47"/>
        <v>47.325845343316708</v>
      </c>
      <c r="F139" s="383">
        <f t="shared" si="26"/>
        <v>47.326753150015755</v>
      </c>
      <c r="G139" s="110">
        <f t="shared" si="48"/>
        <v>0.74987504764989577</v>
      </c>
      <c r="H139" s="412" t="b">
        <f>Wh_hp&gt;='2026'!Maxi_hp</f>
        <v>0</v>
      </c>
      <c r="I139" s="388">
        <f>IF(H139,Wh_hp,'2026'!Maxi_hp)</f>
        <v>59.96671405061354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5.6434014942073008E-2</v>
      </c>
      <c r="M139" s="832"/>
      <c r="N139" s="832"/>
      <c r="O139" s="48">
        <f>IF(t&lt;Tnet,'2026'!Resal+('2026'!Salim-'2026'!Resal)*(1-EXP(('2026'!Tnet-t)/('2026'!Tau_j))),Resal+(Salim-Resal)*(1-EXP((Tnet-t)/(Tau_j))))*Salcycl</f>
        <v>3.6299852493567153E-2</v>
      </c>
      <c r="P139" s="169">
        <f>(INDEX(Models!$BJ139:$BT139,,T139)*(1-R139)+INDEX(Models!$BJ139:$BT139,,T139+1)*R139-ERP_i)*Q139*Ramure*Pc/MaxiM</f>
        <v>2.9845927988832272E-5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57.387730217036591</v>
      </c>
      <c r="W139" s="400">
        <f t="shared" si="34"/>
        <v>43.034085865927644</v>
      </c>
      <c r="X139" s="157">
        <f t="shared" si="35"/>
        <v>46512</v>
      </c>
      <c r="Y139" s="383">
        <f t="shared" si="36"/>
        <v>41.606120999306974</v>
      </c>
      <c r="Z139" s="383">
        <f t="shared" si="37"/>
        <v>44.094553701777102</v>
      </c>
      <c r="AA139" s="384">
        <f t="shared" si="38"/>
        <v>47.310047519423193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6.7966404310331088E-2</v>
      </c>
      <c r="AD139" s="230">
        <f>(INDEX(Models!$BJ139:$BT139,,AH139)*(1-AF139)+INDEX(Models!$BJ139:$BT139,,AH139+1)*AF139-ERP_i)*AE139*Ramure*Pc/MaxiM</f>
        <v>5.4923041237415549E-4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'2026'!Wh/'2026'!Env_an*'2027'!Env_an</f>
        <v>37.764244050144924</v>
      </c>
      <c r="C140" s="829"/>
      <c r="D140" s="391">
        <f t="shared" si="25"/>
        <v>40.023663850937702</v>
      </c>
      <c r="E140" s="383">
        <f t="shared" si="47"/>
        <v>41.534705371899662</v>
      </c>
      <c r="F140" s="383">
        <f t="shared" si="26"/>
        <v>41.535335343769155</v>
      </c>
      <c r="G140" s="110">
        <f t="shared" si="48"/>
        <v>0.65716008561791017</v>
      </c>
      <c r="H140" s="412" t="b">
        <f>Wh_hp&gt;='2026'!Maxi_hp</f>
        <v>0</v>
      </c>
      <c r="I140" s="388">
        <f>IF(H140,Wh_hp,'2026'!Maxi_hp)</f>
        <v>63.959766591204975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5.6452098168914611E-2</v>
      </c>
      <c r="M140" s="832"/>
      <c r="N140" s="832"/>
      <c r="O140" s="48">
        <f>IF(t&lt;Tnet,'2026'!Resal+('2026'!Salim-'2026'!Resal)*(1-EXP(('2026'!Tnet-t)/('2026'!Tau_j))),Resal+(Salim-Resal)*(1-EXP((Tnet-t)/(Tau_j))))*Salcycl</f>
        <v>3.6380215230424007E-2</v>
      </c>
      <c r="P140" s="169">
        <f>(INDEX(Models!$BJ140:$BT140,,T140)*(1-R140)+INDEX(Models!$BJ140:$BT140,,T140+1)*R140-ERP_i)*Q140*Ramure*Pc/MaxiM</f>
        <v>2.9725346384505826E-5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57.464984694401764</v>
      </c>
      <c r="W140" s="400">
        <f t="shared" si="34"/>
        <v>37.764244050144924</v>
      </c>
      <c r="X140" s="157">
        <f t="shared" si="35"/>
        <v>46513</v>
      </c>
      <c r="Y140" s="383">
        <f t="shared" si="36"/>
        <v>36.51409389339905</v>
      </c>
      <c r="Z140" s="383">
        <f t="shared" si="37"/>
        <v>38.698717704250512</v>
      </c>
      <c r="AA140" s="384">
        <f t="shared" si="38"/>
        <v>41.523837506261955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6.8036096172118102E-2</v>
      </c>
      <c r="AD140" s="230">
        <f>(INDEX(Models!$BJ140:$BT140,,AH140)*(1-AF140)+INDEX(Models!$BJ140:$BT140,,AH140+1)*AF140-ERP_i)*AE140*Ramure*Pc/MaxiM</f>
        <v>5.4252772088071494E-4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'2026'!Wh/'2026'!Env_an*'2027'!Env_an</f>
        <v>51.664799066798508</v>
      </c>
      <c r="C141" s="829"/>
      <c r="D141" s="391">
        <f t="shared" si="25"/>
        <v>54.756932986229543</v>
      </c>
      <c r="E141" s="383">
        <f t="shared" si="47"/>
        <v>56.828975778378933</v>
      </c>
      <c r="F141" s="383">
        <f t="shared" si="26"/>
        <v>56.83041425316943</v>
      </c>
      <c r="G141" s="110">
        <f t="shared" si="48"/>
        <v>0.89794167375341138</v>
      </c>
      <c r="H141" s="412" t="b">
        <f>Wh_hp&gt;='2026'!Maxi_hp</f>
        <v>0</v>
      </c>
      <c r="I141" s="388">
        <f>IF(H141,Wh_hp,'2026'!Maxi_hp)</f>
        <v>60.392486037860046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5.6470181049195323E-2</v>
      </c>
      <c r="M141" s="832"/>
      <c r="N141" s="832"/>
      <c r="O141" s="48">
        <f>IF(t&lt;Tnet,'2026'!Resal+('2026'!Salim-'2026'!Resal)*(1-EXP(('2026'!Tnet-t)/('2026'!Tau_j))),Resal+(Salim-Resal)*(1-EXP((Tnet-t)/(Tau_j))))*Salcycl</f>
        <v>3.6461026505737598E-2</v>
      </c>
      <c r="P141" s="169">
        <f>(INDEX(Models!$BJ141:$BT141,,T141)*(1-R141)+INDEX(Models!$BJ141:$BT141,,T141+1)*R141-ERP_i)*Q141*Ramure*Pc/MaxiM</f>
        <v>2.9631786311200645E-5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57.536672342154581</v>
      </c>
      <c r="W141" s="400">
        <f t="shared" si="34"/>
        <v>51.664799066798508</v>
      </c>
      <c r="X141" s="157">
        <f t="shared" si="35"/>
        <v>46514</v>
      </c>
      <c r="Y141" s="383">
        <f t="shared" si="36"/>
        <v>49.946336346701727</v>
      </c>
      <c r="Z141" s="383">
        <f t="shared" si="37"/>
        <v>52.935620415517477</v>
      </c>
      <c r="AA141" s="384">
        <f t="shared" si="38"/>
        <v>56.804373540260933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6.8106606650655474E-2</v>
      </c>
      <c r="AD141" s="230">
        <f>(INDEX(Models!$BJ141:$BT141,,AH141)*(1-AF141)+INDEX(Models!$BJ141:$BT141,,AH141+1)*AF141-ERP_i)*AE141*Ramure*Pc/MaxiM</f>
        <v>5.3642430537630364E-4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'2026'!Wh/'2026'!Env_an*'2027'!Env_an</f>
        <v>47.640990629913034</v>
      </c>
      <c r="C142" s="829"/>
      <c r="D142" s="391">
        <f t="shared" si="25"/>
        <v>50.493267641615631</v>
      </c>
      <c r="E142" s="383">
        <f t="shared" si="47"/>
        <v>52.408389410930937</v>
      </c>
      <c r="F142" s="383">
        <f t="shared" si="26"/>
        <v>52.40955583182663</v>
      </c>
      <c r="G142" s="110">
        <f t="shared" si="48"/>
        <v>0.82704861714547795</v>
      </c>
      <c r="H142" s="412" t="b">
        <f>Wh_hp&gt;='2026'!Maxi_hp</f>
        <v>0</v>
      </c>
      <c r="I142" s="388">
        <f>IF(H142,Wh_hp,'2026'!Maxi_hp)</f>
        <v>59.443974291396984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5.6488263582921805E-2</v>
      </c>
      <c r="M142" s="832"/>
      <c r="N142" s="832"/>
      <c r="O142" s="48">
        <f>IF(t&lt;Tnet,'2026'!Resal+('2026'!Salim-'2026'!Resal)*(1-EXP(('2026'!Tnet-t)/('2026'!Tau_j))),Resal+(Salim-Resal)*(1-EXP((Tnet-t)/(Tau_j))))*Salcycl</f>
        <v>3.6542274831209885E-2</v>
      </c>
      <c r="P142" s="169">
        <f>(INDEX(Models!$BJ142:$BT142,,T142)*(1-R142)+INDEX(Models!$BJ142:$BT142,,T142+1)*R142-ERP_i)*Q142*Ramure*Pc/MaxiM</f>
        <v>2.9558827076518306E-5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57.603194921075094</v>
      </c>
      <c r="W142" s="400">
        <f t="shared" si="34"/>
        <v>47.640990629913034</v>
      </c>
      <c r="X142" s="157">
        <f t="shared" si="35"/>
        <v>46515</v>
      </c>
      <c r="Y142" s="383">
        <f t="shared" si="36"/>
        <v>46.059279630154705</v>
      </c>
      <c r="Z142" s="383">
        <f t="shared" si="37"/>
        <v>48.816859242325584</v>
      </c>
      <c r="AA142" s="384">
        <f t="shared" si="38"/>
        <v>52.388604911739144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6.8177911502530081E-2</v>
      </c>
      <c r="AD142" s="230">
        <f>(INDEX(Models!$BJ142:$BT142,,AH142)*(1-AF142)+INDEX(Models!$BJ142:$BT142,,AH142+1)*AF142-ERP_i)*AE142*Ramure*Pc/MaxiM</f>
        <v>5.3092723754107074E-4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'2026'!Wh/'2026'!Env_an*'2027'!Env_an</f>
        <v>54.706675961201725</v>
      </c>
      <c r="C143" s="829"/>
      <c r="D143" s="391">
        <f t="shared" ref="D143:D206" si="50">Wh/(1-Ppv)</f>
        <v>57.983088403339117</v>
      </c>
      <c r="E143" s="383">
        <f t="shared" si="47"/>
        <v>60.187388142252708</v>
      </c>
      <c r="F143" s="383">
        <f t="shared" ref="F143:F206" si="51">Wh_sa/(1-Pvg*MEDIAN((-Sdif+Wh/Env_an)/Csdif,0,1))</f>
        <v>60.189033404549562</v>
      </c>
      <c r="G143" s="110">
        <f t="shared" si="48"/>
        <v>0.94869680093358699</v>
      </c>
      <c r="H143" s="412" t="b">
        <f>Wh_hp&gt;='2026'!Maxi_hp</f>
        <v>0</v>
      </c>
      <c r="I143" s="388">
        <f>IF(H143,Wh_hp,'2026'!Maxi_hp)</f>
        <v>60.189147100812463</v>
      </c>
      <c r="J143" s="85">
        <f>IF(H143,An,'2026'!An_max)</f>
        <v>2026</v>
      </c>
      <c r="K143" s="197">
        <f t="shared" ref="K143:K206" si="52">t</f>
        <v>46516</v>
      </c>
      <c r="L143" s="147">
        <f>IF(t&lt;Tvie,1-EXP((T0-t)*PertePVj)+'2026'!Pspv,1-EXP((T0-t)*PertePVj)+Pspv)</f>
        <v>5.6506345770100608E-2</v>
      </c>
      <c r="M143" s="832"/>
      <c r="N143" s="832"/>
      <c r="O143" s="48">
        <f>IF(t&lt;Tnet,'2026'!Resal+('2026'!Salim-'2026'!Resal)*(1-EXP(('2026'!Tnet-t)/('2026'!Tau_j))),Resal+(Salim-Resal)*(1-EXP((Tnet-t)/(Tau_j))))*Salcycl</f>
        <v>3.662394742406392E-2</v>
      </c>
      <c r="P143" s="169">
        <f>(INDEX(Models!$BJ143:$BT143,,T143)*(1-R143)+INDEX(Models!$BJ143:$BT143,,T143+1)*R143-ERP_i)*Q143*Ramure*Pc/MaxiM</f>
        <v>2.9496649478636366E-5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57.66495432786752</v>
      </c>
      <c r="W143" s="400">
        <f t="shared" ref="W143:W206" si="59">Wh*(A143&gt;Tmaj)</f>
        <v>54.706675961201725</v>
      </c>
      <c r="X143" s="157">
        <f t="shared" ref="X143:X206" si="60">t</f>
        <v>46516</v>
      </c>
      <c r="Y143" s="383">
        <f t="shared" ref="Y143:Y206" si="61">Wh_pvt_s*(1-Ppv)</f>
        <v>52.886415107902693</v>
      </c>
      <c r="Z143" s="383">
        <f t="shared" ref="Z143:Z206" si="62">Wh_sa_s*(1-Psa_s)</f>
        <v>56.053811142025928</v>
      </c>
      <c r="AA143" s="384">
        <f t="shared" ref="AA143:AA206" si="63">Wh_hp*(1-Pvg_s*MEDIAN((-Sdif+Wh/Env_an)/Csdif,0,1))</f>
        <v>60.159710427980116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6.8249984196143185E-2</v>
      </c>
      <c r="AD143" s="230">
        <f>(INDEX(Models!$BJ143:$BT143,,AH143)*(1-AF143)+INDEX(Models!$BJ143:$BT143,,AH143+1)*AF143-ERP_i)*AE143*Ramure*Pc/MaxiM</f>
        <v>5.2570922167898763E-4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'2026'!Wh/'2026'!Env_an*'2027'!Env_an</f>
        <v>51.102250882884938</v>
      </c>
      <c r="C144" s="829"/>
      <c r="D144" s="391">
        <f t="shared" si="50"/>
        <v>54.163830393057637</v>
      </c>
      <c r="E144" s="383">
        <f t="shared" ref="E144:E169" si="72">Wh_pvt/(1-Psa)</f>
        <v>56.227727039478751</v>
      </c>
      <c r="F144" s="383">
        <f t="shared" si="51"/>
        <v>56.229111439056176</v>
      </c>
      <c r="G144" s="110">
        <f t="shared" ref="G144:G169" si="73">+Wh_hp/MaxiM</f>
        <v>0.88530703823932888</v>
      </c>
      <c r="H144" s="412" t="b">
        <f>Wh_hp&gt;='2026'!Maxi_hp</f>
        <v>0</v>
      </c>
      <c r="I144" s="388">
        <f>IF(H144,Wh_hp,'2026'!Maxi_hp)</f>
        <v>56.229347339722175</v>
      </c>
      <c r="J144" s="85">
        <f>IF(H144,An,'2026'!An_max)</f>
        <v>2026</v>
      </c>
      <c r="K144" s="197">
        <f t="shared" si="52"/>
        <v>46517</v>
      </c>
      <c r="L144" s="147">
        <f>IF(t&lt;Tvie,1-EXP((T0-t)*PertePVj)+'2026'!Pspv,1-EXP((T0-t)*PertePVj)+Pspv)</f>
        <v>5.6524427610738393E-2</v>
      </c>
      <c r="M144" s="832"/>
      <c r="N144" s="832"/>
      <c r="O144" s="48">
        <f>IF(t&lt;Tnet,'2026'!Resal+('2026'!Salim-'2026'!Resal)*(1-EXP(('2026'!Tnet-t)/('2026'!Tau_j))),Resal+(Salim-Resal)*(1-EXP((Tnet-t)/(Tau_j))))*Salcycl</f>
        <v>3.6706030193466695E-2</v>
      </c>
      <c r="P144" s="169">
        <f>(INDEX(Models!$BJ144:$BT144,,T144)*(1-R144)+INDEX(Models!$BJ144:$BT144,,T144+1)*R144-ERP_i)*Q144*Ramure*Pc/MaxiM</f>
        <v>2.9444986656314259E-5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57.72235183635005</v>
      </c>
      <c r="W144" s="400">
        <f t="shared" si="59"/>
        <v>51.102250882884938</v>
      </c>
      <c r="X144" s="157">
        <f t="shared" si="60"/>
        <v>46517</v>
      </c>
      <c r="Y144" s="383">
        <f t="shared" si="61"/>
        <v>49.404692323232354</v>
      </c>
      <c r="Z144" s="383">
        <f t="shared" si="62"/>
        <v>52.364569649768143</v>
      </c>
      <c r="AA144" s="384">
        <f t="shared" si="63"/>
        <v>56.204626902203074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6.8322795899289385E-2</v>
      </c>
      <c r="AD144" s="230">
        <f>(INDEX(Models!$BJ144:$BT144,,AH144)*(1-AF144)+INDEX(Models!$BJ144:$BT144,,AH144+1)*AF144-ERP_i)*AE144*Ramure*Pc/MaxiM</f>
        <v>5.2076501082566411E-4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'2026'!Wh/'2026'!Env_an*'2027'!Env_an</f>
        <v>55.104986828528517</v>
      </c>
      <c r="C145" s="829"/>
      <c r="D145" s="391">
        <f t="shared" si="50"/>
        <v>58.407493035266036</v>
      </c>
      <c r="E145" s="383">
        <f t="shared" si="72"/>
        <v>60.638285053820624</v>
      </c>
      <c r="F145" s="383">
        <f t="shared" si="51"/>
        <v>60.639950337446372</v>
      </c>
      <c r="G145" s="110">
        <f t="shared" si="73"/>
        <v>0.9537711404021495</v>
      </c>
      <c r="H145" s="412" t="b">
        <f>Wh_hp&gt;='2026'!Maxi_hp</f>
        <v>0</v>
      </c>
      <c r="I145" s="388">
        <f>IF(H145,Wh_hp,'2026'!Maxi_hp)</f>
        <v>60.640052240031864</v>
      </c>
      <c r="J145" s="85">
        <f>IF(H145,An,'2026'!An_max)</f>
        <v>2026</v>
      </c>
      <c r="K145" s="197">
        <f t="shared" si="52"/>
        <v>46518</v>
      </c>
      <c r="L145" s="147">
        <f>IF(t&lt;Tvie,1-EXP((T0-t)*PertePVj)+'2026'!Pspv,1-EXP((T0-t)*PertePVj)+Pspv)</f>
        <v>5.6542509104841931E-2</v>
      </c>
      <c r="M145" s="832"/>
      <c r="N145" s="832"/>
      <c r="O145" s="48">
        <f>IF(t&lt;Tnet,'2026'!Resal+('2026'!Salim-'2026'!Resal)*(1-EXP(('2026'!Tnet-t)/('2026'!Tau_j))),Resal+(Salim-Resal)*(1-EXP((Tnet-t)/(Tau_j))))*Salcycl</f>
        <v>3.6788507731948646E-2</v>
      </c>
      <c r="P145" s="169">
        <f>(INDEX(Models!$BJ145:$BT145,,T145)*(1-R145)+INDEX(Models!$BJ145:$BT145,,T145+1)*R145-ERP_i)*Q145*Ramure*Pc/MaxiM</f>
        <v>2.940359546239796E-5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57.775788645742054</v>
      </c>
      <c r="W145" s="400">
        <f t="shared" si="59"/>
        <v>55.104986828528517</v>
      </c>
      <c r="X145" s="157">
        <f t="shared" si="60"/>
        <v>46518</v>
      </c>
      <c r="Y145" s="383">
        <f t="shared" si="61"/>
        <v>53.272488900567808</v>
      </c>
      <c r="Z145" s="383">
        <f t="shared" si="62"/>
        <v>56.465171366674461</v>
      </c>
      <c r="AA145" s="384">
        <f t="shared" si="63"/>
        <v>60.610721387955572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6.8396315476042274E-2</v>
      </c>
      <c r="AD145" s="230">
        <f>(INDEX(Models!$BJ145:$BT145,,AH145)*(1-AF145)+INDEX(Models!$BJ145:$BT145,,AH145+1)*AF145-ERP_i)*AE145*Ramure*Pc/MaxiM</f>
        <v>5.1608998811547493E-4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'2026'!Wh/'2026'!Env_an*'2027'!Env_an</f>
        <v>41.084167234772096</v>
      </c>
      <c r="C146" s="829"/>
      <c r="D146" s="391">
        <f t="shared" si="50"/>
        <v>43.547223923753812</v>
      </c>
      <c r="E146" s="383">
        <f t="shared" si="72"/>
        <v>45.214338215001163</v>
      </c>
      <c r="F146" s="383">
        <f t="shared" si="51"/>
        <v>45.215117001434997</v>
      </c>
      <c r="G146" s="110">
        <f t="shared" si="73"/>
        <v>0.71047462228576064</v>
      </c>
      <c r="H146" s="412" t="b">
        <f>Wh_hp&gt;='2026'!Maxi_hp</f>
        <v>0</v>
      </c>
      <c r="I146" s="388">
        <f>IF(H146,Wh_hp,'2026'!Maxi_hp)</f>
        <v>56.127004376201441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5.6560590252417664E-2</v>
      </c>
      <c r="M146" s="832"/>
      <c r="N146" s="832"/>
      <c r="O146" s="48">
        <f>IF(t&lt;Tnet,'2026'!Resal+('2026'!Salim-'2026'!Resal)*(1-EXP(('2026'!Tnet-t)/('2026'!Tau_j))),Resal+(Salim-Resal)*(1-EXP((Tnet-t)/(Tau_j))))*Salcycl</f>
        <v>3.687136331223001E-2</v>
      </c>
      <c r="P146" s="169">
        <f>(INDEX(Models!$BJ146:$BT146,,T146)*(1-R146)+INDEX(Models!$BJ146:$BT146,,T146+1)*R146-ERP_i)*Q146*Ramure*Pc/MaxiM</f>
        <v>2.9372256677734151E-5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57.825665882525776</v>
      </c>
      <c r="W146" s="400">
        <f t="shared" si="59"/>
        <v>41.084167234772096</v>
      </c>
      <c r="X146" s="157">
        <f t="shared" si="60"/>
        <v>46519</v>
      </c>
      <c r="Y146" s="383">
        <f t="shared" si="61"/>
        <v>39.725004118393258</v>
      </c>
      <c r="Z146" s="383">
        <f t="shared" si="62"/>
        <v>42.106576965045058</v>
      </c>
      <c r="AA146" s="384">
        <f t="shared" si="63"/>
        <v>45.201550132520765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6.8470509493633272E-2</v>
      </c>
      <c r="AD146" s="230">
        <f>(INDEX(Models!$BJ146:$BT146,,AH146)*(1-AF146)+INDEX(Models!$BJ146:$BT146,,AH146+1)*AF146-ERP_i)*AE146*Ramure*Pc/MaxiM</f>
        <v>5.1168014586455007E-4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'2026'!Wh/'2026'!Env_an*'2027'!Env_an</f>
        <v>43.032939798201305</v>
      </c>
      <c r="C147" s="829"/>
      <c r="D147" s="391">
        <f t="shared" si="50"/>
        <v>45.613702465529457</v>
      </c>
      <c r="E147" s="383">
        <f t="shared" si="72"/>
        <v>47.364019874522377</v>
      </c>
      <c r="F147" s="383">
        <f t="shared" si="51"/>
        <v>47.36490082881388</v>
      </c>
      <c r="G147" s="110">
        <f t="shared" si="73"/>
        <v>0.74357532394945935</v>
      </c>
      <c r="H147" s="412" t="b">
        <f>Wh_hp&gt;='2026'!Maxi_hp</f>
        <v>0</v>
      </c>
      <c r="I147" s="388">
        <f>IF(H147,Wh_hp,'2026'!Maxi_hp)</f>
        <v>64.735176440204555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5.6578671053472362E-2</v>
      </c>
      <c r="M147" s="832"/>
      <c r="N147" s="832"/>
      <c r="O147" s="48">
        <f>IF(t&lt;Tnet,'2026'!Resal+('2026'!Salim-'2026'!Resal)*(1-EXP(('2026'!Tnet-t)/('2026'!Tau_j))),Resal+(Salim-Resal)*(1-EXP((Tnet-t)/(Tau_j))))*Salcycl</f>
        <v>3.6954578889838718E-2</v>
      </c>
      <c r="P147" s="169">
        <f>(INDEX(Models!$BJ147:$BT147,,T147)*(1-R147)+INDEX(Models!$BJ147:$BT147,,T147+1)*R147-ERP_i)*Q147*Ramure*Pc/MaxiM</f>
        <v>2.9350775286544905E-5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57.87238459408163</v>
      </c>
      <c r="W147" s="400">
        <f t="shared" si="59"/>
        <v>43.032939798201305</v>
      </c>
      <c r="X147" s="157">
        <f t="shared" si="60"/>
        <v>46520</v>
      </c>
      <c r="Y147" s="383">
        <f t="shared" si="61"/>
        <v>41.608718685711693</v>
      </c>
      <c r="Z147" s="383">
        <f t="shared" si="62"/>
        <v>44.104068255669084</v>
      </c>
      <c r="AA147" s="384">
        <f t="shared" si="63"/>
        <v>47.349667413473696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6.854534223995519E-2</v>
      </c>
      <c r="AD147" s="230">
        <f>(INDEX(Models!$BJ147:$BT147,,AH147)*(1-AF147)+INDEX(Models!$BJ147:$BT147,,AH147+1)*AF147-ERP_i)*AE147*Ramure*Pc/MaxiM</f>
        <v>5.0753206472465466E-4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'2026'!Wh/'2026'!Env_an*'2027'!Env_an</f>
        <v>49.036939986570026</v>
      </c>
      <c r="C148" s="829"/>
      <c r="D148" s="391">
        <f t="shared" si="50"/>
        <v>51.978769486913116</v>
      </c>
      <c r="E148" s="383">
        <f t="shared" si="72"/>
        <v>53.978014480305291</v>
      </c>
      <c r="F148" s="383">
        <f t="shared" si="51"/>
        <v>53.979251314629899</v>
      </c>
      <c r="G148" s="110">
        <f t="shared" si="73"/>
        <v>0.84668022892219474</v>
      </c>
      <c r="H148" s="412" t="b">
        <f>Wh_hp&gt;='2026'!Maxi_hp</f>
        <v>0</v>
      </c>
      <c r="I148" s="388">
        <f>IF(H148,Wh_hp,'2026'!Maxi_hp)</f>
        <v>63.17753058579234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5.6596751508012577E-2</v>
      </c>
      <c r="M148" s="832"/>
      <c r="N148" s="832"/>
      <c r="O148" s="48">
        <f>IF(t&lt;Tnet,'2026'!Resal+('2026'!Salim-'2026'!Resal)*(1-EXP(('2026'!Tnet-t)/('2026'!Tau_j))),Resal+(Salim-Resal)*(1-EXP((Tnet-t)/(Tau_j))))*Salcycl</f>
        <v>3.7038135111872809E-2</v>
      </c>
      <c r="P148" s="169">
        <f>(INDEX(Models!$BJ148:$BT148,,T148)*(1-R148)+INDEX(Models!$BJ148:$BT148,,T148+1)*R148-ERP_i)*Q148*Ramure*Pc/MaxiM</f>
        <v>2.9338980790292169E-5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57.916345747636825</v>
      </c>
      <c r="W148" s="400">
        <f t="shared" si="59"/>
        <v>49.036939986570026</v>
      </c>
      <c r="X148" s="157">
        <f t="shared" si="60"/>
        <v>46521</v>
      </c>
      <c r="Y148" s="383">
        <f t="shared" si="61"/>
        <v>47.411087093483239</v>
      </c>
      <c r="Z148" s="383">
        <f t="shared" si="62"/>
        <v>50.255378248134065</v>
      </c>
      <c r="AA148" s="384">
        <f t="shared" si="63"/>
        <v>53.958019397227311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6.8620775752260263E-2</v>
      </c>
      <c r="AD148" s="230">
        <f>(INDEX(Models!$BJ148:$BT148,,AH148)*(1-AF148)+INDEX(Models!$BJ148:$BT148,,AH148+1)*AF148-ERP_i)*AE148*Ramure*Pc/MaxiM</f>
        <v>5.0364289252175203E-4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'2026'!Wh/'2026'!Env_an*'2027'!Env_an</f>
        <v>51.603620454354399</v>
      </c>
      <c r="C149" s="829"/>
      <c r="D149" s="391">
        <f t="shared" si="50"/>
        <v>54.700478853990084</v>
      </c>
      <c r="E149" s="383">
        <f t="shared" si="72"/>
        <v>56.809356427051505</v>
      </c>
      <c r="F149" s="383">
        <f t="shared" si="51"/>
        <v>56.810762119494477</v>
      </c>
      <c r="G149" s="110">
        <f t="shared" si="73"/>
        <v>0.89038096868012018</v>
      </c>
      <c r="H149" s="412" t="b">
        <f>Wh_hp&gt;='2026'!Maxi_hp</f>
        <v>0</v>
      </c>
      <c r="I149" s="388">
        <f>IF(H149,Wh_hp,'2026'!Maxi_hp)</f>
        <v>63.749746861981109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5.661483161604508E-2</v>
      </c>
      <c r="M149" s="832"/>
      <c r="N149" s="832"/>
      <c r="O149" s="48">
        <f>IF(t&lt;Tnet,'2026'!Resal+('2026'!Salim-'2026'!Resal)*(1-EXP(('2026'!Tnet-t)/('2026'!Tau_j))),Resal+(Salim-Resal)*(1-EXP((Tnet-t)/(Tau_j))))*Salcycl</f>
        <v>3.7122011332225105E-2</v>
      </c>
      <c r="P149" s="169">
        <f>(INDEX(Models!$BJ149:$BT149,,T149)*(1-R149)+INDEX(Models!$BJ149:$BT149,,T149+1)*R149-ERP_i)*Q149*Ramure*Pc/MaxiM</f>
        <v>2.9337450938675076E-5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57.956521079128649</v>
      </c>
      <c r="W149" s="400">
        <f t="shared" si="59"/>
        <v>51.603620454354399</v>
      </c>
      <c r="X149" s="157">
        <f t="shared" si="60"/>
        <v>46522</v>
      </c>
      <c r="Y149" s="383">
        <f t="shared" si="61"/>
        <v>49.891616832845806</v>
      </c>
      <c r="Z149" s="383">
        <f t="shared" si="62"/>
        <v>52.885733743632557</v>
      </c>
      <c r="AA149" s="384">
        <f t="shared" si="63"/>
        <v>56.786803730449087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6.8696769857550147E-2</v>
      </c>
      <c r="AD149" s="230">
        <f>(INDEX(Models!$BJ149:$BT149,,AH149)*(1-AF149)+INDEX(Models!$BJ149:$BT149,,AH149+1)*AF149-ERP_i)*AE149*Ramure*Pc/MaxiM</f>
        <v>5.0002265196752134E-4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'2026'!Wh/'2026'!Env_an*'2027'!Env_an</f>
        <v>50.059574686656269</v>
      </c>
      <c r="C150" s="829"/>
      <c r="D150" s="391">
        <f t="shared" si="50"/>
        <v>53.06478813009798</v>
      </c>
      <c r="E150" s="383">
        <f t="shared" si="72"/>
        <v>55.11542278137312</v>
      </c>
      <c r="F150" s="383">
        <f t="shared" si="51"/>
        <v>55.116723748891687</v>
      </c>
      <c r="G150" s="110">
        <f t="shared" si="73"/>
        <v>0.86321394440189458</v>
      </c>
      <c r="H150" s="412" t="b">
        <f>Wh_hp&gt;='2026'!Maxi_hp</f>
        <v>0</v>
      </c>
      <c r="I150" s="388">
        <f>IF(H150,Wh_hp,'2026'!Maxi_hp)</f>
        <v>55.11699057045918</v>
      </c>
      <c r="J150" s="85">
        <f>IF(H150,An,'2026'!An_max)</f>
        <v>2026</v>
      </c>
      <c r="K150" s="197">
        <f t="shared" si="52"/>
        <v>46523</v>
      </c>
      <c r="L150" s="147">
        <f>IF(t&lt;Tvie,1-EXP((T0-t)*PertePVj)+'2026'!Pspv,1-EXP((T0-t)*PertePVj)+Pspv)</f>
        <v>5.6632911377576423E-2</v>
      </c>
      <c r="M150" s="832"/>
      <c r="N150" s="832"/>
      <c r="O150" s="48">
        <f>IF(t&lt;Tnet,'2026'!Resal+('2026'!Salim-'2026'!Resal)*(1-EXP(('2026'!Tnet-t)/('2026'!Tau_j))),Resal+(Salim-Resal)*(1-EXP((Tnet-t)/(Tau_j))))*Salcycl</f>
        <v>3.7206185633546066E-2</v>
      </c>
      <c r="P150" s="169">
        <f>(INDEX(Models!$BJ150:$BT150,,T150)*(1-R150)+INDEX(Models!$BJ150:$BT150,,T150+1)*R150-ERP_i)*Q150*Ramure*Pc/MaxiM</f>
        <v>2.9336201827624758E-5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57.991750534166371</v>
      </c>
      <c r="W150" s="400">
        <f t="shared" si="59"/>
        <v>50.059574686656269</v>
      </c>
      <c r="X150" s="157">
        <f t="shared" si="60"/>
        <v>46523</v>
      </c>
      <c r="Y150" s="383">
        <f t="shared" si="61"/>
        <v>48.400064831088812</v>
      </c>
      <c r="Z150" s="383">
        <f t="shared" si="62"/>
        <v>51.305653350453717</v>
      </c>
      <c r="AA150" s="384">
        <f t="shared" si="63"/>
        <v>55.094696459143293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6.8773282225076365E-2</v>
      </c>
      <c r="AD150" s="230">
        <f>(INDEX(Models!$BJ150:$BT150,,AH150)*(1-AF150)+INDEX(Models!$BJ150:$BT150,,AH150+1)*AF150-ERP_i)*AE150*Ramure*Pc/MaxiM</f>
        <v>4.9670495884859877E-4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'2026'!Wh/'2026'!Env_an*'2027'!Env_an</f>
        <v>53.38991195644288</v>
      </c>
      <c r="C151" s="829"/>
      <c r="D151" s="391">
        <f t="shared" si="50"/>
        <v>56.596139324195327</v>
      </c>
      <c r="E151" s="383">
        <f t="shared" si="72"/>
        <v>58.78839593062451</v>
      </c>
      <c r="F151" s="383">
        <f t="shared" si="51"/>
        <v>58.78992264998837</v>
      </c>
      <c r="G151" s="110">
        <f t="shared" si="73"/>
        <v>0.9201598479395724</v>
      </c>
      <c r="H151" s="412" t="b">
        <f>Wh_hp&gt;='2026'!Maxi_hp</f>
        <v>0</v>
      </c>
      <c r="I151" s="388">
        <f>IF(H151,Wh_hp,'2026'!Maxi_hp)</f>
        <v>58.790087827912487</v>
      </c>
      <c r="J151" s="85">
        <f>IF(H151,An,'2026'!An_max)</f>
        <v>2026</v>
      </c>
      <c r="K151" s="197">
        <f t="shared" si="52"/>
        <v>46524</v>
      </c>
      <c r="L151" s="147">
        <f>IF(t&lt;Tvie,1-EXP((T0-t)*PertePVj)+'2026'!Pspv,1-EXP((T0-t)*PertePVj)+Pspv)</f>
        <v>5.6650990792613265E-2</v>
      </c>
      <c r="M151" s="832"/>
      <c r="N151" s="832"/>
      <c r="O151" s="48">
        <f>IF(t&lt;Tnet,'2026'!Resal+('2026'!Salim-'2026'!Resal)*(1-EXP(('2026'!Tnet-t)/('2026'!Tau_j))),Resal+(Salim-Resal)*(1-EXP((Tnet-t)/(Tau_j))))*Salcycl</f>
        <v>3.7290634856175384E-2</v>
      </c>
      <c r="P151" s="169">
        <f>(INDEX(Models!$BJ151:$BT151,,T151)*(1-R151)+INDEX(Models!$BJ151:$BT151,,T151+1)*R151-ERP_i)*Q151*Ramure*Pc/MaxiM</f>
        <v>2.9312210194587277E-5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58.022237746156819</v>
      </c>
      <c r="W151" s="400">
        <f t="shared" si="59"/>
        <v>53.38991195644288</v>
      </c>
      <c r="X151" s="157">
        <f t="shared" si="60"/>
        <v>46524</v>
      </c>
      <c r="Y151" s="383">
        <f t="shared" si="61"/>
        <v>51.618448551162665</v>
      </c>
      <c r="Z151" s="383">
        <f t="shared" si="62"/>
        <v>54.718294127995229</v>
      </c>
      <c r="AA151" s="384">
        <f t="shared" si="63"/>
        <v>58.764226926007559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6.8850268431280934E-2</v>
      </c>
      <c r="AD151" s="230">
        <f>(INDEX(Models!$BJ151:$BT151,,AH151)*(1-AF151)+INDEX(Models!$BJ151:$BT151,,AH151+1)*AF151-ERP_i)*AE151*Ramure*Pc/MaxiM</f>
        <v>4.9334440910318552E-4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'2026'!Wh/'2026'!Env_an*'2027'!Env_an</f>
        <v>51.638939702615716</v>
      </c>
      <c r="C152" s="829"/>
      <c r="D152" s="391">
        <f t="shared" si="50"/>
        <v>54.741064935733199</v>
      </c>
      <c r="E152" s="383">
        <f t="shared" si="72"/>
        <v>56.866468214724918</v>
      </c>
      <c r="F152" s="383">
        <f t="shared" si="51"/>
        <v>56.867869888179456</v>
      </c>
      <c r="G152" s="110">
        <f t="shared" si="73"/>
        <v>0.88958339064829506</v>
      </c>
      <c r="H152" s="412" t="b">
        <f>Wh_hp&gt;='2026'!Maxi_hp</f>
        <v>0</v>
      </c>
      <c r="I152" s="388">
        <f>IF(H152,Wh_hp,'2026'!Maxi_hp)</f>
        <v>65.112138934007149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5.6669069861162269E-2</v>
      </c>
      <c r="M152" s="832"/>
      <c r="N152" s="832"/>
      <c r="O152" s="48">
        <f>IF(t&lt;Tnet,'2026'!Resal+('2026'!Salim-'2026'!Resal)*(1-EXP(('2026'!Tnet-t)/('2026'!Tau_j))),Resal+(Salim-Resal)*(1-EXP((Tnet-t)/(Tau_j))))*Salcycl</f>
        <v>3.7375334634222546E-2</v>
      </c>
      <c r="P152" s="169">
        <f>(INDEX(Models!$BJ152:$BT152,,T152)*(1-R152)+INDEX(Models!$BJ152:$BT152,,T152+1)*R152-ERP_i)*Q152*Ramure*Pc/MaxiM</f>
        <v>2.9263728735400414E-5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58.048185120117232</v>
      </c>
      <c r="W152" s="400">
        <f t="shared" si="59"/>
        <v>51.638939702615716</v>
      </c>
      <c r="X152" s="157">
        <f t="shared" si="60"/>
        <v>46525</v>
      </c>
      <c r="Y152" s="383">
        <f t="shared" si="61"/>
        <v>49.926968826861476</v>
      </c>
      <c r="Z152" s="383">
        <f t="shared" si="62"/>
        <v>52.92625019675048</v>
      </c>
      <c r="AA152" s="384">
        <f t="shared" si="63"/>
        <v>56.844403142138312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6.8927682037413035E-2</v>
      </c>
      <c r="AD152" s="230">
        <f>(INDEX(Models!$BJ152:$BT152,,AH152)*(1-AF152)+INDEX(Models!$BJ152:$BT152,,AH152+1)*AF152-ERP_i)*AE152*Ramure*Pc/MaxiM</f>
        <v>4.8993186553337065E-4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'2026'!Wh/'2026'!Env_an*'2027'!Env_an</f>
        <v>54.284625372786707</v>
      </c>
      <c r="C153" s="829"/>
      <c r="D153" s="391">
        <f t="shared" si="50"/>
        <v>57.546788736373244</v>
      </c>
      <c r="E153" s="383">
        <f t="shared" si="72"/>
        <v>59.78640289992439</v>
      </c>
      <c r="F153" s="383">
        <f t="shared" si="51"/>
        <v>59.787985542522776</v>
      </c>
      <c r="G153" s="110">
        <f t="shared" si="73"/>
        <v>0.93481435175742578</v>
      </c>
      <c r="H153" s="412" t="b">
        <f>Wh_hp&gt;='2026'!Maxi_hp</f>
        <v>0</v>
      </c>
      <c r="I153" s="388">
        <f>IF(H153,Wh_hp,'2026'!Maxi_hp)</f>
        <v>63.796579298765408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5.6687148583229985E-2</v>
      </c>
      <c r="M153" s="832"/>
      <c r="N153" s="832"/>
      <c r="O153" s="48">
        <f>IF(t&lt;Tnet,'2026'!Resal+('2026'!Salim-'2026'!Resal)*(1-EXP(('2026'!Tnet-t)/('2026'!Tau_j))),Resal+(Salim-Resal)*(1-EXP((Tnet-t)/(Tau_j))))*Salcycl</f>
        <v>3.746025943892297E-2</v>
      </c>
      <c r="P153" s="169">
        <f>(INDEX(Models!$BJ153:$BT153,,T153)*(1-R153)+INDEX(Models!$BJ153:$BT153,,T153+1)*R153-ERP_i)*Q153*Ramure*Pc/MaxiM</f>
        <v>2.9188951521184926E-5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58.06979505519584</v>
      </c>
      <c r="W153" s="400">
        <f t="shared" si="59"/>
        <v>54.284625372786707</v>
      </c>
      <c r="X153" s="157">
        <f t="shared" si="60"/>
        <v>46526</v>
      </c>
      <c r="Y153" s="383">
        <f t="shared" si="61"/>
        <v>52.483786907638638</v>
      </c>
      <c r="Z153" s="383">
        <f t="shared" si="62"/>
        <v>55.63773124559129</v>
      </c>
      <c r="AA153" s="384">
        <f t="shared" si="63"/>
        <v>59.761609475055693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6.9005474679956449E-2</v>
      </c>
      <c r="AD153" s="230">
        <f>(INDEX(Models!$BJ153:$BT153,,AH153)*(1-AF153)+INDEX(Models!$BJ153:$BT153,,AH153+1)*AF153-ERP_i)*AE153*Ramure*Pc/MaxiM</f>
        <v>4.8645838005430698E-4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'2026'!Wh/'2026'!Env_an*'2027'!Env_an</f>
        <v>48.439768998559479</v>
      </c>
      <c r="C154" s="829"/>
      <c r="D154" s="391">
        <f t="shared" si="50"/>
        <v>51.351677527471018</v>
      </c>
      <c r="E154" s="383">
        <f t="shared" si="72"/>
        <v>53.354907962059698</v>
      </c>
      <c r="F154" s="383">
        <f t="shared" si="51"/>
        <v>53.356091661056062</v>
      </c>
      <c r="G154" s="110">
        <f t="shared" si="73"/>
        <v>0.83390792420906423</v>
      </c>
      <c r="H154" s="412" t="b">
        <f>Wh_hp&gt;='2026'!Maxi_hp</f>
        <v>0</v>
      </c>
      <c r="I154" s="388">
        <f>IF(H154,Wh_hp,'2026'!Maxi_hp)</f>
        <v>63.305602398396879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5.6705226958823074E-2</v>
      </c>
      <c r="M154" s="832"/>
      <c r="N154" s="832"/>
      <c r="O154" s="48">
        <f>IF(t&lt;Tnet,'2026'!Resal+('2026'!Salim-'2026'!Resal)*(1-EXP(('2026'!Tnet-t)/('2026'!Tau_j))),Resal+(Salim-Resal)*(1-EXP((Tnet-t)/(Tau_j))))*Salcycl</f>
        <v>3.754538262933875E-2</v>
      </c>
      <c r="P154" s="169">
        <f>(INDEX(Models!$BJ154:$BT154,,T154)*(1-R154)+INDEX(Models!$BJ154:$BT154,,T154+1)*R154-ERP_i)*Q154*Ramure*Pc/MaxiM</f>
        <v>2.9086017526373171E-5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58.087269944146229</v>
      </c>
      <c r="W154" s="400">
        <f t="shared" si="59"/>
        <v>48.439768998559479</v>
      </c>
      <c r="X154" s="157">
        <f t="shared" si="60"/>
        <v>46527</v>
      </c>
      <c r="Y154" s="383">
        <f t="shared" si="61"/>
        <v>46.836251067610405</v>
      </c>
      <c r="Z154" s="383">
        <f t="shared" si="62"/>
        <v>49.651765711168522</v>
      </c>
      <c r="AA154" s="384">
        <f t="shared" si="63"/>
        <v>53.336438703945724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6.9083596173897158E-2</v>
      </c>
      <c r="AD154" s="230">
        <f>(INDEX(Models!$BJ154:$BT154,,AH154)*(1-AF154)+INDEX(Models!$BJ154:$BT154,,AH154+1)*AF154-ERP_i)*AE154*Ramure*Pc/MaxiM</f>
        <v>4.8291521468707502E-4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'2026'!Wh/'2026'!Env_an*'2027'!Env_an</f>
        <v>48.533948133299688</v>
      </c>
      <c r="C155" s="829"/>
      <c r="D155" s="391">
        <f t="shared" si="50"/>
        <v>51.452504222718659</v>
      </c>
      <c r="E155" s="383">
        <f t="shared" si="72"/>
        <v>53.46440598932432</v>
      </c>
      <c r="F155" s="383">
        <f t="shared" si="51"/>
        <v>53.465589848453035</v>
      </c>
      <c r="G155" s="110">
        <f t="shared" si="73"/>
        <v>0.83533458086940693</v>
      </c>
      <c r="H155" s="412" t="b">
        <f>Wh_hp&gt;='2026'!Maxi_hp</f>
        <v>0</v>
      </c>
      <c r="I155" s="388">
        <f>IF(H155,Wh_hp,'2026'!Maxi_hp)</f>
        <v>61.653025263591708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5.6723304987948309E-2</v>
      </c>
      <c r="M155" s="832"/>
      <c r="N155" s="832"/>
      <c r="O155" s="48">
        <f>IF(t&lt;Tnet,'2026'!Resal+('2026'!Salim-'2026'!Resal)*(1-EXP(('2026'!Tnet-t)/('2026'!Tau_j))),Resal+(Salim-Resal)*(1-EXP((Tnet-t)/(Tau_j))))*Salcycl</f>
        <v>3.7630676510413234E-2</v>
      </c>
      <c r="P155" s="169">
        <f>(INDEX(Models!$BJ155:$BT155,,T155)*(1-R155)+INDEX(Models!$BJ155:$BT155,,T155+1)*R155-ERP_i)*Q155*Ramure*Pc/MaxiM</f>
        <v>2.8953014721196568E-5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58.10081217020015</v>
      </c>
      <c r="W155" s="400">
        <f t="shared" si="59"/>
        <v>48.533948133299688</v>
      </c>
      <c r="X155" s="157">
        <f t="shared" si="60"/>
        <v>46528</v>
      </c>
      <c r="Y155" s="383">
        <f t="shared" si="61"/>
        <v>46.927601101592977</v>
      </c>
      <c r="Z155" s="383">
        <f t="shared" si="62"/>
        <v>49.749560600554652</v>
      </c>
      <c r="AA155" s="384">
        <f t="shared" si="63"/>
        <v>53.445992013092308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6.9161994628749071E-2</v>
      </c>
      <c r="AD155" s="230">
        <f>(INDEX(Models!$BJ155:$BT155,,AH155)*(1-AF155)+INDEX(Models!$BJ155:$BT155,,AH155+1)*AF155-ERP_i)*AE155*Ramure*Pc/MaxiM</f>
        <v>4.7929386355325429E-4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'2026'!Wh/'2026'!Env_an*'2027'!Env_an</f>
        <v>36.86656201840065</v>
      </c>
      <c r="C156" s="829"/>
      <c r="D156" s="391">
        <f t="shared" si="50"/>
        <v>39.084256789277518</v>
      </c>
      <c r="E156" s="383">
        <f t="shared" si="72"/>
        <v>40.616139678580979</v>
      </c>
      <c r="F156" s="383">
        <f t="shared" si="51"/>
        <v>40.616698685313004</v>
      </c>
      <c r="G156" s="110">
        <f t="shared" si="73"/>
        <v>0.63441080978108844</v>
      </c>
      <c r="H156" s="412" t="b">
        <f>Wh_hp&gt;='2026'!Maxi_hp</f>
        <v>0</v>
      </c>
      <c r="I156" s="388">
        <f>IF(H156,Wh_hp,'2026'!Maxi_hp)</f>
        <v>60.757180610940942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5.6741382670612239E-2</v>
      </c>
      <c r="M156" s="832"/>
      <c r="N156" s="832"/>
      <c r="O156" s="48">
        <f>IF(t&lt;Tnet,'2026'!Resal+('2026'!Salim-'2026'!Resal)*(1-EXP(('2026'!Tnet-t)/('2026'!Tau_j))),Resal+(Salim-Resal)*(1-EXP((Tnet-t)/(Tau_j))))*Salcycl</f>
        <v>3.7716112398325827E-2</v>
      </c>
      <c r="P156" s="169">
        <f>(INDEX(Models!$BJ156:$BT156,,T156)*(1-R156)+INDEX(Models!$BJ156:$BT156,,T156+1)*R156-ERP_i)*Q156*Ramure*Pc/MaxiM</f>
        <v>2.88083081186379E-5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58.110622916235073</v>
      </c>
      <c r="W156" s="400">
        <f t="shared" si="59"/>
        <v>36.86656201840065</v>
      </c>
      <c r="X156" s="157">
        <f t="shared" si="60"/>
        <v>46529</v>
      </c>
      <c r="Y156" s="383">
        <f t="shared" si="61"/>
        <v>35.6511958918205</v>
      </c>
      <c r="Z156" s="383">
        <f t="shared" si="62"/>
        <v>37.795780750732362</v>
      </c>
      <c r="AA156" s="384">
        <f t="shared" si="63"/>
        <v>40.607466788826642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6.924061657714467E-2</v>
      </c>
      <c r="AD156" s="230">
        <f>(INDEX(Models!$BJ156:$BT156,,AH156)*(1-AF156)+INDEX(Models!$BJ156:$BT156,,AH156+1)*AF156-ERP_i)*AE156*Ramure*Pc/MaxiM</f>
        <v>4.757640709196844E-4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'2026'!Wh/'2026'!Env_an*'2027'!Env_an</f>
        <v>19.465030971845451</v>
      </c>
      <c r="C157" s="829"/>
      <c r="D157" s="391">
        <f t="shared" si="50"/>
        <v>20.636338395703625</v>
      </c>
      <c r="E157" s="383">
        <f t="shared" si="72"/>
        <v>21.447073386727194</v>
      </c>
      <c r="F157" s="383">
        <f t="shared" si="51"/>
        <v>21.447104057164182</v>
      </c>
      <c r="G157" s="110">
        <f t="shared" si="73"/>
        <v>0.33491978446081244</v>
      </c>
      <c r="H157" s="412" t="b">
        <f>Wh_hp&gt;='2026'!Maxi_hp</f>
        <v>0</v>
      </c>
      <c r="I157" s="388">
        <f>IF(H157,Wh_hp,'2026'!Maxi_hp)</f>
        <v>57.940082195716684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5.6759460006821527E-2</v>
      </c>
      <c r="M157" s="832"/>
      <c r="N157" s="832"/>
      <c r="O157" s="48">
        <f>IF(t&lt;Tnet,'2026'!Resal+('2026'!Salim-'2026'!Resal)*(1-EXP(('2026'!Tnet-t)/('2026'!Tau_j))),Resal+(Salim-Resal)*(1-EXP((Tnet-t)/(Tau_j))))*Salcycl</f>
        <v>3.7801660693029697E-2</v>
      </c>
      <c r="P157" s="169">
        <f>(INDEX(Models!$BJ157:$BT157,,T157)*(1-R157)+INDEX(Models!$BJ157:$BT157,,T157+1)*R157-ERP_i)*Q157*Ramure*Pc/MaxiM</f>
        <v>2.8659221069156577E-5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58.116903979770868</v>
      </c>
      <c r="W157" s="400">
        <f t="shared" si="59"/>
        <v>19.465030971845451</v>
      </c>
      <c r="X157" s="157">
        <f t="shared" si="60"/>
        <v>46530</v>
      </c>
      <c r="Y157" s="383">
        <f t="shared" si="61"/>
        <v>18.827018074411143</v>
      </c>
      <c r="Z157" s="383">
        <f t="shared" si="62"/>
        <v>19.959933098875606</v>
      </c>
      <c r="AA157" s="384">
        <f t="shared" si="63"/>
        <v>21.446598598362034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6.9319407115680021E-2</v>
      </c>
      <c r="AD157" s="230">
        <f>(INDEX(Models!$BJ157:$BT157,,AH157)*(1-AF157)+INDEX(Models!$BJ157:$BT157,,AH157+1)*AF157-ERP_i)*AE157*Ramure*Pc/MaxiM</f>
        <v>4.7231330801101657E-4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'2026'!Wh/'2026'!Env_an*'2027'!Env_an</f>
        <v>16.091584988056262</v>
      </c>
      <c r="C158" s="829"/>
      <c r="D158" s="391">
        <f t="shared" si="50"/>
        <v>17.060222396334048</v>
      </c>
      <c r="E158" s="383">
        <f t="shared" si="72"/>
        <v>17.732041408451625</v>
      </c>
      <c r="F158" s="383">
        <f t="shared" si="51"/>
        <v>17.732041408451625</v>
      </c>
      <c r="G158" s="110">
        <f t="shared" si="73"/>
        <v>0.27686107575254287</v>
      </c>
      <c r="H158" s="412" t="b">
        <f>Wh_hp&gt;='2026'!Maxi_hp</f>
        <v>0</v>
      </c>
      <c r="I158" s="388">
        <f>IF(H158,Wh_hp,'2026'!Maxi_hp)</f>
        <v>27.39141049073487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5.6777536996582723E-2</v>
      </c>
      <c r="M158" s="832"/>
      <c r="N158" s="832"/>
      <c r="O158" s="48">
        <f>IF(t&lt;Tnet,'2026'!Resal+('2026'!Salim-'2026'!Resal)*(1-EXP(('2026'!Tnet-t)/('2026'!Tau_j))),Resal+(Salim-Resal)*(1-EXP((Tnet-t)/(Tau_j))))*Salcycl</f>
        <v>3.7887290957789366E-2</v>
      </c>
      <c r="P158" s="169">
        <f>(INDEX(Models!$BJ158:$BT158,,T158)*(1-R158)+INDEX(Models!$BJ158:$BT158,,T158+1)*R158-ERP_i)*Q158*Ramure*Pc/MaxiM</f>
        <v>2.8504939248080177E-5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58.11985760246754</v>
      </c>
      <c r="W158" s="400">
        <f t="shared" si="59"/>
        <v>16.091584988056262</v>
      </c>
      <c r="X158" s="157">
        <f t="shared" si="60"/>
        <v>46531</v>
      </c>
      <c r="Y158" s="383">
        <f t="shared" si="61"/>
        <v>15.564555007951874</v>
      </c>
      <c r="Z158" s="383">
        <f t="shared" si="62"/>
        <v>16.501467700833885</v>
      </c>
      <c r="AA158" s="384">
        <f t="shared" si="63"/>
        <v>17.732041408451625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6.9398310057589396E-2</v>
      </c>
      <c r="AD158" s="230">
        <f>(INDEX(Models!$BJ158:$BT158,,AH158)*(1-AF158)+INDEX(Models!$BJ158:$BT158,,AH158+1)*AF158-ERP_i)*AE158*Ramure*Pc/MaxiM</f>
        <v>4.689370849328921E-4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'2026'!Wh/'2026'!Env_an*'2027'!Env_an</f>
        <v>40.47829282735443</v>
      </c>
      <c r="C159" s="829"/>
      <c r="D159" s="391">
        <f t="shared" si="50"/>
        <v>42.915717327782431</v>
      </c>
      <c r="E159" s="383">
        <f t="shared" si="72"/>
        <v>44.609679436185715</v>
      </c>
      <c r="F159" s="383">
        <f t="shared" si="51"/>
        <v>44.61039560624598</v>
      </c>
      <c r="G159" s="110">
        <f t="shared" si="73"/>
        <v>0.69645585010581779</v>
      </c>
      <c r="H159" s="412" t="b">
        <f>Wh_hp&gt;='2026'!Maxi_hp</f>
        <v>0</v>
      </c>
      <c r="I159" s="388">
        <f>IF(H159,Wh_hp,'2026'!Maxi_hp)</f>
        <v>59.825577923222795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5.6795613639902598E-2</v>
      </c>
      <c r="M159" s="832"/>
      <c r="N159" s="832"/>
      <c r="O159" s="48">
        <f>IF(t&lt;Tnet,'2026'!Resal+('2026'!Salim-'2026'!Resal)*(1-EXP(('2026'!Tnet-t)/('2026'!Tau_j))),Resal+(Salim-Resal)*(1-EXP((Tnet-t)/(Tau_j))))*Salcycl</f>
        <v>3.7972972005470187E-2</v>
      </c>
      <c r="P159" s="169">
        <f>(INDEX(Models!$BJ159:$BT159,,T159)*(1-R159)+INDEX(Models!$BJ159:$BT159,,T159+1)*R159-ERP_i)*Q159*Ramure*Pc/MaxiM</f>
        <v>2.8344834051114776E-5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58.119685973620619</v>
      </c>
      <c r="W159" s="400">
        <f t="shared" si="59"/>
        <v>40.47829282735443</v>
      </c>
      <c r="X159" s="157">
        <f t="shared" si="60"/>
        <v>46532</v>
      </c>
      <c r="Y159" s="383">
        <f t="shared" si="61"/>
        <v>39.143019491500112</v>
      </c>
      <c r="Z159" s="383">
        <f t="shared" si="62"/>
        <v>41.500039713085108</v>
      </c>
      <c r="AA159" s="384">
        <f t="shared" si="63"/>
        <v>44.598630737586483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6.9477268096707956E-2</v>
      </c>
      <c r="AD159" s="230">
        <f>(INDEX(Models!$BJ159:$BT159,,AH159)*(1-AF159)+INDEX(Models!$BJ159:$BT159,,AH159+1)*AF159-ERP_i)*AE159*Ramure*Pc/MaxiM</f>
        <v>4.6563416747878874E-4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'2026'!Wh/'2026'!Env_an*'2027'!Env_an</f>
        <v>24.605862037379445</v>
      </c>
      <c r="C160" s="829"/>
      <c r="D160" s="391">
        <f t="shared" si="50"/>
        <v>26.088018639424867</v>
      </c>
      <c r="E160" s="383">
        <f t="shared" si="72"/>
        <v>27.120176542813002</v>
      </c>
      <c r="F160" s="383">
        <f t="shared" si="51"/>
        <v>27.120311247863704</v>
      </c>
      <c r="G160" s="110">
        <f t="shared" si="73"/>
        <v>0.42337808144435313</v>
      </c>
      <c r="H160" s="412" t="b">
        <f>Wh_hp&gt;='2026'!Maxi_hp</f>
        <v>0</v>
      </c>
      <c r="I160" s="388">
        <f>IF(H160,Wh_hp,'2026'!Maxi_hp)</f>
        <v>62.596709791929555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5.6813689936787592E-2</v>
      </c>
      <c r="M160" s="832"/>
      <c r="N160" s="832"/>
      <c r="O160" s="48">
        <f>IF(t&lt;Tnet,'2026'!Resal+('2026'!Salim-'2026'!Resal)*(1-EXP(('2026'!Tnet-t)/('2026'!Tau_j))),Resal+(Salim-Resal)*(1-EXP((Tnet-t)/(Tau_j))))*Salcycl</f>
        <v>3.8058671991265544E-2</v>
      </c>
      <c r="P160" s="169">
        <f>(INDEX(Models!$BJ160:$BT160,,T160)*(1-R160)+INDEX(Models!$BJ160:$BT160,,T160+1)*R160-ERP_i)*Q160*Ramure*Pc/MaxiM</f>
        <v>2.8178290761948586E-5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58.116591240128997</v>
      </c>
      <c r="W160" s="400">
        <f t="shared" si="59"/>
        <v>24.605862037379445</v>
      </c>
      <c r="X160" s="157">
        <f t="shared" si="60"/>
        <v>46533</v>
      </c>
      <c r="Y160" s="383">
        <f t="shared" si="61"/>
        <v>23.798352555432629</v>
      </c>
      <c r="Z160" s="383">
        <f t="shared" si="62"/>
        <v>25.231868085360212</v>
      </c>
      <c r="AA160" s="384">
        <f t="shared" si="63"/>
        <v>27.118100747826187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6.9556222982067747E-2</v>
      </c>
      <c r="AD160" s="230">
        <f>(INDEX(Models!$BJ160:$BT160,,AH160)*(1-AF160)+INDEX(Models!$BJ160:$BT160,,AH160+1)*AF160-ERP_i)*AE160*Ramure*Pc/MaxiM</f>
        <v>4.624036920759436E-4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'2026'!Wh/'2026'!Env_an*'2027'!Env_an</f>
        <v>45.30225379305152</v>
      </c>
      <c r="C161" s="829"/>
      <c r="D161" s="391">
        <f t="shared" si="50"/>
        <v>48.031997001751918</v>
      </c>
      <c r="E161" s="383">
        <f t="shared" si="72"/>
        <v>49.936804370581207</v>
      </c>
      <c r="F161" s="383">
        <f t="shared" si="51"/>
        <v>49.93776250663214</v>
      </c>
      <c r="G161" s="110">
        <f t="shared" si="73"/>
        <v>0.779577521025417</v>
      </c>
      <c r="H161" s="412" t="b">
        <f>Wh_hp&gt;='2026'!Maxi_hp</f>
        <v>0</v>
      </c>
      <c r="I161" s="388">
        <f>IF(H161,Wh_hp,'2026'!Maxi_hp)</f>
        <v>62.270971233570506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5.683176588724459E-2</v>
      </c>
      <c r="M161" s="832"/>
      <c r="N161" s="832"/>
      <c r="O161" s="48">
        <f>IF(t&lt;Tnet,'2026'!Resal+('2026'!Salim-'2026'!Resal)*(1-EXP(('2026'!Tnet-t)/('2026'!Tau_j))),Resal+(Salim-Resal)*(1-EXP((Tnet-t)/(Tau_j))))*Salcycl</f>
        <v>3.8144358511483921E-2</v>
      </c>
      <c r="P161" s="169">
        <f>(INDEX(Models!$BJ161:$BT161,,T161)*(1-R161)+INDEX(Models!$BJ161:$BT161,,T161+1)*R161-ERP_i)*Q161*Ramure*Pc/MaxiM</f>
        <v>2.8004711165176737E-5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58.110775494974973</v>
      </c>
      <c r="W161" s="400">
        <f t="shared" si="59"/>
        <v>45.30225379305152</v>
      </c>
      <c r="X161" s="157">
        <f t="shared" si="60"/>
        <v>46534</v>
      </c>
      <c r="Y161" s="383">
        <f t="shared" si="61"/>
        <v>43.806130009814623</v>
      </c>
      <c r="Z161" s="383">
        <f t="shared" si="62"/>
        <v>46.445722433626422</v>
      </c>
      <c r="AA161" s="384">
        <f t="shared" si="63"/>
        <v>49.922050173561402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6.9635115702360306E-2</v>
      </c>
      <c r="AD161" s="230">
        <f>(INDEX(Models!$BJ161:$BT161,,AH161)*(1-AF161)+INDEX(Models!$BJ161:$BT161,,AH161+1)*AF161-ERP_i)*AE161*Ramure*Pc/MaxiM</f>
        <v>4.5924516560053713E-4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'2026'!Wh/'2026'!Env_an*'2027'!Env_an</f>
        <v>54.489063483941102</v>
      </c>
      <c r="C162" s="829"/>
      <c r="D162" s="391">
        <f t="shared" si="50"/>
        <v>57.773476463278698</v>
      </c>
      <c r="E162" s="383">
        <f t="shared" si="72"/>
        <v>60.069950596988477</v>
      </c>
      <c r="F162" s="383">
        <f t="shared" si="51"/>
        <v>60.071473505244903</v>
      </c>
      <c r="G162" s="110">
        <f t="shared" si="73"/>
        <v>0.93780791419188891</v>
      </c>
      <c r="H162" s="412" t="b">
        <f>Wh_hp&gt;='2026'!Maxi_hp</f>
        <v>0</v>
      </c>
      <c r="I162" s="388">
        <f>IF(H162,Wh_hp,'2026'!Maxi_hp)</f>
        <v>61.405954695216622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5.684984149128014E-2</v>
      </c>
      <c r="M162" s="832"/>
      <c r="N162" s="832"/>
      <c r="O162" s="48">
        <f>IF(t&lt;Tnet,'2026'!Resal+('2026'!Salim-'2026'!Resal)*(1-EXP(('2026'!Tnet-t)/('2026'!Tau_j))),Resal+(Salim-Resal)*(1-EXP((Tnet-t)/(Tau_j))))*Salcycl</f>
        <v>3.82299987079548E-2</v>
      </c>
      <c r="P162" s="169">
        <f>(INDEX(Models!$BJ162:$BT162,,T162)*(1-R162)+INDEX(Models!$BJ162:$BT162,,T162+1)*R162-ERP_i)*Q162*Ramure*Pc/MaxiM</f>
        <v>2.7823516246406756E-5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58.102440770443039</v>
      </c>
      <c r="W162" s="400">
        <f t="shared" si="59"/>
        <v>54.489063483941102</v>
      </c>
      <c r="X162" s="157">
        <f t="shared" si="60"/>
        <v>46535</v>
      </c>
      <c r="Y162" s="383">
        <f t="shared" si="61"/>
        <v>52.6847739383564</v>
      </c>
      <c r="Z162" s="383">
        <f t="shared" si="62"/>
        <v>55.86043056140705</v>
      </c>
      <c r="AA162" s="384">
        <f t="shared" si="63"/>
        <v>60.046505866906038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6.9713886679392961E-2</v>
      </c>
      <c r="AD162" s="230">
        <f>(INDEX(Models!$BJ162:$BT162,,AH162)*(1-AF162)+INDEX(Models!$BJ162:$BT162,,AH162+1)*AF162-ERP_i)*AE162*Ramure*Pc/MaxiM</f>
        <v>4.5615846392919293E-4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'2026'!Wh/'2026'!Env_an*'2027'!Env_an</f>
        <v>58.91610402062274</v>
      </c>
      <c r="C163" s="829"/>
      <c r="D163" s="391">
        <f t="shared" si="50"/>
        <v>62.468560943798295</v>
      </c>
      <c r="E163" s="383">
        <f t="shared" si="72"/>
        <v>64.957441656605837</v>
      </c>
      <c r="F163" s="383">
        <f t="shared" si="51"/>
        <v>64.959236791876052</v>
      </c>
      <c r="G163" s="110">
        <f t="shared" si="73"/>
        <v>1.0142136258336651</v>
      </c>
      <c r="H163" s="412" t="b">
        <f>Wh_hp&gt;='2026'!Maxi_hp</f>
        <v>1</v>
      </c>
      <c r="I163" s="388">
        <f>IF(H163,Wh_hp,'2026'!Maxi_hp)</f>
        <v>64.959236791876052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5.6867916748900793E-2</v>
      </c>
      <c r="M163" s="832"/>
      <c r="N163" s="832"/>
      <c r="O163" s="48">
        <f>IF(t&lt;Tnet,'2026'!Resal+('2026'!Salim-'2026'!Resal)*(1-EXP(('2026'!Tnet-t)/('2026'!Tau_j))),Resal+(Salim-Resal)*(1-EXP((Tnet-t)/(Tau_j))))*Salcycl</f>
        <v>3.8315559377551822E-2</v>
      </c>
      <c r="P163" s="169">
        <f>(INDEX(Models!$BJ163:$BT163,,T163)*(1-R163)+INDEX(Models!$BJ163:$BT163,,T163+1)*R163-ERP_i)*Q163*Ramure*Pc/MaxiM</f>
        <v>2.76347962026481E-5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58.090428406732137</v>
      </c>
      <c r="W163" s="400">
        <f t="shared" si="59"/>
        <v>58.91610402062274</v>
      </c>
      <c r="X163" s="157">
        <f t="shared" si="60"/>
        <v>46536</v>
      </c>
      <c r="Y163" s="383">
        <f t="shared" si="61"/>
        <v>56.963469536253626</v>
      </c>
      <c r="Z163" s="383">
        <f t="shared" si="62"/>
        <v>60.398188703212305</v>
      </c>
      <c r="AA163" s="384">
        <f t="shared" si="63"/>
        <v>64.929800225133448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6.9792475969562798E-2</v>
      </c>
      <c r="AD163" s="230">
        <f>(INDEX(Models!$BJ163:$BT163,,AH163)*(1-AF163)+INDEX(Models!$BJ163:$BT163,,AH163+1)*AF163-ERP_i)*AE163*Ramure*Pc/MaxiM</f>
        <v>4.5315444263796528E-4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'2026'!Wh/'2026'!Env_an*'2027'!Env_an</f>
        <v>49.990050057192789</v>
      </c>
      <c r="C164" s="829"/>
      <c r="D164" s="391">
        <f t="shared" si="50"/>
        <v>53.005309660480613</v>
      </c>
      <c r="E164" s="383">
        <f t="shared" si="72"/>
        <v>55.122051968742262</v>
      </c>
      <c r="F164" s="383">
        <f t="shared" si="51"/>
        <v>55.123263904856444</v>
      </c>
      <c r="G164" s="110">
        <f t="shared" si="73"/>
        <v>0.86079871431064081</v>
      </c>
      <c r="H164" s="412" t="b">
        <f>Wh_hp&gt;='2026'!Maxi_hp</f>
        <v>0</v>
      </c>
      <c r="I164" s="388">
        <f>IF(H164,Wh_hp,'2026'!Maxi_hp)</f>
        <v>59.25879141798292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5.6885991660113322E-2</v>
      </c>
      <c r="M164" s="832"/>
      <c r="N164" s="832"/>
      <c r="O164" s="48">
        <f>IF(t&lt;Tnet,'2026'!Resal+('2026'!Salim-'2026'!Resal)*(1-EXP(('2026'!Tnet-t)/('2026'!Tau_j))),Resal+(Salim-Resal)*(1-EXP((Tnet-t)/(Tau_j))))*Salcycl</f>
        <v>3.8401007086274253E-2</v>
      </c>
      <c r="P164" s="169">
        <f>(INDEX(Models!$BJ164:$BT164,,T164)*(1-R164)+INDEX(Models!$BJ164:$BT164,,T164+1)*R164-ERP_i)*Q164*Ramure*Pc/MaxiM</f>
        <v>2.7443038521442263E-5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58.073712726212605</v>
      </c>
      <c r="W164" s="400">
        <f t="shared" si="59"/>
        <v>49.990050057192789</v>
      </c>
      <c r="X164" s="157">
        <f t="shared" si="60"/>
        <v>46537</v>
      </c>
      <c r="Y164" s="383">
        <f t="shared" si="61"/>
        <v>48.337666563550201</v>
      </c>
      <c r="Z164" s="383">
        <f t="shared" si="62"/>
        <v>51.253259029241249</v>
      </c>
      <c r="AA164" s="384">
        <f t="shared" si="63"/>
        <v>55.103377383102291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6.987082347227784E-2</v>
      </c>
      <c r="AD164" s="230">
        <f>(INDEX(Models!$BJ164:$BT164,,AH164)*(1-AF164)+INDEX(Models!$BJ164:$BT164,,AH164+1)*AF164-ERP_i)*AE164*Ramure*Pc/MaxiM</f>
        <v>4.5030969551251832E-4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'2026'!Wh/'2026'!Env_an*'2027'!Env_an</f>
        <v>54.19139886190014</v>
      </c>
      <c r="C165" s="829"/>
      <c r="D165" s="391">
        <f t="shared" si="50"/>
        <v>57.461173271079495</v>
      </c>
      <c r="E165" s="383">
        <f t="shared" si="72"/>
        <v>59.761159686374299</v>
      </c>
      <c r="F165" s="383">
        <f t="shared" si="51"/>
        <v>59.762634077672381</v>
      </c>
      <c r="G165" s="110">
        <f t="shared" si="73"/>
        <v>0.93348394590670203</v>
      </c>
      <c r="H165" s="412" t="b">
        <f>Wh_hp&gt;='2026'!Maxi_hp</f>
        <v>0</v>
      </c>
      <c r="I165" s="388">
        <f>IF(H165,Wh_hp,'2026'!Maxi_hp)</f>
        <v>62.682352866116169</v>
      </c>
      <c r="J165" s="85">
        <f>IF(H165,An,'2026'!An_max)</f>
        <v>2018</v>
      </c>
      <c r="K165" s="197">
        <f t="shared" si="52"/>
        <v>46538</v>
      </c>
      <c r="L165" s="147">
        <f>IF(t&lt;Tvie,1-EXP((T0-t)*PertePVj)+'2026'!Pspv,1-EXP((T0-t)*PertePVj)+Pspv)</f>
        <v>5.6904066224924277E-2</v>
      </c>
      <c r="M165" s="832"/>
      <c r="N165" s="832"/>
      <c r="O165" s="48">
        <f>IF(t&lt;Tnet,'2026'!Resal+('2026'!Salim-'2026'!Resal)*(1-EXP(('2026'!Tnet-t)/('2026'!Tau_j))),Resal+(Salim-Resal)*(1-EXP((Tnet-t)/(Tau_j))))*Salcycl</f>
        <v>3.8486308287273889E-2</v>
      </c>
      <c r="P165" s="169">
        <f>(INDEX(Models!$BJ165:$BT165,,T165)*(1-R165)+INDEX(Models!$BJ165:$BT165,,T165+1)*R165-ERP_i)*Q165*Ramure*Pc/MaxiM</f>
        <v>2.7261126432679774E-5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58.052694662849895</v>
      </c>
      <c r="W165" s="400">
        <f t="shared" si="59"/>
        <v>54.19139886190014</v>
      </c>
      <c r="X165" s="157">
        <f t="shared" si="60"/>
        <v>46538</v>
      </c>
      <c r="Y165" s="383">
        <f t="shared" si="61"/>
        <v>52.398212870609669</v>
      </c>
      <c r="Z165" s="383">
        <f t="shared" si="62"/>
        <v>55.559790890908893</v>
      </c>
      <c r="AA165" s="384">
        <f t="shared" si="63"/>
        <v>59.738426251665004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6.994886914416576E-2</v>
      </c>
      <c r="AD165" s="230">
        <f>(INDEX(Models!$BJ165:$BT165,,AH165)*(1-AF165)+INDEX(Models!$BJ165:$BT165,,AH165+1)*AF165-ERP_i)*AE165*Ramure*Pc/MaxiM</f>
        <v>4.4759664975420853E-4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'2026'!Wh/'2026'!Env_an*'2027'!Env_an</f>
        <v>55.220479165794352</v>
      </c>
      <c r="C166" s="829"/>
      <c r="D166" s="391">
        <f t="shared" si="50"/>
        <v>58.553467888381419</v>
      </c>
      <c r="E166" s="383">
        <f t="shared" si="72"/>
        <v>60.902566952433936</v>
      </c>
      <c r="F166" s="383">
        <f t="shared" si="51"/>
        <v>60.904102775729086</v>
      </c>
      <c r="G166" s="110">
        <f t="shared" si="73"/>
        <v>0.95161972188626687</v>
      </c>
      <c r="H166" s="412" t="b">
        <f>Wh_hp&gt;='2026'!Maxi_hp</f>
        <v>0</v>
      </c>
      <c r="I166" s="388">
        <f>IF(H166,Wh_hp,'2026'!Maxi_hp)</f>
        <v>63.124729427681508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5.6922140443340319E-2</v>
      </c>
      <c r="M166" s="832"/>
      <c r="N166" s="832"/>
      <c r="O166" s="48">
        <f>IF(t&lt;Tnet,'2026'!Resal+('2026'!Salim-'2026'!Resal)*(1-EXP(('2026'!Tnet-t)/('2026'!Tau_j))),Resal+(Salim-Resal)*(1-EXP((Tnet-t)/(Tau_j))))*Salcycl</f>
        <v>3.8571429442164712E-2</v>
      </c>
      <c r="P166" s="169">
        <f>(INDEX(Models!$BJ166:$BT166,,T166)*(1-R166)+INDEX(Models!$BJ166:$BT166,,T166+1)*R166-ERP_i)*Q166*Ramure*Pc/MaxiM</f>
        <v>2.7089271965135706E-5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58.027775706548553</v>
      </c>
      <c r="W166" s="400">
        <f t="shared" si="59"/>
        <v>55.220479165794352</v>
      </c>
      <c r="X166" s="157">
        <f t="shared" si="60"/>
        <v>46539</v>
      </c>
      <c r="Y166" s="383">
        <f t="shared" si="61"/>
        <v>53.393046230872507</v>
      </c>
      <c r="Z166" s="383">
        <f t="shared" si="62"/>
        <v>56.615735052854006</v>
      </c>
      <c r="AA166" s="384">
        <f t="shared" si="63"/>
        <v>60.878872669700371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7.0026553217831619E-2</v>
      </c>
      <c r="AD166" s="230">
        <f>(INDEX(Models!$BJ166:$BT166,,AH166)*(1-AF166)+INDEX(Models!$BJ166:$BT166,,AH166+1)*AF166-ERP_i)*AE166*Ramure*Pc/MaxiM</f>
        <v>4.4501552104363412E-4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'2026'!Wh/'2026'!Env_an*'2027'!Env_an</f>
        <v>44.040913528193769</v>
      </c>
      <c r="C167" s="829"/>
      <c r="D167" s="391">
        <f t="shared" si="50"/>
        <v>46.700022837069071</v>
      </c>
      <c r="E167" s="383">
        <f t="shared" si="72"/>
        <v>48.577865170895066</v>
      </c>
      <c r="F167" s="383">
        <f t="shared" si="51"/>
        <v>48.578723545685975</v>
      </c>
      <c r="G167" s="110">
        <f t="shared" si="73"/>
        <v>0.75932748134751193</v>
      </c>
      <c r="H167" s="412" t="b">
        <f>Wh_hp&gt;='2026'!Maxi_hp</f>
        <v>0</v>
      </c>
      <c r="I167" s="388">
        <f>IF(H167,Wh_hp,'2026'!Maxi_hp)</f>
        <v>62.353294055215706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5.694021431536811E-2</v>
      </c>
      <c r="M167" s="832"/>
      <c r="N167" s="832"/>
      <c r="O167" s="48">
        <f>IF(t&lt;Tnet,'2026'!Resal+('2026'!Salim-'2026'!Resal)*(1-EXP(('2026'!Tnet-t)/('2026'!Tau_j))),Resal+(Salim-Resal)*(1-EXP((Tnet-t)/(Tau_j))))*Salcycl</f>
        <v>3.8656337144907849E-2</v>
      </c>
      <c r="P167" s="169">
        <f>(INDEX(Models!$BJ167:$BT167,,T167)*(1-R167)+INDEX(Models!$BJ167:$BT167,,T167+1)*R167-ERP_i)*Q167*Ramure*Pc/MaxiM</f>
        <v>2.692773463835878E-5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57.999357159496967</v>
      </c>
      <c r="W167" s="400">
        <f t="shared" si="59"/>
        <v>44.040913528193769</v>
      </c>
      <c r="X167" s="157">
        <f t="shared" si="60"/>
        <v>46540</v>
      </c>
      <c r="Y167" s="383">
        <f t="shared" si="61"/>
        <v>42.588627957414765</v>
      </c>
      <c r="Z167" s="383">
        <f t="shared" si="62"/>
        <v>45.160050936215832</v>
      </c>
      <c r="AA167" s="384">
        <f t="shared" si="63"/>
        <v>48.564615850493901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7.0103816423855075E-2</v>
      </c>
      <c r="AD167" s="230">
        <f>(INDEX(Models!$BJ167:$BT167,,AH167)*(1-AF167)+INDEX(Models!$BJ167:$BT167,,AH167+1)*AF167-ERP_i)*AE167*Ramure*Pc/MaxiM</f>
        <v>4.4256690261044768E-4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'2026'!Wh/'2026'!Env_an*'2027'!Env_an</f>
        <v>53.868420479392647</v>
      </c>
      <c r="C168" s="829"/>
      <c r="D168" s="391">
        <f t="shared" si="50"/>
        <v>57.121991302025314</v>
      </c>
      <c r="E168" s="383">
        <f t="shared" si="72"/>
        <v>59.424141878396952</v>
      </c>
      <c r="F168" s="383">
        <f t="shared" si="51"/>
        <v>59.425572349401001</v>
      </c>
      <c r="G168" s="110">
        <f t="shared" si="73"/>
        <v>0.92927862472752487</v>
      </c>
      <c r="H168" s="412" t="b">
        <f>Wh_hp&gt;='2026'!Maxi_hp</f>
        <v>0</v>
      </c>
      <c r="I168" s="388">
        <f>IF(H168,Wh_hp,'2026'!Maxi_hp)</f>
        <v>59.425698201149615</v>
      </c>
      <c r="J168" s="85">
        <f>IF(H168,An,'2026'!An_max)</f>
        <v>2026</v>
      </c>
      <c r="K168" s="197">
        <f t="shared" si="52"/>
        <v>46541</v>
      </c>
      <c r="L168" s="147">
        <f>IF(t&lt;Tvie,1-EXP((T0-t)*PertePVj)+'2026'!Pspv,1-EXP((T0-t)*PertePVj)+Pspv)</f>
        <v>5.6958287841014199E-2</v>
      </c>
      <c r="M168" s="832"/>
      <c r="N168" s="832"/>
      <c r="O168" s="48">
        <f>IF(t&lt;Tnet,'2026'!Resal+('2026'!Salim-'2026'!Resal)*(1-EXP(('2026'!Tnet-t)/('2026'!Tau_j))),Resal+(Salim-Resal)*(1-EXP((Tnet-t)/(Tau_j))))*Salcycl</f>
        <v>3.8740998247524777E-2</v>
      </c>
      <c r="P168" s="169">
        <f>(INDEX(Models!$BJ168:$BT168,,T168)*(1-R168)+INDEX(Models!$BJ168:$BT168,,T168+1)*R168-ERP_i)*Q168*Ramure*Pc/MaxiM</f>
        <v>2.677682071865502E-5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57.967840127480549</v>
      </c>
      <c r="W168" s="400">
        <f t="shared" si="59"/>
        <v>53.868420479392647</v>
      </c>
      <c r="X168" s="157">
        <f t="shared" si="60"/>
        <v>46541</v>
      </c>
      <c r="Y168" s="383">
        <f t="shared" si="61"/>
        <v>52.087194027485999</v>
      </c>
      <c r="Z168" s="383">
        <f t="shared" si="62"/>
        <v>55.233181476393391</v>
      </c>
      <c r="AA168" s="384">
        <f t="shared" si="63"/>
        <v>59.402053225760341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7.018060021465844E-2</v>
      </c>
      <c r="AD168" s="230">
        <f>(INDEX(Models!$BJ168:$BT168,,AH168)*(1-AF168)+INDEX(Models!$BJ168:$BT168,,AH168+1)*AF168-ERP_i)*AE168*Ramure*Pc/MaxiM</f>
        <v>4.4025174603627378E-4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'2026'!Wh/'2026'!Env_an*'2027'!Env_an</f>
        <v>25.680615307480121</v>
      </c>
      <c r="C169" s="829"/>
      <c r="D169" s="391">
        <f t="shared" si="50"/>
        <v>27.232207386937556</v>
      </c>
      <c r="E169" s="383">
        <f t="shared" si="72"/>
        <v>28.332216456740426</v>
      </c>
      <c r="F169" s="383">
        <f t="shared" si="51"/>
        <v>28.332370926426172</v>
      </c>
      <c r="G169" s="110">
        <f t="shared" si="73"/>
        <v>0.44326711886469317</v>
      </c>
      <c r="H169" s="412" t="b">
        <f>Wh_hp&gt;='2026'!Maxi_hp</f>
        <v>0</v>
      </c>
      <c r="I169" s="388">
        <f>IF(H169,Wh_hp,'2026'!Maxi_hp)</f>
        <v>57.206955445857666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5.697636102028536E-2</v>
      </c>
      <c r="M169" s="832"/>
      <c r="N169" s="832"/>
      <c r="O169" s="48">
        <f>IF(t&lt;Tnet,'2026'!Resal+('2026'!Salim-'2026'!Resal)*(1-EXP(('2026'!Tnet-t)/('2026'!Tau_j))),Resal+(Salim-Resal)*(1-EXP((Tnet-t)/(Tau_j))))*Salcycl</f>
        <v>3.8825379986858428E-2</v>
      </c>
      <c r="P169" s="169">
        <f>(INDEX(Models!$BJ169:$BT169,,T169)*(1-R169)+INDEX(Models!$BJ169:$BT169,,T169+1)*R169-ERP_i)*Q169*Ramure*Pc/MaxiM</f>
        <v>2.6636882253965285E-5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57.933625509883669</v>
      </c>
      <c r="W169" s="400">
        <f t="shared" si="59"/>
        <v>25.680615307480121</v>
      </c>
      <c r="X169" s="157">
        <f t="shared" si="60"/>
        <v>46542</v>
      </c>
      <c r="Y169" s="383">
        <f t="shared" si="61"/>
        <v>24.838739023025219</v>
      </c>
      <c r="Z169" s="383">
        <f t="shared" si="62"/>
        <v>26.339465943715886</v>
      </c>
      <c r="AA169" s="384">
        <f t="shared" si="63"/>
        <v>28.329830511157709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7.0256846988827545E-2</v>
      </c>
      <c r="AD169" s="230">
        <f>(INDEX(Models!$BJ169:$BT169,,AH169)*(1-AF169)+INDEX(Models!$BJ169:$BT169,,AH169+1)*AF169-ERP_i)*AE169*Ramure*Pc/MaxiM</f>
        <v>4.3807134101707645E-4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'2026'!Wh/'2026'!Env_an*'2027'!Env_an</f>
        <v>35.386822851067471</v>
      </c>
      <c r="C170" s="829"/>
      <c r="D170" s="391">
        <f t="shared" si="50"/>
        <v>37.525571556974533</v>
      </c>
      <c r="E170" s="383">
        <f t="shared" ref="E170:E232" si="75">Wh_pvt/(1-Psa)</f>
        <v>39.044782576762316</v>
      </c>
      <c r="F170" s="383">
        <f t="shared" si="51"/>
        <v>39.045243105385822</v>
      </c>
      <c r="G170" s="110">
        <f t="shared" ref="G170:G232" si="76">+Wh_hp/MaxiM</f>
        <v>0.61119285116881694</v>
      </c>
      <c r="H170" s="412" t="b">
        <f>Wh_hp&gt;='2026'!Maxi_hp</f>
        <v>0</v>
      </c>
      <c r="I170" s="388">
        <f>IF(H170,Wh_hp,'2026'!Maxi_hp)</f>
        <v>45.501902889660293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5.6994433853188142E-2</v>
      </c>
      <c r="M170" s="832"/>
      <c r="N170" s="832"/>
      <c r="O170" s="48">
        <f>IF(t&lt;Tnet,'2026'!Resal+('2026'!Salim-'2026'!Resal)*(1-EXP(('2026'!Tnet-t)/('2026'!Tau_j))),Resal+(Salim-Resal)*(1-EXP((Tnet-t)/(Tau_j))))*Salcycl</f>
        <v>3.8909450111573846E-2</v>
      </c>
      <c r="P170" s="169">
        <f>(INDEX(Models!$BJ170:$BT170,,T170)*(1-R170)+INDEX(Models!$BJ170:$BT170,,T170+1)*R170-ERP_i)*Q170*Ramure*Pc/MaxiM</f>
        <v>2.6530434108438251E-5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57.8971127165007</v>
      </c>
      <c r="W170" s="400">
        <f t="shared" si="59"/>
        <v>35.386822851067471</v>
      </c>
      <c r="X170" s="157">
        <f t="shared" si="60"/>
        <v>46543</v>
      </c>
      <c r="Y170" s="383">
        <f t="shared" si="61"/>
        <v>34.223608461469823</v>
      </c>
      <c r="Z170" s="383">
        <f t="shared" si="62"/>
        <v>36.292053504318041</v>
      </c>
      <c r="AA170" s="384">
        <f t="shared" si="63"/>
        <v>39.037670475296451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7.0332500314430252E-2</v>
      </c>
      <c r="AD170" s="230">
        <f>(INDEX(Models!$BJ170:$BT170,,AH170)*(1-AF170)+INDEX(Models!$BJ170:$BT170,,AH170+1)*AF170-ERP_i)*AE170*Ramure*Pc/MaxiM</f>
        <v>4.3624902635247195E-4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'2026'!Wh/'2026'!Env_an*'2027'!Env_an</f>
        <v>46.158731697598931</v>
      </c>
      <c r="C171" s="829"/>
      <c r="D171" s="391">
        <f t="shared" si="50"/>
        <v>48.94946328336831</v>
      </c>
      <c r="E171" s="383">
        <f t="shared" si="75"/>
        <v>50.935604318602053</v>
      </c>
      <c r="F171" s="383">
        <f t="shared" si="51"/>
        <v>50.936561796815674</v>
      </c>
      <c r="G171" s="110">
        <f t="shared" si="76"/>
        <v>0.7977776259151349</v>
      </c>
      <c r="H171" s="412" t="b">
        <f>Wh_hp&gt;='2026'!Maxi_hp</f>
        <v>0</v>
      </c>
      <c r="I171" s="388">
        <f>IF(H171,Wh_hp,'2026'!Maxi_hp)</f>
        <v>58.87079114151684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5.7012506339729208E-2</v>
      </c>
      <c r="M171" s="832"/>
      <c r="N171" s="832"/>
      <c r="O171" s="48">
        <f>IF(t&lt;Tnet,'2026'!Resal+('2026'!Salim-'2026'!Resal)*(1-EXP(('2026'!Tnet-t)/('2026'!Tau_j))),Resal+(Salim-Resal)*(1-EXP((Tnet-t)/(Tau_j))))*Salcycl</f>
        <v>3.8993177008570239E-2</v>
      </c>
      <c r="P171" s="169">
        <f>(INDEX(Models!$BJ171:$BT171,,T171)*(1-R171)+INDEX(Models!$BJ171:$BT171,,T171+1)*R171-ERP_i)*Q171*Ramure*Pc/MaxiM</f>
        <v>2.6433619047695547E-5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57.858703624104564</v>
      </c>
      <c r="W171" s="400">
        <f t="shared" si="59"/>
        <v>46.158731697598931</v>
      </c>
      <c r="X171" s="157">
        <f t="shared" si="60"/>
        <v>46544</v>
      </c>
      <c r="Y171" s="383">
        <f t="shared" si="61"/>
        <v>44.636890425086833</v>
      </c>
      <c r="Z171" s="383">
        <f t="shared" si="62"/>
        <v>47.335612322731528</v>
      </c>
      <c r="AA171" s="384">
        <f t="shared" si="63"/>
        <v>50.920820235712206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7.0407505149853639E-2</v>
      </c>
      <c r="AD171" s="230">
        <f>(INDEX(Models!$BJ171:$BT171,,AH171)*(1-AF171)+INDEX(Models!$BJ171:$BT171,,AH171+1)*AF171-ERP_i)*AE171*Ramure*Pc/MaxiM</f>
        <v>4.3458579370807791E-4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'2026'!Wh/'2026'!Env_an*'2027'!Env_an</f>
        <v>28.000289302613297</v>
      </c>
      <c r="C172" s="829"/>
      <c r="D172" s="391">
        <f t="shared" si="50"/>
        <v>29.6937405005947</v>
      </c>
      <c r="E172" s="383">
        <f t="shared" si="75"/>
        <v>30.901254285399556</v>
      </c>
      <c r="F172" s="383">
        <f t="shared" si="51"/>
        <v>30.901468615410444</v>
      </c>
      <c r="G172" s="110">
        <f t="shared" si="76"/>
        <v>0.48426716781899076</v>
      </c>
      <c r="H172" s="412" t="b">
        <f>Wh_hp&gt;='2026'!Maxi_hp</f>
        <v>0</v>
      </c>
      <c r="I172" s="388">
        <f>IF(H172,Wh_hp,'2026'!Maxi_hp)</f>
        <v>52.613805955532094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5.7030578479915217E-2</v>
      </c>
      <c r="M172" s="832"/>
      <c r="N172" s="832"/>
      <c r="O172" s="48">
        <f>IF(t&lt;Tnet,'2026'!Resal+('2026'!Salim-'2026'!Resal)*(1-EXP(('2026'!Tnet-t)/('2026'!Tau_j))),Resal+(Salim-Resal)*(1-EXP((Tnet-t)/(Tau_j))))*Salcycl</f>
        <v>3.9076529827962059E-2</v>
      </c>
      <c r="P172" s="169">
        <f>(INDEX(Models!$BJ172:$BT172,,T172)*(1-R172)+INDEX(Models!$BJ172:$BT172,,T172+1)*R172-ERP_i)*Q172*Ramure*Pc/MaxiM</f>
        <v>2.6347037533169888E-5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57.818798470163877</v>
      </c>
      <c r="W172" s="400">
        <f t="shared" si="59"/>
        <v>28.000289302613297</v>
      </c>
      <c r="X172" s="157">
        <f t="shared" si="60"/>
        <v>46545</v>
      </c>
      <c r="Y172" s="383">
        <f t="shared" si="61"/>
        <v>27.082272701077422</v>
      </c>
      <c r="Z172" s="383">
        <f t="shared" si="62"/>
        <v>28.720202461518085</v>
      </c>
      <c r="AA172" s="384">
        <f t="shared" si="63"/>
        <v>30.897945527668163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7.0481808060667811E-2</v>
      </c>
      <c r="AD172" s="230">
        <f>(INDEX(Models!$BJ172:$BT172,,AH172)*(1-AF172)+INDEX(Models!$BJ172:$BT172,,AH172+1)*AF172-ERP_i)*AE172*Ramure*Pc/MaxiM</f>
        <v>4.330841238379762E-4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'2026'!Wh/'2026'!Env_an*'2027'!Env_an</f>
        <v>20.874999599550836</v>
      </c>
      <c r="C173" s="829"/>
      <c r="D173" s="391">
        <f t="shared" si="50"/>
        <v>22.137939147773803</v>
      </c>
      <c r="E173" s="383">
        <f t="shared" si="75"/>
        <v>23.040180607340268</v>
      </c>
      <c r="F173" s="383">
        <f t="shared" si="51"/>
        <v>23.040233612350853</v>
      </c>
      <c r="G173" s="110">
        <f t="shared" si="76"/>
        <v>0.36128928755673656</v>
      </c>
      <c r="H173" s="412" t="b">
        <f>Wh_hp&gt;='2026'!Maxi_hp</f>
        <v>0</v>
      </c>
      <c r="I173" s="388">
        <f>IF(H173,Wh_hp,'2026'!Maxi_hp)</f>
        <v>63.747853574878313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5.7048650273752721E-2</v>
      </c>
      <c r="M173" s="832"/>
      <c r="N173" s="832"/>
      <c r="O173" s="48">
        <f>IF(t&lt;Tnet,'2026'!Resal+('2026'!Salim-'2026'!Resal)*(1-EXP(('2026'!Tnet-t)/('2026'!Tau_j))),Resal+(Salim-Resal)*(1-EXP((Tnet-t)/(Tau_j))))*Salcycl</f>
        <v>3.9159478605780673E-2</v>
      </c>
      <c r="P173" s="169">
        <f>(INDEX(Models!$BJ173:$BT173,,T173)*(1-R173)+INDEX(Models!$BJ173:$BT173,,T173+1)*R173-ERP_i)*Q173*Ramure*Pc/MaxiM</f>
        <v>2.627133544523825E-5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57.777797258394543</v>
      </c>
      <c r="W173" s="400">
        <f t="shared" si="59"/>
        <v>20.874999599550836</v>
      </c>
      <c r="X173" s="157">
        <f t="shared" si="60"/>
        <v>46546</v>
      </c>
      <c r="Y173" s="383">
        <f t="shared" si="61"/>
        <v>20.19218298770851</v>
      </c>
      <c r="Z173" s="383">
        <f t="shared" si="62"/>
        <v>21.413812063125629</v>
      </c>
      <c r="AA173" s="384">
        <f t="shared" si="63"/>
        <v>23.039362520760914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7.0555357431026644E-2</v>
      </c>
      <c r="AD173" s="230">
        <f>(INDEX(Models!$BJ173:$BT173,,AH173)*(1-AF173)+INDEX(Models!$BJ173:$BT173,,AH173+1)*AF173-ERP_i)*AE173*Ramure*Pc/MaxiM</f>
        <v>4.3174671808088089E-4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'2026'!Wh/'2026'!Env_an*'2027'!Env_an</f>
        <v>45.480379491670526</v>
      </c>
      <c r="C174" s="829"/>
      <c r="D174" s="391">
        <f t="shared" si="50"/>
        <v>48.232871338141003</v>
      </c>
      <c r="E174" s="383">
        <f t="shared" si="75"/>
        <v>50.202934616395268</v>
      </c>
      <c r="F174" s="383">
        <f t="shared" si="51"/>
        <v>50.203851338920437</v>
      </c>
      <c r="G174" s="110">
        <f t="shared" si="76"/>
        <v>0.7877223822880296</v>
      </c>
      <c r="H174" s="412" t="b">
        <f>Wh_hp&gt;='2026'!Maxi_hp</f>
        <v>0</v>
      </c>
      <c r="I174" s="388">
        <f>IF(H174,Wh_hp,'2026'!Maxi_hp)</f>
        <v>60.451525350346095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5.7066721721248492E-2</v>
      </c>
      <c r="M174" s="832"/>
      <c r="N174" s="832"/>
      <c r="O174" s="48">
        <f>IF(t&lt;Tnet,'2026'!Resal+('2026'!Salim-'2026'!Resal)*(1-EXP(('2026'!Tnet-t)/('2026'!Tau_j))),Resal+(Salim-Resal)*(1-EXP((Tnet-t)/(Tau_j))))*Salcycl</f>
        <v>3.9241994383549181E-2</v>
      </c>
      <c r="P174" s="169">
        <f>(INDEX(Models!$BJ174:$BT174,,T174)*(1-R174)+INDEX(Models!$BJ174:$BT174,,T174+1)*R174-ERP_i)*Q174*Ramure*Pc/MaxiM</f>
        <v>2.6207201438063494E-5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57.736099755617211</v>
      </c>
      <c r="W174" s="400">
        <f t="shared" si="59"/>
        <v>45.480379491670526</v>
      </c>
      <c r="X174" s="157">
        <f t="shared" si="60"/>
        <v>46547</v>
      </c>
      <c r="Y174" s="383">
        <f t="shared" si="61"/>
        <v>43.982227741533663</v>
      </c>
      <c r="Z174" s="383">
        <f t="shared" si="62"/>
        <v>46.644050809002799</v>
      </c>
      <c r="AA174" s="384">
        <f t="shared" si="63"/>
        <v>50.188789862381014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7.0628103668129563E-2</v>
      </c>
      <c r="AD174" s="230">
        <f>(INDEX(Models!$BJ174:$BT174,,AH174)*(1-AF174)+INDEX(Models!$BJ174:$BT174,,AH174+1)*AF174-ERP_i)*AE174*Ramure*Pc/MaxiM</f>
        <v>4.3057647083680293E-4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'2026'!Wh/'2026'!Env_an*'2027'!Env_an</f>
        <v>56.737943096242986</v>
      </c>
      <c r="C175" s="829"/>
      <c r="D175" s="391">
        <f t="shared" si="50"/>
        <v>60.172900664181164</v>
      </c>
      <c r="E175" s="383">
        <f t="shared" si="75"/>
        <v>62.636001892034926</v>
      </c>
      <c r="F175" s="383">
        <f t="shared" si="51"/>
        <v>62.637601413236844</v>
      </c>
      <c r="G175" s="110">
        <f t="shared" si="76"/>
        <v>0.98342642604017827</v>
      </c>
      <c r="H175" s="412" t="b">
        <f>Wh_hp&gt;='2026'!Maxi_hp</f>
        <v>0</v>
      </c>
      <c r="I175" s="388">
        <f>IF(H175,Wh_hp,'2026'!Maxi_hp)</f>
        <v>62.637631128443779</v>
      </c>
      <c r="J175" s="85">
        <f>IF(H175,An,'2026'!An_max)</f>
        <v>2026</v>
      </c>
      <c r="K175" s="197">
        <f t="shared" si="52"/>
        <v>46548</v>
      </c>
      <c r="L175" s="147">
        <f>IF(t&lt;Tvie,1-EXP((T0-t)*PertePVj)+'2026'!Pspv,1-EXP((T0-t)*PertePVj)+Pspv)</f>
        <v>5.708479282240897E-2</v>
      </c>
      <c r="M175" s="832"/>
      <c r="N175" s="832"/>
      <c r="O175" s="48">
        <f>IF(t&lt;Tnet,'2026'!Resal+('2026'!Salim-'2026'!Resal)*(1-EXP(('2026'!Tnet-t)/('2026'!Tau_j))),Resal+(Salim-Resal)*(1-EXP((Tnet-t)/(Tau_j))))*Salcycl</f>
        <v>3.9324049323891802E-2</v>
      </c>
      <c r="P175" s="169">
        <f>(INDEX(Models!$BJ175:$BT175,,T175)*(1-R175)+INDEX(Models!$BJ175:$BT175,,T175+1)*R175-ERP_i)*Q175*Ramure*Pc/MaxiM</f>
        <v>2.6155363949799734E-5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57.694105484923448</v>
      </c>
      <c r="W175" s="400">
        <f t="shared" si="59"/>
        <v>56.737943096242986</v>
      </c>
      <c r="X175" s="157">
        <f t="shared" si="60"/>
        <v>46548</v>
      </c>
      <c r="Y175" s="383">
        <f t="shared" si="61"/>
        <v>54.863247676222542</v>
      </c>
      <c r="Z175" s="383">
        <f t="shared" si="62"/>
        <v>58.184709779412287</v>
      </c>
      <c r="AA175" s="384">
        <f t="shared" si="63"/>
        <v>62.611330831527852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7.0699999398296534E-2</v>
      </c>
      <c r="AD175" s="230">
        <f>(INDEX(Models!$BJ175:$BT175,,AH175)*(1-AF175)+INDEX(Models!$BJ175:$BT175,,AH175+1)*AF175-ERP_i)*AE175*Ramure*Pc/MaxiM</f>
        <v>4.2957644134316008E-4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'2026'!Wh/'2026'!Env_an*'2027'!Env_an</f>
        <v>54.829934609250522</v>
      </c>
      <c r="C176" s="829"/>
      <c r="D176" s="391">
        <f t="shared" si="50"/>
        <v>58.150494355374605</v>
      </c>
      <c r="E176" s="383">
        <f t="shared" si="75"/>
        <v>60.535950838013783</v>
      </c>
      <c r="F176" s="383">
        <f t="shared" si="51"/>
        <v>60.537421301703112</v>
      </c>
      <c r="G176" s="110">
        <f t="shared" si="76"/>
        <v>0.95104473747747498</v>
      </c>
      <c r="H176" s="412" t="b">
        <f>Wh_hp&gt;='2026'!Maxi_hp</f>
        <v>0</v>
      </c>
      <c r="I176" s="388">
        <f>IF(H176,Wh_hp,'2026'!Maxi_hp)</f>
        <v>60.537505782568182</v>
      </c>
      <c r="J176" s="85">
        <f>IF(H176,An,'2026'!An_max)</f>
        <v>2026</v>
      </c>
      <c r="K176" s="197">
        <f t="shared" si="52"/>
        <v>46549</v>
      </c>
      <c r="L176" s="147">
        <f>IF(t&lt;Tvie,1-EXP((T0-t)*PertePVj)+'2026'!Pspv,1-EXP((T0-t)*PertePVj)+Pspv)</f>
        <v>5.7102863577241036E-2</v>
      </c>
      <c r="M176" s="832"/>
      <c r="N176" s="832"/>
      <c r="O176" s="48">
        <f>IF(t&lt;Tnet,'2026'!Resal+('2026'!Salim-'2026'!Resal)*(1-EXP(('2026'!Tnet-t)/('2026'!Tau_j))),Resal+(Salim-Resal)*(1-EXP((Tnet-t)/(Tau_j))))*Salcycl</f>
        <v>3.9405616821355398E-2</v>
      </c>
      <c r="P176" s="169">
        <f>(INDEX(Models!$BJ176:$BT176,,T176)*(1-R176)+INDEX(Models!$BJ176:$BT176,,T176+1)*R176-ERP_i)*Q176*Ramure*Pc/MaxiM</f>
        <v>2.6116587873058686E-5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57.652213721682998</v>
      </c>
      <c r="W176" s="400">
        <f t="shared" si="59"/>
        <v>54.829934609250522</v>
      </c>
      <c r="X176" s="157">
        <f t="shared" si="60"/>
        <v>46549</v>
      </c>
      <c r="Y176" s="383">
        <f t="shared" si="61"/>
        <v>53.019761913307185</v>
      </c>
      <c r="Z176" s="383">
        <f t="shared" si="62"/>
        <v>56.230695656217534</v>
      </c>
      <c r="AA176" s="384">
        <f t="shared" si="63"/>
        <v>60.513281048304108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7.0770999653250399E-2</v>
      </c>
      <c r="AD176" s="230">
        <f>(INDEX(Models!$BJ176:$BT176,,AH176)*(1-AF176)+INDEX(Models!$BJ176:$BT176,,AH176+1)*AF176-ERP_i)*AE176*Ramure*Pc/MaxiM</f>
        <v>4.2874982479771203E-4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'2026'!Wh/'2026'!Env_an*'2027'!Env_an</f>
        <v>42.561766074739552</v>
      </c>
      <c r="C177" s="829"/>
      <c r="D177" s="391">
        <f t="shared" si="50"/>
        <v>45.140217456155035</v>
      </c>
      <c r="E177" s="383">
        <f t="shared" si="75"/>
        <v>46.995930323744481</v>
      </c>
      <c r="F177" s="383">
        <f t="shared" si="51"/>
        <v>46.996698991850884</v>
      </c>
      <c r="G177" s="110">
        <f t="shared" si="76"/>
        <v>0.73878628220431142</v>
      </c>
      <c r="H177" s="412" t="b">
        <f>Wh_hp&gt;='2026'!Maxi_hp</f>
        <v>0</v>
      </c>
      <c r="I177" s="388">
        <f>IF(H177,Wh_hp,'2026'!Maxi_hp)</f>
        <v>56.41651381708197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5.7120933985751132E-2</v>
      </c>
      <c r="M177" s="832"/>
      <c r="N177" s="832"/>
      <c r="O177" s="48">
        <f>IF(t&lt;Tnet,'2026'!Resal+('2026'!Salim-'2026'!Resal)*(1-EXP(('2026'!Tnet-t)/('2026'!Tau_j))),Resal+(Salim-Resal)*(1-EXP((Tnet-t)/(Tau_j))))*Salcycl</f>
        <v>3.9486671607644581E-2</v>
      </c>
      <c r="P177" s="169">
        <f>(INDEX(Models!$BJ177:$BT177,,T177)*(1-R177)+INDEX(Models!$BJ177:$BT177,,T177+1)*R177-ERP_i)*Q177*Ramure*Pc/MaxiM</f>
        <v>2.6092121120148274E-5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57.609829388675472</v>
      </c>
      <c r="W177" s="400">
        <f t="shared" si="59"/>
        <v>42.561766074739552</v>
      </c>
      <c r="X177" s="157">
        <f t="shared" si="60"/>
        <v>46550</v>
      </c>
      <c r="Y177" s="383">
        <f t="shared" si="61"/>
        <v>41.162030951995277</v>
      </c>
      <c r="Z177" s="383">
        <f t="shared" si="62"/>
        <v>43.655684419843965</v>
      </c>
      <c r="AA177" s="384">
        <f t="shared" si="63"/>
        <v>46.984087045364198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7.0841062045253381E-2</v>
      </c>
      <c r="AD177" s="230">
        <f>(INDEX(Models!$BJ177:$BT177,,AH177)*(1-AF177)+INDEX(Models!$BJ177:$BT177,,AH177+1)*AF177-ERP_i)*AE177*Ramure*Pc/MaxiM</f>
        <v>4.281073099701697E-4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'2026'!Wh/'2026'!Env_an*'2027'!Env_an</f>
        <v>53.525196936163518</v>
      </c>
      <c r="C178" s="829"/>
      <c r="D178" s="391">
        <f t="shared" si="50"/>
        <v>56.768916272876943</v>
      </c>
      <c r="E178" s="383">
        <f t="shared" si="75"/>
        <v>59.107639465212081</v>
      </c>
      <c r="F178" s="383">
        <f t="shared" si="51"/>
        <v>59.109027711693983</v>
      </c>
      <c r="G178" s="110">
        <f t="shared" si="76"/>
        <v>0.92980182597923888</v>
      </c>
      <c r="H178" s="412" t="b">
        <f>Wh_hp&gt;='2026'!Maxi_hp</f>
        <v>0</v>
      </c>
      <c r="I178" s="388">
        <f>IF(H178,Wh_hp,'2026'!Maxi_hp)</f>
        <v>64.279104061315721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5.7139004047946029E-2</v>
      </c>
      <c r="M178" s="832"/>
      <c r="N178" s="832"/>
      <c r="O178" s="48">
        <f>IF(t&lt;Tnet,'2026'!Resal+('2026'!Salim-'2026'!Resal)*(1-EXP(('2026'!Tnet-t)/('2026'!Tau_j))),Resal+(Salim-Resal)*(1-EXP((Tnet-t)/(Tau_j))))*Salcycl</f>
        <v>3.9567189850503136E-2</v>
      </c>
      <c r="P178" s="169">
        <f>(INDEX(Models!$BJ178:$BT178,,T178)*(1-R178)+INDEX(Models!$BJ178:$BT178,,T178+1)*R178-ERP_i)*Q178*Ramure*Pc/MaxiM</f>
        <v>2.6103888878536315E-5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57.566091316524322</v>
      </c>
      <c r="W178" s="400">
        <f t="shared" si="59"/>
        <v>53.525196936163518</v>
      </c>
      <c r="X178" s="157">
        <f t="shared" si="60"/>
        <v>46551</v>
      </c>
      <c r="Y178" s="383">
        <f t="shared" si="61"/>
        <v>51.759729087996661</v>
      </c>
      <c r="Z178" s="383">
        <f t="shared" si="62"/>
        <v>54.896458025323518</v>
      </c>
      <c r="AA178" s="384">
        <f t="shared" si="63"/>
        <v>59.086274426437477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7.0910146929813442E-2</v>
      </c>
      <c r="AD178" s="230">
        <f>(INDEX(Models!$BJ178:$BT178,,AH178)*(1-AF178)+INDEX(Models!$BJ178:$BT178,,AH178+1)*AF178-ERP_i)*AE178*Ramure*Pc/MaxiM</f>
        <v>4.2784133631846303E-4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'2026'!Wh/'2026'!Env_an*'2027'!Env_an</f>
        <v>47.582180031381803</v>
      </c>
      <c r="C179" s="829"/>
      <c r="D179" s="391">
        <f t="shared" si="50"/>
        <v>50.466709467005316</v>
      </c>
      <c r="E179" s="383">
        <f t="shared" si="75"/>
        <v>52.550174060874504</v>
      </c>
      <c r="F179" s="383">
        <f t="shared" si="51"/>
        <v>52.551208999379803</v>
      </c>
      <c r="G179" s="110">
        <f t="shared" si="76"/>
        <v>0.82720870185608997</v>
      </c>
      <c r="H179" s="412" t="b">
        <f>Wh_hp&gt;='2026'!Maxi_hp</f>
        <v>0</v>
      </c>
      <c r="I179" s="388">
        <f>IF(H179,Wh_hp,'2026'!Maxi_hp)</f>
        <v>56.161235442538548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5.7157073763832278E-2</v>
      </c>
      <c r="M179" s="832"/>
      <c r="N179" s="832"/>
      <c r="O179" s="48">
        <f>IF(t&lt;Tnet,'2026'!Resal+('2026'!Salim-'2026'!Resal)*(1-EXP(('2026'!Tnet-t)/('2026'!Tau_j))),Resal+(Salim-Resal)*(1-EXP((Tnet-t)/(Tau_j))))*Salcycl</f>
        <v>3.9647149245513123E-2</v>
      </c>
      <c r="P179" s="169">
        <f>(INDEX(Models!$BJ179:$BT179,,T179)*(1-R179)+INDEX(Models!$BJ179:$BT179,,T179+1)*R179-ERP_i)*Q179*Ramure*Pc/MaxiM</f>
        <v>2.6148266663152495E-5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57.521001418335466</v>
      </c>
      <c r="W179" s="400">
        <f t="shared" si="59"/>
        <v>47.582180031381803</v>
      </c>
      <c r="X179" s="157">
        <f t="shared" si="60"/>
        <v>46552</v>
      </c>
      <c r="Y179" s="383">
        <f t="shared" si="61"/>
        <v>46.015905707824842</v>
      </c>
      <c r="Z179" s="383">
        <f t="shared" si="62"/>
        <v>48.805484378527929</v>
      </c>
      <c r="AA179" s="384">
        <f t="shared" si="63"/>
        <v>52.534273469959658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7.0978217554753878E-2</v>
      </c>
      <c r="AD179" s="230">
        <f>(INDEX(Models!$BJ179:$BT179,,AH179)*(1-AF179)+INDEX(Models!$BJ179:$BT179,,AH179+1)*AF179-ERP_i)*AE179*Ramure*Pc/MaxiM</f>
        <v>4.2788507441922743E-4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'2026'!Wh/'2026'!Env_an*'2027'!Env_an</f>
        <v>53.640783102163105</v>
      </c>
      <c r="C180" s="829"/>
      <c r="D180" s="391">
        <f t="shared" si="50"/>
        <v>56.89368784827623</v>
      </c>
      <c r="E180" s="383">
        <f t="shared" si="75"/>
        <v>59.247380639351825</v>
      </c>
      <c r="F180" s="383">
        <f t="shared" si="51"/>
        <v>59.24878648182672</v>
      </c>
      <c r="G180" s="110">
        <f t="shared" si="76"/>
        <v>0.93329375510522539</v>
      </c>
      <c r="H180" s="412" t="b">
        <f>Wh_hp&gt;='2026'!Maxi_hp</f>
        <v>0</v>
      </c>
      <c r="I180" s="388">
        <f>IF(H180,Wh_hp,'2026'!Maxi_hp)</f>
        <v>59.248898513062265</v>
      </c>
      <c r="J180" s="85">
        <f>IF(H180,An,'2026'!An_max)</f>
        <v>2026</v>
      </c>
      <c r="K180" s="197">
        <f t="shared" si="52"/>
        <v>46553</v>
      </c>
      <c r="L180" s="147">
        <f>IF(t&lt;Tvie,1-EXP((T0-t)*PertePVj)+'2026'!Pspv,1-EXP((T0-t)*PertePVj)+Pspv)</f>
        <v>5.717514313341665E-2</v>
      </c>
      <c r="M180" s="832"/>
      <c r="N180" s="832"/>
      <c r="O180" s="48">
        <f>IF(t&lt;Tnet,'2026'!Resal+('2026'!Salim-'2026'!Resal)*(1-EXP(('2026'!Tnet-t)/('2026'!Tau_j))),Resal+(Salim-Resal)*(1-EXP((Tnet-t)/(Tau_j))))*Salcycl</f>
        <v>3.9726529100128367E-2</v>
      </c>
      <c r="P180" s="169">
        <f>(INDEX(Models!$BJ180:$BT180,,T180)*(1-R180)+INDEX(Models!$BJ180:$BT180,,T180+1)*R180-ERP_i)*Q180*Ramure*Pc/MaxiM</f>
        <v>2.6226989105389081E-5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57.474561193946904</v>
      </c>
      <c r="W180" s="400">
        <f t="shared" si="59"/>
        <v>53.640783102163105</v>
      </c>
      <c r="X180" s="157">
        <f t="shared" si="60"/>
        <v>46553</v>
      </c>
      <c r="Y180" s="383">
        <f t="shared" si="61"/>
        <v>51.872449035790254</v>
      </c>
      <c r="Z180" s="383">
        <f t="shared" si="62"/>
        <v>55.01811779569001</v>
      </c>
      <c r="AA180" s="384">
        <f t="shared" si="63"/>
        <v>59.225831198939431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7.1045240194531387E-2</v>
      </c>
      <c r="AD180" s="230">
        <f>(INDEX(Models!$BJ180:$BT180,,AH180)*(1-AF180)+INDEX(Models!$BJ180:$BT180,,AH180+1)*AF180-ERP_i)*AE180*Ramure*Pc/MaxiM</f>
        <v>4.28247093786826E-4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'2026'!Wh/'2026'!Env_an*'2027'!Env_an</f>
        <v>51.520234697969293</v>
      </c>
      <c r="C181" s="829"/>
      <c r="D181" s="391">
        <f t="shared" si="50"/>
        <v>54.645591612491195</v>
      </c>
      <c r="E181" s="383">
        <f t="shared" si="75"/>
        <v>56.910949628127476</v>
      </c>
      <c r="F181" s="383">
        <f t="shared" si="51"/>
        <v>56.912228520702001</v>
      </c>
      <c r="G181" s="110">
        <f t="shared" si="76"/>
        <v>0.8971431522196186</v>
      </c>
      <c r="H181" s="412" t="b">
        <f>Wh_hp&gt;='2026'!Maxi_hp</f>
        <v>0</v>
      </c>
      <c r="I181" s="388">
        <f>IF(H181,Wh_hp,'2026'!Maxi_hp)</f>
        <v>63.760579589282713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5.7193212156705586E-2</v>
      </c>
      <c r="M181" s="832"/>
      <c r="N181" s="832"/>
      <c r="O181" s="48">
        <f>IF(t&lt;Tnet,'2026'!Resal+('2026'!Salim-'2026'!Resal)*(1-EXP(('2026'!Tnet-t)/('2026'!Tau_j))),Resal+(Salim-Resal)*(1-EXP((Tnet-t)/(Tau_j))))*Salcycl</f>
        <v>3.9805310409311116E-2</v>
      </c>
      <c r="P181" s="169">
        <f>(INDEX(Models!$BJ181:$BT181,,T181)*(1-R181)+INDEX(Models!$BJ181:$BT181,,T181+1)*R181-ERP_i)*Q181*Ramure*Pc/MaxiM</f>
        <v>2.6341805108672646E-5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57.426772034571918</v>
      </c>
      <c r="W181" s="400">
        <f t="shared" si="59"/>
        <v>51.520234697969293</v>
      </c>
      <c r="X181" s="157">
        <f t="shared" si="60"/>
        <v>46554</v>
      </c>
      <c r="Y181" s="383">
        <f t="shared" si="61"/>
        <v>49.82336822167715</v>
      </c>
      <c r="Z181" s="383">
        <f t="shared" si="62"/>
        <v>52.845788621918977</v>
      </c>
      <c r="AA181" s="384">
        <f t="shared" si="63"/>
        <v>56.891403714791586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7.1111184268788943E-2</v>
      </c>
      <c r="AD181" s="230">
        <f>(INDEX(Models!$BJ181:$BT181,,AH181)*(1-AF181)+INDEX(Models!$BJ181:$BT181,,AH181+1)*AF181-ERP_i)*AE181*Ramure*Pc/MaxiM</f>
        <v>4.2893593226366988E-4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'2026'!Wh/'2026'!Env_an*'2027'!Env_an</f>
        <v>51.658966738226326</v>
      </c>
      <c r="C182" s="829"/>
      <c r="D182" s="391">
        <f t="shared" si="50"/>
        <v>54.793789624369097</v>
      </c>
      <c r="E182" s="383">
        <f t="shared" si="75"/>
        <v>57.069937086020836</v>
      </c>
      <c r="F182" s="383">
        <f t="shared" si="51"/>
        <v>57.071233866817181</v>
      </c>
      <c r="G182" s="110">
        <f t="shared" si="76"/>
        <v>0.90032939949850865</v>
      </c>
      <c r="H182" s="412" t="b">
        <f>Wh_hp&gt;='2026'!Maxi_hp</f>
        <v>0</v>
      </c>
      <c r="I182" s="388">
        <f>IF(H182,Wh_hp,'2026'!Maxi_hp)</f>
        <v>62.238525909161851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5.7211280833705747E-2</v>
      </c>
      <c r="M182" s="832"/>
      <c r="N182" s="832"/>
      <c r="O182" s="48">
        <f>IF(t&lt;Tnet,'2026'!Resal+('2026'!Salim-'2026'!Resal)*(1-EXP(('2026'!Tnet-t)/('2026'!Tau_j))),Resal+(Salim-Resal)*(1-EXP((Tnet-t)/(Tau_j))))*Salcycl</f>
        <v>3.988347592219927E-2</v>
      </c>
      <c r="P182" s="169">
        <f>(INDEX(Models!$BJ182:$BT182,,T182)*(1-R182)+INDEX(Models!$BJ182:$BT182,,T182+1)*R182-ERP_i)*Q182*Ramure*Pc/MaxiM</f>
        <v>2.649447262334238E-5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57.377635216594861</v>
      </c>
      <c r="W182" s="400">
        <f t="shared" si="59"/>
        <v>51.658966738226326</v>
      </c>
      <c r="X182" s="157">
        <f t="shared" si="60"/>
        <v>46555</v>
      </c>
      <c r="Y182" s="383">
        <f t="shared" si="61"/>
        <v>49.95798181296685</v>
      </c>
      <c r="Z182" s="383">
        <f t="shared" si="62"/>
        <v>52.98958377137199</v>
      </c>
      <c r="AA182" s="384">
        <f t="shared" si="63"/>
        <v>57.050189327386285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7.1176022444241954E-2</v>
      </c>
      <c r="AD182" s="230">
        <f>(INDEX(Models!$BJ182:$BT182,,AH182)*(1-AF182)+INDEX(Models!$BJ182:$BT182,,AH182+1)*AF182-ERP_i)*AE182*Ramure*Pc/MaxiM</f>
        <v>4.2996007913883352E-4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'2026'!Wh/'2026'!Env_an*'2027'!Env_an</f>
        <v>54.016595515624161</v>
      </c>
      <c r="C183" s="829"/>
      <c r="D183" s="391">
        <f t="shared" si="50"/>
        <v>57.295584528166358</v>
      </c>
      <c r="E183" s="383">
        <f t="shared" si="75"/>
        <v>59.680476664870021</v>
      </c>
      <c r="F183" s="383">
        <f t="shared" si="51"/>
        <v>59.681937986311048</v>
      </c>
      <c r="G183" s="110">
        <f t="shared" si="76"/>
        <v>0.94224943674952044</v>
      </c>
      <c r="H183" s="412" t="b">
        <f>Wh_hp&gt;='2026'!Maxi_hp</f>
        <v>0</v>
      </c>
      <c r="I183" s="388">
        <f>IF(H183,Wh_hp,'2026'!Maxi_hp)</f>
        <v>59.682036704515475</v>
      </c>
      <c r="J183" s="85">
        <f>IF(H183,An,'2026'!An_max)</f>
        <v>2026</v>
      </c>
      <c r="K183" s="197">
        <f t="shared" si="52"/>
        <v>46556</v>
      </c>
      <c r="L183" s="147">
        <f>IF(t&lt;Tvie,1-EXP((T0-t)*PertePVj)+'2026'!Pspv,1-EXP((T0-t)*PertePVj)+Pspv)</f>
        <v>5.7229349164423904E-2</v>
      </c>
      <c r="M183" s="832"/>
      <c r="N183" s="832"/>
      <c r="O183" s="48">
        <f>IF(t&lt;Tnet,'2026'!Resal+('2026'!Salim-'2026'!Resal)*(1-EXP(('2026'!Tnet-t)/('2026'!Tau_j))),Resal+(Salim-Resal)*(1-EXP((Tnet-t)/(Tau_j))))*Salcycl</f>
        <v>3.9961010199295113E-2</v>
      </c>
      <c r="P183" s="169">
        <f>(INDEX(Models!$BJ183:$BT183,,T183)*(1-R183)+INDEX(Models!$BJ183:$BT183,,T183+1)*R183-ERP_i)*Q183*Ramure*Pc/MaxiM</f>
        <v>2.6686753523989931E-5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57.327151901666895</v>
      </c>
      <c r="W183" s="400">
        <f t="shared" si="59"/>
        <v>54.016595515624161</v>
      </c>
      <c r="X183" s="157">
        <f t="shared" si="60"/>
        <v>46556</v>
      </c>
      <c r="Y183" s="383">
        <f t="shared" si="61"/>
        <v>52.237296994401568</v>
      </c>
      <c r="Z183" s="383">
        <f t="shared" si="62"/>
        <v>55.408276602696255</v>
      </c>
      <c r="AA183" s="384">
        <f t="shared" si="63"/>
        <v>59.658319197479834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7.1239730719116864E-2</v>
      </c>
      <c r="AD183" s="230">
        <f>(INDEX(Models!$BJ183:$BT183,,AH183)*(1-AF183)+INDEX(Models!$BJ183:$BT183,,AH183+1)*AF183-ERP_i)*AE183*Ramure*Pc/MaxiM</f>
        <v>4.3132796000691192E-4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'2026'!Wh/'2026'!Env_an*'2027'!Env_an</f>
        <v>55.330227405405815</v>
      </c>
      <c r="C184" s="829"/>
      <c r="D184" s="391">
        <f t="shared" si="50"/>
        <v>58.690083073623157</v>
      </c>
      <c r="E184" s="383">
        <f t="shared" si="75"/>
        <v>61.137916854030109</v>
      </c>
      <c r="F184" s="383">
        <f t="shared" si="51"/>
        <v>61.139484200885285</v>
      </c>
      <c r="G184" s="110">
        <f t="shared" si="76"/>
        <v>0.9660383091559096</v>
      </c>
      <c r="H184" s="412" t="b">
        <f>Wh_hp&gt;='2026'!Maxi_hp</f>
        <v>0</v>
      </c>
      <c r="I184" s="388">
        <f>IF(H184,Wh_hp,'2026'!Maxi_hp)</f>
        <v>61.139544099093641</v>
      </c>
      <c r="J184" s="85">
        <f>IF(H184,An,'2026'!An_max)</f>
        <v>2026</v>
      </c>
      <c r="K184" s="197">
        <f t="shared" si="52"/>
        <v>46557</v>
      </c>
      <c r="L184" s="147">
        <f>IF(t&lt;Tvie,1-EXP((T0-t)*PertePVj)+'2026'!Pspv,1-EXP((T0-t)*PertePVj)+Pspv)</f>
        <v>5.7247417148866608E-2</v>
      </c>
      <c r="M184" s="832"/>
      <c r="N184" s="832"/>
      <c r="O184" s="48">
        <f>IF(t&lt;Tnet,'2026'!Resal+('2026'!Salim-'2026'!Resal)*(1-EXP(('2026'!Tnet-t)/('2026'!Tau_j))),Resal+(Salim-Resal)*(1-EXP((Tnet-t)/(Tau_j))))*Salcycl</f>
        <v>4.0037899659736219E-2</v>
      </c>
      <c r="P184" s="169">
        <f>(INDEX(Models!$BJ184:$BT184,,T184)*(1-R184)+INDEX(Models!$BJ184:$BT184,,T184+1)*R184-ERP_i)*Q184*Ramure*Pc/MaxiM</f>
        <v>2.6942714762191786E-5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57.275321853935885</v>
      </c>
      <c r="W184" s="400">
        <f t="shared" si="59"/>
        <v>55.330227405405815</v>
      </c>
      <c r="X184" s="157">
        <f t="shared" si="60"/>
        <v>46557</v>
      </c>
      <c r="Y184" s="383">
        <f t="shared" si="61"/>
        <v>53.507519216636695</v>
      </c>
      <c r="Z184" s="383">
        <f t="shared" si="62"/>
        <v>56.756693314820517</v>
      </c>
      <c r="AA184" s="384">
        <f t="shared" si="63"/>
        <v>61.114281440951117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7.1302288489490315E-2</v>
      </c>
      <c r="AD184" s="230">
        <f>(INDEX(Models!$BJ184:$BT184,,AH184)*(1-AF184)+INDEX(Models!$BJ184:$BT184,,AH184+1)*AF184-ERP_i)*AE184*Ramure*Pc/MaxiM</f>
        <v>4.3323580220010552E-4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'2026'!Wh/'2026'!Env_an*'2027'!Env_an</f>
        <v>31.213411827740021</v>
      </c>
      <c r="C185" s="829"/>
      <c r="D185" s="391">
        <f t="shared" si="50"/>
        <v>33.109439957960014</v>
      </c>
      <c r="E185" s="383">
        <f t="shared" si="75"/>
        <v>34.493100776942043</v>
      </c>
      <c r="F185" s="383">
        <f t="shared" si="51"/>
        <v>34.493430240105184</v>
      </c>
      <c r="G185" s="110">
        <f t="shared" si="76"/>
        <v>0.54546816456880831</v>
      </c>
      <c r="H185" s="412" t="b">
        <f>Wh_hp&gt;='2026'!Maxi_hp</f>
        <v>0</v>
      </c>
      <c r="I185" s="388">
        <f>IF(H185,Wh_hp,'2026'!Maxi_hp)</f>
        <v>56.990075158502776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5.7265484787040521E-2</v>
      </c>
      <c r="M185" s="832"/>
      <c r="N185" s="832"/>
      <c r="O185" s="48">
        <f>IF(t&lt;Tnet,'2026'!Resal+('2026'!Salim-'2026'!Resal)*(1-EXP(('2026'!Tnet-t)/('2026'!Tau_j))),Resal+(Salim-Resal)*(1-EXP((Tnet-t)/(Tau_j))))*Salcycl</f>
        <v>4.0114132618282249E-2</v>
      </c>
      <c r="P185" s="169">
        <f>(INDEX(Models!$BJ185:$BT185,,T185)*(1-R185)+INDEX(Models!$BJ185:$BT185,,T185+1)*R185-ERP_i)*Q185*Ramure*Pc/MaxiM</f>
        <v>2.7236812135701203E-5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57.22214756099244</v>
      </c>
      <c r="W185" s="400">
        <f t="shared" si="59"/>
        <v>31.213411827740021</v>
      </c>
      <c r="X185" s="157">
        <f t="shared" si="60"/>
        <v>46558</v>
      </c>
      <c r="Y185" s="383">
        <f t="shared" si="61"/>
        <v>30.192921369051007</v>
      </c>
      <c r="Z185" s="383">
        <f t="shared" si="62"/>
        <v>32.026960805853768</v>
      </c>
      <c r="AA185" s="384">
        <f t="shared" si="63"/>
        <v>34.488162984479537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7.136367859701219E-2</v>
      </c>
      <c r="AD185" s="230">
        <f>(INDEX(Models!$BJ185:$BT185,,AH185)*(1-AF185)+INDEX(Models!$BJ185:$BT185,,AH185+1)*AF185-ERP_i)*AE185*Ramure*Pc/MaxiM</f>
        <v>4.3544550042793717E-4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'2026'!Wh/'2026'!Env_an*'2027'!Env_an</f>
        <v>22.463107953566265</v>
      </c>
      <c r="C186" s="829"/>
      <c r="D186" s="391">
        <f t="shared" si="50"/>
        <v>23.828064104645328</v>
      </c>
      <c r="E186" s="383">
        <f t="shared" si="75"/>
        <v>24.825805773868506</v>
      </c>
      <c r="F186" s="383">
        <f t="shared" si="51"/>
        <v>24.825896645007916</v>
      </c>
      <c r="G186" s="110">
        <f t="shared" si="76"/>
        <v>0.39292464840504215</v>
      </c>
      <c r="H186" s="412" t="b">
        <f>Wh_hp&gt;='2026'!Maxi_hp</f>
        <v>0</v>
      </c>
      <c r="I186" s="388">
        <f>IF(H186,Wh_hp,'2026'!Maxi_hp)</f>
        <v>52.195932812822107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5.7283552078952304E-2</v>
      </c>
      <c r="M186" s="832"/>
      <c r="N186" s="832"/>
      <c r="O186" s="48">
        <f>IF(t&lt;Tnet,'2026'!Resal+('2026'!Salim-'2026'!Resal)*(1-EXP(('2026'!Tnet-t)/('2026'!Tau_j))),Resal+(Salim-Resal)*(1-EXP((Tnet-t)/(Tau_j))))*Salcycl</f>
        <v>4.0189699311729707E-2</v>
      </c>
      <c r="P186" s="169">
        <f>(INDEX(Models!$BJ186:$BT186,,T186)*(1-R186)+INDEX(Models!$BJ186:$BT186,,T186+1)*R186-ERP_i)*Q186*Ramure*Pc/MaxiM</f>
        <v>2.7570474270883256E-5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57.167629841440963</v>
      </c>
      <c r="W186" s="400">
        <f t="shared" si="59"/>
        <v>22.463107953566265</v>
      </c>
      <c r="X186" s="157">
        <f t="shared" si="60"/>
        <v>46559</v>
      </c>
      <c r="Y186" s="383">
        <f t="shared" si="61"/>
        <v>21.730928450146074</v>
      </c>
      <c r="Z186" s="383">
        <f t="shared" si="62"/>
        <v>23.051394189704467</v>
      </c>
      <c r="AA186" s="384">
        <f t="shared" si="63"/>
        <v>24.824453134067035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7.142388735763805E-2</v>
      </c>
      <c r="AD186" s="230">
        <f>(INDEX(Models!$BJ186:$BT186,,AH186)*(1-AF186)+INDEX(Models!$BJ186:$BT186,,AH186+1)*AF186-ERP_i)*AE186*Ramure*Pc/MaxiM</f>
        <v>4.3796392906434936E-4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'2026'!Wh/'2026'!Env_an*'2027'!Env_an</f>
        <v>43.508256821560394</v>
      </c>
      <c r="C187" s="829"/>
      <c r="D187" s="391">
        <f t="shared" si="50"/>
        <v>46.15289227137874</v>
      </c>
      <c r="E187" s="383">
        <f t="shared" si="75"/>
        <v>48.089183625565873</v>
      </c>
      <c r="F187" s="383">
        <f t="shared" si="51"/>
        <v>48.090070221377104</v>
      </c>
      <c r="G187" s="110">
        <f t="shared" si="76"/>
        <v>0.76180170145702675</v>
      </c>
      <c r="H187" s="412" t="b">
        <f>Wh_hp&gt;='2026'!Maxi_hp</f>
        <v>0</v>
      </c>
      <c r="I187" s="388">
        <f>IF(H187,Wh_hp,'2026'!Maxi_hp)</f>
        <v>63.676809848065162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5.7301619024608508E-2</v>
      </c>
      <c r="M187" s="832"/>
      <c r="N187" s="832"/>
      <c r="O187" s="48">
        <f>IF(t&lt;Tnet,'2026'!Resal+('2026'!Salim-'2026'!Resal)*(1-EXP(('2026'!Tnet-t)/('2026'!Tau_j))),Resal+(Salim-Resal)*(1-EXP((Tnet-t)/(Tau_j))))*Salcycl</f>
        <v>4.0264591914547072E-2</v>
      </c>
      <c r="P187" s="169">
        <f>(INDEX(Models!$BJ187:$BT187,,T187)*(1-R187)+INDEX(Models!$BJ187:$BT187,,T187+1)*R187-ERP_i)*Q187*Ramure*Pc/MaxiM</f>
        <v>2.7945118953535675E-5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57.11176939105448</v>
      </c>
      <c r="W187" s="400">
        <f t="shared" si="59"/>
        <v>43.508256821560394</v>
      </c>
      <c r="X187" s="157">
        <f t="shared" si="60"/>
        <v>46560</v>
      </c>
      <c r="Y187" s="383">
        <f t="shared" si="61"/>
        <v>42.081553368440154</v>
      </c>
      <c r="Z187" s="383">
        <f t="shared" si="62"/>
        <v>44.639467106010301</v>
      </c>
      <c r="AA187" s="384">
        <f t="shared" si="63"/>
        <v>48.076085325486055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7.1482904571141065E-2</v>
      </c>
      <c r="AD187" s="230">
        <f>(INDEX(Models!$BJ187:$BT187,,AH187)*(1-AF187)+INDEX(Models!$BJ187:$BT187,,AH187+1)*AF187-ERP_i)*AE187*Ramure*Pc/MaxiM</f>
        <v>4.4079790844541415E-4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'2026'!Wh/'2026'!Env_an*'2027'!Env_an</f>
        <v>41.039581404221714</v>
      </c>
      <c r="C188" s="829"/>
      <c r="D188" s="391">
        <f t="shared" si="50"/>
        <v>43.534993548038862</v>
      </c>
      <c r="E188" s="383">
        <f t="shared" si="75"/>
        <v>45.364961878378928</v>
      </c>
      <c r="F188" s="383">
        <f t="shared" si="51"/>
        <v>45.3657325931214</v>
      </c>
      <c r="G188" s="110">
        <f t="shared" si="76"/>
        <v>0.71929587684406904</v>
      </c>
      <c r="H188" s="412" t="b">
        <f>Wh_hp&gt;='2026'!Maxi_hp</f>
        <v>0</v>
      </c>
      <c r="I188" s="388">
        <f>IF(H188,Wh_hp,'2026'!Maxi_hp)</f>
        <v>54.409239843799597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5.7319685624015904E-2</v>
      </c>
      <c r="M188" s="832"/>
      <c r="N188" s="832"/>
      <c r="O188" s="48">
        <f>IF(t&lt;Tnet,'2026'!Resal+('2026'!Salim-'2026'!Resal)*(1-EXP(('2026'!Tnet-t)/('2026'!Tau_j))),Resal+(Salim-Resal)*(1-EXP((Tnet-t)/(Tau_j))))*Salcycl</f>
        <v>4.0338804543605937E-2</v>
      </c>
      <c r="P188" s="169">
        <f>(INDEX(Models!$BJ188:$BT188,,T188)*(1-R188)+INDEX(Models!$BJ188:$BT188,,T188+1)*R188-ERP_i)*Q188*Ramure*Pc/MaxiM</f>
        <v>2.8361860253946035E-5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57.054566801621952</v>
      </c>
      <c r="W188" s="400">
        <f t="shared" si="59"/>
        <v>41.039581404221714</v>
      </c>
      <c r="X188" s="157">
        <f t="shared" si="60"/>
        <v>46561</v>
      </c>
      <c r="Y188" s="383">
        <f t="shared" si="61"/>
        <v>39.69535768553348</v>
      </c>
      <c r="Z188" s="383">
        <f t="shared" si="62"/>
        <v>42.109034293147609</v>
      </c>
      <c r="AA188" s="384">
        <f t="shared" si="63"/>
        <v>45.353668555500882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7.154072351132304E-2</v>
      </c>
      <c r="AD188" s="230">
        <f>(INDEX(Models!$BJ188:$BT188,,AH188)*(1-AF188)+INDEX(Models!$BJ188:$BT188,,AH188+1)*AF188-ERP_i)*AE188*Ramure*Pc/MaxiM</f>
        <v>4.4394966157203767E-4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'2026'!Wh/'2026'!Env_an*'2027'!Env_an</f>
        <v>38.710083768459079</v>
      </c>
      <c r="C189" s="829"/>
      <c r="D189" s="391">
        <f t="shared" si="50"/>
        <v>41.064637780440272</v>
      </c>
      <c r="E189" s="383">
        <f t="shared" si="75"/>
        <v>42.794044987682248</v>
      </c>
      <c r="F189" s="383">
        <f t="shared" si="51"/>
        <v>42.794713098465216</v>
      </c>
      <c r="G189" s="110">
        <f t="shared" si="76"/>
        <v>0.67916269733285251</v>
      </c>
      <c r="H189" s="412" t="b">
        <f>Wh_hp&gt;='2026'!Maxi_hp</f>
        <v>0</v>
      </c>
      <c r="I189" s="388">
        <f>IF(H189,Wh_hp,'2026'!Maxi_hp)</f>
        <v>62.441537989908561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5.7337751877180931E-2</v>
      </c>
      <c r="M189" s="832"/>
      <c r="N189" s="832"/>
      <c r="O189" s="48">
        <f>IF(t&lt;Tnet,'2026'!Resal+('2026'!Salim-'2026'!Resal)*(1-EXP(('2026'!Tnet-t)/('2026'!Tau_j))),Resal+(Salim-Resal)*(1-EXP((Tnet-t)/(Tau_j))))*Salcycl</f>
        <v>4.0412333251969294E-2</v>
      </c>
      <c r="P189" s="169">
        <f>(INDEX(Models!$BJ189:$BT189,,T189)*(1-R189)+INDEX(Models!$BJ189:$BT189,,T189+1)*R189-ERP_i)*Q189*Ramure*Pc/MaxiM</f>
        <v>2.8821761598745861E-5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56.996022545500637</v>
      </c>
      <c r="W189" s="400">
        <f t="shared" si="59"/>
        <v>38.710083768459079</v>
      </c>
      <c r="X189" s="157">
        <f t="shared" si="60"/>
        <v>46562</v>
      </c>
      <c r="Y189" s="383">
        <f t="shared" si="61"/>
        <v>37.443578075259744</v>
      </c>
      <c r="Z189" s="383">
        <f t="shared" si="62"/>
        <v>39.721096447665566</v>
      </c>
      <c r="AA189" s="384">
        <f t="shared" si="63"/>
        <v>42.78434153349243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7.15973408969936E-2</v>
      </c>
      <c r="AD189" s="230">
        <f>(INDEX(Models!$BJ189:$BT189,,AH189)*(1-AF189)+INDEX(Models!$BJ189:$BT189,,AH189+1)*AF189-ERP_i)*AE189*Ramure*Pc/MaxiM</f>
        <v>4.4742096770897759E-4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'2026'!Wh/'2026'!Env_an*'2027'!Env_an</f>
        <v>33.5933304477132</v>
      </c>
      <c r="C190" s="829"/>
      <c r="D190" s="391">
        <f t="shared" si="50"/>
        <v>35.637339180033756</v>
      </c>
      <c r="E190" s="383">
        <f t="shared" si="75"/>
        <v>37.140999064409854</v>
      </c>
      <c r="F190" s="383">
        <f t="shared" si="51"/>
        <v>37.141450338302008</v>
      </c>
      <c r="G190" s="110">
        <f t="shared" si="76"/>
        <v>0.59000759860787211</v>
      </c>
      <c r="H190" s="412" t="b">
        <f>Wh_hp&gt;='2026'!Maxi_hp</f>
        <v>0</v>
      </c>
      <c r="I190" s="388">
        <f>IF(H190,Wh_hp,'2026'!Maxi_hp)</f>
        <v>58.359170518097258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5.7355817784110363E-2</v>
      </c>
      <c r="M190" s="832"/>
      <c r="N190" s="832"/>
      <c r="O190" s="48">
        <f>IF(t&lt;Tnet,'2026'!Resal+('2026'!Salim-'2026'!Resal)*(1-EXP(('2026'!Tnet-t)/('2026'!Tau_j))),Resal+(Salim-Resal)*(1-EXP((Tnet-t)/(Tau_j))))*Salcycl</f>
        <v>4.0485176011783044E-2</v>
      </c>
      <c r="P190" s="169">
        <f>(INDEX(Models!$BJ190:$BT190,,T190)*(1-R190)+INDEX(Models!$BJ190:$BT190,,T190+1)*R190-ERP_i)*Q190*Ramure*Pc/MaxiM</f>
        <v>2.9326135505638957E-5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56.936136960161313</v>
      </c>
      <c r="W190" s="400">
        <f t="shared" si="59"/>
        <v>33.5933304477132</v>
      </c>
      <c r="X190" s="157">
        <f t="shared" si="60"/>
        <v>46563</v>
      </c>
      <c r="Y190" s="383">
        <f t="shared" si="61"/>
        <v>32.49644891089558</v>
      </c>
      <c r="Z190" s="383">
        <f t="shared" si="62"/>
        <v>34.473717150097535</v>
      </c>
      <c r="AA190" s="384">
        <f t="shared" si="63"/>
        <v>37.134506946881977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7.1652756843937446E-2</v>
      </c>
      <c r="AD190" s="230">
        <f>(INDEX(Models!$BJ190:$BT190,,AH190)*(1-AF190)+INDEX(Models!$BJ190:$BT190,,AH190+1)*AF190-ERP_i)*AE190*Ramure*Pc/MaxiM</f>
        <v>4.5121785503851418E-4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'2026'!Wh/'2026'!Env_an*'2027'!Env_an</f>
        <v>11.926962097880439</v>
      </c>
      <c r="C191" s="829"/>
      <c r="D191" s="391">
        <f t="shared" si="50"/>
        <v>12.652908599861444</v>
      </c>
      <c r="E191" s="383">
        <f t="shared" si="75"/>
        <v>13.187769348729418</v>
      </c>
      <c r="F191" s="383">
        <f t="shared" si="51"/>
        <v>13.187769348729418</v>
      </c>
      <c r="G191" s="110">
        <f t="shared" si="76"/>
        <v>0.20969889373807396</v>
      </c>
      <c r="H191" s="412" t="b">
        <f>Wh_hp&gt;='2026'!Maxi_hp</f>
        <v>0</v>
      </c>
      <c r="I191" s="388">
        <f>IF(H191,Wh_hp,'2026'!Maxi_hp)</f>
        <v>60.460509614669505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5.7373883344810861E-2</v>
      </c>
      <c r="M191" s="832"/>
      <c r="N191" s="832"/>
      <c r="O191" s="48">
        <f>IF(t&lt;Tnet,'2026'!Resal+('2026'!Salim-'2026'!Resal)*(1-EXP(('2026'!Tnet-t)/('2026'!Tau_j))),Resal+(Salim-Resal)*(1-EXP((Tnet-t)/(Tau_j))))*Salcycl</f>
        <v>4.0557332686403484E-2</v>
      </c>
      <c r="P191" s="169">
        <f>(INDEX(Models!$BJ191:$BT191,,T191)*(1-R191)+INDEX(Models!$BJ191:$BT191,,T191+1)*R191-ERP_i)*Q191*Ramure*Pc/MaxiM</f>
        <v>2.9876266693393159E-5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56.87491026861106</v>
      </c>
      <c r="W191" s="400">
        <f t="shared" si="59"/>
        <v>11.926962097880439</v>
      </c>
      <c r="X191" s="157">
        <f t="shared" si="60"/>
        <v>46564</v>
      </c>
      <c r="Y191" s="383">
        <f t="shared" si="61"/>
        <v>11.539736666400893</v>
      </c>
      <c r="Z191" s="383">
        <f t="shared" si="62"/>
        <v>12.242114304395098</v>
      </c>
      <c r="AA191" s="384">
        <f t="shared" si="63"/>
        <v>13.187769348729418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7.170697479823826E-2</v>
      </c>
      <c r="AD191" s="230">
        <f>(INDEX(Models!$BJ191:$BT191,,AH191)*(1-AF191)+INDEX(Models!$BJ191:$BT191,,AH191+1)*AF191-ERP_i)*AE191*Ramure*Pc/MaxiM</f>
        <v>4.5534623874005277E-4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'2026'!Wh/'2026'!Env_an*'2027'!Env_an</f>
        <v>14.49242043145223</v>
      </c>
      <c r="C192" s="829"/>
      <c r="D192" s="391">
        <f t="shared" si="50"/>
        <v>15.374810780898349</v>
      </c>
      <c r="E192" s="383">
        <f t="shared" si="75"/>
        <v>16.025924960952985</v>
      </c>
      <c r="F192" s="383">
        <f t="shared" si="51"/>
        <v>16.025924960952985</v>
      </c>
      <c r="G192" s="110">
        <f t="shared" si="76"/>
        <v>0.25508504209297311</v>
      </c>
      <c r="H192" s="412" t="b">
        <f>Wh_hp&gt;='2026'!Maxi_hp</f>
        <v>0</v>
      </c>
      <c r="I192" s="388">
        <f>IF(H192,Wh_hp,'2026'!Maxi_hp)</f>
        <v>59.284461981263078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5.7391948559288974E-2</v>
      </c>
      <c r="M192" s="832"/>
      <c r="N192" s="832"/>
      <c r="O192" s="48">
        <f>IF(t&lt;Tnet,'2026'!Resal+('2026'!Salim-'2026'!Resal)*(1-EXP(('2026'!Tnet-t)/('2026'!Tau_j))),Resal+(Salim-Resal)*(1-EXP((Tnet-t)/(Tau_j))))*Salcycl</f>
        <v>4.0628804991978268E-2</v>
      </c>
      <c r="P192" s="169">
        <f>(INDEX(Models!$BJ192:$BT192,,T192)*(1-R192)+INDEX(Models!$BJ192:$BT192,,T192+1)*R192-ERP_i)*Q192*Ramure*Pc/MaxiM</f>
        <v>3.0504196805967774E-5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56.812340829162274</v>
      </c>
      <c r="W192" s="400">
        <f t="shared" si="59"/>
        <v>14.49242043145223</v>
      </c>
      <c r="X192" s="157">
        <f t="shared" si="60"/>
        <v>46565</v>
      </c>
      <c r="Y192" s="383">
        <f t="shared" si="61"/>
        <v>14.022147413070241</v>
      </c>
      <c r="Z192" s="383">
        <f t="shared" si="62"/>
        <v>14.875904562493776</v>
      </c>
      <c r="AA192" s="384">
        <f t="shared" si="63"/>
        <v>16.025924960952985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7.176000145147457E-2</v>
      </c>
      <c r="AD192" s="230">
        <f>(INDEX(Models!$BJ192:$BT192,,AH192)*(1-AF192)+INDEX(Models!$BJ192:$BT192,,AH192+1)*AF192-ERP_i)*AE192*Ramure*Pc/MaxiM</f>
        <v>4.600728665581145E-4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'2026'!Wh/'2026'!Env_an*'2027'!Env_an</f>
        <v>57.493596949997169</v>
      </c>
      <c r="C193" s="829"/>
      <c r="D193" s="391">
        <f t="shared" si="50"/>
        <v>60.995340252936309</v>
      </c>
      <c r="E193" s="383">
        <f t="shared" si="75"/>
        <v>63.583148747919495</v>
      </c>
      <c r="F193" s="383">
        <f t="shared" si="51"/>
        <v>63.585131804859891</v>
      </c>
      <c r="G193" s="110">
        <f t="shared" si="76"/>
        <v>1.0131310585480506</v>
      </c>
      <c r="H193" s="412" t="b">
        <f>Wh_hp&gt;='2026'!Maxi_hp</f>
        <v>1</v>
      </c>
      <c r="I193" s="388">
        <f>IF(H193,Wh_hp,'2026'!Maxi_hp)</f>
        <v>63.585131804859891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5.7410013427551365E-2</v>
      </c>
      <c r="M193" s="832"/>
      <c r="N193" s="832"/>
      <c r="O193" s="48">
        <f>IF(t&lt;Tnet,'2026'!Resal+('2026'!Salim-'2026'!Resal)*(1-EXP(('2026'!Tnet-t)/('2026'!Tau_j))),Resal+(Salim-Resal)*(1-EXP((Tnet-t)/(Tau_j))))*Salcycl</f>
        <v>4.069959644878178E-2</v>
      </c>
      <c r="P193" s="169">
        <f>(INDEX(Models!$BJ193:$BT193,,T193)*(1-R193)+INDEX(Models!$BJ193:$BT193,,T193+1)*R193-ERP_i)*Q193*Ramure*Pc/MaxiM</f>
        <v>3.1187431465556633E-5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56.748429993245914</v>
      </c>
      <c r="W193" s="400">
        <f t="shared" si="59"/>
        <v>57.493596949997169</v>
      </c>
      <c r="X193" s="157">
        <f t="shared" si="60"/>
        <v>46566</v>
      </c>
      <c r="Y193" s="383">
        <f t="shared" si="61"/>
        <v>55.604806527397486</v>
      </c>
      <c r="Z193" s="383">
        <f t="shared" si="62"/>
        <v>58.991509903042697</v>
      </c>
      <c r="AA193" s="384">
        <f t="shared" si="63"/>
        <v>63.555551414222663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7.1811846638444976E-2</v>
      </c>
      <c r="AD193" s="230">
        <f>(INDEX(Models!$BJ193:$BT193,,AH193)*(1-AF193)+INDEX(Models!$BJ193:$BT193,,AH193+1)*AF193-ERP_i)*AE193*Ramure*Pc/MaxiM</f>
        <v>4.6520923677589388E-4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'2026'!Wh/'2026'!Env_an*'2027'!Env_an</f>
        <v>55.84538041675907</v>
      </c>
      <c r="C194" s="829"/>
      <c r="D194" s="391">
        <f t="shared" si="50"/>
        <v>59.247871817863526</v>
      </c>
      <c r="E194" s="383">
        <f t="shared" si="75"/>
        <v>61.766056158763256</v>
      </c>
      <c r="F194" s="383">
        <f t="shared" si="51"/>
        <v>61.767986611128002</v>
      </c>
      <c r="G194" s="110">
        <f t="shared" si="76"/>
        <v>0.98521898546798414</v>
      </c>
      <c r="H194" s="412" t="b">
        <f>Wh_hp&gt;='2026'!Maxi_hp</f>
        <v>0</v>
      </c>
      <c r="I194" s="388">
        <f>IF(H194,Wh_hp,'2026'!Maxi_hp)</f>
        <v>61.768016952318149</v>
      </c>
      <c r="J194" s="85">
        <f>IF(H194,An,'2026'!An_max)</f>
        <v>2026</v>
      </c>
      <c r="K194" s="197">
        <f t="shared" si="52"/>
        <v>46567</v>
      </c>
      <c r="L194" s="147">
        <f>IF(t&lt;Tvie,1-EXP((T0-t)*PertePVj)+'2026'!Pspv,1-EXP((T0-t)*PertePVj)+Pspv)</f>
        <v>5.7428077949604694E-2</v>
      </c>
      <c r="M194" s="832"/>
      <c r="N194" s="832"/>
      <c r="O194" s="48">
        <f>IF(t&lt;Tnet,'2026'!Resal+('2026'!Salim-'2026'!Resal)*(1-EXP(('2026'!Tnet-t)/('2026'!Tau_j))),Resal+(Salim-Resal)*(1-EXP((Tnet-t)/(Tau_j))))*Salcycl</f>
        <v>4.07697123226873E-2</v>
      </c>
      <c r="P194" s="169">
        <f>(INDEX(Models!$BJ194:$BT194,,T194)*(1-R194)+INDEX(Models!$BJ194:$BT194,,T194+1)*R194-ERP_i)*Q194*Ramure*Pc/MaxiM</f>
        <v>3.1927423706557342E-5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56.683177640360171</v>
      </c>
      <c r="W194" s="400">
        <f t="shared" si="59"/>
        <v>55.84538041675907</v>
      </c>
      <c r="X194" s="157">
        <f t="shared" si="60"/>
        <v>46567</v>
      </c>
      <c r="Y194" s="383">
        <f t="shared" si="61"/>
        <v>54.011977066104549</v>
      </c>
      <c r="Z194" s="383">
        <f t="shared" si="62"/>
        <v>57.30276470426918</v>
      </c>
      <c r="AA194" s="384">
        <f t="shared" si="63"/>
        <v>61.739522579090711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7.1862523218216831E-2</v>
      </c>
      <c r="AD194" s="230">
        <f>(INDEX(Models!$BJ194:$BT194,,AH194)*(1-AF194)+INDEX(Models!$BJ194:$BT194,,AH194+1)*AF194-ERP_i)*AE194*Ramure*Pc/MaxiM</f>
        <v>4.707617902668134E-4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'2026'!Wh/'2026'!Env_an*'2027'!Env_an</f>
        <v>13.772476539072493</v>
      </c>
      <c r="C195" s="829"/>
      <c r="D195" s="391">
        <f t="shared" si="50"/>
        <v>14.61187222778906</v>
      </c>
      <c r="E195" s="383">
        <f t="shared" si="75"/>
        <v>15.234016665071511</v>
      </c>
      <c r="F195" s="383">
        <f t="shared" si="51"/>
        <v>15.234016665071511</v>
      </c>
      <c r="G195" s="110">
        <f t="shared" si="76"/>
        <v>0.24325073968384239</v>
      </c>
      <c r="H195" s="412" t="b">
        <f>Wh_hp&gt;='2026'!Maxi_hp</f>
        <v>0</v>
      </c>
      <c r="I195" s="388">
        <f>IF(H195,Wh_hp,'2026'!Maxi_hp)</f>
        <v>52.702185547178217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5.7446142125455624E-2</v>
      </c>
      <c r="M195" s="832"/>
      <c r="N195" s="832"/>
      <c r="O195" s="48">
        <f>IF(t&lt;Tnet,'2026'!Resal+('2026'!Salim-'2026'!Resal)*(1-EXP(('2026'!Tnet-t)/('2026'!Tau_j))),Resal+(Salim-Resal)*(1-EXP((Tnet-t)/(Tau_j))))*Salcycl</f>
        <v>4.0839159557236167E-2</v>
      </c>
      <c r="P195" s="169">
        <f>(INDEX(Models!$BJ195:$BT195,,T195)*(1-R195)+INDEX(Models!$BJ195:$BT195,,T195+1)*R195-ERP_i)*Q195*Ramure*Pc/MaxiM</f>
        <v>3.2725583593233224E-5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56.616583549303868</v>
      </c>
      <c r="W195" s="400">
        <f t="shared" si="59"/>
        <v>13.772476539072493</v>
      </c>
      <c r="X195" s="157">
        <f t="shared" si="60"/>
        <v>46568</v>
      </c>
      <c r="Y195" s="383">
        <f t="shared" si="61"/>
        <v>13.326304641276016</v>
      </c>
      <c r="Z195" s="383">
        <f t="shared" si="62"/>
        <v>14.138507343576935</v>
      </c>
      <c r="AA195" s="384">
        <f t="shared" si="63"/>
        <v>15.234016665071511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7.1912046939423088E-2</v>
      </c>
      <c r="AD195" s="230">
        <f>(INDEX(Models!$BJ195:$BT195,,AH195)*(1-AF195)+INDEX(Models!$BJ195:$BT195,,AH195+1)*AF195-ERP_i)*AE195*Ramure*Pc/MaxiM</f>
        <v>4.7673680722678553E-4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'2026'!Wh/'2026'!Env_an*'2027'!Env_an</f>
        <v>49.676741083257731</v>
      </c>
      <c r="C196" s="829"/>
      <c r="D196" s="391">
        <f t="shared" si="50"/>
        <v>52.705415960989832</v>
      </c>
      <c r="E196" s="383">
        <f t="shared" si="75"/>
        <v>54.953448711695295</v>
      </c>
      <c r="F196" s="383">
        <f t="shared" si="51"/>
        <v>54.954973883852794</v>
      </c>
      <c r="G196" s="110">
        <f t="shared" si="76"/>
        <v>0.87847285004683706</v>
      </c>
      <c r="H196" s="412" t="b">
        <f>Wh_hp&gt;='2026'!Maxi_hp</f>
        <v>0</v>
      </c>
      <c r="I196" s="388">
        <f>IF(H196,Wh_hp,'2026'!Maxi_hp)</f>
        <v>60.959454139649438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5.7464205955110703E-2</v>
      </c>
      <c r="M196" s="832"/>
      <c r="N196" s="832"/>
      <c r="O196" s="48">
        <f>IF(t&lt;Tnet,'2026'!Resal+('2026'!Salim-'2026'!Resal)*(1-EXP(('2026'!Tnet-t)/('2026'!Tau_j))),Resal+(Salim-Resal)*(1-EXP((Tnet-t)/(Tau_j))))*Salcycl</f>
        <v>4.090794669683815E-2</v>
      </c>
      <c r="P196" s="169">
        <f>(INDEX(Models!$BJ196:$BT196,,T196)*(1-R196)+INDEX(Models!$BJ196:$BT196,,T196+1)*R196-ERP_i)*Q196*Ramure*Pc/MaxiM</f>
        <v>3.3583277402363226E-5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56.548647404990781</v>
      </c>
      <c r="W196" s="400">
        <f t="shared" si="59"/>
        <v>49.676741083257731</v>
      </c>
      <c r="X196" s="157">
        <f t="shared" si="60"/>
        <v>46569</v>
      </c>
      <c r="Y196" s="383">
        <f t="shared" si="61"/>
        <v>48.050500486481909</v>
      </c>
      <c r="Z196" s="383">
        <f t="shared" si="62"/>
        <v>50.980027273312707</v>
      </c>
      <c r="AA196" s="384">
        <f t="shared" si="63"/>
        <v>54.933032240089005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7.1960436290853039E-2</v>
      </c>
      <c r="AD196" s="230">
        <f>(INDEX(Models!$BJ196:$BT196,,AH196)*(1-AF196)+INDEX(Models!$BJ196:$BT196,,AH196+1)*AF196-ERP_i)*AE196*Ramure*Pc/MaxiM</f>
        <v>4.8314041504134316E-4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'2026'!Wh/'2026'!Env_an*'2027'!Env_an</f>
        <v>54.876293847116891</v>
      </c>
      <c r="C197" s="829"/>
      <c r="D197" s="391">
        <f t="shared" si="50"/>
        <v>58.223089144889705</v>
      </c>
      <c r="E197" s="383">
        <f t="shared" si="75"/>
        <v>60.71077911768279</v>
      </c>
      <c r="F197" s="383">
        <f t="shared" si="51"/>
        <v>60.71278888453768</v>
      </c>
      <c r="G197" s="110">
        <f t="shared" si="76"/>
        <v>0.97161526834400769</v>
      </c>
      <c r="H197" s="412" t="b">
        <f>Wh_hp&gt;='2026'!Maxi_hp</f>
        <v>0</v>
      </c>
      <c r="I197" s="388">
        <f>IF(H197,Wh_hp,'2026'!Maxi_hp)</f>
        <v>60.712850155568447</v>
      </c>
      <c r="J197" s="85">
        <f>IF(H197,An,'2026'!An_max)</f>
        <v>2026</v>
      </c>
      <c r="K197" s="197">
        <f t="shared" si="52"/>
        <v>46570</v>
      </c>
      <c r="L197" s="147">
        <f>IF(t&lt;Tvie,1-EXP((T0-t)*PertePVj)+'2026'!Pspv,1-EXP((T0-t)*PertePVj)+Pspv)</f>
        <v>5.7482269438576594E-2</v>
      </c>
      <c r="M197" s="832"/>
      <c r="N197" s="832"/>
      <c r="O197" s="48">
        <f>IF(t&lt;Tnet,'2026'!Resal+('2026'!Salim-'2026'!Resal)*(1-EXP(('2026'!Tnet-t)/('2026'!Tau_j))),Resal+(Salim-Resal)*(1-EXP((Tnet-t)/(Tau_j))))*Salcycl</f>
        <v>4.0976083801706836E-2</v>
      </c>
      <c r="P197" s="169">
        <f>(INDEX(Models!$BJ197:$BT197,,T197)*(1-R197)+INDEX(Models!$BJ197:$BT197,,T197+1)*R197-ERP_i)*Q197*Ramure*Pc/MaxiM</f>
        <v>3.4501827295327655E-5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56.479368801890026</v>
      </c>
      <c r="W197" s="400">
        <f t="shared" si="59"/>
        <v>54.876293847116891</v>
      </c>
      <c r="X197" s="157">
        <f t="shared" si="60"/>
        <v>46570</v>
      </c>
      <c r="Y197" s="383">
        <f t="shared" si="61"/>
        <v>53.077427289753707</v>
      </c>
      <c r="Z197" s="383">
        <f t="shared" si="62"/>
        <v>56.314513317576974</v>
      </c>
      <c r="AA197" s="384">
        <f t="shared" si="63"/>
        <v>60.684247128267508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7.200771233849676E-2</v>
      </c>
      <c r="AD197" s="230">
        <f>(INDEX(Models!$BJ197:$BT197,,AH197)*(1-AF197)+INDEX(Models!$BJ197:$BT197,,AH197+1)*AF197-ERP_i)*AE197*Ramure*Pc/MaxiM</f>
        <v>4.8997859783729059E-4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'2026'!Wh/'2026'!Env_an*'2027'!Env_an</f>
        <v>45.20591845070058</v>
      </c>
      <c r="C198" s="829"/>
      <c r="D198" s="391">
        <f t="shared" si="50"/>
        <v>47.963856129783849</v>
      </c>
      <c r="E198" s="383">
        <f t="shared" si="75"/>
        <v>50.016721560280182</v>
      </c>
      <c r="F198" s="383">
        <f t="shared" si="51"/>
        <v>50.017993040126605</v>
      </c>
      <c r="G198" s="110">
        <f t="shared" si="76"/>
        <v>0.80139102137446605</v>
      </c>
      <c r="H198" s="412" t="b">
        <f>Wh_hp&gt;='2026'!Maxi_hp</f>
        <v>0</v>
      </c>
      <c r="I198" s="388">
        <f>IF(H198,Wh_hp,'2026'!Maxi_hp)</f>
        <v>50.018355090153918</v>
      </c>
      <c r="J198" s="85">
        <f>IF(H198,An,'2026'!An_max)</f>
        <v>2026</v>
      </c>
      <c r="K198" s="197">
        <f t="shared" si="52"/>
        <v>46571</v>
      </c>
      <c r="L198" s="147">
        <f>IF(t&lt;Tvie,1-EXP((T0-t)*PertePVj)+'2026'!Pspv,1-EXP((T0-t)*PertePVj)+Pspv)</f>
        <v>5.7500332575859958E-2</v>
      </c>
      <c r="M198" s="832"/>
      <c r="N198" s="832"/>
      <c r="O198" s="48">
        <f>IF(t&lt;Tnet,'2026'!Resal+('2026'!Salim-'2026'!Resal)*(1-EXP(('2026'!Tnet-t)/('2026'!Tau_j))),Resal+(Salim-Resal)*(1-EXP((Tnet-t)/(Tau_j))))*Salcycl</f>
        <v>4.1043582355197394E-2</v>
      </c>
      <c r="P198" s="169">
        <f>(INDEX(Models!$BJ198:$BT198,,T198)*(1-R198)+INDEX(Models!$BJ198:$BT198,,T198+1)*R198-ERP_i)*Q198*Ramure*Pc/MaxiM</f>
        <v>3.5489323178642544E-5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56.408746867287618</v>
      </c>
      <c r="W198" s="400">
        <f t="shared" si="59"/>
        <v>45.20591845070058</v>
      </c>
      <c r="X198" s="157">
        <f t="shared" si="60"/>
        <v>46571</v>
      </c>
      <c r="Y198" s="383">
        <f t="shared" si="61"/>
        <v>43.729597294938635</v>
      </c>
      <c r="Z198" s="383">
        <f t="shared" si="62"/>
        <v>46.39746708288186</v>
      </c>
      <c r="AA198" s="384">
        <f t="shared" si="63"/>
        <v>50.000174590309506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7.2053898550303919E-2</v>
      </c>
      <c r="AD198" s="230">
        <f>(INDEX(Models!$BJ198:$BT198,,AH198)*(1-AF198)+INDEX(Models!$BJ198:$BT198,,AH198+1)*AF198-ERP_i)*AE198*Ramure*Pc/MaxiM</f>
        <v>4.9734545606863029E-4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'2026'!Wh/'2026'!Env_an*'2027'!Env_an</f>
        <v>43.736239439573644</v>
      </c>
      <c r="C199" s="829"/>
      <c r="D199" s="391">
        <f t="shared" si="50"/>
        <v>46.405403802658739</v>
      </c>
      <c r="E199" s="383">
        <f t="shared" si="75"/>
        <v>48.394941891465429</v>
      </c>
      <c r="F199" s="383">
        <f t="shared" si="51"/>
        <v>48.396144619858269</v>
      </c>
      <c r="G199" s="110">
        <f t="shared" si="76"/>
        <v>0.77632635579861864</v>
      </c>
      <c r="H199" s="412" t="b">
        <f>Wh_hp&gt;='2026'!Maxi_hp</f>
        <v>0</v>
      </c>
      <c r="I199" s="388">
        <f>IF(H199,Wh_hp,'2026'!Maxi_hp)</f>
        <v>58.082093863284776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5.7518395366967345E-2</v>
      </c>
      <c r="M199" s="832"/>
      <c r="N199" s="832"/>
      <c r="O199" s="48">
        <f>IF(t&lt;Tnet,'2026'!Resal+('2026'!Salim-'2026'!Resal)*(1-EXP(('2026'!Tnet-t)/('2026'!Tau_j))),Resal+(Salim-Resal)*(1-EXP((Tnet-t)/(Tau_j))))*Salcycl</f>
        <v>4.1110455164273009E-2</v>
      </c>
      <c r="P199" s="169">
        <f>(INDEX(Models!$BJ199:$BT199,,T199)*(1-R199)+INDEX(Models!$BJ199:$BT199,,T199+1)*R199-ERP_i)*Q199*Ramure*Pc/MaxiM</f>
        <v>3.6520941536411956E-5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56.336782505466388</v>
      </c>
      <c r="W199" s="400">
        <f t="shared" si="59"/>
        <v>43.736239439573644</v>
      </c>
      <c r="X199" s="157">
        <f t="shared" si="60"/>
        <v>46572</v>
      </c>
      <c r="Y199" s="383">
        <f t="shared" si="61"/>
        <v>42.309315663836344</v>
      </c>
      <c r="Z199" s="383">
        <f t="shared" si="62"/>
        <v>44.891396771940201</v>
      </c>
      <c r="AA199" s="384">
        <f t="shared" si="63"/>
        <v>48.379512220638233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7.2099020610010209E-2</v>
      </c>
      <c r="AD199" s="230">
        <f>(INDEX(Models!$BJ199:$BT199,,AH199)*(1-AF199)+INDEX(Models!$BJ199:$BT199,,AH199+1)*AF199-ERP_i)*AE199*Ramure*Pc/MaxiM</f>
        <v>5.0504410068179977E-4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'2026'!Wh/'2026'!Env_an*'2027'!Env_an</f>
        <v>54.826529464628017</v>
      </c>
      <c r="C200" s="829"/>
      <c r="D200" s="391">
        <f t="shared" si="50"/>
        <v>58.173634321534188</v>
      </c>
      <c r="E200" s="383">
        <f t="shared" si="75"/>
        <v>60.671904101295652</v>
      </c>
      <c r="F200" s="383">
        <f t="shared" si="51"/>
        <v>60.67410205804093</v>
      </c>
      <c r="G200" s="110">
        <f t="shared" si="76"/>
        <v>0.97445908116057067</v>
      </c>
      <c r="H200" s="412" t="b">
        <f>Wh_hp&gt;='2026'!Maxi_hp</f>
        <v>0</v>
      </c>
      <c r="I200" s="388">
        <f>IF(H200,Wh_hp,'2026'!Maxi_hp)</f>
        <v>61.390169549077257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5.7536457811905528E-2</v>
      </c>
      <c r="M200" s="832"/>
      <c r="N200" s="832"/>
      <c r="O200" s="48">
        <f>IF(t&lt;Tnet,'2026'!Resal+('2026'!Salim-'2026'!Resal)*(1-EXP(('2026'!Tnet-t)/('2026'!Tau_j))),Resal+(Salim-Resal)*(1-EXP((Tnet-t)/(Tau_j))))*Salcycl</f>
        <v>4.1176716253876658E-2</v>
      </c>
      <c r="P200" s="169">
        <f>(INDEX(Models!$BJ200:$BT200,,T200)*(1-R200)+INDEX(Models!$BJ200:$BT200,,T200+1)*R200-ERP_i)*Q200*Ramure*Pc/MaxiM</f>
        <v>3.7597360484658196E-5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56.263475105221531</v>
      </c>
      <c r="W200" s="400">
        <f t="shared" si="59"/>
        <v>54.826529464628017</v>
      </c>
      <c r="X200" s="157">
        <f t="shared" si="60"/>
        <v>46573</v>
      </c>
      <c r="Y200" s="383">
        <f t="shared" si="61"/>
        <v>53.03153099583993</v>
      </c>
      <c r="Z200" s="383">
        <f t="shared" si="62"/>
        <v>56.269052989273121</v>
      </c>
      <c r="AA200" s="384">
        <f t="shared" si="63"/>
        <v>60.644107261117689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7.2143106221462319E-2</v>
      </c>
      <c r="AD200" s="230">
        <f>(INDEX(Models!$BJ200:$BT200,,AH200)*(1-AF200)+INDEX(Models!$BJ200:$BT200,,AH200+1)*AF200-ERP_i)*AE200*Ramure*Pc/MaxiM</f>
        <v>5.130788833802995E-4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'2026'!Wh/'2026'!Env_an*'2027'!Env_an</f>
        <v>46.603652389320651</v>
      </c>
      <c r="C201" s="829"/>
      <c r="D201" s="391">
        <f t="shared" si="50"/>
        <v>49.449706507058487</v>
      </c>
      <c r="E201" s="383">
        <f t="shared" si="75"/>
        <v>51.576858962593853</v>
      </c>
      <c r="F201" s="383">
        <f t="shared" si="51"/>
        <v>51.578369354653844</v>
      </c>
      <c r="G201" s="110">
        <f t="shared" si="76"/>
        <v>0.829403595283423</v>
      </c>
      <c r="H201" s="412" t="b">
        <f>Wh_hp&gt;='2026'!Maxi_hp</f>
        <v>0</v>
      </c>
      <c r="I201" s="388">
        <f>IF(H201,Wh_hp,'2026'!Maxi_hp)</f>
        <v>60.936475957669771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5.7554519910681168E-2</v>
      </c>
      <c r="M201" s="832"/>
      <c r="N201" s="832"/>
      <c r="O201" s="48">
        <f>IF(t&lt;Tnet,'2026'!Resal+('2026'!Salim-'2026'!Resal)*(1-EXP(('2026'!Tnet-t)/('2026'!Tau_j))),Resal+(Salim-Resal)*(1-EXP((Tnet-t)/(Tau_j))))*Salcycl</f>
        <v>4.1242380756030241E-2</v>
      </c>
      <c r="P201" s="169">
        <f>(INDEX(Models!$BJ201:$BT201,,T201)*(1-R201)+INDEX(Models!$BJ201:$BT201,,T201+1)*R201-ERP_i)*Q201*Ramure*Pc/MaxiM</f>
        <v>3.8719239576221451E-5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56.18882399198241</v>
      </c>
      <c r="W201" s="400">
        <f t="shared" si="59"/>
        <v>46.603652389320651</v>
      </c>
      <c r="X201" s="157">
        <f t="shared" si="60"/>
        <v>46574</v>
      </c>
      <c r="Y201" s="383">
        <f t="shared" si="61"/>
        <v>45.083058252202932</v>
      </c>
      <c r="Z201" s="383">
        <f t="shared" si="62"/>
        <v>47.836250695297785</v>
      </c>
      <c r="AA201" s="384">
        <f t="shared" si="63"/>
        <v>51.558028040783846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7.2186184904939082E-2</v>
      </c>
      <c r="AD201" s="230">
        <f>(INDEX(Models!$BJ201:$BT201,,AH201)*(1-AF201)+INDEX(Models!$BJ201:$BT201,,AH201+1)*AF201-ERP_i)*AE201*Ramure*Pc/MaxiM</f>
        <v>5.2145414815866846E-4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'2026'!Wh/'2026'!Env_an*'2027'!Env_an</f>
        <v>54.283834567126902</v>
      </c>
      <c r="C202" s="829"/>
      <c r="D202" s="391">
        <f t="shared" si="50"/>
        <v>57.600016203829313</v>
      </c>
      <c r="E202" s="383">
        <f t="shared" si="75"/>
        <v>60.08184489668907</v>
      </c>
      <c r="F202" s="383">
        <f t="shared" si="51"/>
        <v>60.084129890453895</v>
      </c>
      <c r="G202" s="110">
        <f t="shared" si="76"/>
        <v>0.96740327047559294</v>
      </c>
      <c r="H202" s="412" t="b">
        <f>Wh_hp&gt;='2026'!Maxi_hp</f>
        <v>0</v>
      </c>
      <c r="I202" s="388">
        <f>IF(H202,Wh_hp,'2026'!Maxi_hp)</f>
        <v>60.084209021380254</v>
      </c>
      <c r="J202" s="85">
        <f>IF(H202,An,'2026'!An_max)</f>
        <v>2026</v>
      </c>
      <c r="K202" s="197">
        <f t="shared" si="52"/>
        <v>46575</v>
      </c>
      <c r="L202" s="147">
        <f>IF(t&lt;Tvie,1-EXP((T0-t)*PertePVj)+'2026'!Pspv,1-EXP((T0-t)*PertePVj)+Pspv)</f>
        <v>5.7572581663300704E-2</v>
      </c>
      <c r="M202" s="832"/>
      <c r="N202" s="832"/>
      <c r="O202" s="48">
        <f>IF(t&lt;Tnet,'2026'!Resal+('2026'!Salim-'2026'!Resal)*(1-EXP(('2026'!Tnet-t)/('2026'!Tau_j))),Resal+(Salim-Resal)*(1-EXP((Tnet-t)/(Tau_j))))*Salcycl</f>
        <v>4.1307464794519438E-2</v>
      </c>
      <c r="P202" s="169">
        <f>(INDEX(Models!$BJ202:$BT202,,T202)*(1-R202)+INDEX(Models!$BJ202:$BT202,,T202+1)*R202-ERP_i)*Q202*Ramure*Pc/MaxiM</f>
        <v>3.9887221353142683E-5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56.112828432308071</v>
      </c>
      <c r="W202" s="400">
        <f t="shared" si="59"/>
        <v>54.283834567126902</v>
      </c>
      <c r="X202" s="157">
        <f t="shared" si="60"/>
        <v>46575</v>
      </c>
      <c r="Y202" s="383">
        <f t="shared" si="61"/>
        <v>52.508453803455964</v>
      </c>
      <c r="Z202" s="383">
        <f t="shared" si="62"/>
        <v>55.716178012019981</v>
      </c>
      <c r="AA202" s="384">
        <f t="shared" si="63"/>
        <v>60.053758137464747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7.2228287787017842E-2</v>
      </c>
      <c r="AD202" s="230">
        <f>(INDEX(Models!$BJ202:$BT202,,AH202)*(1-AF202)+INDEX(Models!$BJ202:$BT202,,AH202+1)*AF202-ERP_i)*AE202*Ramure*Pc/MaxiM</f>
        <v>5.301742407395159E-4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'2026'!Wh/'2026'!Env_an*'2027'!Env_an</f>
        <v>56.622969880335546</v>
      </c>
      <c r="C203" s="829"/>
      <c r="D203" s="391">
        <f t="shared" si="50"/>
        <v>60.083200006393398</v>
      </c>
      <c r="E203" s="383">
        <f t="shared" si="75"/>
        <v>62.676240511640124</v>
      </c>
      <c r="F203" s="383">
        <f t="shared" si="51"/>
        <v>62.678816732167256</v>
      </c>
      <c r="G203" s="110">
        <f t="shared" si="76"/>
        <v>1.0104841103494973</v>
      </c>
      <c r="H203" s="412" t="b">
        <f>Wh_hp&gt;='2026'!Maxi_hp</f>
        <v>0</v>
      </c>
      <c r="I203" s="388">
        <f>IF(H203,Wh_hp,'2026'!Maxi_hp)</f>
        <v>63.179240618782657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5.7590643069770797E-2</v>
      </c>
      <c r="M203" s="832"/>
      <c r="N203" s="832"/>
      <c r="O203" s="48">
        <f>IF(t&lt;Tnet,'2026'!Resal+('2026'!Salim-'2026'!Resal)*(1-EXP(('2026'!Tnet-t)/('2026'!Tau_j))),Resal+(Salim-Resal)*(1-EXP((Tnet-t)/(Tau_j))))*Salcycl</f>
        <v>4.1371985366051946E-2</v>
      </c>
      <c r="P203" s="169">
        <f>(INDEX(Models!$BJ203:$BT203,,T203)*(1-R203)+INDEX(Models!$BJ203:$BT203,,T203+1)*R203-ERP_i)*Q203*Ramure*Pc/MaxiM</f>
        <v>4.1101933020574095E-5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56.035487644383934</v>
      </c>
      <c r="W203" s="400">
        <f t="shared" si="59"/>
        <v>56.622969880335546</v>
      </c>
      <c r="X203" s="157">
        <f t="shared" si="60"/>
        <v>46576</v>
      </c>
      <c r="Y203" s="383">
        <f t="shared" si="61"/>
        <v>54.770661252563748</v>
      </c>
      <c r="Z203" s="383">
        <f t="shared" si="62"/>
        <v>58.117696784093653</v>
      </c>
      <c r="AA203" s="384">
        <f t="shared" si="63"/>
        <v>62.645017586531871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7.2269447385573907E-2</v>
      </c>
      <c r="AD203" s="230">
        <f>(INDEX(Models!$BJ203:$BT203,,AH203)*(1-AF203)+INDEX(Models!$BJ203:$BT203,,AH203+1)*AF203-ERP_i)*AE203*Ramure*Pc/MaxiM</f>
        <v>5.3924351794659817E-4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'2026'!Wh/'2026'!Env_an*'2027'!Env_an</f>
        <v>55.961699765990353</v>
      </c>
      <c r="C204" s="829"/>
      <c r="D204" s="391">
        <f t="shared" si="50"/>
        <v>59.382657725348878</v>
      </c>
      <c r="E204" s="383">
        <f t="shared" si="75"/>
        <v>61.949598838386734</v>
      </c>
      <c r="F204" s="383">
        <f t="shared" si="51"/>
        <v>61.952223381648253</v>
      </c>
      <c r="G204" s="110">
        <f t="shared" si="76"/>
        <v>1.0000875490197068</v>
      </c>
      <c r="H204" s="412" t="b">
        <f>Wh_hp&gt;='2026'!Maxi_hp</f>
        <v>1</v>
      </c>
      <c r="I204" s="388">
        <f>IF(H204,Wh_hp,'2026'!Maxi_hp)</f>
        <v>61.952223381648253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5.7608704130098332E-2</v>
      </c>
      <c r="M204" s="832"/>
      <c r="N204" s="832"/>
      <c r="O204" s="48">
        <f>IF(t&lt;Tnet,'2026'!Resal+('2026'!Salim-'2026'!Resal)*(1-EXP(('2026'!Tnet-t)/('2026'!Tau_j))),Resal+(Salim-Resal)*(1-EXP((Tnet-t)/(Tau_j))))*Salcycl</f>
        <v>4.1435960218797419E-2</v>
      </c>
      <c r="P204" s="169">
        <f>(INDEX(Models!$BJ204:$BT204,,T204)*(1-R204)+INDEX(Models!$BJ204:$BT204,,T204+1)*R204-ERP_i)*Q204*Ramure*Pc/MaxiM</f>
        <v>4.2363988219568901E-5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55.956800802934133</v>
      </c>
      <c r="W204" s="400">
        <f t="shared" si="59"/>
        <v>55.961699765990353</v>
      </c>
      <c r="X204" s="157">
        <f t="shared" si="60"/>
        <v>46577</v>
      </c>
      <c r="Y204" s="383">
        <f t="shared" si="61"/>
        <v>54.13184531447957</v>
      </c>
      <c r="Z204" s="383">
        <f t="shared" si="62"/>
        <v>57.440943641687177</v>
      </c>
      <c r="AA204" s="384">
        <f t="shared" si="63"/>
        <v>61.918232280940039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7.2309697391523958E-2</v>
      </c>
      <c r="AD204" s="230">
        <f>(INDEX(Models!$BJ204:$BT204,,AH204)*(1-AF204)+INDEX(Models!$BJ204:$BT204,,AH204+1)*AF204-ERP_i)*AE204*Ramure*Pc/MaxiM</f>
        <v>5.4866635695724746E-4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'2026'!Wh/'2026'!Env_an*'2027'!Env_an</f>
        <v>55.430270229079525</v>
      </c>
      <c r="C205" s="829"/>
      <c r="D205" s="391">
        <f t="shared" si="50"/>
        <v>58.819868987387636</v>
      </c>
      <c r="E205" s="383">
        <f t="shared" si="75"/>
        <v>61.366544227206283</v>
      </c>
      <c r="F205" s="383">
        <f t="shared" si="51"/>
        <v>61.369193819279296</v>
      </c>
      <c r="G205" s="110">
        <f t="shared" si="76"/>
        <v>0.99200113548930968</v>
      </c>
      <c r="H205" s="412" t="b">
        <f>Wh_hp&gt;='2026'!Maxi_hp</f>
        <v>0</v>
      </c>
      <c r="I205" s="388">
        <f>IF(H205,Wh_hp,'2026'!Maxi_hp)</f>
        <v>61.369215318265475</v>
      </c>
      <c r="J205" s="85">
        <f>IF(H205,An,'2026'!An_max)</f>
        <v>2026</v>
      </c>
      <c r="K205" s="197">
        <f t="shared" si="52"/>
        <v>46578</v>
      </c>
      <c r="L205" s="147">
        <f>IF(t&lt;Tvie,1-EXP((T0-t)*PertePVj)+'2026'!Pspv,1-EXP((T0-t)*PertePVj)+Pspv)</f>
        <v>5.7626764844289635E-2</v>
      </c>
      <c r="M205" s="832"/>
      <c r="N205" s="832"/>
      <c r="O205" s="48">
        <f>IF(t&lt;Tnet,'2026'!Resal+('2026'!Salim-'2026'!Resal)*(1-EXP(('2026'!Tnet-t)/('2026'!Tau_j))),Resal+(Salim-Resal)*(1-EXP((Tnet-t)/(Tau_j))))*Salcycl</f>
        <v>4.1499407729229817E-2</v>
      </c>
      <c r="P205" s="169">
        <f>(INDEX(Models!$BJ205:$BT205,,T205)*(1-R205)+INDEX(Models!$BJ205:$BT205,,T205+1)*R205-ERP_i)*Q205*Ramure*Pc/MaxiM</f>
        <v>4.3673653067628967E-5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55.877196692333179</v>
      </c>
      <c r="W205" s="400">
        <f t="shared" si="59"/>
        <v>55.430270229079525</v>
      </c>
      <c r="X205" s="157">
        <f t="shared" si="60"/>
        <v>46578</v>
      </c>
      <c r="Y205" s="383">
        <f t="shared" si="61"/>
        <v>53.618927228383114</v>
      </c>
      <c r="Z205" s="383">
        <f t="shared" si="62"/>
        <v>56.897761129138544</v>
      </c>
      <c r="AA205" s="384">
        <f t="shared" si="63"/>
        <v>61.335314221422301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7.234907244893303E-2</v>
      </c>
      <c r="AD205" s="230">
        <f>(INDEX(Models!$BJ205:$BT205,,AH205)*(1-AF205)+INDEX(Models!$BJ205:$BT205,,AH205+1)*AF205-ERP_i)*AE205*Ramure*Pc/MaxiM</f>
        <v>5.5844287048901825E-4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'2026'!Wh/'2026'!Env_an*'2027'!Env_an</f>
        <v>53.97484341018118</v>
      </c>
      <c r="C206" s="829"/>
      <c r="D206" s="391">
        <f t="shared" si="50"/>
        <v>57.276539519554227</v>
      </c>
      <c r="E206" s="383">
        <f t="shared" si="75"/>
        <v>59.760318604990374</v>
      </c>
      <c r="F206" s="383">
        <f t="shared" si="51"/>
        <v>59.762886328628134</v>
      </c>
      <c r="G206" s="110">
        <f t="shared" si="76"/>
        <v>0.96734159955614263</v>
      </c>
      <c r="H206" s="412" t="b">
        <f>Wh_hp&gt;='2026'!Maxi_hp</f>
        <v>0</v>
      </c>
      <c r="I206" s="388">
        <f>IF(H206,Wh_hp,'2026'!Maxi_hp)</f>
        <v>60.983970970198122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5.764482521235148E-2</v>
      </c>
      <c r="M206" s="832"/>
      <c r="N206" s="832"/>
      <c r="O206" s="48">
        <f>IF(t&lt;Tnet,'2026'!Resal+('2026'!Salim-'2026'!Resal)*(1-EXP(('2026'!Tnet-t)/('2026'!Tau_j))),Resal+(Salim-Resal)*(1-EXP((Tnet-t)/(Tau_j))))*Salcycl</f>
        <v>4.1562346778197069E-2</v>
      </c>
      <c r="P206" s="169">
        <f>(INDEX(Models!$BJ206:$BT206,,T206)*(1-R206)+INDEX(Models!$BJ206:$BT206,,T206+1)*R206-ERP_i)*Q206*Ramure*Pc/MaxiM</f>
        <v>4.5067683256997225E-5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55.796969703578249</v>
      </c>
      <c r="W206" s="400">
        <f t="shared" si="59"/>
        <v>53.97484341018118</v>
      </c>
      <c r="X206" s="157">
        <f t="shared" si="60"/>
        <v>46579</v>
      </c>
      <c r="Y206" s="383">
        <f t="shared" si="61"/>
        <v>52.212819553930615</v>
      </c>
      <c r="Z206" s="383">
        <f t="shared" si="62"/>
        <v>55.40673087055135</v>
      </c>
      <c r="AA206" s="384">
        <f t="shared" si="63"/>
        <v>59.730477238681381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7.2387607935099157E-2</v>
      </c>
      <c r="AD206" s="230">
        <f>(INDEX(Models!$BJ206:$BT206,,AH206)*(1-AF206)+INDEX(Models!$BJ206:$BT206,,AH206+1)*AF206-ERP_i)*AE206*Ramure*Pc/MaxiM</f>
        <v>5.6883169936625035E-4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'2026'!Wh/'2026'!Env_an*'2027'!Env_an</f>
        <v>53.74167407859845</v>
      </c>
      <c r="C207" s="829"/>
      <c r="D207" s="391">
        <f t="shared" ref="D207:D270" si="77">Wh/(1-Ppv)</f>
        <v>57.030199953399993</v>
      </c>
      <c r="E207" s="383">
        <f t="shared" si="75"/>
        <v>59.507173967659533</v>
      </c>
      <c r="F207" s="383">
        <f t="shared" ref="F207:F270" si="78">Wh_sa/(1-Pvg*MEDIAN((-Sdif+Wh/Env_an)/Csdif,0,1))</f>
        <v>59.50980177565016</v>
      </c>
      <c r="G207" s="110">
        <f t="shared" si="76"/>
        <v>0.96456354301003711</v>
      </c>
      <c r="H207" s="412" t="b">
        <f>Wh_hp&gt;='2026'!Maxi_hp</f>
        <v>0</v>
      </c>
      <c r="I207" s="388">
        <f>IF(H207,Wh_hp,'2026'!Maxi_hp)</f>
        <v>61.397076269848142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5.7662885234290528E-2</v>
      </c>
      <c r="M207" s="832"/>
      <c r="N207" s="832"/>
      <c r="O207" s="48">
        <f>IF(t&lt;Tnet,'2026'!Resal+('2026'!Salim-'2026'!Resal)*(1-EXP(('2026'!Tnet-t)/('2026'!Tau_j))),Resal+(Salim-Resal)*(1-EXP((Tnet-t)/(Tau_j))))*Salcycl</f>
        <v>4.1624796627137819E-2</v>
      </c>
      <c r="P207" s="169">
        <f>(INDEX(Models!$BJ207:$BT207,,T207)*(1-R207)+INDEX(Models!$BJ207:$BT207,,T207+1)*R207-ERP_i)*Q207*Ramure*Pc/MaxiM</f>
        <v>4.6512016473927743E-5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55.715922429730028</v>
      </c>
      <c r="W207" s="400">
        <f t="shared" ref="W207:W270" si="86">Wh*(A207&gt;Tmaj)</f>
        <v>53.74167407859845</v>
      </c>
      <c r="X207" s="157">
        <f t="shared" ref="X207:X270" si="87">t</f>
        <v>46580</v>
      </c>
      <c r="Y207" s="383">
        <f t="shared" ref="Y207:Y270" si="88">Wh_pvt_s*(1-Ppv)</f>
        <v>51.988184340373394</v>
      </c>
      <c r="Z207" s="383">
        <f t="shared" ref="Z207:Z270" si="89">Wh_sa_s*(1-Psa_s)</f>
        <v>55.169411801528227</v>
      </c>
      <c r="AA207" s="384">
        <f t="shared" ref="AA207:AA270" si="90">Wh_hp*(1-Pvg_s*MEDIAN((-Sdif+Wh/Env_an)/Csdif,0,1))</f>
        <v>59.477057928895505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7.2425339742208564E-2</v>
      </c>
      <c r="AD207" s="230">
        <f>(INDEX(Models!$BJ207:$BT207,,AH207)*(1-AF207)+INDEX(Models!$BJ207:$BT207,,AH207+1)*AF207-ERP_i)*AE207*Ramure*Pc/MaxiM</f>
        <v>5.7956378285844382E-4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'2026'!Wh/'2026'!Env_an*'2027'!Env_an</f>
        <v>53.468991184371767</v>
      </c>
      <c r="C208" s="829"/>
      <c r="D208" s="391">
        <f t="shared" si="77"/>
        <v>56.741918669225491</v>
      </c>
      <c r="E208" s="383">
        <f t="shared" si="75"/>
        <v>59.2102011067714</v>
      </c>
      <c r="F208" s="383">
        <f t="shared" si="78"/>
        <v>59.212885730480458</v>
      </c>
      <c r="G208" s="110">
        <f t="shared" si="76"/>
        <v>0.96108471945013763</v>
      </c>
      <c r="H208" s="412" t="b">
        <f>Wh_hp&gt;='2026'!Maxi_hp</f>
        <v>0</v>
      </c>
      <c r="I208" s="388">
        <f>IF(H208,Wh_hp,'2026'!Maxi_hp)</f>
        <v>59.212995501688539</v>
      </c>
      <c r="J208" s="85">
        <f>IF(H208,An,'2026'!An_max)</f>
        <v>2026</v>
      </c>
      <c r="K208" s="197">
        <f t="shared" si="79"/>
        <v>46581</v>
      </c>
      <c r="L208" s="147">
        <f>IF(t&lt;Tvie,1-EXP((T0-t)*PertePVj)+'2026'!Pspv,1-EXP((T0-t)*PertePVj)+Pspv)</f>
        <v>5.768094491011333E-2</v>
      </c>
      <c r="M208" s="832"/>
      <c r="N208" s="832"/>
      <c r="O208" s="48">
        <f>IF(t&lt;Tnet,'2026'!Resal+('2026'!Salim-'2026'!Resal)*(1-EXP(('2026'!Tnet-t)/('2026'!Tau_j))),Resal+(Salim-Resal)*(1-EXP((Tnet-t)/(Tau_j))))*Salcycl</f>
        <v>4.1686776795352536E-2</v>
      </c>
      <c r="P208" s="169">
        <f>(INDEX(Models!$BJ208:$BT208,,T208)*(1-R208)+INDEX(Models!$BJ208:$BT208,,T208+1)*R208-ERP_i)*Q208*Ramure*Pc/MaxiM</f>
        <v>4.8007205960059706E-5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55.633855583240162</v>
      </c>
      <c r="W208" s="400">
        <f t="shared" si="86"/>
        <v>53.468991184371767</v>
      </c>
      <c r="X208" s="157">
        <f t="shared" si="87"/>
        <v>46581</v>
      </c>
      <c r="Y208" s="383">
        <f t="shared" si="88"/>
        <v>51.725351054461747</v>
      </c>
      <c r="Z208" s="383">
        <f t="shared" si="89"/>
        <v>54.891547374607349</v>
      </c>
      <c r="AA208" s="384">
        <f t="shared" si="90"/>
        <v>59.179856101809087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7.246230406211894E-2</v>
      </c>
      <c r="AD208" s="230">
        <f>(INDEX(Models!$BJ208:$BT208,,AH208)*(1-AF208)+INDEX(Models!$BJ208:$BT208,,AH208+1)*AF208-ERP_i)*AE208*Ramure*Pc/MaxiM</f>
        <v>5.906452293715221E-4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'2026'!Wh/'2026'!Env_an*'2027'!Env_an</f>
        <v>52.910250626937589</v>
      </c>
      <c r="C209" s="829"/>
      <c r="D209" s="391">
        <f t="shared" si="77"/>
        <v>56.150052759154541</v>
      </c>
      <c r="E209" s="383">
        <f t="shared" si="75"/>
        <v>58.596351215204898</v>
      </c>
      <c r="F209" s="383">
        <f t="shared" si="78"/>
        <v>58.599057854151312</v>
      </c>
      <c r="G209" s="110">
        <f t="shared" si="76"/>
        <v>0.95246678205305668</v>
      </c>
      <c r="H209" s="412" t="b">
        <f>Wh_hp&gt;='2026'!Maxi_hp</f>
        <v>0</v>
      </c>
      <c r="I209" s="388">
        <f>IF(H209,Wh_hp,'2026'!Maxi_hp)</f>
        <v>61.162094530225126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5.7699004239826657E-2</v>
      </c>
      <c r="M209" s="832"/>
      <c r="N209" s="832"/>
      <c r="O209" s="48">
        <f>IF(t&lt;Tnet,'2026'!Resal+('2026'!Salim-'2026'!Resal)*(1-EXP(('2026'!Tnet-t)/('2026'!Tau_j))),Resal+(Salim-Resal)*(1-EXP((Tnet-t)/(Tau_j))))*Salcycl</f>
        <v>4.1748306939213921E-2</v>
      </c>
      <c r="P209" s="169">
        <f>(INDEX(Models!$BJ209:$BT209,,T209)*(1-R209)+INDEX(Models!$BJ209:$BT209,,T209+1)*R209-ERP_i)*Q209*Ramure*Pc/MaxiM</f>
        <v>4.9553826258613109E-5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55.550569939292423</v>
      </c>
      <c r="W209" s="400">
        <f t="shared" si="86"/>
        <v>52.910250626937589</v>
      </c>
      <c r="X209" s="157">
        <f t="shared" si="87"/>
        <v>46582</v>
      </c>
      <c r="Y209" s="383">
        <f t="shared" si="88"/>
        <v>51.185988168702075</v>
      </c>
      <c r="Z209" s="383">
        <f t="shared" si="89"/>
        <v>54.3202102077896</v>
      </c>
      <c r="AA209" s="384">
        <f t="shared" si="90"/>
        <v>58.566172006226083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7.2498537175779559E-2</v>
      </c>
      <c r="AD209" s="230">
        <f>(INDEX(Models!$BJ209:$BT209,,AH209)*(1-AF209)+INDEX(Models!$BJ209:$BT209,,AH209+1)*AF209-ERP_i)*AE209*Ramure*Pc/MaxiM</f>
        <v>6.0208237105839352E-4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'2026'!Wh/'2026'!Env_an*'2027'!Env_an</f>
        <v>51.164881134710804</v>
      </c>
      <c r="C210" s="829"/>
      <c r="D210" s="391">
        <f t="shared" si="77"/>
        <v>54.298851372327434</v>
      </c>
      <c r="E210" s="383">
        <f t="shared" si="75"/>
        <v>56.668111494665339</v>
      </c>
      <c r="F210" s="383">
        <f t="shared" si="78"/>
        <v>56.670689219384833</v>
      </c>
      <c r="G210" s="110">
        <f t="shared" si="76"/>
        <v>0.92245185324377477</v>
      </c>
      <c r="H210" s="412" t="b">
        <f>Wh_hp&gt;='2026'!Maxi_hp</f>
        <v>0</v>
      </c>
      <c r="I210" s="388">
        <f>IF(H210,Wh_hp,'2026'!Maxi_hp)</f>
        <v>62.506291921724774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5.7717063223436949E-2</v>
      </c>
      <c r="M210" s="832"/>
      <c r="N210" s="832"/>
      <c r="O210" s="48">
        <f>IF(t&lt;Tnet,'2026'!Resal+('2026'!Salim-'2026'!Resal)*(1-EXP(('2026'!Tnet-t)/('2026'!Tau_j))),Resal+(Salim-Resal)*(1-EXP((Tnet-t)/(Tau_j))))*Salcycl</f>
        <v>4.1809406734172612E-2</v>
      </c>
      <c r="P210" s="169">
        <f>(INDEX(Models!$BJ210:$BT210,,T210)*(1-R210)+INDEX(Models!$BJ210:$BT210,,T210+1)*R210-ERP_i)*Q210*Ramure*Pc/MaxiM</f>
        <v>5.1152477186921597E-5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55.465866341481046</v>
      </c>
      <c r="W210" s="400">
        <f t="shared" si="86"/>
        <v>51.164881134710804</v>
      </c>
      <c r="X210" s="157">
        <f t="shared" si="87"/>
        <v>46583</v>
      </c>
      <c r="Y210" s="383">
        <f t="shared" si="88"/>
        <v>49.499481184637709</v>
      </c>
      <c r="Z210" s="383">
        <f t="shared" si="89"/>
        <v>52.531441728075329</v>
      </c>
      <c r="AA210" s="384">
        <f t="shared" si="90"/>
        <v>56.639753899490699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7.2534075248732885E-2</v>
      </c>
      <c r="AD210" s="230">
        <f>(INDEX(Models!$BJ210:$BT210,,AH210)*(1-AF210)+INDEX(Models!$BJ210:$BT210,,AH210+1)*AF210-ERP_i)*AE210*Ramure*Pc/MaxiM</f>
        <v>6.1388178232870143E-4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'2026'!Wh/'2026'!Env_an*'2027'!Env_an</f>
        <v>52.653790221224867</v>
      </c>
      <c r="C211" s="829"/>
      <c r="D211" s="391">
        <f t="shared" si="77"/>
        <v>55.880030597356942</v>
      </c>
      <c r="E211" s="383">
        <f t="shared" si="75"/>
        <v>58.321977374981927</v>
      </c>
      <c r="F211" s="383">
        <f t="shared" si="78"/>
        <v>58.324840597526297</v>
      </c>
      <c r="G211" s="110">
        <f t="shared" si="76"/>
        <v>0.95077693477628999</v>
      </c>
      <c r="H211" s="412" t="b">
        <f>Wh_hp&gt;='2026'!Maxi_hp</f>
        <v>0</v>
      </c>
      <c r="I211" s="388">
        <f>IF(H211,Wh_hp,'2026'!Maxi_hp)</f>
        <v>60.8270261955942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5.7735121860951089E-2</v>
      </c>
      <c r="M211" s="832"/>
      <c r="N211" s="832"/>
      <c r="O211" s="48">
        <f>IF(t&lt;Tnet,'2026'!Resal+('2026'!Salim-'2026'!Resal)*(1-EXP(('2026'!Tnet-t)/('2026'!Tau_j))),Resal+(Salim-Resal)*(1-EXP((Tnet-t)/(Tau_j))))*Salcycl</f>
        <v>4.1870095760376189E-2</v>
      </c>
      <c r="P211" s="169">
        <f>(INDEX(Models!$BJ211:$BT211,,T211)*(1-R211)+INDEX(Models!$BJ211:$BT211,,T211+1)*R211-ERP_i)*Q211*Ramure*Pc/MaxiM</f>
        <v>5.2803787725313603E-5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55.379545707720979</v>
      </c>
      <c r="W211" s="400">
        <f t="shared" si="86"/>
        <v>52.653790221224867</v>
      </c>
      <c r="X211" s="157">
        <f t="shared" si="87"/>
        <v>46584</v>
      </c>
      <c r="Y211" s="383">
        <f t="shared" si="88"/>
        <v>50.939578584136868</v>
      </c>
      <c r="Z211" s="383">
        <f t="shared" si="89"/>
        <v>54.060784569134469</v>
      </c>
      <c r="AA211" s="384">
        <f t="shared" si="90"/>
        <v>58.290893765216261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7.2568954134067692E-2</v>
      </c>
      <c r="AD211" s="230">
        <f>(INDEX(Models!$BJ211:$BT211,,AH211)*(1-AF211)+INDEX(Models!$BJ211:$BT211,,AH211+1)*AF211-ERP_i)*AE211*Ramure*Pc/MaxiM</f>
        <v>6.2605029803593129E-4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'2026'!Wh/'2026'!Env_an*'2027'!Env_an</f>
        <v>52.191026729160875</v>
      </c>
      <c r="C212" s="829"/>
      <c r="D212" s="391">
        <f t="shared" si="77"/>
        <v>55.389973868631301</v>
      </c>
      <c r="E212" s="383">
        <f t="shared" si="75"/>
        <v>57.814143655778707</v>
      </c>
      <c r="F212" s="383">
        <f t="shared" si="78"/>
        <v>57.817041596756987</v>
      </c>
      <c r="G212" s="110">
        <f t="shared" si="76"/>
        <v>0.94392236925438866</v>
      </c>
      <c r="H212" s="412" t="b">
        <f>Wh_hp&gt;='2026'!Maxi_hp</f>
        <v>0</v>
      </c>
      <c r="I212" s="388">
        <f>IF(H212,Wh_hp,'2026'!Maxi_hp)</f>
        <v>61.26677577265081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5.7753180152375405E-2</v>
      </c>
      <c r="M212" s="832"/>
      <c r="N212" s="832"/>
      <c r="O212" s="48">
        <f>IF(t&lt;Tnet,'2026'!Resal+('2026'!Salim-'2026'!Resal)*(1-EXP(('2026'!Tnet-t)/('2026'!Tau_j))),Resal+(Salim-Resal)*(1-EXP((Tnet-t)/(Tau_j))))*Salcycl</f>
        <v>4.1930393392674722E-2</v>
      </c>
      <c r="P212" s="169">
        <f>(INDEX(Models!$BJ212:$BT212,,T212)*(1-R212)+INDEX(Models!$BJ212:$BT212,,T212+1)*R212-ERP_i)*Q212*Ramure*Pc/MaxiM</f>
        <v>5.4487316460404961E-5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55.291410204011314</v>
      </c>
      <c r="W212" s="400">
        <f t="shared" si="86"/>
        <v>52.191026729160875</v>
      </c>
      <c r="X212" s="157">
        <f t="shared" si="87"/>
        <v>46585</v>
      </c>
      <c r="Y212" s="383">
        <f t="shared" si="88"/>
        <v>50.492970158200379</v>
      </c>
      <c r="Z212" s="383">
        <f t="shared" si="89"/>
        <v>53.587838233686846</v>
      </c>
      <c r="AA212" s="384">
        <f t="shared" si="90"/>
        <v>57.783074908574875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7.2603209184104386E-2</v>
      </c>
      <c r="AD212" s="230">
        <f>(INDEX(Models!$BJ212:$BT212,,AH212)*(1-AF212)+INDEX(Models!$BJ212:$BT212,,AH212+1)*AF212-ERP_i)*AE212*Ramure*Pc/MaxiM</f>
        <v>6.3864436921204891E-4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'2026'!Wh/'2026'!Env_an*'2027'!Env_an</f>
        <v>53.132343707190437</v>
      </c>
      <c r="C213" s="829"/>
      <c r="D213" s="391">
        <f t="shared" si="77"/>
        <v>56.390067736757004</v>
      </c>
      <c r="E213" s="383">
        <f t="shared" si="75"/>
        <v>58.861688808807969</v>
      </c>
      <c r="F213" s="383">
        <f t="shared" si="78"/>
        <v>58.864819657323252</v>
      </c>
      <c r="G213" s="110">
        <f t="shared" si="76"/>
        <v>0.96251756831375201</v>
      </c>
      <c r="H213" s="412" t="b">
        <f>Wh_hp&gt;='2026'!Maxi_hp</f>
        <v>0</v>
      </c>
      <c r="I213" s="388">
        <f>IF(H213,Wh_hp,'2026'!Maxi_hp)</f>
        <v>58.864940440827439</v>
      </c>
      <c r="J213" s="85">
        <f>IF(H213,An,'2026'!An_max)</f>
        <v>2026</v>
      </c>
      <c r="K213" s="197">
        <f t="shared" si="79"/>
        <v>46586</v>
      </c>
      <c r="L213" s="147">
        <f>IF(t&lt;Tvie,1-EXP((T0-t)*PertePVj)+'2026'!Pspv,1-EXP((T0-t)*PertePVj)+Pspv)</f>
        <v>5.7771238097716782E-2</v>
      </c>
      <c r="M213" s="832"/>
      <c r="N213" s="832"/>
      <c r="O213" s="48">
        <f>IF(t&lt;Tnet,'2026'!Resal+('2026'!Salim-'2026'!Resal)*(1-EXP(('2026'!Tnet-t)/('2026'!Tau_j))),Resal+(Salim-Resal)*(1-EXP((Tnet-t)/(Tau_j))))*Salcycl</f>
        <v>4.199031869573399E-2</v>
      </c>
      <c r="P213" s="169">
        <f>(INDEX(Models!$BJ213:$BT213,,T213)*(1-R213)+INDEX(Models!$BJ213:$BT213,,T213+1)*R213-ERP_i)*Q213*Ramure*Pc/MaxiM</f>
        <v>5.6195945088738158E-5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55.201261338321778</v>
      </c>
      <c r="W213" s="400">
        <f t="shared" si="86"/>
        <v>53.132343707190437</v>
      </c>
      <c r="X213" s="157">
        <f t="shared" si="87"/>
        <v>46586</v>
      </c>
      <c r="Y213" s="383">
        <f t="shared" si="88"/>
        <v>51.403665571869091</v>
      </c>
      <c r="Z213" s="383">
        <f t="shared" si="89"/>
        <v>54.555398487400524</v>
      </c>
      <c r="AA213" s="384">
        <f t="shared" si="90"/>
        <v>58.828518215705245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7.2636875071994247E-2</v>
      </c>
      <c r="AD213" s="230">
        <f>(INDEX(Models!$BJ213:$BT213,,AH213)*(1-AF213)+INDEX(Models!$BJ213:$BT213,,AH213+1)*AF213-ERP_i)*AE213*Ramure*Pc/MaxiM</f>
        <v>6.5157857681438813E-4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'2026'!Wh/'2026'!Env_an*'2027'!Env_an</f>
        <v>43.907013684286632</v>
      </c>
      <c r="C214" s="829"/>
      <c r="D214" s="391">
        <f t="shared" si="77"/>
        <v>46.599994548741591</v>
      </c>
      <c r="E214" s="383">
        <f t="shared" si="75"/>
        <v>48.645533914649747</v>
      </c>
      <c r="F214" s="383">
        <f t="shared" si="78"/>
        <v>48.647533722606873</v>
      </c>
      <c r="G214" s="110">
        <f t="shared" si="76"/>
        <v>0.79671840329844068</v>
      </c>
      <c r="H214" s="412" t="b">
        <f>Wh_hp&gt;='2026'!Maxi_hp</f>
        <v>0</v>
      </c>
      <c r="I214" s="388">
        <f>IF(H214,Wh_hp,'2026'!Maxi_hp)</f>
        <v>60.996282625351171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5.7789295696981657E-2</v>
      </c>
      <c r="M214" s="832"/>
      <c r="N214" s="832"/>
      <c r="O214" s="48">
        <f>IF(t&lt;Tnet,'2026'!Resal+('2026'!Salim-'2026'!Resal)*(1-EXP(('2026'!Tnet-t)/('2026'!Tau_j))),Resal+(Salim-Resal)*(1-EXP((Tnet-t)/(Tau_j))))*Salcycl</f>
        <v>4.2049890324919154E-2</v>
      </c>
      <c r="P214" s="169">
        <f>(INDEX(Models!$BJ214:$BT214,,T214)*(1-R214)+INDEX(Models!$BJ214:$BT214,,T214+1)*R214-ERP_i)*Q214*Ramure*Pc/MaxiM</f>
        <v>5.7930000863386012E-5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55.108900300240741</v>
      </c>
      <c r="W214" s="400">
        <f t="shared" si="86"/>
        <v>43.907013684286632</v>
      </c>
      <c r="X214" s="157">
        <f t="shared" si="87"/>
        <v>46587</v>
      </c>
      <c r="Y214" s="383">
        <f t="shared" si="88"/>
        <v>42.48525520719889</v>
      </c>
      <c r="Z214" s="383">
        <f t="shared" si="89"/>
        <v>45.091034322971858</v>
      </c>
      <c r="AA214" s="384">
        <f t="shared" si="90"/>
        <v>48.624581997735113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7.2669985624305086E-2</v>
      </c>
      <c r="AD214" s="230">
        <f>(INDEX(Models!$BJ214:$BT214,,AH214)*(1-AF214)+INDEX(Models!$BJ214:$BT214,,AH214+1)*AF214-ERP_i)*AE214*Ramure*Pc/MaxiM</f>
        <v>6.6486056168451647E-4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'2026'!Wh/'2026'!Env_an*'2027'!Env_an</f>
        <v>43.478874014700594</v>
      </c>
      <c r="C215" s="829"/>
      <c r="D215" s="391">
        <f t="shared" si="77"/>
        <v>46.146479863582961</v>
      </c>
      <c r="E215" s="383">
        <f t="shared" si="75"/>
        <v>48.175090855358896</v>
      </c>
      <c r="F215" s="383">
        <f t="shared" si="78"/>
        <v>48.177105157546457</v>
      </c>
      <c r="G215" s="110">
        <f t="shared" si="76"/>
        <v>0.79030783341206956</v>
      </c>
      <c r="H215" s="412" t="b">
        <f>Wh_hp&gt;='2026'!Maxi_hp</f>
        <v>0</v>
      </c>
      <c r="I215" s="388">
        <f>IF(H215,Wh_hp,'2026'!Maxi_hp)</f>
        <v>59.776097909915435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5.7807352950176805E-2</v>
      </c>
      <c r="M215" s="832"/>
      <c r="N215" s="832"/>
      <c r="O215" s="48">
        <f>IF(t&lt;Tnet,'2026'!Resal+('2026'!Salim-'2026'!Resal)*(1-EXP(('2026'!Tnet-t)/('2026'!Tau_j))),Resal+(Salim-Resal)*(1-EXP((Tnet-t)/(Tau_j))))*Salcycl</f>
        <v>4.2109126433547292E-2</v>
      </c>
      <c r="P215" s="169">
        <f>(INDEX(Models!$BJ215:$BT215,,T215)*(1-R215)+INDEX(Models!$BJ215:$BT215,,T215+1)*R215-ERP_i)*Q215*Ramure*Pc/MaxiM</f>
        <v>5.9689867548247133E-5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55.014128372862181</v>
      </c>
      <c r="W215" s="400">
        <f t="shared" si="86"/>
        <v>43.478874014700594</v>
      </c>
      <c r="X215" s="157">
        <f t="shared" si="87"/>
        <v>46588</v>
      </c>
      <c r="Y215" s="383">
        <f t="shared" si="88"/>
        <v>42.071986030046588</v>
      </c>
      <c r="Z215" s="383">
        <f t="shared" si="89"/>
        <v>44.653273576037385</v>
      </c>
      <c r="AA215" s="384">
        <f t="shared" si="90"/>
        <v>48.154208464212907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7.2702573665546388E-2</v>
      </c>
      <c r="AD215" s="230">
        <f>(INDEX(Models!$BJ215:$BT215,,AH215)*(1-AF215)+INDEX(Models!$BJ215:$BT215,,AH215+1)*AF215-ERP_i)*AE215*Ramure*Pc/MaxiM</f>
        <v>6.7849829127722536E-4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'2026'!Wh/'2026'!Env_an*'2027'!Env_an</f>
        <v>51.417488342356641</v>
      </c>
      <c r="C216" s="829"/>
      <c r="D216" s="391">
        <f t="shared" si="77"/>
        <v>54.573206367802307</v>
      </c>
      <c r="E216" s="383">
        <f t="shared" si="75"/>
        <v>56.975762877188075</v>
      </c>
      <c r="F216" s="383">
        <f t="shared" si="78"/>
        <v>56.978946859214453</v>
      </c>
      <c r="G216" s="110">
        <f t="shared" si="76"/>
        <v>0.93627542529679164</v>
      </c>
      <c r="H216" s="412" t="b">
        <f>Wh_hp&gt;='2026'!Maxi_hp</f>
        <v>0</v>
      </c>
      <c r="I216" s="388">
        <f>IF(H216,Wh_hp,'2026'!Maxi_hp)</f>
        <v>56.979162026109471</v>
      </c>
      <c r="J216" s="85">
        <f>IF(H216,An,'2026'!An_max)</f>
        <v>2026</v>
      </c>
      <c r="K216" s="197">
        <f t="shared" si="79"/>
        <v>46589</v>
      </c>
      <c r="L216" s="147">
        <f>IF(t&lt;Tvie,1-EXP((T0-t)*PertePVj)+'2026'!Pspv,1-EXP((T0-t)*PertePVj)+Pspv)</f>
        <v>5.7825409857308885E-2</v>
      </c>
      <c r="M216" s="832"/>
      <c r="N216" s="832"/>
      <c r="O216" s="48">
        <f>IF(t&lt;Tnet,'2026'!Resal+('2026'!Salim-'2026'!Resal)*(1-EXP(('2026'!Tnet-t)/('2026'!Tau_j))),Resal+(Salim-Resal)*(1-EXP((Tnet-t)/(Tau_j))))*Salcycl</f>
        <v>4.2168044587037892E-2</v>
      </c>
      <c r="P216" s="169">
        <f>(INDEX(Models!$BJ216:$BT216,,T216)*(1-R216)+INDEX(Models!$BJ216:$BT216,,T216+1)*R216-ERP_i)*Q216*Ramure*Pc/MaxiM</f>
        <v>6.1475986032288754E-5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54.916746935931243</v>
      </c>
      <c r="W216" s="400">
        <f t="shared" si="86"/>
        <v>51.417488342356641</v>
      </c>
      <c r="X216" s="157">
        <f t="shared" si="87"/>
        <v>46589</v>
      </c>
      <c r="Y216" s="383">
        <f t="shared" si="88"/>
        <v>49.748085077830176</v>
      </c>
      <c r="Z216" s="383">
        <f t="shared" si="89"/>
        <v>52.801344462384506</v>
      </c>
      <c r="AA216" s="384">
        <f t="shared" si="90"/>
        <v>56.943080695399175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7.2734670875460761E-2</v>
      </c>
      <c r="AD216" s="230">
        <f>(INDEX(Models!$BJ216:$BT216,,AH216)*(1-AF216)+INDEX(Models!$BJ216:$BT216,,AH216+1)*AF216-ERP_i)*AE216*Ramure*Pc/MaxiM</f>
        <v>6.9250007301330263E-4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'2026'!Wh/'2026'!Env_an*'2027'!Env_an</f>
        <v>41.516691586576947</v>
      </c>
      <c r="C217" s="829"/>
      <c r="D217" s="391">
        <f t="shared" si="77"/>
        <v>44.065598556909549</v>
      </c>
      <c r="E217" s="383">
        <f t="shared" si="75"/>
        <v>46.008378803284309</v>
      </c>
      <c r="F217" s="383">
        <f t="shared" si="78"/>
        <v>46.01028144289257</v>
      </c>
      <c r="G217" s="110">
        <f t="shared" si="76"/>
        <v>0.75735841024281236</v>
      </c>
      <c r="H217" s="412" t="b">
        <f>Wh_hp&gt;='2026'!Maxi_hp</f>
        <v>0</v>
      </c>
      <c r="I217" s="388">
        <f>IF(H217,Wh_hp,'2026'!Maxi_hp)</f>
        <v>55.348148280408218</v>
      </c>
      <c r="J217" s="85">
        <f>IF(H217,An,'2026'!An_max)</f>
        <v>2020</v>
      </c>
      <c r="K217" s="197">
        <f t="shared" si="79"/>
        <v>46590</v>
      </c>
      <c r="L217" s="147">
        <f>IF(t&lt;Tvie,1-EXP((T0-t)*PertePVj)+'2026'!Pspv,1-EXP((T0-t)*PertePVj)+Pspv)</f>
        <v>5.7843466418384337E-2</v>
      </c>
      <c r="M217" s="832"/>
      <c r="N217" s="832"/>
      <c r="O217" s="48">
        <f>IF(t&lt;Tnet,'2026'!Resal+('2026'!Salim-'2026'!Resal)*(1-EXP(('2026'!Tnet-t)/('2026'!Tau_j))),Resal+(Salim-Resal)*(1-EXP((Tnet-t)/(Tau_j))))*Salcycl</f>
        <v>4.2226661684416356E-2</v>
      </c>
      <c r="P217" s="169">
        <f>(INDEX(Models!$BJ217:$BT217,,T217)*(1-R217)+INDEX(Models!$BJ217:$BT217,,T217+1)*R217-ERP_i)*Q217*Ramure*Pc/MaxiM</f>
        <v>6.3288854819988849E-5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54.816557474057767</v>
      </c>
      <c r="W217" s="400">
        <f t="shared" si="86"/>
        <v>41.516691586576947</v>
      </c>
      <c r="X217" s="157">
        <f t="shared" si="87"/>
        <v>46590</v>
      </c>
      <c r="Y217" s="383">
        <f t="shared" si="88"/>
        <v>40.175984276922676</v>
      </c>
      <c r="Z217" s="383">
        <f t="shared" si="89"/>
        <v>42.642578854909971</v>
      </c>
      <c r="AA217" s="384">
        <f t="shared" si="90"/>
        <v>45.989030820574825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7.2766307659775722E-2</v>
      </c>
      <c r="AD217" s="230">
        <f>(INDEX(Models!$BJ217:$BT217,,AH217)*(1-AF217)+INDEX(Models!$BJ217:$BT217,,AH217+1)*AF217-ERP_i)*AE217*Ramure*Pc/MaxiM</f>
        <v>7.0687456776438815E-4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'2026'!Wh/'2026'!Env_an*'2027'!Env_an</f>
        <v>47.707863984770519</v>
      </c>
      <c r="C218" s="829"/>
      <c r="D218" s="391">
        <f t="shared" si="77"/>
        <v>50.63784690985208</v>
      </c>
      <c r="E218" s="383">
        <f t="shared" si="75"/>
        <v>52.873607061249629</v>
      </c>
      <c r="F218" s="383">
        <f t="shared" si="78"/>
        <v>52.876420932995082</v>
      </c>
      <c r="G218" s="110">
        <f t="shared" si="76"/>
        <v>0.87194963413269377</v>
      </c>
      <c r="H218" s="412" t="b">
        <f>Wh_hp&gt;='2026'!Maxi_hp</f>
        <v>0</v>
      </c>
      <c r="I218" s="388">
        <f>IF(H218,Wh_hp,'2026'!Maxi_hp)</f>
        <v>56.109961045476417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5.7861522633410045E-2</v>
      </c>
      <c r="M218" s="832"/>
      <c r="N218" s="832"/>
      <c r="O218" s="48">
        <f>IF(t&lt;Tnet,'2026'!Resal+('2026'!Salim-'2026'!Resal)*(1-EXP(('2026'!Tnet-t)/('2026'!Tau_j))),Resal+(Salim-Resal)*(1-EXP((Tnet-t)/(Tau_j))))*Salcycl</f>
        <v>4.2284993887547889E-2</v>
      </c>
      <c r="P218" s="169">
        <f>(INDEX(Models!$BJ218:$BT218,,T218)*(1-R218)+INDEX(Models!$BJ218:$BT218,,T218+1)*R218-ERP_i)*Q218*Ramure*Pc/MaxiM</f>
        <v>6.5129030442645576E-5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54.713361577194256</v>
      </c>
      <c r="W218" s="400">
        <f t="shared" si="86"/>
        <v>47.707863984770519</v>
      </c>
      <c r="X218" s="157">
        <f t="shared" si="87"/>
        <v>46591</v>
      </c>
      <c r="Y218" s="383">
        <f t="shared" si="88"/>
        <v>46.163128079841265</v>
      </c>
      <c r="Z218" s="383">
        <f t="shared" si="89"/>
        <v>48.998240904960937</v>
      </c>
      <c r="AA218" s="384">
        <f t="shared" si="90"/>
        <v>52.845243184522431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7.2797513034971117E-2</v>
      </c>
      <c r="AD218" s="230">
        <f>(INDEX(Models!$BJ218:$BT218,,AH218)*(1-AF218)+INDEX(Models!$BJ218:$BT218,,AH218+1)*AF218-ERP_i)*AE218*Ramure*Pc/MaxiM</f>
        <v>7.2163080378047362E-4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'2026'!Wh/'2026'!Env_an*'2027'!Env_an</f>
        <v>51.647022467784574</v>
      </c>
      <c r="C219" s="829"/>
      <c r="D219" s="391">
        <f t="shared" si="77"/>
        <v>54.819979791634026</v>
      </c>
      <c r="E219" s="383">
        <f t="shared" si="75"/>
        <v>57.243859784092926</v>
      </c>
      <c r="F219" s="383">
        <f t="shared" si="78"/>
        <v>57.247398115937443</v>
      </c>
      <c r="G219" s="110">
        <f t="shared" si="76"/>
        <v>0.94578209895034993</v>
      </c>
      <c r="H219" s="412" t="b">
        <f>Wh_hp&gt;='2026'!Maxi_hp</f>
        <v>0</v>
      </c>
      <c r="I219" s="388">
        <f>IF(H219,Wh_hp,'2026'!Maxi_hp)</f>
        <v>57.247596581337419</v>
      </c>
      <c r="J219" s="85">
        <f>IF(H219,An,'2026'!An_max)</f>
        <v>2026</v>
      </c>
      <c r="K219" s="197">
        <f t="shared" si="79"/>
        <v>46592</v>
      </c>
      <c r="L219" s="147">
        <f>IF(t&lt;Tvie,1-EXP((T0-t)*PertePVj)+'2026'!Pspv,1-EXP((T0-t)*PertePVj)+Pspv)</f>
        <v>5.7879578502392448E-2</v>
      </c>
      <c r="M219" s="832"/>
      <c r="N219" s="832"/>
      <c r="O219" s="48">
        <f>IF(t&lt;Tnet,'2026'!Resal+('2026'!Salim-'2026'!Resal)*(1-EXP(('2026'!Tnet-t)/('2026'!Tau_j))),Resal+(Salim-Resal)*(1-EXP((Tnet-t)/(Tau_j))))*Salcycl</f>
        <v>4.2343056558398921E-2</v>
      </c>
      <c r="P219" s="169">
        <f>(INDEX(Models!$BJ219:$BT219,,T219)*(1-R219)+INDEX(Models!$BJ219:$BT219,,T219+1)*R219-ERP_i)*Q219*Ramure*Pc/MaxiM</f>
        <v>6.6996412137309368E-5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54.607456124051289</v>
      </c>
      <c r="W219" s="400">
        <f t="shared" si="86"/>
        <v>51.647022467784574</v>
      </c>
      <c r="X219" s="157">
        <f t="shared" si="87"/>
        <v>46592</v>
      </c>
      <c r="Y219" s="383">
        <f t="shared" si="88"/>
        <v>49.972035115968261</v>
      </c>
      <c r="Z219" s="383">
        <f t="shared" si="89"/>
        <v>53.042088862198774</v>
      </c>
      <c r="AA219" s="384">
        <f t="shared" si="90"/>
        <v>57.208486511499054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7.2828314527475305E-2</v>
      </c>
      <c r="AD219" s="230">
        <f>(INDEX(Models!$BJ219:$BT219,,AH219)*(1-AF219)+INDEX(Models!$BJ219:$BT219,,AH219+1)*AF219-ERP_i)*AE219*Ramure*Pc/MaxiM</f>
        <v>7.3677032071428421E-4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'2026'!Wh/'2026'!Env_an*'2027'!Env_an</f>
        <v>26.319688738858972</v>
      </c>
      <c r="C220" s="829"/>
      <c r="D220" s="391">
        <f t="shared" si="77"/>
        <v>27.937185691737081</v>
      </c>
      <c r="E220" s="383">
        <f t="shared" si="75"/>
        <v>29.174196850679259</v>
      </c>
      <c r="F220" s="383">
        <f t="shared" si="78"/>
        <v>29.174721988418341</v>
      </c>
      <c r="G220" s="110">
        <f t="shared" si="76"/>
        <v>0.48291195990400754</v>
      </c>
      <c r="H220" s="412" t="b">
        <f>Wh_hp&gt;='2026'!Maxi_hp</f>
        <v>0</v>
      </c>
      <c r="I220" s="388">
        <f>IF(H220,Wh_hp,'2026'!Maxi_hp)</f>
        <v>59.315557328001788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5.7897634025338207E-2</v>
      </c>
      <c r="M220" s="832"/>
      <c r="N220" s="832"/>
      <c r="O220" s="48">
        <f>IF(t&lt;Tnet,'2026'!Resal+('2026'!Salim-'2026'!Resal)*(1-EXP(('2026'!Tnet-t)/('2026'!Tau_j))),Resal+(Salim-Resal)*(1-EXP((Tnet-t)/(Tau_j))))*Salcycl</f>
        <v>4.2400864204540305E-2</v>
      </c>
      <c r="P220" s="169">
        <f>(INDEX(Models!$BJ220:$BT220,,T220)*(1-R220)+INDEX(Models!$BJ220:$BT220,,T220+1)*R220-ERP_i)*Q220*Ramure*Pc/MaxiM</f>
        <v>6.8875395654510233E-5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54.499270817113675</v>
      </c>
      <c r="W220" s="400">
        <f t="shared" si="86"/>
        <v>26.319688738858972</v>
      </c>
      <c r="X220" s="157">
        <f t="shared" si="87"/>
        <v>46593</v>
      </c>
      <c r="Y220" s="383">
        <f t="shared" si="88"/>
        <v>25.478000183573279</v>
      </c>
      <c r="Z220" s="383">
        <f t="shared" si="89"/>
        <v>27.043770511301869</v>
      </c>
      <c r="AA220" s="384">
        <f t="shared" si="90"/>
        <v>29.168986024328085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7.2858738087559966E-2</v>
      </c>
      <c r="AD220" s="230">
        <f>(INDEX(Models!$BJ220:$BT220,,AH220)*(1-AF220)+INDEX(Models!$BJ220:$BT220,,AH220+1)*AF220-ERP_i)*AE220*Ramure*Pc/MaxiM</f>
        <v>7.5231080681046919E-4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'2026'!Wh/'2026'!Env_an*'2027'!Env_an</f>
        <v>55.8145560863451</v>
      </c>
      <c r="C221" s="829"/>
      <c r="D221" s="391">
        <f t="shared" si="77"/>
        <v>59.245818496947464</v>
      </c>
      <c r="E221" s="383">
        <f t="shared" si="75"/>
        <v>61.872842265991487</v>
      </c>
      <c r="F221" s="383">
        <f t="shared" si="78"/>
        <v>61.877218642952464</v>
      </c>
      <c r="G221" s="110">
        <f t="shared" si="76"/>
        <v>1.026214007121929</v>
      </c>
      <c r="H221" s="412" t="b">
        <f>Wh_hp&gt;='2026'!Maxi_hp</f>
        <v>1</v>
      </c>
      <c r="I221" s="388">
        <f>IF(H221,Wh_hp,'2026'!Maxi_hp)</f>
        <v>61.877218642952464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5.7915689202254095E-2</v>
      </c>
      <c r="M221" s="832"/>
      <c r="N221" s="832"/>
      <c r="O221" s="48">
        <f>IF(t&lt;Tnet,'2026'!Resal+('2026'!Salim-'2026'!Resal)*(1-EXP(('2026'!Tnet-t)/('2026'!Tau_j))),Resal+(Salim-Resal)*(1-EXP((Tnet-t)/(Tau_j))))*Salcycl</f>
        <v>4.2458430433023296E-2</v>
      </c>
      <c r="P221" s="169">
        <f>(INDEX(Models!$BJ221:$BT221,,T221)*(1-R221)+INDEX(Models!$BJ221:$BT221,,T221+1)*R221-ERP_i)*Q221*Ramure*Pc/MaxiM</f>
        <v>7.0726788581503076E-5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54.388807499207644</v>
      </c>
      <c r="W221" s="400">
        <f t="shared" si="86"/>
        <v>55.8145560863451</v>
      </c>
      <c r="X221" s="157">
        <f t="shared" si="87"/>
        <v>46594</v>
      </c>
      <c r="Y221" s="383">
        <f t="shared" si="88"/>
        <v>54.003103319511645</v>
      </c>
      <c r="Z221" s="383">
        <f t="shared" si="89"/>
        <v>57.32300464040469</v>
      </c>
      <c r="AA221" s="384">
        <f t="shared" si="90"/>
        <v>61.829697598474418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7.2888808018057069E-2</v>
      </c>
      <c r="AD221" s="230">
        <f>(INDEX(Models!$BJ221:$BT221,,AH221)*(1-AF221)+INDEX(Models!$BJ221:$BT221,,AH221+1)*AF221-ERP_i)*AE221*Ramure*Pc/MaxiM</f>
        <v>7.6798934277013341E-4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'2026'!Wh/'2026'!Env_an*'2027'!Env_an</f>
        <v>55.853554172685669</v>
      </c>
      <c r="C222" s="829"/>
      <c r="D222" s="391">
        <f t="shared" si="77"/>
        <v>59.28835028207493</v>
      </c>
      <c r="E222" s="383">
        <f t="shared" si="75"/>
        <v>61.920967777010539</v>
      </c>
      <c r="F222" s="383">
        <f t="shared" si="78"/>
        <v>61.925460480563899</v>
      </c>
      <c r="G222" s="110">
        <f t="shared" si="76"/>
        <v>1.0290641592934002</v>
      </c>
      <c r="H222" s="412" t="b">
        <f>Wh_hp&gt;='2026'!Maxi_hp</f>
        <v>1</v>
      </c>
      <c r="I222" s="388">
        <f>IF(H222,Wh_hp,'2026'!Maxi_hp)</f>
        <v>61.925460480563899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5.793374403314655E-2</v>
      </c>
      <c r="M222" s="832"/>
      <c r="N222" s="832"/>
      <c r="O222" s="48">
        <f>IF(t&lt;Tnet,'2026'!Resal+('2026'!Salim-'2026'!Resal)*(1-EXP(('2026'!Tnet-t)/('2026'!Tau_j))),Resal+(Salim-Resal)*(1-EXP((Tnet-t)/(Tau_j))))*Salcycl</f>
        <v>4.2515767912674952E-2</v>
      </c>
      <c r="P222" s="169">
        <f>(INDEX(Models!$BJ222:$BT222,,T222)*(1-R222)+INDEX(Models!$BJ222:$BT222,,T222+1)*R222-ERP_i)*Q222*Ramure*Pc/MaxiM</f>
        <v>7.2550184019475332E-5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54.276065946206039</v>
      </c>
      <c r="W222" s="400">
        <f t="shared" si="86"/>
        <v>55.853554172685669</v>
      </c>
      <c r="X222" s="157">
        <f t="shared" si="87"/>
        <v>46595</v>
      </c>
      <c r="Y222" s="383">
        <f t="shared" si="88"/>
        <v>54.041581237379241</v>
      </c>
      <c r="Z222" s="383">
        <f t="shared" si="89"/>
        <v>57.364947417542034</v>
      </c>
      <c r="AA222" s="384">
        <f t="shared" si="90"/>
        <v>61.876922709250437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7.2918546917878205E-2</v>
      </c>
      <c r="AD222" s="230">
        <f>(INDEX(Models!$BJ222:$BT222,,AH222)*(1-AF222)+INDEX(Models!$BJ222:$BT222,,AH222+1)*AF222-ERP_i)*AE222*Ramure*Pc/MaxiM</f>
        <v>7.8380961460426733E-4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'2026'!Wh/'2026'!Env_an*'2027'!Env_an</f>
        <v>43.548339932571395</v>
      </c>
      <c r="C223" s="829"/>
      <c r="D223" s="391">
        <f t="shared" si="77"/>
        <v>46.227294807275861</v>
      </c>
      <c r="E223" s="383">
        <f t="shared" si="75"/>
        <v>48.282834530721573</v>
      </c>
      <c r="F223" s="383">
        <f t="shared" si="78"/>
        <v>48.285419449688291</v>
      </c>
      <c r="G223" s="110">
        <f t="shared" si="76"/>
        <v>0.80403605217674423</v>
      </c>
      <c r="H223" s="412" t="b">
        <f>Wh_hp&gt;='2026'!Maxi_hp</f>
        <v>0</v>
      </c>
      <c r="I223" s="388">
        <f>IF(H223,Wh_hp,'2026'!Maxi_hp)</f>
        <v>56.218409152668862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5.7951798518022235E-2</v>
      </c>
      <c r="M223" s="832"/>
      <c r="N223" s="832"/>
      <c r="O223" s="48">
        <f>IF(t&lt;Tnet,'2026'!Resal+('2026'!Salim-'2026'!Resal)*(1-EXP(('2026'!Tnet-t)/('2026'!Tau_j))),Resal+(Salim-Resal)*(1-EXP((Tnet-t)/(Tau_j))))*Salcycl</f>
        <v>4.2572888344776169E-2</v>
      </c>
      <c r="P223" s="169">
        <f>(INDEX(Models!$BJ223:$BT223,,T223)*(1-R223)+INDEX(Models!$BJ223:$BT223,,T223+1)*R223-ERP_i)*Q223*Ramure*Pc/MaxiM</f>
        <v>7.4345201868417484E-5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54.161045987262604</v>
      </c>
      <c r="W223" s="400">
        <f t="shared" si="86"/>
        <v>43.548339932571395</v>
      </c>
      <c r="X223" s="157">
        <f t="shared" si="87"/>
        <v>46596</v>
      </c>
      <c r="Y223" s="383">
        <f t="shared" si="88"/>
        <v>42.144708874159626</v>
      </c>
      <c r="Z223" s="383">
        <f t="shared" si="89"/>
        <v>44.737316846271682</v>
      </c>
      <c r="AA223" s="384">
        <f t="shared" si="90"/>
        <v>48.257611947037098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7.2947975640173718E-2</v>
      </c>
      <c r="AD223" s="230">
        <f>(INDEX(Models!$BJ223:$BT223,,AH223)*(1-AF223)+INDEX(Models!$BJ223:$BT223,,AH223+1)*AF223-ERP_i)*AE223*Ramure*Pc/MaxiM</f>
        <v>7.9977532165546449E-4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'2026'!Wh/'2026'!Env_an*'2027'!Env_an</f>
        <v>31.104157480283448</v>
      </c>
      <c r="C224" s="829"/>
      <c r="D224" s="391">
        <f t="shared" si="77"/>
        <v>33.018218756596227</v>
      </c>
      <c r="E224" s="383">
        <f t="shared" si="75"/>
        <v>34.488454769970048</v>
      </c>
      <c r="F224" s="383">
        <f t="shared" si="78"/>
        <v>34.489488050579801</v>
      </c>
      <c r="G224" s="110">
        <f t="shared" si="76"/>
        <v>0.57551008850346175</v>
      </c>
      <c r="H224" s="412" t="b">
        <f>Wh_hp&gt;='2026'!Maxi_hp</f>
        <v>0</v>
      </c>
      <c r="I224" s="388">
        <f>IF(H224,Wh_hp,'2026'!Maxi_hp)</f>
        <v>59.204840320642759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5.7969852656887921E-2</v>
      </c>
      <c r="M224" s="832"/>
      <c r="N224" s="832"/>
      <c r="O224" s="48">
        <f>IF(t&lt;Tnet,'2026'!Resal+('2026'!Salim-'2026'!Resal)*(1-EXP(('2026'!Tnet-t)/('2026'!Tau_j))),Resal+(Salim-Resal)*(1-EXP((Tnet-t)/(Tau_j))))*Salcycl</f>
        <v>4.2629802442004178E-2</v>
      </c>
      <c r="P224" s="169">
        <f>(INDEX(Models!$BJ224:$BT224,,T224)*(1-R224)+INDEX(Models!$BJ224:$BT224,,T224+1)*R224-ERP_i)*Q224*Ramure*Pc/MaxiM</f>
        <v>7.6111484973805408E-5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54.043747509352421</v>
      </c>
      <c r="W224" s="400">
        <f t="shared" si="86"/>
        <v>31.104157480283448</v>
      </c>
      <c r="X224" s="157">
        <f t="shared" si="87"/>
        <v>46597</v>
      </c>
      <c r="Y224" s="383">
        <f t="shared" si="88"/>
        <v>30.109428201998615</v>
      </c>
      <c r="Z224" s="383">
        <f t="shared" si="89"/>
        <v>31.962276671207182</v>
      </c>
      <c r="AA224" s="384">
        <f t="shared" si="90"/>
        <v>34.478411621285197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7.2977113264831528E-2</v>
      </c>
      <c r="AD224" s="230">
        <f>(INDEX(Models!$BJ224:$BT224,,AH224)*(1-AF224)+INDEX(Models!$BJ224:$BT224,,AH224+1)*AF224-ERP_i)*AE224*Ramure*Pc/MaxiM</f>
        <v>8.1589015980928061E-4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'2026'!Wh/'2026'!Env_an*'2027'!Env_an</f>
        <v>48.107516778443376</v>
      </c>
      <c r="C225" s="829"/>
      <c r="D225" s="391">
        <f t="shared" si="77"/>
        <v>51.068895089378351</v>
      </c>
      <c r="E225" s="383">
        <f t="shared" si="75"/>
        <v>53.346052418344151</v>
      </c>
      <c r="F225" s="383">
        <f t="shared" si="78"/>
        <v>53.349565621349711</v>
      </c>
      <c r="G225" s="110">
        <f t="shared" si="76"/>
        <v>0.8921220155542442</v>
      </c>
      <c r="H225" s="412" t="b">
        <f>Wh_hp&gt;='2026'!Maxi_hp</f>
        <v>0</v>
      </c>
      <c r="I225" s="388">
        <f>IF(H225,Wh_hp,'2026'!Maxi_hp)</f>
        <v>53.349986658424307</v>
      </c>
      <c r="J225" s="85">
        <f>IF(H225,An,'2026'!An_max)</f>
        <v>2026</v>
      </c>
      <c r="K225" s="197">
        <f t="shared" si="79"/>
        <v>46598</v>
      </c>
      <c r="L225" s="147">
        <f>IF(t&lt;Tvie,1-EXP((T0-t)*PertePVj)+'2026'!Pspv,1-EXP((T0-t)*PertePVj)+Pspv)</f>
        <v>5.798790644975016E-2</v>
      </c>
      <c r="M225" s="832"/>
      <c r="N225" s="832"/>
      <c r="O225" s="48">
        <f>IF(t&lt;Tnet,'2026'!Resal+('2026'!Salim-'2026'!Resal)*(1-EXP(('2026'!Tnet-t)/('2026'!Tau_j))),Resal+(Salim-Resal)*(1-EXP((Tnet-t)/(Tau_j))))*Salcycl</f>
        <v>4.2686519915440847E-2</v>
      </c>
      <c r="P225" s="169">
        <f>(INDEX(Models!$BJ225:$BT225,,T225)*(1-R225)+INDEX(Models!$BJ225:$BT225,,T225+1)*R225-ERP_i)*Q225*Ramure*Pc/MaxiM</f>
        <v>7.7848695426495704E-5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53.92417045558534</v>
      </c>
      <c r="W225" s="400">
        <f t="shared" si="86"/>
        <v>48.107516778443376</v>
      </c>
      <c r="X225" s="157">
        <f t="shared" si="87"/>
        <v>46598</v>
      </c>
      <c r="Y225" s="383">
        <f t="shared" si="88"/>
        <v>46.554158544307512</v>
      </c>
      <c r="Z225" s="383">
        <f t="shared" si="89"/>
        <v>49.41991601068991</v>
      </c>
      <c r="AA225" s="384">
        <f t="shared" si="90"/>
        <v>53.312011500655707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7.3005977084881352E-2</v>
      </c>
      <c r="AD225" s="230">
        <f>(INDEX(Models!$BJ225:$BT225,,AH225)*(1-AF225)+INDEX(Models!$BJ225:$BT225,,AH225+1)*AF225-ERP_i)*AE225*Ramure*Pc/MaxiM</f>
        <v>8.3215780565092893E-4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'2026'!Wh/'2026'!Env_an*'2027'!Env_an</f>
        <v>53.416137973338827</v>
      </c>
      <c r="C226" s="829"/>
      <c r="D226" s="391">
        <f t="shared" si="77"/>
        <v>56.70538846241147</v>
      </c>
      <c r="E226" s="383">
        <f t="shared" si="75"/>
        <v>59.237374490703345</v>
      </c>
      <c r="F226" s="383">
        <f t="shared" si="78"/>
        <v>59.242042651019766</v>
      </c>
      <c r="G226" s="110">
        <f t="shared" si="76"/>
        <v>0.99282154737610928</v>
      </c>
      <c r="H226" s="412" t="b">
        <f>Wh_hp&gt;='2026'!Maxi_hp</f>
        <v>0</v>
      </c>
      <c r="I226" s="388">
        <f>IF(H226,Wh_hp,'2026'!Maxi_hp)</f>
        <v>59.242074407471534</v>
      </c>
      <c r="J226" s="85">
        <f>IF(H226,An,'2026'!An_max)</f>
        <v>2026</v>
      </c>
      <c r="K226" s="197">
        <f t="shared" si="79"/>
        <v>46599</v>
      </c>
      <c r="L226" s="147">
        <f>IF(t&lt;Tvie,1-EXP((T0-t)*PertePVj)+'2026'!Pspv,1-EXP((T0-t)*PertePVj)+Pspv)</f>
        <v>5.80059598966155E-2</v>
      </c>
      <c r="M226" s="832"/>
      <c r="N226" s="832"/>
      <c r="O226" s="48">
        <f>IF(t&lt;Tnet,'2026'!Resal+('2026'!Salim-'2026'!Resal)*(1-EXP(('2026'!Tnet-t)/('2026'!Tau_j))),Resal+(Salim-Resal)*(1-EXP((Tnet-t)/(Tau_j))))*Salcycl</f>
        <v>4.2743049469372428E-2</v>
      </c>
      <c r="P226" s="169">
        <f>(INDEX(Models!$BJ226:$BT226,,T226)*(1-R226)+INDEX(Models!$BJ226:$BT226,,T226+1)*R226-ERP_i)*Q226*Ramure*Pc/MaxiM</f>
        <v>7.9614447150950558E-5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53.802311709375694</v>
      </c>
      <c r="W226" s="400">
        <f t="shared" si="86"/>
        <v>53.416137973338827</v>
      </c>
      <c r="X226" s="157">
        <f t="shared" si="87"/>
        <v>46599</v>
      </c>
      <c r="Y226" s="383">
        <f t="shared" si="88"/>
        <v>51.686433111162145</v>
      </c>
      <c r="Z226" s="383">
        <f t="shared" si="89"/>
        <v>54.869172108020472</v>
      </c>
      <c r="AA226" s="384">
        <f t="shared" si="90"/>
        <v>59.1922536466246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7.3034582606243612E-2</v>
      </c>
      <c r="AD226" s="230">
        <f>(INDEX(Models!$BJ226:$BT226,,AH226)*(1-AF226)+INDEX(Models!$BJ226:$BT226,,AH226+1)*AF226-ERP_i)*AE226*Ramure*Pc/MaxiM</f>
        <v>8.4914051584236098E-4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'2026'!Wh/'2026'!Env_an*'2027'!Env_an</f>
        <v>53.055019621574019</v>
      </c>
      <c r="C227" s="829"/>
      <c r="D227" s="391">
        <f t="shared" si="77"/>
        <v>56.323112641546231</v>
      </c>
      <c r="E227" s="383">
        <f t="shared" si="75"/>
        <v>58.841493174099931</v>
      </c>
      <c r="F227" s="383">
        <f t="shared" si="78"/>
        <v>58.846205653386136</v>
      </c>
      <c r="G227" s="110">
        <f t="shared" si="76"/>
        <v>0.98838965394939837</v>
      </c>
      <c r="H227" s="412" t="b">
        <f>Wh_hp&gt;='2026'!Maxi_hp</f>
        <v>0</v>
      </c>
      <c r="I227" s="388">
        <f>IF(H227,Wh_hp,'2026'!Maxi_hp)</f>
        <v>58.846257744444664</v>
      </c>
      <c r="J227" s="85">
        <f>IF(H227,An,'2026'!An_max)</f>
        <v>2026</v>
      </c>
      <c r="K227" s="197">
        <f t="shared" si="79"/>
        <v>46600</v>
      </c>
      <c r="L227" s="147">
        <f>IF(t&lt;Tvie,1-EXP((T0-t)*PertePVj)+'2026'!Pspv,1-EXP((T0-t)*PertePVj)+Pspv)</f>
        <v>5.8024012997490715E-2</v>
      </c>
      <c r="M227" s="832"/>
      <c r="N227" s="832"/>
      <c r="O227" s="48">
        <f>IF(t&lt;Tnet,'2026'!Resal+('2026'!Salim-'2026'!Resal)*(1-EXP(('2026'!Tnet-t)/('2026'!Tau_j))),Resal+(Salim-Resal)*(1-EXP((Tnet-t)/(Tau_j))))*Salcycl</f>
        <v>4.2799398803533513E-2</v>
      </c>
      <c r="P227" s="169">
        <f>(INDEX(Models!$BJ227:$BT227,,T227)*(1-R227)+INDEX(Models!$BJ227:$BT227,,T227+1)*R227-ERP_i)*Q227*Ramure*Pc/MaxiM</f>
        <v>8.1431765810485298E-5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53.67817009579236</v>
      </c>
      <c r="W227" s="400">
        <f t="shared" si="86"/>
        <v>53.055019621574019</v>
      </c>
      <c r="X227" s="157">
        <f t="shared" si="87"/>
        <v>46600</v>
      </c>
      <c r="Y227" s="383">
        <f t="shared" si="88"/>
        <v>51.337909864696499</v>
      </c>
      <c r="Z227" s="383">
        <f t="shared" si="89"/>
        <v>54.500232036763954</v>
      </c>
      <c r="AA227" s="384">
        <f t="shared" si="90"/>
        <v>58.796044087487815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7.306294356014395E-2</v>
      </c>
      <c r="AD227" s="230">
        <f>(INDEX(Models!$BJ227:$BT227,,AH227)*(1-AF227)+INDEX(Models!$BJ227:$BT227,,AH227+1)*AF227-ERP_i)*AE227*Ramure*Pc/MaxiM</f>
        <v>8.6679317591383833E-4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'2026'!Wh/'2026'!Env_an*'2027'!Env_an</f>
        <v>53.045040055441198</v>
      </c>
      <c r="C228" s="829"/>
      <c r="D228" s="391">
        <f t="shared" si="77"/>
        <v>56.31359758948318</v>
      </c>
      <c r="E228" s="383">
        <f t="shared" si="75"/>
        <v>58.835005560697816</v>
      </c>
      <c r="F228" s="383">
        <f t="shared" si="78"/>
        <v>58.839840749933671</v>
      </c>
      <c r="G228" s="110">
        <f t="shared" si="76"/>
        <v>0.99053690270131933</v>
      </c>
      <c r="H228" s="412" t="b">
        <f>Wh_hp&gt;='2026'!Maxi_hp</f>
        <v>0</v>
      </c>
      <c r="I228" s="388">
        <f>IF(H228,Wh_hp,'2026'!Maxi_hp)</f>
        <v>58.839884104738097</v>
      </c>
      <c r="J228" s="85">
        <f>IF(H228,An,'2026'!An_max)</f>
        <v>2026</v>
      </c>
      <c r="K228" s="197">
        <f t="shared" si="79"/>
        <v>46601</v>
      </c>
      <c r="L228" s="147">
        <f>IF(t&lt;Tvie,1-EXP((T0-t)*PertePVj)+'2026'!Pspv,1-EXP((T0-t)*PertePVj)+Pspv)</f>
        <v>5.8042065752382355E-2</v>
      </c>
      <c r="M228" s="832"/>
      <c r="N228" s="832"/>
      <c r="O228" s="48">
        <f>IF(t&lt;Tnet,'2026'!Resal+('2026'!Salim-'2026'!Resal)*(1-EXP(('2026'!Tnet-t)/('2026'!Tau_j))),Resal+(Salim-Resal)*(1-EXP((Tnet-t)/(Tau_j))))*Salcycl</f>
        <v>4.2855574622380148E-2</v>
      </c>
      <c r="P228" s="169">
        <f>(INDEX(Models!$BJ228:$BT228,,T228)*(1-R228)+INDEX(Models!$BJ228:$BT228,,T228+1)*R228-ERP_i)*Q228*Ramure*Pc/MaxiM</f>
        <v>8.33014254689391E-5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53.551745702170699</v>
      </c>
      <c r="W228" s="400">
        <f t="shared" si="86"/>
        <v>53.045040055441198</v>
      </c>
      <c r="X228" s="157">
        <f t="shared" si="87"/>
        <v>46601</v>
      </c>
      <c r="Y228" s="383">
        <f t="shared" si="88"/>
        <v>51.328750093948706</v>
      </c>
      <c r="Z228" s="383">
        <f t="shared" si="89"/>
        <v>54.491552358914191</v>
      </c>
      <c r="AA228" s="384">
        <f t="shared" si="90"/>
        <v>58.788464226170809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7.3091071927403106E-2</v>
      </c>
      <c r="AD228" s="230">
        <f>(INDEX(Models!$BJ228:$BT228,,AH228)*(1-AF228)+INDEX(Models!$BJ228:$BT228,,AH228+1)*AF228-ERP_i)*AE228*Ramure*Pc/MaxiM</f>
        <v>8.8512309577132525E-4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'2026'!Wh/'2026'!Env_an*'2027'!Env_an</f>
        <v>50.09306894802446</v>
      </c>
      <c r="C229" s="829"/>
      <c r="D229" s="391">
        <f t="shared" si="77"/>
        <v>53.180749550853349</v>
      </c>
      <c r="E229" s="383">
        <f t="shared" si="75"/>
        <v>55.565137543041011</v>
      </c>
      <c r="F229" s="383">
        <f t="shared" si="78"/>
        <v>55.569451695823872</v>
      </c>
      <c r="G229" s="110">
        <f t="shared" si="76"/>
        <v>0.93766079232687505</v>
      </c>
      <c r="H229" s="412" t="b">
        <f>Wh_hp&gt;='2026'!Maxi_hp</f>
        <v>0</v>
      </c>
      <c r="I229" s="388">
        <f>IF(H229,Wh_hp,'2026'!Maxi_hp)</f>
        <v>56.932913500318811</v>
      </c>
      <c r="J229" s="85">
        <f>IF(H229,An,'2026'!An_max)</f>
        <v>2018</v>
      </c>
      <c r="K229" s="197">
        <f t="shared" si="79"/>
        <v>46602</v>
      </c>
      <c r="L229" s="147">
        <f>IF(t&lt;Tvie,1-EXP((T0-t)*PertePVj)+'2026'!Pspv,1-EXP((T0-t)*PertePVj)+Pspv)</f>
        <v>5.8060118161297081E-2</v>
      </c>
      <c r="M229" s="832"/>
      <c r="N229" s="832"/>
      <c r="O229" s="48">
        <f>IF(t&lt;Tnet,'2026'!Resal+('2026'!Salim-'2026'!Resal)*(1-EXP(('2026'!Tnet-t)/('2026'!Tau_j))),Resal+(Salim-Resal)*(1-EXP((Tnet-t)/(Tau_j))))*Salcycl</f>
        <v>4.2911582650915048E-2</v>
      </c>
      <c r="P229" s="169">
        <f>(INDEX(Models!$BJ229:$BT229,,T229)*(1-R229)+INDEX(Models!$BJ229:$BT229,,T229+1)*R229-ERP_i)*Q229*Ramure*Pc/MaxiM</f>
        <v>8.5224191221551447E-5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53.423038671488413</v>
      </c>
      <c r="W229" s="400">
        <f t="shared" si="86"/>
        <v>50.09306894802446</v>
      </c>
      <c r="X229" s="157">
        <f t="shared" si="87"/>
        <v>46602</v>
      </c>
      <c r="Y229" s="383">
        <f t="shared" si="88"/>
        <v>48.475851074100227</v>
      </c>
      <c r="Z229" s="383">
        <f t="shared" si="89"/>
        <v>51.463848180494807</v>
      </c>
      <c r="AA229" s="384">
        <f t="shared" si="90"/>
        <v>55.523683145424535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7.3118977973713251E-2</v>
      </c>
      <c r="AD229" s="230">
        <f>(INDEX(Models!$BJ229:$BT229,,AH229)*(1-AF229)+INDEX(Models!$BJ229:$BT229,,AH229+1)*AF229-ERP_i)*AE229*Ramure*Pc/MaxiM</f>
        <v>9.0413758795557827E-4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'2026'!Wh/'2026'!Env_an*'2027'!Env_an</f>
        <v>49.351513705893353</v>
      </c>
      <c r="C230" s="829"/>
      <c r="D230" s="391">
        <f t="shared" si="77"/>
        <v>52.394489803514134</v>
      </c>
      <c r="E230" s="383">
        <f t="shared" si="75"/>
        <v>54.746819823714745</v>
      </c>
      <c r="F230" s="383">
        <f t="shared" si="78"/>
        <v>54.751089841356887</v>
      </c>
      <c r="G230" s="110">
        <f t="shared" si="76"/>
        <v>0.92604919164246324</v>
      </c>
      <c r="H230" s="412" t="b">
        <f>Wh_hp&gt;='2026'!Maxi_hp</f>
        <v>0</v>
      </c>
      <c r="I230" s="388">
        <f>IF(H230,Wh_hp,'2026'!Maxi_hp)</f>
        <v>54.751418864509112</v>
      </c>
      <c r="J230" s="85">
        <f>IF(H230,An,'2026'!An_max)</f>
        <v>2026</v>
      </c>
      <c r="K230" s="197">
        <f t="shared" si="79"/>
        <v>46603</v>
      </c>
      <c r="L230" s="147">
        <f>IF(t&lt;Tvie,1-EXP((T0-t)*PertePVj)+'2026'!Pspv,1-EXP((T0-t)*PertePVj)+Pspv)</f>
        <v>5.8078170224241554E-2</v>
      </c>
      <c r="M230" s="832"/>
      <c r="N230" s="832"/>
      <c r="O230" s="48">
        <f>IF(t&lt;Tnet,'2026'!Resal+('2026'!Salim-'2026'!Resal)*(1-EXP(('2026'!Tnet-t)/('2026'!Tau_j))),Resal+(Salim-Resal)*(1-EXP((Tnet-t)/(Tau_j))))*Salcycl</f>
        <v>4.29674276565312E-2</v>
      </c>
      <c r="P230" s="169">
        <f>(INDEX(Models!$BJ230:$BT230,,T230)*(1-R230)+INDEX(Models!$BJ230:$BT230,,T230+1)*R230-ERP_i)*Q230*Ramure*Pc/MaxiM</f>
        <v>8.7200819035897567E-5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53.292049202212432</v>
      </c>
      <c r="W230" s="400">
        <f t="shared" si="86"/>
        <v>49.351513705893353</v>
      </c>
      <c r="X230" s="157">
        <f t="shared" si="87"/>
        <v>46603</v>
      </c>
      <c r="Y230" s="383">
        <f t="shared" si="88"/>
        <v>47.75948751852539</v>
      </c>
      <c r="Z230" s="383">
        <f t="shared" si="89"/>
        <v>50.704300514932754</v>
      </c>
      <c r="AA230" s="384">
        <f t="shared" si="90"/>
        <v>54.705851389741191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7.3146670294922694E-2</v>
      </c>
      <c r="AD230" s="230">
        <f>(INDEX(Models!$BJ230:$BT230,,AH230)*(1-AF230)+INDEX(Models!$BJ230:$BT230,,AH230+1)*AF230-ERP_i)*AE230*Ramure*Pc/MaxiM</f>
        <v>9.2384396585897053E-4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'2026'!Wh/'2026'!Env_an*'2027'!Env_an</f>
        <v>44.818559368471256</v>
      </c>
      <c r="C231" s="829"/>
      <c r="D231" s="391">
        <f t="shared" si="77"/>
        <v>47.582948930134179</v>
      </c>
      <c r="E231" s="383">
        <f t="shared" si="75"/>
        <v>49.722150660276498</v>
      </c>
      <c r="F231" s="383">
        <f t="shared" si="78"/>
        <v>49.725593276103801</v>
      </c>
      <c r="G231" s="110">
        <f t="shared" si="76"/>
        <v>0.84309054896204683</v>
      </c>
      <c r="H231" s="412" t="b">
        <f>Wh_hp&gt;='2026'!Maxi_hp</f>
        <v>0</v>
      </c>
      <c r="I231" s="388">
        <f>IF(H231,Wh_hp,'2026'!Maxi_hp)</f>
        <v>57.498472641811972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5.8096221941222326E-2</v>
      </c>
      <c r="M231" s="832"/>
      <c r="N231" s="832"/>
      <c r="O231" s="48">
        <f>IF(t&lt;Tnet,'2026'!Resal+('2026'!Salim-'2026'!Resal)*(1-EXP(('2026'!Tnet-t)/('2026'!Tau_j))),Resal+(Salim-Resal)*(1-EXP((Tnet-t)/(Tau_j))))*Salcycl</f>
        <v>4.3023113476291022E-2</v>
      </c>
      <c r="P231" s="169">
        <f>(INDEX(Models!$BJ231:$BT231,,T231)*(1-R231)+INDEX(Models!$BJ231:$BT231,,T231+1)*R231-ERP_i)*Q231*Ramure*Pc/MaxiM</f>
        <v>8.9232055609086836E-5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53.158777547823973</v>
      </c>
      <c r="W231" s="400">
        <f t="shared" si="86"/>
        <v>44.818559368471256</v>
      </c>
      <c r="X231" s="157">
        <f t="shared" si="87"/>
        <v>46604</v>
      </c>
      <c r="Y231" s="383">
        <f t="shared" si="88"/>
        <v>43.377684074626622</v>
      </c>
      <c r="Z231" s="383">
        <f t="shared" si="89"/>
        <v>46.053201064790422</v>
      </c>
      <c r="AA231" s="384">
        <f t="shared" si="90"/>
        <v>49.689163672473214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7.3174155871273863E-2</v>
      </c>
      <c r="AD231" s="230">
        <f>(INDEX(Models!$BJ231:$BT231,,AH231)*(1-AF231)+INDEX(Models!$BJ231:$BT231,,AH231+1)*AF231-ERP_i)*AE231*Ramure*Pc/MaxiM</f>
        <v>9.4424954164099213E-4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'2026'!Wh/'2026'!Env_an*'2027'!Env_an</f>
        <v>49.21467412915419</v>
      </c>
      <c r="C232" s="829"/>
      <c r="D232" s="391">
        <f t="shared" si="77"/>
        <v>52.251215550556296</v>
      </c>
      <c r="E232" s="383">
        <f t="shared" si="75"/>
        <v>54.603458446201984</v>
      </c>
      <c r="F232" s="383">
        <f t="shared" si="78"/>
        <v>54.607933473946296</v>
      </c>
      <c r="G232" s="110">
        <f t="shared" si="76"/>
        <v>0.92816334447610649</v>
      </c>
      <c r="H232" s="412" t="b">
        <f>Wh_hp&gt;='2026'!Maxi_hp</f>
        <v>0</v>
      </c>
      <c r="I232" s="388">
        <f>IF(H232,Wh_hp,'2026'!Maxi_hp)</f>
        <v>58.413322100606401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5.8114273312245945E-2</v>
      </c>
      <c r="M232" s="832"/>
      <c r="N232" s="832"/>
      <c r="O232" s="48">
        <f>IF(t&lt;Tnet,'2026'!Resal+('2026'!Salim-'2026'!Resal)*(1-EXP(('2026'!Tnet-t)/('2026'!Tau_j))),Resal+(Salim-Resal)*(1-EXP((Tnet-t)/(Tau_j))))*Salcycl</f>
        <v>4.3078643049015576E-2</v>
      </c>
      <c r="P232" s="169">
        <f>(INDEX(Models!$BJ232:$BT232,,T232)*(1-R232)+INDEX(Models!$BJ232:$BT232,,T232+1)*R232-ERP_i)*Q232*Ramure*Pc/MaxiM</f>
        <v>9.1318638253361264E-5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53.023224011698154</v>
      </c>
      <c r="W232" s="400">
        <f t="shared" si="86"/>
        <v>49.21467412915419</v>
      </c>
      <c r="X232" s="157">
        <f t="shared" si="87"/>
        <v>46605</v>
      </c>
      <c r="Y232" s="383">
        <f t="shared" si="88"/>
        <v>47.628062345583025</v>
      </c>
      <c r="Z232" s="383">
        <f t="shared" si="89"/>
        <v>50.566709948002298</v>
      </c>
      <c r="AA232" s="384">
        <f t="shared" si="90"/>
        <v>54.560626372862124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7.320144012947695E-2</v>
      </c>
      <c r="AD232" s="230">
        <f>(INDEX(Models!$BJ232:$BT232,,AH232)*(1-AF232)+INDEX(Models!$BJ232:$BT232,,AH232+1)*AF232-ERP_i)*AE232*Ramure*Pc/MaxiM</f>
        <v>9.6536162400665784E-4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'2026'!Wh/'2026'!Env_an*'2027'!Env_an</f>
        <v>51.790091306882715</v>
      </c>
      <c r="C233" s="829"/>
      <c r="D233" s="391">
        <f t="shared" si="77"/>
        <v>54.986589565720223</v>
      </c>
      <c r="E233" s="383">
        <f t="shared" ref="E233:E296" si="100">Wh_pvt/(1-Psa)</f>
        <v>57.46529882558535</v>
      </c>
      <c r="F233" s="383">
        <f t="shared" si="78"/>
        <v>57.470511072013586</v>
      </c>
      <c r="G233" s="110">
        <f t="shared" ref="G233:G296" si="101">+Wh_hp/MaxiM</f>
        <v>0.97927857322965328</v>
      </c>
      <c r="H233" s="412" t="b">
        <f>Wh_hp&gt;='2026'!Maxi_hp</f>
        <v>0</v>
      </c>
      <c r="I233" s="388">
        <f>IF(H233,Wh_hp,'2026'!Maxi_hp)</f>
        <v>57.470614400759345</v>
      </c>
      <c r="J233" s="85">
        <f>IF(H233,An,'2026'!An_max)</f>
        <v>2026</v>
      </c>
      <c r="K233" s="197">
        <f t="shared" si="79"/>
        <v>46606</v>
      </c>
      <c r="L233" s="147">
        <f>IF(t&lt;Tvie,1-EXP((T0-t)*PertePVj)+'2026'!Pspv,1-EXP((T0-t)*PertePVj)+Pspv)</f>
        <v>5.8132324337319297E-2</v>
      </c>
      <c r="M233" s="832"/>
      <c r="N233" s="832"/>
      <c r="O233" s="48">
        <f>IF(t&lt;Tnet,'2026'!Resal+('2026'!Salim-'2026'!Resal)*(1-EXP(('2026'!Tnet-t)/('2026'!Tau_j))),Resal+(Salim-Resal)*(1-EXP((Tnet-t)/(Tau_j))))*Salcycl</f>
        <v>4.3134018451523731E-2</v>
      </c>
      <c r="P233" s="169">
        <f>(INDEX(Models!$BJ233:$BT233,,T233)*(1-R233)+INDEX(Models!$BJ233:$BT233,,T233+1)*R233-ERP_i)*Q233*Ramure*Pc/MaxiM</f>
        <v>9.3460537293807905E-5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52.885817626124634</v>
      </c>
      <c r="W233" s="400">
        <f t="shared" si="86"/>
        <v>51.790091306882715</v>
      </c>
      <c r="X233" s="157">
        <f t="shared" si="87"/>
        <v>46606</v>
      </c>
      <c r="Y233" s="383">
        <f t="shared" si="88"/>
        <v>50.117727729575762</v>
      </c>
      <c r="Z233" s="383">
        <f t="shared" si="89"/>
        <v>53.211007262048625</v>
      </c>
      <c r="AA233" s="384">
        <f t="shared" si="90"/>
        <v>57.415456574704059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7.3228527011449732E-2</v>
      </c>
      <c r="AD233" s="230">
        <f>(INDEX(Models!$BJ233:$BT233,,AH233)*(1-AF233)+INDEX(Models!$BJ233:$BT233,,AH233+1)*AF233-ERP_i)*AE233*Ramure*Pc/MaxiM</f>
        <v>9.8717951459773284E-4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'2026'!Wh/'2026'!Env_an*'2027'!Env_an</f>
        <v>52.22737150058591</v>
      </c>
      <c r="C234" s="829"/>
      <c r="D234" s="391">
        <f t="shared" si="77"/>
        <v>55.451921533119503</v>
      </c>
      <c r="E234" s="383">
        <f t="shared" si="100"/>
        <v>57.954951914943599</v>
      </c>
      <c r="F234" s="383">
        <f t="shared" si="78"/>
        <v>57.96042067071027</v>
      </c>
      <c r="G234" s="110">
        <f t="shared" si="101"/>
        <v>0.99015008413855887</v>
      </c>
      <c r="H234" s="412" t="b">
        <f>Wh_hp&gt;='2026'!Maxi_hp</f>
        <v>0</v>
      </c>
      <c r="I234" s="388">
        <f>IF(H234,Wh_hp,'2026'!Maxi_hp)</f>
        <v>57.960471343861798</v>
      </c>
      <c r="J234" s="85">
        <f>IF(H234,An,'2026'!An_max)</f>
        <v>2026</v>
      </c>
      <c r="K234" s="197">
        <f t="shared" si="79"/>
        <v>46607</v>
      </c>
      <c r="L234" s="147">
        <f>IF(t&lt;Tvie,1-EXP((T0-t)*PertePVj)+'2026'!Pspv,1-EXP((T0-t)*PertePVj)+Pspv)</f>
        <v>5.8150375016448819E-2</v>
      </c>
      <c r="M234" s="832"/>
      <c r="N234" s="832"/>
      <c r="O234" s="48">
        <f>IF(t&lt;Tnet,'2026'!Resal+('2026'!Salim-'2026'!Resal)*(1-EXP(('2026'!Tnet-t)/('2026'!Tau_j))),Resal+(Salim-Resal)*(1-EXP((Tnet-t)/(Tau_j))))*Salcycl</f>
        <v>4.318924093833465E-2</v>
      </c>
      <c r="P234" s="169">
        <f>(INDEX(Models!$BJ234:$BT234,,T234)*(1-R234)+INDEX(Models!$BJ234:$BT234,,T234+1)*R234-ERP_i)*Q234*Ramure*Pc/MaxiM</f>
        <v>9.5699717370303453E-5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52.746853239398952</v>
      </c>
      <c r="W234" s="400">
        <f t="shared" si="86"/>
        <v>52.22737150058591</v>
      </c>
      <c r="X234" s="157">
        <f t="shared" si="87"/>
        <v>46607</v>
      </c>
      <c r="Y234" s="383">
        <f t="shared" si="88"/>
        <v>50.540593734999646</v>
      </c>
      <c r="Z234" s="383">
        <f t="shared" si="89"/>
        <v>53.661001071038605</v>
      </c>
      <c r="AA234" s="384">
        <f t="shared" si="90"/>
        <v>57.902686645273157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7.3255419048518775E-2</v>
      </c>
      <c r="AD234" s="230">
        <f>(INDEX(Models!$BJ234:$BT234,,AH234)*(1-AF234)+INDEX(Models!$BJ234:$BT234,,AH234+1)*AF234-ERP_i)*AE234*Ramure*Pc/MaxiM</f>
        <v>1.0103084051870073E-3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'2026'!Wh/'2026'!Env_an*'2027'!Env_an</f>
        <v>50.268355878672764</v>
      </c>
      <c r="C235" s="829"/>
      <c r="D235" s="391">
        <f t="shared" si="77"/>
        <v>53.372977963001674</v>
      </c>
      <c r="E235" s="383">
        <f t="shared" si="100"/>
        <v>55.785378206532158</v>
      </c>
      <c r="F235" s="383">
        <f t="shared" si="78"/>
        <v>55.790501391700317</v>
      </c>
      <c r="G235" s="110">
        <f t="shared" si="101"/>
        <v>0.95555481085823912</v>
      </c>
      <c r="H235" s="412" t="b">
        <f>Wh_hp&gt;='2026'!Maxi_hp</f>
        <v>0</v>
      </c>
      <c r="I235" s="388">
        <f>IF(H235,Wh_hp,'2026'!Maxi_hp)</f>
        <v>56.144783633335642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5.8168425349641173E-2</v>
      </c>
      <c r="M235" s="832"/>
      <c r="N235" s="832"/>
      <c r="O235" s="48">
        <f>IF(t&lt;Tnet,'2026'!Resal+('2026'!Salim-'2026'!Resal)*(1-EXP(('2026'!Tnet-t)/('2026'!Tau_j))),Resal+(Salim-Resal)*(1-EXP((Tnet-t)/(Tau_j))))*Salcycl</f>
        <v>4.3244310984128211E-2</v>
      </c>
      <c r="P235" s="169">
        <f>(INDEX(Models!$BJ235:$BT235,,T235)*(1-R235)+INDEX(Models!$BJ235:$BT235,,T235+1)*R235-ERP_i)*Q235*Ramure*Pc/MaxiM</f>
        <v>9.8053901505443963E-5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52.606132439975887</v>
      </c>
      <c r="W235" s="400">
        <f t="shared" si="86"/>
        <v>50.268355878672764</v>
      </c>
      <c r="X235" s="157">
        <f t="shared" si="87"/>
        <v>46608</v>
      </c>
      <c r="Y235" s="383">
        <f t="shared" si="88"/>
        <v>48.647440499276819</v>
      </c>
      <c r="Z235" s="383">
        <f t="shared" si="89"/>
        <v>51.65195328828986</v>
      </c>
      <c r="AA235" s="384">
        <f t="shared" si="90"/>
        <v>55.736437442640543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7.328211743985448E-2</v>
      </c>
      <c r="AD235" s="230">
        <f>(INDEX(Models!$BJ235:$BT235,,AH235)*(1-AF235)+INDEX(Models!$BJ235:$BT235,,AH235+1)*AF235-ERP_i)*AE235*Ramure*Pc/MaxiM</f>
        <v>1.0347432236201123E-3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'2026'!Wh/'2026'!Env_an*'2027'!Env_an</f>
        <v>47.503233102207105</v>
      </c>
      <c r="C236" s="829"/>
      <c r="D236" s="391">
        <f t="shared" si="77"/>
        <v>50.438045173751178</v>
      </c>
      <c r="E236" s="383">
        <f t="shared" si="100"/>
        <v>52.720815815393436</v>
      </c>
      <c r="F236" s="383">
        <f t="shared" si="78"/>
        <v>52.725400149314012</v>
      </c>
      <c r="G236" s="110">
        <f t="shared" si="101"/>
        <v>0.90544142709656672</v>
      </c>
      <c r="H236" s="412" t="b">
        <f>Wh_hp&gt;='2026'!Maxi_hp</f>
        <v>0</v>
      </c>
      <c r="I236" s="388">
        <f>IF(H236,Wh_hp,'2026'!Maxi_hp)</f>
        <v>53.37794367209424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5.8186475336903021E-2</v>
      </c>
      <c r="M236" s="832"/>
      <c r="N236" s="832"/>
      <c r="O236" s="48">
        <f>IF(t&lt;Tnet,'2026'!Resal+('2026'!Salim-'2026'!Resal)*(1-EXP(('2026'!Tnet-t)/('2026'!Tau_j))),Resal+(Salim-Resal)*(1-EXP((Tnet-t)/(Tau_j))))*Salcycl</f>
        <v>4.3299228328248597E-2</v>
      </c>
      <c r="P236" s="169">
        <f>(INDEX(Models!$BJ236:$BT236,,T236)*(1-R236)+INDEX(Models!$BJ236:$BT236,,T236+1)*R236-ERP_i)*Q236*Ramure*Pc/MaxiM</f>
        <v>1.0052485288030822E-4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52.463457766951571</v>
      </c>
      <c r="W236" s="400">
        <f t="shared" si="86"/>
        <v>47.503233102207105</v>
      </c>
      <c r="X236" s="157">
        <f t="shared" si="87"/>
        <v>46609</v>
      </c>
      <c r="Y236" s="383">
        <f t="shared" si="88"/>
        <v>45.974962628735348</v>
      </c>
      <c r="Z236" s="383">
        <f t="shared" si="89"/>
        <v>48.815356145136469</v>
      </c>
      <c r="AA236" s="384">
        <f t="shared" si="90"/>
        <v>52.677037157229499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7.3308622133905363E-2</v>
      </c>
      <c r="AD236" s="230">
        <f>(INDEX(Models!$BJ236:$BT236,,AH236)*(1-AF236)+INDEX(Models!$BJ236:$BT236,,AH236+1)*AF236-ERP_i)*AE236*Ramure*Pc/MaxiM</f>
        <v>1.0604992455568042E-3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'2026'!Wh/'2026'!Env_an*'2027'!Env_an</f>
        <v>45.935734741397233</v>
      </c>
      <c r="C237" s="829"/>
      <c r="D237" s="391">
        <f t="shared" si="77"/>
        <v>48.774639462284469</v>
      </c>
      <c r="E237" s="383">
        <f t="shared" si="100"/>
        <v>50.985044682621407</v>
      </c>
      <c r="F237" s="383">
        <f t="shared" si="78"/>
        <v>50.989386068137691</v>
      </c>
      <c r="G237" s="110">
        <f t="shared" si="101"/>
        <v>0.87798376046600468</v>
      </c>
      <c r="H237" s="412" t="b">
        <f>Wh_hp&gt;='2026'!Maxi_hp</f>
        <v>0</v>
      </c>
      <c r="I237" s="388">
        <f>IF(H237,Wh_hp,'2026'!Maxi_hp)</f>
        <v>51.914944304147305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5.8204524978241023E-2</v>
      </c>
      <c r="M237" s="832"/>
      <c r="N237" s="832"/>
      <c r="O237" s="48">
        <f>IF(t&lt;Tnet,'2026'!Resal+('2026'!Salim-'2026'!Resal)*(1-EXP(('2026'!Tnet-t)/('2026'!Tau_j))),Resal+(Salim-Resal)*(1-EXP((Tnet-t)/(Tau_j))))*Salcycl</f>
        <v>4.3353992020534034E-2</v>
      </c>
      <c r="P237" s="169">
        <f>(INDEX(Models!$BJ237:$BT237,,T237)*(1-R237)+INDEX(Models!$BJ237:$BT237,,T237+1)*R237-ERP_i)*Q237*Ramure*Pc/MaxiM</f>
        <v>1.0311435197634317E-4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52.318631857220453</v>
      </c>
      <c r="W237" s="400">
        <f t="shared" si="86"/>
        <v>45.935734741397233</v>
      </c>
      <c r="X237" s="157">
        <f t="shared" si="87"/>
        <v>46610</v>
      </c>
      <c r="Y237" s="383">
        <f t="shared" si="88"/>
        <v>44.459951592357577</v>
      </c>
      <c r="Z237" s="383">
        <f t="shared" si="89"/>
        <v>47.207650462888864</v>
      </c>
      <c r="AA237" s="384">
        <f t="shared" si="90"/>
        <v>50.943595575770196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7.333493191160266E-2</v>
      </c>
      <c r="AD237" s="230">
        <f>(INDEX(Models!$BJ237:$BT237,,AH237)*(1-AF237)+INDEX(Models!$BJ237:$BT237,,AH237+1)*AF237-ERP_i)*AE237*Ramure*Pc/MaxiM</f>
        <v>1.087592182136755E-3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'2026'!Wh/'2026'!Env_an*'2027'!Env_an</f>
        <v>46.850378711776635</v>
      </c>
      <c r="C238" s="829"/>
      <c r="D238" s="391">
        <f t="shared" si="77"/>
        <v>49.746763334918178</v>
      </c>
      <c r="E238" s="383">
        <f t="shared" si="100"/>
        <v>52.004192552059173</v>
      </c>
      <c r="F238" s="383">
        <f t="shared" si="78"/>
        <v>52.008894431366812</v>
      </c>
      <c r="G238" s="110">
        <f t="shared" si="101"/>
        <v>0.89799400972431853</v>
      </c>
      <c r="H238" s="412" t="b">
        <f>Wh_hp&gt;='2026'!Maxi_hp</f>
        <v>0</v>
      </c>
      <c r="I238" s="388">
        <f>IF(H238,Wh_hp,'2026'!Maxi_hp)</f>
        <v>52.009413751077624</v>
      </c>
      <c r="J238" s="85">
        <f>IF(H238,An,'2026'!An_max)</f>
        <v>2026</v>
      </c>
      <c r="K238" s="197">
        <f t="shared" si="79"/>
        <v>46611</v>
      </c>
      <c r="L238" s="147">
        <f>IF(t&lt;Tvie,1-EXP((T0-t)*PertePVj)+'2026'!Pspv,1-EXP((T0-t)*PertePVj)+Pspv)</f>
        <v>5.8222574273661731E-2</v>
      </c>
      <c r="M238" s="832"/>
      <c r="N238" s="832"/>
      <c r="O238" s="48">
        <f>IF(t&lt;Tnet,'2026'!Resal+('2026'!Salim-'2026'!Resal)*(1-EXP(('2026'!Tnet-t)/('2026'!Tau_j))),Resal+(Salim-Resal)*(1-EXP((Tnet-t)/(Tau_j))))*Salcycl</f>
        <v>4.3408600467763812E-2</v>
      </c>
      <c r="P238" s="169">
        <f>(INDEX(Models!$BJ238:$BT238,,T238)*(1-R238)+INDEX(Models!$BJ238:$BT238,,T238+1)*R238-ERP_i)*Q238*Ramure*Pc/MaxiM</f>
        <v>1.0582420263972483E-4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52.171457445536291</v>
      </c>
      <c r="W238" s="400">
        <f t="shared" si="86"/>
        <v>46.850378711776635</v>
      </c>
      <c r="X238" s="157">
        <f t="shared" si="87"/>
        <v>46611</v>
      </c>
      <c r="Y238" s="383">
        <f t="shared" si="88"/>
        <v>45.344246131988037</v>
      </c>
      <c r="Z238" s="383">
        <f t="shared" si="89"/>
        <v>48.147518610372991</v>
      </c>
      <c r="AA238" s="384">
        <f t="shared" si="90"/>
        <v>51.959307692650619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7.3361044470128464E-2</v>
      </c>
      <c r="AD238" s="230">
        <f>(INDEX(Models!$BJ238:$BT238,,AH238)*(1-AF238)+INDEX(Models!$BJ238:$BT238,,AH238+1)*AF238-ERP_i)*AE238*Ramure*Pc/MaxiM</f>
        <v>1.1160382355245985E-3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'2026'!Wh/'2026'!Env_an*'2027'!Env_an</f>
        <v>35.259508724664805</v>
      </c>
      <c r="C239" s="829"/>
      <c r="D239" s="391">
        <f t="shared" si="77"/>
        <v>37.44003998700866</v>
      </c>
      <c r="E239" s="383">
        <f t="shared" si="100"/>
        <v>39.141237612346089</v>
      </c>
      <c r="F239" s="383">
        <f t="shared" si="78"/>
        <v>39.143533022895859</v>
      </c>
      <c r="G239" s="110">
        <f t="shared" si="101"/>
        <v>0.67775024237189396</v>
      </c>
      <c r="H239" s="412" t="b">
        <f>Wh_hp&gt;='2026'!Maxi_hp</f>
        <v>0</v>
      </c>
      <c r="I239" s="388">
        <f>IF(H239,Wh_hp,'2026'!Maxi_hp)</f>
        <v>49.870847104426645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5.8240623223171806E-2</v>
      </c>
      <c r="M239" s="832"/>
      <c r="N239" s="832"/>
      <c r="O239" s="48">
        <f>IF(t&lt;Tnet,'2026'!Resal+('2026'!Salim-'2026'!Resal)*(1-EXP(('2026'!Tnet-t)/('2026'!Tau_j))),Resal+(Salim-Resal)*(1-EXP((Tnet-t)/(Tau_j))))*Salcycl</f>
        <v>4.3463051480028554E-2</v>
      </c>
      <c r="P239" s="169">
        <f>(INDEX(Models!$BJ239:$BT239,,T239)*(1-R239)+INDEX(Models!$BJ239:$BT239,,T239+1)*R239-ERP_i)*Q239*Ramure*Pc/MaxiM</f>
        <v>1.0865623827259238E-4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52.021737359011333</v>
      </c>
      <c r="W239" s="400">
        <f t="shared" si="86"/>
        <v>35.259508724664805</v>
      </c>
      <c r="X239" s="157">
        <f t="shared" si="87"/>
        <v>46612</v>
      </c>
      <c r="Y239" s="383">
        <f t="shared" si="88"/>
        <v>34.13734409857684</v>
      </c>
      <c r="Z239" s="383">
        <f t="shared" si="89"/>
        <v>36.248478051168348</v>
      </c>
      <c r="AA239" s="384">
        <f t="shared" si="90"/>
        <v>39.119326352765725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7.3386956506075227E-2</v>
      </c>
      <c r="AD239" s="230">
        <f>(INDEX(Models!$BJ239:$BT239,,AH239)*(1-AF239)+INDEX(Models!$BJ239:$BT239,,AH239+1)*AF239-ERP_i)*AE239*Ramure*Pc/MaxiM</f>
        <v>1.14585415567918E-3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'2026'!Wh/'2026'!Env_an*'2027'!Env_an</f>
        <v>33.46934359942717</v>
      </c>
      <c r="C240" s="829"/>
      <c r="D240" s="391">
        <f t="shared" si="77"/>
        <v>35.539847937172489</v>
      </c>
      <c r="E240" s="383">
        <f t="shared" si="100"/>
        <v>37.156813719174814</v>
      </c>
      <c r="F240" s="383">
        <f t="shared" si="78"/>
        <v>37.158860425183185</v>
      </c>
      <c r="G240" s="110">
        <f t="shared" si="101"/>
        <v>0.64522690368750224</v>
      </c>
      <c r="H240" s="412" t="b">
        <f>Wh_hp&gt;='2026'!Maxi_hp</f>
        <v>0</v>
      </c>
      <c r="I240" s="388">
        <f>IF(H240,Wh_hp,'2026'!Maxi_hp)</f>
        <v>56.99494858795164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5.8258671826777908E-2</v>
      </c>
      <c r="M240" s="832"/>
      <c r="N240" s="832"/>
      <c r="O240" s="48">
        <f>IF(t&lt;Tnet,'2026'!Resal+('2026'!Salim-'2026'!Resal)*(1-EXP(('2026'!Tnet-t)/('2026'!Tau_j))),Resal+(Salim-Resal)*(1-EXP((Tnet-t)/(Tau_j))))*Salcycl</f>
        <v>4.3517342316353833E-2</v>
      </c>
      <c r="P240" s="169">
        <f>(INDEX(Models!$BJ240:$BT240,,T240)*(1-R240)+INDEX(Models!$BJ240:$BT240,,T240+1)*R240-ERP_i)*Q240*Ramure*Pc/MaxiM</f>
        <v>1.1167103652942846E-4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51.869271469242385</v>
      </c>
      <c r="W240" s="400">
        <f t="shared" si="86"/>
        <v>33.46934359942717</v>
      </c>
      <c r="X240" s="157">
        <f t="shared" si="87"/>
        <v>46613</v>
      </c>
      <c r="Y240" s="383">
        <f t="shared" si="88"/>
        <v>32.406197871296101</v>
      </c>
      <c r="Z240" s="383">
        <f t="shared" si="89"/>
        <v>34.410933131879467</v>
      </c>
      <c r="AA240" s="384">
        <f t="shared" si="90"/>
        <v>37.137279765645197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7.3412663796873071E-2</v>
      </c>
      <c r="AD240" s="230">
        <f>(INDEX(Models!$BJ240:$BT240,,AH240)*(1-AF240)+INDEX(Models!$BJ240:$BT240,,AH240+1)*AF240-ERP_i)*AE240*Ramure*Pc/MaxiM</f>
        <v>1.1774698514268867E-3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'2026'!Wh/'2026'!Env_an*'2027'!Env_an</f>
        <v>37.915269522720131</v>
      </c>
      <c r="C241" s="829"/>
      <c r="D241" s="391">
        <f t="shared" si="77"/>
        <v>40.261582495997871</v>
      </c>
      <c r="E241" s="383">
        <f t="shared" si="100"/>
        <v>42.095756474963544</v>
      </c>
      <c r="F241" s="383">
        <f t="shared" si="78"/>
        <v>42.098747435906184</v>
      </c>
      <c r="G241" s="110">
        <f t="shared" si="101"/>
        <v>0.73314205789207554</v>
      </c>
      <c r="H241" s="412" t="b">
        <f>Wh_hp&gt;='2026'!Maxi_hp</f>
        <v>0</v>
      </c>
      <c r="I241" s="388">
        <f>IF(H241,Wh_hp,'2026'!Maxi_hp)</f>
        <v>50.673625731633024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5.8276720084486699E-2</v>
      </c>
      <c r="M241" s="832"/>
      <c r="N241" s="832"/>
      <c r="O241" s="48">
        <f>IF(t&lt;Tnet,'2026'!Resal+('2026'!Salim-'2026'!Resal)*(1-EXP(('2026'!Tnet-t)/('2026'!Tau_j))),Resal+(Salim-Resal)*(1-EXP((Tnet-t)/(Tau_j))))*Salcycl</f>
        <v>4.3571469728939174E-2</v>
      </c>
      <c r="P241" s="169">
        <f>(INDEX(Models!$BJ241:$BT241,,T241)*(1-R241)+INDEX(Models!$BJ241:$BT241,,T241+1)*R241-ERP_i)*Q241*Ramure*Pc/MaxiM</f>
        <v>1.1480930276211263E-4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51.713865970835954</v>
      </c>
      <c r="W241" s="400">
        <f t="shared" si="86"/>
        <v>37.915269522720131</v>
      </c>
      <c r="X241" s="157">
        <f t="shared" si="87"/>
        <v>46614</v>
      </c>
      <c r="Y241" s="383">
        <f t="shared" si="88"/>
        <v>36.706374689471957</v>
      </c>
      <c r="Z241" s="383">
        <f t="shared" si="89"/>
        <v>38.977877548875149</v>
      </c>
      <c r="AA241" s="384">
        <f t="shared" si="90"/>
        <v>42.06721658502245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7.3438161279423014E-2</v>
      </c>
      <c r="AD241" s="230">
        <f>(INDEX(Models!$BJ241:$BT241,,AH241)*(1-AF241)+INDEX(Models!$BJ241:$BT241,,AH241+1)*AF241-ERP_i)*AE241*Ramure*Pc/MaxiM</f>
        <v>1.2103250677231319E-3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'2026'!Wh/'2026'!Env_an*'2027'!Env_an</f>
        <v>35.069379565197004</v>
      </c>
      <c r="C242" s="829"/>
      <c r="D242" s="391">
        <f t="shared" si="77"/>
        <v>37.240293855624863</v>
      </c>
      <c r="E242" s="383">
        <f t="shared" si="100"/>
        <v>38.939025591025157</v>
      </c>
      <c r="F242" s="383">
        <f t="shared" si="78"/>
        <v>38.941523113148428</v>
      </c>
      <c r="G242" s="110">
        <f t="shared" si="101"/>
        <v>0.6801913981304436</v>
      </c>
      <c r="H242" s="412" t="b">
        <f>Wh_hp&gt;='2026'!Maxi_hp</f>
        <v>0</v>
      </c>
      <c r="I242" s="388">
        <f>IF(H242,Wh_hp,'2026'!Maxi_hp)</f>
        <v>55.891220971481495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5.8294767996304619E-2</v>
      </c>
      <c r="M242" s="832"/>
      <c r="N242" s="832"/>
      <c r="O242" s="48">
        <f>IF(t&lt;Tnet,'2026'!Resal+('2026'!Salim-'2026'!Resal)*(1-EXP(('2026'!Tnet-t)/('2026'!Tau_j))),Resal+(Salim-Resal)*(1-EXP((Tnet-t)/(Tau_j))))*Salcycl</f>
        <v>4.3625430005413912E-2</v>
      </c>
      <c r="P242" s="169">
        <f>(INDEX(Models!$BJ242:$BT242,,T242)*(1-R242)+INDEX(Models!$BJ242:$BT242,,T242+1)*R242-ERP_i)*Q242*Ramure*Pc/MaxiM</f>
        <v>1.1807290581061859E-4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51.555323954634105</v>
      </c>
      <c r="W242" s="400">
        <f t="shared" si="86"/>
        <v>35.069379565197004</v>
      </c>
      <c r="X242" s="157">
        <f t="shared" si="87"/>
        <v>46615</v>
      </c>
      <c r="Y242" s="383">
        <f t="shared" si="88"/>
        <v>33.954458817689201</v>
      </c>
      <c r="Z242" s="383">
        <f t="shared" si="89"/>
        <v>36.056355708508967</v>
      </c>
      <c r="AA242" s="384">
        <f t="shared" si="90"/>
        <v>38.915200313430667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7.3463443124948735E-2</v>
      </c>
      <c r="AD242" s="230">
        <f>(INDEX(Models!$BJ242:$BT242,,AH242)*(1-AF242)+INDEX(Models!$BJ242:$BT242,,AH242+1)*AF242-ERP_i)*AE242*Ramure*Pc/MaxiM</f>
        <v>1.244437205495148E-3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'2026'!Wh/'2026'!Env_an*'2027'!Env_an</f>
        <v>28.136912504180959</v>
      </c>
      <c r="C243" s="829"/>
      <c r="D243" s="391">
        <f t="shared" si="77"/>
        <v>29.879256051445815</v>
      </c>
      <c r="E243" s="383">
        <f t="shared" si="100"/>
        <v>31.243968180289063</v>
      </c>
      <c r="F243" s="383">
        <f t="shared" si="78"/>
        <v>31.245309939574117</v>
      </c>
      <c r="G243" s="110">
        <f t="shared" si="101"/>
        <v>0.54743754002477463</v>
      </c>
      <c r="H243" s="412" t="b">
        <f>Wh_hp&gt;='2026'!Maxi_hp</f>
        <v>0</v>
      </c>
      <c r="I243" s="388">
        <f>IF(H243,Wh_hp,'2026'!Maxi_hp)</f>
        <v>54.973908818601828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5.831281556223844E-2</v>
      </c>
      <c r="M243" s="832"/>
      <c r="N243" s="832"/>
      <c r="O243" s="48">
        <f>IF(t&lt;Tnet,'2026'!Resal+('2026'!Salim-'2026'!Resal)*(1-EXP(('2026'!Tnet-t)/('2026'!Tau_j))),Resal+(Salim-Resal)*(1-EXP((Tnet-t)/(Tau_j))))*Salcycl</f>
        <v>4.3679219008557542E-2</v>
      </c>
      <c r="P243" s="169">
        <f>(INDEX(Models!$BJ243:$BT243,,T243)*(1-R243)+INDEX(Models!$BJ243:$BT243,,T243+1)*R243-ERP_i)*Q243*Ramure*Pc/MaxiM</f>
        <v>1.214637747957844E-4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51.393448590683924</v>
      </c>
      <c r="W243" s="400">
        <f t="shared" si="86"/>
        <v>28.136912504180959</v>
      </c>
      <c r="X243" s="157">
        <f t="shared" si="87"/>
        <v>46616</v>
      </c>
      <c r="Y243" s="383">
        <f t="shared" si="88"/>
        <v>27.248698193547614</v>
      </c>
      <c r="Z243" s="383">
        <f t="shared" si="89"/>
        <v>28.936040166901677</v>
      </c>
      <c r="AA243" s="384">
        <f t="shared" si="90"/>
        <v>31.231172257047159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7.3488502809163692E-2</v>
      </c>
      <c r="AD243" s="230">
        <f>(INDEX(Models!$BJ243:$BT243,,AH243)*(1-AF243)+INDEX(Models!$BJ243:$BT243,,AH243+1)*AF243-ERP_i)*AE243*Ramure*Pc/MaxiM</f>
        <v>1.2798244109177594E-3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'2026'!Wh/'2026'!Env_an*'2027'!Env_an</f>
        <v>35.69955940285999</v>
      </c>
      <c r="C244" s="829"/>
      <c r="D244" s="391">
        <f t="shared" si="77"/>
        <v>37.910937071102694</v>
      </c>
      <c r="E244" s="383">
        <f t="shared" si="100"/>
        <v>39.644712636988153</v>
      </c>
      <c r="F244" s="383">
        <f t="shared" si="78"/>
        <v>39.647522118670636</v>
      </c>
      <c r="G244" s="110">
        <f t="shared" si="101"/>
        <v>0.69683760965895936</v>
      </c>
      <c r="H244" s="412" t="b">
        <f>Wh_hp&gt;='2026'!Maxi_hp</f>
        <v>0</v>
      </c>
      <c r="I244" s="388">
        <f>IF(H244,Wh_hp,'2026'!Maxi_hp)</f>
        <v>54.287330596628593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5.8330862782294823E-2</v>
      </c>
      <c r="M244" s="832"/>
      <c r="N244" s="832"/>
      <c r="O244" s="48">
        <f>IF(t&lt;Tnet,'2026'!Resal+('2026'!Salim-'2026'!Resal)*(1-EXP(('2026'!Tnet-t)/('2026'!Tau_j))),Resal+(Salim-Resal)*(1-EXP((Tnet-t)/(Tau_j))))*Salcycl</f>
        <v>4.3732832212986253E-2</v>
      </c>
      <c r="P244" s="169">
        <f>(INDEX(Models!$BJ244:$BT244,,T244)*(1-R244)+INDEX(Models!$BJ244:$BT244,,T244+1)*R244-ERP_i)*Q244*Ramure*Pc/MaxiM</f>
        <v>1.2498390575133749E-4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51.228043125113714</v>
      </c>
      <c r="W244" s="400">
        <f t="shared" si="86"/>
        <v>35.69955940285999</v>
      </c>
      <c r="X244" s="157">
        <f t="shared" si="87"/>
        <v>46617</v>
      </c>
      <c r="Y244" s="383">
        <f t="shared" si="88"/>
        <v>34.56442025055857</v>
      </c>
      <c r="Z244" s="383">
        <f t="shared" si="89"/>
        <v>36.705482726856744</v>
      </c>
      <c r="AA244" s="384">
        <f t="shared" si="90"/>
        <v>39.617928720680695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7.3513333176947346E-2</v>
      </c>
      <c r="AD244" s="230">
        <f>(INDEX(Models!$BJ244:$BT244,,AH244)*(1-AF244)+INDEX(Models!$BJ244:$BT244,,AH244+1)*AF244-ERP_i)*AE244*Ramure*Pc/MaxiM</f>
        <v>1.3165056345802392E-3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'2026'!Wh/'2026'!Env_an*'2027'!Env_an</f>
        <v>40.665985239583925</v>
      </c>
      <c r="C245" s="829"/>
      <c r="D245" s="391">
        <f t="shared" si="77"/>
        <v>43.185831415273725</v>
      </c>
      <c r="E245" s="383">
        <f t="shared" si="100"/>
        <v>45.163366539027429</v>
      </c>
      <c r="F245" s="383">
        <f t="shared" si="78"/>
        <v>45.167487189536587</v>
      </c>
      <c r="G245" s="110">
        <f t="shared" si="101"/>
        <v>0.79642247144040546</v>
      </c>
      <c r="H245" s="412" t="b">
        <f>Wh_hp&gt;='2026'!Maxi_hp</f>
        <v>0</v>
      </c>
      <c r="I245" s="388">
        <f>IF(H245,Wh_hp,'2026'!Maxi_hp)</f>
        <v>46.197672752985881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5.834890965648043E-2</v>
      </c>
      <c r="M245" s="832"/>
      <c r="N245" s="832"/>
      <c r="O245" s="48">
        <f>IF(t&lt;Tnet,'2026'!Resal+('2026'!Salim-'2026'!Resal)*(1-EXP(('2026'!Tnet-t)/('2026'!Tau_j))),Resal+(Salim-Resal)*(1-EXP((Tnet-t)/(Tau_j))))*Salcycl</f>
        <v>4.37862647383657E-2</v>
      </c>
      <c r="P245" s="169">
        <f>(INDEX(Models!$BJ245:$BT245,,T245)*(1-R245)+INDEX(Models!$BJ245:$BT245,,T245+1)*R245-ERP_i)*Q245*Ramure*Pc/MaxiM</f>
        <v>1.2863536844963231E-4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51.058910881416601</v>
      </c>
      <c r="W245" s="400">
        <f t="shared" si="86"/>
        <v>40.665985239583925</v>
      </c>
      <c r="X245" s="157">
        <f t="shared" si="87"/>
        <v>46618</v>
      </c>
      <c r="Y245" s="383">
        <f t="shared" si="88"/>
        <v>39.366444301061009</v>
      </c>
      <c r="Z245" s="383">
        <f t="shared" si="89"/>
        <v>41.805765112744581</v>
      </c>
      <c r="AA245" s="384">
        <f t="shared" si="90"/>
        <v>45.12409769225372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7.3537926500828035E-2</v>
      </c>
      <c r="AD245" s="230">
        <f>(INDEX(Models!$BJ245:$BT245,,AH245)*(1-AF245)+INDEX(Models!$BJ245:$BT245,,AH245+1)*AF245-ERP_i)*AE245*Ramure*Pc/MaxiM</f>
        <v>1.3545006928919277E-3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'2026'!Wh/'2026'!Env_an*'2027'!Env_an</f>
        <v>48.836953913862615</v>
      </c>
      <c r="C246" s="829"/>
      <c r="D246" s="391">
        <f t="shared" si="77"/>
        <v>51.864103787172525</v>
      </c>
      <c r="E246" s="383">
        <f t="shared" si="100"/>
        <v>54.242048698289246</v>
      </c>
      <c r="F246" s="383">
        <f t="shared" si="78"/>
        <v>54.248819133919383</v>
      </c>
      <c r="G246" s="110">
        <f t="shared" si="101"/>
        <v>0.95972803519422312</v>
      </c>
      <c r="H246" s="412" t="b">
        <f>Wh_hp&gt;='2026'!Maxi_hp</f>
        <v>0</v>
      </c>
      <c r="I246" s="388">
        <f>IF(H246,Wh_hp,'2026'!Maxi_hp)</f>
        <v>54.249085983170417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5.8366956184801699E-2</v>
      </c>
      <c r="M246" s="832"/>
      <c r="N246" s="832"/>
      <c r="O246" s="48">
        <f>IF(t&lt;Tnet,'2026'!Resal+('2026'!Salim-'2026'!Resal)*(1-EXP(('2026'!Tnet-t)/('2026'!Tau_j))),Resal+(Salim-Resal)*(1-EXP((Tnet-t)/(Tau_j))))*Salcycl</f>
        <v>4.3839511378775037E-2</v>
      </c>
      <c r="P246" s="169">
        <f>(INDEX(Models!$BJ246:$BT246,,T246)*(1-R246)+INDEX(Models!$BJ246:$BT246,,T246+1)*R246-ERP_i)*Q246*Ramure*Pc/MaxiM</f>
        <v>1.3242031346860129E-4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50.885855251062324</v>
      </c>
      <c r="W246" s="400">
        <f t="shared" si="86"/>
        <v>48.836953913862615</v>
      </c>
      <c r="X246" s="157">
        <f t="shared" si="87"/>
        <v>46619</v>
      </c>
      <c r="Y246" s="383">
        <f t="shared" si="88"/>
        <v>47.262568795799631</v>
      </c>
      <c r="Z246" s="383">
        <f t="shared" si="89"/>
        <v>50.192130688518212</v>
      </c>
      <c r="AA246" s="384">
        <f t="shared" si="90"/>
        <v>54.177554852054598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7.3562274532684033E-2</v>
      </c>
      <c r="AD246" s="230">
        <f>(INDEX(Models!$BJ246:$BT246,,AH246)*(1-AF246)+INDEX(Models!$BJ246:$BT246,,AH246+1)*AF246-ERP_i)*AE246*Ramure*Pc/MaxiM</f>
        <v>1.3938303322230667E-3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'2026'!Wh/'2026'!Env_an*'2027'!Env_an</f>
        <v>32.98999806391987</v>
      </c>
      <c r="C247" s="829"/>
      <c r="D247" s="391">
        <f t="shared" si="77"/>
        <v>35.035548655085478</v>
      </c>
      <c r="E247" s="383">
        <f t="shared" si="100"/>
        <v>36.643945473281207</v>
      </c>
      <c r="F247" s="383">
        <f t="shared" si="78"/>
        <v>36.646447742118603</v>
      </c>
      <c r="G247" s="110">
        <f t="shared" si="101"/>
        <v>0.65052830072111778</v>
      </c>
      <c r="H247" s="412" t="b">
        <f>Wh_hp&gt;='2026'!Maxi_hp</f>
        <v>0</v>
      </c>
      <c r="I247" s="388">
        <f>IF(H247,Wh_hp,'2026'!Maxi_hp)</f>
        <v>54.553633144965026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5.8385002367265404E-2</v>
      </c>
      <c r="M247" s="832"/>
      <c r="N247" s="832"/>
      <c r="O247" s="48">
        <f>IF(t&lt;Tnet,'2026'!Resal+('2026'!Salim-'2026'!Resal)*(1-EXP(('2026'!Tnet-t)/('2026'!Tau_j))),Resal+(Salim-Resal)*(1-EXP((Tnet-t)/(Tau_j))))*Salcycl</f>
        <v>4.3892566627916317E-2</v>
      </c>
      <c r="P247" s="169">
        <f>(INDEX(Models!$BJ247:$BT247,,T247)*(1-R247)+INDEX(Models!$BJ247:$BT247,,T247+1)*R247-ERP_i)*Q247*Ramure*Pc/MaxiM</f>
        <v>1.3633965112804652E-4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50.709173806478489</v>
      </c>
      <c r="W247" s="400">
        <f t="shared" si="86"/>
        <v>32.98999806391987</v>
      </c>
      <c r="X247" s="157">
        <f t="shared" si="87"/>
        <v>46620</v>
      </c>
      <c r="Y247" s="383">
        <f t="shared" si="88"/>
        <v>31.94464508815717</v>
      </c>
      <c r="Z247" s="383">
        <f t="shared" si="89"/>
        <v>33.925378385505269</v>
      </c>
      <c r="AA247" s="384">
        <f t="shared" si="90"/>
        <v>36.620120034654427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7.3586368548193323E-2</v>
      </c>
      <c r="AD247" s="230">
        <f>(INDEX(Models!$BJ247:$BT247,,AH247)*(1-AF247)+INDEX(Models!$BJ247:$BT247,,AH247+1)*AF247-ERP_i)*AE247*Ramure*Pc/MaxiM</f>
        <v>1.4345023192630726E-3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'2026'!Wh/'2026'!Env_an*'2027'!Env_an</f>
        <v>26.292935187490194</v>
      </c>
      <c r="C248" s="829"/>
      <c r="D248" s="391">
        <f t="shared" si="77"/>
        <v>27.923768378110935</v>
      </c>
      <c r="E248" s="383">
        <f t="shared" si="100"/>
        <v>29.207295377825979</v>
      </c>
      <c r="F248" s="383">
        <f t="shared" si="78"/>
        <v>29.208586386871943</v>
      </c>
      <c r="G248" s="110">
        <f t="shared" si="101"/>
        <v>0.52030026218547987</v>
      </c>
      <c r="H248" s="412" t="b">
        <f>Wh_hp&gt;='2026'!Maxi_hp</f>
        <v>0</v>
      </c>
      <c r="I248" s="388">
        <f>IF(H248,Wh_hp,'2026'!Maxi_hp)</f>
        <v>56.59830554422004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5.8403048203878094E-2</v>
      </c>
      <c r="M248" s="832"/>
      <c r="N248" s="832"/>
      <c r="O248" s="48">
        <f>IF(t&lt;Tnet,'2026'!Resal+('2026'!Salim-'2026'!Resal)*(1-EXP(('2026'!Tnet-t)/('2026'!Tau_j))),Resal+(Salim-Resal)*(1-EXP((Tnet-t)/(Tau_j))))*Salcycl</f>
        <v>4.3945424699936106E-2</v>
      </c>
      <c r="P248" s="169">
        <f>(INDEX(Models!$BJ248:$BT248,,T248)*(1-R248)+INDEX(Models!$BJ248:$BT248,,T248+1)*R248-ERP_i)*Q248*Ramure*Pc/MaxiM</f>
        <v>1.4041163114178094E-4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50.529294891442092</v>
      </c>
      <c r="W248" s="400">
        <f t="shared" si="86"/>
        <v>26.292935187490194</v>
      </c>
      <c r="X248" s="157">
        <f t="shared" si="87"/>
        <v>46621</v>
      </c>
      <c r="Y248" s="383">
        <f t="shared" si="88"/>
        <v>25.466390360683953</v>
      </c>
      <c r="Z248" s="383">
        <f t="shared" si="89"/>
        <v>27.045956671913729</v>
      </c>
      <c r="AA248" s="384">
        <f t="shared" si="90"/>
        <v>29.195006954869857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7.3610199383688069E-2</v>
      </c>
      <c r="AD248" s="230">
        <f>(INDEX(Models!$BJ248:$BT248,,AH248)*(1-AF248)+INDEX(Models!$BJ248:$BT248,,AH248+1)*AF248-ERP_i)*AE248*Ramure*Pc/MaxiM</f>
        <v>1.4769146686860984E-3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'2026'!Wh/'2026'!Env_an*'2027'!Env_an</f>
        <v>47.684564648940821</v>
      </c>
      <c r="C249" s="829"/>
      <c r="D249" s="391">
        <f t="shared" si="77"/>
        <v>50.643195519374501</v>
      </c>
      <c r="E249" s="383">
        <f t="shared" si="100"/>
        <v>52.973947474193928</v>
      </c>
      <c r="F249" s="383">
        <f t="shared" si="78"/>
        <v>52.981029600029046</v>
      </c>
      <c r="G249" s="110">
        <f t="shared" si="101"/>
        <v>0.94712258865099674</v>
      </c>
      <c r="H249" s="412" t="b">
        <f>Wh_hp&gt;='2026'!Maxi_hp</f>
        <v>0</v>
      </c>
      <c r="I249" s="388">
        <f>IF(H249,Wh_hp,'2026'!Maxi_hp)</f>
        <v>53.920594526150673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5.8421093694646542E-2</v>
      </c>
      <c r="M249" s="832"/>
      <c r="N249" s="832"/>
      <c r="O249" s="48">
        <f>IF(t&lt;Tnet,'2026'!Resal+('2026'!Salim-'2026'!Resal)*(1-EXP(('2026'!Tnet-t)/('2026'!Tau_j))),Resal+(Salim-Resal)*(1-EXP((Tnet-t)/(Tau_j))))*Salcycl</f>
        <v>4.3998079545702055E-2</v>
      </c>
      <c r="P249" s="169">
        <f>(INDEX(Models!$BJ249:$BT249,,T249)*(1-R249)+INDEX(Models!$BJ249:$BT249,,T249+1)*R249-ERP_i)*Q249*Ramure*Pc/MaxiM</f>
        <v>1.445931713854608E-4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50.346221725132168</v>
      </c>
      <c r="W249" s="400">
        <f t="shared" si="86"/>
        <v>47.684564648940821</v>
      </c>
      <c r="X249" s="157">
        <f t="shared" si="87"/>
        <v>46622</v>
      </c>
      <c r="Y249" s="383">
        <f t="shared" si="88"/>
        <v>46.147582143064376</v>
      </c>
      <c r="Z249" s="383">
        <f t="shared" si="89"/>
        <v>49.010849578334479</v>
      </c>
      <c r="AA249" s="384">
        <f t="shared" si="90"/>
        <v>52.906558257376538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7.363375746519854E-2</v>
      </c>
      <c r="AD249" s="230">
        <f>(INDEX(Models!$BJ249:$BT249,,AH249)*(1-AF249)+INDEX(Models!$BJ249:$BT249,,AH249+1)*AF249-ERP_i)*AE249*Ramure*Pc/MaxiM</f>
        <v>1.5204541492416714E-3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'2026'!Wh/'2026'!Env_an*'2027'!Env_an</f>
        <v>45.461033532057193</v>
      </c>
      <c r="C250" s="829"/>
      <c r="D250" s="391">
        <f t="shared" si="77"/>
        <v>48.282628778801332</v>
      </c>
      <c r="E250" s="383">
        <f t="shared" si="100"/>
        <v>50.507511154766085</v>
      </c>
      <c r="F250" s="383">
        <f t="shared" si="78"/>
        <v>50.514025477132392</v>
      </c>
      <c r="G250" s="110">
        <f t="shared" si="101"/>
        <v>0.90630319263161752</v>
      </c>
      <c r="H250" s="412" t="b">
        <f>Wh_hp&gt;='2026'!Maxi_hp</f>
        <v>0</v>
      </c>
      <c r="I250" s="388">
        <f>IF(H250,Wh_hp,'2026'!Maxi_hp)</f>
        <v>53.710943273979339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5.8439138839577187E-2</v>
      </c>
      <c r="M250" s="832"/>
      <c r="N250" s="832"/>
      <c r="O250" s="48">
        <f>IF(t&lt;Tnet,'2026'!Resal+('2026'!Salim-'2026'!Resal)*(1-EXP(('2026'!Tnet-t)/('2026'!Tau_j))),Resal+(Salim-Resal)*(1-EXP((Tnet-t)/(Tau_j))))*Salcycl</f>
        <v>4.4050524864454842E-2</v>
      </c>
      <c r="P250" s="169">
        <f>(INDEX(Models!$BJ250:$BT250,,T250)*(1-R250)+INDEX(Models!$BJ250:$BT250,,T250+1)*R250-ERP_i)*Q250*Ramure*Pc/MaxiM</f>
        <v>1.4888553829770678E-4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50.159955277149585</v>
      </c>
      <c r="W250" s="400">
        <f t="shared" si="86"/>
        <v>45.461033532057193</v>
      </c>
      <c r="X250" s="157">
        <f t="shared" si="87"/>
        <v>46623</v>
      </c>
      <c r="Y250" s="383">
        <f t="shared" si="88"/>
        <v>43.999021902278571</v>
      </c>
      <c r="Z250" s="383">
        <f t="shared" si="89"/>
        <v>46.729875589828744</v>
      </c>
      <c r="AA250" s="384">
        <f t="shared" si="90"/>
        <v>50.445544734440624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7.3657032829602717E-2</v>
      </c>
      <c r="AD250" s="230">
        <f>(INDEX(Models!$BJ250:$BT250,,AH250)*(1-AF250)+INDEX(Models!$BJ250:$BT250,,AH250+1)*AF250-ERP_i)*AE250*Ramure*Pc/MaxiM</f>
        <v>1.5651347393283407E-3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'2026'!Wh/'2026'!Env_an*'2027'!Env_an</f>
        <v>31.873895940714707</v>
      </c>
      <c r="C251" s="829"/>
      <c r="D251" s="391">
        <f t="shared" si="77"/>
        <v>33.852837477847523</v>
      </c>
      <c r="E251" s="383">
        <f t="shared" si="100"/>
        <v>35.414724358116544</v>
      </c>
      <c r="F251" s="383">
        <f t="shared" si="78"/>
        <v>35.41734472100152</v>
      </c>
      <c r="G251" s="110">
        <f t="shared" si="101"/>
        <v>0.63780370860996083</v>
      </c>
      <c r="H251" s="412" t="b">
        <f>Wh_hp&gt;='2026'!Maxi_hp</f>
        <v>0</v>
      </c>
      <c r="I251" s="388">
        <f>IF(H251,Wh_hp,'2026'!Maxi_hp)</f>
        <v>50.59926404911738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5.8457183638676802E-2</v>
      </c>
      <c r="M251" s="832"/>
      <c r="N251" s="832"/>
      <c r="O251" s="48">
        <f>IF(t&lt;Tnet,'2026'!Resal+('2026'!Salim-'2026'!Resal)*(1-EXP(('2026'!Tnet-t)/('2026'!Tau_j))),Resal+(Salim-Resal)*(1-EXP((Tnet-t)/(Tau_j))))*Salcycl</f>
        <v>4.4102754110835155E-2</v>
      </c>
      <c r="P251" s="169">
        <f>(INDEX(Models!$BJ251:$BT251,,T251)*(1-R251)+INDEX(Models!$BJ251:$BT251,,T251+1)*R251-ERP_i)*Q251*Ramure*Pc/MaxiM</f>
        <v>1.5329007395155093E-4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49.970496520069347</v>
      </c>
      <c r="W251" s="400">
        <f t="shared" si="86"/>
        <v>31.873895940714707</v>
      </c>
      <c r="X251" s="157">
        <f t="shared" si="87"/>
        <v>46624</v>
      </c>
      <c r="Y251" s="383">
        <f t="shared" si="88"/>
        <v>30.865925004797937</v>
      </c>
      <c r="Z251" s="383">
        <f t="shared" si="89"/>
        <v>32.782285062810075</v>
      </c>
      <c r="AA251" s="384">
        <f t="shared" si="90"/>
        <v>35.389806544756119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7.3680015137929947E-2</v>
      </c>
      <c r="AD251" s="230">
        <f>(INDEX(Models!$BJ251:$BT251,,AH251)*(1-AF251)+INDEX(Models!$BJ251:$BT251,,AH251+1)*AF251-ERP_i)*AE251*Ramure*Pc/MaxiM</f>
        <v>1.6109711740119397E-3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'2026'!Wh/'2026'!Env_an*'2027'!Env_an</f>
        <v>42.329629184987226</v>
      </c>
      <c r="C252" s="829"/>
      <c r="D252" s="391">
        <f t="shared" si="77"/>
        <v>44.958593175625182</v>
      </c>
      <c r="E252" s="383">
        <f t="shared" si="100"/>
        <v>47.035431383242475</v>
      </c>
      <c r="F252" s="383">
        <f t="shared" si="78"/>
        <v>47.041268058776701</v>
      </c>
      <c r="G252" s="110">
        <f t="shared" si="101"/>
        <v>0.85034215332389229</v>
      </c>
      <c r="H252" s="412" t="b">
        <f>Wh_hp&gt;='2026'!Maxi_hp</f>
        <v>0</v>
      </c>
      <c r="I252" s="388">
        <f>IF(H252,Wh_hp,'2026'!Maxi_hp)</f>
        <v>53.844483293966427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5.8475228091951936E-2</v>
      </c>
      <c r="M252" s="832"/>
      <c r="N252" s="832"/>
      <c r="O252" s="48">
        <f>IF(t&lt;Tnet,'2026'!Resal+('2026'!Salim-'2026'!Resal)*(1-EXP(('2026'!Tnet-t)/('2026'!Tau_j))),Resal+(Salim-Resal)*(1-EXP((Tnet-t)/(Tau_j))))*Salcycl</f>
        <v>4.4154760497364505E-2</v>
      </c>
      <c r="P252" s="169">
        <f>(INDEX(Models!$BJ252:$BT252,,T252)*(1-R252)+INDEX(Models!$BJ252:$BT252,,T252+1)*R252-ERP_i)*Q252*Ramure*Pc/MaxiM</f>
        <v>1.5780805008517134E-4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49.777846437481088</v>
      </c>
      <c r="W252" s="400">
        <f t="shared" si="86"/>
        <v>42.329629184987226</v>
      </c>
      <c r="X252" s="157">
        <f t="shared" si="87"/>
        <v>46625</v>
      </c>
      <c r="Y252" s="383">
        <f t="shared" si="88"/>
        <v>40.972707901908258</v>
      </c>
      <c r="Z252" s="383">
        <f t="shared" si="89"/>
        <v>43.5173976557993</v>
      </c>
      <c r="AA252" s="384">
        <f t="shared" si="90"/>
        <v>46.979946242888708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7.3702693680998577E-2</v>
      </c>
      <c r="AD252" s="230">
        <f>(INDEX(Models!$BJ252:$BT252,,AH252)*(1-AF252)+INDEX(Models!$BJ252:$BT252,,AH252+1)*AF252-ERP_i)*AE252*Ramure*Pc/MaxiM</f>
        <v>1.6579774113211576E-3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'2026'!Wh/'2026'!Env_an*'2027'!Env_an</f>
        <v>48.139728605053989</v>
      </c>
      <c r="C253" s="829"/>
      <c r="D253" s="391">
        <f t="shared" si="77"/>
        <v>51.130520030919932</v>
      </c>
      <c r="E253" s="383">
        <f t="shared" si="100"/>
        <v>53.495364856372404</v>
      </c>
      <c r="F253" s="383">
        <f t="shared" si="78"/>
        <v>53.503694872280462</v>
      </c>
      <c r="G253" s="110">
        <f t="shared" si="101"/>
        <v>0.97090471858234373</v>
      </c>
      <c r="H253" s="412" t="b">
        <f>Wh_hp&gt;='2026'!Maxi_hp</f>
        <v>0</v>
      </c>
      <c r="I253" s="388">
        <f>IF(H253,Wh_hp,'2026'!Maxi_hp)</f>
        <v>53.503927104775158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5.8493272199409141E-2</v>
      </c>
      <c r="M253" s="832"/>
      <c r="N253" s="832"/>
      <c r="O253" s="48">
        <f>IF(t&lt;Tnet,'2026'!Resal+('2026'!Salim-'2026'!Resal)*(1-EXP(('2026'!Tnet-t)/('2026'!Tau_j))),Resal+(Salim-Resal)*(1-EXP((Tnet-t)/(Tau_j))))*Salcycl</f>
        <v>4.4206536992536682E-2</v>
      </c>
      <c r="P253" s="169">
        <f>(INDEX(Models!$BJ253:$BT253,,T253)*(1-R253)+INDEX(Models!$BJ253:$BT253,,T253+1)*R253-ERP_i)*Q253*Ramure*Pc/MaxiM</f>
        <v>1.6244075771186967E-4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49.582006016183662</v>
      </c>
      <c r="W253" s="400">
        <f t="shared" si="86"/>
        <v>48.139728605053989</v>
      </c>
      <c r="X253" s="157">
        <f t="shared" si="87"/>
        <v>46626</v>
      </c>
      <c r="Y253" s="383">
        <f t="shared" si="88"/>
        <v>46.5839541180802</v>
      </c>
      <c r="Z253" s="383">
        <f t="shared" si="89"/>
        <v>49.478089473564104</v>
      </c>
      <c r="AA253" s="384">
        <f t="shared" si="90"/>
        <v>53.416202033373168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7.3725057377696537E-2</v>
      </c>
      <c r="AD253" s="230">
        <f>(INDEX(Models!$BJ253:$BT253,,AH253)*(1-AF253)+INDEX(Models!$BJ253:$BT253,,AH253+1)*AF253-ERP_i)*AE253*Ramure*Pc/MaxiM</f>
        <v>1.7061675755882086E-3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'2026'!Wh/'2026'!Env_an*'2027'!Env_an</f>
        <v>47.093611505378639</v>
      </c>
      <c r="C254" s="829"/>
      <c r="D254" s="391">
        <f t="shared" si="77"/>
        <v>50.020369127910421</v>
      </c>
      <c r="E254" s="383">
        <f t="shared" si="100"/>
        <v>52.336690364106722</v>
      </c>
      <c r="F254" s="383">
        <f t="shared" si="78"/>
        <v>52.34486245097235</v>
      </c>
      <c r="G254" s="110">
        <f t="shared" si="101"/>
        <v>0.9536300503791697</v>
      </c>
      <c r="H254" s="412" t="b">
        <f>Wh_hp&gt;='2026'!Maxi_hp</f>
        <v>0</v>
      </c>
      <c r="I254" s="388">
        <f>IF(H254,Wh_hp,'2026'!Maxi_hp)</f>
        <v>54.734917062438733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5.8511315961055299E-2</v>
      </c>
      <c r="M254" s="832"/>
      <c r="N254" s="832"/>
      <c r="O254" s="48">
        <f>IF(t&lt;Tnet,'2026'!Resal+('2026'!Salim-'2026'!Resal)*(1-EXP(('2026'!Tnet-t)/('2026'!Tau_j))),Resal+(Salim-Resal)*(1-EXP((Tnet-t)/(Tau_j))))*Salcycl</f>
        <v>4.4258076314754272E-2</v>
      </c>
      <c r="P254" s="169">
        <f>(INDEX(Models!$BJ254:$BT254,,T254)*(1-R254)+INDEX(Models!$BJ254:$BT254,,T254+1)*R254-ERP_i)*Q254*Ramure*Pc/MaxiM</f>
        <v>1.6719293581438316E-4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49.382976078550982</v>
      </c>
      <c r="W254" s="400">
        <f t="shared" si="86"/>
        <v>47.093611505378639</v>
      </c>
      <c r="X254" s="157">
        <f t="shared" si="87"/>
        <v>46627</v>
      </c>
      <c r="Y254" s="383">
        <f t="shared" si="88"/>
        <v>45.572823051150088</v>
      </c>
      <c r="Z254" s="383">
        <f t="shared" si="89"/>
        <v>48.405067234206896</v>
      </c>
      <c r="AA254" s="384">
        <f t="shared" si="90"/>
        <v>52.259017986017597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7.3747094766339866E-2</v>
      </c>
      <c r="AD254" s="230">
        <f>(INDEX(Models!$BJ254:$BT254,,AH254)*(1-AF254)+INDEX(Models!$BJ254:$BT254,,AH254+1)*AF254-ERP_i)*AE254*Ramure*Pc/MaxiM</f>
        <v>1.7562941210974305E-3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'2026'!Wh/'2026'!Env_an*'2027'!Env_an</f>
        <v>32.225483729997364</v>
      </c>
      <c r="C255" s="829"/>
      <c r="D255" s="391">
        <f t="shared" si="77"/>
        <v>34.228878033487312</v>
      </c>
      <c r="E255" s="383">
        <f t="shared" si="100"/>
        <v>35.815856085692197</v>
      </c>
      <c r="F255" s="383">
        <f t="shared" si="78"/>
        <v>35.818982756484978</v>
      </c>
      <c r="G255" s="110">
        <f t="shared" si="101"/>
        <v>0.65519022338642807</v>
      </c>
      <c r="H255" s="412" t="b">
        <f>Wh_hp&gt;='2026'!Maxi_hp</f>
        <v>0</v>
      </c>
      <c r="I255" s="388">
        <f>IF(H255,Wh_hp,'2026'!Maxi_hp)</f>
        <v>54.247939934538053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5.852935937689685E-2</v>
      </c>
      <c r="M255" s="832"/>
      <c r="N255" s="832"/>
      <c r="O255" s="48">
        <f>IF(t&lt;Tnet,'2026'!Resal+('2026'!Salim-'2026'!Resal)*(1-EXP(('2026'!Tnet-t)/('2026'!Tau_j))),Resal+(Salim-Resal)*(1-EXP((Tnet-t)/(Tau_j))))*Salcycl</f>
        <v>4.4309370922418198E-2</v>
      </c>
      <c r="P255" s="169">
        <f>(INDEX(Models!$BJ255:$BT255,,T255)*(1-R255)+INDEX(Models!$BJ255:$BT255,,T255+1)*R255-ERP_i)*Q255*Ramure*Pc/MaxiM</f>
        <v>1.7200381321474598E-4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49.180760680649612</v>
      </c>
      <c r="W255" s="400">
        <f t="shared" si="86"/>
        <v>32.225483729997364</v>
      </c>
      <c r="X255" s="157">
        <f t="shared" si="87"/>
        <v>46628</v>
      </c>
      <c r="Y255" s="383">
        <f t="shared" si="88"/>
        <v>31.206192304462974</v>
      </c>
      <c r="Z255" s="383">
        <f t="shared" si="89"/>
        <v>33.146219284978933</v>
      </c>
      <c r="AA255" s="384">
        <f t="shared" si="90"/>
        <v>35.786118055505298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7.3768793989663933E-2</v>
      </c>
      <c r="AD255" s="230">
        <f>(INDEX(Models!$BJ255:$BT255,,AH255)*(1-AF255)+INDEX(Models!$BJ255:$BT255,,AH255+1)*AF255-ERP_i)*AE255*Ramure*Pc/MaxiM</f>
        <v>1.8079466190448381E-3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'2026'!Wh/'2026'!Env_an*'2027'!Env_an</f>
        <v>46.784723034803967</v>
      </c>
      <c r="C256" s="829"/>
      <c r="D256" s="391">
        <f t="shared" si="77"/>
        <v>49.69418869989066</v>
      </c>
      <c r="E256" s="383">
        <f t="shared" si="100"/>
        <v>52.000973354318795</v>
      </c>
      <c r="F256" s="383">
        <f t="shared" si="78"/>
        <v>52.009584684821647</v>
      </c>
      <c r="G256" s="110">
        <f t="shared" si="101"/>
        <v>0.95525981635927526</v>
      </c>
      <c r="H256" s="412" t="b">
        <f>Wh_hp&gt;='2026'!Maxi_hp</f>
        <v>0</v>
      </c>
      <c r="I256" s="388">
        <f>IF(H256,Wh_hp,'2026'!Maxi_hp)</f>
        <v>52.905760781813107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5.8547402446940344E-2</v>
      </c>
      <c r="M256" s="832"/>
      <c r="N256" s="832"/>
      <c r="O256" s="48">
        <f>IF(t&lt;Tnet,'2026'!Resal+('2026'!Salim-'2026'!Resal)*(1-EXP(('2026'!Tnet-t)/('2026'!Tau_j))),Resal+(Salim-Resal)*(1-EXP((Tnet-t)/(Tau_j))))*Salcycl</f>
        <v>4.4360413000549132E-2</v>
      </c>
      <c r="P256" s="169">
        <f>(INDEX(Models!$BJ256:$BT256,,T256)*(1-R256)+INDEX(Models!$BJ256:$BT256,,T256+1)*R256-ERP_i)*Q256*Ramure*Pc/MaxiM</f>
        <v>1.7687409034798958E-4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48.97536081856007</v>
      </c>
      <c r="W256" s="400">
        <f t="shared" si="86"/>
        <v>46.784723034803967</v>
      </c>
      <c r="X256" s="157">
        <f t="shared" si="87"/>
        <v>46629</v>
      </c>
      <c r="Y256" s="383">
        <f t="shared" si="88"/>
        <v>45.272444719049609</v>
      </c>
      <c r="Z256" s="383">
        <f t="shared" si="89"/>
        <v>48.087864260736808</v>
      </c>
      <c r="AA256" s="384">
        <f t="shared" si="90"/>
        <v>51.918972666481928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7.379014277411583E-2</v>
      </c>
      <c r="AD256" s="230">
        <f>(INDEX(Models!$BJ256:$BT256,,AH256)*(1-AF256)+INDEX(Models!$BJ256:$BT256,,AH256+1)*AF256-ERP_i)*AE256*Ramure*Pc/MaxiM</f>
        <v>1.8611430966591935E-3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'2026'!Wh/'2026'!Env_an*'2027'!Env_an</f>
        <v>24.166172885948395</v>
      </c>
      <c r="C257" s="829"/>
      <c r="D257" s="391">
        <f t="shared" si="77"/>
        <v>25.669519736656394</v>
      </c>
      <c r="E257" s="383">
        <f t="shared" si="100"/>
        <v>26.862516165340818</v>
      </c>
      <c r="F257" s="383">
        <f t="shared" si="78"/>
        <v>26.863880509072033</v>
      </c>
      <c r="G257" s="110">
        <f t="shared" si="101"/>
        <v>0.49548089461678618</v>
      </c>
      <c r="H257" s="412" t="b">
        <f>Wh_hp&gt;='2026'!Maxi_hp</f>
        <v>0</v>
      </c>
      <c r="I257" s="388">
        <f>IF(H257,Wh_hp,'2026'!Maxi_hp)</f>
        <v>52.429420207764473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5.8565445171192665E-2</v>
      </c>
      <c r="M257" s="832"/>
      <c r="N257" s="832"/>
      <c r="O257" s="48">
        <f>IF(t&lt;Tnet,'2026'!Resal+('2026'!Salim-'2026'!Resal)*(1-EXP(('2026'!Tnet-t)/('2026'!Tau_j))),Resal+(Salim-Resal)*(1-EXP((Tnet-t)/(Tau_j))))*Salcycl</f>
        <v>4.4411194444386438E-2</v>
      </c>
      <c r="P257" s="169">
        <f>(INDEX(Models!$BJ257:$BT257,,T257)*(1-R257)+INDEX(Models!$BJ257:$BT257,,T257+1)*R257-ERP_i)*Q257*Ramure*Pc/MaxiM</f>
        <v>1.8180446681584207E-4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48.766777496269775</v>
      </c>
      <c r="W257" s="400">
        <f t="shared" si="86"/>
        <v>24.166172885948395</v>
      </c>
      <c r="X257" s="157">
        <f t="shared" si="87"/>
        <v>46630</v>
      </c>
      <c r="Y257" s="383">
        <f t="shared" si="88"/>
        <v>23.411322072995038</v>
      </c>
      <c r="Z257" s="383">
        <f t="shared" si="89"/>
        <v>24.867710615585178</v>
      </c>
      <c r="AA257" s="384">
        <f t="shared" si="90"/>
        <v>26.849502707519402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7.3811128404222118E-2</v>
      </c>
      <c r="AD257" s="230">
        <f>(INDEX(Models!$BJ257:$BT257,,AH257)*(1-AF257)+INDEX(Models!$BJ257:$BT257,,AH257+1)*AF257-ERP_i)*AE257*Ramure*Pc/MaxiM</f>
        <v>1.9159017522157192E-3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'2026'!Wh/'2026'!Env_an*'2027'!Env_an</f>
        <v>39.559025003196354</v>
      </c>
      <c r="C258" s="829"/>
      <c r="D258" s="391">
        <f t="shared" si="77"/>
        <v>42.020746906415781</v>
      </c>
      <c r="E258" s="383">
        <f t="shared" si="100"/>
        <v>43.975994690356515</v>
      </c>
      <c r="F258" s="383">
        <f t="shared" si="78"/>
        <v>43.982035846093432</v>
      </c>
      <c r="G258" s="110">
        <f t="shared" si="101"/>
        <v>0.81468560116944344</v>
      </c>
      <c r="H258" s="412" t="b">
        <f>Wh_hp&gt;='2026'!Maxi_hp</f>
        <v>0</v>
      </c>
      <c r="I258" s="388">
        <f>IF(H258,Wh_hp,'2026'!Maxi_hp)</f>
        <v>47.872949450269061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5.858348754966014E-2</v>
      </c>
      <c r="M258" s="832"/>
      <c r="N258" s="832"/>
      <c r="O258" s="48">
        <f>IF(t&lt;Tnet,'2026'!Resal+('2026'!Salim-'2026'!Resal)*(1-EXP(('2026'!Tnet-t)/('2026'!Tau_j))),Resal+(Salim-Resal)*(1-EXP((Tnet-t)/(Tau_j))))*Salcycl</f>
        <v>4.4461706840470891E-2</v>
      </c>
      <c r="P258" s="169">
        <f>(INDEX(Models!$BJ258:$BT258,,T258)*(1-R258)+INDEX(Models!$BJ258:$BT258,,T258+1)*R258-ERP_i)*Q258*Ramure*Pc/MaxiM</f>
        <v>1.8679563894264699E-4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48.555011721263099</v>
      </c>
      <c r="W258" s="400">
        <f t="shared" si="86"/>
        <v>39.559025003196354</v>
      </c>
      <c r="X258" s="157">
        <f t="shared" si="87"/>
        <v>46631</v>
      </c>
      <c r="Y258" s="383">
        <f t="shared" si="88"/>
        <v>38.292766964753149</v>
      </c>
      <c r="Z258" s="383">
        <f t="shared" si="89"/>
        <v>40.675690789705698</v>
      </c>
      <c r="AA258" s="384">
        <f t="shared" si="90"/>
        <v>43.918251623503032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7.3831737692901911E-2</v>
      </c>
      <c r="AD258" s="230">
        <f>(INDEX(Models!$BJ258:$BT258,,AH258)*(1-AF258)+INDEX(Models!$BJ258:$BT258,,AH258+1)*AF258-ERP_i)*AE258*Ramure*Pc/MaxiM</f>
        <v>1.9722409307241723E-3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'2026'!Wh/'2026'!Env_an*'2027'!Env_an</f>
        <v>38.073441789604367</v>
      </c>
      <c r="C259" s="829"/>
      <c r="D259" s="391">
        <f t="shared" si="77"/>
        <v>40.443492300038606</v>
      </c>
      <c r="E259" s="383">
        <f t="shared" si="100"/>
        <v>42.327574832525571</v>
      </c>
      <c r="F259" s="383">
        <f t="shared" si="78"/>
        <v>42.333232271831207</v>
      </c>
      <c r="G259" s="110">
        <f t="shared" si="101"/>
        <v>0.78757084241218367</v>
      </c>
      <c r="H259" s="412" t="b">
        <f>Wh_hp&gt;='2026'!Maxi_hp</f>
        <v>0</v>
      </c>
      <c r="I259" s="388">
        <f>IF(H259,Wh_hp,'2026'!Maxi_hp)</f>
        <v>52.448101483562709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5.8601529582349654E-2</v>
      </c>
      <c r="M259" s="832"/>
      <c r="N259" s="832"/>
      <c r="O259" s="48">
        <f>IF(t&lt;Tnet,'2026'!Resal+('2026'!Salim-'2026'!Resal)*(1-EXP(('2026'!Tnet-t)/('2026'!Tau_j))),Resal+(Salim-Resal)*(1-EXP((Tnet-t)/(Tau_j))))*Salcycl</f>
        <v>4.4511941445773209E-2</v>
      </c>
      <c r="P259" s="169">
        <f>(INDEX(Models!$BJ259:$BT259,,T259)*(1-R259)+INDEX(Models!$BJ259:$BT259,,T259+1)*R259-ERP_i)*Q259*Ramure*Pc/MaxiM</f>
        <v>1.9184829701523077E-4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48.340064507842484</v>
      </c>
      <c r="W259" s="400">
        <f t="shared" si="86"/>
        <v>38.073441789604367</v>
      </c>
      <c r="X259" s="157">
        <f t="shared" si="87"/>
        <v>46632</v>
      </c>
      <c r="Y259" s="383">
        <f t="shared" si="88"/>
        <v>36.85706185660969</v>
      </c>
      <c r="Z259" s="383">
        <f t="shared" si="89"/>
        <v>39.151393394826847</v>
      </c>
      <c r="AA259" s="384">
        <f t="shared" si="90"/>
        <v>42.273364057259499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7.3851956948681213E-2</v>
      </c>
      <c r="AD259" s="230">
        <f>(INDEX(Models!$BJ259:$BT259,,AH259)*(1-AF259)+INDEX(Models!$BJ259:$BT259,,AH259+1)*AF259-ERP_i)*AE259*Ramure*Pc/MaxiM</f>
        <v>2.0301790952469362E-3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'2026'!Wh/'2026'!Env_an*'2027'!Env_an</f>
        <v>37.172928642866637</v>
      </c>
      <c r="C260" s="829"/>
      <c r="D260" s="391">
        <f t="shared" si="77"/>
        <v>39.48767948467664</v>
      </c>
      <c r="E260" s="383">
        <f t="shared" si="100"/>
        <v>41.329395422782945</v>
      </c>
      <c r="F260" s="383">
        <f t="shared" si="78"/>
        <v>41.334890594565856</v>
      </c>
      <c r="G260" s="110">
        <f t="shared" si="101"/>
        <v>0.77242419805200602</v>
      </c>
      <c r="H260" s="412" t="b">
        <f>Wh_hp&gt;='2026'!Maxi_hp</f>
        <v>0</v>
      </c>
      <c r="I260" s="388">
        <f>IF(H260,Wh_hp,'2026'!Maxi_hp)</f>
        <v>55.043508007448153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5.8619571269267756E-2</v>
      </c>
      <c r="M260" s="832"/>
      <c r="N260" s="832"/>
      <c r="O260" s="48">
        <f>IF(t&lt;Tnet,'2026'!Resal+('2026'!Salim-'2026'!Resal)*(1-EXP(('2026'!Tnet-t)/('2026'!Tau_j))),Resal+(Salim-Resal)*(1-EXP((Tnet-t)/(Tau_j))))*Salcycl</f>
        <v>4.4561889165478832E-2</v>
      </c>
      <c r="P260" s="169">
        <f>(INDEX(Models!$BJ260:$BT260,,T260)*(1-R260)+INDEX(Models!$BJ260:$BT260,,T260+1)*R260-ERP_i)*Q260*Ramure*Pc/MaxiM</f>
        <v>1.9696312225251977E-4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48.121936875408657</v>
      </c>
      <c r="W260" s="400">
        <f t="shared" si="86"/>
        <v>37.172928642866637</v>
      </c>
      <c r="X260" s="157">
        <f t="shared" si="87"/>
        <v>46633</v>
      </c>
      <c r="Y260" s="383">
        <f t="shared" si="88"/>
        <v>35.986538767656988</v>
      </c>
      <c r="Z260" s="383">
        <f t="shared" si="89"/>
        <v>38.227413348902751</v>
      </c>
      <c r="AA260" s="384">
        <f t="shared" si="90"/>
        <v>41.276588047655046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7.3871771940838049E-2</v>
      </c>
      <c r="AD260" s="230">
        <f>(INDEX(Models!$BJ260:$BT260,,AH260)*(1-AF260)+INDEX(Models!$BJ260:$BT260,,AH260+1)*AF260-ERP_i)*AE260*Ramure*Pc/MaxiM</f>
        <v>2.0897347941938901E-3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'2026'!Wh/'2026'!Env_an*'2027'!Env_an</f>
        <v>44.928434114486301</v>
      </c>
      <c r="C261" s="829"/>
      <c r="D261" s="391">
        <f t="shared" si="77"/>
        <v>47.727033410665527</v>
      </c>
      <c r="E261" s="383">
        <f t="shared" si="100"/>
        <v>49.955631070890313</v>
      </c>
      <c r="F261" s="383">
        <f t="shared" si="78"/>
        <v>49.964835726735195</v>
      </c>
      <c r="G261" s="110">
        <f t="shared" si="101"/>
        <v>0.93793399107358943</v>
      </c>
      <c r="H261" s="412" t="b">
        <f>Wh_hp&gt;='2026'!Maxi_hp</f>
        <v>0</v>
      </c>
      <c r="I261" s="388">
        <f>IF(H261,Wh_hp,'2026'!Maxi_hp)</f>
        <v>53.392231312994895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5.8637612610420997E-2</v>
      </c>
      <c r="M261" s="832"/>
      <c r="N261" s="832"/>
      <c r="O261" s="48">
        <f>IF(t&lt;Tnet,'2026'!Resal+('2026'!Salim-'2026'!Resal)*(1-EXP(('2026'!Tnet-t)/('2026'!Tau_j))),Resal+(Salim-Resal)*(1-EXP((Tnet-t)/(Tau_j))))*Salcycl</f>
        <v>4.4611540530080762E-2</v>
      </c>
      <c r="P261" s="169">
        <f>(INDEX(Models!$BJ261:$BT261,,T261)*(1-R261)+INDEX(Models!$BJ261:$BT261,,T261+1)*R261-ERP_i)*Q261*Ramure*Pc/MaxiM</f>
        <v>2.0214078346681943E-4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47.900629853822167</v>
      </c>
      <c r="W261" s="400">
        <f t="shared" si="86"/>
        <v>44.928434114486301</v>
      </c>
      <c r="X261" s="157">
        <f t="shared" si="87"/>
        <v>46634</v>
      </c>
      <c r="Y261" s="383">
        <f t="shared" si="88"/>
        <v>43.4741564630041</v>
      </c>
      <c r="Z261" s="383">
        <f t="shared" si="89"/>
        <v>46.182168573315323</v>
      </c>
      <c r="AA261" s="384">
        <f t="shared" si="90"/>
        <v>49.866891417910537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7.3891167863569349E-2</v>
      </c>
      <c r="AD261" s="230">
        <f>(INDEX(Models!$BJ261:$BT261,,AH261)*(1-AF261)+INDEX(Models!$BJ261:$BT261,,AH261+1)*AF261-ERP_i)*AE261*Ramure*Pc/MaxiM</f>
        <v>2.1509266240457739E-3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'2026'!Wh/'2026'!Env_an*'2027'!Env_an</f>
        <v>39.272120003367405</v>
      </c>
      <c r="C262" s="829"/>
      <c r="D262" s="391">
        <f t="shared" si="77"/>
        <v>41.719186133957372</v>
      </c>
      <c r="E262" s="383">
        <f t="shared" si="100"/>
        <v>43.669504899654008</v>
      </c>
      <c r="F262" s="383">
        <f t="shared" si="78"/>
        <v>43.676285674938306</v>
      </c>
      <c r="G262" s="110">
        <f t="shared" si="101"/>
        <v>0.82368389501201345</v>
      </c>
      <c r="H262" s="412" t="b">
        <f>Wh_hp&gt;='2026'!Maxi_hp</f>
        <v>0</v>
      </c>
      <c r="I262" s="388">
        <f>IF(H262,Wh_hp,'2026'!Maxi_hp)</f>
        <v>53.427461866974461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5.8655653605816038E-2</v>
      </c>
      <c r="M262" s="832"/>
      <c r="N262" s="832"/>
      <c r="O262" s="48">
        <f>IF(t&lt;Tnet,'2026'!Resal+('2026'!Salim-'2026'!Resal)*(1-EXP(('2026'!Tnet-t)/('2026'!Tau_j))),Resal+(Salim-Resal)*(1-EXP((Tnet-t)/(Tau_j))))*Salcycl</f>
        <v>4.4660885672465817E-2</v>
      </c>
      <c r="P262" s="169">
        <f>(INDEX(Models!$BJ262:$BT262,,T262)*(1-R262)+INDEX(Models!$BJ262:$BT262,,T262+1)*R262-ERP_i)*Q262*Ramure*Pc/MaxiM</f>
        <v>2.0750414503149911E-4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47.67613865002626</v>
      </c>
      <c r="W262" s="400">
        <f t="shared" si="86"/>
        <v>39.272120003367405</v>
      </c>
      <c r="X262" s="157">
        <f t="shared" si="87"/>
        <v>46635</v>
      </c>
      <c r="Y262" s="383">
        <f t="shared" si="88"/>
        <v>38.012550397694284</v>
      </c>
      <c r="Z262" s="383">
        <f t="shared" si="89"/>
        <v>40.381132094011313</v>
      </c>
      <c r="AA262" s="384">
        <f t="shared" si="90"/>
        <v>43.60390213911149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7.3910129300318872E-2</v>
      </c>
      <c r="AD262" s="230">
        <f>(INDEX(Models!$BJ262:$BT262,,AH262)*(1-AF262)+INDEX(Models!$BJ262:$BT262,,AH262+1)*AF262-ERP_i)*AE262*Ramure*Pc/MaxiM</f>
        <v>2.2150687917469633E-3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'2026'!Wh/'2026'!Env_an*'2027'!Env_an</f>
        <v>44.443324958803814</v>
      </c>
      <c r="C263" s="829"/>
      <c r="D263" s="391">
        <f t="shared" si="77"/>
        <v>47.213516383834019</v>
      </c>
      <c r="E263" s="383">
        <f t="shared" si="100"/>
        <v>49.42322451668668</v>
      </c>
      <c r="F263" s="383">
        <f t="shared" si="78"/>
        <v>49.432802687993814</v>
      </c>
      <c r="G263" s="110">
        <f t="shared" si="101"/>
        <v>0.93664711691455338</v>
      </c>
      <c r="H263" s="412" t="b">
        <f>Wh_hp&gt;='2026'!Maxi_hp</f>
        <v>0</v>
      </c>
      <c r="I263" s="388">
        <f>IF(H263,Wh_hp,'2026'!Maxi_hp)</f>
        <v>54.427802265876565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5.8673694255459541E-2</v>
      </c>
      <c r="M263" s="832"/>
      <c r="N263" s="832"/>
      <c r="O263" s="48">
        <f>IF(t&lt;Tnet,'2026'!Resal+('2026'!Salim-'2026'!Resal)*(1-EXP(('2026'!Tnet-t)/('2026'!Tau_j))),Resal+(Salim-Resal)*(1-EXP((Tnet-t)/(Tau_j))))*Salcycl</f>
        <v>4.4709914305704569E-2</v>
      </c>
      <c r="P263" s="169">
        <f>(INDEX(Models!$BJ263:$BT263,,T263)*(1-R263)+INDEX(Models!$BJ263:$BT263,,T263+1)*R263-ERP_i)*Q263*Ramure*Pc/MaxiM</f>
        <v>2.1303664352852582E-4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47.448465207791486</v>
      </c>
      <c r="W263" s="400">
        <f t="shared" si="86"/>
        <v>44.443324958803814</v>
      </c>
      <c r="X263" s="157">
        <f t="shared" si="87"/>
        <v>46636</v>
      </c>
      <c r="Y263" s="383">
        <f t="shared" si="88"/>
        <v>43.002890038536883</v>
      </c>
      <c r="Z263" s="383">
        <f t="shared" si="89"/>
        <v>45.683297891610309</v>
      </c>
      <c r="AA263" s="384">
        <f t="shared" si="90"/>
        <v>49.330213495594272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7.3928640189438344E-2</v>
      </c>
      <c r="AD263" s="230">
        <f>(INDEX(Models!$BJ263:$BT263,,AH263)*(1-AF263)+INDEX(Models!$BJ263:$BT263,,AH263+1)*AF263-ERP_i)*AE263*Ramure*Pc/MaxiM</f>
        <v>2.2817776494376773E-3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'2026'!Wh/'2026'!Env_an*'2027'!Env_an</f>
        <v>35.380789571935637</v>
      </c>
      <c r="C264" s="829"/>
      <c r="D264" s="391">
        <f t="shared" si="77"/>
        <v>37.586825560671464</v>
      </c>
      <c r="E264" s="383">
        <f t="shared" si="100"/>
        <v>39.347986988968714</v>
      </c>
      <c r="F264" s="383">
        <f t="shared" si="78"/>
        <v>39.353512386664342</v>
      </c>
      <c r="G264" s="110">
        <f t="shared" si="101"/>
        <v>0.74925471981049641</v>
      </c>
      <c r="H264" s="412" t="b">
        <f>Wh_hp&gt;='2026'!Maxi_hp</f>
        <v>0</v>
      </c>
      <c r="I264" s="388">
        <f>IF(H264,Wh_hp,'2026'!Maxi_hp)</f>
        <v>49.351657913110358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5.8691734559358055E-2</v>
      </c>
      <c r="M264" s="832"/>
      <c r="N264" s="832"/>
      <c r="O264" s="48">
        <f>IF(t&lt;Tnet,'2026'!Resal+('2026'!Salim-'2026'!Resal)*(1-EXP(('2026'!Tnet-t)/('2026'!Tau_j))),Resal+(Salim-Resal)*(1-EXP((Tnet-t)/(Tau_j))))*Salcycl</f>
        <v>4.4758615702271985E-2</v>
      </c>
      <c r="P264" s="169">
        <f>(INDEX(Models!$BJ264:$BT264,,T264)*(1-R264)+INDEX(Models!$BJ264:$BT264,,T264+1)*R264-ERP_i)*Q264*Ramure*Pc/MaxiM</f>
        <v>2.1874024075614187E-4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47.217610587834876</v>
      </c>
      <c r="W264" s="400">
        <f t="shared" si="86"/>
        <v>35.380789571935637</v>
      </c>
      <c r="X264" s="157">
        <f t="shared" si="87"/>
        <v>46637</v>
      </c>
      <c r="Y264" s="383">
        <f t="shared" si="88"/>
        <v>34.252752241703</v>
      </c>
      <c r="Z264" s="383">
        <f t="shared" si="89"/>
        <v>36.388453707743359</v>
      </c>
      <c r="AA264" s="384">
        <f t="shared" si="90"/>
        <v>39.294123859694579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7.3946683792374082E-2</v>
      </c>
      <c r="AD264" s="230">
        <f>(INDEX(Models!$BJ264:$BT264,,AH264)*(1-AF264)+INDEX(Models!$BJ264:$BT264,,AH264+1)*AF264-ERP_i)*AE264*Ramure*Pc/MaxiM</f>
        <v>2.3510815697122957E-3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'2026'!Wh/'2026'!Env_an*'2027'!Env_an</f>
        <v>34.38681308771767</v>
      </c>
      <c r="C265" s="829"/>
      <c r="D265" s="391">
        <f t="shared" si="77"/>
        <v>36.531573532585931</v>
      </c>
      <c r="E265" s="383">
        <f t="shared" si="100"/>
        <v>38.245226584599152</v>
      </c>
      <c r="F265" s="383">
        <f t="shared" si="78"/>
        <v>38.250527550544788</v>
      </c>
      <c r="G265" s="110">
        <f t="shared" si="101"/>
        <v>0.73182710547719931</v>
      </c>
      <c r="H265" s="412" t="b">
        <f>Wh_hp&gt;='2026'!Maxi_hp</f>
        <v>0</v>
      </c>
      <c r="I265" s="388">
        <f>IF(H265,Wh_hp,'2026'!Maxi_hp)</f>
        <v>48.219770599083176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5.8709774517518354E-2</v>
      </c>
      <c r="M265" s="832"/>
      <c r="N265" s="832"/>
      <c r="O265" s="48">
        <f>IF(t&lt;Tnet,'2026'!Resal+('2026'!Salim-'2026'!Resal)*(1-EXP(('2026'!Tnet-t)/('2026'!Tau_j))),Resal+(Salim-Resal)*(1-EXP((Tnet-t)/(Tau_j))))*Salcycl</f>
        <v>4.4806978675432554E-2</v>
      </c>
      <c r="P265" s="169">
        <f>(INDEX(Models!$BJ265:$BT265,,T265)*(1-R265)+INDEX(Models!$BJ265:$BT265,,T265+1)*R265-ERP_i)*Q265*Ramure*Pc/MaxiM</f>
        <v>2.2461688299215993E-4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46.983575865075679</v>
      </c>
      <c r="W265" s="400">
        <f t="shared" si="86"/>
        <v>34.38681308771767</v>
      </c>
      <c r="X265" s="157">
        <f t="shared" si="87"/>
        <v>46638</v>
      </c>
      <c r="Y265" s="383">
        <f t="shared" si="88"/>
        <v>33.29193171449284</v>
      </c>
      <c r="Z265" s="383">
        <f t="shared" si="89"/>
        <v>35.368402659687916</v>
      </c>
      <c r="AA265" s="384">
        <f t="shared" si="90"/>
        <v>38.193344457340544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7.3964242665574928E-2</v>
      </c>
      <c r="AD265" s="230">
        <f>(INDEX(Models!$BJ265:$BT265,,AH265)*(1-AF265)+INDEX(Models!$BJ265:$BT265,,AH265+1)*AF265-ERP_i)*AE265*Ramure*Pc/MaxiM</f>
        <v>2.4230089925338688E-3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'2026'!Wh/'2026'!Env_an*'2027'!Env_an</f>
        <v>23.031228431689055</v>
      </c>
      <c r="C266" s="829"/>
      <c r="D266" s="391">
        <f t="shared" si="77"/>
        <v>24.468191855048207</v>
      </c>
      <c r="E266" s="383">
        <f t="shared" si="100"/>
        <v>25.617253546769149</v>
      </c>
      <c r="F266" s="383">
        <f t="shared" si="78"/>
        <v>25.618880211875659</v>
      </c>
      <c r="G266" s="110">
        <f t="shared" si="101"/>
        <v>0.49260256679898817</v>
      </c>
      <c r="H266" s="412" t="b">
        <f>Wh_hp&gt;='2026'!Maxi_hp</f>
        <v>0</v>
      </c>
      <c r="I266" s="388">
        <f>IF(H266,Wh_hp,'2026'!Maxi_hp)</f>
        <v>50.375328728188094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5.8727814129946876E-2</v>
      </c>
      <c r="M266" s="832"/>
      <c r="N266" s="832"/>
      <c r="O266" s="48">
        <f>IF(t&lt;Tnet,'2026'!Resal+('2026'!Salim-'2026'!Resal)*(1-EXP(('2026'!Tnet-t)/('2026'!Tau_j))),Resal+(Salim-Resal)*(1-EXP((Tnet-t)/(Tau_j))))*Salcycl</f>
        <v>4.4854991563522288E-2</v>
      </c>
      <c r="P266" s="169">
        <f>(INDEX(Models!$BJ266:$BT266,,T266)*(1-R266)+INDEX(Models!$BJ266:$BT266,,T266+1)*R266-ERP_i)*Q266*Ramure*Pc/MaxiM</f>
        <v>2.3066849636222623E-4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46.746362124624262</v>
      </c>
      <c r="W266" s="400">
        <f t="shared" si="86"/>
        <v>23.031228431689055</v>
      </c>
      <c r="X266" s="157">
        <f t="shared" si="87"/>
        <v>46639</v>
      </c>
      <c r="Y266" s="383">
        <f t="shared" si="88"/>
        <v>22.314977207229145</v>
      </c>
      <c r="Z266" s="383">
        <f t="shared" si="89"/>
        <v>23.707252314698511</v>
      </c>
      <c r="AA266" s="384">
        <f t="shared" si="90"/>
        <v>25.60126731761661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7.398129863730607E-2</v>
      </c>
      <c r="AD266" s="230">
        <f>(INDEX(Models!$BJ266:$BT266,,AH266)*(1-AF266)+INDEX(Models!$BJ266:$BT266,,AH266+1)*AF266-ERP_i)*AE266*Ramure*Pc/MaxiM</f>
        <v>2.4975883598083492E-3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'2026'!Wh/'2026'!Env_an*'2027'!Env_an</f>
        <v>45.558934315938913</v>
      </c>
      <c r="C267" s="829"/>
      <c r="D267" s="391">
        <f t="shared" si="77"/>
        <v>48.402373025760205</v>
      </c>
      <c r="E267" s="383">
        <f t="shared" si="100"/>
        <v>50.677946736399946</v>
      </c>
      <c r="F267" s="383">
        <f t="shared" si="78"/>
        <v>50.689605619083316</v>
      </c>
      <c r="G267" s="110">
        <f t="shared" si="101"/>
        <v>0.97962949308073133</v>
      </c>
      <c r="H267" s="412" t="b">
        <f>Wh_hp&gt;='2026'!Maxi_hp</f>
        <v>0</v>
      </c>
      <c r="I267" s="388">
        <f>IF(H267,Wh_hp,'2026'!Maxi_hp)</f>
        <v>50.689828871694885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5.8745853396650394E-2</v>
      </c>
      <c r="M267" s="832"/>
      <c r="N267" s="832"/>
      <c r="O267" s="48">
        <f>IF(t&lt;Tnet,'2026'!Resal+('2026'!Salim-'2026'!Resal)*(1-EXP(('2026'!Tnet-t)/('2026'!Tau_j))),Resal+(Salim-Resal)*(1-EXP((Tnet-t)/(Tau_j))))*Salcycl</f>
        <v>4.4902642217848364E-2</v>
      </c>
      <c r="P267" s="169">
        <f>(INDEX(Models!$BJ267:$BT267,,T267)*(1-R267)+INDEX(Models!$BJ267:$BT267,,T267+1)*R267-ERP_i)*Q267*Ramure*Pc/MaxiM</f>
        <v>2.3689698184595928E-4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46.50597046339476</v>
      </c>
      <c r="W267" s="400">
        <f t="shared" si="86"/>
        <v>45.558934315938913</v>
      </c>
      <c r="X267" s="157">
        <f t="shared" si="87"/>
        <v>46640</v>
      </c>
      <c r="Y267" s="383">
        <f t="shared" si="88"/>
        <v>44.07078101269552</v>
      </c>
      <c r="Z267" s="383">
        <f t="shared" si="89"/>
        <v>46.821340624879312</v>
      </c>
      <c r="AA267" s="384">
        <f t="shared" si="90"/>
        <v>50.562884497318663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7.3997832790527615E-2</v>
      </c>
      <c r="AD267" s="230">
        <f>(INDEX(Models!$BJ267:$BT267,,AH267)*(1-AF267)+INDEX(Models!$BJ267:$BT267,,AH267+1)*AF267-ERP_i)*AE267*Ramure*Pc/MaxiM</f>
        <v>2.5748480448298658E-3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'2026'!Wh/'2026'!Env_an*'2027'!Env_an</f>
        <v>44.999798358768018</v>
      </c>
      <c r="C268" s="829"/>
      <c r="D268" s="391">
        <f t="shared" si="77"/>
        <v>47.809256350749706</v>
      </c>
      <c r="E268" s="383">
        <f t="shared" si="100"/>
        <v>50.059423324037496</v>
      </c>
      <c r="F268" s="383">
        <f t="shared" si="78"/>
        <v>50.071136599824094</v>
      </c>
      <c r="G268" s="110">
        <f t="shared" si="101"/>
        <v>0.97269866258306026</v>
      </c>
      <c r="H268" s="412" t="b">
        <f>Wh_hp&gt;='2026'!Maxi_hp</f>
        <v>0</v>
      </c>
      <c r="I268" s="388">
        <f>IF(H268,Wh_hp,'2026'!Maxi_hp)</f>
        <v>50.07144038380455</v>
      </c>
      <c r="J268" s="85">
        <f>IF(H268,An,'2026'!An_max)</f>
        <v>2026</v>
      </c>
      <c r="K268" s="197">
        <f t="shared" si="79"/>
        <v>46641</v>
      </c>
      <c r="L268" s="147">
        <f>IF(t&lt;Tvie,1-EXP((T0-t)*PertePVj)+'2026'!Pspv,1-EXP((T0-t)*PertePVj)+Pspv)</f>
        <v>5.8763892317635458E-2</v>
      </c>
      <c r="M268" s="832"/>
      <c r="N268" s="832"/>
      <c r="O268" s="48">
        <f>IF(t&lt;Tnet,'2026'!Resal+('2026'!Salim-'2026'!Resal)*(1-EXP(('2026'!Tnet-t)/('2026'!Tau_j))),Resal+(Salim-Resal)*(1-EXP((Tnet-t)/(Tau_j))))*Salcycl</f>
        <v>4.4949917994906462E-2</v>
      </c>
      <c r="P268" s="169">
        <f>(INDEX(Models!$BJ268:$BT268,,T268)*(1-R268)+INDEX(Models!$BJ268:$BT268,,T268+1)*R268-ERP_i)*Q268*Ramure*Pc/MaxiM</f>
        <v>2.4342346120599567E-4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46.262396471941472</v>
      </c>
      <c r="W268" s="400">
        <f t="shared" si="86"/>
        <v>44.999798358768018</v>
      </c>
      <c r="X268" s="157">
        <f t="shared" si="87"/>
        <v>46641</v>
      </c>
      <c r="Y268" s="383">
        <f t="shared" si="88"/>
        <v>43.529182021161994</v>
      </c>
      <c r="Z268" s="383">
        <f t="shared" si="89"/>
        <v>46.246825494556596</v>
      </c>
      <c r="AA268" s="384">
        <f t="shared" si="90"/>
        <v>49.943321796546932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7.4013825452954027E-2</v>
      </c>
      <c r="AD268" s="230">
        <f>(INDEX(Models!$BJ268:$BT268,,AH268)*(1-AF268)+INDEX(Models!$BJ268:$BT268,,AH268+1)*AF268-ERP_i)*AE268*Ramure*Pc/MaxiM</f>
        <v>2.6562272052616789E-3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'2026'!Wh/'2026'!Env_an*'2027'!Env_an</f>
        <v>32.664085384230958</v>
      </c>
      <c r="C269" s="829"/>
      <c r="D269" s="391">
        <f t="shared" si="77"/>
        <v>34.70405685604667</v>
      </c>
      <c r="E269" s="383">
        <f t="shared" si="100"/>
        <v>36.339205004891518</v>
      </c>
      <c r="F269" s="383">
        <f t="shared" si="78"/>
        <v>36.344530166975602</v>
      </c>
      <c r="G269" s="110">
        <f t="shared" si="101"/>
        <v>0.70977379978647059</v>
      </c>
      <c r="H269" s="412" t="b">
        <f>Wh_hp&gt;='2026'!Maxi_hp</f>
        <v>0</v>
      </c>
      <c r="I269" s="388">
        <f>IF(H269,Wh_hp,'2026'!Maxi_hp)</f>
        <v>50.716513586551613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5.8781930892908729E-2</v>
      </c>
      <c r="M269" s="832"/>
      <c r="N269" s="832"/>
      <c r="O269" s="48">
        <f>IF(t&lt;Tnet,'2026'!Resal+('2026'!Salim-'2026'!Resal)*(1-EXP(('2026'!Tnet-t)/('2026'!Tau_j))),Resal+(Salim-Resal)*(1-EXP((Tnet-t)/(Tau_j))))*Salcycl</f>
        <v>4.4996805753586146E-2</v>
      </c>
      <c r="P269" s="169">
        <f>(INDEX(Models!$BJ269:$BT269,,T269)*(1-R269)+INDEX(Models!$BJ269:$BT269,,T269+1)*R269-ERP_i)*Q269*Ramure*Pc/MaxiM</f>
        <v>2.5024740536911723E-4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46.01564146513121</v>
      </c>
      <c r="W269" s="400">
        <f t="shared" si="86"/>
        <v>32.664085384230958</v>
      </c>
      <c r="X269" s="157">
        <f t="shared" si="87"/>
        <v>46642</v>
      </c>
      <c r="Y269" s="383">
        <f t="shared" si="88"/>
        <v>31.624891740158901</v>
      </c>
      <c r="Z269" s="383">
        <f t="shared" si="89"/>
        <v>33.599962408457159</v>
      </c>
      <c r="AA269" s="384">
        <f t="shared" si="90"/>
        <v>36.286203028835502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7.40292561953554E-2</v>
      </c>
      <c r="AD269" s="230">
        <f>(INDEX(Models!$BJ269:$BT269,,AH269)*(1-AF269)+INDEX(Models!$BJ269:$BT269,,AH269+1)*AF269-ERP_i)*AE269*Ramure*Pc/MaxiM</f>
        <v>2.7409898049478069E-3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'2026'!Wh/'2026'!Env_an*'2027'!Env_an</f>
        <v>13.86584568285001</v>
      </c>
      <c r="C270" s="829"/>
      <c r="D270" s="391">
        <f t="shared" si="77"/>
        <v>14.732092252400646</v>
      </c>
      <c r="E270" s="383">
        <f t="shared" si="100"/>
        <v>15.42697394216319</v>
      </c>
      <c r="F270" s="383">
        <f t="shared" si="78"/>
        <v>15.426990814299209</v>
      </c>
      <c r="G270" s="110">
        <f t="shared" si="101"/>
        <v>0.30289693296964976</v>
      </c>
      <c r="H270" s="412" t="b">
        <f>Wh_hp&gt;='2026'!Maxi_hp</f>
        <v>0</v>
      </c>
      <c r="I270" s="388">
        <f>IF(H270,Wh_hp,'2026'!Maxi_hp)</f>
        <v>48.946025733501244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5.8799969122476758E-2</v>
      </c>
      <c r="M270" s="832"/>
      <c r="N270" s="832"/>
      <c r="O270" s="48">
        <f>IF(t&lt;Tnet,'2026'!Resal+('2026'!Salim-'2026'!Resal)*(1-EXP(('2026'!Tnet-t)/('2026'!Tau_j))),Resal+(Salim-Resal)*(1-EXP((Tnet-t)/(Tau_j))))*Salcycl</f>
        <v>4.5043291857995237E-2</v>
      </c>
      <c r="P270" s="169">
        <f>(INDEX(Models!$BJ270:$BT270,,T270)*(1-R270)+INDEX(Models!$BJ270:$BT270,,T270+1)*R270-ERP_i)*Q270*Ramure*Pc/MaxiM</f>
        <v>2.5737205820166052E-4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45.765706593862781</v>
      </c>
      <c r="W270" s="400">
        <f t="shared" si="86"/>
        <v>13.86584568285001</v>
      </c>
      <c r="X270" s="157">
        <f t="shared" si="87"/>
        <v>46643</v>
      </c>
      <c r="Y270" s="383">
        <f t="shared" si="88"/>
        <v>13.444610778306476</v>
      </c>
      <c r="Z270" s="383">
        <f t="shared" si="89"/>
        <v>14.284541369778175</v>
      </c>
      <c r="AA270" s="384">
        <f t="shared" si="90"/>
        <v>15.426805346780613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7.4044103839089118E-2</v>
      </c>
      <c r="AD270" s="230">
        <f>(INDEX(Models!$BJ270:$BT270,,AH270)*(1-AF270)+INDEX(Models!$BJ270:$BT270,,AH270+1)*AF270-ERP_i)*AE270*Ramure*Pc/MaxiM</f>
        <v>2.8291709439828929E-3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'2026'!Wh/'2026'!Env_an*'2027'!Env_an</f>
        <v>34.771536312460654</v>
      </c>
      <c r="C271" s="829"/>
      <c r="D271" s="391">
        <f t="shared" ref="D271:D334" si="102">Wh/(1-Ppv)</f>
        <v>36.944540557837804</v>
      </c>
      <c r="E271" s="383">
        <f t="shared" si="100"/>
        <v>38.689003028001451</v>
      </c>
      <c r="F271" s="383">
        <f t="shared" ref="F271:F334" si="103">Wh_sa/(1-Pvg*MEDIAN((-Sdif+Wh/Env_an)/Csdif,0,1))</f>
        <v>38.695795079765112</v>
      </c>
      <c r="G271" s="110">
        <f t="shared" si="101"/>
        <v>0.7639299188341756</v>
      </c>
      <c r="H271" s="412" t="b">
        <f>Wh_hp&gt;='2026'!Maxi_hp</f>
        <v>0</v>
      </c>
      <c r="I271" s="388">
        <f>IF(H271,Wh_hp,'2026'!Maxi_hp)</f>
        <v>48.424336454195235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5.8818007006346318E-2</v>
      </c>
      <c r="M271" s="832"/>
      <c r="N271" s="832"/>
      <c r="O271" s="48">
        <f>IF(t&lt;Tnet,'2026'!Resal+('2026'!Salim-'2026'!Resal)*(1-EXP(('2026'!Tnet-t)/('2026'!Tau_j))),Resal+(Salim-Resal)*(1-EXP((Tnet-t)/(Tau_j))))*Salcycl</f>
        <v>4.5089362186486827E-2</v>
      </c>
      <c r="P271" s="169">
        <f>(INDEX(Models!$BJ271:$BT271,,T271)*(1-R271)+INDEX(Models!$BJ271:$BT271,,T271+1)*R271-ERP_i)*Q271*Ramure*Pc/MaxiM</f>
        <v>2.6480063063719788E-4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45.512593020122253</v>
      </c>
      <c r="W271" s="400">
        <f t="shared" ref="W271:W334" si="111">Wh*(A271&gt;Tmaj)</f>
        <v>34.771536312460654</v>
      </c>
      <c r="X271" s="157">
        <f t="shared" ref="X271:X334" si="112">t</f>
        <v>46644</v>
      </c>
      <c r="Y271" s="383">
        <f t="shared" ref="Y271:Y334" si="113">Wh_pvt_s*(1-Ppv)</f>
        <v>33.657307165027056</v>
      </c>
      <c r="Z271" s="383">
        <f t="shared" ref="Z271:Z334" si="114">Wh_sa_s*(1-Psa_s)</f>
        <v>35.760679035063099</v>
      </c>
      <c r="AA271" s="384">
        <f t="shared" ref="AA271:AA334" si="115">Wh_hp*(1-Pvg_s*MEDIAN((-Sdif+Wh/Env_an)/Csdif,0,1))</f>
        <v>38.620877351047881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7.4058346473767411E-2</v>
      </c>
      <c r="AD271" s="230">
        <f>(INDEX(Models!$BJ271:$BT271,,AH271)*(1-AF271)+INDEX(Models!$BJ271:$BT271,,AH271+1)*AF271-ERP_i)*AE271*Ramure*Pc/MaxiM</f>
        <v>2.920805450330701E-3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'2026'!Wh/'2026'!Env_an*'2027'!Env_an</f>
        <v>39.824771553746764</v>
      </c>
      <c r="C272" s="829"/>
      <c r="D272" s="391">
        <f t="shared" si="102"/>
        <v>42.314382444101973</v>
      </c>
      <c r="E272" s="383">
        <f t="shared" si="100"/>
        <v>44.314518323808784</v>
      </c>
      <c r="F272" s="383">
        <f t="shared" si="103"/>
        <v>44.32452720656255</v>
      </c>
      <c r="G272" s="110">
        <f t="shared" si="101"/>
        <v>0.879941766095927</v>
      </c>
      <c r="H272" s="412" t="b">
        <f>Wh_hp&gt;='2026'!Maxi_hp</f>
        <v>0</v>
      </c>
      <c r="I272" s="388">
        <f>IF(H272,Wh_hp,'2026'!Maxi_hp)</f>
        <v>49.537413864977964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5.8836044544523958E-2</v>
      </c>
      <c r="M272" s="832"/>
      <c r="N272" s="832"/>
      <c r="O272" s="48">
        <f>IF(t&lt;Tnet,'2026'!Resal+('2026'!Salim-'2026'!Resal)*(1-EXP(('2026'!Tnet-t)/('2026'!Tau_j))),Resal+(Salim-Resal)*(1-EXP((Tnet-t)/(Tau_j))))*Salcycl</f>
        <v>4.5135002147415955E-2</v>
      </c>
      <c r="P272" s="169">
        <f>(INDEX(Models!$BJ272:$BT272,,T272)*(1-R272)+INDEX(Models!$BJ272:$BT272,,T272+1)*R272-ERP_i)*Q272*Ramure*Pc/MaxiM</f>
        <v>2.7253629336076036E-4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45.256301915712832</v>
      </c>
      <c r="W272" s="400">
        <f t="shared" si="111"/>
        <v>39.824771553746764</v>
      </c>
      <c r="X272" s="157">
        <f t="shared" si="112"/>
        <v>46645</v>
      </c>
      <c r="Y272" s="383">
        <f t="shared" si="113"/>
        <v>38.530091808250013</v>
      </c>
      <c r="Z272" s="383">
        <f t="shared" si="114"/>
        <v>40.938766922500115</v>
      </c>
      <c r="AA272" s="384">
        <f t="shared" si="115"/>
        <v>44.213767398377833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7.4071961485866783E-2</v>
      </c>
      <c r="AD272" s="230">
        <f>(INDEX(Models!$BJ272:$BT272,,AH272)*(1-AF272)+INDEX(Models!$BJ272:$BT272,,AH272+1)*AF272-ERP_i)*AE272*Ramure*Pc/MaxiM</f>
        <v>3.0159277832135147E-3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'2026'!Wh/'2026'!Env_an*'2027'!Env_an</f>
        <v>31.820749537012713</v>
      </c>
      <c r="C273" s="829"/>
      <c r="D273" s="391">
        <f t="shared" si="102"/>
        <v>33.810643938978508</v>
      </c>
      <c r="E273" s="383">
        <f t="shared" si="100"/>
        <v>35.41049716626933</v>
      </c>
      <c r="F273" s="383">
        <f t="shared" si="103"/>
        <v>35.416277444273739</v>
      </c>
      <c r="G273" s="110">
        <f t="shared" si="101"/>
        <v>0.70709449737768437</v>
      </c>
      <c r="H273" s="412" t="b">
        <f>Wh_hp&gt;='2026'!Maxi_hp</f>
        <v>0</v>
      </c>
      <c r="I273" s="388">
        <f>IF(H273,Wh_hp,'2026'!Maxi_hp)</f>
        <v>43.865326468567289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5.8854081737016228E-2</v>
      </c>
      <c r="M273" s="832"/>
      <c r="N273" s="832"/>
      <c r="O273" s="48">
        <f>IF(t&lt;Tnet,'2026'!Resal+('2026'!Salim-'2026'!Resal)*(1-EXP(('2026'!Tnet-t)/('2026'!Tau_j))),Resal+(Salim-Resal)*(1-EXP((Tnet-t)/(Tau_j))))*Salcycl</f>
        <v>4.5180196702089288E-2</v>
      </c>
      <c r="P273" s="169">
        <f>(INDEX(Models!$BJ273:$BT273,,T273)*(1-R273)+INDEX(Models!$BJ273:$BT273,,T273+1)*R273-ERP_i)*Q273*Ramure*Pc/MaxiM</f>
        <v>2.8058216934479679E-4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44.996834459301759</v>
      </c>
      <c r="W273" s="400">
        <f t="shared" si="111"/>
        <v>31.820749537012713</v>
      </c>
      <c r="X273" s="157">
        <f t="shared" si="112"/>
        <v>46646</v>
      </c>
      <c r="Y273" s="383">
        <f t="shared" si="113"/>
        <v>30.806581437537627</v>
      </c>
      <c r="Z273" s="383">
        <f t="shared" si="114"/>
        <v>32.733055352771942</v>
      </c>
      <c r="AA273" s="384">
        <f t="shared" si="115"/>
        <v>35.352114095287895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7.4084925598977031E-2</v>
      </c>
      <c r="AD273" s="230">
        <f>(INDEX(Models!$BJ273:$BT273,,AH273)*(1-AF273)+INDEX(Models!$BJ273:$BT273,,AH273+1)*AF273-ERP_i)*AE273*Ramure*Pc/MaxiM</f>
        <v>3.1145719353199365E-3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'2026'!Wh/'2026'!Env_an*'2027'!Env_an</f>
        <v>44.467814896048729</v>
      </c>
      <c r="C274" s="829"/>
      <c r="D274" s="391">
        <f t="shared" si="102"/>
        <v>47.249492629137087</v>
      </c>
      <c r="E274" s="383">
        <f t="shared" si="100"/>
        <v>49.487564279091934</v>
      </c>
      <c r="F274" s="383">
        <f t="shared" si="103"/>
        <v>49.501745707565149</v>
      </c>
      <c r="G274" s="110">
        <f t="shared" si="101"/>
        <v>0.9940428951244713</v>
      </c>
      <c r="H274" s="412" t="b">
        <f>Wh_hp&gt;='2026'!Maxi_hp</f>
        <v>0</v>
      </c>
      <c r="I274" s="388">
        <f>IF(H274,Wh_hp,'2026'!Maxi_hp)</f>
        <v>49.501823662015703</v>
      </c>
      <c r="J274" s="85">
        <f>IF(H274,An,'2026'!An_max)</f>
        <v>2026</v>
      </c>
      <c r="K274" s="197">
        <f t="shared" si="104"/>
        <v>46647</v>
      </c>
      <c r="L274" s="147">
        <f>IF(t&lt;Tvie,1-EXP((T0-t)*PertePVj)+'2026'!Pspv,1-EXP((T0-t)*PertePVj)+Pspv)</f>
        <v>5.8872118583829902E-2</v>
      </c>
      <c r="M274" s="832"/>
      <c r="N274" s="832"/>
      <c r="O274" s="48">
        <f>IF(t&lt;Tnet,'2026'!Resal+('2026'!Salim-'2026'!Resal)*(1-EXP(('2026'!Tnet-t)/('2026'!Tau_j))),Resal+(Salim-Resal)*(1-EXP((Tnet-t)/(Tau_j))))*Salcycl</f>
        <v>4.5224930395299678E-2</v>
      </c>
      <c r="P274" s="169">
        <f>(INDEX(Models!$BJ274:$BT274,,T274)*(1-R274)+INDEX(Models!$BJ274:$BT274,,T274+1)*R274-ERP_i)*Q274*Ramure*Pc/MaxiM</f>
        <v>2.8894132631421862E-4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44.734191838470139</v>
      </c>
      <c r="W274" s="400">
        <f t="shared" si="111"/>
        <v>44.467814896048729</v>
      </c>
      <c r="X274" s="157">
        <f t="shared" si="112"/>
        <v>46647</v>
      </c>
      <c r="Y274" s="383">
        <f t="shared" si="113"/>
        <v>42.997894470787784</v>
      </c>
      <c r="Z274" s="383">
        <f t="shared" si="114"/>
        <v>45.687621544148008</v>
      </c>
      <c r="AA274" s="384">
        <f t="shared" si="115"/>
        <v>49.34386447548016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7.4097214926265031E-2</v>
      </c>
      <c r="AD274" s="230">
        <f>(INDEX(Models!$BJ274:$BT274,,AH274)*(1-AF274)+INDEX(Models!$BJ274:$BT274,,AH274+1)*AF274-ERP_i)*AE274*Ramure*Pc/MaxiM</f>
        <v>3.2167713347720553E-3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'2026'!Wh/'2026'!Env_an*'2027'!Env_an</f>
        <v>44.462596118729472</v>
      </c>
      <c r="C275" s="829"/>
      <c r="D275" s="391">
        <f t="shared" si="102"/>
        <v>47.244852828783166</v>
      </c>
      <c r="E275" s="383">
        <f t="shared" si="100"/>
        <v>49.484998499014999</v>
      </c>
      <c r="F275" s="383">
        <f t="shared" si="103"/>
        <v>49.499727884894924</v>
      </c>
      <c r="G275" s="110">
        <f t="shared" si="101"/>
        <v>0.99987479131523638</v>
      </c>
      <c r="H275" s="412" t="b">
        <f>Wh_hp&gt;='2026'!Maxi_hp</f>
        <v>0</v>
      </c>
      <c r="I275" s="388">
        <f>IF(H275,Wh_hp,'2026'!Maxi_hp)</f>
        <v>49.499729573237367</v>
      </c>
      <c r="J275" s="85">
        <f>IF(H275,An,'2026'!An_max)</f>
        <v>2026</v>
      </c>
      <c r="K275" s="197">
        <f t="shared" si="104"/>
        <v>46648</v>
      </c>
      <c r="L275" s="147">
        <f>IF(t&lt;Tvie,1-EXP((T0-t)*PertePVj)+'2026'!Pspv,1-EXP((T0-t)*PertePVj)+Pspv)</f>
        <v>5.8890155084971418E-2</v>
      </c>
      <c r="M275" s="832"/>
      <c r="N275" s="832"/>
      <c r="O275" s="48">
        <f>IF(t&lt;Tnet,'2026'!Resal+('2026'!Salim-'2026'!Resal)*(1-EXP(('2026'!Tnet-t)/('2026'!Tau_j))),Resal+(Salim-Resal)*(1-EXP((Tnet-t)/(Tau_j))))*Salcycl</f>
        <v>4.5269187393759833E-2</v>
      </c>
      <c r="P275" s="169">
        <f>(INDEX(Models!$BJ275:$BT275,,T275)*(1-R275)+INDEX(Models!$BJ275:$BT275,,T275+1)*R275-ERP_i)*Q275*Ramure*Pc/MaxiM</f>
        <v>2.9761819911134713E-4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44.468161552094237</v>
      </c>
      <c r="W275" s="400">
        <f t="shared" si="111"/>
        <v>44.462596118729472</v>
      </c>
      <c r="X275" s="157">
        <f t="shared" si="112"/>
        <v>46648</v>
      </c>
      <c r="Y275" s="383">
        <f t="shared" si="113"/>
        <v>42.989061354297633</v>
      </c>
      <c r="Z275" s="383">
        <f t="shared" si="114"/>
        <v>45.679111303079665</v>
      </c>
      <c r="AA275" s="384">
        <f t="shared" si="115"/>
        <v>49.335290746377574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7.4108805035599468E-2</v>
      </c>
      <c r="AD275" s="230">
        <f>(INDEX(Models!$BJ275:$BT275,,AH275)*(1-AF275)+INDEX(Models!$BJ275:$BT275,,AH275+1)*AF275-ERP_i)*AE275*Ramure*Pc/MaxiM</f>
        <v>3.3225747109556533E-3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'2026'!Wh/'2026'!Env_an*'2027'!Env_an</f>
        <v>43.86106902963472</v>
      </c>
      <c r="C276" s="829"/>
      <c r="D276" s="391">
        <f t="shared" si="102"/>
        <v>46.606578254514545</v>
      </c>
      <c r="E276" s="383">
        <f t="shared" si="100"/>
        <v>48.818697529559316</v>
      </c>
      <c r="F276" s="383">
        <f t="shared" si="103"/>
        <v>48.833509270868305</v>
      </c>
      <c r="G276" s="110">
        <f t="shared" si="101"/>
        <v>0.99236009873809805</v>
      </c>
      <c r="H276" s="412" t="b">
        <f>Wh_hp&gt;='2026'!Maxi_hp</f>
        <v>0</v>
      </c>
      <c r="I276" s="388">
        <f>IF(H276,Wh_hp,'2026'!Maxi_hp)</f>
        <v>48.833614043887223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5.8908191240447549E-2</v>
      </c>
      <c r="M276" s="832"/>
      <c r="N276" s="832"/>
      <c r="O276" s="48">
        <f>IF(t&lt;Tnet,'2026'!Resal+('2026'!Salim-'2026'!Resal)*(1-EXP(('2026'!Tnet-t)/('2026'!Tau_j))),Resal+(Salim-Resal)*(1-EXP((Tnet-t)/(Tau_j))))*Salcycl</f>
        <v>4.5312951532665291E-2</v>
      </c>
      <c r="P276" s="169">
        <f>(INDEX(Models!$BJ276:$BT276,,T276)*(1-R276)+INDEX(Models!$BJ276:$BT276,,T276+1)*R276-ERP_i)*Q276*Ramure*Pc/MaxiM</f>
        <v>3.0665645402167885E-4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44.198595153512116</v>
      </c>
      <c r="W276" s="400">
        <f t="shared" si="111"/>
        <v>43.86106902963472</v>
      </c>
      <c r="X276" s="157">
        <f t="shared" si="112"/>
        <v>46649</v>
      </c>
      <c r="Y276" s="383">
        <f t="shared" si="113"/>
        <v>42.405982738355114</v>
      </c>
      <c r="Z276" s="383">
        <f t="shared" si="114"/>
        <v>45.060409987257451</v>
      </c>
      <c r="AA276" s="384">
        <f t="shared" si="115"/>
        <v>48.667639410020001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7.4119671027641318E-2</v>
      </c>
      <c r="AD276" s="230">
        <f>(INDEX(Models!$BJ276:$BT276,,AH276)*(1-AF276)+INDEX(Models!$BJ276:$BT276,,AH276+1)*AF276-ERP_i)*AE276*Ramure*Pc/MaxiM</f>
        <v>3.4341042214894018E-3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'2026'!Wh/'2026'!Env_an*'2027'!Env_an</f>
        <v>45.532815579169267</v>
      </c>
      <c r="C277" s="829"/>
      <c r="D277" s="391">
        <f t="shared" si="102"/>
        <v>48.38389602172164</v>
      </c>
      <c r="E277" s="383">
        <f t="shared" si="100"/>
        <v>50.6826696455757</v>
      </c>
      <c r="F277" s="383">
        <f t="shared" si="103"/>
        <v>50.698686823362124</v>
      </c>
      <c r="G277" s="110">
        <f t="shared" si="101"/>
        <v>1.0365895377792054</v>
      </c>
      <c r="H277" s="412" t="b">
        <f>Wh_hp&gt;='2026'!Maxi_hp</f>
        <v>1</v>
      </c>
      <c r="I277" s="388">
        <f>IF(H277,Wh_hp,'2026'!Maxi_hp)</f>
        <v>50.698686823362124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5.8926227050264846E-2</v>
      </c>
      <c r="M277" s="832"/>
      <c r="N277" s="832"/>
      <c r="O277" s="48">
        <f>IF(t&lt;Tnet,'2026'!Resal+('2026'!Salim-'2026'!Resal)*(1-EXP(('2026'!Tnet-t)/('2026'!Tau_j))),Resal+(Salim-Resal)*(1-EXP((Tnet-t)/(Tau_j))))*Salcycl</f>
        <v>4.5356206370528736E-2</v>
      </c>
      <c r="P277" s="169">
        <f>(INDEX(Models!$BJ277:$BT277,,T277)*(1-R277)+INDEX(Models!$BJ277:$BT277,,T277+1)*R277-ERP_i)*Q277*Ramure*Pc/MaxiM</f>
        <v>3.1592884924670913E-4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43.925598242790485</v>
      </c>
      <c r="W277" s="400">
        <f t="shared" si="111"/>
        <v>45.532815579169267</v>
      </c>
      <c r="X277" s="157">
        <f t="shared" si="112"/>
        <v>46650</v>
      </c>
      <c r="Y277" s="383">
        <f t="shared" si="113"/>
        <v>44.017562229554308</v>
      </c>
      <c r="Z277" s="383">
        <f t="shared" si="114"/>
        <v>46.773763646163566</v>
      </c>
      <c r="AA277" s="384">
        <f t="shared" si="115"/>
        <v>50.518704480497028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7.4129787627060281E-2</v>
      </c>
      <c r="AD277" s="230">
        <f>(INDEX(Models!$BJ277:$BT277,,AH277)*(1-AF277)+INDEX(Models!$BJ277:$BT277,,AH277+1)*AF277-ERP_i)*AE277*Ramure*Pc/MaxiM</f>
        <v>3.5500395403171895E-3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'2026'!Wh/'2026'!Env_an*'2027'!Env_an</f>
        <v>44.362763798058538</v>
      </c>
      <c r="C278" s="829"/>
      <c r="D278" s="391">
        <f t="shared" si="102"/>
        <v>47.141483794140079</v>
      </c>
      <c r="E278" s="383">
        <f t="shared" si="100"/>
        <v>49.383439360190955</v>
      </c>
      <c r="F278" s="383">
        <f t="shared" si="103"/>
        <v>49.399515767454268</v>
      </c>
      <c r="G278" s="110">
        <f t="shared" si="101"/>
        <v>1.0163460501370338</v>
      </c>
      <c r="H278" s="412" t="b">
        <f>Wh_hp&gt;='2026'!Maxi_hp</f>
        <v>1</v>
      </c>
      <c r="I278" s="388">
        <f>IF(H278,Wh_hp,'2026'!Maxi_hp)</f>
        <v>49.399515767454268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5.8944262514430079E-2</v>
      </c>
      <c r="M278" s="832"/>
      <c r="N278" s="832"/>
      <c r="O278" s="48">
        <f>IF(t&lt;Tnet,'2026'!Resal+('2026'!Salim-'2026'!Resal)*(1-EXP(('2026'!Tnet-t)/('2026'!Tau_j))),Resal+(Salim-Resal)*(1-EXP((Tnet-t)/(Tau_j))))*Salcycl</f>
        <v>4.5398935252334058E-2</v>
      </c>
      <c r="P278" s="169">
        <f>(INDEX(Models!$BJ278:$BT278,,T278)*(1-R278)+INDEX(Models!$BJ278:$BT278,,T278+1)*R278-ERP_i)*Q278*Ramure*Pc/MaxiM</f>
        <v>3.2543653543059777E-4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43.649270631865114</v>
      </c>
      <c r="W278" s="400">
        <f t="shared" si="111"/>
        <v>44.362763798058538</v>
      </c>
      <c r="X278" s="157">
        <f t="shared" si="112"/>
        <v>46651</v>
      </c>
      <c r="Y278" s="383">
        <f t="shared" si="113"/>
        <v>42.88316148683603</v>
      </c>
      <c r="Z278" s="383">
        <f t="shared" si="114"/>
        <v>45.569204648192901</v>
      </c>
      <c r="AA278" s="384">
        <f t="shared" si="115"/>
        <v>49.21819907249629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7.413912928688382E-2</v>
      </c>
      <c r="AD278" s="230">
        <f>(INDEX(Models!$BJ278:$BT278,,AH278)*(1-AF278)+INDEX(Models!$BJ278:$BT278,,AH278+1)*AF278-ERP_i)*AE278*Ramure*Pc/MaxiM</f>
        <v>3.6704144188682633E-3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'2026'!Wh/'2026'!Env_an*'2027'!Env_an</f>
        <v>42.930496129046738</v>
      </c>
      <c r="C279" s="829"/>
      <c r="D279" s="391">
        <f t="shared" si="102"/>
        <v>45.620378462054184</v>
      </c>
      <c r="E279" s="383">
        <f t="shared" si="100"/>
        <v>47.792105320997422</v>
      </c>
      <c r="F279" s="383">
        <f t="shared" si="103"/>
        <v>47.807897764589512</v>
      </c>
      <c r="G279" s="110">
        <f t="shared" si="101"/>
        <v>0.98986794718822035</v>
      </c>
      <c r="H279" s="412" t="b">
        <f>Wh_hp&gt;='2026'!Maxi_hp</f>
        <v>0</v>
      </c>
      <c r="I279" s="388">
        <f>IF(H279,Wh_hp,'2026'!Maxi_hp)</f>
        <v>47.808046737033415</v>
      </c>
      <c r="J279" s="85">
        <f>IF(H279,An,'2026'!An_max)</f>
        <v>2026</v>
      </c>
      <c r="K279" s="197">
        <f t="shared" si="104"/>
        <v>46652</v>
      </c>
      <c r="L279" s="147">
        <f>IF(t&lt;Tvie,1-EXP((T0-t)*PertePVj)+'2026'!Pspv,1-EXP((T0-t)*PertePVj)+Pspv)</f>
        <v>5.896229763294969E-2</v>
      </c>
      <c r="M279" s="832"/>
      <c r="N279" s="832"/>
      <c r="O279" s="48">
        <f>IF(t&lt;Tnet,'2026'!Resal+('2026'!Salim-'2026'!Resal)*(1-EXP(('2026'!Tnet-t)/('2026'!Tau_j))),Resal+(Salim-Resal)*(1-EXP((Tnet-t)/(Tau_j))))*Salcycl</f>
        <v>4.5441121380963623E-2</v>
      </c>
      <c r="P279" s="169">
        <f>(INDEX(Models!$BJ279:$BT279,,T279)*(1-R279)+INDEX(Models!$BJ279:$BT279,,T279+1)*R279-ERP_i)*Q279*Ramure*Pc/MaxiM</f>
        <v>3.3518049449240571E-4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43.369712094017459</v>
      </c>
      <c r="W279" s="400">
        <f t="shared" si="111"/>
        <v>42.930496129046738</v>
      </c>
      <c r="X279" s="157">
        <f t="shared" si="112"/>
        <v>46652</v>
      </c>
      <c r="Y279" s="383">
        <f t="shared" si="113"/>
        <v>41.497404516931688</v>
      </c>
      <c r="Z279" s="383">
        <f t="shared" si="114"/>
        <v>44.097494088229091</v>
      </c>
      <c r="AA279" s="384">
        <f t="shared" si="115"/>
        <v>47.62907936171149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7.4147670305830055E-2</v>
      </c>
      <c r="AD279" s="230">
        <f>(INDEX(Models!$BJ279:$BT279,,AH279)*(1-AF279)+INDEX(Models!$BJ279:$BT279,,AH279+1)*AF279-ERP_i)*AE279*Ramure*Pc/MaxiM</f>
        <v>3.7952607113324573E-3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'2026'!Wh/'2026'!Env_an*'2027'!Env_an</f>
        <v>27.249239046903135</v>
      </c>
      <c r="C280" s="829"/>
      <c r="D280" s="391">
        <f t="shared" si="102"/>
        <v>28.957140839116683</v>
      </c>
      <c r="E280" s="383">
        <f t="shared" si="100"/>
        <v>30.336948625402623</v>
      </c>
      <c r="F280" s="383">
        <f t="shared" si="103"/>
        <v>30.341922115599765</v>
      </c>
      <c r="G280" s="110">
        <f t="shared" si="101"/>
        <v>0.63230870715065934</v>
      </c>
      <c r="H280" s="412" t="b">
        <f>Wh_hp&gt;='2026'!Maxi_hp</f>
        <v>0</v>
      </c>
      <c r="I280" s="388">
        <f>IF(H280,Wh_hp,'2026'!Maxi_hp)</f>
        <v>41.863369362780062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5.8980332405830338E-2</v>
      </c>
      <c r="M280" s="832"/>
      <c r="N280" s="832"/>
      <c r="O280" s="48">
        <f>IF(t&lt;Tnet,'2026'!Resal+('2026'!Salim-'2026'!Resal)*(1-EXP(('2026'!Tnet-t)/('2026'!Tau_j))),Resal+(Salim-Resal)*(1-EXP((Tnet-t)/(Tau_j))))*Salcycl</f>
        <v>4.5482747896753203E-2</v>
      </c>
      <c r="P280" s="169">
        <f>(INDEX(Models!$BJ280:$BT280,,T280)*(1-R280)+INDEX(Models!$BJ280:$BT280,,T280+1)*R280-ERP_i)*Q280*Ramure*Pc/MaxiM</f>
        <v>3.4516336395402913E-4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43.087022278451698</v>
      </c>
      <c r="W280" s="400">
        <f t="shared" si="111"/>
        <v>27.249239046903135</v>
      </c>
      <c r="X280" s="157">
        <f t="shared" si="112"/>
        <v>46653</v>
      </c>
      <c r="Y280" s="383">
        <f t="shared" si="113"/>
        <v>26.385766493378114</v>
      </c>
      <c r="Z280" s="383">
        <f t="shared" si="114"/>
        <v>28.039548377173148</v>
      </c>
      <c r="AA280" s="384">
        <f t="shared" si="115"/>
        <v>30.285371780134795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7.4155384958317097E-2</v>
      </c>
      <c r="AD280" s="230">
        <f>(INDEX(Models!$BJ280:$BT280,,AH280)*(1-AF280)+INDEX(Models!$BJ280:$BT280,,AH280+1)*AF280-ERP_i)*AE280*Ramure*Pc/MaxiM</f>
        <v>3.9246290327522989E-3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'2026'!Wh/'2026'!Env_an*'2027'!Env_an</f>
        <v>16.50722484285285</v>
      </c>
      <c r="C281" s="829"/>
      <c r="D281" s="391">
        <f t="shared" si="102"/>
        <v>17.542185115341542</v>
      </c>
      <c r="E281" s="383">
        <f t="shared" si="100"/>
        <v>18.3788606546075</v>
      </c>
      <c r="F281" s="383">
        <f t="shared" si="103"/>
        <v>18.379660074875666</v>
      </c>
      <c r="G281" s="110">
        <f t="shared" si="101"/>
        <v>0.38555080874627795</v>
      </c>
      <c r="H281" s="412" t="b">
        <f>Wh_hp&gt;='2026'!Maxi_hp</f>
        <v>0</v>
      </c>
      <c r="I281" s="388">
        <f>IF(H281,Wh_hp,'2026'!Maxi_hp)</f>
        <v>40.4343470381435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5.8998366833078686E-2</v>
      </c>
      <c r="M281" s="832"/>
      <c r="N281" s="832"/>
      <c r="O281" s="48">
        <f>IF(t&lt;Tnet,'2026'!Resal+('2026'!Salim-'2026'!Resal)*(1-EXP(('2026'!Tnet-t)/('2026'!Tau_j))),Resal+(Salim-Resal)*(1-EXP((Tnet-t)/(Tau_j))))*Salcycl</f>
        <v>4.5523797964930175E-2</v>
      </c>
      <c r="P281" s="169">
        <f>(INDEX(Models!$BJ281:$BT281,,T281)*(1-R281)+INDEX(Models!$BJ281:$BT281,,T281+1)*R281-ERP_i)*Q281*Ramure*Pc/MaxiM</f>
        <v>3.5538686149514791E-4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42.801300821417968</v>
      </c>
      <c r="W281" s="400">
        <f t="shared" si="111"/>
        <v>16.50722484285285</v>
      </c>
      <c r="X281" s="157">
        <f t="shared" si="112"/>
        <v>46654</v>
      </c>
      <c r="Y281" s="383">
        <f t="shared" si="113"/>
        <v>16.004678823966934</v>
      </c>
      <c r="Z281" s="383">
        <f t="shared" si="114"/>
        <v>17.008130761796366</v>
      </c>
      <c r="AA281" s="384">
        <f t="shared" si="115"/>
        <v>18.370530601480617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7.4162247636682097E-2</v>
      </c>
      <c r="AD281" s="230">
        <f>(INDEX(Models!$BJ281:$BT281,,AH281)*(1-AF281)+INDEX(Models!$BJ281:$BT281,,AH281+1)*AF281-ERP_i)*AE281*Ramure*Pc/MaxiM</f>
        <v>4.0585597165541864E-3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'2026'!Wh/'2026'!Env_an*'2027'!Env_an</f>
        <v>34.76455290204612</v>
      </c>
      <c r="C282" s="829"/>
      <c r="D282" s="391">
        <f t="shared" si="102"/>
        <v>36.944908429689612</v>
      </c>
      <c r="E282" s="383">
        <f t="shared" si="100"/>
        <v>38.70863870954495</v>
      </c>
      <c r="F282" s="383">
        <f t="shared" si="103"/>
        <v>38.719127219694904</v>
      </c>
      <c r="G282" s="110">
        <f t="shared" si="101"/>
        <v>0.81766845338748906</v>
      </c>
      <c r="H282" s="412" t="b">
        <f>Wh_hp&gt;='2026'!Maxi_hp</f>
        <v>0</v>
      </c>
      <c r="I282" s="388">
        <f>IF(H282,Wh_hp,'2026'!Maxi_hp)</f>
        <v>38.721506534658232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5.9016400914701395E-2</v>
      </c>
      <c r="M282" s="832"/>
      <c r="N282" s="832"/>
      <c r="O282" s="48">
        <f>IF(t&lt;Tnet,'2026'!Resal+('2026'!Salim-'2026'!Resal)*(1-EXP(('2026'!Tnet-t)/('2026'!Tau_j))),Resal+(Salim-Resal)*(1-EXP((Tnet-t)/(Tau_j))))*Salcycl</f>
        <v>4.5564254870591236E-2</v>
      </c>
      <c r="P282" s="169">
        <f>(INDEX(Models!$BJ282:$BT282,,T282)*(1-R282)+INDEX(Models!$BJ282:$BT282,,T282+1)*R282-ERP_i)*Q282*Ramure*Pc/MaxiM</f>
        <v>3.6624284816025326E-4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42.512630710051241</v>
      </c>
      <c r="W282" s="400">
        <f t="shared" si="111"/>
        <v>34.76455290204612</v>
      </c>
      <c r="X282" s="157">
        <f t="shared" si="112"/>
        <v>46655</v>
      </c>
      <c r="Y282" s="383">
        <f t="shared" si="113"/>
        <v>33.62693411157057</v>
      </c>
      <c r="Z282" s="383">
        <f t="shared" si="114"/>
        <v>35.735940715925636</v>
      </c>
      <c r="AA282" s="384">
        <f t="shared" si="115"/>
        <v>38.59874114269622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7.4168233004984638E-2</v>
      </c>
      <c r="AD282" s="230">
        <f>(INDEX(Models!$BJ282:$BT282,,AH282)*(1-AF282)+INDEX(Models!$BJ282:$BT282,,AH282+1)*AF282-ERP_i)*AE282*Ramure*Pc/MaxiM</f>
        <v>4.2036990085805156E-3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'2026'!Wh/'2026'!Env_an*'2027'!Env_an</f>
        <v>31.832165460123775</v>
      </c>
      <c r="C283" s="829"/>
      <c r="D283" s="391">
        <f t="shared" si="102"/>
        <v>33.829256491769051</v>
      </c>
      <c r="E283" s="383">
        <f t="shared" si="100"/>
        <v>35.445727047802222</v>
      </c>
      <c r="F283" s="383">
        <f t="shared" si="103"/>
        <v>35.454408906630867</v>
      </c>
      <c r="G283" s="110">
        <f t="shared" si="101"/>
        <v>0.7538393442182022</v>
      </c>
      <c r="H283" s="412" t="b">
        <f>Wh_hp&gt;='2026'!Maxi_hp</f>
        <v>0</v>
      </c>
      <c r="I283" s="388">
        <f>IF(H283,Wh_hp,'2026'!Maxi_hp)</f>
        <v>39.693686966189702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5.9034434650704903E-2</v>
      </c>
      <c r="M283" s="832"/>
      <c r="N283" s="832"/>
      <c r="O283" s="48">
        <f>IF(t&lt;Tnet,'2026'!Resal+('2026'!Salim-'2026'!Resal)*(1-EXP(('2026'!Tnet-t)/('2026'!Tau_j))),Resal+(Salim-Resal)*(1-EXP((Tnet-t)/(Tau_j))))*Salcycl</f>
        <v>4.5604102120777291E-2</v>
      </c>
      <c r="P283" s="169">
        <f>(INDEX(Models!$BJ283:$BT283,,T283)*(1-R283)+INDEX(Models!$BJ283:$BT283,,T283+1)*R283-ERP_i)*Q283*Ramure*Pc/MaxiM</f>
        <v>3.7760922009244822E-4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42.221117027338131</v>
      </c>
      <c r="W283" s="400">
        <f t="shared" si="111"/>
        <v>31.832165460123775</v>
      </c>
      <c r="X283" s="157">
        <f t="shared" si="112"/>
        <v>46656</v>
      </c>
      <c r="Y283" s="383">
        <f t="shared" si="113"/>
        <v>30.799551673577529</v>
      </c>
      <c r="Z283" s="383">
        <f t="shared" si="114"/>
        <v>32.731858431125957</v>
      </c>
      <c r="AA283" s="384">
        <f t="shared" si="115"/>
        <v>35.354196419888908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7.4173316163614555E-2</v>
      </c>
      <c r="AD283" s="230">
        <f>(INDEX(Models!$BJ283:$BT283,,AH283)*(1-AF283)+INDEX(Models!$BJ283:$BT283,,AH283+1)*AF283-ERP_i)*AE283*Ramure*Pc/MaxiM</f>
        <v>4.358647117975384E-3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'2026'!Wh/'2026'!Env_an*'2027'!Env_an</f>
        <v>16.880385633887126</v>
      </c>
      <c r="C284" s="829"/>
      <c r="D284" s="391">
        <f t="shared" si="102"/>
        <v>17.939773537366992</v>
      </c>
      <c r="E284" s="383">
        <f t="shared" si="100"/>
        <v>18.797766055514458</v>
      </c>
      <c r="F284" s="383">
        <f t="shared" si="103"/>
        <v>18.798839400638101</v>
      </c>
      <c r="G284" s="110">
        <f t="shared" si="101"/>
        <v>0.40248124083457726</v>
      </c>
      <c r="H284" s="412" t="b">
        <f>Wh_hp&gt;='2026'!Maxi_hp</f>
        <v>0</v>
      </c>
      <c r="I284" s="388">
        <f>IF(H284,Wh_hp,'2026'!Maxi_hp)</f>
        <v>37.960845399345402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5.9052468041096096E-2</v>
      </c>
      <c r="M284" s="832"/>
      <c r="N284" s="832"/>
      <c r="O284" s="48">
        <f>IF(t&lt;Tnet,'2026'!Resal+('2026'!Salim-'2026'!Resal)*(1-EXP(('2026'!Tnet-t)/('2026'!Tau_j))),Resal+(Salim-Resal)*(1-EXP((Tnet-t)/(Tau_j))))*Salcycl</f>
        <v>4.5643323553107393E-2</v>
      </c>
      <c r="P284" s="169">
        <f>(INDEX(Models!$BJ284:$BT284,,T284)*(1-R284)+INDEX(Models!$BJ284:$BT284,,T284+1)*R284-ERP_i)*Q284*Ramure*Pc/MaxiM</f>
        <v>3.8948902435046178E-4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41.926859403430846</v>
      </c>
      <c r="W284" s="400">
        <f t="shared" si="111"/>
        <v>16.880385633887126</v>
      </c>
      <c r="X284" s="157">
        <f t="shared" si="112"/>
        <v>46657</v>
      </c>
      <c r="Y284" s="383">
        <f t="shared" si="113"/>
        <v>16.365757375248279</v>
      </c>
      <c r="Z284" s="383">
        <f t="shared" si="114"/>
        <v>17.39284797440019</v>
      </c>
      <c r="AA284" s="384">
        <f t="shared" si="115"/>
        <v>18.786373698908182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7.4177472823772198E-2</v>
      </c>
      <c r="AD284" s="230">
        <f>(INDEX(Models!$BJ284:$BT284,,AH284)*(1-AF284)+INDEX(Models!$BJ284:$BT284,,AH284+1)*AF284-ERP_i)*AE284*Ramure*Pc/MaxiM</f>
        <v>4.5234788864064691E-3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'2026'!Wh/'2026'!Env_an*'2027'!Env_an</f>
        <v>19.133769402850387</v>
      </c>
      <c r="C285" s="829"/>
      <c r="D285" s="391">
        <f t="shared" si="102"/>
        <v>20.334966036171416</v>
      </c>
      <c r="E285" s="383">
        <f t="shared" si="100"/>
        <v>21.308373077795061</v>
      </c>
      <c r="F285" s="383">
        <f t="shared" si="103"/>
        <v>21.310325926530897</v>
      </c>
      <c r="G285" s="110">
        <f t="shared" si="101"/>
        <v>0.45947278991114426</v>
      </c>
      <c r="H285" s="412" t="b">
        <f>Wh_hp&gt;='2026'!Maxi_hp</f>
        <v>0</v>
      </c>
      <c r="I285" s="388">
        <f>IF(H285,Wh_hp,'2026'!Maxi_hp)</f>
        <v>38.326040675068562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5.9070501085881522E-2</v>
      </c>
      <c r="M285" s="832"/>
      <c r="N285" s="832"/>
      <c r="O285" s="48">
        <f>IF(t&lt;Tnet,'2026'!Resal+('2026'!Salim-'2026'!Resal)*(1-EXP(('2026'!Tnet-t)/('2026'!Tau_j))),Resal+(Salim-Resal)*(1-EXP((Tnet-t)/(Tau_j))))*Salcycl</f>
        <v>4.5681903450339414E-2</v>
      </c>
      <c r="P285" s="169">
        <f>(INDEX(Models!$BJ285:$BT285,,T285)*(1-R285)+INDEX(Models!$BJ285:$BT285,,T285+1)*R285-ERP_i)*Q285*Ramure*Pc/MaxiM</f>
        <v>4.0188497566499701E-4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41.62995741309846</v>
      </c>
      <c r="W285" s="400">
        <f t="shared" si="111"/>
        <v>19.133769402850387</v>
      </c>
      <c r="X285" s="157">
        <f t="shared" si="112"/>
        <v>46658</v>
      </c>
      <c r="Y285" s="383">
        <f t="shared" si="113"/>
        <v>18.544191498758185</v>
      </c>
      <c r="Z285" s="383">
        <f t="shared" si="114"/>
        <v>19.708375090970307</v>
      </c>
      <c r="AA285" s="384">
        <f t="shared" si="115"/>
        <v>21.287496009620465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7.4180679490744417E-2</v>
      </c>
      <c r="AD285" s="230">
        <f>(INDEX(Models!$BJ285:$BT285,,AH285)*(1-AF285)+INDEX(Models!$BJ285:$BT285,,AH285+1)*AF285-ERP_i)*AE285*Ramure*Pc/MaxiM</f>
        <v>4.6982648648707225E-3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'2026'!Wh/'2026'!Env_an*'2027'!Env_an</f>
        <v>22.991045887886866</v>
      </c>
      <c r="C286" s="829"/>
      <c r="D286" s="391">
        <f t="shared" si="102"/>
        <v>24.434866311465505</v>
      </c>
      <c r="E286" s="383">
        <f t="shared" si="100"/>
        <v>25.605547504928769</v>
      </c>
      <c r="F286" s="383">
        <f t="shared" si="103"/>
        <v>25.609436549686453</v>
      </c>
      <c r="G286" s="110">
        <f t="shared" si="101"/>
        <v>0.55612668202250137</v>
      </c>
      <c r="H286" s="412" t="b">
        <f>Wh_hp&gt;='2026'!Maxi_hp</f>
        <v>0</v>
      </c>
      <c r="I286" s="388">
        <f>IF(H286,Wh_hp,'2026'!Maxi_hp)</f>
        <v>44.025423023353014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5.9088533785067621E-2</v>
      </c>
      <c r="M286" s="832"/>
      <c r="N286" s="832"/>
      <c r="O286" s="48">
        <f>IF(t&lt;Tnet,'2026'!Resal+('2026'!Salim-'2026'!Resal)*(1-EXP(('2026'!Tnet-t)/('2026'!Tau_j))),Resal+(Salim-Resal)*(1-EXP((Tnet-t)/(Tau_j))))*Salcycl</f>
        <v>4.5719826660137582E-2</v>
      </c>
      <c r="P286" s="169">
        <f>(INDEX(Models!$BJ286:$BT286,,T286)*(1-R286)+INDEX(Models!$BJ286:$BT286,,T286+1)*R286-ERP_i)*Q286*Ramure*Pc/MaxiM</f>
        <v>4.1479943406413672E-4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41.330510576638765</v>
      </c>
      <c r="W286" s="400">
        <f t="shared" si="111"/>
        <v>22.991045887886866</v>
      </c>
      <c r="X286" s="157">
        <f t="shared" si="112"/>
        <v>46659</v>
      </c>
      <c r="Y286" s="383">
        <f t="shared" si="113"/>
        <v>22.268803716958548</v>
      </c>
      <c r="Z286" s="383">
        <f t="shared" si="114"/>
        <v>23.667267874352468</v>
      </c>
      <c r="AA286" s="384">
        <f t="shared" si="115"/>
        <v>25.563654228700369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7.4182913654763177E-2</v>
      </c>
      <c r="AD286" s="230">
        <f>(INDEX(Models!$BJ286:$BT286,,AH286)*(1-AF286)+INDEX(Models!$BJ286:$BT286,,AH286+1)*AF286-ERP_i)*AE286*Ramure*Pc/MaxiM</f>
        <v>4.8830707843253076E-3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'2026'!Wh/'2026'!Env_an*'2027'!Env_an</f>
        <v>27.284633172124881</v>
      </c>
      <c r="C287" s="829"/>
      <c r="D287" s="391">
        <f t="shared" si="102"/>
        <v>28.998643406566561</v>
      </c>
      <c r="E287" s="383">
        <f t="shared" si="100"/>
        <v>30.389162717230736</v>
      </c>
      <c r="F287" s="383">
        <f t="shared" si="103"/>
        <v>30.395950212522195</v>
      </c>
      <c r="G287" s="110">
        <f t="shared" si="101"/>
        <v>0.66487835885941582</v>
      </c>
      <c r="H287" s="412" t="b">
        <f>Wh_hp&gt;='2026'!Maxi_hp</f>
        <v>0</v>
      </c>
      <c r="I287" s="388">
        <f>IF(H287,Wh_hp,'2026'!Maxi_hp)</f>
        <v>36.159220038545989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5.9106566138661276E-2</v>
      </c>
      <c r="M287" s="832"/>
      <c r="N287" s="832"/>
      <c r="O287" s="48">
        <f>IF(t&lt;Tnet,'2026'!Resal+('2026'!Salim-'2026'!Resal)*(1-EXP(('2026'!Tnet-t)/('2026'!Tau_j))),Resal+(Salim-Resal)*(1-EXP((Tnet-t)/(Tau_j))))*Salcycl</f>
        <v>4.5757078719241784E-2</v>
      </c>
      <c r="P287" s="169">
        <f>(INDEX(Models!$BJ287:$BT287,,T287)*(1-R287)+INDEX(Models!$BJ287:$BT287,,T287+1)*R287-ERP_i)*Q287*Ramure*Pc/MaxiM</f>
        <v>4.282343844430238E-4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41.028618350588282</v>
      </c>
      <c r="W287" s="400">
        <f t="shared" si="111"/>
        <v>27.284633172124881</v>
      </c>
      <c r="X287" s="157">
        <f t="shared" si="112"/>
        <v>46660</v>
      </c>
      <c r="Y287" s="383">
        <f t="shared" si="113"/>
        <v>26.407621048168735</v>
      </c>
      <c r="Z287" s="383">
        <f t="shared" si="114"/>
        <v>28.066537715960379</v>
      </c>
      <c r="AA287" s="384">
        <f t="shared" si="115"/>
        <v>30.315464826900097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7.4184153988104434E-2</v>
      </c>
      <c r="AD287" s="230">
        <f>(INDEX(Models!$BJ287:$BT287,,AH287)*(1-AF287)+INDEX(Models!$BJ287:$BT287,,AH287+1)*AF287-ERP_i)*AE287*Ramure*Pc/MaxiM</f>
        <v>5.0779570502109787E-3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'2026'!Wh/'2026'!Env_an*'2027'!Env_an</f>
        <v>35.653365560522587</v>
      </c>
      <c r="C288" s="829"/>
      <c r="D288" s="391">
        <f t="shared" si="102"/>
        <v>37.893822593610999</v>
      </c>
      <c r="E288" s="383">
        <f t="shared" si="100"/>
        <v>39.712398092941946</v>
      </c>
      <c r="F288" s="383">
        <f t="shared" si="103"/>
        <v>39.726840056781</v>
      </c>
      <c r="G288" s="110">
        <f t="shared" si="101"/>
        <v>0.87541074764938254</v>
      </c>
      <c r="H288" s="412" t="b">
        <f>Wh_hp&gt;='2026'!Maxi_hp</f>
        <v>0</v>
      </c>
      <c r="I288" s="388">
        <f>IF(H288,Wh_hp,'2026'!Maxi_hp)</f>
        <v>44.503895100671492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5.9124598146668927E-2</v>
      </c>
      <c r="M288" s="832"/>
      <c r="N288" s="832"/>
      <c r="O288" s="48">
        <f>IF(t&lt;Tnet,'2026'!Resal+('2026'!Salim-'2026'!Resal)*(1-EXP(('2026'!Tnet-t)/('2026'!Tau_j))),Resal+(Salim-Resal)*(1-EXP((Tnet-t)/(Tau_j))))*Salcycl</f>
        <v>4.5793645981156643E-2</v>
      </c>
      <c r="P288" s="169">
        <f>(INDEX(Models!$BJ288:$BT288,,T288)*(1-R288)+INDEX(Models!$BJ288:$BT288,,T288+1)*R288-ERP_i)*Q288*Ramure*Pc/MaxiM</f>
        <v>4.4219141826399796E-4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40.724380127841087</v>
      </c>
      <c r="W288" s="400">
        <f t="shared" si="111"/>
        <v>35.653365560522587</v>
      </c>
      <c r="X288" s="157">
        <f t="shared" si="112"/>
        <v>46661</v>
      </c>
      <c r="Y288" s="383">
        <f t="shared" si="113"/>
        <v>34.454844965389739</v>
      </c>
      <c r="Z288" s="383">
        <f t="shared" si="114"/>
        <v>36.619986979700798</v>
      </c>
      <c r="AA288" s="384">
        <f t="shared" si="115"/>
        <v>39.554298080794723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7.41843805469692E-2</v>
      </c>
      <c r="AD288" s="230">
        <f>(INDEX(Models!$BJ288:$BT288,,AH288)*(1-AF288)+INDEX(Models!$BJ288:$BT288,,AH288+1)*AF288-ERP_i)*AE288*Ramure*Pc/MaxiM</f>
        <v>5.2829782654027066E-3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'2026'!Wh/'2026'!Env_an*'2027'!Env_an</f>
        <v>38.019891690005117</v>
      </c>
      <c r="C289" s="829"/>
      <c r="D289" s="391">
        <f t="shared" si="102"/>
        <v>40.409835639902326</v>
      </c>
      <c r="E289" s="383">
        <f t="shared" si="100"/>
        <v>42.350750004086805</v>
      </c>
      <c r="F289" s="383">
        <f t="shared" si="103"/>
        <v>42.368460204786551</v>
      </c>
      <c r="G289" s="110">
        <f t="shared" si="101"/>
        <v>0.94066890050556151</v>
      </c>
      <c r="H289" s="412" t="b">
        <f>Wh_hp&gt;='2026'!Maxi_hp</f>
        <v>0</v>
      </c>
      <c r="I289" s="388">
        <f>IF(H289,Wh_hp,'2026'!Maxi_hp)</f>
        <v>42.369537938201859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5.9142629809097236E-2</v>
      </c>
      <c r="M289" s="832"/>
      <c r="N289" s="832"/>
      <c r="O289" s="48">
        <f>IF(t&lt;Tnet,'2026'!Resal+('2026'!Salim-'2026'!Resal)*(1-EXP(('2026'!Tnet-t)/('2026'!Tau_j))),Resal+(Salim-Resal)*(1-EXP((Tnet-t)/(Tau_j))))*Salcycl</f>
        <v>4.5829515746407881E-2</v>
      </c>
      <c r="P289" s="169">
        <f>(INDEX(Models!$BJ289:$BT289,,T289)*(1-R289)+INDEX(Models!$BJ289:$BT289,,T289+1)*R289-ERP_i)*Q289*Ramure*Pc/MaxiM</f>
        <v>4.566889684340361E-4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40.416367830961292</v>
      </c>
      <c r="W289" s="400">
        <f t="shared" si="111"/>
        <v>38.019891690005117</v>
      </c>
      <c r="X289" s="157">
        <f t="shared" si="112"/>
        <v>46662</v>
      </c>
      <c r="Y289" s="383">
        <f t="shared" si="113"/>
        <v>36.719789877151108</v>
      </c>
      <c r="Z289" s="383">
        <f t="shared" si="114"/>
        <v>39.02800896346335</v>
      </c>
      <c r="AA289" s="384">
        <f t="shared" si="115"/>
        <v>42.155234999720605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7.4183574976583136E-2</v>
      </c>
      <c r="AD289" s="230">
        <f>(INDEX(Models!$BJ289:$BT289,,AH289)*(1-AF289)+INDEX(Models!$BJ289:$BT289,,AH289+1)*AF289-ERP_i)*AE289*Ramure*Pc/MaxiM</f>
        <v>5.4983904810905768E-3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'2026'!Wh/'2026'!Env_an*'2027'!Env_an</f>
        <v>36.705176236647475</v>
      </c>
      <c r="C290" s="829"/>
      <c r="D290" s="391">
        <f t="shared" si="102"/>
        <v>39.013224383851266</v>
      </c>
      <c r="E290" s="383">
        <f t="shared" si="100"/>
        <v>40.888565194737183</v>
      </c>
      <c r="F290" s="383">
        <f t="shared" si="103"/>
        <v>40.905558074508903</v>
      </c>
      <c r="G290" s="110">
        <f t="shared" si="101"/>
        <v>0.91521000099215644</v>
      </c>
      <c r="H290" s="412" t="b">
        <f>Wh_hp&gt;='2026'!Maxi_hp</f>
        <v>0</v>
      </c>
      <c r="I290" s="388">
        <f>IF(H290,Wh_hp,'2026'!Maxi_hp)</f>
        <v>40.907102417729099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5.9160661125952974E-2</v>
      </c>
      <c r="M290" s="832"/>
      <c r="N290" s="832"/>
      <c r="O290" s="48">
        <f>IF(t&lt;Tnet,'2026'!Resal+('2026'!Salim-'2026'!Resal)*(1-EXP(('2026'!Tnet-t)/('2026'!Tau_j))),Resal+(Salim-Resal)*(1-EXP((Tnet-t)/(Tau_j))))*Salcycl</f>
        <v>4.5864676394350289E-2</v>
      </c>
      <c r="P290" s="169">
        <f>(INDEX(Models!$BJ290:$BT290,,T290)*(1-R290)+INDEX(Models!$BJ290:$BT290,,T290+1)*R290-ERP_i)*Q290*Ramure*Pc/MaxiM</f>
        <v>4.7263114348400327E-4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40.103446512645839</v>
      </c>
      <c r="W290" s="400">
        <f t="shared" si="111"/>
        <v>36.705176236647475</v>
      </c>
      <c r="X290" s="157">
        <f t="shared" si="112"/>
        <v>46663</v>
      </c>
      <c r="Y290" s="383">
        <f t="shared" si="113"/>
        <v>35.451247049522799</v>
      </c>
      <c r="Z290" s="383">
        <f t="shared" si="114"/>
        <v>37.680447218490258</v>
      </c>
      <c r="AA290" s="384">
        <f t="shared" si="115"/>
        <v>40.699614667045552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7.4181720717859986E-2</v>
      </c>
      <c r="AD290" s="230">
        <f>(INDEX(Models!$BJ290:$BT290,,AH290)*(1-AF290)+INDEX(Models!$BJ290:$BT290,,AH290+1)*AF290-ERP_i)*AE290*Ramure*Pc/MaxiM</f>
        <v>5.7280031089487014E-3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'2026'!Wh/'2026'!Env_an*'2027'!Env_an</f>
        <v>40.435779751864544</v>
      </c>
      <c r="C291" s="829"/>
      <c r="D291" s="391">
        <f t="shared" si="102"/>
        <v>42.979234645527342</v>
      </c>
      <c r="E291" s="383">
        <f t="shared" si="100"/>
        <v>45.046845081629691</v>
      </c>
      <c r="F291" s="383">
        <f t="shared" si="103"/>
        <v>45.068928153940959</v>
      </c>
      <c r="G291" s="110">
        <f t="shared" si="101"/>
        <v>1.0163264907080045</v>
      </c>
      <c r="H291" s="412" t="b">
        <f>Wh_hp&gt;='2026'!Maxi_hp</f>
        <v>1</v>
      </c>
      <c r="I291" s="388">
        <f>IF(H291,Wh_hp,'2026'!Maxi_hp)</f>
        <v>45.068928153940959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5.9178692097242469E-2</v>
      </c>
      <c r="M291" s="832"/>
      <c r="N291" s="832"/>
      <c r="O291" s="48">
        <f>IF(t&lt;Tnet,'2026'!Resal+('2026'!Salim-'2026'!Resal)*(1-EXP(('2026'!Tnet-t)/('2026'!Tau_j))),Resal+(Salim-Resal)*(1-EXP((Tnet-t)/(Tau_j))))*Salcycl</f>
        <v>4.5899117515457943E-2</v>
      </c>
      <c r="P291" s="169">
        <f>(INDEX(Models!$BJ291:$BT291,,T291)*(1-R291)+INDEX(Models!$BJ291:$BT291,,T291+1)*R291-ERP_i)*Q291*Ramure*Pc/MaxiM</f>
        <v>4.8998441311587121E-4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39.786210554932723</v>
      </c>
      <c r="W291" s="400">
        <f t="shared" si="111"/>
        <v>40.435779751864544</v>
      </c>
      <c r="X291" s="157">
        <f t="shared" si="112"/>
        <v>46664</v>
      </c>
      <c r="Y291" s="383">
        <f t="shared" si="113"/>
        <v>39.022144115585284</v>
      </c>
      <c r="Z291" s="383">
        <f t="shared" si="114"/>
        <v>41.476679777344692</v>
      </c>
      <c r="AA291" s="384">
        <f t="shared" si="115"/>
        <v>44.79988136081451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7.4178803213897554E-2</v>
      </c>
      <c r="AD291" s="230">
        <f>(INDEX(Models!$BJ291:$BT291,,AH291)*(1-AF291)+INDEX(Models!$BJ291:$BT291,,AH291+1)*AF291-ERP_i)*AE291*Ramure*Pc/MaxiM</f>
        <v>5.9696736564816893E-3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'2026'!Wh/'2026'!Env_an*'2027'!Env_an</f>
        <v>41.228454545073312</v>
      </c>
      <c r="C292" s="829"/>
      <c r="D292" s="391">
        <f t="shared" si="102"/>
        <v>43.822609402893534</v>
      </c>
      <c r="E292" s="383">
        <f t="shared" si="100"/>
        <v>45.932415224881765</v>
      </c>
      <c r="F292" s="383">
        <f t="shared" si="103"/>
        <v>45.955795501616812</v>
      </c>
      <c r="G292" s="110">
        <f t="shared" si="101"/>
        <v>1.0446773289765237</v>
      </c>
      <c r="H292" s="412" t="b">
        <f>Wh_hp&gt;='2026'!Maxi_hp</f>
        <v>1</v>
      </c>
      <c r="I292" s="388">
        <f>IF(H292,Wh_hp,'2026'!Maxi_hp)</f>
        <v>45.955795501616812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5.9196722722972606E-2</v>
      </c>
      <c r="M292" s="832"/>
      <c r="N292" s="832"/>
      <c r="O292" s="48">
        <f>IF(t&lt;Tnet,'2026'!Resal+('2026'!Salim-'2026'!Resal)*(1-EXP(('2026'!Tnet-t)/('2026'!Tau_j))),Resal+(Salim-Resal)*(1-EXP((Tnet-t)/(Tau_j))))*Salcycl</f>
        <v>4.593283004298334E-2</v>
      </c>
      <c r="P292" s="169">
        <f>(INDEX(Models!$BJ292:$BT292,,T292)*(1-R292)+INDEX(Models!$BJ292:$BT292,,T292+1)*R292-ERP_i)*Q292*Ramure*Pc/MaxiM</f>
        <v>5.0875578324439551E-4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39.465252477016101</v>
      </c>
      <c r="W292" s="400">
        <f t="shared" si="111"/>
        <v>41.228454545073312</v>
      </c>
      <c r="X292" s="157">
        <f t="shared" si="112"/>
        <v>46665</v>
      </c>
      <c r="Y292" s="383">
        <f t="shared" si="113"/>
        <v>39.77927464132889</v>
      </c>
      <c r="Z292" s="383">
        <f t="shared" si="114"/>
        <v>42.282244973106685</v>
      </c>
      <c r="AA292" s="384">
        <f t="shared" si="115"/>
        <v>45.669793212622054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7.4174810114514045E-2</v>
      </c>
      <c r="AD292" s="230">
        <f>(INDEX(Models!$BJ292:$BT292,,AH292)*(1-AF292)+INDEX(Models!$BJ292:$BT292,,AH292+1)*AF292-ERP_i)*AE292*Ramure*Pc/MaxiM</f>
        <v>6.2234215700758579E-3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'2026'!Wh/'2026'!Env_an*'2027'!Env_an</f>
        <v>11.389848144954895</v>
      </c>
      <c r="C293" s="829"/>
      <c r="D293" s="391">
        <f t="shared" si="102"/>
        <v>12.106746126507902</v>
      </c>
      <c r="E293" s="383">
        <f t="shared" si="100"/>
        <v>12.690054724984124</v>
      </c>
      <c r="F293" s="383">
        <f t="shared" si="103"/>
        <v>12.690054724984124</v>
      </c>
      <c r="G293" s="110">
        <f t="shared" si="101"/>
        <v>0.29084018278627144</v>
      </c>
      <c r="H293" s="412" t="b">
        <f>Wh_hp&gt;='2026'!Maxi_hp</f>
        <v>0</v>
      </c>
      <c r="I293" s="388">
        <f>IF(H293,Wh_hp,'2026'!Maxi_hp)</f>
        <v>29.938480404074163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5.9214753003149934E-2</v>
      </c>
      <c r="M293" s="832"/>
      <c r="N293" s="832"/>
      <c r="O293" s="48">
        <f>IF(t&lt;Tnet,'2026'!Resal+('2026'!Salim-'2026'!Resal)*(1-EXP(('2026'!Tnet-t)/('2026'!Tau_j))),Resal+(Salim-Resal)*(1-EXP((Tnet-t)/(Tau_j))))*Salcycl</f>
        <v>4.5965806382836615E-2</v>
      </c>
      <c r="P293" s="169">
        <f>(INDEX(Models!$BJ293:$BT293,,T293)*(1-R293)+INDEX(Models!$BJ293:$BT293,,T293+1)*R293-ERP_i)*Q293*Ramure*Pc/MaxiM</f>
        <v>5.2895089746742973E-4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39.141164626905045</v>
      </c>
      <c r="W293" s="400">
        <f t="shared" si="111"/>
        <v>11.389848144954895</v>
      </c>
      <c r="X293" s="157">
        <f t="shared" si="112"/>
        <v>46666</v>
      </c>
      <c r="Y293" s="383">
        <f t="shared" si="113"/>
        <v>11.053132305980496</v>
      </c>
      <c r="Z293" s="383">
        <f t="shared" si="114"/>
        <v>11.748836773603768</v>
      </c>
      <c r="AA293" s="384">
        <f t="shared" si="115"/>
        <v>12.690054724984124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7.4169731476988007E-2</v>
      </c>
      <c r="AD293" s="230">
        <f>(INDEX(Models!$BJ293:$BT293,,AH293)*(1-AF293)+INDEX(Models!$BJ293:$BT293,,AH293+1)*AF293-ERP_i)*AE293*Ramure*Pc/MaxiM</f>
        <v>6.4892484758483897E-3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'2026'!Wh/'2026'!Env_an*'2027'!Env_an</f>
        <v>28.612209739295505</v>
      </c>
      <c r="C294" s="829"/>
      <c r="D294" s="391">
        <f t="shared" si="102"/>
        <v>30.413697693085318</v>
      </c>
      <c r="E294" s="383">
        <f t="shared" si="100"/>
        <v>31.880120781216156</v>
      </c>
      <c r="F294" s="383">
        <f t="shared" si="103"/>
        <v>31.891086046189656</v>
      </c>
      <c r="G294" s="110">
        <f t="shared" si="101"/>
        <v>0.73699940910325779</v>
      </c>
      <c r="H294" s="412" t="b">
        <f>Wh_hp&gt;='2026'!Maxi_hp</f>
        <v>0</v>
      </c>
      <c r="I294" s="388">
        <f>IF(H294,Wh_hp,'2026'!Maxi_hp)</f>
        <v>43.826307821277801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5.9232782937781003E-2</v>
      </c>
      <c r="M294" s="832"/>
      <c r="N294" s="832"/>
      <c r="O294" s="48">
        <f>IF(t&lt;Tnet,'2026'!Resal+('2026'!Salim-'2026'!Resal)*(1-EXP(('2026'!Tnet-t)/('2026'!Tau_j))),Resal+(Salim-Resal)*(1-EXP((Tnet-t)/(Tau_j))))*Salcycl</f>
        <v>4.5998040540513263E-2</v>
      </c>
      <c r="P294" s="169">
        <f>(INDEX(Models!$BJ294:$BT294,,T294)*(1-R294)+INDEX(Models!$BJ294:$BT294,,T294+1)*R294-ERP_i)*Q294*Ramure*Pc/MaxiM</f>
        <v>5.5057378787848788E-4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38.814539186743225</v>
      </c>
      <c r="W294" s="400">
        <f t="shared" si="111"/>
        <v>28.612209739295505</v>
      </c>
      <c r="X294" s="157">
        <f t="shared" si="112"/>
        <v>46667</v>
      </c>
      <c r="Y294" s="383">
        <f t="shared" si="113"/>
        <v>27.659638259801408</v>
      </c>
      <c r="Z294" s="383">
        <f t="shared" si="114"/>
        <v>29.401150208205117</v>
      </c>
      <c r="AA294" s="384">
        <f t="shared" si="115"/>
        <v>31.756311305883614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7.416355996113895E-2</v>
      </c>
      <c r="AD294" s="230">
        <f>(INDEX(Models!$BJ294:$BT294,,AH294)*(1-AF294)+INDEX(Models!$BJ294:$BT294,,AH294+1)*AF294-ERP_i)*AE294*Ramure*Pc/MaxiM</f>
        <v>6.7671359935185978E-3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'2026'!Wh/'2026'!Env_an*'2027'!Env_an</f>
        <v>16.514002514660479</v>
      </c>
      <c r="C295" s="829"/>
      <c r="D295" s="391">
        <f t="shared" si="102"/>
        <v>17.554097026665996</v>
      </c>
      <c r="E295" s="383">
        <f t="shared" si="100"/>
        <v>18.401090543559032</v>
      </c>
      <c r="F295" s="383">
        <f t="shared" si="103"/>
        <v>18.403037330722185</v>
      </c>
      <c r="G295" s="110">
        <f t="shared" si="101"/>
        <v>0.42889075067544191</v>
      </c>
      <c r="H295" s="412" t="b">
        <f>Wh_hp&gt;='2026'!Maxi_hp</f>
        <v>0</v>
      </c>
      <c r="I295" s="388">
        <f>IF(H295,Wh_hp,'2026'!Maxi_hp)</f>
        <v>40.63677888339361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5.9250812526872476E-2</v>
      </c>
      <c r="M295" s="832"/>
      <c r="N295" s="832"/>
      <c r="O295" s="48">
        <f>IF(t&lt;Tnet,'2026'!Resal+('2026'!Salim-'2026'!Resal)*(1-EXP(('2026'!Tnet-t)/('2026'!Tau_j))),Resal+(Salim-Resal)*(1-EXP((Tnet-t)/(Tau_j))))*Salcycl</f>
        <v>4.6029528243885093E-2</v>
      </c>
      <c r="P295" s="169">
        <f>(INDEX(Models!$BJ295:$BT295,,T295)*(1-R295)+INDEX(Models!$BJ295:$BT295,,T295+1)*R295-ERP_i)*Q295*Ramure*Pc/MaxiM</f>
        <v>5.7362662124351815E-4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38.485968170656975</v>
      </c>
      <c r="W295" s="400">
        <f t="shared" si="111"/>
        <v>16.514002514660479</v>
      </c>
      <c r="X295" s="157">
        <f t="shared" si="112"/>
        <v>46668</v>
      </c>
      <c r="Y295" s="383">
        <f t="shared" si="113"/>
        <v>16.007940624766864</v>
      </c>
      <c r="Z295" s="383">
        <f t="shared" si="114"/>
        <v>17.01616205246431</v>
      </c>
      <c r="AA295" s="384">
        <f t="shared" si="115"/>
        <v>18.379086974791392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7.4156291016874654E-2</v>
      </c>
      <c r="AD295" s="230">
        <f>(INDEX(Models!$BJ295:$BT295,,AH295)*(1-AF295)+INDEX(Models!$BJ295:$BT295,,AH295+1)*AF295-ERP_i)*AE295*Ramure*Pc/MaxiM</f>
        <v>7.0570435280263464E-3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'2026'!Wh/'2026'!Env_an*'2027'!Env_an</f>
        <v>37.708905072873847</v>
      </c>
      <c r="C296" s="829"/>
      <c r="D296" s="391">
        <f t="shared" si="102"/>
        <v>40.084677479845574</v>
      </c>
      <c r="E296" s="383">
        <f t="shared" si="100"/>
        <v>42.02013617394303</v>
      </c>
      <c r="F296" s="383">
        <f t="shared" si="103"/>
        <v>42.044881674428709</v>
      </c>
      <c r="G296" s="110">
        <f t="shared" si="101"/>
        <v>0.98827186947477474</v>
      </c>
      <c r="H296" s="412" t="b">
        <f>Wh_hp&gt;='2026'!Maxi_hp</f>
        <v>0</v>
      </c>
      <c r="I296" s="388">
        <f>IF(H296,Wh_hp,'2026'!Maxi_hp)</f>
        <v>42.045164060850539</v>
      </c>
      <c r="J296" s="85">
        <f>IF(H296,An,'2026'!An_max)</f>
        <v>2026</v>
      </c>
      <c r="K296" s="197">
        <f t="shared" si="104"/>
        <v>46669</v>
      </c>
      <c r="L296" s="147">
        <f>IF(t&lt;Tvie,1-EXP((T0-t)*PertePVj)+'2026'!Pspv,1-EXP((T0-t)*PertePVj)+Pspv)</f>
        <v>5.9268841770431013E-2</v>
      </c>
      <c r="M296" s="832"/>
      <c r="N296" s="832"/>
      <c r="O296" s="48">
        <f>IF(t&lt;Tnet,'2026'!Resal+('2026'!Salim-'2026'!Resal)*(1-EXP(('2026'!Tnet-t)/('2026'!Tau_j))),Resal+(Salim-Resal)*(1-EXP((Tnet-t)/(Tau_j))))*Salcycl</f>
        <v>4.6060267060668174E-2</v>
      </c>
      <c r="P296" s="169">
        <f>(INDEX(Models!$BJ296:$BT296,,T296)*(1-R296)+INDEX(Models!$BJ296:$BT296,,T296+1)*R296-ERP_i)*Q296*Ramure*Pc/MaxiM</f>
        <v>5.9856990206138768E-4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38.156025849189639</v>
      </c>
      <c r="W296" s="400">
        <f t="shared" si="111"/>
        <v>37.708905072873847</v>
      </c>
      <c r="X296" s="157">
        <f t="shared" si="112"/>
        <v>46669</v>
      </c>
      <c r="Y296" s="383">
        <f t="shared" si="113"/>
        <v>36.355334974514484</v>
      </c>
      <c r="Z296" s="383">
        <f t="shared" si="114"/>
        <v>38.645828467013104</v>
      </c>
      <c r="AA296" s="384">
        <f t="shared" si="115"/>
        <v>41.740823863394901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7.4147923062342636E-2</v>
      </c>
      <c r="AD296" s="230">
        <f>(INDEX(Models!$BJ296:$BT296,,AH296)*(1-AF296)+INDEX(Models!$BJ296:$BT296,,AH296+1)*AF296-ERP_i)*AE296*Ramure*Pc/MaxiM</f>
        <v>7.3548665656148447E-3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'2026'!Wh/'2026'!Env_an*'2027'!Env_an</f>
        <v>30.275919494053518</v>
      </c>
      <c r="C297" s="829"/>
      <c r="D297" s="391">
        <f t="shared" si="102"/>
        <v>32.184008652634994</v>
      </c>
      <c r="E297" s="383">
        <f t="shared" ref="E297:E360" si="125">Wh_pvt/(1-Psa)</f>
        <v>33.739050127389582</v>
      </c>
      <c r="F297" s="383">
        <f t="shared" si="103"/>
        <v>33.75413117787437</v>
      </c>
      <c r="G297" s="110">
        <f t="shared" ref="G297:G360" si="126">+Wh_hp/MaxiM</f>
        <v>0.80027140570869615</v>
      </c>
      <c r="H297" s="412" t="b">
        <f>Wh_hp&gt;='2026'!Maxi_hp</f>
        <v>0</v>
      </c>
      <c r="I297" s="388">
        <f>IF(H297,Wh_hp,'2026'!Maxi_hp)</f>
        <v>33.758168800984315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5.9286870668463276E-2</v>
      </c>
      <c r="M297" s="832"/>
      <c r="N297" s="832"/>
      <c r="O297" s="48">
        <f>IF(t&lt;Tnet,'2026'!Resal+('2026'!Salim-'2026'!Resal)*(1-EXP(('2026'!Tnet-t)/('2026'!Tau_j))),Resal+(Salim-Resal)*(1-EXP((Tnet-t)/(Tau_j))))*Salcycl</f>
        <v>4.609025650939113E-2</v>
      </c>
      <c r="P297" s="169">
        <f>(INDEX(Models!$BJ297:$BT297,,T297)*(1-R297)+INDEX(Models!$BJ297:$BT297,,T297+1)*R297-ERP_i)*Q297*Ramure*Pc/MaxiM</f>
        <v>6.2499013118236908E-4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37.825319924695371</v>
      </c>
      <c r="W297" s="400">
        <f t="shared" si="111"/>
        <v>30.275919494053518</v>
      </c>
      <c r="X297" s="157">
        <f t="shared" si="112"/>
        <v>46670</v>
      </c>
      <c r="Y297" s="383">
        <f t="shared" si="113"/>
        <v>29.237989653645794</v>
      </c>
      <c r="Z297" s="383">
        <f t="shared" si="114"/>
        <v>31.080665021037898</v>
      </c>
      <c r="AA297" s="384">
        <f t="shared" si="115"/>
        <v>33.569452449853529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7.4138457650848297E-2</v>
      </c>
      <c r="AD297" s="230">
        <f>(INDEX(Models!$BJ297:$BT297,,AH297)*(1-AF297)+INDEX(Models!$BJ297:$BT297,,AH297+1)*AF297-ERP_i)*AE297*Ramure*Pc/MaxiM</f>
        <v>7.6534709945291863E-3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'2026'!Wh/'2026'!Env_an*'2027'!Env_an</f>
        <v>22.023195289334765</v>
      </c>
      <c r="C298" s="829"/>
      <c r="D298" s="391">
        <f t="shared" si="102"/>
        <v>23.411618994397383</v>
      </c>
      <c r="E298" s="383">
        <f t="shared" si="125"/>
        <v>24.54355545511595</v>
      </c>
      <c r="F298" s="383">
        <f t="shared" si="103"/>
        <v>24.550135604583165</v>
      </c>
      <c r="G298" s="110">
        <f t="shared" si="126"/>
        <v>0.58714615184820118</v>
      </c>
      <c r="H298" s="412" t="b">
        <f>Wh_hp&gt;='2026'!Maxi_hp</f>
        <v>0</v>
      </c>
      <c r="I298" s="388">
        <f>IF(H298,Wh_hp,'2026'!Maxi_hp)</f>
        <v>42.372842429013986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5.9304899220975704E-2</v>
      </c>
      <c r="M298" s="832"/>
      <c r="N298" s="832"/>
      <c r="O298" s="48">
        <f>IF(t&lt;Tnet,'2026'!Resal+('2026'!Salim-'2026'!Resal)*(1-EXP(('2026'!Tnet-t)/('2026'!Tau_j))),Resal+(Salim-Resal)*(1-EXP((Tnet-t)/(Tau_j))))*Salcycl</f>
        <v>4.6119498162708987E-2</v>
      </c>
      <c r="P298" s="169">
        <f>(INDEX(Models!$BJ298:$BT298,,T298)*(1-R298)+INDEX(Models!$BJ298:$BT298,,T298+1)*R298-ERP_i)*Q298*Ramure*Pc/MaxiM</f>
        <v>6.5288253749740902E-4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37.494441961563204</v>
      </c>
      <c r="W298" s="400">
        <f t="shared" si="111"/>
        <v>22.023195289334765</v>
      </c>
      <c r="X298" s="157">
        <f t="shared" si="112"/>
        <v>46671</v>
      </c>
      <c r="Y298" s="383">
        <f t="shared" si="113"/>
        <v>21.312459329623096</v>
      </c>
      <c r="Z298" s="383">
        <f t="shared" si="114"/>
        <v>22.656075610443239</v>
      </c>
      <c r="AA298" s="384">
        <f t="shared" si="115"/>
        <v>24.469984138479674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7.412789962474968E-2</v>
      </c>
      <c r="AD298" s="230">
        <f>(INDEX(Models!$BJ298:$BT298,,AH298)*(1-AF298)+INDEX(Models!$BJ298:$BT298,,AH298+1)*AF298-ERP_i)*AE298*Ramure*Pc/MaxiM</f>
        <v>7.9526297745232209E-3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'2026'!Wh/'2026'!Env_an*'2027'!Env_an</f>
        <v>27.337087212570111</v>
      </c>
      <c r="C299" s="829"/>
      <c r="D299" s="391">
        <f t="shared" si="102"/>
        <v>29.061075271904208</v>
      </c>
      <c r="E299" s="383">
        <f t="shared" si="125"/>
        <v>30.467069463788537</v>
      </c>
      <c r="F299" s="383">
        <f t="shared" si="103"/>
        <v>30.480009094447876</v>
      </c>
      <c r="G299" s="110">
        <f t="shared" si="126"/>
        <v>0.73539046896283655</v>
      </c>
      <c r="H299" s="412" t="b">
        <f>Wh_hp&gt;='2026'!Maxi_hp</f>
        <v>0</v>
      </c>
      <c r="I299" s="388">
        <f>IF(H299,Wh_hp,'2026'!Maxi_hp)</f>
        <v>40.061070375868503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5.9322927427975181E-2</v>
      </c>
      <c r="M299" s="832"/>
      <c r="N299" s="832"/>
      <c r="O299" s="48">
        <f>IF(t&lt;Tnet,'2026'!Resal+('2026'!Salim-'2026'!Resal)*(1-EXP(('2026'!Tnet-t)/('2026'!Tau_j))),Resal+(Salim-Resal)*(1-EXP((Tnet-t)/(Tau_j))))*Salcycl</f>
        <v>4.6147995741940805E-2</v>
      </c>
      <c r="P299" s="169">
        <f>(INDEX(Models!$BJ299:$BT299,,T299)*(1-R299)+INDEX(Models!$BJ299:$BT299,,T299+1)*R299-ERP_i)*Q299*Ramure*Pc/MaxiM</f>
        <v>6.8223937577079996E-4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37.163983363341522</v>
      </c>
      <c r="W299" s="400">
        <f t="shared" si="111"/>
        <v>27.337087212570111</v>
      </c>
      <c r="X299" s="157">
        <f t="shared" si="112"/>
        <v>46672</v>
      </c>
      <c r="Y299" s="383">
        <f t="shared" si="113"/>
        <v>26.410480010198786</v>
      </c>
      <c r="Z299" s="383">
        <f t="shared" si="114"/>
        <v>28.076032445424158</v>
      </c>
      <c r="AA299" s="384">
        <f t="shared" si="115"/>
        <v>30.32349651390798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7.411625725460165E-2</v>
      </c>
      <c r="AD299" s="230">
        <f>(INDEX(Models!$BJ299:$BT299,,AH299)*(1-AF299)+INDEX(Models!$BJ299:$BT299,,AH299+1)*AF299-ERP_i)*AE299*Ramure*Pc/MaxiM</f>
        <v>8.2520937466443144E-3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'2026'!Wh/'2026'!Env_an*'2027'!Env_an</f>
        <v>22.891009822731561</v>
      </c>
      <c r="C300" s="829"/>
      <c r="D300" s="391">
        <f t="shared" si="102"/>
        <v>24.335076509869513</v>
      </c>
      <c r="E300" s="383">
        <f t="shared" si="125"/>
        <v>25.513166228037008</v>
      </c>
      <c r="F300" s="383">
        <f t="shared" si="103"/>
        <v>25.521523194205923</v>
      </c>
      <c r="G300" s="110">
        <f t="shared" si="126"/>
        <v>0.6212153860890065</v>
      </c>
      <c r="H300" s="412" t="b">
        <f>Wh_hp&gt;='2026'!Maxi_hp</f>
        <v>0</v>
      </c>
      <c r="I300" s="388">
        <f>IF(H300,Wh_hp,'2026'!Maxi_hp)</f>
        <v>39.39832701671196</v>
      </c>
      <c r="J300" s="85">
        <f>IF(H300,An,'2026'!An_max)</f>
        <v>2018</v>
      </c>
      <c r="K300" s="197">
        <f t="shared" si="104"/>
        <v>46673</v>
      </c>
      <c r="L300" s="147">
        <f>IF(t&lt;Tvie,1-EXP((T0-t)*PertePVj)+'2026'!Pspv,1-EXP((T0-t)*PertePVj)+Pspv)</f>
        <v>5.9340955289468034E-2</v>
      </c>
      <c r="M300" s="832"/>
      <c r="N300" s="832"/>
      <c r="O300" s="48">
        <f>IF(t&lt;Tnet,'2026'!Resal+('2026'!Salim-'2026'!Resal)*(1-EXP(('2026'!Tnet-t)/('2026'!Tau_j))),Resal+(Salim-Resal)*(1-EXP((Tnet-t)/(Tau_j))))*Salcycl</f>
        <v>4.6175755201754015E-2</v>
      </c>
      <c r="P300" s="169">
        <f>(INDEX(Models!$BJ300:$BT300,,T300)*(1-R300)+INDEX(Models!$BJ300:$BT300,,T300+1)*R300-ERP_i)*Q300*Ramure*Pc/MaxiM</f>
        <v>7.1304965573383669E-4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36.834535376286887</v>
      </c>
      <c r="W300" s="400">
        <f t="shared" si="111"/>
        <v>22.891009822731561</v>
      </c>
      <c r="X300" s="157">
        <f t="shared" si="112"/>
        <v>46673</v>
      </c>
      <c r="Y300" s="383">
        <f t="shared" si="113"/>
        <v>22.140752857183049</v>
      </c>
      <c r="Z300" s="383">
        <f t="shared" si="114"/>
        <v>23.537489998829916</v>
      </c>
      <c r="AA300" s="384">
        <f t="shared" si="115"/>
        <v>25.421298250640898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7.4103542361904778E-2</v>
      </c>
      <c r="AD300" s="230">
        <f>(INDEX(Models!$BJ300:$BT300,,AH300)*(1-AF300)+INDEX(Models!$BJ300:$BT300,,AH300+1)*AF300-ERP_i)*AE300*Ramure*Pc/MaxiM</f>
        <v>8.5515915776722684E-3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'2026'!Wh/'2026'!Env_an*'2027'!Env_an</f>
        <v>17.795411159509349</v>
      </c>
      <c r="C301" s="829"/>
      <c r="D301" s="391">
        <f t="shared" si="102"/>
        <v>18.918387391381412</v>
      </c>
      <c r="E301" s="383">
        <f t="shared" si="125"/>
        <v>19.834810890586713</v>
      </c>
      <c r="F301" s="383">
        <f t="shared" si="103"/>
        <v>19.838770450667678</v>
      </c>
      <c r="G301" s="110">
        <f t="shared" si="126"/>
        <v>0.48719011492620595</v>
      </c>
      <c r="H301" s="412" t="b">
        <f>Wh_hp&gt;='2026'!Maxi_hp</f>
        <v>0</v>
      </c>
      <c r="I301" s="388">
        <f>IF(H301,Wh_hp,'2026'!Maxi_hp)</f>
        <v>42.332847154201126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5.9358982805461147E-2</v>
      </c>
      <c r="M301" s="832"/>
      <c r="N301" s="832"/>
      <c r="O301" s="48">
        <f>IF(t&lt;Tnet,'2026'!Resal+('2026'!Salim-'2026'!Resal)*(1-EXP(('2026'!Tnet-t)/('2026'!Tau_j))),Resal+(Salim-Resal)*(1-EXP((Tnet-t)/(Tau_j))))*Salcycl</f>
        <v>4.6202784803974169E-2</v>
      </c>
      <c r="P301" s="169">
        <f>(INDEX(Models!$BJ301:$BT301,,T301)*(1-R301)+INDEX(Models!$BJ301:$BT301,,T301+1)*R301-ERP_i)*Q301*Ramure*Pc/MaxiM</f>
        <v>7.4529887426763889E-4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36.506689089701993</v>
      </c>
      <c r="W301" s="400">
        <f t="shared" si="111"/>
        <v>17.795411159509349</v>
      </c>
      <c r="X301" s="157">
        <f t="shared" si="112"/>
        <v>46674</v>
      </c>
      <c r="Y301" s="383">
        <f t="shared" si="113"/>
        <v>17.237606355719386</v>
      </c>
      <c r="Z301" s="383">
        <f t="shared" si="114"/>
        <v>18.325382415419789</v>
      </c>
      <c r="AA301" s="384">
        <f t="shared" si="115"/>
        <v>19.791748519518752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7.4089770423912973E-2</v>
      </c>
      <c r="AD301" s="230">
        <f>(INDEX(Models!$BJ301:$BT301,,AH301)*(1-AF301)+INDEX(Models!$BJ301:$BT301,,AH301+1)*AF301-ERP_i)*AE301*Ramure*Pc/MaxiM</f>
        <v>8.8508297978969058E-3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'2026'!Wh/'2026'!Env_an*'2027'!Env_an</f>
        <v>36.56962349317859</v>
      </c>
      <c r="C302" s="829"/>
      <c r="D302" s="391">
        <f t="shared" si="102"/>
        <v>38.878088119283582</v>
      </c>
      <c r="E302" s="383">
        <f t="shared" si="125"/>
        <v>40.762501689651693</v>
      </c>
      <c r="F302" s="383">
        <f t="shared" si="103"/>
        <v>40.794279158401729</v>
      </c>
      <c r="G302" s="110">
        <f t="shared" si="126"/>
        <v>1.0107401032289725</v>
      </c>
      <c r="H302" s="412" t="b">
        <f>Wh_hp&gt;='2026'!Maxi_hp</f>
        <v>1</v>
      </c>
      <c r="I302" s="388">
        <f>IF(H302,Wh_hp,'2026'!Maxi_hp)</f>
        <v>40.794279158401729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5.9377009975960959E-2</v>
      </c>
      <c r="M302" s="832"/>
      <c r="N302" s="832"/>
      <c r="O302" s="48">
        <f>IF(t&lt;Tnet,'2026'!Resal+('2026'!Salim-'2026'!Resal)*(1-EXP(('2026'!Tnet-t)/('2026'!Tau_j))),Resal+(Salim-Resal)*(1-EXP((Tnet-t)/(Tau_j))))*Salcycl</f>
        <v>4.6229095179565527E-2</v>
      </c>
      <c r="P302" s="169">
        <f>(INDEX(Models!$BJ302:$BT302,,T302)*(1-R302)+INDEX(Models!$BJ302:$BT302,,T302+1)*R302-ERP_i)*Q302*Ramure*Pc/MaxiM</f>
        <v>7.7896875261960802E-4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36.181035437647147</v>
      </c>
      <c r="W302" s="400">
        <f t="shared" si="111"/>
        <v>36.56962349317859</v>
      </c>
      <c r="X302" s="157">
        <f t="shared" si="112"/>
        <v>46675</v>
      </c>
      <c r="Y302" s="383">
        <f t="shared" si="113"/>
        <v>35.204551622363162</v>
      </c>
      <c r="Z302" s="383">
        <f t="shared" si="114"/>
        <v>37.426845819985175</v>
      </c>
      <c r="AA302" s="384">
        <f t="shared" si="115"/>
        <v>40.421032189199096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7.4074960659069766E-2</v>
      </c>
      <c r="AD302" s="230">
        <f>(INDEX(Models!$BJ302:$BT302,,AH302)*(1-AF302)+INDEX(Models!$BJ302:$BT302,,AH302+1)*AF302-ERP_i)*AE302*Ramure*Pc/MaxiM</f>
        <v>9.1494929412365943E-3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'2026'!Wh/'2026'!Env_an*'2027'!Env_an</f>
        <v>32.280089912845099</v>
      </c>
      <c r="C303" s="829"/>
      <c r="D303" s="391">
        <f t="shared" si="102"/>
        <v>34.318434598792187</v>
      </c>
      <c r="E303" s="383">
        <f t="shared" si="125"/>
        <v>35.982808593035735</v>
      </c>
      <c r="F303" s="383">
        <f t="shared" si="103"/>
        <v>36.007946489307514</v>
      </c>
      <c r="G303" s="110">
        <f t="shared" si="126"/>
        <v>0.90017527047020041</v>
      </c>
      <c r="H303" s="412" t="b">
        <f>Wh_hp&gt;='2026'!Maxi_hp</f>
        <v>0</v>
      </c>
      <c r="I303" s="388">
        <f>IF(H303,Wh_hp,'2026'!Maxi_hp)</f>
        <v>38.803370286376357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5.9395036800974133E-2</v>
      </c>
      <c r="M303" s="832"/>
      <c r="N303" s="832"/>
      <c r="O303" s="48">
        <f>IF(t&lt;Tnet,'2026'!Resal+('2026'!Salim-'2026'!Resal)*(1-EXP(('2026'!Tnet-t)/('2026'!Tau_j))),Resal+(Salim-Resal)*(1-EXP((Tnet-t)/(Tau_j))))*Salcycl</f>
        <v>4.6254699377904593E-2</v>
      </c>
      <c r="P303" s="169">
        <f>(INDEX(Models!$BJ303:$BT303,,T303)*(1-R303)+INDEX(Models!$BJ303:$BT303,,T303+1)*R303-ERP_i)*Q303*Ramure*Pc/MaxiM</f>
        <v>8.1409468735909229E-4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35.855621353613444</v>
      </c>
      <c r="W303" s="400">
        <f t="shared" si="111"/>
        <v>32.280089912845099</v>
      </c>
      <c r="X303" s="157">
        <f t="shared" si="112"/>
        <v>46676</v>
      </c>
      <c r="Y303" s="383">
        <f t="shared" si="113"/>
        <v>31.106839728027726</v>
      </c>
      <c r="Z303" s="383">
        <f t="shared" si="114"/>
        <v>33.071098861983913</v>
      </c>
      <c r="AA303" s="384">
        <f t="shared" si="115"/>
        <v>35.716210560571753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7.4059136091773975E-2</v>
      </c>
      <c r="AD303" s="230">
        <f>(INDEX(Models!$BJ303:$BT303,,AH303)*(1-AF303)+INDEX(Models!$BJ303:$BT303,,AH303+1)*AF303-ERP_i)*AE303*Ramure*Pc/MaxiM</f>
        <v>9.4479135058795922E-3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'2026'!Wh/'2026'!Env_an*'2027'!Env_an</f>
        <v>19.165229964559472</v>
      </c>
      <c r="C304" s="829"/>
      <c r="D304" s="391">
        <f t="shared" si="102"/>
        <v>20.375819837985951</v>
      </c>
      <c r="E304" s="383">
        <f t="shared" si="125"/>
        <v>21.364563569829713</v>
      </c>
      <c r="F304" s="383">
        <f t="shared" si="103"/>
        <v>21.370778183069142</v>
      </c>
      <c r="G304" s="110">
        <f t="shared" si="126"/>
        <v>0.53913152499855399</v>
      </c>
      <c r="H304" s="412" t="b">
        <f>Wh_hp&gt;='2026'!Maxi_hp</f>
        <v>0</v>
      </c>
      <c r="I304" s="388">
        <f>IF(H304,Wh_hp,'2026'!Maxi_hp)</f>
        <v>35.6425652403491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5.9413063280507439E-2</v>
      </c>
      <c r="M304" s="832"/>
      <c r="N304" s="832"/>
      <c r="O304" s="48">
        <f>IF(t&lt;Tnet,'2026'!Resal+('2026'!Salim-'2026'!Resal)*(1-EXP(('2026'!Tnet-t)/('2026'!Tau_j))),Resal+(Salim-Resal)*(1-EXP((Tnet-t)/(Tau_j))))*Salcycl</f>
        <v>4.6279612902555715E-2</v>
      </c>
      <c r="P304" s="169">
        <f>(INDEX(Models!$BJ304:$BT304,,T304)*(1-R304)+INDEX(Models!$BJ304:$BT304,,T304+1)*R304-ERP_i)*Q304*Ramure*Pc/MaxiM</f>
        <v>8.5017269801451398E-4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35.528447963913848</v>
      </c>
      <c r="W304" s="400">
        <f t="shared" si="111"/>
        <v>19.165229964559472</v>
      </c>
      <c r="X304" s="157">
        <f t="shared" si="112"/>
        <v>46677</v>
      </c>
      <c r="Y304" s="383">
        <f t="shared" si="113"/>
        <v>18.550717862317686</v>
      </c>
      <c r="Z304" s="383">
        <f t="shared" si="114"/>
        <v>19.722491497721059</v>
      </c>
      <c r="AA304" s="384">
        <f t="shared" si="115"/>
        <v>21.299560444598121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7.4042323595322396E-2</v>
      </c>
      <c r="AD304" s="230">
        <f>(INDEX(Models!$BJ304:$BT304,,AH304)*(1-AF304)+INDEX(Models!$BJ304:$BT304,,AH304+1)*AF304-ERP_i)*AE304*Ramure*Pc/MaxiM</f>
        <v>9.7427425536706844E-3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'2026'!Wh/'2026'!Env_an*'2027'!Env_an</f>
        <v>33.809808458261131</v>
      </c>
      <c r="C305" s="829"/>
      <c r="D305" s="391">
        <f t="shared" si="102"/>
        <v>35.946125879513808</v>
      </c>
      <c r="E305" s="383">
        <f t="shared" si="125"/>
        <v>37.691382124390671</v>
      </c>
      <c r="F305" s="383">
        <f t="shared" si="103"/>
        <v>37.722928131150979</v>
      </c>
      <c r="G305" s="110">
        <f t="shared" si="126"/>
        <v>0.96045675118196228</v>
      </c>
      <c r="H305" s="412" t="b">
        <f>Wh_hp&gt;='2026'!Maxi_hp</f>
        <v>0</v>
      </c>
      <c r="I305" s="388">
        <f>IF(H305,Wh_hp,'2026'!Maxi_hp)</f>
        <v>38.775386152374139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5.9431089414567317E-2</v>
      </c>
      <c r="M305" s="832"/>
      <c r="N305" s="832"/>
      <c r="O305" s="48">
        <f>IF(t&lt;Tnet,'2026'!Resal+('2026'!Salim-'2026'!Resal)*(1-EXP(('2026'!Tnet-t)/('2026'!Tau_j))),Resal+(Salim-Resal)*(1-EXP((Tnet-t)/(Tau_j))))*Salcycl</f>
        <v>4.6303853732853277E-2</v>
      </c>
      <c r="P305" s="169">
        <f>(INDEX(Models!$BJ305:$BT305,,T305)*(1-R305)+INDEX(Models!$BJ305:$BT305,,T305+1)*R305-ERP_i)*Q305*Ramure*Pc/MaxiM</f>
        <v>8.8625978707283879E-4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35.200040362953068</v>
      </c>
      <c r="W305" s="400">
        <f t="shared" si="111"/>
        <v>33.809808458261131</v>
      </c>
      <c r="X305" s="157">
        <f t="shared" si="112"/>
        <v>46678</v>
      </c>
      <c r="Y305" s="383">
        <f t="shared" si="113"/>
        <v>32.543607667109534</v>
      </c>
      <c r="Z305" s="383">
        <f t="shared" si="114"/>
        <v>34.599918518307831</v>
      </c>
      <c r="AA305" s="384">
        <f t="shared" si="115"/>
        <v>37.365913604388318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7.4024553912035121E-2</v>
      </c>
      <c r="AD305" s="230">
        <f>(INDEX(Models!$BJ305:$BT305,,AH305)*(1-AF305)+INDEX(Models!$BJ305:$BT305,,AH305+1)*AF305-ERP_i)*AE305*Ramure*Pc/MaxiM</f>
        <v>1.0030037109758153E-2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'2026'!Wh/'2026'!Env_an*'2027'!Env_an</f>
        <v>15.716489629643039</v>
      </c>
      <c r="C306" s="829"/>
      <c r="D306" s="391">
        <f t="shared" si="102"/>
        <v>16.709877034497527</v>
      </c>
      <c r="E306" s="383">
        <f t="shared" si="125"/>
        <v>17.521608334138424</v>
      </c>
      <c r="F306" s="383">
        <f t="shared" si="103"/>
        <v>17.525088334681381</v>
      </c>
      <c r="G306" s="110">
        <f t="shared" si="126"/>
        <v>0.45037887946887112</v>
      </c>
      <c r="H306" s="412" t="b">
        <f>Wh_hp&gt;='2026'!Maxi_hp</f>
        <v>0</v>
      </c>
      <c r="I306" s="388">
        <f>IF(H306,Wh_hp,'2026'!Maxi_hp)</f>
        <v>38.555741543850147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5.944911520316043E-2</v>
      </c>
      <c r="M306" s="832"/>
      <c r="N306" s="832"/>
      <c r="O306" s="48">
        <f>IF(t&lt;Tnet,'2026'!Resal+('2026'!Salim-'2026'!Resal)*(1-EXP(('2026'!Tnet-t)/('2026'!Tau_j))),Resal+(Salim-Resal)*(1-EXP((Tnet-t)/(Tau_j))))*Salcycl</f>
        <v>4.6327442330699208E-2</v>
      </c>
      <c r="P306" s="169">
        <f>(INDEX(Models!$BJ306:$BT306,,T306)*(1-R306)+INDEX(Models!$BJ306:$BT306,,T306+1)*R306-ERP_i)*Q306*Ramure*Pc/MaxiM</f>
        <v>9.2233576193697124E-4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34.870889974003596</v>
      </c>
      <c r="W306" s="400">
        <f t="shared" si="111"/>
        <v>15.716489629643039</v>
      </c>
      <c r="X306" s="157">
        <f t="shared" si="112"/>
        <v>46679</v>
      </c>
      <c r="Y306" s="383">
        <f t="shared" si="113"/>
        <v>15.229502921025434</v>
      </c>
      <c r="Z306" s="383">
        <f t="shared" si="114"/>
        <v>16.192109504330571</v>
      </c>
      <c r="AA306" s="384">
        <f t="shared" si="115"/>
        <v>17.486190067226854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7.4005861649742016E-2</v>
      </c>
      <c r="AD306" s="230">
        <f>(INDEX(Models!$BJ306:$BT306,,AH306)*(1-AF306)+INDEX(Models!$BJ306:$BT306,,AH306+1)*AF306-ERP_i)*AE306*Ramure*Pc/MaxiM</f>
        <v>1.0309556768116193E-2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'2026'!Wh/'2026'!Env_an*'2027'!Env_an</f>
        <v>6.6188159433105636</v>
      </c>
      <c r="C307" s="829"/>
      <c r="D307" s="391">
        <f t="shared" si="102"/>
        <v>7.0373043083882543</v>
      </c>
      <c r="E307" s="383">
        <f t="shared" si="125"/>
        <v>7.3793396656717958</v>
      </c>
      <c r="F307" s="383">
        <f t="shared" si="103"/>
        <v>7.3793396656717958</v>
      </c>
      <c r="G307" s="110">
        <f t="shared" si="126"/>
        <v>0.19143566152056071</v>
      </c>
      <c r="H307" s="412" t="b">
        <f>Wh_hp&gt;='2026'!Maxi_hp</f>
        <v>0</v>
      </c>
      <c r="I307" s="388">
        <f>IF(H307,Wh_hp,'2026'!Maxi_hp)</f>
        <v>31.702695928532638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5.9467140646293437E-2</v>
      </c>
      <c r="M307" s="832"/>
      <c r="N307" s="832"/>
      <c r="O307" s="48">
        <f>IF(t&lt;Tnet,'2026'!Resal+('2026'!Salim-'2026'!Resal)*(1-EXP(('2026'!Tnet-t)/('2026'!Tau_j))),Resal+(Salim-Resal)*(1-EXP((Tnet-t)/(Tau_j))))*Salcycl</f>
        <v>4.6350401632095604E-2</v>
      </c>
      <c r="P307" s="169">
        <f>(INDEX(Models!$BJ307:$BT307,,T307)*(1-R307)+INDEX(Models!$BJ307:$BT307,,T307+1)*R307-ERP_i)*Q307*Ramure*Pc/MaxiM</f>
        <v>9.5837906117972717E-4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34.541488018367431</v>
      </c>
      <c r="W307" s="400">
        <f t="shared" si="111"/>
        <v>6.6188159433105636</v>
      </c>
      <c r="X307" s="157">
        <f t="shared" si="112"/>
        <v>46680</v>
      </c>
      <c r="Y307" s="383">
        <f t="shared" si="113"/>
        <v>6.4270087769917073</v>
      </c>
      <c r="Z307" s="383">
        <f t="shared" si="114"/>
        <v>6.8333697361813277</v>
      </c>
      <c r="AA307" s="384">
        <f t="shared" si="115"/>
        <v>7.3793396656717958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7.3986285253988843E-2</v>
      </c>
      <c r="AD307" s="230">
        <f>(INDEX(Models!$BJ307:$BT307,,AH307)*(1-AF307)+INDEX(Models!$BJ307:$BT307,,AH307+1)*AF307-ERP_i)*AE307*Ramure*Pc/MaxiM</f>
        <v>1.0581055326947633E-2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'2026'!Wh/'2026'!Env_an*'2027'!Env_an</f>
        <v>16.109602256131932</v>
      </c>
      <c r="C308" s="829"/>
      <c r="D308" s="391">
        <f t="shared" si="102"/>
        <v>17.128493532879858</v>
      </c>
      <c r="E308" s="383">
        <f t="shared" si="125"/>
        <v>17.961413811343757</v>
      </c>
      <c r="F308" s="383">
        <f t="shared" si="103"/>
        <v>17.965774586037519</v>
      </c>
      <c r="G308" s="110">
        <f t="shared" si="126"/>
        <v>0.47051729019126587</v>
      </c>
      <c r="H308" s="412" t="b">
        <f>Wh_hp&gt;='2026'!Maxi_hp</f>
        <v>0</v>
      </c>
      <c r="I308" s="388">
        <f>IF(H308,Wh_hp,'2026'!Maxi_hp)</f>
        <v>24.418087613545492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5.948516574397289E-2</v>
      </c>
      <c r="M308" s="832"/>
      <c r="N308" s="832"/>
      <c r="O308" s="48">
        <f>IF(t&lt;Tnet,'2026'!Resal+('2026'!Salim-'2026'!Resal)*(1-EXP(('2026'!Tnet-t)/('2026'!Tau_j))),Resal+(Salim-Resal)*(1-EXP((Tnet-t)/(Tau_j))))*Salcycl</f>
        <v>4.6372757023050076E-2</v>
      </c>
      <c r="P308" s="169">
        <f>(INDEX(Models!$BJ308:$BT308,,T308)*(1-R308)+INDEX(Models!$BJ308:$BT308,,T308+1)*R308-ERP_i)*Q308*Ramure*Pc/MaxiM</f>
        <v>9.9436679670655251E-4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34.212325519746969</v>
      </c>
      <c r="W308" s="400">
        <f t="shared" si="111"/>
        <v>16.109602256131932</v>
      </c>
      <c r="X308" s="157">
        <f t="shared" si="112"/>
        <v>46681</v>
      </c>
      <c r="Y308" s="383">
        <f t="shared" si="113"/>
        <v>15.605850483384208</v>
      </c>
      <c r="Z308" s="383">
        <f t="shared" si="114"/>
        <v>16.592880744649669</v>
      </c>
      <c r="AA308" s="384">
        <f t="shared" si="115"/>
        <v>17.918217215274687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7.396586695551452E-2</v>
      </c>
      <c r="AD308" s="230">
        <f>(INDEX(Models!$BJ308:$BT308,,AH308)*(1-AF308)+INDEX(Models!$BJ308:$BT308,,AH308+1)*AF308-ERP_i)*AE308*Ramure*Pc/MaxiM</f>
        <v>1.0844281978814218E-2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'2026'!Wh/'2026'!Env_an*'2027'!Env_an</f>
        <v>32.550026056573785</v>
      </c>
      <c r="C309" s="829"/>
      <c r="D309" s="391">
        <f t="shared" si="102"/>
        <v>34.609395510599505</v>
      </c>
      <c r="E309" s="383">
        <f t="shared" si="125"/>
        <v>36.293201777914184</v>
      </c>
      <c r="F309" s="383">
        <f t="shared" si="103"/>
        <v>36.328525287303485</v>
      </c>
      <c r="G309" s="110">
        <f t="shared" si="126"/>
        <v>0.96057846695144511</v>
      </c>
      <c r="H309" s="412" t="b">
        <f>Wh_hp&gt;='2026'!Maxi_hp</f>
        <v>0</v>
      </c>
      <c r="I309" s="388">
        <f>IF(H309,Wh_hp,'2026'!Maxi_hp)</f>
        <v>36.329936976032066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5.9503190496205449E-2</v>
      </c>
      <c r="M309" s="832"/>
      <c r="N309" s="832"/>
      <c r="O309" s="48">
        <f>IF(t&lt;Tnet,'2026'!Resal+('2026'!Salim-'2026'!Resal)*(1-EXP(('2026'!Tnet-t)/('2026'!Tau_j))),Resal+(Salim-Resal)*(1-EXP((Tnet-t)/(Tau_j))))*Salcycl</f>
        <v>4.6394536299614701E-2</v>
      </c>
      <c r="P309" s="169">
        <f>(INDEX(Models!$BJ309:$BT309,,T309)*(1-R309)+INDEX(Models!$BJ309:$BT309,,T309+1)*R309-ERP_i)*Q309*Ramure*Pc/MaxiM</f>
        <v>1.0302747975067877E-3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33.883893310494479</v>
      </c>
      <c r="W309" s="400">
        <f t="shared" si="111"/>
        <v>32.550026056573785</v>
      </c>
      <c r="X309" s="157">
        <f t="shared" si="112"/>
        <v>46682</v>
      </c>
      <c r="Y309" s="383">
        <f t="shared" si="113"/>
        <v>31.308978129676511</v>
      </c>
      <c r="Z309" s="383">
        <f t="shared" si="114"/>
        <v>33.289829176767867</v>
      </c>
      <c r="AA309" s="384">
        <f t="shared" si="115"/>
        <v>35.947990877183209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7.3944652692746873E-2</v>
      </c>
      <c r="AD309" s="230">
        <f>(INDEX(Models!$BJ309:$BT309,,AH309)*(1-AF309)+INDEX(Models!$BJ309:$BT309,,AH309+1)*AF309-ERP_i)*AE309*Ramure*Pc/MaxiM</f>
        <v>1.109898249378939E-2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'2026'!Wh/'2026'!Env_an*'2027'!Env_an</f>
        <v>16.730578019773553</v>
      </c>
      <c r="C310" s="829"/>
      <c r="D310" s="391">
        <f t="shared" si="102"/>
        <v>17.789426284664081</v>
      </c>
      <c r="E310" s="383">
        <f t="shared" si="125"/>
        <v>18.655327676113949</v>
      </c>
      <c r="F310" s="383">
        <f t="shared" si="103"/>
        <v>18.660966434509518</v>
      </c>
      <c r="G310" s="110">
        <f t="shared" si="126"/>
        <v>0.49819566481887229</v>
      </c>
      <c r="H310" s="412" t="b">
        <f>Wh_hp&gt;='2026'!Maxi_hp</f>
        <v>0</v>
      </c>
      <c r="I310" s="388">
        <f>IF(H310,Wh_hp,'2026'!Maxi_hp)</f>
        <v>37.404529448025627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5.9521214902997777E-2</v>
      </c>
      <c r="M310" s="832"/>
      <c r="N310" s="832"/>
      <c r="O310" s="48">
        <f>IF(t&lt;Tnet,'2026'!Resal+('2026'!Salim-'2026'!Resal)*(1-EXP(('2026'!Tnet-t)/('2026'!Tau_j))),Resal+(Salim-Resal)*(1-EXP((Tnet-t)/(Tau_j))))*Salcycl</f>
        <v>4.6415769611946184E-2</v>
      </c>
      <c r="P310" s="169">
        <f>(INDEX(Models!$BJ310:$BT310,,T310)*(1-R310)+INDEX(Models!$BJ310:$BT310,,T310+1)*R310-ERP_i)*Q310*Ramure*Pc/MaxiM</f>
        <v>1.0651731455598107E-3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33.556712422486235</v>
      </c>
      <c r="W310" s="400">
        <f t="shared" si="111"/>
        <v>16.730578019773553</v>
      </c>
      <c r="X310" s="157">
        <f t="shared" si="112"/>
        <v>46683</v>
      </c>
      <c r="Y310" s="383">
        <f t="shared" si="113"/>
        <v>16.200571831409707</v>
      </c>
      <c r="Z310" s="383">
        <f t="shared" si="114"/>
        <v>17.225876955575089</v>
      </c>
      <c r="AA310" s="384">
        <f t="shared" si="115"/>
        <v>18.600906000978814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7.3922692009269292E-2</v>
      </c>
      <c r="AD310" s="230">
        <f>(INDEX(Models!$BJ310:$BT310,,AH310)*(1-AF310)+INDEX(Models!$BJ310:$BT310,,AH310+1)*AF310-ERP_i)*AE310*Ramure*Pc/MaxiM</f>
        <v>1.1345540351194647E-2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'2026'!Wh/'2026'!Env_an*'2027'!Env_an</f>
        <v>24.75586761686224</v>
      </c>
      <c r="C311" s="829"/>
      <c r="D311" s="391">
        <f t="shared" si="102"/>
        <v>26.32312653810337</v>
      </c>
      <c r="E311" s="383">
        <f t="shared" si="125"/>
        <v>27.605006111581105</v>
      </c>
      <c r="F311" s="383">
        <f t="shared" si="103"/>
        <v>27.624296322437345</v>
      </c>
      <c r="G311" s="110">
        <f t="shared" si="126"/>
        <v>0.74465822299951534</v>
      </c>
      <c r="H311" s="412" t="b">
        <f>Wh_hp&gt;='2026'!Maxi_hp</f>
        <v>0</v>
      </c>
      <c r="I311" s="388">
        <f>IF(H311,Wh_hp,'2026'!Maxi_hp)</f>
        <v>38.420312161688102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5.9539238964356533E-2</v>
      </c>
      <c r="M311" s="832"/>
      <c r="N311" s="832"/>
      <c r="O311" s="48">
        <f>IF(t&lt;Tnet,'2026'!Resal+('2026'!Salim-'2026'!Resal)*(1-EXP(('2026'!Tnet-t)/('2026'!Tau_j))),Resal+(Salim-Resal)*(1-EXP((Tnet-t)/(Tau_j))))*Salcycl</f>
        <v>4.643648939240589E-2</v>
      </c>
      <c r="P311" s="169">
        <f>(INDEX(Models!$BJ311:$BT311,,T311)*(1-R311)+INDEX(Models!$BJ311:$BT311,,T311+1)*R311-ERP_i)*Q311*Ramure*Pc/MaxiM</f>
        <v>1.0985659408883387E-3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33.231288053157563</v>
      </c>
      <c r="W311" s="400">
        <f t="shared" si="111"/>
        <v>24.75586761686224</v>
      </c>
      <c r="X311" s="157">
        <f t="shared" si="112"/>
        <v>46684</v>
      </c>
      <c r="Y311" s="383">
        <f t="shared" si="113"/>
        <v>23.88245319529323</v>
      </c>
      <c r="Z311" s="383">
        <f t="shared" si="114"/>
        <v>25.394417486375154</v>
      </c>
      <c r="AA311" s="384">
        <f t="shared" si="115"/>
        <v>27.420816894880126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7.3900037926416778E-2</v>
      </c>
      <c r="AD311" s="230">
        <f>(INDEX(Models!$BJ311:$BT311,,AH311)*(1-AF311)+INDEX(Models!$BJ311:$BT311,,AH311+1)*AF311-ERP_i)*AE311*Ramure*Pc/MaxiM</f>
        <v>1.1588031382950113E-2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'2026'!Wh/'2026'!Env_an*'2027'!Env_an</f>
        <v>21.889963034654677</v>
      </c>
      <c r="C312" s="829"/>
      <c r="D312" s="391">
        <f t="shared" si="102"/>
        <v>23.276231678966106</v>
      </c>
      <c r="E312" s="383">
        <f t="shared" si="125"/>
        <v>24.410252180275368</v>
      </c>
      <c r="F312" s="383">
        <f t="shared" si="103"/>
        <v>24.424656296684475</v>
      </c>
      <c r="G312" s="110">
        <f t="shared" si="126"/>
        <v>0.66482459623857171</v>
      </c>
      <c r="H312" s="412" t="b">
        <f>Wh_hp&gt;='2026'!Maxi_hp</f>
        <v>0</v>
      </c>
      <c r="I312" s="388">
        <f>IF(H312,Wh_hp,'2026'!Maxi_hp)</f>
        <v>35.228620832517834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5.9557262680288159E-2</v>
      </c>
      <c r="M312" s="832"/>
      <c r="N312" s="832"/>
      <c r="O312" s="48">
        <f>IF(t&lt;Tnet,'2026'!Resal+('2026'!Salim-'2026'!Resal)*(1-EXP(('2026'!Tnet-t)/('2026'!Tau_j))),Resal+(Salim-Resal)*(1-EXP((Tnet-t)/(Tau_j))))*Salcycl</f>
        <v>4.64567302678505E-2</v>
      </c>
      <c r="P312" s="169">
        <f>(INDEX(Models!$BJ312:$BT312,,T312)*(1-R312)+INDEX(Models!$BJ312:$BT312,,T312+1)*R312-ERP_i)*Q312*Ramure*Pc/MaxiM</f>
        <v>1.1304305911739719E-3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32.908109003824002</v>
      </c>
      <c r="W312" s="400">
        <f t="shared" si="111"/>
        <v>21.889963034654677</v>
      </c>
      <c r="X312" s="157">
        <f t="shared" si="112"/>
        <v>46685</v>
      </c>
      <c r="Y312" s="383">
        <f t="shared" si="113"/>
        <v>21.141794137596957</v>
      </c>
      <c r="Z312" s="383">
        <f t="shared" si="114"/>
        <v>22.480682022014083</v>
      </c>
      <c r="AA312" s="384">
        <f t="shared" si="115"/>
        <v>24.273963475301898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7.3876746791368936E-2</v>
      </c>
      <c r="AD312" s="230">
        <f>(INDEX(Models!$BJ312:$BT312,,AH312)*(1-AF312)+INDEX(Models!$BJ312:$BT312,,AH312+1)*AF312-ERP_i)*AE312*Ramure*Pc/MaxiM</f>
        <v>1.1826325914268297E-2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'2026'!Wh/'2026'!Env_an*'2027'!Env_an</f>
        <v>12.203689945981507</v>
      </c>
      <c r="C313" s="829"/>
      <c r="D313" s="391">
        <f t="shared" si="102"/>
        <v>12.976785663930054</v>
      </c>
      <c r="E313" s="383">
        <f t="shared" si="125"/>
        <v>13.609298625577978</v>
      </c>
      <c r="F313" s="383">
        <f t="shared" si="103"/>
        <v>13.61097979441117</v>
      </c>
      <c r="G313" s="110">
        <f t="shared" si="126"/>
        <v>0.3740995487864443</v>
      </c>
      <c r="H313" s="412" t="b">
        <f>Wh_hp&gt;='2026'!Maxi_hp</f>
        <v>0</v>
      </c>
      <c r="I313" s="388">
        <f>IF(H313,Wh_hp,'2026'!Maxi_hp)</f>
        <v>35.899581400046522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5.9575286050799425E-2</v>
      </c>
      <c r="M313" s="832"/>
      <c r="N313" s="832"/>
      <c r="O313" s="48">
        <f>IF(t&lt;Tnet,'2026'!Resal+('2026'!Salim-'2026'!Resal)*(1-EXP(('2026'!Tnet-t)/('2026'!Tau_j))),Resal+(Salim-Resal)*(1-EXP((Tnet-t)/(Tau_j))))*Salcycl</f>
        <v>4.6476528956396701E-2</v>
      </c>
      <c r="P313" s="169">
        <f>(INDEX(Models!$BJ313:$BT313,,T313)*(1-R313)+INDEX(Models!$BJ313:$BT313,,T313+1)*R313-ERP_i)*Q313*Ramure*Pc/MaxiM</f>
        <v>1.1607362039143898E-3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32.587664175684303</v>
      </c>
      <c r="W313" s="400">
        <f t="shared" si="111"/>
        <v>12.203689945981507</v>
      </c>
      <c r="X313" s="157">
        <f t="shared" si="112"/>
        <v>46686</v>
      </c>
      <c r="Y313" s="383">
        <f t="shared" si="113"/>
        <v>11.839563673996306</v>
      </c>
      <c r="Z313" s="383">
        <f t="shared" si="114"/>
        <v>12.589592232511077</v>
      </c>
      <c r="AA313" s="384">
        <f t="shared" si="115"/>
        <v>13.593512234537084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7.385287810131537E-2</v>
      </c>
      <c r="AD313" s="230">
        <f>(INDEX(Models!$BJ313:$BT313,,AH313)*(1-AF313)+INDEX(Models!$BJ313:$BT313,,AH313+1)*AF313-ERP_i)*AE313*Ramure*Pc/MaxiM</f>
        <v>1.2060198083364816E-2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'2026'!Wh/'2026'!Env_an*'2027'!Env_an</f>
        <v>14.119186801163039</v>
      </c>
      <c r="C314" s="829"/>
      <c r="D314" s="391">
        <f t="shared" si="102"/>
        <v>15.013915721174456</v>
      </c>
      <c r="E314" s="383">
        <f t="shared" si="125"/>
        <v>15.746042519824345</v>
      </c>
      <c r="F314" s="383">
        <f t="shared" si="103"/>
        <v>15.749723043213297</v>
      </c>
      <c r="G314" s="110">
        <f t="shared" si="126"/>
        <v>0.43710863666834743</v>
      </c>
      <c r="H314" s="412" t="b">
        <f>Wh_hp&gt;='2026'!Maxi_hp</f>
        <v>0</v>
      </c>
      <c r="I314" s="388">
        <f>IF(H314,Wh_hp,'2026'!Maxi_hp)</f>
        <v>30.879725572368368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5.9593309075896883E-2</v>
      </c>
      <c r="M314" s="832"/>
      <c r="N314" s="832"/>
      <c r="O314" s="48">
        <f>IF(t&lt;Tnet,'2026'!Resal+('2026'!Salim-'2026'!Resal)*(1-EXP(('2026'!Tnet-t)/('2026'!Tau_j))),Resal+(Salim-Resal)*(1-EXP((Tnet-t)/(Tau_j))))*Salcycl</f>
        <v>4.649592414907662E-2</v>
      </c>
      <c r="P314" s="169">
        <f>(INDEX(Models!$BJ314:$BT314,,T314)*(1-R314)+INDEX(Models!$BJ314:$BT314,,T314+1)*R314-ERP_i)*Q314*Ramure*Pc/MaxiM</f>
        <v>1.1894522855996291E-3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32.270442290535989</v>
      </c>
      <c r="W314" s="400">
        <f t="shared" si="111"/>
        <v>14.119186801163039</v>
      </c>
      <c r="X314" s="157">
        <f t="shared" si="112"/>
        <v>46687</v>
      </c>
      <c r="Y314" s="383">
        <f t="shared" si="113"/>
        <v>13.684539586498586</v>
      </c>
      <c r="Z314" s="383">
        <f t="shared" si="114"/>
        <v>14.551725034039572</v>
      </c>
      <c r="AA314" s="384">
        <f t="shared" si="115"/>
        <v>15.711695884135096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7.3828494304475828E-2</v>
      </c>
      <c r="AD314" s="230">
        <f>(INDEX(Models!$BJ314:$BT314,,AH314)*(1-AF314)+INDEX(Models!$BJ314:$BT314,,AH314+1)*AF314-ERP_i)*AE314*Ramure*Pc/MaxiM</f>
        <v>1.2289418243119474E-2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'2026'!Wh/'2026'!Env_an*'2027'!Env_an</f>
        <v>16.986145612609519</v>
      </c>
      <c r="C315" s="829"/>
      <c r="D315" s="391">
        <f t="shared" si="102"/>
        <v>18.062899082270434</v>
      </c>
      <c r="E315" s="383">
        <f t="shared" si="125"/>
        <v>18.944082241326729</v>
      </c>
      <c r="F315" s="383">
        <f t="shared" si="103"/>
        <v>18.951708152113525</v>
      </c>
      <c r="G315" s="110">
        <f t="shared" si="126"/>
        <v>0.53109950020985275</v>
      </c>
      <c r="H315" s="412" t="b">
        <f>Wh_hp&gt;='2026'!Maxi_hp</f>
        <v>0</v>
      </c>
      <c r="I315" s="388">
        <f>IF(H315,Wh_hp,'2026'!Maxi_hp)</f>
        <v>35.461193234664123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5.9611331755587194E-2</v>
      </c>
      <c r="M315" s="832"/>
      <c r="N315" s="832"/>
      <c r="O315" s="48">
        <f>IF(t&lt;Tnet,'2026'!Resal+('2026'!Salim-'2026'!Resal)*(1-EXP(('2026'!Tnet-t)/('2026'!Tau_j))),Resal+(Salim-Resal)*(1-EXP((Tnet-t)/(Tau_j))))*Salcycl</f>
        <v>4.6514956376930455E-2</v>
      </c>
      <c r="P315" s="169">
        <f>(INDEX(Models!$BJ315:$BT315,,T315)*(1-R315)+INDEX(Models!$BJ315:$BT315,,T315+1)*R315-ERP_i)*Q315*Ramure*Pc/MaxiM</f>
        <v>1.2165489104158887E-3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31.956931906282978</v>
      </c>
      <c r="W315" s="400">
        <f t="shared" si="111"/>
        <v>16.986145612609519</v>
      </c>
      <c r="X315" s="157">
        <f t="shared" si="112"/>
        <v>46688</v>
      </c>
      <c r="Y315" s="383">
        <f t="shared" si="113"/>
        <v>16.43832290809544</v>
      </c>
      <c r="Z315" s="383">
        <f t="shared" si="114"/>
        <v>17.480349841713554</v>
      </c>
      <c r="AA315" s="384">
        <f t="shared" si="115"/>
        <v>18.873265956374205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7.3803660578958361E-2</v>
      </c>
      <c r="AD315" s="230">
        <f>(INDEX(Models!$BJ315:$BT315,,AH315)*(1-AF315)+INDEX(Models!$BJ315:$BT315,,AH315+1)*AF315-ERP_i)*AE315*Ramure*Pc/MaxiM</f>
        <v>1.2513753494538454E-2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'2026'!Wh/'2026'!Env_an*'2027'!Env_an</f>
        <v>26.382780003678391</v>
      </c>
      <c r="C316" s="829"/>
      <c r="D316" s="391">
        <f t="shared" si="102"/>
        <v>28.055724748983664</v>
      </c>
      <c r="E316" s="383">
        <f t="shared" si="125"/>
        <v>29.424976848566981</v>
      </c>
      <c r="F316" s="383">
        <f t="shared" si="103"/>
        <v>29.452863722432394</v>
      </c>
      <c r="G316" s="110">
        <f t="shared" si="126"/>
        <v>0.83339550101999094</v>
      </c>
      <c r="H316" s="412" t="b">
        <f>Wh_hp&gt;='2026'!Maxi_hp</f>
        <v>0</v>
      </c>
      <c r="I316" s="388">
        <f>IF(H316,Wh_hp,'2026'!Maxi_hp)</f>
        <v>29.777598995663187</v>
      </c>
      <c r="J316" s="85">
        <f>IF(H316,An,'2026'!An_max)</f>
        <v>2018</v>
      </c>
      <c r="K316" s="197">
        <f t="shared" si="104"/>
        <v>46689</v>
      </c>
      <c r="L316" s="147">
        <f>IF(t&lt;Tvie,1-EXP((T0-t)*PertePVj)+'2026'!Pspv,1-EXP((T0-t)*PertePVj)+Pspv)</f>
        <v>5.9629354089877018E-2</v>
      </c>
      <c r="M316" s="832"/>
      <c r="N316" s="832"/>
      <c r="O316" s="48">
        <f>IF(t&lt;Tnet,'2026'!Resal+('2026'!Salim-'2026'!Resal)*(1-EXP(('2026'!Tnet-t)/('2026'!Tau_j))),Resal+(Salim-Resal)*(1-EXP((Tnet-t)/(Tau_j))))*Salcycl</f>
        <v>4.6533667864211141E-2</v>
      </c>
      <c r="P316" s="169">
        <f>(INDEX(Models!$BJ316:$BT316,,T316)*(1-R316)+INDEX(Models!$BJ316:$BT316,,T316+1)*R316-ERP_i)*Q316*Ramure*Pc/MaxiM</f>
        <v>1.2419968842703889E-3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31.647621429578738</v>
      </c>
      <c r="W316" s="400">
        <f t="shared" si="111"/>
        <v>26.382780003678391</v>
      </c>
      <c r="X316" s="157">
        <f t="shared" si="112"/>
        <v>46689</v>
      </c>
      <c r="Y316" s="383">
        <f t="shared" si="113"/>
        <v>25.404182267800227</v>
      </c>
      <c r="Z316" s="383">
        <f t="shared" si="114"/>
        <v>27.015073660889517</v>
      </c>
      <c r="AA316" s="384">
        <f t="shared" si="115"/>
        <v>29.166967129100755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7.377844459063522E-2</v>
      </c>
      <c r="AD316" s="230">
        <f>(INDEX(Models!$BJ316:$BT316,,AH316)*(1-AF316)+INDEX(Models!$BJ316:$BT316,,AH316+1)*AF316-ERP_i)*AE316*Ramure*Pc/MaxiM</f>
        <v>1.2732968200563027E-2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'2026'!Wh/'2026'!Env_an*'2027'!Env_an</f>
        <v>22.684389831479567</v>
      </c>
      <c r="C317" s="829"/>
      <c r="D317" s="391">
        <f t="shared" si="102"/>
        <v>24.123280197684469</v>
      </c>
      <c r="E317" s="383">
        <f t="shared" si="125"/>
        <v>25.301099575142064</v>
      </c>
      <c r="F317" s="383">
        <f t="shared" si="103"/>
        <v>25.320504178513197</v>
      </c>
      <c r="G317" s="110">
        <f t="shared" si="126"/>
        <v>0.72342800630264781</v>
      </c>
      <c r="H317" s="412" t="b">
        <f>Wh_hp&gt;='2026'!Maxi_hp</f>
        <v>0</v>
      </c>
      <c r="I317" s="388">
        <f>IF(H317,Wh_hp,'2026'!Maxi_hp)</f>
        <v>28.491037803008169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5.9647376078772907E-2</v>
      </c>
      <c r="M317" s="832"/>
      <c r="N317" s="832"/>
      <c r="O317" s="48">
        <f>IF(t&lt;Tnet,'2026'!Resal+('2026'!Salim-'2026'!Resal)*(1-EXP(('2026'!Tnet-t)/('2026'!Tau_j))),Resal+(Salim-Resal)*(1-EXP((Tnet-t)/(Tau_j))))*Salcycl</f>
        <v>4.6552102368498854E-2</v>
      </c>
      <c r="P317" s="169">
        <f>(INDEX(Models!$BJ317:$BT317,,T317)*(1-R317)+INDEX(Models!$BJ317:$BT317,,T317+1)*R317-ERP_i)*Q317*Ramure*Pc/MaxiM</f>
        <v>1.2658433265155188E-3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31.341129253018888</v>
      </c>
      <c r="W317" s="400">
        <f t="shared" si="111"/>
        <v>22.684389831479567</v>
      </c>
      <c r="X317" s="157">
        <f t="shared" si="112"/>
        <v>46690</v>
      </c>
      <c r="Y317" s="383">
        <f t="shared" si="113"/>
        <v>21.881255927317717</v>
      </c>
      <c r="Z317" s="383">
        <f t="shared" si="114"/>
        <v>23.269202818910514</v>
      </c>
      <c r="AA317" s="384">
        <f t="shared" si="115"/>
        <v>25.122025458083762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7.3752916231403939E-2</v>
      </c>
      <c r="AD317" s="230">
        <f>(INDEX(Models!$BJ317:$BT317,,AH317)*(1-AF317)+INDEX(Models!$BJ317:$BT317,,AH317+1)*AF317-ERP_i)*AE317*Ramure*Pc/MaxiM</f>
        <v>1.2947595934102437E-2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'2026'!Wh/'2026'!Env_an*'2027'!Env_an</f>
        <v>21.577684067884885</v>
      </c>
      <c r="C318" s="829"/>
      <c r="D318" s="391">
        <f t="shared" si="102"/>
        <v>22.946814905692609</v>
      </c>
      <c r="E318" s="383">
        <f t="shared" si="125"/>
        <v>24.067652839258997</v>
      </c>
      <c r="F318" s="383">
        <f t="shared" si="103"/>
        <v>24.08518083401199</v>
      </c>
      <c r="G318" s="110">
        <f t="shared" si="126"/>
        <v>0.69485832360951949</v>
      </c>
      <c r="H318" s="412" t="b">
        <f>Wh_hp&gt;='2026'!Maxi_hp</f>
        <v>0</v>
      </c>
      <c r="I318" s="388">
        <f>IF(H318,Wh_hp,'2026'!Maxi_hp)</f>
        <v>34.120858369867321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5.966539772228141E-2</v>
      </c>
      <c r="M318" s="832"/>
      <c r="N318" s="832"/>
      <c r="O318" s="48">
        <f>IF(t&lt;Tnet,'2026'!Resal+('2026'!Salim-'2026'!Resal)*(1-EXP(('2026'!Tnet-t)/('2026'!Tau_j))),Resal+(Salim-Resal)*(1-EXP((Tnet-t)/(Tau_j))))*Salcycl</f>
        <v>4.6570305008641399E-2</v>
      </c>
      <c r="P318" s="169">
        <f>(INDEX(Models!$BJ318:$BT318,,T318)*(1-R318)+INDEX(Models!$BJ318:$BT318,,T318+1)*R318-ERP_i)*Q318*Ramure*Pc/MaxiM</f>
        <v>1.2888722794474974E-3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31.035920276128234</v>
      </c>
      <c r="W318" s="400">
        <f t="shared" si="111"/>
        <v>21.577684067884885</v>
      </c>
      <c r="X318" s="157">
        <f t="shared" si="112"/>
        <v>46691</v>
      </c>
      <c r="Y318" s="383">
        <f t="shared" si="113"/>
        <v>20.822451542521407</v>
      </c>
      <c r="Z318" s="383">
        <f t="shared" si="114"/>
        <v>22.143661939148444</v>
      </c>
      <c r="AA318" s="384">
        <f t="shared" si="115"/>
        <v>23.906197699244991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7.372714733937856E-2</v>
      </c>
      <c r="AD318" s="230">
        <f>(INDEX(Models!$BJ318:$BT318,,AH318)*(1-AF318)+INDEX(Models!$BJ318:$BT318,,AH318+1)*AF318-ERP_i)*AE318*Ramure*Pc/MaxiM</f>
        <v>1.3161026354737313E-2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'2026'!Wh/'2026'!Env_an*'2027'!Env_an</f>
        <v>19.129687344420457</v>
      </c>
      <c r="C319" s="829"/>
      <c r="D319" s="391">
        <f t="shared" si="102"/>
        <v>20.343879637315109</v>
      </c>
      <c r="E319" s="383">
        <f t="shared" si="125"/>
        <v>21.337980337865311</v>
      </c>
      <c r="F319" s="383">
        <f t="shared" si="103"/>
        <v>21.350880994149051</v>
      </c>
      <c r="G319" s="110">
        <f t="shared" si="126"/>
        <v>0.62202195798915516</v>
      </c>
      <c r="H319" s="412" t="b">
        <f>Wh_hp&gt;='2026'!Maxi_hp</f>
        <v>0</v>
      </c>
      <c r="I319" s="388">
        <f>IF(H319,Wh_hp,'2026'!Maxi_hp)</f>
        <v>32.848992554762482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5.9683419020409301E-2</v>
      </c>
      <c r="M319" s="832"/>
      <c r="N319" s="832"/>
      <c r="O319" s="48">
        <f>IF(t&lt;Tnet,'2026'!Resal+('2026'!Salim-'2026'!Resal)*(1-EXP(('2026'!Tnet-t)/('2026'!Tau_j))),Resal+(Salim-Resal)*(1-EXP((Tnet-t)/(Tau_j))))*Salcycl</f>
        <v>4.6588322081547694E-2</v>
      </c>
      <c r="P319" s="169">
        <f>(INDEX(Models!$BJ319:$BT319,,T319)*(1-R319)+INDEX(Models!$BJ319:$BT319,,T319+1)*R319-ERP_i)*Q319*Ramure*Pc/MaxiM</f>
        <v>1.3116402606909185E-3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30.732269517112709</v>
      </c>
      <c r="W319" s="400">
        <f t="shared" si="111"/>
        <v>19.129687344420457</v>
      </c>
      <c r="X319" s="157">
        <f t="shared" si="112"/>
        <v>46692</v>
      </c>
      <c r="Y319" s="383">
        <f t="shared" si="113"/>
        <v>18.482318744111438</v>
      </c>
      <c r="Z319" s="383">
        <f t="shared" si="114"/>
        <v>19.655421501615095</v>
      </c>
      <c r="AA319" s="384">
        <f t="shared" si="115"/>
        <v>21.219310381890828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7.3701211402723094E-2</v>
      </c>
      <c r="AD319" s="230">
        <f>(INDEX(Models!$BJ319:$BT319,,AH319)*(1-AF319)+INDEX(Models!$BJ319:$BT319,,AH319+1)*AF319-ERP_i)*AE319*Ramure*Pc/MaxiM</f>
        <v>1.3377095580723898E-2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'2026'!Wh/'2026'!Env_an*'2027'!Env_an</f>
        <v>28.381725589605679</v>
      </c>
      <c r="C320" s="829"/>
      <c r="D320" s="391">
        <f t="shared" si="102"/>
        <v>30.183738225437288</v>
      </c>
      <c r="E320" s="383">
        <f t="shared" si="125"/>
        <v>31.659255863577133</v>
      </c>
      <c r="F320" s="383">
        <f t="shared" si="103"/>
        <v>31.697477555631323</v>
      </c>
      <c r="G320" s="110">
        <f t="shared" si="126"/>
        <v>0.93255475970094392</v>
      </c>
      <c r="H320" s="412" t="b">
        <f>Wh_hp&gt;='2026'!Maxi_hp</f>
        <v>0</v>
      </c>
      <c r="I320" s="388">
        <f>IF(H320,Wh_hp,'2026'!Maxi_hp)</f>
        <v>31.700145657097558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5.9701439973163017E-2</v>
      </c>
      <c r="M320" s="832"/>
      <c r="N320" s="832"/>
      <c r="O320" s="48">
        <f>IF(t&lt;Tnet,'2026'!Resal+('2026'!Salim-'2026'!Resal)*(1-EXP(('2026'!Tnet-t)/('2026'!Tau_j))),Resal+(Salim-Resal)*(1-EXP((Tnet-t)/(Tau_j))))*Salcycl</f>
        <v>4.6606200868965386E-2</v>
      </c>
      <c r="P320" s="169">
        <f>(INDEX(Models!$BJ320:$BT320,,T320)*(1-R320)+INDEX(Models!$BJ320:$BT320,,T320+1)*R320-ERP_i)*Q320*Ramure*Pc/MaxiM</f>
        <v>1.3341444664508738E-3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30.430469677468658</v>
      </c>
      <c r="W320" s="400">
        <f t="shared" si="111"/>
        <v>28.381725589605679</v>
      </c>
      <c r="X320" s="157">
        <f t="shared" si="112"/>
        <v>46693</v>
      </c>
      <c r="Y320" s="383">
        <f t="shared" si="113"/>
        <v>27.269930771156513</v>
      </c>
      <c r="Z320" s="383">
        <f t="shared" si="114"/>
        <v>29.00135332588216</v>
      </c>
      <c r="AA320" s="384">
        <f t="shared" si="115"/>
        <v>31.307974051263709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7.3675183248992249E-2</v>
      </c>
      <c r="AD320" s="230">
        <f>(INDEX(Models!$BJ320:$BT320,,AH320)*(1-AF320)+INDEX(Models!$BJ320:$BT320,,AH320+1)*AF320-ERP_i)*AE320*Ramure*Pc/MaxiM</f>
        <v>1.359578598138843E-2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'2026'!Wh/'2026'!Env_an*'2027'!Env_an</f>
        <v>9.9635903358833193</v>
      </c>
      <c r="C321" s="829"/>
      <c r="D321" s="391">
        <f t="shared" si="102"/>
        <v>10.596401731375886</v>
      </c>
      <c r="E321" s="383">
        <f t="shared" si="125"/>
        <v>11.114609151012035</v>
      </c>
      <c r="F321" s="383">
        <f t="shared" si="103"/>
        <v>11.115269887191875</v>
      </c>
      <c r="G321" s="110">
        <f t="shared" si="126"/>
        <v>0.33024888073159753</v>
      </c>
      <c r="H321" s="412" t="b">
        <f>Wh_hp&gt;='2026'!Maxi_hp</f>
        <v>0</v>
      </c>
      <c r="I321" s="388">
        <f>IF(H321,Wh_hp,'2026'!Maxi_hp)</f>
        <v>29.614967506581426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5.9719460580549333E-2</v>
      </c>
      <c r="M321" s="832"/>
      <c r="N321" s="832"/>
      <c r="O321" s="48">
        <f>IF(t&lt;Tnet,'2026'!Resal+('2026'!Salim-'2026'!Resal)*(1-EXP(('2026'!Tnet-t)/('2026'!Tau_j))),Resal+(Salim-Resal)*(1-EXP((Tnet-t)/(Tau_j))))*Salcycl</f>
        <v>4.6623989435468645E-2</v>
      </c>
      <c r="P321" s="169">
        <f>(INDEX(Models!$BJ321:$BT321,,T321)*(1-R321)+INDEX(Models!$BJ321:$BT321,,T321+1)*R321-ERP_i)*Q321*Ramure*Pc/MaxiM</f>
        <v>1.3563827483660995E-3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30.130813401510864</v>
      </c>
      <c r="W321" s="400">
        <f t="shared" si="111"/>
        <v>9.9635903358833193</v>
      </c>
      <c r="X321" s="157">
        <f t="shared" si="112"/>
        <v>46694</v>
      </c>
      <c r="Y321" s="383">
        <f t="shared" si="113"/>
        <v>9.6758673901429386</v>
      </c>
      <c r="Z321" s="383">
        <f t="shared" si="114"/>
        <v>10.290404814840715</v>
      </c>
      <c r="AA321" s="384">
        <f t="shared" si="115"/>
        <v>11.108539156150627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7.3649138721982574E-2</v>
      </c>
      <c r="AD321" s="230">
        <f>(INDEX(Models!$BJ321:$BT321,,AH321)*(1-AF321)+INDEX(Models!$BJ321:$BT321,,AH321+1)*AF321-ERP_i)*AE321*Ramure*Pc/MaxiM</f>
        <v>1.3817084256589965E-2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'2026'!Wh/'2026'!Env_an*'2027'!Env_an</f>
        <v>17.20892301974861</v>
      </c>
      <c r="C322" s="829"/>
      <c r="D322" s="391">
        <f t="shared" si="102"/>
        <v>18.302253539968422</v>
      </c>
      <c r="E322" s="383">
        <f t="shared" si="125"/>
        <v>19.197666018251059</v>
      </c>
      <c r="F322" s="383">
        <f t="shared" si="103"/>
        <v>19.208136377485516</v>
      </c>
      <c r="G322" s="110">
        <f t="shared" si="126"/>
        <v>0.57634947422554861</v>
      </c>
      <c r="H322" s="412" t="b">
        <f>Wh_hp&gt;='2026'!Maxi_hp</f>
        <v>0</v>
      </c>
      <c r="I322" s="388">
        <f>IF(H322,Wh_hp,'2026'!Maxi_hp)</f>
        <v>19.218570572200022</v>
      </c>
      <c r="J322" s="85">
        <f>IF(H322,An,'2026'!An_max)</f>
        <v>2026</v>
      </c>
      <c r="K322" s="197">
        <f t="shared" si="104"/>
        <v>46695</v>
      </c>
      <c r="L322" s="147">
        <f>IF(t&lt;Tvie,1-EXP((T0-t)*PertePVj)+'2026'!Pspv,1-EXP((T0-t)*PertePVj)+Pspv)</f>
        <v>5.9737480842574908E-2</v>
      </c>
      <c r="M322" s="832"/>
      <c r="N322" s="832"/>
      <c r="O322" s="48">
        <f>IF(t&lt;Tnet,'2026'!Resal+('2026'!Salim-'2026'!Resal)*(1-EXP(('2026'!Tnet-t)/('2026'!Tau_j))),Resal+(Salim-Resal)*(1-EXP((Tnet-t)/(Tau_j))))*Salcycl</f>
        <v>4.6641736418967676E-2</v>
      </c>
      <c r="P322" s="169">
        <f>(INDEX(Models!$BJ322:$BT322,,T322)*(1-R322)+INDEX(Models!$BJ322:$BT322,,T322+1)*R322-ERP_i)*Q322*Ramure*Pc/MaxiM</f>
        <v>1.3783535830328734E-3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29.833593288319587</v>
      </c>
      <c r="W322" s="400">
        <f t="shared" si="111"/>
        <v>17.20892301974861</v>
      </c>
      <c r="X322" s="157">
        <f t="shared" si="112"/>
        <v>46695</v>
      </c>
      <c r="Y322" s="383">
        <f t="shared" si="113"/>
        <v>16.638101507601686</v>
      </c>
      <c r="Z322" s="383">
        <f t="shared" si="114"/>
        <v>17.695166156906041</v>
      </c>
      <c r="AA322" s="384">
        <f t="shared" si="115"/>
        <v>19.101477157987588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7.3623154348221392E-2</v>
      </c>
      <c r="AD322" s="230">
        <f>(INDEX(Models!$BJ322:$BT322,,AH322)*(1-AF322)+INDEX(Models!$BJ322:$BT322,,AH322+1)*AF322-ERP_i)*AE322*Ramure*Pc/MaxiM</f>
        <v>1.4040981218165691E-2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'2026'!Wh/'2026'!Env_an*'2027'!Env_an</f>
        <v>29.316372500717161</v>
      </c>
      <c r="C323" s="829"/>
      <c r="D323" s="391">
        <f t="shared" si="102"/>
        <v>31.179520352833858</v>
      </c>
      <c r="E323" s="383">
        <f t="shared" si="125"/>
        <v>32.70554440143637</v>
      </c>
      <c r="F323" s="383">
        <f t="shared" si="103"/>
        <v>32.750903587876984</v>
      </c>
      <c r="G323" s="110">
        <f t="shared" si="126"/>
        <v>0.99244485719186615</v>
      </c>
      <c r="H323" s="412" t="b">
        <f>Wh_hp&gt;='2026'!Maxi_hp</f>
        <v>0</v>
      </c>
      <c r="I323" s="388">
        <f>IF(H323,Wh_hp,'2026'!Maxi_hp)</f>
        <v>32.7512246842103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5.9755500759246183E-2</v>
      </c>
      <c r="M323" s="832"/>
      <c r="N323" s="832"/>
      <c r="O323" s="48">
        <f>IF(t&lt;Tnet,'2026'!Resal+('2026'!Salim-'2026'!Resal)*(1-EXP(('2026'!Tnet-t)/('2026'!Tau_j))),Resal+(Salim-Resal)*(1-EXP((Tnet-t)/(Tau_j))))*Salcycl</f>
        <v>4.665949081512593E-2</v>
      </c>
      <c r="P323" s="169">
        <f>(INDEX(Models!$BJ323:$BT323,,T323)*(1-R323)+INDEX(Models!$BJ323:$BT323,,T323+1)*R323-ERP_i)*Q323*Ramure*Pc/MaxiM</f>
        <v>1.4000560275250664E-3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29.539101903179255</v>
      </c>
      <c r="W323" s="400">
        <f t="shared" si="111"/>
        <v>29.316372500717161</v>
      </c>
      <c r="X323" s="157">
        <f t="shared" si="112"/>
        <v>46696</v>
      </c>
      <c r="Y323" s="383">
        <f t="shared" si="113"/>
        <v>28.124880765570186</v>
      </c>
      <c r="Z323" s="383">
        <f t="shared" si="114"/>
        <v>29.912305563373135</v>
      </c>
      <c r="AA323" s="384">
        <f t="shared" si="115"/>
        <v>32.288664302514221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7.3597306995323672E-2</v>
      </c>
      <c r="AD323" s="230">
        <f>(INDEX(Models!$BJ323:$BT323,,AH323)*(1-AF323)+INDEX(Models!$BJ323:$BT323,,AH323+1)*AF323-ERP_i)*AE323*Ramure*Pc/MaxiM</f>
        <v>1.4267471452078302E-2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'2026'!Wh/'2026'!Env_an*'2027'!Env_an</f>
        <v>29.276985994581452</v>
      </c>
      <c r="C324" s="829"/>
      <c r="D324" s="391">
        <f t="shared" si="102"/>
        <v>31.138227467146866</v>
      </c>
      <c r="E324" s="383">
        <f t="shared" si="125"/>
        <v>32.662840740643119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Wh_hp&gt;='2026'!Maxi_hp</f>
        <v>1</v>
      </c>
      <c r="I324" s="388">
        <f>IF(H324,Wh_hp,'2026'!Maxi_hp)</f>
        <v>32.709345157525121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5.9773520330569929E-2</v>
      </c>
      <c r="M324" s="832"/>
      <c r="N324" s="832"/>
      <c r="O324" s="48">
        <f>IF(t&lt;Tnet,'2026'!Resal+('2026'!Salim-'2026'!Resal)*(1-EXP(('2026'!Tnet-t)/('2026'!Tau_j))),Resal+(Salim-Resal)*(1-EXP((Tnet-t)/(Tau_j))))*Salcycl</f>
        <v>4.6677301757135352E-2</v>
      </c>
      <c r="P324" s="169">
        <f>(INDEX(Models!$BJ324:$BT324,,T324)*(1-R324)+INDEX(Models!$BJ324:$BT324,,T324+1)*R324-ERP_i)*Q324*Ramure*Pc/MaxiM</f>
        <v>1.4217471079913167E-3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29.247624242319041</v>
      </c>
      <c r="W324" s="400">
        <f t="shared" si="111"/>
        <v>29.276985994581452</v>
      </c>
      <c r="X324" s="157">
        <f t="shared" si="112"/>
        <v>46697</v>
      </c>
      <c r="Y324" s="383">
        <f t="shared" si="113"/>
        <v>28.078723410526845</v>
      </c>
      <c r="Z324" s="383">
        <f t="shared" si="114"/>
        <v>29.863787095635633</v>
      </c>
      <c r="AA324" s="384">
        <f t="shared" si="115"/>
        <v>32.23539937433744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7.3571673524536585E-2</v>
      </c>
      <c r="AD324" s="230">
        <f>(INDEX(Models!$BJ324:$BT324,,AH324)*(1-AF324)+INDEX(Models!$BJ324:$BT324,,AH324+1)*AF324-ERP_i)*AE324*Ramure*Pc/MaxiM</f>
        <v>1.4489613928533276E-2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'2026'!Wh/'2026'!Env_an*'2027'!Env_an</f>
        <v>27.464365993055736</v>
      </c>
      <c r="C325" s="829"/>
      <c r="D325" s="391">
        <f t="shared" si="102"/>
        <v>29.210932626688155</v>
      </c>
      <c r="E325" s="383">
        <f t="shared" si="125"/>
        <v>30.641756117453625</v>
      </c>
      <c r="F325" s="383">
        <f t="shared" si="103"/>
        <v>30.68280415677965</v>
      </c>
      <c r="G325" s="110">
        <f t="shared" si="126"/>
        <v>0.94827280088710497</v>
      </c>
      <c r="H325" s="412" t="b">
        <f>Wh_hp&gt;='2026'!Maxi_hp</f>
        <v>0</v>
      </c>
      <c r="I325" s="388">
        <f>IF(H325,Wh_hp,'2026'!Maxi_hp)</f>
        <v>30.684914387235704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5.9791539556552586E-2</v>
      </c>
      <c r="M325" s="832"/>
      <c r="N325" s="832"/>
      <c r="O325" s="48">
        <f>IF(t&lt;Tnet,'2026'!Resal+('2026'!Salim-'2026'!Resal)*(1-EXP(('2026'!Tnet-t)/('2026'!Tau_j))),Resal+(Salim-Resal)*(1-EXP((Tnet-t)/(Tau_j))))*Salcycl</f>
        <v>4.6695218292350717E-2</v>
      </c>
      <c r="P325" s="169">
        <f>(INDEX(Models!$BJ325:$BT325,,T325)*(1-R325)+INDEX(Models!$BJ325:$BT325,,T325+1)*R325-ERP_i)*Q325*Ramure*Pc/MaxiM</f>
        <v>1.4443413533266063E-3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28.959426528100106</v>
      </c>
      <c r="W325" s="400">
        <f t="shared" si="111"/>
        <v>27.464365993055736</v>
      </c>
      <c r="X325" s="157">
        <f t="shared" si="112"/>
        <v>46698</v>
      </c>
      <c r="Y325" s="383">
        <f t="shared" si="113"/>
        <v>26.362478295868268</v>
      </c>
      <c r="Z325" s="383">
        <f t="shared" si="114"/>
        <v>28.038971573851249</v>
      </c>
      <c r="AA325" s="384">
        <f t="shared" si="115"/>
        <v>30.264839457286026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7.354633043985695E-2</v>
      </c>
      <c r="AD325" s="230">
        <f>(INDEX(Models!$BJ325:$BT325,,AH325)*(1-AF325)+INDEX(Models!$BJ325:$BT325,,AH325+1)*AF325-ERP_i)*AE325*Ramure*Pc/MaxiM</f>
        <v>1.4706760898239028E-2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'2026'!Wh/'2026'!Env_an*'2027'!Env_an</f>
        <v>19.807098993399258</v>
      </c>
      <c r="C326" s="829"/>
      <c r="D326" s="391">
        <f t="shared" si="102"/>
        <v>21.06711376524483</v>
      </c>
      <c r="E326" s="383">
        <f t="shared" si="125"/>
        <v>22.099451849719124</v>
      </c>
      <c r="F326" s="383">
        <f t="shared" si="103"/>
        <v>22.117574267361359</v>
      </c>
      <c r="G326" s="110">
        <f t="shared" si="126"/>
        <v>0.6903009802071306</v>
      </c>
      <c r="H326" s="412" t="b">
        <f>Wh_hp&gt;='2026'!Maxi_hp</f>
        <v>0</v>
      </c>
      <c r="I326" s="388">
        <f>IF(H326,Wh_hp,'2026'!Maxi_hp)</f>
        <v>24.301685975957074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5.9809558437201038E-2</v>
      </c>
      <c r="M326" s="832"/>
      <c r="N326" s="832"/>
      <c r="O326" s="48">
        <f>IF(t&lt;Tnet,'2026'!Resal+('2026'!Salim-'2026'!Resal)*(1-EXP(('2026'!Tnet-t)/('2026'!Tau_j))),Resal+(Salim-Resal)*(1-EXP((Tnet-t)/(Tau_j))))*Salcycl</f>
        <v>4.6713289157324207E-2</v>
      </c>
      <c r="P326" s="169">
        <f>(INDEX(Models!$BJ326:$BT326,,T326)*(1-R326)+INDEX(Models!$BJ326:$BT326,,T326+1)*R326-ERP_i)*Q326*Ramure*Pc/MaxiM</f>
        <v>1.4678392452905846E-3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28.674802268211604</v>
      </c>
      <c r="W326" s="400">
        <f t="shared" si="111"/>
        <v>19.807098993399258</v>
      </c>
      <c r="X326" s="157">
        <f t="shared" si="112"/>
        <v>46699</v>
      </c>
      <c r="Y326" s="383">
        <f t="shared" si="113"/>
        <v>19.105430096730508</v>
      </c>
      <c r="Z326" s="383">
        <f t="shared" si="114"/>
        <v>20.320808691665881</v>
      </c>
      <c r="AA326" s="384">
        <f t="shared" si="115"/>
        <v>21.933380514732562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7.3521353536155756E-2</v>
      </c>
      <c r="AD326" s="230">
        <f>(INDEX(Models!$BJ326:$BT326,,AH326)*(1-AF326)+INDEX(Models!$BJ326:$BT326,,AH326+1)*AF326-ERP_i)*AE326*Ramure*Pc/MaxiM</f>
        <v>1.4918915576462459E-2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'2026'!Wh/'2026'!Env_an*'2027'!Env_an</f>
        <v>9.7571557541578304</v>
      </c>
      <c r="C327" s="829"/>
      <c r="D327" s="391">
        <f t="shared" si="102"/>
        <v>10.37804929731773</v>
      </c>
      <c r="E327" s="383">
        <f t="shared" si="125"/>
        <v>10.886806789816356</v>
      </c>
      <c r="F327" s="383">
        <f t="shared" si="103"/>
        <v>10.887819547837529</v>
      </c>
      <c r="G327" s="110">
        <f t="shared" si="126"/>
        <v>0.34315301174438373</v>
      </c>
      <c r="H327" s="412" t="b">
        <f>Wh_hp&gt;='2026'!Maxi_hp</f>
        <v>0</v>
      </c>
      <c r="I327" s="388">
        <f>IF(H327,Wh_hp,'2026'!Maxi_hp)</f>
        <v>24.305673600704964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5.9827576972521612E-2</v>
      </c>
      <c r="M327" s="832"/>
      <c r="N327" s="832"/>
      <c r="O327" s="48">
        <f>IF(t&lt;Tnet,'2026'!Resal+('2026'!Salim-'2026'!Resal)*(1-EXP(('2026'!Tnet-t)/('2026'!Tau_j))),Resal+(Salim-Resal)*(1-EXP((Tnet-t)/(Tau_j))))*Salcycl</f>
        <v>4.6731562552806943E-2</v>
      </c>
      <c r="P327" s="169">
        <f>(INDEX(Models!$BJ327:$BT327,,T327)*(1-R327)+INDEX(Models!$BJ327:$BT327,,T327+1)*R327-ERP_i)*Q327*Ramure*Pc/MaxiM</f>
        <v>1.4922411537292852E-3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28.394044953029915</v>
      </c>
      <c r="W327" s="400">
        <f t="shared" si="111"/>
        <v>9.7571557541578304</v>
      </c>
      <c r="X327" s="157">
        <f t="shared" si="112"/>
        <v>46700</v>
      </c>
      <c r="Y327" s="383">
        <f t="shared" si="113"/>
        <v>9.4751405609777066</v>
      </c>
      <c r="Z327" s="383">
        <f t="shared" si="114"/>
        <v>10.07808815585817</v>
      </c>
      <c r="AA327" s="384">
        <f t="shared" si="115"/>
        <v>10.877553738342044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7.349681754877066E-2</v>
      </c>
      <c r="AD327" s="230">
        <f>(INDEX(Models!$BJ327:$BT327,,AH327)*(1-AF327)+INDEX(Models!$BJ327:$BT327,,AH327+1)*AF327-ERP_i)*AE327*Ramure*Pc/MaxiM</f>
        <v>1.512608449920555E-2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'2026'!Wh/'2026'!Env_an*'2027'!Env_an</f>
        <v>19.70228132293947</v>
      </c>
      <c r="C328" s="829"/>
      <c r="D328" s="391">
        <f t="shared" si="102"/>
        <v>20.956431434627309</v>
      </c>
      <c r="E328" s="383">
        <f t="shared" si="125"/>
        <v>21.984194412290407</v>
      </c>
      <c r="F328" s="383">
        <f t="shared" si="103"/>
        <v>22.003309063663451</v>
      </c>
      <c r="G328" s="110">
        <f t="shared" si="126"/>
        <v>0.70025866972104656</v>
      </c>
      <c r="H328" s="412" t="b">
        <f>Wh_hp&gt;='2026'!Maxi_hp</f>
        <v>0</v>
      </c>
      <c r="I328" s="388">
        <f>IF(H328,Wh_hp,'2026'!Maxi_hp)</f>
        <v>22.012430968794117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5.9845595162521192E-2</v>
      </c>
      <c r="M328" s="832"/>
      <c r="N328" s="832"/>
      <c r="O328" s="48">
        <f>IF(t&lt;Tnet,'2026'!Resal+('2026'!Salim-'2026'!Resal)*(1-EXP(('2026'!Tnet-t)/('2026'!Tau_j))),Resal+(Salim-Resal)*(1-EXP((Tnet-t)/(Tau_j))))*Salcycl</f>
        <v>4.6750085920297377E-2</v>
      </c>
      <c r="P328" s="169">
        <f>(INDEX(Models!$BJ328:$BT328,,T328)*(1-R328)+INDEX(Models!$BJ328:$BT328,,T328+1)*R328-ERP_i)*Q328*Ramure*Pc/MaxiM</f>
        <v>1.5175472488549435E-3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28.11744806000495</v>
      </c>
      <c r="W328" s="400">
        <f t="shared" si="111"/>
        <v>19.70228132293947</v>
      </c>
      <c r="X328" s="157">
        <f t="shared" si="112"/>
        <v>46701</v>
      </c>
      <c r="Y328" s="383">
        <f t="shared" si="113"/>
        <v>18.998432173471517</v>
      </c>
      <c r="Z328" s="383">
        <f t="shared" si="114"/>
        <v>20.207778717747654</v>
      </c>
      <c r="AA328" s="384">
        <f t="shared" si="115"/>
        <v>21.810237871373928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7.3472795807033017E-2</v>
      </c>
      <c r="AD328" s="230">
        <f>(INDEX(Models!$BJ328:$BT328,,AH328)*(1-AF328)+INDEX(Models!$BJ328:$BT328,,AH328+1)*AF328-ERP_i)*AE328*Ramure*Pc/MaxiM</f>
        <v>1.5328276251235501E-2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'2026'!Wh/'2026'!Env_an*'2027'!Env_an</f>
        <v>26.953258283941363</v>
      </c>
      <c r="C329" s="829"/>
      <c r="D329" s="391">
        <f t="shared" si="102"/>
        <v>28.669519291936481</v>
      </c>
      <c r="E329" s="383">
        <f t="shared" si="125"/>
        <v>30.076147813498388</v>
      </c>
      <c r="F329" s="383">
        <f t="shared" si="103"/>
        <v>30.120518550141469</v>
      </c>
      <c r="G329" s="110">
        <f t="shared" si="126"/>
        <v>0.9678957064800322</v>
      </c>
      <c r="H329" s="412" t="b">
        <f>Wh_hp&gt;='2026'!Maxi_hp</f>
        <v>0</v>
      </c>
      <c r="I329" s="388">
        <f>IF(H329,Wh_hp,'2026'!Maxi_hp)</f>
        <v>30.121873964250081</v>
      </c>
      <c r="J329" s="85">
        <f>IF(H329,An,'2026'!An_max)</f>
        <v>2026</v>
      </c>
      <c r="K329" s="197">
        <f t="shared" si="104"/>
        <v>46702</v>
      </c>
      <c r="L329" s="147">
        <f>IF(t&lt;Tvie,1-EXP((T0-t)*PertePVj)+'2026'!Pspv,1-EXP((T0-t)*PertePVj)+Pspv)</f>
        <v>5.9863613007206218E-2</v>
      </c>
      <c r="M329" s="832"/>
      <c r="N329" s="832"/>
      <c r="O329" s="48">
        <f>IF(t&lt;Tnet,'2026'!Resal+('2026'!Salim-'2026'!Resal)*(1-EXP(('2026'!Tnet-t)/('2026'!Tau_j))),Resal+(Salim-Resal)*(1-EXP((Tnet-t)/(Tau_j))))*Salcycl</f>
        <v>4.6768905721716172E-2</v>
      </c>
      <c r="P329" s="169">
        <f>(INDEX(Models!$BJ329:$BT329,,T329)*(1-R329)+INDEX(Models!$BJ329:$BT329,,T329+1)*R329-ERP_i)*Q329*Ramure*Pc/MaxiM</f>
        <v>1.5437573958668753E-3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27.845305053830337</v>
      </c>
      <c r="W329" s="400">
        <f t="shared" si="111"/>
        <v>26.953258283941363</v>
      </c>
      <c r="X329" s="157">
        <f t="shared" si="112"/>
        <v>46702</v>
      </c>
      <c r="Y329" s="383">
        <f t="shared" si="113"/>
        <v>25.848793155243577</v>
      </c>
      <c r="Z329" s="383">
        <f t="shared" si="114"/>
        <v>27.494726842693421</v>
      </c>
      <c r="AA329" s="384">
        <f t="shared" si="115"/>
        <v>29.674284008430831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7.3449359894182095E-2</v>
      </c>
      <c r="AD329" s="230">
        <f>(INDEX(Models!$BJ329:$BT329,,AH329)*(1-AF329)+INDEX(Models!$BJ329:$BT329,,AH329+1)*AF329-ERP_i)*AE329*Ramure*Pc/MaxiM</f>
        <v>1.5525500051945841E-2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'2026'!Wh/'2026'!Env_an*'2027'!Env_an</f>
        <v>26.544545462007306</v>
      </c>
      <c r="C330" s="829"/>
      <c r="D330" s="391">
        <f t="shared" si="102"/>
        <v>28.235322618268643</v>
      </c>
      <c r="E330" s="383">
        <f t="shared" si="125"/>
        <v>29.621243343055248</v>
      </c>
      <c r="F330" s="383">
        <f t="shared" si="103"/>
        <v>29.665349278505531</v>
      </c>
      <c r="G330" s="110">
        <f t="shared" si="126"/>
        <v>0.96244822920731199</v>
      </c>
      <c r="H330" s="412" t="b">
        <f>Wh_hp&gt;='2026'!Maxi_hp</f>
        <v>0</v>
      </c>
      <c r="I330" s="388">
        <f>IF(H330,Wh_hp,'2026'!Maxi_hp)</f>
        <v>29.66693279231125</v>
      </c>
      <c r="J330" s="85">
        <f>IF(H330,An,'2026'!An_max)</f>
        <v>2026</v>
      </c>
      <c r="K330" s="197">
        <f t="shared" si="104"/>
        <v>46703</v>
      </c>
      <c r="L330" s="147">
        <f>IF(t&lt;Tvie,1-EXP((T0-t)*PertePVj)+'2026'!Pspv,1-EXP((T0-t)*PertePVj)+Pspv)</f>
        <v>5.988163050658335E-2</v>
      </c>
      <c r="M330" s="832"/>
      <c r="N330" s="832"/>
      <c r="O330" s="48">
        <f>IF(t&lt;Tnet,'2026'!Resal+('2026'!Salim-'2026'!Resal)*(1-EXP(('2026'!Tnet-t)/('2026'!Tau_j))),Resal+(Salim-Resal)*(1-EXP((Tnet-t)/(Tau_j))))*Salcycl</f>
        <v>4.6788067223772913E-2</v>
      </c>
      <c r="P330" s="169">
        <f>(INDEX(Models!$BJ330:$BT330,,T330)*(1-R330)+INDEX(Models!$BJ330:$BT330,,T330+1)*R330-ERP_i)*Q330*Ramure*Pc/MaxiM</f>
        <v>1.5708710301497748E-3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27.577909390914112</v>
      </c>
      <c r="W330" s="400">
        <f t="shared" si="111"/>
        <v>26.544545462007306</v>
      </c>
      <c r="X330" s="157">
        <f t="shared" si="112"/>
        <v>46703</v>
      </c>
      <c r="Y330" s="383">
        <f t="shared" si="113"/>
        <v>25.456727088144117</v>
      </c>
      <c r="Z330" s="383">
        <f t="shared" si="114"/>
        <v>27.078214737854225</v>
      </c>
      <c r="AA330" s="384">
        <f t="shared" si="115"/>
        <v>29.224035714155704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7.3426579316082444E-2</v>
      </c>
      <c r="AD330" s="230">
        <f>(INDEX(Models!$BJ330:$BT330,,AH330)*(1-AF330)+INDEX(Models!$BJ330:$BT330,,AH330+1)*AF330-ERP_i)*AE330*Ramure*Pc/MaxiM</f>
        <v>1.5717764205017998E-2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'2026'!Wh/'2026'!Env_an*'2027'!Env_an</f>
        <v>25.530854183683626</v>
      </c>
      <c r="C331" s="829"/>
      <c r="D331" s="391">
        <f t="shared" si="102"/>
        <v>27.157583890010024</v>
      </c>
      <c r="E331" s="383">
        <f t="shared" si="125"/>
        <v>28.491188449580751</v>
      </c>
      <c r="F331" s="383">
        <f t="shared" si="103"/>
        <v>28.532557434748774</v>
      </c>
      <c r="G331" s="110">
        <f t="shared" si="126"/>
        <v>0.93458572047309629</v>
      </c>
      <c r="H331" s="412" t="b">
        <f>Wh_hp&gt;='2026'!Maxi_hp</f>
        <v>0</v>
      </c>
      <c r="I331" s="388">
        <f>IF(H331,Wh_hp,'2026'!Maxi_hp)</f>
        <v>29.071978311267806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5.989964766065925E-2</v>
      </c>
      <c r="M331" s="832"/>
      <c r="N331" s="832"/>
      <c r="O331" s="48">
        <f>IF(t&lt;Tnet,'2026'!Resal+('2026'!Salim-'2026'!Resal)*(1-EXP(('2026'!Tnet-t)/('2026'!Tau_j))),Resal+(Salim-Resal)*(1-EXP((Tnet-t)/(Tau_j))))*Salcycl</f>
        <v>4.6807614288562588E-2</v>
      </c>
      <c r="P331" s="169">
        <f>(INDEX(Models!$BJ331:$BT331,,T331)*(1-R331)+INDEX(Models!$BJ331:$BT331,,T331+1)*R331-ERP_i)*Q331*Ramure*Pc/MaxiM</f>
        <v>1.5989924043121084E-3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27.313751226537782</v>
      </c>
      <c r="W331" s="400">
        <f t="shared" si="111"/>
        <v>25.530854183683626</v>
      </c>
      <c r="X331" s="157">
        <f t="shared" si="112"/>
        <v>46704</v>
      </c>
      <c r="Y331" s="383">
        <f t="shared" si="113"/>
        <v>24.49602991327254</v>
      </c>
      <c r="Z331" s="383">
        <f t="shared" si="114"/>
        <v>26.056824521251109</v>
      </c>
      <c r="AA331" s="384">
        <f t="shared" si="115"/>
        <v>28.12103568049455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7.3404521181103952E-2</v>
      </c>
      <c r="AD331" s="230">
        <f>(INDEX(Models!$BJ331:$BT331,,AH331)*(1-AF331)+INDEX(Models!$BJ331:$BT331,,AH331+1)*AF331-ERP_i)*AE331*Ramure*Pc/MaxiM</f>
        <v>1.5906122825810522E-2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'2026'!Wh/'2026'!Env_an*'2027'!Env_an</f>
        <v>9.4542095546560017</v>
      </c>
      <c r="C332" s="829"/>
      <c r="D332" s="391">
        <f t="shared" si="102"/>
        <v>10.056788854904157</v>
      </c>
      <c r="E332" s="383">
        <f t="shared" si="125"/>
        <v>10.550860201846252</v>
      </c>
      <c r="F332" s="383">
        <f t="shared" si="103"/>
        <v>10.552073051536627</v>
      </c>
      <c r="G332" s="110">
        <f t="shared" si="126"/>
        <v>0.34896096911378988</v>
      </c>
      <c r="H332" s="412" t="b">
        <f>Wh_hp&gt;='2026'!Maxi_hp</f>
        <v>0</v>
      </c>
      <c r="I332" s="388">
        <f>IF(H332,Wh_hp,'2026'!Maxi_hp)</f>
        <v>19.875209801097167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5.9917664469440468E-2</v>
      </c>
      <c r="M332" s="832"/>
      <c r="N332" s="832"/>
      <c r="O332" s="48">
        <f>IF(t&lt;Tnet,'2026'!Resal+('2026'!Salim-'2026'!Resal)*(1-EXP(('2026'!Tnet-t)/('2026'!Tau_j))),Resal+(Salim-Resal)*(1-EXP((Tnet-t)/(Tau_j))))*Salcycl</f>
        <v>4.6827589171889304E-2</v>
      </c>
      <c r="P332" s="169">
        <f>(INDEX(Models!$BJ332:$BT332,,T332)*(1-R332)+INDEX(Models!$BJ332:$BT332,,T332+1)*R332-ERP_i)*Q332*Ramure*Pc/MaxiM</f>
        <v>1.625766383997893E-3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27.051518863105702</v>
      </c>
      <c r="W332" s="400">
        <f t="shared" si="111"/>
        <v>9.4542095546560017</v>
      </c>
      <c r="X332" s="157">
        <f t="shared" si="112"/>
        <v>46705</v>
      </c>
      <c r="Y332" s="383">
        <f t="shared" si="113"/>
        <v>9.1814176458116386</v>
      </c>
      <c r="Z332" s="383">
        <f t="shared" si="114"/>
        <v>9.7666101136023045</v>
      </c>
      <c r="AA332" s="384">
        <f t="shared" si="115"/>
        <v>10.540075076863472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7.3383249893447258E-2</v>
      </c>
      <c r="AD332" s="230">
        <f>(INDEX(Models!$BJ332:$BT332,,AH332)*(1-AF332)+INDEX(Models!$BJ332:$BT332,,AH332+1)*AF332-ERP_i)*AE332*Ramure*Pc/MaxiM</f>
        <v>1.6082705098955763E-2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'2026'!Wh/'2026'!Env_an*'2027'!Env_an</f>
        <v>12.132482206209694</v>
      </c>
      <c r="C333" s="829"/>
      <c r="D333" s="391">
        <f t="shared" si="102"/>
        <v>12.906012876065914</v>
      </c>
      <c r="E333" s="383">
        <f t="shared" si="125"/>
        <v>13.540351710782524</v>
      </c>
      <c r="F333" s="383">
        <f t="shared" si="103"/>
        <v>13.545233132957108</v>
      </c>
      <c r="G333" s="110">
        <f t="shared" si="126"/>
        <v>0.45226004018787686</v>
      </c>
      <c r="H333" s="412" t="b">
        <f>Wh_hp&gt;='2026'!Maxi_hp</f>
        <v>0</v>
      </c>
      <c r="I333" s="388">
        <f>IF(H333,Wh_hp,'2026'!Maxi_hp)</f>
        <v>26.911873928380832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5.9935680932933666E-2</v>
      </c>
      <c r="M333" s="832"/>
      <c r="N333" s="832"/>
      <c r="O333" s="48">
        <f>IF(t&lt;Tnet,'2026'!Resal+('2026'!Salim-'2026'!Resal)*(1-EXP(('2026'!Tnet-t)/('2026'!Tau_j))),Resal+(Salim-Resal)*(1-EXP((Tnet-t)/(Tau_j))))*Salcycl</f>
        <v>4.684803233076059E-2</v>
      </c>
      <c r="P333" s="169">
        <f>(INDEX(Models!$BJ333:$BT333,,T333)*(1-R333)+INDEX(Models!$BJ333:$BT333,,T333+1)*R333-ERP_i)*Q333*Ramure*Pc/MaxiM</f>
        <v>1.6504722136461152E-3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26.791720377593258</v>
      </c>
      <c r="W333" s="400">
        <f t="shared" si="111"/>
        <v>12.132482206209694</v>
      </c>
      <c r="X333" s="157">
        <f t="shared" si="112"/>
        <v>46706</v>
      </c>
      <c r="Y333" s="383">
        <f t="shared" si="113"/>
        <v>11.757380522607166</v>
      </c>
      <c r="Z333" s="383">
        <f t="shared" si="114"/>
        <v>12.50699583436521</v>
      </c>
      <c r="AA333" s="384">
        <f t="shared" si="115"/>
        <v>13.497187677041259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7.3362826862100133E-2</v>
      </c>
      <c r="AD333" s="230">
        <f>(INDEX(Models!$BJ333:$BT333,,AH333)*(1-AF333)+INDEX(Models!$BJ333:$BT333,,AH333+1)*AF333-ERP_i)*AE333*Ramure*Pc/MaxiM</f>
        <v>1.6244792428309212E-2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'2026'!Wh/'2026'!Env_an*'2027'!Env_an</f>
        <v>26.123435774403394</v>
      </c>
      <c r="C334" s="829"/>
      <c r="D334" s="391">
        <f t="shared" si="102"/>
        <v>27.789520252838759</v>
      </c>
      <c r="E334" s="383">
        <f t="shared" si="125"/>
        <v>29.156033887334779</v>
      </c>
      <c r="F334" s="383">
        <f t="shared" si="103"/>
        <v>29.203812837767984</v>
      </c>
      <c r="G334" s="110">
        <f t="shared" si="126"/>
        <v>0.98445900676257603</v>
      </c>
      <c r="H334" s="412" t="b">
        <f>Wh_hp&gt;='2026'!Maxi_hp</f>
        <v>0</v>
      </c>
      <c r="I334" s="388">
        <f>IF(H334,Wh_hp,'2026'!Maxi_hp)</f>
        <v>29.204490810604817</v>
      </c>
      <c r="J334" s="85">
        <f>IF(H334,An,'2026'!An_max)</f>
        <v>2026</v>
      </c>
      <c r="K334" s="197">
        <f t="shared" si="104"/>
        <v>46707</v>
      </c>
      <c r="L334" s="147">
        <f>IF(t&lt;Tvie,1-EXP((T0-t)*PertePVj)+'2026'!Pspv,1-EXP((T0-t)*PertePVj)+Pspv)</f>
        <v>5.9953697051145394E-2</v>
      </c>
      <c r="M334" s="832"/>
      <c r="N334" s="832"/>
      <c r="O334" s="48">
        <f>IF(t&lt;Tnet,'2026'!Resal+('2026'!Salim-'2026'!Resal)*(1-EXP(('2026'!Tnet-t)/('2026'!Tau_j))),Resal+(Salim-Resal)*(1-EXP((Tnet-t)/(Tau_j))))*Salcycl</f>
        <v>4.6868982241429727E-2</v>
      </c>
      <c r="P334" s="169">
        <f>(INDEX(Models!$BJ334:$BT334,,T334)*(1-R334)+INDEX(Models!$BJ334:$BT334,,T334+1)*R334-ERP_i)*Q334*Ramure*Pc/MaxiM</f>
        <v>1.6731098644391731E-3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26.534843934027229</v>
      </c>
      <c r="W334" s="400">
        <f t="shared" si="111"/>
        <v>26.123435774403394</v>
      </c>
      <c r="X334" s="157">
        <f t="shared" si="112"/>
        <v>46707</v>
      </c>
      <c r="Y334" s="383">
        <f t="shared" si="113"/>
        <v>25.031670844251128</v>
      </c>
      <c r="Z334" s="383">
        <f t="shared" si="114"/>
        <v>26.628125408002411</v>
      </c>
      <c r="AA334" s="384">
        <f t="shared" si="115"/>
        <v>28.735696511876089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7.3343310227495156E-2</v>
      </c>
      <c r="AD334" s="230">
        <f>(INDEX(Models!$BJ334:$BT334,,AH334)*(1-AF334)+INDEX(Models!$BJ334:$BT334,,AH334+1)*AF334-ERP_i)*AE334*Ramure*Pc/MaxiM</f>
        <v>1.6392365999116535E-2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'2026'!Wh/'2026'!Env_an*'2027'!Env_an</f>
        <v>13.3745610934963</v>
      </c>
      <c r="C335" s="829"/>
      <c r="D335" s="391">
        <f t="shared" ref="D335:D379" si="127">Wh/(1-Ppv)</f>
        <v>14.227828328099424</v>
      </c>
      <c r="E335" s="383">
        <f t="shared" si="125"/>
        <v>14.927799962467214</v>
      </c>
      <c r="F335" s="383">
        <f t="shared" ref="F335:F379" si="128">Wh_sa/(1-Pvg*MEDIAN((-Sdif+Wh/Env_an)/Csdif,0,1))</f>
        <v>14.935348861805844</v>
      </c>
      <c r="G335" s="110">
        <f t="shared" si="126"/>
        <v>0.50829378173333384</v>
      </c>
      <c r="H335" s="412" t="b">
        <f>Wh_hp&gt;='2026'!Maxi_hp</f>
        <v>0</v>
      </c>
      <c r="I335" s="388">
        <f>IF(H335,Wh_hp,'2026'!Maxi_hp)</f>
        <v>23.200751935750731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5.9971712824082424E-2</v>
      </c>
      <c r="M335" s="832"/>
      <c r="N335" s="832"/>
      <c r="O335" s="48">
        <f>IF(t&lt;Tnet,'2026'!Resal+('2026'!Salim-'2026'!Resal)*(1-EXP(('2026'!Tnet-t)/('2026'!Tau_j))),Resal+(Salim-Resal)*(1-EXP((Tnet-t)/(Tau_j))))*Salcycl</f>
        <v>4.6890475229285029E-2</v>
      </c>
      <c r="P335" s="169">
        <f>(INDEX(Models!$BJ335:$BT335,,T335)*(1-R335)+INDEX(Models!$BJ335:$BT335,,T335+1)*R335-ERP_i)*Q335*Ramure*Pc/MaxiM</f>
        <v>1.6936762542565562E-3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26.281377773401001</v>
      </c>
      <c r="W335" s="400">
        <f t="shared" ref="W335:W379" si="136">Wh*(A335&gt;Tmaj)</f>
        <v>13.3745610934963</v>
      </c>
      <c r="X335" s="157">
        <f t="shared" ref="X335:X379" si="137">t</f>
        <v>46708</v>
      </c>
      <c r="Y335" s="383">
        <f t="shared" ref="Y335:Y379" si="138">Wh_pvt_s*(1-Ppv)</f>
        <v>12.946035181268128</v>
      </c>
      <c r="Z335" s="383">
        <f t="shared" ref="Z335:Z379" si="139">Wh_sa_s*(1-Psa_s)</f>
        <v>13.771963416293874</v>
      </c>
      <c r="AA335" s="384">
        <f t="shared" ref="AA335:AA379" si="140">Wh_hp*(1-Pvg_s*MEDIAN((-Sdif+Wh/Env_an)/Csdif,0,1))</f>
        <v>14.861693440904629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7.3324754607804826E-2</v>
      </c>
      <c r="AD335" s="230">
        <f>(INDEX(Models!$BJ335:$BT335,,AH335)*(1-AF335)+INDEX(Models!$BJ335:$BT335,,AH335+1)*AF335-ERP_i)*AE335*Ramure*Pc/MaxiM</f>
        <v>1.652538095710282E-2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'2026'!Wh/'2026'!Env_an*'2027'!Env_an</f>
        <v>15.311005554574944</v>
      </c>
      <c r="C336" s="829"/>
      <c r="D336" s="391">
        <f t="shared" si="127"/>
        <v>16.288125794731208</v>
      </c>
      <c r="E336" s="383">
        <f t="shared" si="125"/>
        <v>17.089854361853661</v>
      </c>
      <c r="F336" s="383">
        <f t="shared" si="128"/>
        <v>17.101908432595884</v>
      </c>
      <c r="G336" s="110">
        <f t="shared" si="126"/>
        <v>0.587572333497415</v>
      </c>
      <c r="H336" s="412" t="b">
        <f>Wh_hp&gt;='2026'!Maxi_hp</f>
        <v>0</v>
      </c>
      <c r="I336" s="388">
        <f>IF(H336,Wh_hp,'2026'!Maxi_hp)</f>
        <v>27.250192771666942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5.9989728251751195E-2</v>
      </c>
      <c r="M336" s="832"/>
      <c r="N336" s="832"/>
      <c r="O336" s="48">
        <f>IF(t&lt;Tnet,'2026'!Resal+('2026'!Salim-'2026'!Resal)*(1-EXP(('2026'!Tnet-t)/('2026'!Tau_j))),Resal+(Salim-Resal)*(1-EXP((Tnet-t)/(Tau_j))))*Salcycl</f>
        <v>4.691254531179586E-2</v>
      </c>
      <c r="P336" s="169">
        <f>(INDEX(Models!$BJ336:$BT336,,T336)*(1-R336)+INDEX(Models!$BJ336:$BT336,,T336+1)*R336-ERP_i)*Q336*Ramure*Pc/MaxiM</f>
        <v>1.7121650475609136E-3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26.03181023047685</v>
      </c>
      <c r="W336" s="400">
        <f t="shared" si="136"/>
        <v>15.311005554574944</v>
      </c>
      <c r="X336" s="157">
        <f t="shared" si="137"/>
        <v>46709</v>
      </c>
      <c r="Y336" s="383">
        <f t="shared" si="138"/>
        <v>14.795412763904846</v>
      </c>
      <c r="Z336" s="383">
        <f t="shared" si="139"/>
        <v>15.739628819574556</v>
      </c>
      <c r="AA336" s="384">
        <f t="shared" si="140"/>
        <v>16.98473216166337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7.3307210866660921E-2</v>
      </c>
      <c r="AD336" s="230">
        <f>(INDEX(Models!$BJ336:$BT336,,AH336)*(1-AF336)+INDEX(Models!$BJ336:$BT336,,AH336+1)*AF336-ERP_i)*AE336*Ramure*Pc/MaxiM</f>
        <v>1.6643764565890454E-2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'2026'!Wh/'2026'!Env_an*'2027'!Env_an</f>
        <v>6.9977228673237741</v>
      </c>
      <c r="C337" s="829"/>
      <c r="D337" s="391">
        <f t="shared" si="127"/>
        <v>7.444447353369422</v>
      </c>
      <c r="E337" s="383">
        <f t="shared" si="125"/>
        <v>7.8110612639029142</v>
      </c>
      <c r="F337" s="383">
        <f t="shared" si="128"/>
        <v>7.8110612639029142</v>
      </c>
      <c r="G337" s="110">
        <f t="shared" si="126"/>
        <v>0.27090111853823118</v>
      </c>
      <c r="H337" s="412" t="b">
        <f>Wh_hp&gt;='2026'!Maxi_hp</f>
        <v>0</v>
      </c>
      <c r="I337" s="388">
        <f>IF(H337,Wh_hp,'2026'!Maxi_hp)</f>
        <v>28.562272949049884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6.0007743334158481E-2</v>
      </c>
      <c r="M337" s="832"/>
      <c r="N337" s="832"/>
      <c r="O337" s="48">
        <f>IF(t&lt;Tnet,'2026'!Resal+('2026'!Salim-'2026'!Resal)*(1-EXP(('2026'!Tnet-t)/('2026'!Tau_j))),Resal+(Salim-Resal)*(1-EXP((Tnet-t)/(Tau_j))))*Salcycl</f>
        <v>4.6935224055624454E-2</v>
      </c>
      <c r="P337" s="169">
        <f>(INDEX(Models!$BJ337:$BT337,,T337)*(1-R337)+INDEX(Models!$BJ337:$BT337,,T337+1)*R337-ERP_i)*Q337*Ramure*Pc/MaxiM</f>
        <v>1.7285664820885862E-3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25.786629733455747</v>
      </c>
      <c r="W337" s="400">
        <f t="shared" si="136"/>
        <v>6.9977228673237741</v>
      </c>
      <c r="X337" s="157">
        <f t="shared" si="137"/>
        <v>46710</v>
      </c>
      <c r="Y337" s="383">
        <f t="shared" si="138"/>
        <v>6.8042118881976696</v>
      </c>
      <c r="Z337" s="383">
        <f t="shared" si="139"/>
        <v>7.238582913791495</v>
      </c>
      <c r="AA337" s="384">
        <f t="shared" si="140"/>
        <v>7.8110612639029142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7.32907259039179E-2</v>
      </c>
      <c r="AD337" s="230">
        <f>(INDEX(Models!$BJ337:$BT337,,AH337)*(1-AF337)+INDEX(Models!$BJ337:$BT337,,AH337+1)*AF337-ERP_i)*AE337*Ramure*Pc/MaxiM</f>
        <v>1.674741458080322E-2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'2026'!Wh/'2026'!Env_an*'2027'!Env_an</f>
        <v>15.399791173132463</v>
      </c>
      <c r="C338" s="829"/>
      <c r="D338" s="391">
        <f t="shared" si="127"/>
        <v>16.383205503093738</v>
      </c>
      <c r="E338" s="383">
        <f t="shared" si="125"/>
        <v>17.1904436463977</v>
      </c>
      <c r="F338" s="383">
        <f t="shared" si="128"/>
        <v>17.203421902872488</v>
      </c>
      <c r="G338" s="110">
        <f t="shared" si="126"/>
        <v>0.60222194768970339</v>
      </c>
      <c r="H338" s="412" t="b">
        <f>Wh_hp&gt;='2026'!Maxi_hp</f>
        <v>0</v>
      </c>
      <c r="I338" s="388">
        <f>IF(H338,Wh_hp,'2026'!Maxi_hp)</f>
        <v>28.66422438766487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6.0025758071310831E-2</v>
      </c>
      <c r="M338" s="832"/>
      <c r="N338" s="832"/>
      <c r="O338" s="48">
        <f>IF(t&lt;Tnet,'2026'!Resal+('2026'!Salim-'2026'!Resal)*(1-EXP(('2026'!Tnet-t)/('2026'!Tau_j))),Resal+(Salim-Resal)*(1-EXP((Tnet-t)/(Tau_j))))*Salcycl</f>
        <v>4.6958540448903477E-2</v>
      </c>
      <c r="P338" s="169">
        <f>(INDEX(Models!$BJ338:$BT338,,T338)*(1-R338)+INDEX(Models!$BJ338:$BT338,,T338+1)*R338-ERP_i)*Q338*Ramure*Pc/MaxiM</f>
        <v>1.74388005183031E-3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25.5462988976684</v>
      </c>
      <c r="W338" s="400">
        <f t="shared" si="136"/>
        <v>15.399791173132463</v>
      </c>
      <c r="X338" s="157">
        <f t="shared" si="137"/>
        <v>46711</v>
      </c>
      <c r="Y338" s="383">
        <f t="shared" si="138"/>
        <v>14.876733360176937</v>
      </c>
      <c r="Z338" s="383">
        <f t="shared" si="139"/>
        <v>15.826745773003379</v>
      </c>
      <c r="AA338" s="384">
        <f t="shared" si="140"/>
        <v>17.078153305213455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7.3275342470901644E-2</v>
      </c>
      <c r="AD338" s="230">
        <f>(INDEX(Models!$BJ338:$BT338,,AH338)*(1-AF338)+INDEX(Models!$BJ338:$BT338,,AH338+1)*AF338-ERP_i)*AE338*Ramure*Pc/MaxiM</f>
        <v>1.6832261637201622E-2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'2026'!Wh/'2026'!Env_an*'2027'!Env_an</f>
        <v>3.0933837263097748</v>
      </c>
      <c r="C339" s="829"/>
      <c r="D339" s="391">
        <f t="shared" si="127"/>
        <v>3.2909870009757611</v>
      </c>
      <c r="E339" s="383">
        <f t="shared" si="125"/>
        <v>3.4532283748901369</v>
      </c>
      <c r="F339" s="383">
        <f t="shared" si="128"/>
        <v>3.4532283748901369</v>
      </c>
      <c r="G339" s="110">
        <f t="shared" si="126"/>
        <v>0.12199864960863981</v>
      </c>
      <c r="H339" s="412" t="b">
        <f>Wh_hp&gt;='2026'!Maxi_hp</f>
        <v>0</v>
      </c>
      <c r="I339" s="388">
        <f>IF(H339,Wh_hp,'2026'!Maxi_hp)</f>
        <v>27.981917732937102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6.0043772463214795E-2</v>
      </c>
      <c r="M339" s="832"/>
      <c r="N339" s="832"/>
      <c r="O339" s="48">
        <f>IF(t&lt;Tnet,'2026'!Resal+('2026'!Salim-'2026'!Resal)*(1-EXP(('2026'!Tnet-t)/('2026'!Tau_j))),Resal+(Salim-Resal)*(1-EXP((Tnet-t)/(Tau_j))))*Salcycl</f>
        <v>4.6982520789560472E-2</v>
      </c>
      <c r="P339" s="169">
        <f>(INDEX(Models!$BJ339:$BT339,,T339)*(1-R339)+INDEX(Models!$BJ339:$BT339,,T339+1)*R339-ERP_i)*Q339*Ramure*Pc/MaxiM</f>
        <v>1.7578327507298988E-3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25.311313567739749</v>
      </c>
      <c r="W339" s="400">
        <f t="shared" si="136"/>
        <v>3.0933837263097748</v>
      </c>
      <c r="X339" s="157">
        <f t="shared" si="137"/>
        <v>46712</v>
      </c>
      <c r="Y339" s="383">
        <f t="shared" si="138"/>
        <v>3.0080865224333899</v>
      </c>
      <c r="Z339" s="383">
        <f t="shared" si="139"/>
        <v>3.2002410690083631</v>
      </c>
      <c r="AA339" s="384">
        <f t="shared" si="140"/>
        <v>3.4532283748901369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7.3261099011391759E-2</v>
      </c>
      <c r="AD339" s="230">
        <f>(INDEX(Models!$BJ339:$BT339,,AH339)*(1-AF339)+INDEX(Models!$BJ339:$BT339,,AH339+1)*AF339-ERP_i)*AE339*Ramure*Pc/MaxiM</f>
        <v>1.6905081525473702E-2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'2026'!Wh/'2026'!Env_an*'2027'!Env_an</f>
        <v>7.6533644179080698</v>
      </c>
      <c r="C340" s="829"/>
      <c r="D340" s="391">
        <f t="shared" si="127"/>
        <v>8.1424122437687156</v>
      </c>
      <c r="E340" s="383">
        <f t="shared" si="125"/>
        <v>8.5440437181529294</v>
      </c>
      <c r="F340" s="383">
        <f t="shared" si="128"/>
        <v>8.5441546125688674</v>
      </c>
      <c r="G340" s="110">
        <f t="shared" si="126"/>
        <v>0.30459550202704216</v>
      </c>
      <c r="H340" s="412" t="b">
        <f>Wh_hp&gt;='2026'!Maxi_hp</f>
        <v>0</v>
      </c>
      <c r="I340" s="388">
        <f>IF(H340,Wh_hp,'2026'!Maxi_hp)</f>
        <v>29.203443370360098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6.0061786509877035E-2</v>
      </c>
      <c r="M340" s="832"/>
      <c r="N340" s="832"/>
      <c r="O340" s="48">
        <f>IF(t&lt;Tnet,'2026'!Resal+('2026'!Salim-'2026'!Resal)*(1-EXP(('2026'!Tnet-t)/('2026'!Tau_j))),Resal+(Salim-Resal)*(1-EXP((Tnet-t)/(Tau_j))))*Salcycl</f>
        <v>4.7007188590444136E-2</v>
      </c>
      <c r="P340" s="169">
        <f>(INDEX(Models!$BJ340:$BT340,,T340)*(1-R340)+INDEX(Models!$BJ340:$BT340,,T340+1)*R340-ERP_i)*Q340*Ramure*Pc/MaxiM</f>
        <v>1.7704051387542219E-3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25.082162965855332</v>
      </c>
      <c r="W340" s="400">
        <f t="shared" si="136"/>
        <v>7.6533644179080698</v>
      </c>
      <c r="X340" s="157">
        <f t="shared" si="137"/>
        <v>46713</v>
      </c>
      <c r="Y340" s="383">
        <f t="shared" si="138"/>
        <v>7.4417984491746392</v>
      </c>
      <c r="Z340" s="383">
        <f t="shared" si="139"/>
        <v>7.9173272693554964</v>
      </c>
      <c r="AA340" s="384">
        <f t="shared" si="140"/>
        <v>8.5430919184719709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7.3248029529383682E-2</v>
      </c>
      <c r="AD340" s="230">
        <f>(INDEX(Models!$BJ340:$BT340,,AH340)*(1-AF340)+INDEX(Models!$BJ340:$BT340,,AH340+1)*AF340-ERP_i)*AE340*Ramure*Pc/MaxiM</f>
        <v>1.696567923791107E-2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'2026'!Wh/'2026'!Env_an*'2027'!Env_an</f>
        <v>12.836181719206499</v>
      </c>
      <c r="C341" s="829"/>
      <c r="D341" s="391">
        <f t="shared" si="127"/>
        <v>13.656671834579372</v>
      </c>
      <c r="E341" s="383">
        <f t="shared" si="125"/>
        <v>14.330680489035705</v>
      </c>
      <c r="F341" s="383">
        <f t="shared" si="128"/>
        <v>14.338575835202786</v>
      </c>
      <c r="G341" s="110">
        <f t="shared" si="126"/>
        <v>0.51571660144207998</v>
      </c>
      <c r="H341" s="412" t="b">
        <f>Wh_hp&gt;='2026'!Maxi_hp</f>
        <v>0</v>
      </c>
      <c r="I341" s="388">
        <f>IF(H341,Wh_hp,'2026'!Maxi_hp)</f>
        <v>29.107219927904186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6.0079800211304213E-2</v>
      </c>
      <c r="M341" s="832"/>
      <c r="N341" s="832"/>
      <c r="O341" s="48">
        <f>IF(t&lt;Tnet,'2026'!Resal+('2026'!Salim-'2026'!Resal)*(1-EXP(('2026'!Tnet-t)/('2026'!Tau_j))),Resal+(Salim-Resal)*(1-EXP((Tnet-t)/(Tau_j))))*Salcycl</f>
        <v>4.703256450187495E-2</v>
      </c>
      <c r="P341" s="169">
        <f>(INDEX(Models!$BJ341:$BT341,,T341)*(1-R341)+INDEX(Models!$BJ341:$BT341,,T341+1)*R341-ERP_i)*Q341*Ramure*Pc/MaxiM</f>
        <v>1.7815630354348587E-3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24.859336667153837</v>
      </c>
      <c r="W341" s="400">
        <f t="shared" si="136"/>
        <v>12.836181719206499</v>
      </c>
      <c r="X341" s="157">
        <f t="shared" si="137"/>
        <v>46714</v>
      </c>
      <c r="Y341" s="383">
        <f t="shared" si="138"/>
        <v>12.424425284939943</v>
      </c>
      <c r="Z341" s="383">
        <f t="shared" si="139"/>
        <v>13.21859588477095</v>
      </c>
      <c r="AA341" s="384">
        <f t="shared" si="140"/>
        <v>14.263176187873796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7.3236163484464517E-2</v>
      </c>
      <c r="AD341" s="230">
        <f>(INDEX(Models!$BJ341:$BT341,,AH341)*(1-AF341)+INDEX(Models!$BJ341:$BT341,,AH341+1)*AF341-ERP_i)*AE341*Ramure*Pc/MaxiM</f>
        <v>1.7013721972853207E-2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'2026'!Wh/'2026'!Env_an*'2027'!Env_an</f>
        <v>13.471568579023998</v>
      </c>
      <c r="C342" s="829"/>
      <c r="D342" s="391">
        <f t="shared" si="127"/>
        <v>14.332947378446718</v>
      </c>
      <c r="E342" s="383">
        <f t="shared" si="125"/>
        <v>15.040744766601296</v>
      </c>
      <c r="F342" s="383">
        <f t="shared" si="128"/>
        <v>15.050244473193242</v>
      </c>
      <c r="G342" s="110">
        <f t="shared" si="126"/>
        <v>0.54602741842485703</v>
      </c>
      <c r="H342" s="412" t="b">
        <f>Wh_hp&gt;='2026'!Maxi_hp</f>
        <v>0</v>
      </c>
      <c r="I342" s="388">
        <f>IF(H342,Wh_hp,'2026'!Maxi_hp)</f>
        <v>27.112988230859333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6.0097813567502878E-2</v>
      </c>
      <c r="M342" s="832"/>
      <c r="N342" s="832"/>
      <c r="O342" s="48">
        <f>IF(t&lt;Tnet,'2026'!Resal+('2026'!Salim-'2026'!Resal)*(1-EXP(('2026'!Tnet-t)/('2026'!Tau_j))),Resal+(Salim-Resal)*(1-EXP((Tnet-t)/(Tau_j))))*Salcycl</f>
        <v>4.7058666252104579E-2</v>
      </c>
      <c r="P342" s="169">
        <f>(INDEX(Models!$BJ342:$BT342,,T342)*(1-R342)+INDEX(Models!$BJ342:$BT342,,T342+1)*R342-ERP_i)*Q342*Ramure*Pc/MaxiM</f>
        <v>1.7912757596908189E-3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24.643324139530904</v>
      </c>
      <c r="W342" s="400">
        <f t="shared" si="136"/>
        <v>13.471568579023998</v>
      </c>
      <c r="X342" s="157">
        <f t="shared" si="137"/>
        <v>46715</v>
      </c>
      <c r="Y342" s="383">
        <f t="shared" si="138"/>
        <v>13.031167959371402</v>
      </c>
      <c r="Z342" s="383">
        <f t="shared" si="139"/>
        <v>13.864387323996599</v>
      </c>
      <c r="AA342" s="384">
        <f t="shared" si="140"/>
        <v>14.959828640834267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7.3225525715418904E-2</v>
      </c>
      <c r="AD342" s="230">
        <f>(INDEX(Models!$BJ342:$BT342,,AH342)*(1-AF342)+INDEX(Models!$BJ342:$BT342,,AH342+1)*AF342-ERP_i)*AE342*Ramure*Pc/MaxiM</f>
        <v>1.704891485114246E-2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'2026'!Wh/'2026'!Env_an*'2027'!Env_an</f>
        <v>4.6685527192138103</v>
      </c>
      <c r="C343" s="829"/>
      <c r="D343" s="391">
        <f t="shared" si="127"/>
        <v>4.9671574979484756</v>
      </c>
      <c r="E343" s="383">
        <f t="shared" si="125"/>
        <v>5.2125951938061688</v>
      </c>
      <c r="F343" s="383">
        <f t="shared" si="128"/>
        <v>5.2125951938061688</v>
      </c>
      <c r="G343" s="110">
        <f t="shared" si="126"/>
        <v>0.19071925756186117</v>
      </c>
      <c r="H343" s="412" t="b">
        <f>Wh_hp&gt;='2026'!Maxi_hp</f>
        <v>0</v>
      </c>
      <c r="I343" s="388">
        <f>IF(H343,Wh_hp,'2026'!Maxi_hp)</f>
        <v>25.709723482797013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6.0115826578479692E-2</v>
      </c>
      <c r="M343" s="832"/>
      <c r="N343" s="832"/>
      <c r="O343" s="48">
        <f>IF(t&lt;Tnet,'2026'!Resal+('2026'!Salim-'2026'!Resal)*(1-EXP(('2026'!Tnet-t)/('2026'!Tau_j))),Resal+(Salim-Resal)*(1-EXP((Tnet-t)/(Tau_j))))*Salcycl</f>
        <v>4.7085508606026519E-2</v>
      </c>
      <c r="P343" s="169">
        <f>(INDEX(Models!$BJ343:$BT343,,T343)*(1-R343)+INDEX(Models!$BJ343:$BT343,,T343+1)*R343-ERP_i)*Q343*Ramure*Pc/MaxiM</f>
        <v>1.7995181809898225E-3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24.434614696447845</v>
      </c>
      <c r="W343" s="400">
        <f t="shared" si="136"/>
        <v>4.6685527192138103</v>
      </c>
      <c r="X343" s="157">
        <f t="shared" si="137"/>
        <v>46716</v>
      </c>
      <c r="Y343" s="383">
        <f t="shared" si="138"/>
        <v>4.5405326140429407</v>
      </c>
      <c r="Z343" s="383">
        <f t="shared" si="139"/>
        <v>4.8309491131377928</v>
      </c>
      <c r="AA343" s="384">
        <f t="shared" si="140"/>
        <v>5.2125951938061688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7.321613639245661E-2</v>
      </c>
      <c r="AD343" s="230">
        <f>(INDEX(Models!$BJ343:$BT343,,AH343)*(1-AF343)+INDEX(Models!$BJ343:$BT343,,AH343+1)*AF343-ERP_i)*AE343*Ramure*Pc/MaxiM</f>
        <v>1.7071019492990395E-2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'2026'!Wh/'2026'!Env_an*'2027'!Env_an</f>
        <v>10.728400203753413</v>
      </c>
      <c r="C344" s="829"/>
      <c r="D344" s="391">
        <f t="shared" si="127"/>
        <v>11.414816972585294</v>
      </c>
      <c r="E344" s="383">
        <f t="shared" si="125"/>
        <v>11.979193976350999</v>
      </c>
      <c r="F344" s="383">
        <f t="shared" si="128"/>
        <v>11.983606753835625</v>
      </c>
      <c r="G344" s="110">
        <f t="shared" si="126"/>
        <v>0.44206901112532487</v>
      </c>
      <c r="H344" s="412" t="b">
        <f>Wh_hp&gt;='2026'!Maxi_hp</f>
        <v>0</v>
      </c>
      <c r="I344" s="388">
        <f>IF(H344,Wh_hp,'2026'!Maxi_hp)</f>
        <v>26.915508219914461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6.0133839244241316E-2</v>
      </c>
      <c r="M344" s="832"/>
      <c r="N344" s="832"/>
      <c r="O344" s="48">
        <f>IF(t&lt;Tnet,'2026'!Resal+('2026'!Salim-'2026'!Resal)*(1-EXP(('2026'!Tnet-t)/('2026'!Tau_j))),Resal+(Salim-Resal)*(1-EXP((Tnet-t)/(Tau_j))))*Salcycl</f>
        <v>4.7113103342335254E-2</v>
      </c>
      <c r="P344" s="169">
        <f>(INDEX(Models!$BJ344:$BT344,,T344)*(1-R344)+INDEX(Models!$BJ344:$BT344,,T344+1)*R344-ERP_i)*Q344*Ramure*Pc/MaxiM</f>
        <v>1.8062617523137419E-3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24.233697724115284</v>
      </c>
      <c r="W344" s="400">
        <f t="shared" si="136"/>
        <v>10.728400203753413</v>
      </c>
      <c r="X344" s="157">
        <f t="shared" si="137"/>
        <v>46717</v>
      </c>
      <c r="Y344" s="383">
        <f t="shared" si="138"/>
        <v>10.402099217818924</v>
      </c>
      <c r="Z344" s="383">
        <f t="shared" si="139"/>
        <v>11.067638832165699</v>
      </c>
      <c r="AA344" s="384">
        <f t="shared" si="140"/>
        <v>11.941880123593236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7.3208010998228323E-2</v>
      </c>
      <c r="AD344" s="230">
        <f>(INDEX(Models!$BJ344:$BT344,,AH344)*(1-AF344)+INDEX(Models!$BJ344:$BT344,,AH344+1)*AF344-ERP_i)*AE344*Ramure*Pc/MaxiM</f>
        <v>1.707976813295687E-2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'2026'!Wh/'2026'!Env_an*'2027'!Env_an</f>
        <v>14.12371712581286</v>
      </c>
      <c r="C345" s="829"/>
      <c r="D345" s="391">
        <f t="shared" si="127"/>
        <v>15.027658616264823</v>
      </c>
      <c r="E345" s="383">
        <f t="shared" si="125"/>
        <v>15.771132831976947</v>
      </c>
      <c r="F345" s="383">
        <f t="shared" si="128"/>
        <v>15.782878302676671</v>
      </c>
      <c r="G345" s="110">
        <f t="shared" si="126"/>
        <v>0.5869166691070955</v>
      </c>
      <c r="H345" s="412" t="b">
        <f>Wh_hp&gt;='2026'!Maxi_hp</f>
        <v>0</v>
      </c>
      <c r="I345" s="388">
        <f>IF(H345,Wh_hp,'2026'!Maxi_hp)</f>
        <v>23.300191289146664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6.0151851564794301E-2</v>
      </c>
      <c r="M345" s="832"/>
      <c r="N345" s="832"/>
      <c r="O345" s="48">
        <f>IF(t&lt;Tnet,'2026'!Resal+('2026'!Salim-'2026'!Resal)*(1-EXP(('2026'!Tnet-t)/('2026'!Tau_j))),Resal+(Salim-Resal)*(1-EXP((Tnet-t)/(Tau_j))))*Salcycl</f>
        <v>4.7141459249185003E-2</v>
      </c>
      <c r="P345" s="169">
        <f>(INDEX(Models!$BJ345:$BT345,,T345)*(1-R345)+INDEX(Models!$BJ345:$BT345,,T345+1)*R345-ERP_i)*Q345*Ramure*Pc/MaxiM</f>
        <v>1.8116631861817964E-3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24.038555999896605</v>
      </c>
      <c r="W345" s="400">
        <f t="shared" si="136"/>
        <v>14.12371712581286</v>
      </c>
      <c r="X345" s="157">
        <f t="shared" si="137"/>
        <v>46718</v>
      </c>
      <c r="Y345" s="383">
        <f t="shared" si="138"/>
        <v>13.65124300836557</v>
      </c>
      <c r="Z345" s="383">
        <f t="shared" si="139"/>
        <v>14.524945366008458</v>
      </c>
      <c r="AA345" s="384">
        <f t="shared" si="140"/>
        <v>15.672166110284378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7.3201160337567628E-2</v>
      </c>
      <c r="AD345" s="230">
        <f>(INDEX(Models!$BJ345:$BT345,,AH345)*(1-AF345)+INDEX(Models!$BJ345:$BT345,,AH345+1)*AF345-ERP_i)*AE345*Ramure*Pc/MaxiM</f>
        <v>1.7076642422112841E-2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'2026'!Wh/'2026'!Env_an*'2027'!Env_an</f>
        <v>10.247305135339248</v>
      </c>
      <c r="C346" s="829"/>
      <c r="D346" s="391">
        <f t="shared" si="127"/>
        <v>10.903358743037035</v>
      </c>
      <c r="E346" s="383">
        <f t="shared" si="125"/>
        <v>11.443138235073972</v>
      </c>
      <c r="F346" s="383">
        <f t="shared" si="128"/>
        <v>11.446996753228085</v>
      </c>
      <c r="G346" s="110">
        <f t="shared" si="126"/>
        <v>0.42907049117743329</v>
      </c>
      <c r="H346" s="412" t="b">
        <f>Wh_hp&gt;='2026'!Maxi_hp</f>
        <v>0</v>
      </c>
      <c r="I346" s="388">
        <f>IF(H346,Wh_hp,'2026'!Maxi_hp)</f>
        <v>16.384266753107251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6.0169863540145196E-2</v>
      </c>
      <c r="M346" s="832"/>
      <c r="N346" s="832"/>
      <c r="O346" s="48">
        <f>IF(t&lt;Tnet,'2026'!Resal+('2026'!Salim-'2026'!Resal)*(1-EXP(('2026'!Tnet-t)/('2026'!Tau_j))),Resal+(Salim-Resal)*(1-EXP((Tnet-t)/(Tau_j))))*Salcycl</f>
        <v>4.7170582138252634E-2</v>
      </c>
      <c r="P346" s="169">
        <f>(INDEX(Models!$BJ346:$BT346,,T346)*(1-R346)+INDEX(Models!$BJ346:$BT346,,T346+1)*R346-ERP_i)*Q346*Ramure*Pc/MaxiM</f>
        <v>1.8191217487725413E-3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23.847160918819288</v>
      </c>
      <c r="W346" s="400">
        <f t="shared" si="136"/>
        <v>10.247305135339248</v>
      </c>
      <c r="X346" s="157">
        <f t="shared" si="137"/>
        <v>46719</v>
      </c>
      <c r="Y346" s="383">
        <f t="shared" si="138"/>
        <v>9.9392590437685957</v>
      </c>
      <c r="Z346" s="383">
        <f t="shared" si="139"/>
        <v>10.5755909054031</v>
      </c>
      <c r="AA346" s="384">
        <f t="shared" si="140"/>
        <v>11.410812030956974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7.3195590575671585E-2</v>
      </c>
      <c r="AD346" s="230">
        <f>(INDEX(Models!$BJ346:$BT346,,AH346)*(1-AF346)+INDEX(Models!$BJ346:$BT346,,AH346+1)*AF346-ERP_i)*AE346*Ramure*Pc/MaxiM</f>
        <v>1.7059506429045863E-2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'2026'!Wh/'2026'!Env_an*'2027'!Env_an</f>
        <v>14.925114146830227</v>
      </c>
      <c r="C347" s="829"/>
      <c r="D347" s="391">
        <f t="shared" si="127"/>
        <v>15.880955089332101</v>
      </c>
      <c r="E347" s="383">
        <f t="shared" si="125"/>
        <v>16.66767737660382</v>
      </c>
      <c r="F347" s="383">
        <f t="shared" si="128"/>
        <v>16.68211339060289</v>
      </c>
      <c r="G347" s="110">
        <f t="shared" si="126"/>
        <v>0.63020542389837653</v>
      </c>
      <c r="H347" s="412" t="b">
        <f>Wh_hp&gt;='2026'!Maxi_hp</f>
        <v>0</v>
      </c>
      <c r="I347" s="388">
        <f>IF(H347,Wh_hp,'2026'!Maxi_hp)</f>
        <v>16.692242685766246</v>
      </c>
      <c r="J347" s="85">
        <f>IF(H347,An,'2026'!An_max)</f>
        <v>2026</v>
      </c>
      <c r="K347" s="197">
        <f t="shared" si="129"/>
        <v>46720</v>
      </c>
      <c r="L347" s="147">
        <f>IF(t&lt;Tvie,1-EXP((T0-t)*PertePVj)+'2026'!Pspv,1-EXP((T0-t)*PertePVj)+Pspv)</f>
        <v>6.0187875170300775E-2</v>
      </c>
      <c r="M347" s="832"/>
      <c r="N347" s="832"/>
      <c r="O347" s="48">
        <f>IF(t&lt;Tnet,'2026'!Resal+('2026'!Salim-'2026'!Resal)*(1-EXP(('2026'!Tnet-t)/('2026'!Tau_j))),Resal+(Salim-Resal)*(1-EXP((Tnet-t)/(Tau_j))))*Salcycl</f>
        <v>4.7200474876963376E-2</v>
      </c>
      <c r="P347" s="169">
        <f>(INDEX(Models!$BJ347:$BT347,,T347)*(1-R347)+INDEX(Models!$BJ347:$BT347,,T347+1)*R347-ERP_i)*Q347*Ramure*Pc/MaxiM</f>
        <v>1.8310865774236516E-3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23.660044012125393</v>
      </c>
      <c r="W347" s="400">
        <f t="shared" si="136"/>
        <v>14.925114146830227</v>
      </c>
      <c r="X347" s="157">
        <f t="shared" si="137"/>
        <v>46720</v>
      </c>
      <c r="Y347" s="383">
        <f t="shared" si="138"/>
        <v>14.413561743620782</v>
      </c>
      <c r="Z347" s="383">
        <f t="shared" si="139"/>
        <v>15.336641614655296</v>
      </c>
      <c r="AA347" s="384">
        <f t="shared" si="140"/>
        <v>16.547796399982726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7.3191303304208713E-2</v>
      </c>
      <c r="AD347" s="230">
        <f>(INDEX(Models!$BJ347:$BT347,,AH347)*(1-AF347)+INDEX(Models!$BJ347:$BT347,,AH347+1)*AF347-ERP_i)*AE347*Ramure*Pc/MaxiM</f>
        <v>1.7036977011821702E-2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'2026'!Wh/'2026'!Env_an*'2027'!Env_an</f>
        <v>3.9004369515826212</v>
      </c>
      <c r="C348" s="829"/>
      <c r="D348" s="391">
        <f t="shared" si="127"/>
        <v>4.150310047028154</v>
      </c>
      <c r="E348" s="383">
        <f t="shared" si="125"/>
        <v>4.3560513048989744</v>
      </c>
      <c r="F348" s="383">
        <f t="shared" si="128"/>
        <v>4.3560513048989744</v>
      </c>
      <c r="G348" s="110">
        <f t="shared" si="126"/>
        <v>0.16582607066254484</v>
      </c>
      <c r="H348" s="412" t="b">
        <f>Wh_hp&gt;='2026'!Maxi_hp</f>
        <v>0</v>
      </c>
      <c r="I348" s="388">
        <f>IF(H348,Wh_hp,'2026'!Maxi_hp)</f>
        <v>25.310170680267795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6.0205886455267477E-2</v>
      </c>
      <c r="M348" s="832"/>
      <c r="N348" s="832"/>
      <c r="O348" s="48">
        <f>IF(t&lt;Tnet,'2026'!Resal+('2026'!Salim-'2026'!Resal)*(1-EXP(('2026'!Tnet-t)/('2026'!Tau_j))),Resal+(Salim-Resal)*(1-EXP((Tnet-t)/(Tau_j))))*Salcycl</f>
        <v>4.7231137438495378E-2</v>
      </c>
      <c r="P348" s="169">
        <f>(INDEX(Models!$BJ348:$BT348,,T348)*(1-R348)+INDEX(Models!$BJ348:$BT348,,T348+1)*R348-ERP_i)*Q348*Ramure*Pc/MaxiM</f>
        <v>1.8475331539838042E-3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23.477796642255679</v>
      </c>
      <c r="W348" s="400">
        <f t="shared" si="136"/>
        <v>3.9004369515826212</v>
      </c>
      <c r="X348" s="157">
        <f t="shared" si="137"/>
        <v>46721</v>
      </c>
      <c r="Y348" s="383">
        <f t="shared" si="138"/>
        <v>3.7941737612490609</v>
      </c>
      <c r="Z348" s="383">
        <f t="shared" si="139"/>
        <v>4.037239334196431</v>
      </c>
      <c r="AA348" s="384">
        <f t="shared" si="140"/>
        <v>4.3560513048989744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7.3188295634625797E-2</v>
      </c>
      <c r="AD348" s="230">
        <f>(INDEX(Models!$BJ348:$BT348,,AH348)*(1-AF348)+INDEX(Models!$BJ348:$BT348,,AH348+1)*AF348-ERP_i)*AE348*Ramure*Pc/MaxiM</f>
        <v>1.7008667744003381E-2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'2026'!Wh/'2026'!Env_an*'2027'!Env_an</f>
        <v>3.6922166039821778</v>
      </c>
      <c r="C349" s="829"/>
      <c r="D349" s="391">
        <f t="shared" si="127"/>
        <v>3.9288258062189398</v>
      </c>
      <c r="E349" s="383">
        <f t="shared" si="125"/>
        <v>4.1237235674892041</v>
      </c>
      <c r="F349" s="383">
        <f t="shared" si="128"/>
        <v>4.1237235674892041</v>
      </c>
      <c r="G349" s="110">
        <f t="shared" si="126"/>
        <v>0.15816129620020117</v>
      </c>
      <c r="H349" s="412" t="b">
        <f>Wh_hp&gt;='2026'!Maxi_hp</f>
        <v>0</v>
      </c>
      <c r="I349" s="388">
        <f>IF(H349,Wh_hp,'2026'!Maxi_hp)</f>
        <v>26.146261330818092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6.0223897395052073E-2</v>
      </c>
      <c r="M349" s="832"/>
      <c r="N349" s="832"/>
      <c r="O349" s="48">
        <f>IF(t&lt;Tnet,'2026'!Resal+('2026'!Salim-'2026'!Resal)*(1-EXP(('2026'!Tnet-t)/('2026'!Tau_j))),Resal+(Salim-Resal)*(1-EXP((Tnet-t)/(Tau_j))))*Salcycl</f>
        <v>4.7262566969039299E-2</v>
      </c>
      <c r="P349" s="169">
        <f>(INDEX(Models!$BJ349:$BT349,,T349)*(1-R349)+INDEX(Models!$BJ349:$BT349,,T349+1)*R349-ERP_i)*Q349*Ramure*Pc/MaxiM</f>
        <v>1.8684348073843052E-3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23.30100995946572</v>
      </c>
      <c r="W349" s="400">
        <f t="shared" si="136"/>
        <v>3.6922166039821778</v>
      </c>
      <c r="X349" s="157">
        <f t="shared" si="137"/>
        <v>46722</v>
      </c>
      <c r="Y349" s="383">
        <f t="shared" si="138"/>
        <v>3.5917513599757678</v>
      </c>
      <c r="Z349" s="383">
        <f t="shared" si="139"/>
        <v>3.8219224238835814</v>
      </c>
      <c r="AA349" s="384">
        <f t="shared" si="140"/>
        <v>4.1237235674892041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7.3186560317712923E-2</v>
      </c>
      <c r="AD349" s="230">
        <f>(INDEX(Models!$BJ349:$BT349,,AH349)*(1-AF349)+INDEX(Models!$BJ349:$BT349,,AH349+1)*AF349-ERP_i)*AE349*Ramure*Pc/MaxiM</f>
        <v>1.6974155844593233E-2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'2026'!Wh/'2026'!Env_an*'2027'!Env_an</f>
        <v>5.5472662431888073</v>
      </c>
      <c r="C350" s="829"/>
      <c r="D350" s="391">
        <f t="shared" si="127"/>
        <v>5.902866163484739</v>
      </c>
      <c r="E350" s="383">
        <f t="shared" si="125"/>
        <v>6.1958997415588142</v>
      </c>
      <c r="F350" s="383">
        <f t="shared" si="128"/>
        <v>6.1958997415588142</v>
      </c>
      <c r="G350" s="110">
        <f t="shared" si="126"/>
        <v>0.23937290276572271</v>
      </c>
      <c r="H350" s="412" t="b">
        <f>Wh_hp&gt;='2026'!Maxi_hp</f>
        <v>0</v>
      </c>
      <c r="I350" s="388">
        <f>IF(H350,Wh_hp,'2026'!Maxi_hp)</f>
        <v>9.9498204075695913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6.0241907989661114E-2</v>
      </c>
      <c r="M350" s="832"/>
      <c r="N350" s="832"/>
      <c r="O350" s="48">
        <f>IF(t&lt;Tnet,'2026'!Resal+('2026'!Salim-'2026'!Resal)*(1-EXP(('2026'!Tnet-t)/('2026'!Tau_j))),Resal+(Salim-Resal)*(1-EXP((Tnet-t)/(Tau_j))))*Salcycl</f>
        <v>4.7294757871655269E-2</v>
      </c>
      <c r="P350" s="169">
        <f>(INDEX(Models!$BJ350:$BT350,,T350)*(1-R350)+INDEX(Models!$BJ350:$BT350,,T350+1)*R350-ERP_i)*Q350*Ramure*Pc/MaxiM</f>
        <v>1.8937615697961461E-3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23.130274895730061</v>
      </c>
      <c r="W350" s="400">
        <f t="shared" si="136"/>
        <v>5.5472662431888073</v>
      </c>
      <c r="X350" s="157">
        <f t="shared" si="137"/>
        <v>46723</v>
      </c>
      <c r="Y350" s="383">
        <f t="shared" si="138"/>
        <v>5.3965101818732197</v>
      </c>
      <c r="Z350" s="383">
        <f t="shared" si="139"/>
        <v>5.742446090917884</v>
      </c>
      <c r="AA350" s="384">
        <f t="shared" si="140"/>
        <v>6.1958997415588142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7.3186085888285582E-2</v>
      </c>
      <c r="AD350" s="230">
        <f>(INDEX(Models!$BJ350:$BT350,,AH350)*(1-AF350)+INDEX(Models!$BJ350:$BT350,,AH350+1)*AF350-ERP_i)*AE350*Ramure*Pc/MaxiM</f>
        <v>1.6932984228637409E-2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'2026'!Wh/'2026'!Env_an*'2027'!Env_an</f>
        <v>9.2973545825145543</v>
      </c>
      <c r="C351" s="829"/>
      <c r="D351" s="391">
        <f t="shared" si="127"/>
        <v>9.8935383974396789</v>
      </c>
      <c r="E351" s="383">
        <f t="shared" si="125"/>
        <v>10.385038399072743</v>
      </c>
      <c r="F351" s="383">
        <f t="shared" si="128"/>
        <v>10.388030664395883</v>
      </c>
      <c r="G351" s="110">
        <f t="shared" si="126"/>
        <v>0.40416578467130543</v>
      </c>
      <c r="H351" s="412" t="b">
        <f>Wh_hp&gt;='2026'!Maxi_hp</f>
        <v>0</v>
      </c>
      <c r="I351" s="388">
        <f>IF(H351,Wh_hp,'2026'!Maxi_hp)</f>
        <v>16.647333469246274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6.0259918239101262E-2</v>
      </c>
      <c r="M351" s="832"/>
      <c r="N351" s="832"/>
      <c r="O351" s="48">
        <f>IF(t&lt;Tnet,'2026'!Resal+('2026'!Salim-'2026'!Resal)*(1-EXP(('2026'!Tnet-t)/('2026'!Tau_j))),Resal+(Salim-Resal)*(1-EXP((Tnet-t)/(Tau_j))))*Salcycl</f>
        <v>4.7327701905940815E-2</v>
      </c>
      <c r="P351" s="169">
        <f>(INDEX(Models!$BJ351:$BT351,,T351)*(1-R351)+INDEX(Models!$BJ351:$BT351,,T351+1)*R351-ERP_i)*Q351*Ramure*Pc/MaxiM</f>
        <v>1.9234789491515763E-3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22.966182157016547</v>
      </c>
      <c r="W351" s="400">
        <f t="shared" si="136"/>
        <v>9.2973545825145543</v>
      </c>
      <c r="X351" s="157">
        <f t="shared" si="137"/>
        <v>46724</v>
      </c>
      <c r="Y351" s="383">
        <f t="shared" si="138"/>
        <v>9.0247178054181525</v>
      </c>
      <c r="Z351" s="383">
        <f t="shared" si="139"/>
        <v>9.6034190523272187</v>
      </c>
      <c r="AA351" s="384">
        <f t="shared" si="140"/>
        <v>10.361763990008004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7.3186856833649963E-2</v>
      </c>
      <c r="AD351" s="230">
        <f>(INDEX(Models!$BJ351:$BT351,,AH351)*(1-AF351)+INDEX(Models!$BJ351:$BT351,,AH351+1)*AF351-ERP_i)*AE351*Ramure*Pc/MaxiM</f>
        <v>1.6884664223650963E-2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'2026'!Wh/'2026'!Env_an*'2027'!Env_an</f>
        <v>17.051085193860345</v>
      </c>
      <c r="C352" s="829"/>
      <c r="D352" s="391">
        <f t="shared" si="127"/>
        <v>18.144817180011849</v>
      </c>
      <c r="E352" s="383">
        <f t="shared" si="125"/>
        <v>19.046905045851208</v>
      </c>
      <c r="F352" s="383">
        <f t="shared" si="128"/>
        <v>19.070759559684134</v>
      </c>
      <c r="G352" s="110">
        <f t="shared" si="126"/>
        <v>0.7470200066897088</v>
      </c>
      <c r="H352" s="412" t="b">
        <f>Wh_hp&gt;='2026'!Maxi_hp</f>
        <v>0</v>
      </c>
      <c r="I352" s="388">
        <f>IF(H352,Wh_hp,'2026'!Maxi_hp)</f>
        <v>19.07950596524082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6.0277928143379067E-2</v>
      </c>
      <c r="M352" s="832"/>
      <c r="N352" s="832"/>
      <c r="O352" s="48">
        <f>IF(t&lt;Tnet,'2026'!Resal+('2026'!Salim-'2026'!Resal)*(1-EXP(('2026'!Tnet-t)/('2026'!Tau_j))),Resal+(Salim-Resal)*(1-EXP((Tnet-t)/(Tau_j))))*Salcycl</f>
        <v>4.7361388302602635E-2</v>
      </c>
      <c r="P352" s="169">
        <f>(INDEX(Models!$BJ352:$BT352,,T352)*(1-R352)+INDEX(Models!$BJ352:$BT352,,T352+1)*R352-ERP_i)*Q352*Ramure*Pc/MaxiM</f>
        <v>1.9564145564922976E-3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22.809348079219646</v>
      </c>
      <c r="W352" s="400">
        <f t="shared" si="136"/>
        <v>17.051085193860345</v>
      </c>
      <c r="X352" s="157">
        <f t="shared" si="137"/>
        <v>46725</v>
      </c>
      <c r="Y352" s="383">
        <f t="shared" si="138"/>
        <v>16.430865951180539</v>
      </c>
      <c r="Z352" s="383">
        <f t="shared" si="139"/>
        <v>17.484814333154766</v>
      </c>
      <c r="AA352" s="384">
        <f t="shared" si="140"/>
        <v>18.865563286057217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7.3188853784339827E-2</v>
      </c>
      <c r="AD352" s="230">
        <f>(INDEX(Models!$BJ352:$BT352,,AH352)*(1-AF352)+INDEX(Models!$BJ352:$BT352,,AH352+1)*AF352-ERP_i)*AE352*Ramure*Pc/MaxiM</f>
        <v>1.682905715343266E-2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'2026'!Wh/'2026'!Env_an*'2027'!Env_an</f>
        <v>22.605698168305498</v>
      </c>
      <c r="C353" s="829"/>
      <c r="D353" s="391">
        <f t="shared" si="127"/>
        <v>24.056188618613003</v>
      </c>
      <c r="E353" s="383">
        <f t="shared" si="125"/>
        <v>25.253078578590962</v>
      </c>
      <c r="F353" s="383">
        <f t="shared" si="128"/>
        <v>25.30329618125516</v>
      </c>
      <c r="G353" s="110">
        <f t="shared" si="126"/>
        <v>0.99757978151623161</v>
      </c>
      <c r="H353" s="412" t="b">
        <f>Wh_hp&gt;='2026'!Maxi_hp</f>
        <v>0</v>
      </c>
      <c r="I353" s="388">
        <f>IF(H353,Wh_hp,'2026'!Maxi_hp)</f>
        <v>25.303409719606442</v>
      </c>
      <c r="J353" s="85">
        <f>IF(H353,An,'2026'!An_max)</f>
        <v>2026</v>
      </c>
      <c r="K353" s="197">
        <f t="shared" si="129"/>
        <v>46726</v>
      </c>
      <c r="L353" s="147">
        <f>IF(t&lt;Tvie,1-EXP((T0-t)*PertePVj)+'2026'!Pspv,1-EXP((T0-t)*PertePVj)+Pspv)</f>
        <v>6.0295937702501079E-2</v>
      </c>
      <c r="M353" s="832"/>
      <c r="N353" s="832"/>
      <c r="O353" s="48">
        <f>IF(t&lt;Tnet,'2026'!Resal+('2026'!Salim-'2026'!Resal)*(1-EXP(('2026'!Tnet-t)/('2026'!Tau_j))),Resal+(Salim-Resal)*(1-EXP((Tnet-t)/(Tau_j))))*Salcycl</f>
        <v>4.739580389191269E-2</v>
      </c>
      <c r="P353" s="169">
        <f>(INDEX(Models!$BJ353:$BT353,,T353)*(1-R353)+INDEX(Models!$BJ353:$BT353,,T353+1)*R353-ERP_i)*Q353*Ramure*Pc/MaxiM</f>
        <v>1.9914928877420158E-3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22.660385733976121</v>
      </c>
      <c r="W353" s="400">
        <f t="shared" si="136"/>
        <v>22.605698168305498</v>
      </c>
      <c r="X353" s="157">
        <f t="shared" si="137"/>
        <v>46726</v>
      </c>
      <c r="Y353" s="383">
        <f t="shared" si="138"/>
        <v>21.668995802931143</v>
      </c>
      <c r="Z353" s="383">
        <f t="shared" si="139"/>
        <v>23.059382918865154</v>
      </c>
      <c r="AA353" s="384">
        <f t="shared" si="140"/>
        <v>24.880432900425504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7.3192053725448097E-2</v>
      </c>
      <c r="AD353" s="230">
        <f>(INDEX(Models!$BJ353:$BT353,,AH353)*(1-AF353)+INDEX(Models!$BJ353:$BT353,,AH353+1)*AF353-ERP_i)*AE353*Ramure*Pc/MaxiM</f>
        <v>1.6769602123199452E-2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'2026'!Wh/'2026'!Env_an*'2027'!Env_an</f>
        <v>11.113121034355403</v>
      </c>
      <c r="C354" s="829"/>
      <c r="D354" s="391">
        <f t="shared" si="127"/>
        <v>11.826419044837724</v>
      </c>
      <c r="E354" s="383">
        <f t="shared" si="125"/>
        <v>12.415287728295029</v>
      </c>
      <c r="F354" s="383">
        <f t="shared" si="128"/>
        <v>12.422253138972748</v>
      </c>
      <c r="G354" s="110">
        <f t="shared" si="126"/>
        <v>0.49275557583695434</v>
      </c>
      <c r="H354" s="412" t="b">
        <f>Wh_hp&gt;='2026'!Maxi_hp</f>
        <v>0</v>
      </c>
      <c r="I354" s="388">
        <f>IF(H354,Wh_hp,'2026'!Maxi_hp)</f>
        <v>18.881092862283797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6.031394691647407E-2</v>
      </c>
      <c r="M354" s="832"/>
      <c r="N354" s="832"/>
      <c r="O354" s="48">
        <f>IF(t&lt;Tnet,'2026'!Resal+('2026'!Salim-'2026'!Resal)*(1-EXP(('2026'!Tnet-t)/('2026'!Tau_j))),Resal+(Salim-Resal)*(1-EXP((Tnet-t)/(Tau_j))))*Salcycl</f>
        <v>4.7430933244925533E-2</v>
      </c>
      <c r="P354" s="169">
        <f>(INDEX(Models!$BJ354:$BT354,,T354)*(1-R354)+INDEX(Models!$BJ354:$BT354,,T354+1)*R354-ERP_i)*Q354*Ramure*Pc/MaxiM</f>
        <v>2.028651592868835E-3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22.519884358683932</v>
      </c>
      <c r="W354" s="400">
        <f t="shared" si="136"/>
        <v>11.113121034355403</v>
      </c>
      <c r="X354" s="157">
        <f t="shared" si="137"/>
        <v>46727</v>
      </c>
      <c r="Y354" s="383">
        <f t="shared" si="138"/>
        <v>10.768640141091486</v>
      </c>
      <c r="Z354" s="383">
        <f t="shared" si="139"/>
        <v>11.459827573001441</v>
      </c>
      <c r="AA354" s="384">
        <f t="shared" si="140"/>
        <v>12.36489364818145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7.3196430226726603E-2</v>
      </c>
      <c r="AD354" s="230">
        <f>(INDEX(Models!$BJ354:$BT354,,AH354)*(1-AF354)+INDEX(Models!$BJ354:$BT354,,AH354+1)*AF354-ERP_i)*AE354*Ramure*Pc/MaxiM</f>
        <v>1.6705751856403734E-2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'2026'!Wh/'2026'!Env_an*'2027'!Env_an</f>
        <v>20.026264823402066</v>
      </c>
      <c r="C355" s="829"/>
      <c r="D355" s="391">
        <f t="shared" si="127"/>
        <v>21.312063283091135</v>
      </c>
      <c r="E355" s="383">
        <f t="shared" si="125"/>
        <v>22.374088758130217</v>
      </c>
      <c r="F355" s="383">
        <f t="shared" si="128"/>
        <v>22.413450023056981</v>
      </c>
      <c r="G355" s="110">
        <f t="shared" si="126"/>
        <v>0.894212298120864</v>
      </c>
      <c r="H355" s="412" t="b">
        <f>Wh_hp&gt;='2026'!Maxi_hp</f>
        <v>0</v>
      </c>
      <c r="I355" s="388">
        <f>IF(H355,Wh_hp,'2026'!Maxi_hp)</f>
        <v>22.418043522276314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6.0331955785304592E-2</v>
      </c>
      <c r="M355" s="832"/>
      <c r="N355" s="832"/>
      <c r="O355" s="48">
        <f>IF(t&lt;Tnet,'2026'!Resal+('2026'!Salim-'2026'!Resal)*(1-EXP(('2026'!Tnet-t)/('2026'!Tau_j))),Resal+(Salim-Resal)*(1-EXP((Tnet-t)/(Tau_j))))*Salcycl</f>
        <v>4.7466758826241164E-2</v>
      </c>
      <c r="P355" s="169">
        <f>(INDEX(Models!$BJ355:$BT355,,T355)*(1-R355)+INDEX(Models!$BJ355:$BT355,,T355+1)*R355-ERP_i)*Q355*Ramure*Pc/MaxiM</f>
        <v>2.0678196988386604E-3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22.388433039800518</v>
      </c>
      <c r="W355" s="400">
        <f t="shared" si="136"/>
        <v>20.026264823402066</v>
      </c>
      <c r="X355" s="157">
        <f t="shared" si="137"/>
        <v>46728</v>
      </c>
      <c r="Y355" s="383">
        <f t="shared" si="138"/>
        <v>19.243684600299947</v>
      </c>
      <c r="Z355" s="383">
        <f t="shared" si="139"/>
        <v>20.479237022881186</v>
      </c>
      <c r="AA355" s="384">
        <f t="shared" si="140"/>
        <v>22.096763264021842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7.3201953689494809E-2</v>
      </c>
      <c r="AD355" s="230">
        <f>(INDEX(Models!$BJ355:$BT355,,AH355)*(1-AF355)+INDEX(Models!$BJ355:$BT355,,AH355+1)*AF355-ERP_i)*AE355*Ramure*Pc/MaxiM</f>
        <v>1.6636942941561397E-2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'2026'!Wh/'2026'!Env_an*'2027'!Env_an</f>
        <v>4.0222101482262262</v>
      </c>
      <c r="C356" s="829"/>
      <c r="D356" s="391">
        <f t="shared" si="127"/>
        <v>4.2805406219863222</v>
      </c>
      <c r="E356" s="383">
        <f t="shared" si="125"/>
        <v>4.4940212889190319</v>
      </c>
      <c r="F356" s="383">
        <f t="shared" si="128"/>
        <v>4.4940212889190319</v>
      </c>
      <c r="G356" s="110">
        <f t="shared" si="126"/>
        <v>0.18025760155964959</v>
      </c>
      <c r="H356" s="412" t="b">
        <f>Wh_hp&gt;='2026'!Maxi_hp</f>
        <v>0</v>
      </c>
      <c r="I356" s="388">
        <f>IF(H356,Wh_hp,'2026'!Maxi_hp)</f>
        <v>17.076709643331426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6.0349964308999193E-2</v>
      </c>
      <c r="M356" s="832"/>
      <c r="N356" s="832"/>
      <c r="O356" s="48">
        <f>IF(t&lt;Tnet,'2026'!Resal+('2026'!Salim-'2026'!Resal)*(1-EXP(('2026'!Tnet-t)/('2026'!Tau_j))),Resal+(Salim-Resal)*(1-EXP((Tnet-t)/(Tau_j))))*Salcycl</f>
        <v>4.7503261157015891E-2</v>
      </c>
      <c r="P356" s="169">
        <f>(INDEX(Models!$BJ356:$BT356,,T356)*(1-R356)+INDEX(Models!$BJ356:$BT356,,T356+1)*R356-ERP_i)*Q356*Ramure*Pc/MaxiM</f>
        <v>2.1089169672458014E-3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22.266620693222798</v>
      </c>
      <c r="W356" s="400">
        <f t="shared" si="136"/>
        <v>4.0222101482262262</v>
      </c>
      <c r="X356" s="157">
        <f t="shared" si="137"/>
        <v>46729</v>
      </c>
      <c r="Y356" s="383">
        <f t="shared" si="138"/>
        <v>3.9136614920594957</v>
      </c>
      <c r="Z356" s="383">
        <f t="shared" si="139"/>
        <v>4.1650203196996243</v>
      </c>
      <c r="AA356" s="384">
        <f t="shared" si="140"/>
        <v>4.4940212889190319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7.3208591608284065E-2</v>
      </c>
      <c r="AD356" s="230">
        <f>(INDEX(Models!$BJ356:$BT356,,AH356)*(1-AF356)+INDEX(Models!$BJ356:$BT356,,AH356+1)*AF356-ERP_i)*AE356*Ramure*Pc/MaxiM</f>
        <v>1.6562600582304354E-2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'2026'!Wh/'2026'!Env_an*'2027'!Env_an</f>
        <v>4.9090782980786409</v>
      </c>
      <c r="C357" s="829"/>
      <c r="D357" s="391">
        <f t="shared" si="127"/>
        <v>5.2244688924395701</v>
      </c>
      <c r="E357" s="383">
        <f t="shared" si="125"/>
        <v>5.4852394753404834</v>
      </c>
      <c r="F357" s="383">
        <f t="shared" si="128"/>
        <v>5.4852394753404834</v>
      </c>
      <c r="G357" s="110">
        <f t="shared" si="126"/>
        <v>0.2211016343706349</v>
      </c>
      <c r="H357" s="412" t="b">
        <f>Wh_hp&gt;='2026'!Maxi_hp</f>
        <v>0</v>
      </c>
      <c r="I357" s="388">
        <f>IF(H357,Wh_hp,'2026'!Maxi_hp)</f>
        <v>11.827516861952027</v>
      </c>
      <c r="J357" s="85">
        <f>IF(H357,An,'2026'!An_max)</f>
        <v>2018</v>
      </c>
      <c r="K357" s="197">
        <f t="shared" si="129"/>
        <v>46730</v>
      </c>
      <c r="L357" s="147">
        <f>IF(t&lt;Tvie,1-EXP((T0-t)*PertePVj)+'2026'!Pspv,1-EXP((T0-t)*PertePVj)+Pspv)</f>
        <v>6.0367972487564647E-2</v>
      </c>
      <c r="M357" s="832"/>
      <c r="N357" s="832"/>
      <c r="O357" s="48">
        <f>IF(t&lt;Tnet,'2026'!Resal+('2026'!Salim-'2026'!Resal)*(1-EXP(('2026'!Tnet-t)/('2026'!Tau_j))),Resal+(Salim-Resal)*(1-EXP((Tnet-t)/(Tau_j))))*Salcycl</f>
        <v>4.7540418986853114E-2</v>
      </c>
      <c r="P357" s="169">
        <f>(INDEX(Models!$BJ357:$BT357,,T357)*(1-R357)+INDEX(Models!$BJ357:$BT357,,T357+1)*R357-ERP_i)*Q357*Ramure*Pc/MaxiM</f>
        <v>2.1518533222920971E-3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22.15503605650467</v>
      </c>
      <c r="W357" s="400">
        <f t="shared" si="136"/>
        <v>4.9090782980786409</v>
      </c>
      <c r="X357" s="157">
        <f t="shared" si="137"/>
        <v>46730</v>
      </c>
      <c r="Y357" s="383">
        <f t="shared" si="138"/>
        <v>4.776742022398957</v>
      </c>
      <c r="Z357" s="383">
        <f t="shared" si="139"/>
        <v>5.0836304878249168</v>
      </c>
      <c r="AA357" s="384">
        <f t="shared" si="140"/>
        <v>5.4852394753404834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7.3216308845045874E-2</v>
      </c>
      <c r="AD357" s="230">
        <f>(INDEX(Models!$BJ357:$BT357,,AH357)*(1-AF357)+INDEX(Models!$BJ357:$BT357,,AH357+1)*AF357-ERP_i)*AE357*Ramure*Pc/MaxiM</f>
        <v>1.6482143929091149E-2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'2026'!Wh/'2026'!Env_an*'2027'!Env_an</f>
        <v>11.884155868365561</v>
      </c>
      <c r="C358" s="829"/>
      <c r="D358" s="391">
        <f t="shared" si="127"/>
        <v>12.647912461359009</v>
      </c>
      <c r="E358" s="383">
        <f t="shared" si="125"/>
        <v>13.279738648527312</v>
      </c>
      <c r="F358" s="383">
        <f t="shared" si="128"/>
        <v>13.289699507773523</v>
      </c>
      <c r="G358" s="110">
        <f t="shared" si="126"/>
        <v>0.53807936980180249</v>
      </c>
      <c r="H358" s="412" t="b">
        <f>Wh_hp&gt;='2026'!Maxi_hp</f>
        <v>0</v>
      </c>
      <c r="I358" s="388">
        <f>IF(H358,Wh_hp,'2026'!Maxi_hp)</f>
        <v>21.581579026303849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6.0385980321007393E-2</v>
      </c>
      <c r="M358" s="832"/>
      <c r="N358" s="832"/>
      <c r="O358" s="48">
        <f>IF(t&lt;Tnet,'2026'!Resal+('2026'!Salim-'2026'!Resal)*(1-EXP(('2026'!Tnet-t)/('2026'!Tau_j))),Resal+(Salim-Resal)*(1-EXP((Tnet-t)/(Tau_j))))*Salcycl</f>
        <v>4.7578209473148822E-2</v>
      </c>
      <c r="P358" s="169">
        <f>(INDEX(Models!$BJ358:$BT358,,T358)*(1-R358)+INDEX(Models!$BJ358:$BT358,,T358+1)*R358-ERP_i)*Q358*Ramure*Pc/MaxiM</f>
        <v>2.1965283682246319E-3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22.054267697558434</v>
      </c>
      <c r="W358" s="400">
        <f t="shared" si="136"/>
        <v>11.884155868365561</v>
      </c>
      <c r="X358" s="157">
        <f t="shared" si="137"/>
        <v>46731</v>
      </c>
      <c r="Y358" s="383">
        <f t="shared" si="138"/>
        <v>11.508069468066363</v>
      </c>
      <c r="Z358" s="383">
        <f t="shared" si="139"/>
        <v>12.247656193974152</v>
      </c>
      <c r="AA358" s="384">
        <f t="shared" si="140"/>
        <v>13.215351181761765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7.3225067913678249E-2</v>
      </c>
      <c r="AD358" s="230">
        <f>(INDEX(Models!$BJ358:$BT358,,AH358)*(1-AF358)+INDEX(Models!$BJ358:$BT358,,AH358+1)*AF358-ERP_i)*AE358*Ramure*Pc/MaxiM</f>
        <v>1.6394991955834663E-2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'2026'!Wh/'2026'!Env_an*'2027'!Env_an</f>
        <v>17.005021961190373</v>
      </c>
      <c r="C359" s="829"/>
      <c r="D359" s="391">
        <f t="shared" si="127"/>
        <v>18.098227047114861</v>
      </c>
      <c r="E359" s="383">
        <f t="shared" si="125"/>
        <v>19.003089728467248</v>
      </c>
      <c r="F359" s="383">
        <f t="shared" si="128"/>
        <v>19.032014199582786</v>
      </c>
      <c r="G359" s="110">
        <f t="shared" si="126"/>
        <v>0.77371728344729862</v>
      </c>
      <c r="H359" s="412" t="b">
        <f>Wh_hp&gt;='2026'!Maxi_hp</f>
        <v>0</v>
      </c>
      <c r="I359" s="388">
        <f>IF(H359,Wh_hp,'2026'!Maxi_hp)</f>
        <v>19.041049198929276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6.0403987809334092E-2</v>
      </c>
      <c r="M359" s="832"/>
      <c r="N359" s="832"/>
      <c r="O359" s="48">
        <f>IF(t&lt;Tnet,'2026'!Resal+('2026'!Salim-'2026'!Resal)*(1-EXP(('2026'!Tnet-t)/('2026'!Tau_j))),Resal+(Salim-Resal)*(1-EXP((Tnet-t)/(Tau_j))))*Salcycl</f>
        <v>4.7616608366421238E-2</v>
      </c>
      <c r="P359" s="169">
        <f>(INDEX(Models!$BJ359:$BT359,,T359)*(1-R359)+INDEX(Models!$BJ359:$BT359,,T359+1)*R359-ERP_i)*Q359*Ramure*Pc/MaxiM</f>
        <v>2.2430841874459479E-3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21.962419344410709</v>
      </c>
      <c r="W359" s="400">
        <f t="shared" si="136"/>
        <v>17.005021961190373</v>
      </c>
      <c r="X359" s="157">
        <f t="shared" si="137"/>
        <v>46732</v>
      </c>
      <c r="Y359" s="383">
        <f t="shared" si="138"/>
        <v>16.389734401405718</v>
      </c>
      <c r="Z359" s="383">
        <f t="shared" si="139"/>
        <v>17.443384378774759</v>
      </c>
      <c r="AA359" s="384">
        <f t="shared" si="140"/>
        <v>18.821795347664107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7.3234829272565485E-2</v>
      </c>
      <c r="AD359" s="230">
        <f>(INDEX(Models!$BJ359:$BT359,,AH359)*(1-AF359)+INDEX(Models!$BJ359:$BT359,,AH359+1)*AF359-ERP_i)*AE359*Ramure*Pc/MaxiM</f>
        <v>1.6302409843839401E-2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'2026'!Wh/'2026'!Env_an*'2027'!Env_an</f>
        <v>5.1972868033149968</v>
      </c>
      <c r="C360" s="829"/>
      <c r="D360" s="391">
        <f t="shared" si="127"/>
        <v>5.5315117801768201</v>
      </c>
      <c r="E360" s="383">
        <f t="shared" si="125"/>
        <v>5.8083102323656135</v>
      </c>
      <c r="F360" s="383">
        <f t="shared" si="128"/>
        <v>5.8083102323656135</v>
      </c>
      <c r="G360" s="110">
        <f t="shared" si="126"/>
        <v>0.23701853859634123</v>
      </c>
      <c r="H360" s="412" t="b">
        <f>Wh_hp&gt;='2026'!Maxi_hp</f>
        <v>0</v>
      </c>
      <c r="I360" s="388">
        <f>IF(H360,Wh_hp,'2026'!Maxi_hp)</f>
        <v>23.902821263615333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6.0421994952551517E-2</v>
      </c>
      <c r="M360" s="832"/>
      <c r="N360" s="832"/>
      <c r="O360" s="48">
        <f>IF(t&lt;Tnet,'2026'!Resal+('2026'!Salim-'2026'!Resal)*(1-EXP(('2026'!Tnet-t)/('2026'!Tau_j))),Resal+(Salim-Resal)*(1-EXP((Tnet-t)/(Tau_j))))*Salcycl</f>
        <v>4.765559020012234E-2</v>
      </c>
      <c r="P360" s="169">
        <f>(INDEX(Models!$BJ360:$BT360,,T360)*(1-R360)+INDEX(Models!$BJ360:$BT360,,T360+1)*R360-ERP_i)*Q360*Ramure*Pc/MaxiM</f>
        <v>2.291685960078576E-3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21.877513399693974</v>
      </c>
      <c r="W360" s="400">
        <f t="shared" si="136"/>
        <v>5.1972868033149968</v>
      </c>
      <c r="X360" s="157">
        <f t="shared" si="137"/>
        <v>46733</v>
      </c>
      <c r="Y360" s="383">
        <f t="shared" si="138"/>
        <v>5.0576331576057454</v>
      </c>
      <c r="Z360" s="383">
        <f t="shared" si="139"/>
        <v>5.382877345399689</v>
      </c>
      <c r="AA360" s="384">
        <f t="shared" si="140"/>
        <v>5.8083102323656135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7.3245551622791713E-2</v>
      </c>
      <c r="AD360" s="230">
        <f>(INDEX(Models!$BJ360:$BT360,,AH360)*(1-AF360)+INDEX(Models!$BJ360:$BT360,,AH360+1)*AF360-ERP_i)*AE360*Ramure*Pc/MaxiM</f>
        <v>1.6205717629243225E-2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'2026'!Wh/'2026'!Env_an*'2027'!Env_an</f>
        <v>5.2620373060787999</v>
      </c>
      <c r="C361" s="829"/>
      <c r="D361" s="391">
        <f t="shared" si="127"/>
        <v>5.600533564523249</v>
      </c>
      <c r="E361" s="383">
        <f t="shared" ref="E361:E379" si="150">Wh_pvt/(1-Psa)</f>
        <v>5.8810300482913007</v>
      </c>
      <c r="F361" s="383">
        <f t="shared" si="128"/>
        <v>5.8810300482913007</v>
      </c>
      <c r="G361" s="110">
        <f t="shared" ref="G361:G379" si="151">+Wh_hp/MaxiM</f>
        <v>0.24081231089577049</v>
      </c>
      <c r="H361" s="412" t="b">
        <f>Wh_hp&gt;='2026'!Maxi_hp</f>
        <v>0</v>
      </c>
      <c r="I361" s="388">
        <f>IF(H361,Wh_hp,'2026'!Maxi_hp)</f>
        <v>25.0294040728553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6.0440001750665995E-2</v>
      </c>
      <c r="M361" s="832"/>
      <c r="N361" s="832"/>
      <c r="O361" s="48">
        <f>IF(t&lt;Tnet,'2026'!Resal+('2026'!Salim-'2026'!Resal)*(1-EXP(('2026'!Tnet-t)/('2026'!Tau_j))),Resal+(Salim-Resal)*(1-EXP((Tnet-t)/(Tau_j))))*Salcycl</f>
        <v>4.7695128483410489E-2</v>
      </c>
      <c r="P361" s="169">
        <f>(INDEX(Models!$BJ361:$BT361,,T361)*(1-R361)+INDEX(Models!$BJ361:$BT361,,T361+1)*R361-ERP_i)*Q361*Ramure*Pc/MaxiM</f>
        <v>2.3362184843846502E-3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21.800148081013333</v>
      </c>
      <c r="W361" s="400">
        <f t="shared" si="136"/>
        <v>5.2620373060787999</v>
      </c>
      <c r="X361" s="157">
        <f t="shared" si="137"/>
        <v>46734</v>
      </c>
      <c r="Y361" s="383">
        <f t="shared" si="138"/>
        <v>5.1207920631202679</v>
      </c>
      <c r="Z361" s="383">
        <f t="shared" si="139"/>
        <v>5.4502022996527648</v>
      </c>
      <c r="AA361" s="384">
        <f t="shared" si="140"/>
        <v>5.8810300482913007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7.3257192209672528E-2</v>
      </c>
      <c r="AD361" s="230">
        <f>(INDEX(Models!$BJ361:$BT361,,AH361)*(1-AF361)+INDEX(Models!$BJ361:$BT361,,AH361+1)*AF361-ERP_i)*AE361*Ramure*Pc/MaxiM</f>
        <v>1.6114541285150843E-2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'2026'!Wh/'2026'!Env_an*'2027'!Env_an</f>
        <v>16.802651849006928</v>
      </c>
      <c r="C362" s="829"/>
      <c r="D362" s="391">
        <f t="shared" si="127"/>
        <v>17.883875330448877</v>
      </c>
      <c r="E362" s="383">
        <f t="shared" si="150"/>
        <v>18.780359468671147</v>
      </c>
      <c r="F362" s="383">
        <f t="shared" si="128"/>
        <v>18.810581310811685</v>
      </c>
      <c r="G362" s="110">
        <f t="shared" si="151"/>
        <v>0.77262239780866748</v>
      </c>
      <c r="H362" s="412" t="b">
        <f>Wh_hp&gt;='2026'!Maxi_hp</f>
        <v>0</v>
      </c>
      <c r="I362" s="388">
        <f>IF(H362,Wh_hp,'2026'!Maxi_hp)</f>
        <v>24.68921870882129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6.045800820368441E-2</v>
      </c>
      <c r="M362" s="832"/>
      <c r="N362" s="832"/>
      <c r="O362" s="48">
        <f>IF(t&lt;Tnet,'2026'!Resal+('2026'!Salim-'2026'!Resal)*(1-EXP(('2026'!Tnet-t)/('2026'!Tau_j))),Resal+(Salim-Resal)*(1-EXP((Tnet-t)/(Tau_j))))*Salcycl</f>
        <v>4.7735195895358684E-2</v>
      </c>
      <c r="P362" s="169">
        <f>(INDEX(Models!$BJ362:$BT362,,T362)*(1-R362)+INDEX(Models!$BJ362:$BT362,,T362+1)*R362-ERP_i)*Q362*Ramure*Pc/MaxiM</f>
        <v>2.3765932528453416E-3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21.730788325529772</v>
      </c>
      <c r="W362" s="400">
        <f t="shared" si="136"/>
        <v>16.802651849006928</v>
      </c>
      <c r="X362" s="157">
        <f t="shared" si="137"/>
        <v>46735</v>
      </c>
      <c r="Y362" s="383">
        <f t="shared" si="138"/>
        <v>16.200940997428997</v>
      </c>
      <c r="Z362" s="383">
        <f t="shared" si="139"/>
        <v>17.243445358364799</v>
      </c>
      <c r="AA362" s="384">
        <f t="shared" si="140"/>
        <v>18.606756993855353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7.3269707125254033E-2</v>
      </c>
      <c r="AD362" s="230">
        <f>(INDEX(Models!$BJ362:$BT362,,AH362)*(1-AF362)+INDEX(Models!$BJ362:$BT362,,AH362+1)*AF362-ERP_i)*AE362*Ramure*Pc/MaxiM</f>
        <v>1.6028390797345554E-2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'2026'!Wh/'2026'!Env_an*'2027'!Env_an</f>
        <v>5.7424350967483226</v>
      </c>
      <c r="C363" s="829"/>
      <c r="D363" s="391">
        <f t="shared" si="127"/>
        <v>6.1120686477640644</v>
      </c>
      <c r="E363" s="383">
        <f t="shared" si="150"/>
        <v>6.4187282992439565</v>
      </c>
      <c r="F363" s="383">
        <f t="shared" si="128"/>
        <v>6.4187282992439565</v>
      </c>
      <c r="G363" s="110">
        <f t="shared" si="151"/>
        <v>0.26435657081949976</v>
      </c>
      <c r="H363" s="412" t="b">
        <f>Wh_hp&gt;='2026'!Maxi_hp</f>
        <v>0</v>
      </c>
      <c r="I363" s="388">
        <f>IF(H363,Wh_hp,'2026'!Maxi_hp)</f>
        <v>24.850474320764231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6.0476014311613202E-2</v>
      </c>
      <c r="M363" s="832"/>
      <c r="N363" s="832"/>
      <c r="O363" s="48">
        <f>IF(t&lt;Tnet,'2026'!Resal+('2026'!Salim-'2026'!Resal)*(1-EXP(('2026'!Tnet-t)/('2026'!Tau_j))),Resal+(Salim-Resal)*(1-EXP((Tnet-t)/(Tau_j))))*Salcycl</f>
        <v>4.7775764479081072E-2</v>
      </c>
      <c r="P363" s="169">
        <f>(INDEX(Models!$BJ363:$BT363,,T363)*(1-R363)+INDEX(Models!$BJ363:$BT363,,T363+1)*R363-ERP_i)*Q363*Ramure*Pc/MaxiM</f>
        <v>2.4127180329648703E-3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21.669899114967297</v>
      </c>
      <c r="W363" s="400">
        <f t="shared" si="136"/>
        <v>5.7424350967483226</v>
      </c>
      <c r="X363" s="157">
        <f t="shared" si="137"/>
        <v>46736</v>
      </c>
      <c r="Y363" s="383">
        <f t="shared" si="138"/>
        <v>5.5886121468838246</v>
      </c>
      <c r="Z363" s="383">
        <f t="shared" si="139"/>
        <v>5.9483443020233944</v>
      </c>
      <c r="AA363" s="384">
        <f t="shared" si="140"/>
        <v>6.4187282992439565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7.3283051609454683E-2</v>
      </c>
      <c r="AD363" s="230">
        <f>(INDEX(Models!$BJ363:$BT363,,AH363)*(1-AF363)+INDEX(Models!$BJ363:$BT363,,AH363+1)*AF363-ERP_i)*AE363*Ramure*Pc/MaxiM</f>
        <v>1.5946776612026616E-2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'2026'!Wh/'2026'!Env_an*'2027'!Env_an</f>
        <v>5.0719927315644275</v>
      </c>
      <c r="C364" s="829"/>
      <c r="D364" s="391">
        <f t="shared" si="127"/>
        <v>5.3985741867937875</v>
      </c>
      <c r="E364" s="383">
        <f t="shared" si="150"/>
        <v>5.6696801832591674</v>
      </c>
      <c r="F364" s="383">
        <f t="shared" si="128"/>
        <v>5.6696801832591674</v>
      </c>
      <c r="G364" s="110">
        <f t="shared" si="151"/>
        <v>0.23404602724154472</v>
      </c>
      <c r="H364" s="412" t="b">
        <f>Wh_hp&gt;='2026'!Maxi_hp</f>
        <v>0</v>
      </c>
      <c r="I364" s="388">
        <f>IF(H364,Wh_hp,'2026'!Maxi_hp)</f>
        <v>24.489416018785828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6.0494020074459032E-2</v>
      </c>
      <c r="M364" s="832"/>
      <c r="N364" s="832"/>
      <c r="O364" s="48">
        <f>IF(t&lt;Tnet,'2026'!Resal+('2026'!Salim-'2026'!Resal)*(1-EXP(('2026'!Tnet-t)/('2026'!Tau_j))),Resal+(Salim-Resal)*(1-EXP((Tnet-t)/(Tau_j))))*Salcycl</f>
        <v>4.7816805834282036E-2</v>
      </c>
      <c r="P364" s="169">
        <f>(INDEX(Models!$BJ364:$BT364,,T364)*(1-R364)+INDEX(Models!$BJ364:$BT364,,T364+1)*R364-ERP_i)*Q364*Ramure*Pc/MaxiM</f>
        <v>2.4444986069352657E-3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21.61794546153963</v>
      </c>
      <c r="W364" s="400">
        <f t="shared" si="136"/>
        <v>5.0719927315644275</v>
      </c>
      <c r="X364" s="157">
        <f t="shared" si="137"/>
        <v>46737</v>
      </c>
      <c r="Y364" s="383">
        <f t="shared" si="138"/>
        <v>4.9362664604846591</v>
      </c>
      <c r="Z364" s="383">
        <f t="shared" si="139"/>
        <v>5.2541086123537761</v>
      </c>
      <c r="AA364" s="384">
        <f t="shared" si="140"/>
        <v>5.6696801832591674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7.3297180347570073E-2</v>
      </c>
      <c r="AD364" s="230">
        <f>(INDEX(Models!$BJ364:$BT364,,AH364)*(1-AF364)+INDEX(Models!$BJ364:$BT364,,AH364+1)*AF364-ERP_i)*AE364*Ramure*Pc/MaxiM</f>
        <v>1.5869211164183522E-2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'2026'!Wh/'2026'!Env_an*'2027'!Env_an</f>
        <v>3.4386574294840564</v>
      </c>
      <c r="C365" s="829"/>
      <c r="D365" s="391">
        <f t="shared" si="127"/>
        <v>3.6601399089601778</v>
      </c>
      <c r="E365" s="383">
        <f t="shared" si="150"/>
        <v>3.8441125680583172</v>
      </c>
      <c r="F365" s="383">
        <f t="shared" si="128"/>
        <v>3.8441125680583172</v>
      </c>
      <c r="G365" s="110">
        <f t="shared" si="151"/>
        <v>0.15898471541226208</v>
      </c>
      <c r="H365" s="412" t="b">
        <f>Wh_hp&gt;='2026'!Maxi_hp</f>
        <v>0</v>
      </c>
      <c r="I365" s="388">
        <f>IF(H365,Wh_hp,'2026'!Maxi_hp)</f>
        <v>24.995973707121568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6.0512025492228561E-2</v>
      </c>
      <c r="M365" s="832"/>
      <c r="N365" s="832"/>
      <c r="O365" s="48">
        <f>IF(t&lt;Tnet,'2026'!Resal+('2026'!Salim-'2026'!Resal)*(1-EXP(('2026'!Tnet-t)/('2026'!Tau_j))),Resal+(Salim-Resal)*(1-EXP((Tnet-t)/(Tau_j))))*Salcycl</f>
        <v>4.7858291306767109E-2</v>
      </c>
      <c r="P365" s="169">
        <f>(INDEX(Models!$BJ365:$BT365,,T365)*(1-R365)+INDEX(Models!$BJ365:$BT365,,T365+1)*R365-ERP_i)*Q365*Ramure*Pc/MaxiM</f>
        <v>2.4718406174249678E-3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21.575392373321744</v>
      </c>
      <c r="W365" s="400">
        <f t="shared" si="136"/>
        <v>3.4386574294840564</v>
      </c>
      <c r="X365" s="157">
        <f t="shared" si="137"/>
        <v>46738</v>
      </c>
      <c r="Y365" s="383">
        <f t="shared" si="138"/>
        <v>3.3467312509082454</v>
      </c>
      <c r="Z365" s="383">
        <f t="shared" si="139"/>
        <v>3.5622928038666037</v>
      </c>
      <c r="AA365" s="384">
        <f t="shared" si="140"/>
        <v>3.8441125680583172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7.3312047761926583E-2</v>
      </c>
      <c r="AD365" s="230">
        <f>(INDEX(Models!$BJ365:$BT365,,AH365)*(1-AF365)+INDEX(Models!$BJ365:$BT365,,AH365+1)*AF365-ERP_i)*AE365*Ramure*Pc/MaxiM</f>
        <v>1.5795210557086055E-2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'2026'!Wh/'2026'!Env_an*'2027'!Env_an</f>
        <v>20.511939047422416</v>
      </c>
      <c r="C366" s="829"/>
      <c r="D366" s="391">
        <f t="shared" si="127"/>
        <v>21.833522853058085</v>
      </c>
      <c r="E366" s="383">
        <f t="shared" si="150"/>
        <v>22.931968553696866</v>
      </c>
      <c r="F366" s="383">
        <f t="shared" si="128"/>
        <v>22.985330375755336</v>
      </c>
      <c r="G366" s="110">
        <f t="shared" si="151"/>
        <v>0.95198724947789737</v>
      </c>
      <c r="H366" s="412" t="b">
        <f>Wh_hp&gt;='2026'!Maxi_hp</f>
        <v>0</v>
      </c>
      <c r="I366" s="388">
        <f>IF(H366,Wh_hp,'2026'!Maxi_hp)</f>
        <v>25.161787004742354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6.0530030564928339E-2</v>
      </c>
      <c r="M366" s="832"/>
      <c r="N366" s="832"/>
      <c r="O366" s="48">
        <f>IF(t&lt;Tnet,'2026'!Resal+('2026'!Salim-'2026'!Resal)*(1-EXP(('2026'!Tnet-t)/('2026'!Tau_j))),Resal+(Salim-Resal)*(1-EXP((Tnet-t)/(Tau_j))))*Salcycl</f>
        <v>4.7900192173501874E-2</v>
      </c>
      <c r="P366" s="169">
        <f>(INDEX(Models!$BJ366:$BT366,,T366)*(1-R366)+INDEX(Models!$BJ366:$BT366,,T366+1)*R366-ERP_i)*Q366*Ramure*Pc/MaxiM</f>
        <v>2.4918997350512171E-3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21.54276428454088</v>
      </c>
      <c r="W366" s="400">
        <f t="shared" si="136"/>
        <v>20.511939047422416</v>
      </c>
      <c r="X366" s="157">
        <f t="shared" si="137"/>
        <v>46739</v>
      </c>
      <c r="Y366" s="383">
        <f t="shared" si="138"/>
        <v>19.717324889916661</v>
      </c>
      <c r="Z366" s="383">
        <f t="shared" si="139"/>
        <v>20.987711721933181</v>
      </c>
      <c r="AA366" s="384">
        <f t="shared" si="140"/>
        <v>22.64846984739674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7.3327608295553445E-2</v>
      </c>
      <c r="AD366" s="230">
        <f>(INDEX(Models!$BJ366:$BT366,,AH366)*(1-AF366)+INDEX(Models!$BJ366:$BT366,,AH366+1)*AF366-ERP_i)*AE366*Ramure*Pc/MaxiM</f>
        <v>1.5730772094817321E-2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'2026'!Wh/'2026'!Env_an*'2027'!Env_an</f>
        <v>17.454901097035208</v>
      </c>
      <c r="C367" s="829"/>
      <c r="D367" s="391">
        <f t="shared" si="127"/>
        <v>18.579876090281029</v>
      </c>
      <c r="E367" s="383">
        <f t="shared" si="150"/>
        <v>19.515497432134797</v>
      </c>
      <c r="F367" s="383">
        <f t="shared" si="128"/>
        <v>19.551266058758394</v>
      </c>
      <c r="G367" s="110">
        <f t="shared" si="151"/>
        <v>0.81053295597275543</v>
      </c>
      <c r="H367" s="412" t="b">
        <f>Wh_hp&gt;='2026'!Maxi_hp</f>
        <v>0</v>
      </c>
      <c r="I367" s="388">
        <f>IF(H367,Wh_hp,'2026'!Maxi_hp)</f>
        <v>24.884744497458982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6.0548035292565028E-2</v>
      </c>
      <c r="M367" s="832"/>
      <c r="N367" s="832"/>
      <c r="O367" s="48">
        <f>IF(t&lt;Tnet,'2026'!Resal+('2026'!Salim-'2026'!Resal)*(1-EXP(('2026'!Tnet-t)/('2026'!Tau_j))),Resal+(Salim-Resal)*(1-EXP((Tnet-t)/(Tau_j))))*Salcycl</f>
        <v>4.7942479821864288E-2</v>
      </c>
      <c r="P367" s="169">
        <f>(INDEX(Models!$BJ367:$BT367,,T367)*(1-R367)+INDEX(Models!$BJ367:$BT367,,T367+1)*R367-ERP_i)*Q367*Ramure*Pc/MaxiM</f>
        <v>2.5057309948088901E-3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21.520501317805905</v>
      </c>
      <c r="W367" s="400">
        <f t="shared" si="136"/>
        <v>17.454901097035208</v>
      </c>
      <c r="X367" s="157">
        <f t="shared" si="137"/>
        <v>46740</v>
      </c>
      <c r="Y367" s="383">
        <f t="shared" si="138"/>
        <v>16.825543410446691</v>
      </c>
      <c r="Z367" s="383">
        <f t="shared" si="139"/>
        <v>17.90995606218836</v>
      </c>
      <c r="AA367" s="384">
        <f t="shared" si="140"/>
        <v>19.327509366131878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7.334381668584436E-2</v>
      </c>
      <c r="AD367" s="230">
        <f>(INDEX(Models!$BJ367:$BT367,,AH367)*(1-AF367)+INDEX(Models!$BJ367:$BT367,,AH367+1)*AF367-ERP_i)*AE367*Ramure*Pc/MaxiM</f>
        <v>1.5675023978703521E-2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'2026'!Wh/'2026'!Env_an*'2027'!Env_an</f>
        <v>4.4491812627005931</v>
      </c>
      <c r="C368" s="829"/>
      <c r="D368" s="391">
        <f t="shared" si="127"/>
        <v>4.7360234466742854</v>
      </c>
      <c r="E368" s="383">
        <f t="shared" si="150"/>
        <v>4.9747368193800856</v>
      </c>
      <c r="F368" s="383">
        <f t="shared" si="128"/>
        <v>4.9747368193800856</v>
      </c>
      <c r="G368" s="110">
        <f t="shared" si="151"/>
        <v>0.20633154630115633</v>
      </c>
      <c r="H368" s="412" t="b">
        <f>Wh_hp&gt;='2026'!Maxi_hp</f>
        <v>0</v>
      </c>
      <c r="I368" s="388">
        <f>IF(H368,Wh_hp,'2026'!Maxi_hp)</f>
        <v>24.174700505084488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6.0566039675145178E-2</v>
      </c>
      <c r="M368" s="832"/>
      <c r="N368" s="832"/>
      <c r="O368" s="48">
        <f>IF(t&lt;Tnet,'2026'!Resal+('2026'!Salim-'2026'!Resal)*(1-EXP(('2026'!Tnet-t)/('2026'!Tau_j))),Resal+(Salim-Resal)*(1-EXP((Tnet-t)/(Tau_j))))*Salcycl</f>
        <v>4.7985125921806357E-2</v>
      </c>
      <c r="P368" s="169">
        <f>(INDEX(Models!$BJ368:$BT368,,T368)*(1-R368)+INDEX(Models!$BJ368:$BT368,,T368+1)*R368-ERP_i)*Q368*Ramure*Pc/MaxiM</f>
        <v>2.5132606786702249E-3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21.509068244480559</v>
      </c>
      <c r="W368" s="400">
        <f t="shared" si="136"/>
        <v>4.4491812627005931</v>
      </c>
      <c r="X368" s="157">
        <f t="shared" si="137"/>
        <v>46741</v>
      </c>
      <c r="Y368" s="383">
        <f t="shared" si="138"/>
        <v>4.3305904586503132</v>
      </c>
      <c r="Z368" s="383">
        <f t="shared" si="139"/>
        <v>4.6097870010498676</v>
      </c>
      <c r="AA368" s="384">
        <f t="shared" si="140"/>
        <v>4.9747368193800856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7.336062822629788E-2</v>
      </c>
      <c r="AD368" s="230">
        <f>(INDEX(Models!$BJ368:$BT368,,AH368)*(1-AF368)+INDEX(Models!$BJ368:$BT368,,AH368+1)*AF368-ERP_i)*AE368*Ramure*Pc/MaxiM</f>
        <v>1.562747312378954E-2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'2026'!Wh/'2026'!Env_an*'2027'!Env_an</f>
        <v>20.370726259921735</v>
      </c>
      <c r="C369" s="829"/>
      <c r="D369" s="391">
        <f t="shared" si="127"/>
        <v>21.684458437803304</v>
      </c>
      <c r="E369" s="383">
        <f t="shared" si="150"/>
        <v>22.778464886193817</v>
      </c>
      <c r="F369" s="383">
        <f t="shared" si="128"/>
        <v>22.831533223403831</v>
      </c>
      <c r="G369" s="110">
        <f t="shared" si="151"/>
        <v>0.94690183547432694</v>
      </c>
      <c r="H369" s="412" t="b">
        <f>Wh_hp&gt;='2026'!Maxi_hp</f>
        <v>0</v>
      </c>
      <c r="I369" s="388">
        <f>IF(H369,Wh_hp,'2026'!Maxi_hp)</f>
        <v>22.834297883487768</v>
      </c>
      <c r="J369" s="85">
        <f>IF(H369,An,'2026'!An_max)</f>
        <v>2026</v>
      </c>
      <c r="K369" s="197">
        <f t="shared" si="129"/>
        <v>46742</v>
      </c>
      <c r="L369" s="147">
        <f>IF(t&lt;Tvie,1-EXP((T0-t)*PertePVj)+'2026'!Pspv,1-EXP((T0-t)*PertePVj)+Pspv)</f>
        <v>6.0584043712675451E-2</v>
      </c>
      <c r="M369" s="832"/>
      <c r="N369" s="832"/>
      <c r="O369" s="48">
        <f>IF(t&lt;Tnet,'2026'!Resal+('2026'!Salim-'2026'!Resal)*(1-EXP(('2026'!Tnet-t)/('2026'!Tau_j))),Resal+(Salim-Resal)*(1-EXP((Tnet-t)/(Tau_j))))*Salcycl</f>
        <v>4.8028102589722628E-2</v>
      </c>
      <c r="P369" s="169">
        <f>(INDEX(Models!$BJ369:$BT369,,T369)*(1-R369)+INDEX(Models!$BJ369:$BT369,,T369+1)*R369-ERP_i)*Q369*Ramure*Pc/MaxiM</f>
        <v>2.5144264528502978E-3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21.508929815265063</v>
      </c>
      <c r="W369" s="400">
        <f t="shared" si="136"/>
        <v>20.370726259921735</v>
      </c>
      <c r="X369" s="157">
        <f t="shared" si="137"/>
        <v>46742</v>
      </c>
      <c r="Y369" s="383">
        <f t="shared" si="138"/>
        <v>19.588096525489121</v>
      </c>
      <c r="Z369" s="383">
        <f t="shared" si="139"/>
        <v>20.851355988143354</v>
      </c>
      <c r="AA369" s="384">
        <f t="shared" si="140"/>
        <v>22.502547927815709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7.3377999014560269E-2</v>
      </c>
      <c r="AD369" s="230">
        <f>(INDEX(Models!$BJ369:$BT369,,AH369)*(1-AF369)+INDEX(Models!$BJ369:$BT369,,AH369+1)*AF369-ERP_i)*AE369*Ramure*Pc/MaxiM</f>
        <v>1.5587624811984571E-2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'2026'!Wh/'2026'!Env_an*'2027'!Env_an</f>
        <v>17.223260829633499</v>
      </c>
      <c r="C370" s="829"/>
      <c r="D370" s="391">
        <f t="shared" si="127"/>
        <v>18.334360621139115</v>
      </c>
      <c r="E370" s="383">
        <f t="shared" si="150"/>
        <v>19.260226328856682</v>
      </c>
      <c r="F370" s="383">
        <f t="shared" si="128"/>
        <v>19.294829817071886</v>
      </c>
      <c r="G370" s="110">
        <f t="shared" si="151"/>
        <v>0.79974304306303146</v>
      </c>
      <c r="H370" s="412" t="b">
        <f>Wh_hp&gt;='2026'!Maxi_hp</f>
        <v>0</v>
      </c>
      <c r="I370" s="388">
        <f>IF(H370,Wh_hp,'2026'!Maxi_hp)</f>
        <v>24.5370383220707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6.0602047405162507E-2</v>
      </c>
      <c r="M370" s="832"/>
      <c r="N370" s="832"/>
      <c r="O370" s="48">
        <f>IF(t&lt;Tnet,'2026'!Resal+('2026'!Salim-'2026'!Resal)*(1-EXP(('2026'!Tnet-t)/('2026'!Tau_j))),Resal+(Salim-Resal)*(1-EXP((Tnet-t)/(Tau_j))))*Salcycl</f>
        <v>4.8071382542913557E-2</v>
      </c>
      <c r="P370" s="169">
        <f>(INDEX(Models!$BJ370:$BT370,,T370)*(1-R370)+INDEX(Models!$BJ370:$BT370,,T370+1)*R370-ERP_i)*Q370*Ramure*Pc/MaxiM</f>
        <v>2.5091797847707261E-3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21.520550748897907</v>
      </c>
      <c r="W370" s="400">
        <f t="shared" si="136"/>
        <v>17.223260829633499</v>
      </c>
      <c r="X370" s="157">
        <f t="shared" si="137"/>
        <v>46743</v>
      </c>
      <c r="Y370" s="383">
        <f t="shared" si="138"/>
        <v>16.608460182257069</v>
      </c>
      <c r="Z370" s="383">
        <f t="shared" si="139"/>
        <v>17.679898211807473</v>
      </c>
      <c r="AA370" s="384">
        <f t="shared" si="140"/>
        <v>19.080314827244589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7.3395886185141798E-2</v>
      </c>
      <c r="AD370" s="230">
        <f>(INDEX(Models!$BJ370:$BT370,,AH370)*(1-AF370)+INDEX(Models!$BJ370:$BT370,,AH370+1)*AF370-ERP_i)*AE370*Ramure*Pc/MaxiM</f>
        <v>1.5554983146713119E-2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'2026'!Wh/'2026'!Env_an*'2027'!Env_an</f>
        <v>17.454903364140495</v>
      </c>
      <c r="C371" s="829"/>
      <c r="D371" s="391">
        <f t="shared" si="127"/>
        <v>18.581302888277552</v>
      </c>
      <c r="E371" s="383">
        <f t="shared" si="150"/>
        <v>19.520532104488375</v>
      </c>
      <c r="F371" s="383">
        <f t="shared" si="128"/>
        <v>19.55612889329565</v>
      </c>
      <c r="G371" s="110">
        <f t="shared" si="151"/>
        <v>0.80963331194634192</v>
      </c>
      <c r="H371" s="412" t="b">
        <f>Wh_hp&gt;='2026'!Maxi_hp</f>
        <v>0</v>
      </c>
      <c r="I371" s="388">
        <f>IF(H371,Wh_hp,'2026'!Maxi_hp)</f>
        <v>20.621523847427799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6.0620050752612897E-2</v>
      </c>
      <c r="M371" s="832"/>
      <c r="N371" s="832"/>
      <c r="O371" s="48">
        <f>IF(t&lt;Tnet,'2026'!Resal+('2026'!Salim-'2026'!Resal)*(1-EXP(('2026'!Tnet-t)/('2026'!Tau_j))),Resal+(Salim-Resal)*(1-EXP((Tnet-t)/(Tau_j))))*Salcycl</f>
        <v>4.8114939243631909E-2</v>
      </c>
      <c r="P371" s="169">
        <f>(INDEX(Models!$BJ371:$BT371,,T371)*(1-R371)+INDEX(Models!$BJ371:$BT371,,T371+1)*R371-ERP_i)*Q371*Ramure*Pc/MaxiM</f>
        <v>2.4974683487628555E-3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21.544396138626603</v>
      </c>
      <c r="W371" s="400">
        <f t="shared" si="136"/>
        <v>17.454903364140495</v>
      </c>
      <c r="X371" s="157">
        <f t="shared" si="137"/>
        <v>46744</v>
      </c>
      <c r="Y371" s="383">
        <f t="shared" si="138"/>
        <v>16.829313079861471</v>
      </c>
      <c r="Z371" s="383">
        <f t="shared" si="139"/>
        <v>17.915342022516864</v>
      </c>
      <c r="AA371" s="384">
        <f t="shared" si="140"/>
        <v>19.334791179629807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7.3414248125338269E-2</v>
      </c>
      <c r="AD371" s="230">
        <f>(INDEX(Models!$BJ371:$BT371,,AH371)*(1-AF371)+INDEX(Models!$BJ371:$BT371,,AH371+1)*AF371-ERP_i)*AE371*Ramure*Pc/MaxiM</f>
        <v>1.5529039354105835E-2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'2026'!Wh/'2026'!Env_an*'2027'!Env_an</f>
        <v>20.745087627451841</v>
      </c>
      <c r="C372" s="829"/>
      <c r="D372" s="391">
        <f t="shared" si="127"/>
        <v>22.084232505243445</v>
      </c>
      <c r="E372" s="383">
        <f t="shared" si="150"/>
        <v>23.201592110424581</v>
      </c>
      <c r="F372" s="383">
        <f t="shared" si="128"/>
        <v>23.256060527698811</v>
      </c>
      <c r="G372" s="110">
        <f t="shared" si="151"/>
        <v>0.96113721582475364</v>
      </c>
      <c r="H372" s="412" t="b">
        <f>Wh_hp&gt;='2026'!Maxi_hp</f>
        <v>0</v>
      </c>
      <c r="I372" s="388">
        <f>IF(H372,Wh_hp,'2026'!Maxi_hp)</f>
        <v>23.258098341697242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6.0638053755033172E-2</v>
      </c>
      <c r="M372" s="832"/>
      <c r="N372" s="832"/>
      <c r="O372" s="48">
        <f>IF(t&lt;Tnet,'2026'!Resal+('2026'!Salim-'2026'!Resal)*(1-EXP(('2026'!Tnet-t)/('2026'!Tau_j))),Resal+(Salim-Resal)*(1-EXP((Tnet-t)/(Tau_j))))*Salcycl</f>
        <v>4.8158747031808197E-2</v>
      </c>
      <c r="P372" s="169">
        <f>(INDEX(Models!$BJ372:$BT372,,T372)*(1-R372)+INDEX(Models!$BJ372:$BT372,,T372+1)*R372-ERP_i)*Q372*Ramure*Pc/MaxiM</f>
        <v>2.4792951265874747E-3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21.580930209746914</v>
      </c>
      <c r="W372" s="400">
        <f t="shared" si="136"/>
        <v>20.745087627451841</v>
      </c>
      <c r="X372" s="157">
        <f t="shared" si="137"/>
        <v>46745</v>
      </c>
      <c r="Y372" s="383">
        <f t="shared" si="138"/>
        <v>19.945086600991793</v>
      </c>
      <c r="Z372" s="383">
        <f t="shared" si="139"/>
        <v>21.232589504738691</v>
      </c>
      <c r="AA372" s="384">
        <f t="shared" si="140"/>
        <v>22.915332111371029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7.3433044673060999E-2</v>
      </c>
      <c r="AD372" s="230">
        <f>(INDEX(Models!$BJ372:$BT372,,AH372)*(1-AF372)+INDEX(Models!$BJ372:$BT372,,AH372+1)*AF372-ERP_i)*AE372*Ramure*Pc/MaxiM</f>
        <v>1.5509286745715922E-2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'2026'!Wh/'2026'!Env_an*'2027'!Env_an</f>
        <v>11.720205144298212</v>
      </c>
      <c r="C373" s="829"/>
      <c r="D373" s="391">
        <f t="shared" si="127"/>
        <v>12.477011454969372</v>
      </c>
      <c r="E373" s="383">
        <f t="shared" si="150"/>
        <v>13.108896736742592</v>
      </c>
      <c r="F373" s="383">
        <f t="shared" si="128"/>
        <v>13.120023029404937</v>
      </c>
      <c r="G373" s="110">
        <f t="shared" si="151"/>
        <v>0.54096510376575058</v>
      </c>
      <c r="H373" s="412" t="b">
        <f>Wh_hp&gt;='2026'!Maxi_hp</f>
        <v>0</v>
      </c>
      <c r="I373" s="388">
        <f>IF(H373,Wh_hp,'2026'!Maxi_hp)</f>
        <v>13.133517425278077</v>
      </c>
      <c r="J373" s="85">
        <f>IF(H373,An,'2026'!An_max)</f>
        <v>2026</v>
      </c>
      <c r="K373" s="197">
        <f t="shared" si="129"/>
        <v>46746</v>
      </c>
      <c r="L373" s="147">
        <f>IF(t&lt;Tvie,1-EXP((T0-t)*PertePVj)+'2026'!Pspv,1-EXP((T0-t)*PertePVj)+Pspv)</f>
        <v>6.0656056412430104E-2</v>
      </c>
      <c r="M373" s="832"/>
      <c r="N373" s="832"/>
      <c r="O373" s="48">
        <f>IF(t&lt;Tnet,'2026'!Resal+('2026'!Salim-'2026'!Resal)*(1-EXP(('2026'!Tnet-t)/('2026'!Tau_j))),Resal+(Salim-Resal)*(1-EXP((Tnet-t)/(Tau_j))))*Salcycl</f>
        <v>4.8202781245665481E-2</v>
      </c>
      <c r="P373" s="169">
        <f>(INDEX(Models!$BJ373:$BT373,,T373)*(1-R373)+INDEX(Models!$BJ373:$BT373,,T373+1)*R373-ERP_i)*Q373*Ramure*Pc/MaxiM</f>
        <v>2.4546654191944747E-3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21.630524946611164</v>
      </c>
      <c r="W373" s="400">
        <f t="shared" si="136"/>
        <v>11.720205144298212</v>
      </c>
      <c r="X373" s="157">
        <f t="shared" si="137"/>
        <v>46746</v>
      </c>
      <c r="Y373" s="383">
        <f t="shared" si="138"/>
        <v>11.357843896195924</v>
      </c>
      <c r="Z373" s="383">
        <f t="shared" si="139"/>
        <v>12.091251531167288</v>
      </c>
      <c r="AA373" s="384">
        <f t="shared" si="140"/>
        <v>13.049787628727966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7.3452237295459424E-2</v>
      </c>
      <c r="AD373" s="230">
        <f>(INDEX(Models!$BJ373:$BT373,,AH373)*(1-AF373)+INDEX(Models!$BJ373:$BT373,,AH373+1)*AF373-ERP_i)*AE373*Ramure*Pc/MaxiM</f>
        <v>1.5495225092226523E-2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'2026'!Wh/'2026'!Env_an*'2027'!Env_an</f>
        <v>20.262287818734546</v>
      </c>
      <c r="C374" s="829"/>
      <c r="D374" s="391">
        <f t="shared" si="127"/>
        <v>21.571093619779418</v>
      </c>
      <c r="E374" s="383">
        <f t="shared" si="150"/>
        <v>22.664592636126489</v>
      </c>
      <c r="F374" s="383">
        <f t="shared" si="128"/>
        <v>22.714458384570985</v>
      </c>
      <c r="G374" s="110">
        <f t="shared" si="151"/>
        <v>0.93383633983786407</v>
      </c>
      <c r="H374" s="412" t="b">
        <f>Wh_hp&gt;='2026'!Maxi_hp</f>
        <v>0</v>
      </c>
      <c r="I374" s="388">
        <f>IF(H374,Wh_hp,'2026'!Maxi_hp)</f>
        <v>22.717792821100165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6.0674058724810132E-2</v>
      </c>
      <c r="M374" s="832"/>
      <c r="N374" s="832"/>
      <c r="O374" s="48">
        <f>IF(t&lt;Tnet,'2026'!Resal+('2026'!Salim-'2026'!Resal)*(1-EXP(('2026'!Tnet-t)/('2026'!Tau_j))),Resal+(Salim-Resal)*(1-EXP((Tnet-t)/(Tau_j))))*Salcycl</f>
        <v>4.8247018329554074E-2</v>
      </c>
      <c r="P374" s="169">
        <f>(INDEX(Models!$BJ374:$BT374,,T374)*(1-R374)+INDEX(Models!$BJ374:$BT374,,T374+1)*R374-ERP_i)*Q374*Ramure*Pc/MaxiM</f>
        <v>2.4236752314640703E-3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21.692934824662078</v>
      </c>
      <c r="W374" s="400">
        <f t="shared" si="136"/>
        <v>20.262287818734546</v>
      </c>
      <c r="X374" s="157">
        <f t="shared" si="137"/>
        <v>46747</v>
      </c>
      <c r="Y374" s="383">
        <f t="shared" si="138"/>
        <v>19.49135602286357</v>
      </c>
      <c r="Z374" s="383">
        <f t="shared" si="139"/>
        <v>20.750364880163872</v>
      </c>
      <c r="AA374" s="384">
        <f t="shared" si="140"/>
        <v>22.395826310899867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7.3471789247408201E-2</v>
      </c>
      <c r="AD374" s="230">
        <f>(INDEX(Models!$BJ374:$BT374,,AH374)*(1-AF374)+INDEX(Models!$BJ374:$BT374,,AH374+1)*AF374-ERP_i)*AE374*Ramure*Pc/MaxiM</f>
        <v>1.5486795826724029E-2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'2026'!Wh/'2026'!Env_an*'2027'!Env_an</f>
        <v>6.865686911404091</v>
      </c>
      <c r="C375" s="829"/>
      <c r="D375" s="391">
        <f t="shared" si="127"/>
        <v>7.3093036097016757</v>
      </c>
      <c r="E375" s="383">
        <f t="shared" si="150"/>
        <v>7.680191064406821</v>
      </c>
      <c r="F375" s="383">
        <f t="shared" si="128"/>
        <v>7.6805943016346516</v>
      </c>
      <c r="G375" s="110">
        <f t="shared" si="151"/>
        <v>0.31467092560952892</v>
      </c>
      <c r="H375" s="412" t="b">
        <f>Wh_hp&gt;='2026'!Maxi_hp</f>
        <v>0</v>
      </c>
      <c r="I375" s="388">
        <f>IF(H375,Wh_hp,'2026'!Maxi_hp)</f>
        <v>21.290446008401918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6.0692060692180028E-2</v>
      </c>
      <c r="M375" s="832"/>
      <c r="N375" s="832"/>
      <c r="O375" s="48">
        <f>IF(t&lt;Tnet,'2026'!Resal+('2026'!Salim-'2026'!Resal)*(1-EXP(('2026'!Tnet-t)/('2026'!Tau_j))),Resal+(Salim-Resal)*(1-EXP((Tnet-t)/(Tau_j))))*Salcycl</f>
        <v>4.8291435928461662E-2</v>
      </c>
      <c r="P375" s="169">
        <f>(INDEX(Models!$BJ375:$BT375,,T375)*(1-R375)+INDEX(Models!$BJ375:$BT375,,T375+1)*R375-ERP_i)*Q375*Ramure*Pc/MaxiM</f>
        <v>2.3853520273116107E-3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21.767722680332849</v>
      </c>
      <c r="W375" s="400">
        <f t="shared" si="136"/>
        <v>6.865686911404091</v>
      </c>
      <c r="X375" s="157">
        <f t="shared" si="137"/>
        <v>46748</v>
      </c>
      <c r="Y375" s="383">
        <f t="shared" si="138"/>
        <v>6.6819637165437262</v>
      </c>
      <c r="Z375" s="383">
        <f t="shared" si="139"/>
        <v>7.1137093991430476</v>
      </c>
      <c r="AA375" s="384">
        <f t="shared" si="140"/>
        <v>7.6779766957927045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7.3491665709125936E-2</v>
      </c>
      <c r="AD375" s="230">
        <f>(INDEX(Models!$BJ375:$BT375,,AH375)*(1-AF375)+INDEX(Models!$BJ375:$BT375,,AH375+1)*AF375-ERP_i)*AE375*Ramure*Pc/MaxiM</f>
        <v>1.5484461678779125E-2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'2026'!Wh/'2026'!Env_an*'2027'!Env_an</f>
        <v>21.314030780270485</v>
      </c>
      <c r="C376" s="829"/>
      <c r="D376" s="391">
        <f t="shared" si="127"/>
        <v>22.691641765897483</v>
      </c>
      <c r="E376" s="383">
        <f t="shared" si="150"/>
        <v>23.844174073125995</v>
      </c>
      <c r="F376" s="383">
        <f t="shared" si="128"/>
        <v>23.898179182244625</v>
      </c>
      <c r="G376" s="110">
        <f t="shared" si="151"/>
        <v>0.97519464827744107</v>
      </c>
      <c r="H376" s="412" t="b">
        <f>Wh_hp&gt;='2026'!Maxi_hp</f>
        <v>0</v>
      </c>
      <c r="I376" s="388">
        <f>IF(H376,Wh_hp,'2026'!Maxi_hp)</f>
        <v>23.899460218766578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6.0710062314546231E-2</v>
      </c>
      <c r="M376" s="832"/>
      <c r="N376" s="832"/>
      <c r="O376" s="48">
        <f>IF(t&lt;Tnet,'2026'!Resal+('2026'!Salim-'2026'!Resal)*(1-EXP(('2026'!Tnet-t)/('2026'!Tau_j))),Resal+(Salim-Resal)*(1-EXP((Tnet-t)/(Tau_j))))*Salcycl</f>
        <v>4.8336012968781913E-2</v>
      </c>
      <c r="P376" s="169">
        <f>(INDEX(Models!$BJ376:$BT376,,T376)*(1-R376)+INDEX(Models!$BJ376:$BT376,,T376+1)*R376-ERP_i)*Q376*Ramure*Pc/MaxiM</f>
        <v>2.3425402695163278E-3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21.854368559564239</v>
      </c>
      <c r="W376" s="400">
        <f t="shared" si="136"/>
        <v>21.314030780270485</v>
      </c>
      <c r="X376" s="157">
        <f t="shared" si="137"/>
        <v>46749</v>
      </c>
      <c r="Y376" s="383">
        <f t="shared" si="138"/>
        <v>20.486566278336596</v>
      </c>
      <c r="Z376" s="383">
        <f t="shared" si="139"/>
        <v>21.810694926444604</v>
      </c>
      <c r="AA376" s="384">
        <f t="shared" si="140"/>
        <v>23.541255813672976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7.3511833902388746E-2</v>
      </c>
      <c r="AD376" s="230">
        <f>(INDEX(Models!$BJ376:$BT376,,AH376)*(1-AF376)+INDEX(Models!$BJ376:$BT376,,AH376+1)*AF376-ERP_i)*AE376*Ramure*Pc/MaxiM</f>
        <v>1.5482004900200885E-2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'2026'!Wh/'2026'!Env_an*'2027'!Env_an</f>
        <v>10.123212049309203</v>
      </c>
      <c r="C377" s="829"/>
      <c r="D377" s="391">
        <f t="shared" si="127"/>
        <v>10.777722251579101</v>
      </c>
      <c r="E377" s="383">
        <f t="shared" si="150"/>
        <v>11.325666249344827</v>
      </c>
      <c r="F377" s="383">
        <f t="shared" si="128"/>
        <v>11.33165399427353</v>
      </c>
      <c r="G377" s="110">
        <f t="shared" si="151"/>
        <v>0.46032825124153326</v>
      </c>
      <c r="H377" s="412" t="b">
        <f>Wh_hp&gt;='2026'!Maxi_hp</f>
        <v>0</v>
      </c>
      <c r="I377" s="388">
        <f>IF(H377,Wh_hp,'2026'!Maxi_hp)</f>
        <v>25.022994124609578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6.0728063591915515E-2</v>
      </c>
      <c r="M377" s="832"/>
      <c r="N377" s="832"/>
      <c r="O377" s="48">
        <f>IF(t&lt;Tnet,'2026'!Resal+('2026'!Salim-'2026'!Resal)*(1-EXP(('2026'!Tnet-t)/('2026'!Tau_j))),Resal+(Salim-Resal)*(1-EXP((Tnet-t)/(Tau_j))))*Salcycl</f>
        <v>4.838072972505468E-2</v>
      </c>
      <c r="P377" s="169">
        <f>(INDEX(Models!$BJ377:$BT377,,T377)*(1-R377)+INDEX(Models!$BJ377:$BT377,,T377+1)*R377-ERP_i)*Q377*Ramure*Pc/MaxiM</f>
        <v>2.2953832336101388E-3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21.952411366480757</v>
      </c>
      <c r="W377" s="400">
        <f t="shared" si="136"/>
        <v>10.123212049309203</v>
      </c>
      <c r="X377" s="157">
        <f t="shared" si="137"/>
        <v>46750</v>
      </c>
      <c r="Y377" s="383">
        <f t="shared" si="138"/>
        <v>9.8257246154862159</v>
      </c>
      <c r="Z377" s="383">
        <f t="shared" si="139"/>
        <v>10.461000946180983</v>
      </c>
      <c r="AA377" s="384">
        <f t="shared" si="140"/>
        <v>11.291273867931681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7.3532263185002861E-2</v>
      </c>
      <c r="AD377" s="230">
        <f>(INDEX(Models!$BJ377:$BT377,,AH377)*(1-AF377)+INDEX(Models!$BJ377:$BT377,,AH377+1)*AF377-ERP_i)*AE377*Ramure*Pc/MaxiM</f>
        <v>1.5479594752247297E-2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'2026'!Wh/'2026'!Env_an*'2027'!Env_an</f>
        <v>13.715506584897019</v>
      </c>
      <c r="C378" s="829"/>
      <c r="D378" s="391">
        <f t="shared" si="127"/>
        <v>14.602554290017963</v>
      </c>
      <c r="E378" s="383">
        <f t="shared" si="150"/>
        <v>15.34567743415549</v>
      </c>
      <c r="F378" s="383">
        <f t="shared" si="128"/>
        <v>15.361519529190318</v>
      </c>
      <c r="G378" s="110">
        <f t="shared" si="151"/>
        <v>0.6209425571733338</v>
      </c>
      <c r="H378" s="412" t="b">
        <f>Wh_hp&gt;='2026'!Maxi_hp</f>
        <v>0</v>
      </c>
      <c r="I378" s="388">
        <f>IF(H378,Wh_hp,'2026'!Maxi_hp)</f>
        <v>25.027651179472095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6.074606452429443E-2</v>
      </c>
      <c r="M378" s="832"/>
      <c r="N378" s="832"/>
      <c r="O378" s="48">
        <f>IF(t&lt;Tnet,'2026'!Resal+('2026'!Salim-'2026'!Resal)*(1-EXP(('2026'!Tnet-t)/('2026'!Tau_j))),Resal+(Salim-Resal)*(1-EXP((Tnet-t)/(Tau_j))))*Salcycl</f>
        <v>4.8425567872522071E-2</v>
      </c>
      <c r="P378" s="169">
        <f>(INDEX(Models!$BJ378:$BT378,,T378)*(1-R378)+INDEX(Models!$BJ378:$BT378,,T378+1)*R378-ERP_i)*Q378*Ramure*Pc/MaxiM</f>
        <v>2.2440320967565442E-3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22.061390068575776</v>
      </c>
      <c r="W378" s="400">
        <f t="shared" si="136"/>
        <v>13.715506584897019</v>
      </c>
      <c r="X378" s="157">
        <f t="shared" si="137"/>
        <v>46751</v>
      </c>
      <c r="Y378" s="383">
        <f t="shared" si="138"/>
        <v>13.272039851440152</v>
      </c>
      <c r="Z378" s="383">
        <f t="shared" si="139"/>
        <v>14.130406432333167</v>
      </c>
      <c r="AA378" s="384">
        <f t="shared" si="140"/>
        <v>15.252254354859177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7.3552925123400045E-2</v>
      </c>
      <c r="AD378" s="230">
        <f>(INDEX(Models!$BJ378:$BT378,,AH378)*(1-AF378)+INDEX(Models!$BJ378:$BT378,,AH378+1)*AF378-ERP_i)*AE378*Ramure*Pc/MaxiM</f>
        <v>1.5477407357911083E-2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'2026'!Wh/'2026'!Env_an*'2027'!Env_an</f>
        <v>11.347381042067962</v>
      </c>
      <c r="C379" s="829"/>
      <c r="D379" s="391">
        <f t="shared" si="127"/>
        <v>12.081502230232854</v>
      </c>
      <c r="E379" s="383">
        <f t="shared" si="150"/>
        <v>12.696928853886352</v>
      </c>
      <c r="F379" s="383">
        <f t="shared" si="128"/>
        <v>12.705334044919091</v>
      </c>
      <c r="G379" s="110">
        <f t="shared" si="151"/>
        <v>0.51080297835235222</v>
      </c>
      <c r="H379" s="412" t="b">
        <f>Wh_hp&gt;='2026'!Maxi_hp</f>
        <v>0</v>
      </c>
      <c r="I379" s="388">
        <f>IF(H379,Wh_hp,'2026'!Maxi_hp)</f>
        <v>25.278911318099443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6.0764065111689525E-2</v>
      </c>
      <c r="M379" s="832"/>
      <c r="N379" s="832"/>
      <c r="O379" s="48">
        <f>IF(t&lt;Tnet,'2026'!Resal+('2026'!Salim-'2026'!Resal)*(1-EXP(('2026'!Tnet-t)/('2026'!Tau_j))),Resal+(Salim-Resal)*(1-EXP((Tnet-t)/(Tau_j))))*Salcycl</f>
        <v>4.8470510525474311E-2</v>
      </c>
      <c r="P379" s="169">
        <f>(INDEX(Models!$BJ379:$BT379,,T379)*(1-R379)+INDEX(Models!$BJ379:$BT379,,T379+1)*R379-ERP_i)*Q379*Ramure*Pc/MaxiM</f>
        <v>2.1886444213267279E-3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22.180843707675763</v>
      </c>
      <c r="W379" s="400">
        <f t="shared" si="136"/>
        <v>11.347381042067962</v>
      </c>
      <c r="X379" s="157">
        <f t="shared" si="137"/>
        <v>46752</v>
      </c>
      <c r="Y379" s="383">
        <f t="shared" si="138"/>
        <v>11.003613928578694</v>
      </c>
      <c r="Z379" s="383">
        <f t="shared" si="139"/>
        <v>11.715495031487688</v>
      </c>
      <c r="AA379" s="384">
        <f t="shared" si="140"/>
        <v>12.645902015550041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7.357379354341656E-2</v>
      </c>
      <c r="AD379" s="230">
        <f>(INDEX(Models!$BJ379:$BT379,,AH379)*(1-AF379)+INDEX(Models!$BJ379:$BT379,,AH379+1)*AF379-ERP_i)*AE379*Ramure*Pc/MaxiM</f>
        <v>1.5475624411155216E-2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17.030411167079539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25.018618300755818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1.7924299256203731</v>
      </c>
      <c r="C381" s="374"/>
      <c r="D381" s="372">
        <f>MIN(D15:D380)</f>
        <v>1.8954517675715954</v>
      </c>
      <c r="E381" s="372">
        <f>MIN(E15:E380)</f>
        <v>1.9514693693879472</v>
      </c>
      <c r="F381" s="373">
        <f>MIN(F15:F380)</f>
        <v>1.9514693693879472</v>
      </c>
      <c r="G381" s="125">
        <f>+MIN(G15:G380)</f>
        <v>7.2936252321565129E-2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3">MIN(L15:L380)</f>
        <v>5.4189006803393669E-2</v>
      </c>
      <c r="M381" s="833"/>
      <c r="N381" s="833"/>
      <c r="O381" s="47">
        <f t="shared" si="153"/>
        <v>2.8125010679567443E-2</v>
      </c>
      <c r="P381" s="168">
        <f t="shared" si="153"/>
        <v>2.6092121120148274E-5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21.508929815265063</v>
      </c>
      <c r="W381" s="58"/>
      <c r="X381" s="112" t="s">
        <v>7</v>
      </c>
      <c r="Y381" s="372">
        <f>MIN(Y15:Y380)</f>
        <v>1.7283866035177551</v>
      </c>
      <c r="Z381" s="372">
        <f>MIN(Z15:Z380)</f>
        <v>1.8277274865018347</v>
      </c>
      <c r="AA381" s="372">
        <f>MIN(AA15:AA380)</f>
        <v>1.9514693693879472</v>
      </c>
      <c r="AB381" s="200" t="s">
        <v>7</v>
      </c>
      <c r="AC381" s="47">
        <f t="shared" ref="AC381:AH381" si="154">MIN(AC15:AC380)</f>
        <v>6.3125996579179042E-2</v>
      </c>
      <c r="AD381" s="168">
        <f t="shared" si="154"/>
        <v>4.2784133631846303E-4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30.411000076056126</v>
      </c>
      <c r="C382" s="374"/>
      <c r="D382" s="374">
        <f>AVERAGE(D15:D380)</f>
        <v>32.262747533564955</v>
      </c>
      <c r="E382" s="374">
        <f>AVERAGE(E15:E380)</f>
        <v>33.600981130436608</v>
      </c>
      <c r="F382" s="375">
        <f>AVERAGE(F15:F380)</f>
        <v>33.60771707394224</v>
      </c>
      <c r="G382" s="126">
        <f>AVERAGE(G15:G380)</f>
        <v>0.68847127274838082</v>
      </c>
      <c r="H382" s="94"/>
      <c r="I382" s="375">
        <f>AVERAGE(I15:I380)</f>
        <v>43.531977202049511</v>
      </c>
      <c r="J382" s="59">
        <f>AVERAGE(J15:J380)</f>
        <v>2021.7158469945355</v>
      </c>
      <c r="K382" s="200" t="s">
        <v>8</v>
      </c>
      <c r="L382" s="147">
        <f t="shared" ref="L382:V382" si="155">AVERAGE(L15:L380)</f>
        <v>5.7480347778123476E-2</v>
      </c>
      <c r="M382" s="832"/>
      <c r="N382" s="832"/>
      <c r="O382" s="48">
        <f t="shared" si="155"/>
        <v>3.973810479444416E-2</v>
      </c>
      <c r="P382" s="169">
        <f t="shared" si="155"/>
        <v>5.1968217311652246E-4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42.769093497407574</v>
      </c>
      <c r="X382" s="112" t="s">
        <v>8</v>
      </c>
      <c r="Y382" s="374">
        <f>AVERAGE(Y15:Y380)</f>
        <v>29.376282453195113</v>
      </c>
      <c r="Z382" s="374">
        <f>AVERAGE(Z15:Z380)</f>
        <v>31.165093866973784</v>
      </c>
      <c r="AA382" s="374">
        <f>AVERAGE(AA15:AA380)</f>
        <v>33.527581385507929</v>
      </c>
      <c r="AB382" s="200" t="s">
        <v>8</v>
      </c>
      <c r="AC382" s="48">
        <f t="shared" ref="AC382:AH382" si="156">AVERAGE(AC15:AC380)</f>
        <v>7.0128909471874237E-2</v>
      </c>
      <c r="AD382" s="169">
        <f t="shared" si="156"/>
        <v>5.7245960449460688E-3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58.91610402062274</v>
      </c>
      <c r="C383" s="376"/>
      <c r="D383" s="376">
        <f>MAX(D15:D380)</f>
        <v>62.468560943798295</v>
      </c>
      <c r="E383" s="376">
        <f>MAX(E15:E380)</f>
        <v>64.957441656605837</v>
      </c>
      <c r="F383" s="377">
        <f>MAX(F15:F380)</f>
        <v>64.959236791876052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2027</v>
      </c>
      <c r="K383" s="200" t="s">
        <v>9</v>
      </c>
      <c r="L383" s="148">
        <f t="shared" ref="L383:T383" si="157">MAX(L15:L380)</f>
        <v>6.0764065111689525E-2</v>
      </c>
      <c r="M383" s="834"/>
      <c r="N383" s="834"/>
      <c r="O383" s="49">
        <f t="shared" si="157"/>
        <v>4.8470510525474311E-2</v>
      </c>
      <c r="P383" s="170">
        <f t="shared" si="157"/>
        <v>2.5144264528502978E-3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58.11985760246754</v>
      </c>
      <c r="X383" s="112" t="s">
        <v>9</v>
      </c>
      <c r="Y383" s="376">
        <f>MAX(Y15:Y380)</f>
        <v>56.963469536253626</v>
      </c>
      <c r="Z383" s="376">
        <f>MAX(Z15:Z380)</f>
        <v>60.398188703212305</v>
      </c>
      <c r="AA383" s="376">
        <f>MAX(AA15:AA380)</f>
        <v>64.929800225133448</v>
      </c>
      <c r="AB383" s="200" t="s">
        <v>9</v>
      </c>
      <c r="AC383" s="49">
        <f t="shared" ref="AC383:AH383" si="158">MAX(AC15:AC380)</f>
        <v>7.41843805469692E-2</v>
      </c>
      <c r="AD383" s="170">
        <f t="shared" si="158"/>
        <v>1.707976813295687E-2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G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'2027'!An+1</f>
        <v>2028</v>
      </c>
      <c r="K1" s="1279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70.981566993550416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351.15246510033597</v>
      </c>
      <c r="AK4" s="822">
        <f>AM12-AK12</f>
        <v>26.805583013309356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422.24795009399332</v>
      </c>
      <c r="AA5" s="236">
        <f>Wh_Pvg_s-Wh_Pvg</f>
        <v>26.805583013309356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2880.2428135751475</v>
      </c>
      <c r="AK5" s="514">
        <f>SUMIF(AK15:AK380,"VRAI",Wh)</f>
        <v>0</v>
      </c>
      <c r="AL5" s="514">
        <f>SUMIF(AJ15:AJ380,"VRAI",Wh_s)</f>
        <v>2799.9591593110581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8301.9154799884</v>
      </c>
      <c r="AK6" s="514">
        <f>SUMIF(AK15:AK380,"FAUX",Wh)</f>
        <v>11182.158293563554</v>
      </c>
      <c r="AL6" s="514">
        <f>SUMIF(AJ15:AJ380,"FAUX",Wh_s)</f>
        <v>7931.2493094133843</v>
      </c>
      <c r="AM6" s="514">
        <f>SUMIF(AK15:AK380,"FAUX",Wh_s)</f>
        <v>10731.208468724446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3070.691042167211</v>
      </c>
      <c r="AK7" s="514">
        <f>SUMIF(AK15:AK380,"VRAI",Wh_sa)</f>
        <v>0</v>
      </c>
      <c r="AL7" s="514">
        <f>SUMIF(AJ15:AJ380,"VRAI",Wh_pvt_s)</f>
        <v>2985.1058628287215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8875.9713873132678</v>
      </c>
      <c r="AK8" s="514">
        <f>SUMIF(AK15:AK380,"FAUX",Wh_sa)</f>
        <v>12278.176713245921</v>
      </c>
      <c r="AL8" s="514">
        <f>SUMIF(AJ15:AJ380,"FAUX",Wh_pvt_s)</f>
        <v>8479.6725616937874</v>
      </c>
      <c r="AM8" s="514">
        <f>SUMIF(AK15:AK380,"FAUX",Wh_sa_s)</f>
        <v>12247.401925965381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11946.662429480484</v>
      </c>
      <c r="E9" s="184">
        <f>SUM(E$15:E$380)</f>
        <v>12278.176713245921</v>
      </c>
      <c r="F9" s="184">
        <f>SUM(F$15:F$380)</f>
        <v>12282.792004236153</v>
      </c>
      <c r="H9" s="1280">
        <f>+SUM(Wh)</f>
        <v>11182.158293563554</v>
      </c>
      <c r="I9" s="1281"/>
      <c r="J9" s="1282"/>
      <c r="K9" s="191"/>
      <c r="L9" s="231"/>
      <c r="M9" s="231"/>
      <c r="N9" s="231"/>
      <c r="O9" s="222">
        <f>Tnet_2028</f>
        <v>46873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10731.208468724446</v>
      </c>
      <c r="Y9" s="1275"/>
      <c r="Z9" s="514">
        <f>SUM(Z$15:Z$380)</f>
        <v>11464.778424522512</v>
      </c>
      <c r="AA9" s="514">
        <f>SUM(AA$15:AA$380)</f>
        <v>12247.401925965381</v>
      </c>
      <c r="AB9" s="514">
        <f>F9</f>
        <v>12282.792004236153</v>
      </c>
      <c r="AC9" s="324">
        <f>IF(An_Tnet,Tnet,'2027'!Tnet_s)</f>
        <v>46873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3238.1980273802401</v>
      </c>
      <c r="AK9" s="514">
        <f>SUMIF(AK15:AK380,"VRAI",Wh_hp)</f>
        <v>0</v>
      </c>
      <c r="AL9" s="514">
        <f>SUMIF(AJ15:AJ380,"VRAI",Wh_sa_s)</f>
        <v>3228.288449597952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0.01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5.3834638691450956E-2</v>
      </c>
      <c r="AD10" s="426"/>
      <c r="AE10" s="426"/>
      <c r="AF10" s="259"/>
      <c r="AG10" s="260"/>
      <c r="AH10" s="261"/>
      <c r="AI10" s="471"/>
      <c r="AJ10" s="514">
        <f>SUMIF(AJ15:AJ380,"FAUX",Wh_sa)</f>
        <v>9039.9786858656789</v>
      </c>
      <c r="AK10" s="514">
        <f>SUMIF(AK15:AK380,"FAUX",Wh_hp)</f>
        <v>12282.792004236153</v>
      </c>
      <c r="AL10" s="514">
        <f>SUMIF(AJ15:AJ380,"FAUX",Wh_sa_s)</f>
        <v>9019.1134763674327</v>
      </c>
      <c r="AM10" s="514">
        <f>SUMIF(AK15:AK380,"FAUX",Wh_hp)</f>
        <v>12282.792004236153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764.50413591692995</v>
      </c>
      <c r="E11" s="51">
        <f>(E$9-D$9)*Prod_an/D$9</f>
        <v>310.29965226896132</v>
      </c>
      <c r="F11" s="186">
        <f>(F$9-E$9)*Prod_an/E$9</f>
        <v>4.2033044179887362</v>
      </c>
      <c r="G11" s="185" t="s">
        <v>6</v>
      </c>
      <c r="K11" s="194"/>
      <c r="L11" s="211">
        <f>Tvie_2028</f>
        <v>43481</v>
      </c>
      <c r="M11" s="831"/>
      <c r="N11" s="831"/>
      <c r="O11" s="202">
        <f>IF(An_Tnet,Salim_2028,'2027'!Salim)</f>
        <v>0.1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733.56995579806608</v>
      </c>
      <c r="Z11" s="51">
        <f>(AA$9-Z$9)*Prod_an_s/Z$9</f>
        <v>732.54760236295465</v>
      </c>
      <c r="AA11" s="186">
        <f>(AB$9-AA$9)*Prod_an_s/AA$9</f>
        <v>31.008887431298092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157.11798541704079</v>
      </c>
      <c r="AK11" s="822">
        <f>IF($AK7=0,0,($AK9-$AK7)*$AK5/$AK7)</f>
        <v>0</v>
      </c>
      <c r="AL11" s="821">
        <f>IF($AL7=0,0,($AL9-$AL7)*$AL5/$AL7)</f>
        <v>228.0995524105912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4.4677328976523434E-2</v>
      </c>
      <c r="K12" s="191"/>
      <c r="L12" s="212">
        <f>Pspv_2028</f>
        <v>0</v>
      </c>
      <c r="M12" s="212"/>
      <c r="N12" s="212"/>
      <c r="O12" s="205">
        <f>IF(An_Tnet,Tau_2028*365,'2027'!Tau_j)</f>
        <v>1095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153.40008110317785</v>
      </c>
      <c r="AK12" s="822">
        <f>IF($AK8=0,0,($AK10-$AK8)*$AK6/$AK8)</f>
        <v>4.2033044179887362</v>
      </c>
      <c r="AL12" s="821">
        <f>IF($AL8=0,0,($AL10-$AL8)*$AL6/$AL8)</f>
        <v>504.55254620351383</v>
      </c>
      <c r="AM12" s="822">
        <f>IF($AM8=0,0,($AM10-$AM8)*$AM6/$AM8)</f>
        <v>31.008887431298092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310.51806652021867</v>
      </c>
      <c r="AK13" s="73">
        <f>+AK11+AK12</f>
        <v>4.2033044179887362</v>
      </c>
      <c r="AL13" s="73">
        <f>+AL11+AL12</f>
        <v>732.65209861410506</v>
      </c>
      <c r="AM13" s="73">
        <f>+AM11+AM12</f>
        <v>31.008887431298092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'2027'!Wh/'2027'!Env_an*'2028'!Env_an</f>
        <v>22.69864874110592</v>
      </c>
      <c r="C15" s="829"/>
      <c r="D15" s="391">
        <f t="shared" ref="D15:D78" si="0">Wh/(1-Ppv)</f>
        <v>24.167605732171044</v>
      </c>
      <c r="E15" s="398">
        <f t="shared" ref="E15:E79" si="1">Wh_pvt/(1-Psa)</f>
        <v>25.399895432462049</v>
      </c>
      <c r="F15" s="398">
        <f t="shared" ref="F15:F78" si="2">Wh_sa/(1-Pvg*MEDIAN((-Sdif+Wh/Env_an)/Csdif,0,1))</f>
        <v>25.454097031999812</v>
      </c>
      <c r="G15" s="123">
        <f>+Wh_hp/MaxiM</f>
        <v>1.0174061864224482</v>
      </c>
      <c r="H15" s="412" t="b">
        <f>Wh_hp&gt;='2027'!Maxi_hp</f>
        <v>1</v>
      </c>
      <c r="I15" s="394">
        <f>IF(H15,Wh_hp,'2027'!Maxi_hp)</f>
        <v>25.454097031999812</v>
      </c>
      <c r="J15" s="84">
        <f>IF(H15,An,'2027'!An_max)</f>
        <v>2028</v>
      </c>
      <c r="K15" s="197">
        <f t="shared" ref="K15:K78" si="3">t</f>
        <v>46753</v>
      </c>
      <c r="L15" s="146">
        <f>IF(t&lt;Tvie,1-EXP((T0-t)*PertePVj)+'2027'!Pspv,1-EXP((T0-t)*PertePVj)+Pspv)</f>
        <v>6.0782065354107573E-2</v>
      </c>
      <c r="M15" s="832"/>
      <c r="N15" s="832"/>
      <c r="O15" s="48">
        <f>IF(t&lt;Tnet,'2027'!Resal+('2027'!Salim-'2027'!Resal)*(1-EXP(('2027'!Tnet-t)/('2027'!Tau_j))),Resal+(Salim-Resal)*(1-EXP((Tnet-t)/(Tau_j))))*Salcycl</f>
        <v>4.8515542261488735E-2</v>
      </c>
      <c r="P15" s="301">
        <f>(INDEX(Models!$BJ15:$BT15,,T15)*(1-R15)+INDEX(Models!$BJ15:$BT15,,T15+1)*R15-ERP_i)*Q15*Ramure*Pc/MaxiM</f>
        <v>2.1293860658118452E-3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22.310311303415816</v>
      </c>
      <c r="W15" s="400">
        <f t="shared" ref="W15:W78" si="10">Wh*(A15&gt;Tmaj)</f>
        <v>22.69864874110592</v>
      </c>
      <c r="X15" s="156">
        <f t="shared" ref="X15:X78" si="11">t</f>
        <v>46753</v>
      </c>
      <c r="Y15" s="383">
        <f t="shared" ref="Y15:Y78" si="12">Wh_pvt_s*(1-Ppv)</f>
        <v>21.804796245547102</v>
      </c>
      <c r="Z15" s="383">
        <f>Wh_sa_s*(1-Psa_s)</f>
        <v>23.215907023504645</v>
      </c>
      <c r="AA15" s="384">
        <f t="shared" ref="AA15:AA78" si="13">Wh_hp*(1-Pvg_s*MEDIAN((-Sdif+Wh/Env_an)/Csdif,0,1))</f>
        <v>25.060209226130578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7.3594844559512138E-2</v>
      </c>
      <c r="AD15" s="230">
        <f>(INDEX(Models!$BJ15:$BT15,,AH15)*(1-AF15)+INDEX(Models!$BJ15:$BT15,,AH15+1)*AF15-ERP_i)*AE15*Ramure*Pc/MaxiM</f>
        <v>1.5474436408962153E-2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'2027'!Wh/'2027'!Env_an*'2028'!Env_an</f>
        <v>15.654200776003277</v>
      </c>
      <c r="C16" s="829"/>
      <c r="D16" s="391">
        <f t="shared" si="0"/>
        <v>16.667591422050187</v>
      </c>
      <c r="E16" s="383">
        <f t="shared" si="1"/>
        <v>17.518291004929146</v>
      </c>
      <c r="F16" s="383">
        <f t="shared" si="2"/>
        <v>17.538919640568828</v>
      </c>
      <c r="G16" s="110">
        <f t="shared" ref="G16:G79" si="21">+Wh_hp/MaxiM</f>
        <v>0.69669102190610555</v>
      </c>
      <c r="H16" s="412" t="b">
        <f>Wh_hp&gt;='2027'!Maxi_hp</f>
        <v>0</v>
      </c>
      <c r="I16" s="388">
        <f>IF(H16,Wh_hp,'2027'!Maxi_hp)</f>
        <v>24.084283353934023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6.0800065251555013E-2</v>
      </c>
      <c r="M16" s="832"/>
      <c r="N16" s="832"/>
      <c r="O16" s="48">
        <f>IF(t&lt;Tnet,'2027'!Resal+('2027'!Salim-'2027'!Resal)*(1-EXP(('2027'!Tnet-t)/('2027'!Tau_j))),Resal+(Salim-Resal)*(1-EXP((Tnet-t)/(Tau_j))))*Salcycl</f>
        <v>4.8560649131790118E-2</v>
      </c>
      <c r="P16" s="169">
        <f>(INDEX(Models!$BJ16:$BT16,,T16)*(1-R16)+INDEX(Models!$BJ16:$BT16,,T16+1)*R16-ERP_i)*Q16*Ramure*Pc/MaxiM</f>
        <v>2.0721874026987364E-3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22.449202340655656</v>
      </c>
      <c r="W16" s="400">
        <f t="shared" si="10"/>
        <v>15.654200776003277</v>
      </c>
      <c r="X16" s="157">
        <f t="shared" si="11"/>
        <v>46754</v>
      </c>
      <c r="Y16" s="383">
        <f t="shared" si="12"/>
        <v>15.125962066491295</v>
      </c>
      <c r="Z16" s="383">
        <f t="shared" ref="Z16:Z78" si="22">Wh_sa_s*(1-Psa_s)</f>
        <v>16.105156641160359</v>
      </c>
      <c r="AA16" s="384">
        <f t="shared" si="13"/>
        <v>17.384969542707854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7.3616056582872402E-2</v>
      </c>
      <c r="AD16" s="230">
        <f>(INDEX(Models!$BJ16:$BT16,,AH16)*(1-AF16)+INDEX(Models!$BJ16:$BT16,,AH16+1)*AF16-ERP_i)*AE16*Ramure*Pc/MaxiM</f>
        <v>1.5464592957279486E-2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'2027'!Wh/'2027'!Env_an*'2028'!Env_an</f>
        <v>16.902189671945244</v>
      </c>
      <c r="C17" s="829"/>
      <c r="D17" s="391">
        <f t="shared" si="0"/>
        <v>17.996715054382495</v>
      </c>
      <c r="E17" s="383">
        <f t="shared" si="1"/>
        <v>18.91615001155315</v>
      </c>
      <c r="F17" s="383">
        <f t="shared" si="2"/>
        <v>18.940599319074835</v>
      </c>
      <c r="G17" s="110">
        <f t="shared" si="21"/>
        <v>0.74743800056724874</v>
      </c>
      <c r="H17" s="412" t="b">
        <f>Wh_hp&gt;='2027'!Maxi_hp</f>
        <v>0</v>
      </c>
      <c r="I17" s="388">
        <f>IF(H17,Wh_hp,'2027'!Maxi_hp)</f>
        <v>25.872417420672249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6.0818064804038507E-2</v>
      </c>
      <c r="M17" s="832"/>
      <c r="N17" s="832"/>
      <c r="O17" s="48">
        <f>IF(t&lt;Tnet,'2027'!Resal+('2027'!Salim-'2027'!Resal)*(1-EXP(('2027'!Tnet-t)/('2027'!Tau_j))),Resal+(Salim-Resal)*(1-EXP((Tnet-t)/(Tau_j))))*Salcycl</f>
        <v>4.860581865808334E-2</v>
      </c>
      <c r="P17" s="169">
        <f>(INDEX(Models!$BJ17:$BT17,,T17)*(1-R17)+INDEX(Models!$BJ17:$BT17,,T17+1)*R17-ERP_i)*Q17*Ramure*Pc/MaxiM</f>
        <v>2.0170211217809477E-3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22.597057903732832</v>
      </c>
      <c r="W17" s="400">
        <f t="shared" si="10"/>
        <v>16.902189671945244</v>
      </c>
      <c r="X17" s="157">
        <f t="shared" si="11"/>
        <v>46755</v>
      </c>
      <c r="Y17" s="383">
        <f t="shared" si="12"/>
        <v>16.31586001260365</v>
      </c>
      <c r="Z17" s="383">
        <f t="shared" si="22"/>
        <v>17.372416782270548</v>
      </c>
      <c r="AA17" s="384">
        <f t="shared" si="13"/>
        <v>18.753366096169469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7.3637410309021406E-2</v>
      </c>
      <c r="AD17" s="230">
        <f>(INDEX(Models!$BJ17:$BT17,,AH17)*(1-AF17)+INDEX(Models!$BJ17:$BT17,,AH17+1)*AF17-ERP_i)*AE17*Ramure*Pc/MaxiM</f>
        <v>1.5446382886888431E-2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'2027'!Wh/'2027'!Env_an*'2028'!Env_an</f>
        <v>17.960081046125087</v>
      </c>
      <c r="C18" s="829"/>
      <c r="D18" s="391">
        <f t="shared" si="0"/>
        <v>19.123478189377838</v>
      </c>
      <c r="E18" s="383">
        <f t="shared" si="1"/>
        <v>20.101433847876081</v>
      </c>
      <c r="F18" s="383">
        <f t="shared" si="2"/>
        <v>20.12906879257563</v>
      </c>
      <c r="G18" s="110">
        <f t="shared" si="21"/>
        <v>0.78886836999345844</v>
      </c>
      <c r="H18" s="412" t="b">
        <f>Wh_hp&gt;='2027'!Maxi_hp</f>
        <v>0</v>
      </c>
      <c r="I18" s="388">
        <f>IF(H18,Wh_hp,'2027'!Maxi_hp)</f>
        <v>21.824345162432092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6.0836064011564717E-2</v>
      </c>
      <c r="M18" s="832"/>
      <c r="N18" s="832"/>
      <c r="O18" s="48">
        <f>IF(t&lt;Tnet,'2027'!Resal+('2027'!Salim-'2027'!Resal)*(1-EXP(('2027'!Tnet-t)/('2027'!Tau_j))),Resal+(Salim-Resal)*(1-EXP((Tnet-t)/(Tau_j))))*Salcycl</f>
        <v>4.8651039816325001E-2</v>
      </c>
      <c r="P18" s="169">
        <f>(INDEX(Models!$BJ18:$BT18,,T18)*(1-R18)+INDEX(Models!$BJ18:$BT18,,T18+1)*R18-ERP_i)*Q18*Ramure*Pc/MaxiM</f>
        <v>1.963930857141096E-3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22.753417359340023</v>
      </c>
      <c r="W18" s="400">
        <f t="shared" si="10"/>
        <v>17.960081046125087</v>
      </c>
      <c r="X18" s="157">
        <f t="shared" si="11"/>
        <v>46756</v>
      </c>
      <c r="Y18" s="383">
        <f t="shared" si="12"/>
        <v>17.323240471204482</v>
      </c>
      <c r="Z18" s="383">
        <f>Wh_sa_s*(1-Psa_s)</f>
        <v>18.445385099857365</v>
      </c>
      <c r="AA18" s="384">
        <f t="shared" si="13"/>
        <v>19.912087323521416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7.365888868574251E-2</v>
      </c>
      <c r="AD18" s="230">
        <f>(INDEX(Models!$BJ18:$BT18,,AH18)*(1-AF18)+INDEX(Models!$BJ18:$BT18,,AH18+1)*AF18-ERP_i)*AE18*Ramure*Pc/MaxiM</f>
        <v>1.542020825937533E-2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'2027'!Wh/'2027'!Env_an*'2028'!Env_an</f>
        <v>14.20232826968798</v>
      </c>
      <c r="C19" s="829"/>
      <c r="D19" s="391">
        <f t="shared" si="0"/>
        <v>15.122599915783539</v>
      </c>
      <c r="E19" s="383">
        <f t="shared" si="1"/>
        <v>15.896710970009924</v>
      </c>
      <c r="F19" s="383">
        <f t="shared" si="2"/>
        <v>15.910611934881674</v>
      </c>
      <c r="G19" s="110">
        <f t="shared" si="21"/>
        <v>0.61906216928007674</v>
      </c>
      <c r="H19" s="412" t="b">
        <f>Wh_hp&gt;='2027'!Maxi_hp</f>
        <v>0</v>
      </c>
      <c r="I19" s="388">
        <f>IF(H19,Wh_hp,'2027'!Maxi_hp)</f>
        <v>15.921478673980209</v>
      </c>
      <c r="J19" s="85">
        <f>IF(H19,An,'2027'!An_max)</f>
        <v>2027</v>
      </c>
      <c r="K19" s="197">
        <f t="shared" si="3"/>
        <v>46757</v>
      </c>
      <c r="L19" s="147">
        <f>IF(t&lt;Tvie,1-EXP((T0-t)*PertePVj)+'2027'!Pspv,1-EXP((T0-t)*PertePVj)+Pspv)</f>
        <v>6.0854062874140191E-2</v>
      </c>
      <c r="M19" s="832"/>
      <c r="N19" s="832"/>
      <c r="O19" s="48">
        <f>IF(t&lt;Tnet,'2027'!Resal+('2027'!Salim-'2027'!Resal)*(1-EXP(('2027'!Tnet-t)/('2027'!Tau_j))),Resal+(Salim-Resal)*(1-EXP((Tnet-t)/(Tau_j))))*Salcycl</f>
        <v>4.869630300801156E-2</v>
      </c>
      <c r="P19" s="169">
        <f>(INDEX(Models!$BJ19:$BT19,,T19)*(1-R19)+INDEX(Models!$BJ19:$BT19,,T19+1)*R19-ERP_i)*Q19*Ramure*Pc/MaxiM</f>
        <v>1.9129528685673961E-3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22.917820106499466</v>
      </c>
      <c r="W19" s="400">
        <f t="shared" si="10"/>
        <v>14.20232826968798</v>
      </c>
      <c r="X19" s="157">
        <f t="shared" si="11"/>
        <v>46757</v>
      </c>
      <c r="Y19" s="383">
        <f t="shared" si="12"/>
        <v>13.744155506221389</v>
      </c>
      <c r="Z19" s="383">
        <f t="shared" si="22"/>
        <v>14.634738822683598</v>
      </c>
      <c r="AA19" s="384">
        <f t="shared" si="13"/>
        <v>15.798802094887519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7.3680476862268654E-2</v>
      </c>
      <c r="AD19" s="230">
        <f>(INDEX(Models!$BJ19:$BT19,,AH19)*(1-AF19)+INDEX(Models!$BJ19:$BT19,,AH19+1)*AF19-ERP_i)*AE19*Ramure*Pc/MaxiM</f>
        <v>1.5386482602049334E-2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'2027'!Wh/'2027'!Env_an*'2028'!Env_an</f>
        <v>20.379630560814434</v>
      </c>
      <c r="C20" s="829"/>
      <c r="D20" s="391">
        <f t="shared" si="0"/>
        <v>21.700590220983841</v>
      </c>
      <c r="E20" s="383">
        <f t="shared" si="1"/>
        <v>22.812508379881265</v>
      </c>
      <c r="F20" s="383">
        <f t="shared" si="2"/>
        <v>22.847957966678834</v>
      </c>
      <c r="G20" s="110">
        <f t="shared" si="21"/>
        <v>0.8823482928790255</v>
      </c>
      <c r="H20" s="412" t="b">
        <f>Wh_hp&gt;='2027'!Maxi_hp</f>
        <v>0</v>
      </c>
      <c r="I20" s="388">
        <f>IF(H20,Wh_hp,'2027'!Maxi_hp)</f>
        <v>25.97684931198668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6.0872061391771592E-2</v>
      </c>
      <c r="M20" s="832"/>
      <c r="N20" s="832"/>
      <c r="O20" s="48">
        <f>IF(t&lt;Tnet,'2027'!Resal+('2027'!Salim-'2027'!Resal)*(1-EXP(('2027'!Tnet-t)/('2027'!Tau_j))),Resal+(Salim-Resal)*(1-EXP((Tnet-t)/(Tau_j))))*Salcycl</f>
        <v>4.8741600019664877E-2</v>
      </c>
      <c r="P20" s="169">
        <f>(INDEX(Models!$BJ20:$BT20,,T20)*(1-R20)+INDEX(Models!$BJ20:$BT20,,T20+1)*R20-ERP_i)*Q20*Ramure*Pc/MaxiM</f>
        <v>1.8641162983717881E-3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23.089805574304165</v>
      </c>
      <c r="W20" s="400">
        <f t="shared" si="10"/>
        <v>20.379630560814434</v>
      </c>
      <c r="X20" s="157">
        <f t="shared" si="11"/>
        <v>46758</v>
      </c>
      <c r="Y20" s="383">
        <f t="shared" si="12"/>
        <v>19.621854583209693</v>
      </c>
      <c r="Z20" s="383">
        <f t="shared" si="22"/>
        <v>20.893696989026807</v>
      </c>
      <c r="AA20" s="384">
        <f t="shared" si="13"/>
        <v>22.556132741133315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7.3702162120853912E-2</v>
      </c>
      <c r="AD20" s="230">
        <f>(INDEX(Models!$BJ20:$BT20,,AH20)*(1-AF20)+INDEX(Models!$BJ20:$BT20,,AH20+1)*AF20-ERP_i)*AE20*Ramure*Pc/MaxiM</f>
        <v>1.5345627646432937E-2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'2027'!Wh/'2027'!Env_an*'2028'!Env_an</f>
        <v>9.9931692620554706</v>
      </c>
      <c r="C21" s="829"/>
      <c r="D21" s="391">
        <f t="shared" si="0"/>
        <v>10.641106894705961</v>
      </c>
      <c r="E21" s="383">
        <f t="shared" si="1"/>
        <v>11.186880377141486</v>
      </c>
      <c r="F21" s="383">
        <f t="shared" si="2"/>
        <v>11.190641938498608</v>
      </c>
      <c r="G21" s="110">
        <f t="shared" si="21"/>
        <v>0.42882799091209056</v>
      </c>
      <c r="H21" s="412" t="b">
        <f>Wh_hp&gt;='2027'!Maxi_hp</f>
        <v>0</v>
      </c>
      <c r="I21" s="388">
        <f>IF(H21,Wh_hp,'2027'!Maxi_hp)</f>
        <v>15.082360291680677</v>
      </c>
      <c r="J21" s="85">
        <f>IF(H21,An,'2027'!An_max)</f>
        <v>2021</v>
      </c>
      <c r="K21" s="197">
        <f t="shared" si="3"/>
        <v>46759</v>
      </c>
      <c r="L21" s="147">
        <f>IF(t&lt;Tvie,1-EXP((T0-t)*PertePVj)+'2027'!Pspv,1-EXP((T0-t)*PertePVj)+Pspv)</f>
        <v>6.0890059564465471E-2</v>
      </c>
      <c r="M21" s="832"/>
      <c r="N21" s="832"/>
      <c r="O21" s="48">
        <f>IF(t&lt;Tnet,'2027'!Resal+('2027'!Salim-'2027'!Resal)*(1-EXP(('2027'!Tnet-t)/('2027'!Tau_j))),Resal+(Salim-Resal)*(1-EXP((Tnet-t)/(Tau_j))))*Salcycl</f>
        <v>4.8786923971290572E-2</v>
      </c>
      <c r="P21" s="169">
        <f>(INDEX(Models!$BJ21:$BT21,,T21)*(1-R21)+INDEX(Models!$BJ21:$BT21,,T21+1)*R21-ERP_i)*Q21*Ramure*Pc/MaxiM</f>
        <v>1.8174434796683347E-3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23.2689132359905</v>
      </c>
      <c r="W21" s="400">
        <f t="shared" si="10"/>
        <v>9.9931692620554706</v>
      </c>
      <c r="X21" s="157">
        <f t="shared" si="11"/>
        <v>46759</v>
      </c>
      <c r="Y21" s="383">
        <f t="shared" si="12"/>
        <v>9.7069180073010362</v>
      </c>
      <c r="Z21" s="383">
        <f t="shared" si="22"/>
        <v>10.336295666084871</v>
      </c>
      <c r="AA21" s="384">
        <f t="shared" si="13"/>
        <v>11.158979534470157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7.3723933791975532E-2</v>
      </c>
      <c r="AD21" s="230">
        <f>(INDEX(Models!$BJ21:$BT21,,AH21)*(1-AF21)+INDEX(Models!$BJ21:$BT21,,AH21+1)*AF21-ERP_i)*AE21*Ramure*Pc/MaxiM</f>
        <v>1.5298070213098992E-2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'2027'!Wh/'2027'!Env_an*'2028'!Env_an</f>
        <v>7.1117014625036958</v>
      </c>
      <c r="C22" s="829"/>
      <c r="D22" s="391">
        <f t="shared" si="0"/>
        <v>7.5729554688278542</v>
      </c>
      <c r="E22" s="383">
        <f t="shared" si="1"/>
        <v>7.961745572354249</v>
      </c>
      <c r="F22" s="383">
        <f t="shared" si="2"/>
        <v>7.9618103099546902</v>
      </c>
      <c r="G22" s="110">
        <f t="shared" si="21"/>
        <v>0.30267518894527129</v>
      </c>
      <c r="H22" s="412" t="b">
        <f>Wh_hp&gt;='2027'!Maxi_hp</f>
        <v>0</v>
      </c>
      <c r="I22" s="388">
        <f>IF(H22,Wh_hp,'2027'!Maxi_hp)</f>
        <v>20.347217475948305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6.0908057392228598E-2</v>
      </c>
      <c r="M22" s="832"/>
      <c r="N22" s="832"/>
      <c r="O22" s="48">
        <f>IF(t&lt;Tnet,'2027'!Resal+('2027'!Salim-'2027'!Resal)*(1-EXP(('2027'!Tnet-t)/('2027'!Tau_j))),Resal+(Salim-Resal)*(1-EXP((Tnet-t)/(Tau_j))))*Salcycl</f>
        <v>4.8832269254671837E-2</v>
      </c>
      <c r="P22" s="169">
        <f>(INDEX(Models!$BJ22:$BT22,,T22)*(1-R22)+INDEX(Models!$BJ22:$BT22,,T22+1)*R22-ERP_i)*Q22*Ramure*Pc/MaxiM</f>
        <v>1.7729502892125529E-3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23.454682616628279</v>
      </c>
      <c r="W22" s="400">
        <f t="shared" si="10"/>
        <v>7.1117014625036958</v>
      </c>
      <c r="X22" s="157">
        <f t="shared" si="11"/>
        <v>46760</v>
      </c>
      <c r="Y22" s="383">
        <f t="shared" si="12"/>
        <v>6.9249999591048841</v>
      </c>
      <c r="Z22" s="383">
        <f t="shared" si="22"/>
        <v>7.3741447933998883</v>
      </c>
      <c r="AA22" s="384">
        <f t="shared" si="13"/>
        <v>7.9612536809969683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7.3745783154539321E-2</v>
      </c>
      <c r="AD22" s="230">
        <f>(INDEX(Models!$BJ22:$BT22,,AH22)*(1-AF22)+INDEX(Models!$BJ22:$BT22,,AH22+1)*AF22-ERP_i)*AE22*Ramure*Pc/MaxiM</f>
        <v>1.524423928053828E-2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'2027'!Wh/'2027'!Env_an*'2028'!Env_an</f>
        <v>2.1230823361046012</v>
      </c>
      <c r="C23" s="829"/>
      <c r="D23" s="391">
        <f t="shared" si="0"/>
        <v>2.2608255155265224</v>
      </c>
      <c r="E23" s="383">
        <f t="shared" si="1"/>
        <v>2.3770080384112373</v>
      </c>
      <c r="F23" s="383">
        <f t="shared" si="2"/>
        <v>2.3770080384112373</v>
      </c>
      <c r="G23" s="110">
        <f t="shared" si="21"/>
        <v>8.9617396763616408E-2</v>
      </c>
      <c r="H23" s="412" t="b">
        <f>Wh_hp&gt;='2027'!Maxi_hp</f>
        <v>0</v>
      </c>
      <c r="I23" s="388">
        <f>IF(H23,Wh_hp,'2027'!Maxi_hp)</f>
        <v>25.649292652260151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6.0926054875067304E-2</v>
      </c>
      <c r="M23" s="832"/>
      <c r="N23" s="832"/>
      <c r="O23" s="48">
        <f>IF(t&lt;Tnet,'2027'!Resal+('2027'!Salim-'2027'!Resal)*(1-EXP(('2027'!Tnet-t)/('2027'!Tau_j))),Resal+(Salim-Resal)*(1-EXP((Tnet-t)/(Tau_j))))*Salcycl</f>
        <v>4.8877631462437045E-2</v>
      </c>
      <c r="P23" s="169">
        <f>(INDEX(Models!$BJ23:$BT23,,T23)*(1-R23)+INDEX(Models!$BJ23:$BT23,,T23+1)*R23-ERP_i)*Q23*Ramure*Pc/MaxiM</f>
        <v>1.7304370689113736E-3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23.649520654122696</v>
      </c>
      <c r="W23" s="400">
        <f t="shared" si="10"/>
        <v>2.1230823361046012</v>
      </c>
      <c r="X23" s="157">
        <f t="shared" si="11"/>
        <v>46761</v>
      </c>
      <c r="Y23" s="383">
        <f t="shared" si="12"/>
        <v>2.0675230582885682</v>
      </c>
      <c r="Z23" s="383">
        <f t="shared" si="22"/>
        <v>2.2016616146383536</v>
      </c>
      <c r="AA23" s="384">
        <f t="shared" si="13"/>
        <v>2.3770080384112373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7.3767703322569794E-2</v>
      </c>
      <c r="AD23" s="230">
        <f>(INDEX(Models!$BJ23:$BT23,,AH23)*(1-AF23)+INDEX(Models!$BJ23:$BT23,,AH23+1)*AF23-ERP_i)*AE23*Ramure*Pc/MaxiM</f>
        <v>1.5182725406261382E-2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'2027'!Wh/'2027'!Env_an*'2028'!Env_an</f>
        <v>1.7410003113092969</v>
      </c>
      <c r="C24" s="829"/>
      <c r="D24" s="391">
        <f t="shared" si="0"/>
        <v>1.8539899726330016</v>
      </c>
      <c r="E24" s="383">
        <f t="shared" si="1"/>
        <v>1.9493584503470074</v>
      </c>
      <c r="F24" s="383">
        <f t="shared" si="2"/>
        <v>1.9493584503470074</v>
      </c>
      <c r="G24" s="110">
        <f t="shared" si="21"/>
        <v>7.2857356630853534E-2</v>
      </c>
      <c r="H24" s="412" t="b">
        <f>Wh_hp&gt;='2027'!Maxi_hp</f>
        <v>0</v>
      </c>
      <c r="I24" s="388">
        <f>IF(H24,Wh_hp,'2027'!Maxi_hp)</f>
        <v>9.0351524420219071</v>
      </c>
      <c r="J24" s="85">
        <f>IF(H24,An,'2027'!An_max)</f>
        <v>2020</v>
      </c>
      <c r="K24" s="197">
        <f t="shared" si="3"/>
        <v>46762</v>
      </c>
      <c r="L24" s="147">
        <f>IF(t&lt;Tvie,1-EXP((T0-t)*PertePVj)+'2027'!Pspv,1-EXP((T0-t)*PertePVj)+Pspv)</f>
        <v>6.094405201298847E-2</v>
      </c>
      <c r="M24" s="832"/>
      <c r="N24" s="832"/>
      <c r="O24" s="48">
        <f>IF(t&lt;Tnet,'2027'!Resal+('2027'!Salim-'2027'!Resal)*(1-EXP(('2027'!Tnet-t)/('2027'!Tau_j))),Resal+(Salim-Resal)*(1-EXP((Tnet-t)/(Tau_j))))*Salcycl</f>
        <v>4.8923007308906731E-2</v>
      </c>
      <c r="P24" s="169">
        <f>(INDEX(Models!$BJ24:$BT24,,T24)*(1-R24)+INDEX(Models!$BJ24:$BT24,,T24+1)*R24-ERP_i)*Q24*Ramure*Pc/MaxiM</f>
        <v>1.6906517595672863E-3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23.855612754052963</v>
      </c>
      <c r="W24" s="400">
        <f t="shared" si="10"/>
        <v>1.7410003113092969</v>
      </c>
      <c r="X24" s="157">
        <f t="shared" si="11"/>
        <v>46762</v>
      </c>
      <c r="Y24" s="383">
        <f t="shared" si="12"/>
        <v>1.6954804416173894</v>
      </c>
      <c r="Z24" s="383">
        <f t="shared" si="22"/>
        <v>1.8055158963125382</v>
      </c>
      <c r="AA24" s="384">
        <f t="shared" si="13"/>
        <v>1.9493584503470074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7.3789689119958188E-2</v>
      </c>
      <c r="AD24" s="230">
        <f>(INDEX(Models!$BJ24:$BT24,,AH24)*(1-AF24)+INDEX(Models!$BJ24:$BT24,,AH24+1)*AF24-ERP_i)*AE24*Ramure*Pc/MaxiM</f>
        <v>1.5108796194948489E-2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'2027'!Wh/'2027'!Env_an*'2028'!Env_an</f>
        <v>24.404406255450255</v>
      </c>
      <c r="C25" s="829"/>
      <c r="D25" s="391">
        <f t="shared" si="0"/>
        <v>25.988732643254377</v>
      </c>
      <c r="E25" s="383">
        <f t="shared" si="1"/>
        <v>27.326886398047023</v>
      </c>
      <c r="F25" s="383">
        <f t="shared" si="2"/>
        <v>27.372177107233078</v>
      </c>
      <c r="G25" s="110">
        <f t="shared" si="21"/>
        <v>1.0138014686256271</v>
      </c>
      <c r="H25" s="412" t="b">
        <f>Wh_hp&gt;='2027'!Maxi_hp</f>
        <v>1</v>
      </c>
      <c r="I25" s="388">
        <f>IF(H25,Wh_hp,'2027'!Maxi_hp)</f>
        <v>27.372177107233078</v>
      </c>
      <c r="J25" s="85">
        <f>IF(H25,An,'2027'!An_max)</f>
        <v>2028</v>
      </c>
      <c r="K25" s="197">
        <f t="shared" si="3"/>
        <v>46763</v>
      </c>
      <c r="L25" s="147">
        <f>IF(t&lt;Tvie,1-EXP((T0-t)*PertePVj)+'2027'!Pspv,1-EXP((T0-t)*PertePVj)+Pspv)</f>
        <v>6.0962048805998537E-2</v>
      </c>
      <c r="M25" s="832"/>
      <c r="N25" s="832"/>
      <c r="O25" s="48">
        <f>IF(t&lt;Tnet,'2027'!Resal+('2027'!Salim-'2027'!Resal)*(1-EXP(('2027'!Tnet-t)/('2027'!Tau_j))),Resal+(Salim-Resal)*(1-EXP((Tnet-t)/(Tau_j))))*Salcycl</f>
        <v>4.8968394543780845E-2</v>
      </c>
      <c r="P25" s="169">
        <f>(INDEX(Models!$BJ25:$BT25,,T25)*(1-R25)+INDEX(Models!$BJ25:$BT25,,T25+1)*R25-ERP_i)*Q25*Ramure*Pc/MaxiM</f>
        <v>1.6546257540502648E-3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24.072174888969531</v>
      </c>
      <c r="W25" s="400">
        <f t="shared" si="10"/>
        <v>24.404406255450255</v>
      </c>
      <c r="X25" s="157">
        <f t="shared" si="11"/>
        <v>46763</v>
      </c>
      <c r="Y25" s="383">
        <f t="shared" si="12"/>
        <v>23.448651098468527</v>
      </c>
      <c r="Z25" s="383">
        <f t="shared" si="22"/>
        <v>24.970930161718385</v>
      </c>
      <c r="AA25" s="384">
        <f t="shared" si="13"/>
        <v>26.960965883275652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7.3811736944918521E-2</v>
      </c>
      <c r="AD25" s="230">
        <f>(INDEX(Models!$BJ25:$BT25,,AH25)*(1-AF25)+INDEX(Models!$BJ25:$BT25,,AH25+1)*AF25-ERP_i)*AE25*Ramure*Pc/MaxiM</f>
        <v>1.5022963732350091E-2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'2027'!Wh/'2027'!Env_an*'2028'!Env_an</f>
        <v>21.213264108616734</v>
      </c>
      <c r="C26" s="829"/>
      <c r="D26" s="391">
        <f t="shared" si="0"/>
        <v>22.59085549929252</v>
      </c>
      <c r="E26" s="383">
        <f t="shared" si="1"/>
        <v>23.755187305472862</v>
      </c>
      <c r="F26" s="383">
        <f t="shared" si="2"/>
        <v>23.786778002351912</v>
      </c>
      <c r="G26" s="110">
        <f t="shared" si="21"/>
        <v>0.87277236529490776</v>
      </c>
      <c r="H26" s="412" t="b">
        <f>Wh_hp&gt;='2027'!Maxi_hp</f>
        <v>0</v>
      </c>
      <c r="I26" s="388">
        <f>IF(H26,Wh_hp,'2027'!Maxi_hp)</f>
        <v>27.37093962937724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6.0980045254104165E-2</v>
      </c>
      <c r="M26" s="832"/>
      <c r="N26" s="832"/>
      <c r="O26" s="48">
        <f>IF(t&lt;Tnet,'2027'!Resal+('2027'!Salim-'2027'!Resal)*(1-EXP(('2027'!Tnet-t)/('2027'!Tau_j))),Resal+(Salim-Resal)*(1-EXP((Tnet-t)/(Tau_j))))*Salcycl</f>
        <v>4.9013791859771859E-2</v>
      </c>
      <c r="P26" s="169">
        <f>(INDEX(Models!$BJ26:$BT26,,T26)*(1-R26)+INDEX(Models!$BJ26:$BT26,,T26+1)*R26-ERP_i)*Q26*Ramure*Pc/MaxiM</f>
        <v>1.6223500234174278E-3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24.298447316299526</v>
      </c>
      <c r="W26" s="400">
        <f t="shared" si="10"/>
        <v>21.213264108616734</v>
      </c>
      <c r="X26" s="157">
        <f t="shared" si="11"/>
        <v>46764</v>
      </c>
      <c r="Y26" s="383">
        <f t="shared" si="12"/>
        <v>20.434318107202632</v>
      </c>
      <c r="Z26" s="383">
        <f t="shared" si="22"/>
        <v>21.761324670392415</v>
      </c>
      <c r="AA26" s="384">
        <f t="shared" si="13"/>
        <v>23.496134623491546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7.3833844625858638E-2</v>
      </c>
      <c r="AD26" s="230">
        <f>(INDEX(Models!$BJ26:$BT26,,AH26)*(1-AF26)+INDEX(Models!$BJ26:$BT26,,AH26+1)*AF26-ERP_i)*AE26*Ramure*Pc/MaxiM</f>
        <v>1.4926080747934689E-2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'2027'!Wh/'2027'!Env_an*'2028'!Env_an</f>
        <v>5.4376496547852433</v>
      </c>
      <c r="C27" s="829"/>
      <c r="D27" s="391">
        <f t="shared" si="0"/>
        <v>5.7908821219556108</v>
      </c>
      <c r="E27" s="383">
        <f t="shared" si="1"/>
        <v>6.0896347223923577</v>
      </c>
      <c r="F27" s="383">
        <f t="shared" si="2"/>
        <v>6.0896347223923577</v>
      </c>
      <c r="G27" s="110">
        <f t="shared" si="21"/>
        <v>0.22128703167642025</v>
      </c>
      <c r="H27" s="412" t="b">
        <f>Wh_hp&gt;='2027'!Maxi_hp</f>
        <v>0</v>
      </c>
      <c r="I27" s="388">
        <f>IF(H27,Wh_hp,'2027'!Maxi_hp)</f>
        <v>16.17097757884445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6.0998041357312016E-2</v>
      </c>
      <c r="M27" s="832"/>
      <c r="N27" s="832"/>
      <c r="O27" s="48">
        <f>IF(t&lt;Tnet,'2027'!Resal+('2027'!Salim-'2027'!Resal)*(1-EXP(('2027'!Tnet-t)/('2027'!Tau_j))),Resal+(Salim-Resal)*(1-EXP((Tnet-t)/(Tau_j))))*Salcycl</f>
        <v>4.9059198795322757E-2</v>
      </c>
      <c r="P27" s="169">
        <f>(INDEX(Models!$BJ27:$BT27,,T27)*(1-R27)+INDEX(Models!$BJ27:$BT27,,T27+1)*R27-ERP_i)*Q27*Ramure*Pc/MaxiM</f>
        <v>1.5938036066477966E-3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24.533670446139649</v>
      </c>
      <c r="W27" s="400">
        <f t="shared" si="10"/>
        <v>5.4376496547852433</v>
      </c>
      <c r="X27" s="157">
        <f t="shared" si="11"/>
        <v>46765</v>
      </c>
      <c r="Y27" s="383">
        <f t="shared" si="12"/>
        <v>5.295857044115734</v>
      </c>
      <c r="Z27" s="383">
        <f t="shared" si="22"/>
        <v>5.6398785917026295</v>
      </c>
      <c r="AA27" s="384">
        <f t="shared" si="13"/>
        <v>6.0896347223923577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7.3856011270416355E-2</v>
      </c>
      <c r="AD27" s="230">
        <f>(INDEX(Models!$BJ27:$BT27,,AH27)*(1-AF27)+INDEX(Models!$BJ27:$BT27,,AH27+1)*AF27-ERP_i)*AE27*Ramure*Pc/MaxiM</f>
        <v>1.481898873759495E-2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'2027'!Wh/'2027'!Env_an*'2028'!Env_an</f>
        <v>25.8035690557879</v>
      </c>
      <c r="C28" s="829"/>
      <c r="D28" s="391">
        <f t="shared" si="0"/>
        <v>27.480308584317548</v>
      </c>
      <c r="E28" s="383">
        <f t="shared" si="1"/>
        <v>28.899402643149177</v>
      </c>
      <c r="F28" s="383">
        <f t="shared" si="2"/>
        <v>28.9448157619047</v>
      </c>
      <c r="G28" s="110">
        <f t="shared" si="21"/>
        <v>1.0414287719294832</v>
      </c>
      <c r="H28" s="412" t="b">
        <f>Wh_hp&gt;='2027'!Maxi_hp</f>
        <v>1</v>
      </c>
      <c r="I28" s="388">
        <f>IF(H28,Wh_hp,'2027'!Maxi_hp)</f>
        <v>28.9448157619047</v>
      </c>
      <c r="J28" s="85">
        <f>IF(H28,An,'2027'!An_max)</f>
        <v>2028</v>
      </c>
      <c r="K28" s="197">
        <f t="shared" si="3"/>
        <v>46766</v>
      </c>
      <c r="L28" s="147">
        <f>IF(t&lt;Tvie,1-EXP((T0-t)*PertePVj)+'2027'!Pspv,1-EXP((T0-t)*PertePVj)+Pspv)</f>
        <v>6.1016037115628641E-2</v>
      </c>
      <c r="M28" s="832"/>
      <c r="N28" s="832"/>
      <c r="O28" s="48">
        <f>IF(t&lt;Tnet,'2027'!Resal+('2027'!Salim-'2027'!Resal)*(1-EXP(('2027'!Tnet-t)/('2027'!Tau_j))),Resal+(Salim-Resal)*(1-EXP((Tnet-t)/(Tau_j))))*Salcycl</f>
        <v>4.9104615633570325E-2</v>
      </c>
      <c r="P28" s="169">
        <f>(INDEX(Models!$BJ28:$BT28,,T28)*(1-R28)+INDEX(Models!$BJ28:$BT28,,T28+1)*R28-ERP_i)*Q28*Ramure*Pc/MaxiM</f>
        <v>1.5689551845513349E-3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24.77708485812326</v>
      </c>
      <c r="W28" s="400">
        <f t="shared" si="10"/>
        <v>25.8035690557879</v>
      </c>
      <c r="X28" s="157">
        <f t="shared" si="11"/>
        <v>46766</v>
      </c>
      <c r="Y28" s="383">
        <f t="shared" si="12"/>
        <v>24.800728040090632</v>
      </c>
      <c r="Z28" s="383">
        <f t="shared" si="22"/>
        <v>26.412302041781146</v>
      </c>
      <c r="AA28" s="384">
        <f t="shared" si="13"/>
        <v>28.519254270998161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7.3878237109433045E-2</v>
      </c>
      <c r="AD28" s="230">
        <f>(INDEX(Models!$BJ28:$BT28,,AH28)*(1-AF28)+INDEX(Models!$BJ28:$BT28,,AH28+1)*AF28-ERP_i)*AE28*Ramure*Pc/MaxiM</f>
        <v>1.470251164861909E-2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'2027'!Wh/'2027'!Env_an*'2028'!Env_an</f>
        <v>26.105500045719531</v>
      </c>
      <c r="C29" s="829"/>
      <c r="D29" s="391">
        <f t="shared" si="0"/>
        <v>27.802392152756578</v>
      </c>
      <c r="E29" s="383">
        <f t="shared" si="1"/>
        <v>29.239515611074623</v>
      </c>
      <c r="F29" s="383">
        <f t="shared" si="2"/>
        <v>29.2848416531018</v>
      </c>
      <c r="G29" s="110">
        <f t="shared" si="21"/>
        <v>1.0430546469739896</v>
      </c>
      <c r="H29" s="412" t="b">
        <f>Wh_hp&gt;='2027'!Maxi_hp</f>
        <v>1</v>
      </c>
      <c r="I29" s="388">
        <f>IF(H29,Wh_hp,'2027'!Maxi_hp)</f>
        <v>29.2848416531018</v>
      </c>
      <c r="J29" s="85">
        <f>IF(H29,An,'2027'!An_max)</f>
        <v>2028</v>
      </c>
      <c r="K29" s="197">
        <f t="shared" si="3"/>
        <v>46767</v>
      </c>
      <c r="L29" s="147">
        <f>IF(t&lt;Tvie,1-EXP((T0-t)*PertePVj)+'2027'!Pspv,1-EXP((T0-t)*PertePVj)+Pspv)</f>
        <v>6.10340325290607E-2</v>
      </c>
      <c r="M29" s="832"/>
      <c r="N29" s="832"/>
      <c r="O29" s="48">
        <f>IF(t&lt;Tnet,'2027'!Resal+('2027'!Salim-'2027'!Resal)*(1-EXP(('2027'!Tnet-t)/('2027'!Tau_j))),Resal+(Salim-Resal)*(1-EXP((Tnet-t)/(Tau_j))))*Salcycl</f>
        <v>4.9150043298724376E-2</v>
      </c>
      <c r="P29" s="169">
        <f>(INDEX(Models!$BJ29:$BT29,,T29)*(1-R29)+INDEX(Models!$BJ29:$BT29,,T29+1)*R29-ERP_i)*Q29*Ramure*Pc/MaxiM</f>
        <v>1.5477646273145476E-3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25.027931299145553</v>
      </c>
      <c r="W29" s="400">
        <f t="shared" si="10"/>
        <v>26.105500045719531</v>
      </c>
      <c r="X29" s="157">
        <f t="shared" si="11"/>
        <v>46767</v>
      </c>
      <c r="Y29" s="383">
        <f t="shared" si="12"/>
        <v>25.094171781016492</v>
      </c>
      <c r="Z29" s="383">
        <f t="shared" si="22"/>
        <v>26.72532621028477</v>
      </c>
      <c r="AA29" s="384">
        <f t="shared" si="13"/>
        <v>28.857943324406474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7.3900523337643811E-2</v>
      </c>
      <c r="AD29" s="230">
        <f>(INDEX(Models!$BJ29:$BT29,,AH29)*(1-AF29)+INDEX(Models!$BJ29:$BT29,,AH29+1)*AF29-ERP_i)*AE29*Ramure*Pc/MaxiM</f>
        <v>1.4577450469161358E-2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'2027'!Wh/'2027'!Env_an*'2028'!Env_an</f>
        <v>25.539475113671635</v>
      </c>
      <c r="C30" s="829"/>
      <c r="D30" s="391">
        <f t="shared" si="0"/>
        <v>27.200096133470019</v>
      </c>
      <c r="E30" s="383">
        <f t="shared" si="1"/>
        <v>28.607453639864655</v>
      </c>
      <c r="F30" s="383">
        <f t="shared" si="2"/>
        <v>28.65123538605047</v>
      </c>
      <c r="G30" s="110">
        <f t="shared" si="21"/>
        <v>1.010044152286218</v>
      </c>
      <c r="H30" s="412" t="b">
        <f>Wh_hp&gt;='2027'!Maxi_hp</f>
        <v>1</v>
      </c>
      <c r="I30" s="388">
        <f>IF(H30,Wh_hp,'2027'!Maxi_hp)</f>
        <v>28.65123538605047</v>
      </c>
      <c r="J30" s="85">
        <f>IF(H30,An,'2027'!An_max)</f>
        <v>2028</v>
      </c>
      <c r="K30" s="197">
        <f t="shared" si="3"/>
        <v>46768</v>
      </c>
      <c r="L30" s="147">
        <f>IF(t&lt;Tvie,1-EXP((T0-t)*PertePVj)+'2027'!Pspv,1-EXP((T0-t)*PertePVj)+Pspv)</f>
        <v>6.1052027597614633E-2</v>
      </c>
      <c r="M30" s="832"/>
      <c r="N30" s="832"/>
      <c r="O30" s="48">
        <f>IF(t&lt;Tnet,'2027'!Resal+('2027'!Salim-'2027'!Resal)*(1-EXP(('2027'!Tnet-t)/('2027'!Tau_j))),Resal+(Salim-Resal)*(1-EXP((Tnet-t)/(Tau_j))))*Salcycl</f>
        <v>4.9195483251031985E-2</v>
      </c>
      <c r="P30" s="169">
        <f>(INDEX(Models!$BJ30:$BT30,,T30)*(1-R30)+INDEX(Models!$BJ30:$BT30,,T30+1)*R30-ERP_i)*Q30*Ramure*Pc/MaxiM</f>
        <v>1.5280927888760868E-3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25.285503664234341</v>
      </c>
      <c r="W30" s="400">
        <f t="shared" si="10"/>
        <v>25.539475113671635</v>
      </c>
      <c r="X30" s="157">
        <f t="shared" si="11"/>
        <v>46768</v>
      </c>
      <c r="Y30" s="383">
        <f t="shared" si="12"/>
        <v>24.55367086881148</v>
      </c>
      <c r="Z30" s="383">
        <f t="shared" si="22"/>
        <v>26.150193184813677</v>
      </c>
      <c r="AA30" s="384">
        <f t="shared" si="13"/>
        <v>28.237597488189262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7.3922871952851882E-2</v>
      </c>
      <c r="AD30" s="230">
        <f>(INDEX(Models!$BJ30:$BT30,,AH30)*(1-AF30)+INDEX(Models!$BJ30:$BT30,,AH30+1)*AF30-ERP_i)*AE30*Ramure*Pc/MaxiM</f>
        <v>1.4437000439520222E-2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'2027'!Wh/'2027'!Env_an*'2028'!Env_an</f>
        <v>11.792910813922726</v>
      </c>
      <c r="C31" s="829"/>
      <c r="D31" s="391">
        <f t="shared" si="0"/>
        <v>12.559947061311322</v>
      </c>
      <c r="E31" s="383">
        <f t="shared" si="1"/>
        <v>13.210441588344745</v>
      </c>
      <c r="F31" s="383">
        <f t="shared" si="2"/>
        <v>13.215039231937052</v>
      </c>
      <c r="G31" s="110">
        <f t="shared" si="21"/>
        <v>0.46104279405270526</v>
      </c>
      <c r="H31" s="412" t="b">
        <f>Wh_hp&gt;='2027'!Maxi_hp</f>
        <v>0</v>
      </c>
      <c r="I31" s="388">
        <f>IF(H31,Wh_hp,'2027'!Maxi_hp)</f>
        <v>13.224497170305186</v>
      </c>
      <c r="J31" s="85">
        <f>IF(H31,An,'2027'!An_max)</f>
        <v>2027</v>
      </c>
      <c r="K31" s="197">
        <f t="shared" si="3"/>
        <v>46769</v>
      </c>
      <c r="L31" s="147">
        <f>IF(t&lt;Tvie,1-EXP((T0-t)*PertePVj)+'2027'!Pspv,1-EXP((T0-t)*PertePVj)+Pspv)</f>
        <v>6.1070022321297324E-2</v>
      </c>
      <c r="M31" s="832"/>
      <c r="N31" s="832"/>
      <c r="O31" s="48">
        <f>IF(t&lt;Tnet,'2027'!Resal+('2027'!Salim-'2027'!Resal)*(1-EXP(('2027'!Tnet-t)/('2027'!Tau_j))),Resal+(Salim-Resal)*(1-EXP((Tnet-t)/(Tau_j))))*Salcycl</f>
        <v>4.9240937381483024E-2</v>
      </c>
      <c r="P31" s="169">
        <f>(INDEX(Models!$BJ31:$BT31,,T31)*(1-R31)+INDEX(Models!$BJ31:$BT31,,T31+1)*R31-ERP_i)*Q31*Ramure*Pc/MaxiM</f>
        <v>1.5072399051951164E-3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25.549112431269879</v>
      </c>
      <c r="W31" s="400">
        <f t="shared" si="10"/>
        <v>11.792910813922726</v>
      </c>
      <c r="X31" s="157">
        <f t="shared" si="11"/>
        <v>46769</v>
      </c>
      <c r="Y31" s="383">
        <f t="shared" si="12"/>
        <v>11.452595148956027</v>
      </c>
      <c r="Z31" s="383">
        <f t="shared" si="22"/>
        <v>12.197496534587215</v>
      </c>
      <c r="AA31" s="384">
        <f t="shared" si="13"/>
        <v>13.171464217887539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7.394528559532694E-2</v>
      </c>
      <c r="AD31" s="230">
        <f>(INDEX(Models!$BJ31:$BT31,,AH31)*(1-AF31)+INDEX(Models!$BJ31:$BT31,,AH31+1)*AF31-ERP_i)*AE31*Ramure*Pc/MaxiM</f>
        <v>1.4285143840805953E-2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'2027'!Wh/'2027'!Env_an*'2028'!Env_an</f>
        <v>3.7462355281801445</v>
      </c>
      <c r="C32" s="829"/>
      <c r="D32" s="391">
        <f t="shared" si="0"/>
        <v>3.989975199819781</v>
      </c>
      <c r="E32" s="383">
        <f t="shared" si="1"/>
        <v>4.1968214539117579</v>
      </c>
      <c r="F32" s="383">
        <f t="shared" si="2"/>
        <v>4.1968214539117579</v>
      </c>
      <c r="G32" s="110">
        <f t="shared" si="21"/>
        <v>0.14488618079658108</v>
      </c>
      <c r="H32" s="412" t="b">
        <f>Wh_hp&gt;='2027'!Maxi_hp</f>
        <v>0</v>
      </c>
      <c r="I32" s="388">
        <f>IF(H32,Wh_hp,'2027'!Maxi_hp)</f>
        <v>29.066008249734857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6.1088016700115211E-2</v>
      </c>
      <c r="M32" s="832"/>
      <c r="N32" s="832"/>
      <c r="O32" s="48">
        <f>IF(t&lt;Tnet,'2027'!Resal+('2027'!Salim-'2027'!Resal)*(1-EXP(('2027'!Tnet-t)/('2027'!Tau_j))),Resal+(Salim-Resal)*(1-EXP((Tnet-t)/(Tau_j))))*Salcycl</f>
        <v>4.928640790738914E-2</v>
      </c>
      <c r="P32" s="169">
        <f>(INDEX(Models!$BJ32:$BT32,,T32)*(1-R32)+INDEX(Models!$BJ32:$BT32,,T32+1)*R32-ERP_i)*Q32*Ramure*Pc/MaxiM</f>
        <v>1.4852985310491648E-3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25.817998855978153</v>
      </c>
      <c r="W32" s="400">
        <f t="shared" si="10"/>
        <v>3.7462355281801445</v>
      </c>
      <c r="X32" s="157">
        <f t="shared" si="11"/>
        <v>46770</v>
      </c>
      <c r="Y32" s="383">
        <f t="shared" si="12"/>
        <v>3.6489799650502053</v>
      </c>
      <c r="Z32" s="383">
        <f t="shared" si="22"/>
        <v>3.8863919408351353</v>
      </c>
      <c r="AA32" s="384">
        <f t="shared" si="13"/>
        <v>4.1968214539117579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7.396776738912221E-2</v>
      </c>
      <c r="AD32" s="230">
        <f>(INDEX(Models!$BJ32:$BT32,,AH32)*(1-AF32)+INDEX(Models!$BJ32:$BT32,,AH32+1)*AF32-ERP_i)*AE32*Ramure*Pc/MaxiM</f>
        <v>1.4122730695597227E-2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'2027'!Wh/'2027'!Env_an*'2028'!Env_an</f>
        <v>10.221292183643722</v>
      </c>
      <c r="C33" s="829"/>
      <c r="D33" s="391">
        <f t="shared" si="0"/>
        <v>10.886524251406962</v>
      </c>
      <c r="E33" s="383">
        <f t="shared" si="1"/>
        <v>11.451445799163515</v>
      </c>
      <c r="F33" s="383">
        <f t="shared" si="2"/>
        <v>11.453641140502848</v>
      </c>
      <c r="G33" s="110">
        <f t="shared" si="21"/>
        <v>0.39125152115084078</v>
      </c>
      <c r="H33" s="412" t="b">
        <f>Wh_hp&gt;='2027'!Maxi_hp</f>
        <v>0</v>
      </c>
      <c r="I33" s="388">
        <f>IF(H33,Wh_hp,'2027'!Maxi_hp)</f>
        <v>30.468754573897851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6.1106010734074845E-2</v>
      </c>
      <c r="M33" s="832"/>
      <c r="N33" s="832"/>
      <c r="O33" s="48">
        <f>IF(t&lt;Tnet,'2027'!Resal+('2027'!Salim-'2027'!Resal)*(1-EXP(('2027'!Tnet-t)/('2027'!Tau_j))),Resal+(Salim-Resal)*(1-EXP((Tnet-t)/(Tau_j))))*Salcycl</f>
        <v>4.9331897269934116E-2</v>
      </c>
      <c r="P33" s="169">
        <f>(INDEX(Models!$BJ33:$BT33,,T33)*(1-R33)+INDEX(Models!$BJ33:$BT33,,T33+1)*R33-ERP_i)*Q33*Ramure*Pc/MaxiM</f>
        <v>1.4623565001718071E-3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26.091404386841113</v>
      </c>
      <c r="W33" s="400">
        <f t="shared" si="10"/>
        <v>10.221292183643722</v>
      </c>
      <c r="X33" s="157">
        <f t="shared" si="11"/>
        <v>46771</v>
      </c>
      <c r="Y33" s="383">
        <f t="shared" si="12"/>
        <v>9.9398726058662312</v>
      </c>
      <c r="Z33" s="383">
        <f t="shared" si="22"/>
        <v>10.586789051272685</v>
      </c>
      <c r="AA33" s="384">
        <f t="shared" si="13"/>
        <v>11.432698047248916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7.3990320786945313E-2</v>
      </c>
      <c r="AD33" s="230">
        <f>(INDEX(Models!$BJ33:$BT33,,AH33)*(1-AF33)+INDEX(Models!$BJ33:$BT33,,AH33+1)*AF33-ERP_i)*AE33*Ramure*Pc/MaxiM</f>
        <v>1.3950572516856512E-2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'2027'!Wh/'2027'!Env_an*'2028'!Env_an</f>
        <v>6.4008424143315956</v>
      </c>
      <c r="C34" s="829"/>
      <c r="D34" s="391">
        <f t="shared" si="0"/>
        <v>6.8175589156469076</v>
      </c>
      <c r="E34" s="383">
        <f t="shared" si="1"/>
        <v>7.1716777754595071</v>
      </c>
      <c r="F34" s="383">
        <f t="shared" si="2"/>
        <v>7.1716777754595071</v>
      </c>
      <c r="G34" s="110">
        <f t="shared" si="21"/>
        <v>0.24239595333825212</v>
      </c>
      <c r="H34" s="412" t="b">
        <f>Wh_hp&gt;='2027'!Maxi_hp</f>
        <v>0</v>
      </c>
      <c r="I34" s="388">
        <f>IF(H34,Wh_hp,'2027'!Maxi_hp)</f>
        <v>12.26188245483894</v>
      </c>
      <c r="J34" s="85">
        <f>IF(H34,An,'2027'!An_max)</f>
        <v>2020</v>
      </c>
      <c r="K34" s="197">
        <f t="shared" si="3"/>
        <v>46772</v>
      </c>
      <c r="L34" s="147">
        <f>IF(t&lt;Tvie,1-EXP((T0-t)*PertePVj)+'2027'!Pspv,1-EXP((T0-t)*PertePVj)+Pspv)</f>
        <v>6.1124004423182998E-2</v>
      </c>
      <c r="M34" s="832"/>
      <c r="N34" s="832"/>
      <c r="O34" s="48">
        <f>IF(t&lt;Tnet,'2027'!Resal+('2027'!Salim-'2027'!Resal)*(1-EXP(('2027'!Tnet-t)/('2027'!Tau_j))),Resal+(Salim-Resal)*(1-EXP((Tnet-t)/(Tau_j))))*Salcycl</f>
        <v>4.9377408034748181E-2</v>
      </c>
      <c r="P34" s="169">
        <f>(INDEX(Models!$BJ34:$BT34,,T34)*(1-R34)+INDEX(Models!$BJ34:$BT34,,T34+1)*R34-ERP_i)*Q34*Ramure*Pc/MaxiM</f>
        <v>1.4385046846605819E-3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26.368570450570104</v>
      </c>
      <c r="W34" s="400">
        <f t="shared" si="10"/>
        <v>6.4008424143315956</v>
      </c>
      <c r="X34" s="157">
        <f t="shared" si="11"/>
        <v>46772</v>
      </c>
      <c r="Y34" s="383">
        <f t="shared" si="12"/>
        <v>6.2349635266084897</v>
      </c>
      <c r="Z34" s="383">
        <f t="shared" si="22"/>
        <v>6.6408807510068639</v>
      </c>
      <c r="AA34" s="384">
        <f t="shared" si="13"/>
        <v>7.1716777754595071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7.4012949420142304E-2</v>
      </c>
      <c r="AD34" s="230">
        <f>(INDEX(Models!$BJ34:$BT34,,AH34)*(1-AF34)+INDEX(Models!$BJ34:$BT34,,AH34+1)*AF34-ERP_i)*AE34*Ramure*Pc/MaxiM</f>
        <v>1.3769516249049591E-2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'2027'!Wh/'2027'!Env_an*'2028'!Env_an</f>
        <v>20.407212443139912</v>
      </c>
      <c r="C35" s="829"/>
      <c r="D35" s="391">
        <f t="shared" si="0"/>
        <v>21.736207599671793</v>
      </c>
      <c r="E35" s="383">
        <f t="shared" si="1"/>
        <v>22.86632886303568</v>
      </c>
      <c r="F35" s="383">
        <f t="shared" si="2"/>
        <v>22.887861176838623</v>
      </c>
      <c r="G35" s="110">
        <f t="shared" si="21"/>
        <v>0.76542270519512257</v>
      </c>
      <c r="H35" s="412" t="b">
        <f>Wh_hp&gt;='2027'!Maxi_hp</f>
        <v>0</v>
      </c>
      <c r="I35" s="388">
        <f>IF(H35,Wh_hp,'2027'!Maxi_hp)</f>
        <v>22.894528267515891</v>
      </c>
      <c r="J35" s="85">
        <f>IF(H35,An,'2027'!An_max)</f>
        <v>2027</v>
      </c>
      <c r="K35" s="197">
        <f t="shared" si="3"/>
        <v>46773</v>
      </c>
      <c r="L35" s="147">
        <f>IF(t&lt;Tvie,1-EXP((T0-t)*PertePVj)+'2027'!Pspv,1-EXP((T0-t)*PertePVj)+Pspv)</f>
        <v>6.1141997767446221E-2</v>
      </c>
      <c r="M35" s="832"/>
      <c r="N35" s="832"/>
      <c r="O35" s="48">
        <f>IF(t&lt;Tnet,'2027'!Resal+('2027'!Salim-'2027'!Resal)*(1-EXP(('2027'!Tnet-t)/('2027'!Tau_j))),Resal+(Salim-Resal)*(1-EXP((Tnet-t)/(Tau_j))))*Salcycl</f>
        <v>4.9422942796505193E-2</v>
      </c>
      <c r="P35" s="169">
        <f>(INDEX(Models!$BJ35:$BT35,,T35)*(1-R35)+INDEX(Models!$BJ35:$BT35,,T35+1)*R35-ERP_i)*Q35*Ramure*Pc/MaxiM</f>
        <v>1.4138317988150843E-3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26.648738574412423</v>
      </c>
      <c r="W35" s="400">
        <f t="shared" si="10"/>
        <v>20.407212443139912</v>
      </c>
      <c r="X35" s="157">
        <f t="shared" si="11"/>
        <v>46773</v>
      </c>
      <c r="Y35" s="383">
        <f t="shared" si="12"/>
        <v>19.71773590662929</v>
      </c>
      <c r="Z35" s="383">
        <f t="shared" si="22"/>
        <v>21.001829733294681</v>
      </c>
      <c r="AA35" s="384">
        <f t="shared" si="13"/>
        <v>22.681035064737976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7.4035656955265802E-2</v>
      </c>
      <c r="AD35" s="230">
        <f>(INDEX(Models!$BJ35:$BT35,,AH35)*(1-AF35)+INDEX(Models!$BJ35:$BT35,,AH35+1)*AF35-ERP_i)*AE35*Ramure*Pc/MaxiM</f>
        <v>1.3580395343912305E-2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'2027'!Wh/'2027'!Env_an*'2028'!Env_an</f>
        <v>27.239837108319016</v>
      </c>
      <c r="C36" s="829"/>
      <c r="D36" s="391">
        <f t="shared" si="0"/>
        <v>29.014354778690443</v>
      </c>
      <c r="E36" s="383">
        <f t="shared" si="1"/>
        <v>30.524348644404274</v>
      </c>
      <c r="F36" s="383">
        <f t="shared" si="2"/>
        <v>30.566788013971934</v>
      </c>
      <c r="G36" s="110">
        <f t="shared" si="21"/>
        <v>1.011462059241816</v>
      </c>
      <c r="H36" s="412" t="b">
        <f>Wh_hp&gt;='2027'!Maxi_hp</f>
        <v>1</v>
      </c>
      <c r="I36" s="388">
        <f>IF(H36,Wh_hp,'2027'!Maxi_hp)</f>
        <v>30.566788013971934</v>
      </c>
      <c r="J36" s="85">
        <f>IF(H36,An,'2027'!An_max)</f>
        <v>2028</v>
      </c>
      <c r="K36" s="197">
        <f t="shared" si="3"/>
        <v>46774</v>
      </c>
      <c r="L36" s="147">
        <f>IF(t&lt;Tvie,1-EXP((T0-t)*PertePVj)+'2027'!Pspv,1-EXP((T0-t)*PertePVj)+Pspv)</f>
        <v>6.1159990766871064E-2</v>
      </c>
      <c r="M36" s="832"/>
      <c r="N36" s="832"/>
      <c r="O36" s="48">
        <f>IF(t&lt;Tnet,'2027'!Resal+('2027'!Salim-'2027'!Resal)*(1-EXP(('2027'!Tnet-t)/('2027'!Tau_j))),Resal+(Salim-Resal)*(1-EXP((Tnet-t)/(Tau_j))))*Salcycl</f>
        <v>4.946850408847768E-2</v>
      </c>
      <c r="P36" s="169">
        <f>(INDEX(Models!$BJ36:$BT36,,T36)*(1-R36)+INDEX(Models!$BJ36:$BT36,,T36+1)*R36-ERP_i)*Q36*Ramure*Pc/MaxiM</f>
        <v>1.3884144303373163E-3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26.931150663958451</v>
      </c>
      <c r="W36" s="400">
        <f t="shared" si="10"/>
        <v>27.239837108319016</v>
      </c>
      <c r="X36" s="157">
        <f t="shared" si="11"/>
        <v>46774</v>
      </c>
      <c r="Y36" s="383">
        <f t="shared" si="12"/>
        <v>26.216406113330105</v>
      </c>
      <c r="Z36" s="383">
        <f t="shared" si="22"/>
        <v>27.924253179990068</v>
      </c>
      <c r="AA36" s="384">
        <f t="shared" si="13"/>
        <v>30.157684454562347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7.405844695859598E-2</v>
      </c>
      <c r="AD36" s="230">
        <f>(INDEX(Models!$BJ36:$BT36,,AH36)*(1-AF36)+INDEX(Models!$BJ36:$BT36,,AH36+1)*AF36-ERP_i)*AE36*Ramure*Pc/MaxiM</f>
        <v>1.3383923728675404E-2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'2027'!Wh/'2027'!Env_an*'2028'!Env_an</f>
        <v>27.359810964349506</v>
      </c>
      <c r="C37" s="829"/>
      <c r="D37" s="391">
        <f t="shared" si="0"/>
        <v>29.142702750048642</v>
      </c>
      <c r="E37" s="383">
        <f t="shared" si="1"/>
        <v>30.660846810266044</v>
      </c>
      <c r="F37" s="383">
        <f t="shared" si="2"/>
        <v>30.702667936607373</v>
      </c>
      <c r="G37" s="110">
        <f t="shared" si="21"/>
        <v>1.0051787273423884</v>
      </c>
      <c r="H37" s="412" t="b">
        <f>Wh_hp&gt;='2027'!Maxi_hp</f>
        <v>1</v>
      </c>
      <c r="I37" s="388">
        <f>IF(H37,Wh_hp,'2027'!Maxi_hp)</f>
        <v>30.702667936607373</v>
      </c>
      <c r="J37" s="85">
        <f>IF(H37,An,'2027'!An_max)</f>
        <v>2028</v>
      </c>
      <c r="K37" s="197">
        <f t="shared" si="3"/>
        <v>46775</v>
      </c>
      <c r="L37" s="147">
        <f>IF(t&lt;Tvie,1-EXP((T0-t)*PertePVj)+'2027'!Pspv,1-EXP((T0-t)*PertePVj)+Pspv)</f>
        <v>6.1177983421464188E-2</v>
      </c>
      <c r="M37" s="832"/>
      <c r="N37" s="832"/>
      <c r="O37" s="48">
        <f>IF(t&lt;Tnet,'2027'!Resal+('2027'!Salim-'2027'!Resal)*(1-EXP(('2027'!Tnet-t)/('2027'!Tau_j))),Resal+(Salim-Resal)*(1-EXP((Tnet-t)/(Tau_j))))*Salcycl</f>
        <v>4.9514094297913806E-2</v>
      </c>
      <c r="P37" s="169">
        <f>(INDEX(Models!$BJ37:$BT37,,T37)*(1-R37)+INDEX(Models!$BJ37:$BT37,,T37+1)*R37-ERP_i)*Q37*Ramure*Pc/MaxiM</f>
        <v>1.3621332982423093E-3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27.218851951519749</v>
      </c>
      <c r="W37" s="400">
        <f t="shared" si="10"/>
        <v>27.359810964349506</v>
      </c>
      <c r="X37" s="157">
        <f t="shared" si="11"/>
        <v>46775</v>
      </c>
      <c r="Y37" s="383">
        <f t="shared" si="12"/>
        <v>26.337262351607365</v>
      </c>
      <c r="Z37" s="383">
        <f t="shared" si="22"/>
        <v>28.053520141753257</v>
      </c>
      <c r="AA37" s="384">
        <f t="shared" si="13"/>
        <v>30.298038944062434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7.4081322769869937E-2</v>
      </c>
      <c r="AD37" s="230">
        <f>(INDEX(Models!$BJ37:$BT37,,AH37)*(1-AF37)+INDEX(Models!$BJ37:$BT37,,AH37+1)*AF37-ERP_i)*AE37*Ramure*Pc/MaxiM</f>
        <v>1.3178952180324759E-2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'2027'!Wh/'2027'!Env_an*'2028'!Env_an</f>
        <v>27.88956995610706</v>
      </c>
      <c r="C38" s="829"/>
      <c r="D38" s="391">
        <f t="shared" si="0"/>
        <v>29.707552625618725</v>
      </c>
      <c r="E38" s="383">
        <f t="shared" si="1"/>
        <v>31.256621918123244</v>
      </c>
      <c r="F38" s="383">
        <f t="shared" si="2"/>
        <v>31.298408115461406</v>
      </c>
      <c r="G38" s="110">
        <f t="shared" si="21"/>
        <v>1.013620723408297</v>
      </c>
      <c r="H38" s="412" t="b">
        <f>Wh_hp&gt;='2027'!Maxi_hp</f>
        <v>1</v>
      </c>
      <c r="I38" s="388">
        <f>IF(H38,Wh_hp,'2027'!Maxi_hp)</f>
        <v>31.298408115461406</v>
      </c>
      <c r="J38" s="85">
        <f>IF(H38,An,'2027'!An_max)</f>
        <v>2028</v>
      </c>
      <c r="K38" s="197">
        <f t="shared" si="3"/>
        <v>46776</v>
      </c>
      <c r="L38" s="147">
        <f>IF(t&lt;Tvie,1-EXP((T0-t)*PertePVj)+'2027'!Pspv,1-EXP((T0-t)*PertePVj)+Pspv)</f>
        <v>6.1195975731232144E-2</v>
      </c>
      <c r="M38" s="832"/>
      <c r="N38" s="832"/>
      <c r="O38" s="48">
        <f>IF(t&lt;Tnet,'2027'!Resal+('2027'!Salim-'2027'!Resal)*(1-EXP(('2027'!Tnet-t)/('2027'!Tau_j))),Resal+(Salim-Resal)*(1-EXP((Tnet-t)/(Tau_j))))*Salcycl</f>
        <v>4.9559715588021809E-2</v>
      </c>
      <c r="P38" s="169">
        <f>(INDEX(Models!$BJ38:$BT38,,T38)*(1-R38)+INDEX(Models!$BJ38:$BT38,,T38+1)*R38-ERP_i)*Q38*Ramure*Pc/MaxiM</f>
        <v>1.3350901804337935E-3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27.514798496155894</v>
      </c>
      <c r="W38" s="400">
        <f t="shared" si="10"/>
        <v>27.88956995610706</v>
      </c>
      <c r="X38" s="157">
        <f t="shared" si="11"/>
        <v>46776</v>
      </c>
      <c r="Y38" s="383">
        <f t="shared" si="12"/>
        <v>26.853099144549429</v>
      </c>
      <c r="Z38" s="383">
        <f t="shared" si="22"/>
        <v>28.603519425116698</v>
      </c>
      <c r="AA38" s="384">
        <f t="shared" si="13"/>
        <v>30.89280902313909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7.4104287386352219E-2</v>
      </c>
      <c r="AD38" s="230">
        <f>(INDEX(Models!$BJ38:$BT38,,AH38)*(1-AF38)+INDEX(Models!$BJ38:$BT38,,AH38+1)*AF38-ERP_i)*AE38*Ramure*Pc/MaxiM</f>
        <v>1.2959096540183127E-2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'2027'!Wh/'2027'!Env_an*'2028'!Env_an</f>
        <v>26.96725798285382</v>
      </c>
      <c r="C39" s="829"/>
      <c r="D39" s="391">
        <f t="shared" si="0"/>
        <v>28.725670232518368</v>
      </c>
      <c r="E39" s="383">
        <f t="shared" si="1"/>
        <v>30.224992145944004</v>
      </c>
      <c r="F39" s="383">
        <f t="shared" si="2"/>
        <v>30.262805571209977</v>
      </c>
      <c r="G39" s="110">
        <f t="shared" si="21"/>
        <v>0.96935766426289371</v>
      </c>
      <c r="H39" s="412" t="b">
        <f>Wh_hp&gt;='2027'!Maxi_hp</f>
        <v>0</v>
      </c>
      <c r="I39" s="388">
        <f>IF(H39,Wh_hp,'2027'!Maxi_hp)</f>
        <v>30.263882617905516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6.1213967696181704E-2</v>
      </c>
      <c r="M39" s="832"/>
      <c r="N39" s="832"/>
      <c r="O39" s="48">
        <f>IF(t&lt;Tnet,'2027'!Resal+('2027'!Salim-'2027'!Resal)*(1-EXP(('2027'!Tnet-t)/('2027'!Tau_j))),Resal+(Salim-Resal)*(1-EXP((Tnet-t)/(Tau_j))))*Salcycl</f>
        <v>4.9605369827261811E-2</v>
      </c>
      <c r="P39" s="169">
        <f>(INDEX(Models!$BJ39:$BT39,,T39)*(1-R39)+INDEX(Models!$BJ39:$BT39,,T39+1)*R39-ERP_i)*Q39*Ramure*Pc/MaxiM</f>
        <v>1.3065940542756817E-3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27.818128875463213</v>
      </c>
      <c r="W39" s="400">
        <f t="shared" si="10"/>
        <v>26.96725798285382</v>
      </c>
      <c r="X39" s="157">
        <f t="shared" si="11"/>
        <v>46777</v>
      </c>
      <c r="Y39" s="383">
        <f t="shared" si="12"/>
        <v>25.984134765517069</v>
      </c>
      <c r="Z39" s="383">
        <f t="shared" si="22"/>
        <v>27.678442021288884</v>
      </c>
      <c r="AA39" s="384">
        <f t="shared" si="13"/>
        <v>29.894437234685977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7.4127343358245654E-2</v>
      </c>
      <c r="AD39" s="230">
        <f>(INDEX(Models!$BJ39:$BT39,,AH39)*(1-AF39)+INDEX(Models!$BJ39:$BT39,,AH39+1)*AF39-ERP_i)*AE39*Ramure*Pc/MaxiM</f>
        <v>1.2728491928467697E-2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'2027'!Wh/'2027'!Env_an*'2028'!Env_an</f>
        <v>27.622663530303175</v>
      </c>
      <c r="C40" s="829"/>
      <c r="D40" s="391">
        <f t="shared" si="0"/>
        <v>29.424375706469828</v>
      </c>
      <c r="E40" s="383">
        <f t="shared" si="1"/>
        <v>30.961654632717895</v>
      </c>
      <c r="F40" s="383">
        <f t="shared" si="2"/>
        <v>31.000218615429834</v>
      </c>
      <c r="G40" s="110">
        <f t="shared" si="21"/>
        <v>0.98200357323253684</v>
      </c>
      <c r="H40" s="412" t="b">
        <f>Wh_hp&gt;='2027'!Maxi_hp</f>
        <v>0</v>
      </c>
      <c r="I40" s="388">
        <f>IF(H40,Wh_hp,'2027'!Maxi_hp)</f>
        <v>31.000854013017825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6.1231959316319307E-2</v>
      </c>
      <c r="M40" s="832"/>
      <c r="N40" s="832"/>
      <c r="O40" s="48">
        <f>IF(t&lt;Tnet,'2027'!Resal+('2027'!Salim-'2027'!Resal)*(1-EXP(('2027'!Tnet-t)/('2027'!Tau_j))),Resal+(Salim-Resal)*(1-EXP((Tnet-t)/(Tau_j))))*Salcycl</f>
        <v>4.9651058526555283E-2</v>
      </c>
      <c r="P40" s="169">
        <f>(INDEX(Models!$BJ40:$BT40,,T40)*(1-R40)+INDEX(Models!$BJ40:$BT40,,T40+1)*R40-ERP_i)*Q40*Ramure*Pc/MaxiM</f>
        <v>1.2767562656962291E-3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28.127960104092406</v>
      </c>
      <c r="W40" s="400">
        <f t="shared" si="10"/>
        <v>27.622663530303175</v>
      </c>
      <c r="X40" s="157">
        <f t="shared" si="11"/>
        <v>46778</v>
      </c>
      <c r="Y40" s="383">
        <f t="shared" si="12"/>
        <v>26.616240956073565</v>
      </c>
      <c r="Z40" s="383">
        <f t="shared" si="22"/>
        <v>28.352308347320431</v>
      </c>
      <c r="AA40" s="384">
        <f t="shared" si="13"/>
        <v>30.623020397655534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7.4150492696303305E-2</v>
      </c>
      <c r="AD40" s="230">
        <f>(INDEX(Models!$BJ40:$BT40,,AH40)*(1-AF40)+INDEX(Models!$BJ40:$BT40,,AH40+1)*AF40-ERP_i)*AE40*Ramure*Pc/MaxiM</f>
        <v>1.2488082248924743E-2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'2027'!Wh/'2027'!Env_an*'2028'!Env_an</f>
        <v>26.39442735414211</v>
      </c>
      <c r="C41" s="829"/>
      <c r="D41" s="391">
        <f t="shared" si="0"/>
        <v>28.116565608467688</v>
      </c>
      <c r="E41" s="383">
        <f t="shared" si="1"/>
        <v>29.586941408938046</v>
      </c>
      <c r="F41" s="383">
        <f t="shared" si="2"/>
        <v>29.620041443828043</v>
      </c>
      <c r="G41" s="110">
        <f t="shared" si="21"/>
        <v>0.92784376015645764</v>
      </c>
      <c r="H41" s="412" t="b">
        <f>Wh_hp&gt;='2027'!Maxi_hp</f>
        <v>0</v>
      </c>
      <c r="I41" s="388">
        <f>IF(H41,Wh_hp,'2027'!Maxi_hp)</f>
        <v>29.622424636548875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6.1249950591651614E-2</v>
      </c>
      <c r="M41" s="832"/>
      <c r="N41" s="832"/>
      <c r="O41" s="48">
        <f>IF(t&lt;Tnet,'2027'!Resal+('2027'!Salim-'2027'!Resal)*(1-EXP(('2027'!Tnet-t)/('2027'!Tau_j))),Resal+(Salim-Resal)*(1-EXP((Tnet-t)/(Tau_j))))*Salcycl</f>
        <v>4.9696782784927077E-2</v>
      </c>
      <c r="P41" s="169">
        <f>(INDEX(Models!$BJ41:$BT41,,T41)*(1-R41)+INDEX(Models!$BJ41:$BT41,,T41+1)*R41-ERP_i)*Q41*Ramure*Pc/MaxiM</f>
        <v>1.2456811040366369E-3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28.443409454453079</v>
      </c>
      <c r="W41" s="400">
        <f t="shared" si="10"/>
        <v>26.39442735414211</v>
      </c>
      <c r="X41" s="157">
        <f t="shared" si="11"/>
        <v>46779</v>
      </c>
      <c r="Y41" s="383">
        <f t="shared" si="12"/>
        <v>25.460711190021723</v>
      </c>
      <c r="Z41" s="383">
        <f t="shared" si="22"/>
        <v>27.121927936055457</v>
      </c>
      <c r="AA41" s="384">
        <f t="shared" si="13"/>
        <v>29.294835342095464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7.4173736792356351E-2</v>
      </c>
      <c r="AD41" s="230">
        <f>(INDEX(Models!$BJ41:$BT41,,AH41)*(1-AF41)+INDEX(Models!$BJ41:$BT41,,AH41+1)*AF41-ERP_i)*AE41*Ramure*Pc/MaxiM</f>
        <v>1.2238751324341617E-2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'2027'!Wh/'2027'!Env_an*'2028'!Env_an</f>
        <v>4.1710984972401457</v>
      </c>
      <c r="C42" s="829"/>
      <c r="D42" s="391">
        <f t="shared" si="0"/>
        <v>4.4433323221151309</v>
      </c>
      <c r="E42" s="383">
        <f t="shared" si="1"/>
        <v>4.6759247091665204</v>
      </c>
      <c r="F42" s="383">
        <f t="shared" si="2"/>
        <v>4.6759247091665204</v>
      </c>
      <c r="G42" s="110">
        <f t="shared" si="21"/>
        <v>0.14483714884810159</v>
      </c>
      <c r="H42" s="412" t="b">
        <f>Wh_hp&gt;='2027'!Maxi_hp</f>
        <v>0</v>
      </c>
      <c r="I42" s="388">
        <f>IF(H42,Wh_hp,'2027'!Maxi_hp)</f>
        <v>18.471919028830147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6.1267941522185176E-2</v>
      </c>
      <c r="M42" s="832"/>
      <c r="N42" s="832"/>
      <c r="O42" s="48">
        <f>IF(t&lt;Tnet,'2027'!Resal+('2027'!Salim-'2027'!Resal)*(1-EXP(('2027'!Tnet-t)/('2027'!Tau_j))),Resal+(Salim-Resal)*(1-EXP((Tnet-t)/(Tau_j))))*Salcycl</f>
        <v>4.9742543243996948E-2</v>
      </c>
      <c r="P42" s="169">
        <f>(INDEX(Models!$BJ42:$BT42,,T42)*(1-R42)+INDEX(Models!$BJ42:$BT42,,T42+1)*R42-ERP_i)*Q42*Ramure*Pc/MaxiM</f>
        <v>1.2134655305770779E-3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28.763594465382958</v>
      </c>
      <c r="W42" s="400">
        <f t="shared" si="10"/>
        <v>4.1710984972401457</v>
      </c>
      <c r="X42" s="157">
        <f t="shared" si="11"/>
        <v>46780</v>
      </c>
      <c r="Y42" s="383">
        <f t="shared" si="12"/>
        <v>4.0637567809738666</v>
      </c>
      <c r="Z42" s="383">
        <f t="shared" si="22"/>
        <v>4.3289847664981025</v>
      </c>
      <c r="AA42" s="384">
        <f t="shared" si="13"/>
        <v>4.6759247091665204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7.4197076353322969E-2</v>
      </c>
      <c r="AD42" s="230">
        <f>(INDEX(Models!$BJ42:$BT42,,AH42)*(1-AF42)+INDEX(Models!$BJ42:$BT42,,AH42+1)*AF42-ERP_i)*AE42*Ramure*Pc/MaxiM</f>
        <v>1.1981321093957168E-2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'2027'!Wh/'2027'!Env_an*'2028'!Env_an</f>
        <v>8.8034761097085017</v>
      </c>
      <c r="C43" s="829"/>
      <c r="D43" s="391">
        <f t="shared" si="0"/>
        <v>9.3782296556789877</v>
      </c>
      <c r="E43" s="383">
        <f t="shared" si="1"/>
        <v>9.8696217390014169</v>
      </c>
      <c r="F43" s="383">
        <f t="shared" si="2"/>
        <v>9.869665895141198</v>
      </c>
      <c r="G43" s="110">
        <f t="shared" si="21"/>
        <v>0.30229773644709079</v>
      </c>
      <c r="H43" s="412" t="b">
        <f>Wh_hp&gt;='2027'!Maxi_hp</f>
        <v>0</v>
      </c>
      <c r="I43" s="388">
        <f>IF(H43,Wh_hp,'2027'!Maxi_hp)</f>
        <v>19.775703807846384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6.1285932107926655E-2</v>
      </c>
      <c r="M43" s="832"/>
      <c r="N43" s="832"/>
      <c r="O43" s="48">
        <f>IF(t&lt;Tnet,'2027'!Resal+('2027'!Salim-'2027'!Resal)*(1-EXP(('2027'!Tnet-t)/('2027'!Tau_j))),Resal+(Salim-Resal)*(1-EXP((Tnet-t)/(Tau_j))))*Salcycl</f>
        <v>4.9788340051636827E-2</v>
      </c>
      <c r="P43" s="169">
        <f>(INDEX(Models!$BJ43:$BT43,,T43)*(1-R43)+INDEX(Models!$BJ43:$BT43,,T43+1)*R43-ERP_i)*Q43*Ramure*Pc/MaxiM</f>
        <v>1.1801990177474676E-3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29.087632937568667</v>
      </c>
      <c r="W43" s="400">
        <f t="shared" si="10"/>
        <v>8.8034761097085017</v>
      </c>
      <c r="X43" s="157">
        <f t="shared" si="11"/>
        <v>46781</v>
      </c>
      <c r="Y43" s="383">
        <f t="shared" si="12"/>
        <v>8.5767754990420073</v>
      </c>
      <c r="Z43" s="383">
        <f t="shared" si="22"/>
        <v>9.1367284164618532</v>
      </c>
      <c r="AA43" s="384">
        <f t="shared" si="13"/>
        <v>9.8692275303879775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7.4220511349111409E-2</v>
      </c>
      <c r="AD43" s="230">
        <f>(INDEX(Models!$BJ43:$BT43,,AH43)*(1-AF43)+INDEX(Models!$BJ43:$BT43,,AH43+1)*AF43-ERP_i)*AE43*Ramure*Pc/MaxiM</f>
        <v>1.1716550716121923E-2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'2027'!Wh/'2027'!Env_an*'2028'!Env_an</f>
        <v>4.5462626018245507</v>
      </c>
      <c r="C44" s="829"/>
      <c r="D44" s="391">
        <f t="shared" si="0"/>
        <v>4.8431677835499052</v>
      </c>
      <c r="E44" s="383">
        <f t="shared" si="1"/>
        <v>5.0971816130248104</v>
      </c>
      <c r="F44" s="383">
        <f t="shared" si="2"/>
        <v>5.0971816130248104</v>
      </c>
      <c r="G44" s="110">
        <f t="shared" si="21"/>
        <v>0.15438068583480519</v>
      </c>
      <c r="H44" s="412" t="b">
        <f>Wh_hp&gt;='2027'!Maxi_hp</f>
        <v>0</v>
      </c>
      <c r="I44" s="388">
        <f>IF(H44,Wh_hp,'2027'!Maxi_hp)</f>
        <v>11.80160840972839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6.1303922348882822E-2</v>
      </c>
      <c r="M44" s="832"/>
      <c r="N44" s="832"/>
      <c r="O44" s="48">
        <f>IF(t&lt;Tnet,'2027'!Resal+('2027'!Salim-'2027'!Resal)*(1-EXP(('2027'!Tnet-t)/('2027'!Tau_j))),Resal+(Salim-Resal)*(1-EXP((Tnet-t)/(Tau_j))))*Salcycl</f>
        <v>4.9834172835008468E-2</v>
      </c>
      <c r="P44" s="169">
        <f>(INDEX(Models!$BJ44:$BT44,,T44)*(1-R44)+INDEX(Models!$BJ44:$BT44,,T44+1)*R44-ERP_i)*Q44*Ramure*Pc/MaxiM</f>
        <v>1.1464922503185663E-3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29.41462737018016</v>
      </c>
      <c r="W44" s="400">
        <f t="shared" si="10"/>
        <v>4.5462626018245507</v>
      </c>
      <c r="X44" s="157">
        <f t="shared" si="11"/>
        <v>46782</v>
      </c>
      <c r="Y44" s="383">
        <f t="shared" si="12"/>
        <v>4.4294685986451725</v>
      </c>
      <c r="Z44" s="383">
        <f t="shared" si="22"/>
        <v>4.7187462524920258</v>
      </c>
      <c r="AA44" s="384">
        <f t="shared" si="13"/>
        <v>5.0971816130248104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7.42440409746771E-2</v>
      </c>
      <c r="AD44" s="230">
        <f>(INDEX(Models!$BJ44:$BT44,,AH44)*(1-AF44)+INDEX(Models!$BJ44:$BT44,,AH44+1)*AF44-ERP_i)*AE44*Ramure*Pc/MaxiM</f>
        <v>1.1447114654270141E-2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'2027'!Wh/'2027'!Env_an*'2028'!Env_an</f>
        <v>7.5385251059175289</v>
      </c>
      <c r="C45" s="829"/>
      <c r="D45" s="391">
        <f t="shared" si="0"/>
        <v>8.0310014735164525</v>
      </c>
      <c r="E45" s="383">
        <f t="shared" si="1"/>
        <v>8.4526184244044149</v>
      </c>
      <c r="F45" s="383">
        <f t="shared" si="2"/>
        <v>8.4526184244044149</v>
      </c>
      <c r="G45" s="110">
        <f t="shared" si="21"/>
        <v>0.25316756895180192</v>
      </c>
      <c r="H45" s="412" t="b">
        <f>Wh_hp&gt;='2027'!Maxi_hp</f>
        <v>0</v>
      </c>
      <c r="I45" s="388">
        <f>IF(H45,Wh_hp,'2027'!Maxi_hp)</f>
        <v>23.12427848668732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6.1321912245060006E-2</v>
      </c>
      <c r="M45" s="832"/>
      <c r="N45" s="832"/>
      <c r="O45" s="48">
        <f>IF(t&lt;Tnet,'2027'!Resal+('2027'!Salim-'2027'!Resal)*(1-EXP(('2027'!Tnet-t)/('2027'!Tau_j))),Resal+(Salim-Resal)*(1-EXP((Tnet-t)/(Tau_j))))*Salcycl</f>
        <v>4.988004068309395E-2</v>
      </c>
      <c r="P45" s="169">
        <f>(INDEX(Models!$BJ45:$BT45,,T45)*(1-R45)+INDEX(Models!$BJ45:$BT45,,T45+1)*R45-ERP_i)*Q45*Ramure*Pc/MaxiM</f>
        <v>1.1141798808752671E-3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29.743643169187397</v>
      </c>
      <c r="W45" s="400">
        <f t="shared" si="10"/>
        <v>7.5385251059175289</v>
      </c>
      <c r="X45" s="157">
        <f t="shared" si="11"/>
        <v>46783</v>
      </c>
      <c r="Y45" s="383">
        <f t="shared" si="12"/>
        <v>7.3450266891876153</v>
      </c>
      <c r="Z45" s="383">
        <f t="shared" si="22"/>
        <v>7.8248622024989425</v>
      </c>
      <c r="AA45" s="384">
        <f t="shared" si="13"/>
        <v>8.4526184244044149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7.4267663626340158E-2</v>
      </c>
      <c r="AD45" s="230">
        <f>(INDEX(Models!$BJ45:$BT45,,AH45)*(1-AF45)+INDEX(Models!$BJ45:$BT45,,AH45+1)*AF45-ERP_i)*AE45*Ramure*Pc/MaxiM</f>
        <v>1.1180013711199711E-2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'2027'!Wh/'2027'!Env_an*'2028'!Env_an</f>
        <v>12.509488370963671</v>
      </c>
      <c r="C46" s="829"/>
      <c r="D46" s="391">
        <f t="shared" si="0"/>
        <v>13.326962970840128</v>
      </c>
      <c r="E46" s="383">
        <f t="shared" si="1"/>
        <v>14.02728856826247</v>
      </c>
      <c r="F46" s="383">
        <f t="shared" si="2"/>
        <v>14.029806193700452</v>
      </c>
      <c r="G46" s="110">
        <f t="shared" si="21"/>
        <v>0.41558368543655272</v>
      </c>
      <c r="H46" s="412" t="b">
        <f>Wh_hp&gt;='2027'!Maxi_hp</f>
        <v>0</v>
      </c>
      <c r="I46" s="388">
        <f>IF(H46,Wh_hp,'2027'!Maxi_hp)</f>
        <v>14.037893266098706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6.1339901796464869E-2</v>
      </c>
      <c r="M46" s="832"/>
      <c r="N46" s="832"/>
      <c r="O46" s="48">
        <f>IF(t&lt;Tnet,'2027'!Resal+('2027'!Salim-'2027'!Resal)*(1-EXP(('2027'!Tnet-t)/('2027'!Tau_j))),Resal+(Salim-Resal)*(1-EXP((Tnet-t)/(Tau_j))))*Salcycl</f>
        <v>4.9925942138730119E-2</v>
      </c>
      <c r="P46" s="169">
        <f>(INDEX(Models!$BJ46:$BT46,,T46)*(1-R46)+INDEX(Models!$BJ46:$BT46,,T46+1)*R46-ERP_i)*Q46*Ramure*Pc/MaxiM</f>
        <v>1.0832542561878538E-3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30.073798924537037</v>
      </c>
      <c r="W46" s="400">
        <f t="shared" si="10"/>
        <v>12.509488370963671</v>
      </c>
      <c r="X46" s="157">
        <f t="shared" si="11"/>
        <v>46784</v>
      </c>
      <c r="Y46" s="383">
        <f t="shared" si="12"/>
        <v>12.168815910053997</v>
      </c>
      <c r="Z46" s="383">
        <f t="shared" si="22"/>
        <v>12.964028121940432</v>
      </c>
      <c r="AA46" s="384">
        <f t="shared" si="13"/>
        <v>14.004437031621382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7.429137689232021E-2</v>
      </c>
      <c r="AD46" s="230">
        <f>(INDEX(Models!$BJ46:$BT46,,AH46)*(1-AF46)+INDEX(Models!$BJ46:$BT46,,AH46+1)*AF46-ERP_i)*AE46*Ramure*Pc/MaxiM</f>
        <v>1.0915544617349381E-2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'2027'!Wh/'2027'!Env_an*'2028'!Env_an</f>
        <v>5.2807758476100455</v>
      </c>
      <c r="C47" s="829"/>
      <c r="D47" s="391">
        <f t="shared" si="0"/>
        <v>5.6259737305558168</v>
      </c>
      <c r="E47" s="383">
        <f t="shared" si="1"/>
        <v>5.9219022928826961</v>
      </c>
      <c r="F47" s="383">
        <f t="shared" si="2"/>
        <v>5.9219022928826961</v>
      </c>
      <c r="G47" s="110">
        <f t="shared" si="21"/>
        <v>0.17350264544287641</v>
      </c>
      <c r="H47" s="412" t="b">
        <f>Wh_hp&gt;='2027'!Maxi_hp</f>
        <v>0</v>
      </c>
      <c r="I47" s="388">
        <f>IF(H47,Wh_hp,'2027'!Maxi_hp)</f>
        <v>29.977059055663016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6.1357891003104181E-2</v>
      </c>
      <c r="M47" s="832"/>
      <c r="N47" s="832"/>
      <c r="O47" s="48">
        <f>IF(t&lt;Tnet,'2027'!Resal+('2027'!Salim-'2027'!Resal)*(1-EXP(('2027'!Tnet-t)/('2027'!Tau_j))),Resal+(Salim-Resal)*(1-EXP((Tnet-t)/(Tau_j))))*Salcycl</f>
        <v>4.997187520005935E-2</v>
      </c>
      <c r="P47" s="169">
        <f>(INDEX(Models!$BJ47:$BT47,,T47)*(1-R47)+INDEX(Models!$BJ47:$BT47,,T47+1)*R47-ERP_i)*Q47*Ramure*Pc/MaxiM</f>
        <v>1.0537038830215021E-3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30.404213492703494</v>
      </c>
      <c r="W47" s="400">
        <f t="shared" si="10"/>
        <v>5.2807758476100455</v>
      </c>
      <c r="X47" s="157">
        <f t="shared" si="11"/>
        <v>46785</v>
      </c>
      <c r="Y47" s="383">
        <f t="shared" si="12"/>
        <v>5.1454624607919035</v>
      </c>
      <c r="Z47" s="383">
        <f t="shared" si="22"/>
        <v>5.4818150725101553</v>
      </c>
      <c r="AA47" s="384">
        <f t="shared" si="13"/>
        <v>5.9219022928826961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7.4315177557296899E-2</v>
      </c>
      <c r="AD47" s="230">
        <f>(INDEX(Models!$BJ47:$BT47,,AH47)*(1-AF47)+INDEX(Models!$BJ47:$BT47,,AH47+1)*AF47-ERP_i)*AE47*Ramure*Pc/MaxiM</f>
        <v>1.0653956813048062E-2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'2027'!Wh/'2027'!Env_an*'2028'!Env_an</f>
        <v>10.363643548568408</v>
      </c>
      <c r="C48" s="829"/>
      <c r="D48" s="391">
        <f t="shared" si="0"/>
        <v>11.04131390431098</v>
      </c>
      <c r="E48" s="383">
        <f t="shared" si="1"/>
        <v>11.622653917303646</v>
      </c>
      <c r="F48" s="383">
        <f t="shared" si="2"/>
        <v>11.623287447664509</v>
      </c>
      <c r="G48" s="110">
        <f t="shared" si="21"/>
        <v>0.33687700244741509</v>
      </c>
      <c r="H48" s="412" t="b">
        <f>Wh_hp&gt;='2027'!Maxi_hp</f>
        <v>0</v>
      </c>
      <c r="I48" s="388">
        <f>IF(H48,Wh_hp,'2027'!Maxi_hp)</f>
        <v>27.588451395254136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6.1375879864984384E-2</v>
      </c>
      <c r="M48" s="832"/>
      <c r="N48" s="832"/>
      <c r="O48" s="48">
        <f>IF(t&lt;Tnet,'2027'!Resal+('2027'!Salim-'2027'!Resal)*(1-EXP(('2027'!Tnet-t)/('2027'!Tau_j))),Resal+(Salim-Resal)*(1-EXP((Tnet-t)/(Tau_j))))*Salcycl</f>
        <v>5.0017837331211755E-2</v>
      </c>
      <c r="P48" s="169">
        <f>(INDEX(Models!$BJ48:$BT48,,T48)*(1-R48)+INDEX(Models!$BJ48:$BT48,,T48+1)*R48-ERP_i)*Q48*Ramure*Pc/MaxiM</f>
        <v>1.0255140621873698E-3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30.734005989618819</v>
      </c>
      <c r="W48" s="400">
        <f t="shared" si="10"/>
        <v>10.363643548568408</v>
      </c>
      <c r="X48" s="157">
        <f t="shared" si="11"/>
        <v>46786</v>
      </c>
      <c r="Y48" s="383">
        <f t="shared" si="12"/>
        <v>10.09328664973906</v>
      </c>
      <c r="Z48" s="383">
        <f t="shared" si="22"/>
        <v>10.753278584282704</v>
      </c>
      <c r="AA48" s="384">
        <f t="shared" si="13"/>
        <v>11.616865461677293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7.4339061620663685E-2</v>
      </c>
      <c r="AD48" s="230">
        <f>(INDEX(Models!$BJ48:$BT48,,AH48)*(1-AF48)+INDEX(Models!$BJ48:$BT48,,AH48+1)*AF48-ERP_i)*AE48*Ramure*Pc/MaxiM</f>
        <v>1.0395455914824098E-2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'2027'!Wh/'2027'!Env_an*'2028'!Env_an</f>
        <v>10.207315163932268</v>
      </c>
      <c r="C49" s="829"/>
      <c r="D49" s="391">
        <f t="shared" si="0"/>
        <v>10.874971748093936</v>
      </c>
      <c r="E49" s="383">
        <f t="shared" si="1"/>
        <v>11.448107820097762</v>
      </c>
      <c r="F49" s="383">
        <f t="shared" si="2"/>
        <v>11.448575081572899</v>
      </c>
      <c r="G49" s="110">
        <f t="shared" si="21"/>
        <v>0.32829310877114132</v>
      </c>
      <c r="H49" s="412" t="b">
        <f>Wh_hp&gt;='2027'!Maxi_hp</f>
        <v>0</v>
      </c>
      <c r="I49" s="388">
        <f>IF(H49,Wh_hp,'2027'!Maxi_hp)</f>
        <v>19.347515119040757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6.1393868382112249E-2</v>
      </c>
      <c r="M49" s="832"/>
      <c r="N49" s="832"/>
      <c r="O49" s="48">
        <f>IF(t&lt;Tnet,'2027'!Resal+('2027'!Salim-'2027'!Resal)*(1-EXP(('2027'!Tnet-t)/('2027'!Tau_j))),Resal+(Salim-Resal)*(1-EXP((Tnet-t)/(Tau_j))))*Salcycl</f>
        <v>5.0063825481941819E-2</v>
      </c>
      <c r="P49" s="169">
        <f>(INDEX(Models!$BJ49:$BT49,,T49)*(1-R49)+INDEX(Models!$BJ49:$BT49,,T49+1)*R49-ERP_i)*Q49*Ramure*Pc/MaxiM</f>
        <v>9.9866747568300098E-4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31.062295794577231</v>
      </c>
      <c r="W49" s="400">
        <f t="shared" si="10"/>
        <v>10.207315163932268</v>
      </c>
      <c r="X49" s="157">
        <f t="shared" si="11"/>
        <v>46787</v>
      </c>
      <c r="Y49" s="383">
        <f t="shared" si="12"/>
        <v>9.9424977944666413</v>
      </c>
      <c r="Z49" s="383">
        <f t="shared" si="22"/>
        <v>10.592832775691148</v>
      </c>
      <c r="AA49" s="384">
        <f t="shared" si="13"/>
        <v>11.443830631334665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7.4363024328005664E-2</v>
      </c>
      <c r="AD49" s="230">
        <f>(INDEX(Models!$BJ49:$BT49,,AH49)*(1-AF49)+INDEX(Models!$BJ49:$BT49,,AH49+1)*AF49-ERP_i)*AE49*Ramure*Pc/MaxiM</f>
        <v>1.0140207132489313E-2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'2027'!Wh/'2027'!Env_an*'2028'!Env_an</f>
        <v>8.9690808372327595</v>
      </c>
      <c r="C50" s="829"/>
      <c r="D50" s="391">
        <f t="shared" si="0"/>
        <v>9.5559281244569672</v>
      </c>
      <c r="E50" s="383">
        <f t="shared" si="1"/>
        <v>10.060034820638974</v>
      </c>
      <c r="F50" s="383">
        <f t="shared" si="2"/>
        <v>10.060034820638974</v>
      </c>
      <c r="G50" s="110">
        <f t="shared" si="21"/>
        <v>0.28546880343761122</v>
      </c>
      <c r="H50" s="412" t="b">
        <f>Wh_hp&gt;='2027'!Maxi_hp</f>
        <v>0</v>
      </c>
      <c r="I50" s="388">
        <f>IF(H50,Wh_hp,'2027'!Maxi_hp)</f>
        <v>35.681802082367859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6.1411856554494215E-2</v>
      </c>
      <c r="M50" s="832"/>
      <c r="N50" s="832"/>
      <c r="O50" s="48">
        <f>IF(t&lt;Tnet,'2027'!Resal+('2027'!Salim-'2027'!Resal)*(1-EXP(('2027'!Tnet-t)/('2027'!Tau_j))),Resal+(Salim-Resal)*(1-EXP((Tnet-t)/(Tau_j))))*Salcycl</f>
        <v>5.0109836115854317E-2</v>
      </c>
      <c r="P50" s="169">
        <f>(INDEX(Models!$BJ50:$BT50,,T50)*(1-R50)+INDEX(Models!$BJ50:$BT50,,T50+1)*R50-ERP_i)*Q50*Ramure*Pc/MaxiM</f>
        <v>9.7314472767621345E-4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31.38820254824158</v>
      </c>
      <c r="W50" s="400">
        <f t="shared" si="10"/>
        <v>8.9690808372327595</v>
      </c>
      <c r="X50" s="157">
        <f t="shared" si="11"/>
        <v>46788</v>
      </c>
      <c r="Y50" s="383">
        <f t="shared" si="12"/>
        <v>8.7398497179627963</v>
      </c>
      <c r="Z50" s="383">
        <f t="shared" si="22"/>
        <v>9.3116984046690447</v>
      </c>
      <c r="AA50" s="384">
        <f t="shared" si="13"/>
        <v>10.060034820638974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7.4387060215204803E-2</v>
      </c>
      <c r="AD50" s="230">
        <f>(INDEX(Models!$BJ50:$BT50,,AH50)*(1-AF50)+INDEX(Models!$BJ50:$BT50,,AH50+1)*AF50-ERP_i)*AE50*Ramure*Pc/MaxiM</f>
        <v>9.8883385996517484E-3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'2027'!Wh/'2027'!Env_an*'2028'!Env_an</f>
        <v>20.895029152372921</v>
      </c>
      <c r="C51" s="829"/>
      <c r="D51" s="391">
        <f t="shared" si="0"/>
        <v>22.262618332049637</v>
      </c>
      <c r="E51" s="383">
        <f t="shared" si="1"/>
        <v>23.438180557732789</v>
      </c>
      <c r="F51" s="383">
        <f t="shared" si="2"/>
        <v>23.449587715548326</v>
      </c>
      <c r="G51" s="110">
        <f t="shared" si="21"/>
        <v>0.65856877098909861</v>
      </c>
      <c r="H51" s="412" t="b">
        <f>Wh_hp&gt;='2027'!Maxi_hp</f>
        <v>0</v>
      </c>
      <c r="I51" s="388">
        <f>IF(H51,Wh_hp,'2027'!Maxi_hp)</f>
        <v>37.076232391062831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6.1429844382136944E-2</v>
      </c>
      <c r="M51" s="832"/>
      <c r="N51" s="832"/>
      <c r="O51" s="48">
        <f>IF(t&lt;Tnet,'2027'!Resal+('2027'!Salim-'2027'!Resal)*(1-EXP(('2027'!Tnet-t)/('2027'!Tau_j))),Resal+(Salim-Resal)*(1-EXP((Tnet-t)/(Tau_j))))*Salcycl</f>
        <v>5.0155865246771771E-2</v>
      </c>
      <c r="P51" s="169">
        <f>(INDEX(Models!$BJ51:$BT51,,T51)*(1-R51)+INDEX(Models!$BJ51:$BT51,,T51+1)*R51-ERP_i)*Q51*Ramure*Pc/MaxiM</f>
        <v>9.4885268303180823E-4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31.713259946225776</v>
      </c>
      <c r="W51" s="400">
        <f t="shared" si="10"/>
        <v>20.895029152372921</v>
      </c>
      <c r="X51" s="157">
        <f t="shared" si="11"/>
        <v>46789</v>
      </c>
      <c r="Y51" s="383">
        <f t="shared" si="12"/>
        <v>20.270690563068531</v>
      </c>
      <c r="Z51" s="383">
        <f t="shared" si="22"/>
        <v>21.597416497570482</v>
      </c>
      <c r="AA51" s="384">
        <f t="shared" si="13"/>
        <v>23.33370459761483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7.4411163164456673E-2</v>
      </c>
      <c r="AD51" s="230">
        <f>(INDEX(Models!$BJ51:$BT51,,AH51)*(1-AF51)+INDEX(Models!$BJ51:$BT51,,AH51+1)*AF51-ERP_i)*AE51*Ramure*Pc/MaxiM</f>
        <v>9.6392115500954084E-3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'2027'!Wh/'2027'!Env_an*'2028'!Env_an</f>
        <v>8.8058972986669737</v>
      </c>
      <c r="C52" s="829"/>
      <c r="D52" s="391">
        <f t="shared" si="0"/>
        <v>9.3824271016981857</v>
      </c>
      <c r="E52" s="383">
        <f t="shared" si="1"/>
        <v>9.8783385495226419</v>
      </c>
      <c r="F52" s="383">
        <f t="shared" si="2"/>
        <v>9.8783385495226419</v>
      </c>
      <c r="G52" s="110">
        <f t="shared" si="21"/>
        <v>0.27459040848421096</v>
      </c>
      <c r="H52" s="412" t="b">
        <f>Wh_hp&gt;='2027'!Maxi_hp</f>
        <v>0</v>
      </c>
      <c r="I52" s="388">
        <f>IF(H52,Wh_hp,'2027'!Maxi_hp)</f>
        <v>24.451684563184926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6.1447831865047098E-2</v>
      </c>
      <c r="M52" s="832"/>
      <c r="N52" s="832"/>
      <c r="O52" s="48">
        <f>IF(t&lt;Tnet,'2027'!Resal+('2027'!Salim-'2027'!Resal)*(1-EXP(('2027'!Tnet-t)/('2027'!Tau_j))),Resal+(Salim-Resal)*(1-EXP((Tnet-t)/(Tau_j))))*Salcycl</f>
        <v>5.0201908482719541E-2</v>
      </c>
      <c r="P52" s="169">
        <f>(INDEX(Models!$BJ52:$BT52,,T52)*(1-R52)+INDEX(Models!$BJ52:$BT52,,T52+1)*R52-ERP_i)*Q52*Ramure*Pc/MaxiM</f>
        <v>9.2507684301477316E-4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32.039542879735677</v>
      </c>
      <c r="W52" s="400">
        <f t="shared" si="10"/>
        <v>8.8058972986669737</v>
      </c>
      <c r="X52" s="157">
        <f t="shared" si="11"/>
        <v>46790</v>
      </c>
      <c r="Y52" s="383">
        <f t="shared" si="12"/>
        <v>8.58122113653355</v>
      </c>
      <c r="Z52" s="383">
        <f t="shared" si="22"/>
        <v>9.1430411945941721</v>
      </c>
      <c r="AA52" s="384">
        <f t="shared" si="13"/>
        <v>9.8783385495226419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7.4435326471373284E-2</v>
      </c>
      <c r="AD52" s="230">
        <f>(INDEX(Models!$BJ52:$BT52,,AH52)*(1-AF52)+INDEX(Models!$BJ52:$BT52,,AH52+1)*AF52-ERP_i)*AE52*Ramure*Pc/MaxiM</f>
        <v>9.3925405500268327E-3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'2027'!Wh/'2027'!Env_an*'2028'!Env_an</f>
        <v>32.657120352313576</v>
      </c>
      <c r="C53" s="829"/>
      <c r="D53" s="391">
        <f t="shared" si="0"/>
        <v>34.795877458219088</v>
      </c>
      <c r="E53" s="383">
        <f t="shared" si="1"/>
        <v>36.636802062225172</v>
      </c>
      <c r="F53" s="383">
        <f t="shared" si="2"/>
        <v>36.669864928426442</v>
      </c>
      <c r="G53" s="110">
        <f t="shared" si="21"/>
        <v>1.0089647411935272</v>
      </c>
      <c r="H53" s="412" t="b">
        <f>Wh_hp&gt;='2027'!Maxi_hp</f>
        <v>1</v>
      </c>
      <c r="I53" s="388">
        <f>IF(H53,Wh_hp,'2027'!Maxi_hp)</f>
        <v>36.669864928426442</v>
      </c>
      <c r="J53" s="85">
        <f>IF(H53,An,'2027'!An_max)</f>
        <v>2028</v>
      </c>
      <c r="K53" s="197">
        <f t="shared" si="3"/>
        <v>46791</v>
      </c>
      <c r="L53" s="147">
        <f>IF(t&lt;Tvie,1-EXP((T0-t)*PertePVj)+'2027'!Pspv,1-EXP((T0-t)*PertePVj)+Pspv)</f>
        <v>6.1465819003231337E-2</v>
      </c>
      <c r="M53" s="832"/>
      <c r="N53" s="832"/>
      <c r="O53" s="48">
        <f>IF(t&lt;Tnet,'2027'!Resal+('2027'!Salim-'2027'!Resal)*(1-EXP(('2027'!Tnet-t)/('2027'!Tau_j))),Resal+(Salim-Resal)*(1-EXP((Tnet-t)/(Tau_j))))*Salcycl</f>
        <v>5.0247961076935542E-2</v>
      </c>
      <c r="P53" s="169">
        <f>(INDEX(Models!$BJ53:$BT53,,T53)*(1-R53)+INDEX(Models!$BJ53:$BT53,,T53+1)*R53-ERP_i)*Q53*Ramure*Pc/MaxiM</f>
        <v>9.0163588728257263E-4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32.366958942175451</v>
      </c>
      <c r="W53" s="400">
        <f t="shared" si="10"/>
        <v>32.657120352313576</v>
      </c>
      <c r="X53" s="157">
        <f t="shared" si="11"/>
        <v>46791</v>
      </c>
      <c r="Y53" s="383">
        <f t="shared" si="12"/>
        <v>31.561777985408025</v>
      </c>
      <c r="Z53" s="383">
        <f t="shared" si="22"/>
        <v>33.628799701133836</v>
      </c>
      <c r="AA53" s="384">
        <f t="shared" si="13"/>
        <v>36.334229848051677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7.4459542922248267E-2</v>
      </c>
      <c r="AD53" s="230">
        <f>(INDEX(Models!$BJ53:$BT53,,AH53)*(1-AF53)+INDEX(Models!$BJ53:$BT53,,AH53+1)*AF53-ERP_i)*AE53*Ramure*Pc/MaxiM</f>
        <v>9.1528856468346947E-3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'2027'!Wh/'2027'!Env_an*'2028'!Env_an</f>
        <v>32.93555020895964</v>
      </c>
      <c r="C54" s="829"/>
      <c r="D54" s="391">
        <f t="shared" si="0"/>
        <v>35.093214600221437</v>
      </c>
      <c r="E54" s="383">
        <f t="shared" si="1"/>
        <v>36.951662161559788</v>
      </c>
      <c r="F54" s="383">
        <f t="shared" si="2"/>
        <v>36.984153600859244</v>
      </c>
      <c r="G54" s="110">
        <f t="shared" si="21"/>
        <v>1.0073447597282732</v>
      </c>
      <c r="H54" s="412" t="b">
        <f>Wh_hp&gt;='2027'!Maxi_hp</f>
        <v>0</v>
      </c>
      <c r="I54" s="388">
        <f>IF(H54,Wh_hp,'2027'!Maxi_hp)</f>
        <v>36.984153600859251</v>
      </c>
      <c r="J54" s="85">
        <f>IF(H54,An,'2027'!An_max)</f>
        <v>2026</v>
      </c>
      <c r="K54" s="197">
        <f t="shared" si="3"/>
        <v>46792</v>
      </c>
      <c r="L54" s="147">
        <f>IF(t&lt;Tvie,1-EXP((T0-t)*PertePVj)+'2027'!Pspv,1-EXP((T0-t)*PertePVj)+Pspv)</f>
        <v>6.14838057966961E-2</v>
      </c>
      <c r="M54" s="832"/>
      <c r="N54" s="832"/>
      <c r="O54" s="48">
        <f>IF(t&lt;Tnet,'2027'!Resal+('2027'!Salim-'2027'!Resal)*(1-EXP(('2027'!Tnet-t)/('2027'!Tau_j))),Resal+(Salim-Resal)*(1-EXP((Tnet-t)/(Tau_j))))*Salcycl</f>
        <v>5.0294017985249621E-2</v>
      </c>
      <c r="P54" s="169">
        <f>(INDEX(Models!$BJ54:$BT54,,T54)*(1-R54)+INDEX(Models!$BJ54:$BT54,,T54+1)*R54-ERP_i)*Q54*Ramure*Pc/MaxiM</f>
        <v>8.7852326296576481E-4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32.695410276263168</v>
      </c>
      <c r="W54" s="400">
        <f t="shared" si="10"/>
        <v>32.93555020895964</v>
      </c>
      <c r="X54" s="157">
        <f t="shared" si="11"/>
        <v>46792</v>
      </c>
      <c r="Y54" s="383">
        <f t="shared" si="12"/>
        <v>31.838321051073763</v>
      </c>
      <c r="Z54" s="383">
        <f t="shared" si="22"/>
        <v>33.924104078034546</v>
      </c>
      <c r="AA54" s="384">
        <f t="shared" si="13"/>
        <v>36.654252250716596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7.4483804880474042E-2</v>
      </c>
      <c r="AD54" s="230">
        <f>(INDEX(Models!$BJ54:$BT54,,AH54)*(1-AF54)+INDEX(Models!$BJ54:$BT54,,AH54+1)*AF54-ERP_i)*AE54*Ramure*Pc/MaxiM</f>
        <v>8.9200730048607842E-3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'2027'!Wh/'2027'!Env_an*'2028'!Env_an</f>
        <v>30.713510048633808</v>
      </c>
      <c r="C55" s="829"/>
      <c r="D55" s="391">
        <f t="shared" si="0"/>
        <v>32.726231968113034</v>
      </c>
      <c r="E55" s="383">
        <f t="shared" si="1"/>
        <v>34.461001322351876</v>
      </c>
      <c r="F55" s="383">
        <f t="shared" si="2"/>
        <v>34.487562801786815</v>
      </c>
      <c r="G55" s="110">
        <f t="shared" si="21"/>
        <v>0.92993390252109698</v>
      </c>
      <c r="H55" s="412" t="b">
        <f>Wh_hp&gt;='2027'!Maxi_hp</f>
        <v>0</v>
      </c>
      <c r="I55" s="388">
        <f>IF(H55,Wh_hp,'2027'!Maxi_hp)</f>
        <v>34.489499678455374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6.150179224544805E-2</v>
      </c>
      <c r="M55" s="832"/>
      <c r="N55" s="832"/>
      <c r="O55" s="48">
        <f>IF(t&lt;Tnet,'2027'!Resal+('2027'!Salim-'2027'!Resal)*(1-EXP(('2027'!Tnet-t)/('2027'!Tau_j))),Resal+(Salim-Resal)*(1-EXP((Tnet-t)/(Tau_j))))*Salcycl</f>
        <v>5.0340073929124221E-2</v>
      </c>
      <c r="P55" s="169">
        <f>(INDEX(Models!$BJ55:$BT55,,T55)*(1-R55)+INDEX(Models!$BJ55:$BT55,,T55+1)*R55-ERP_i)*Q55*Ramure*Pc/MaxiM</f>
        <v>8.5573228707758447E-4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33.024799067843162</v>
      </c>
      <c r="W55" s="400">
        <f t="shared" si="10"/>
        <v>30.713510048633808</v>
      </c>
      <c r="X55" s="157">
        <f t="shared" si="11"/>
        <v>46793</v>
      </c>
      <c r="Y55" s="383">
        <f t="shared" si="12"/>
        <v>29.720559463094265</v>
      </c>
      <c r="Z55" s="383">
        <f t="shared" si="22"/>
        <v>31.668211209698086</v>
      </c>
      <c r="AA55" s="384">
        <f t="shared" si="13"/>
        <v>34.217707750447907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7.4508104381026175E-2</v>
      </c>
      <c r="AD55" s="230">
        <f>(INDEX(Models!$BJ55:$BT55,,AH55)*(1-AF55)+INDEX(Models!$BJ55:$BT55,,AH55+1)*AF55-ERP_i)*AE55*Ramure*Pc/MaxiM</f>
        <v>8.6939314064683644E-3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'2027'!Wh/'2027'!Env_an*'2028'!Env_an</f>
        <v>17.013490946671489</v>
      </c>
      <c r="C56" s="829"/>
      <c r="D56" s="391">
        <f t="shared" si="0"/>
        <v>18.128768784013204</v>
      </c>
      <c r="E56" s="383">
        <f t="shared" si="1"/>
        <v>19.090673832753698</v>
      </c>
      <c r="F56" s="383">
        <f t="shared" si="2"/>
        <v>19.095448906941421</v>
      </c>
      <c r="G56" s="110">
        <f t="shared" si="21"/>
        <v>0.50977521450388075</v>
      </c>
      <c r="H56" s="412" t="b">
        <f>Wh_hp&gt;='2027'!Maxi_hp</f>
        <v>0</v>
      </c>
      <c r="I56" s="388">
        <f>IF(H56,Wh_hp,'2027'!Maxi_hp)</f>
        <v>31.561088268066062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6.1519778349493737E-2</v>
      </c>
      <c r="M56" s="832"/>
      <c r="N56" s="832"/>
      <c r="O56" s="48">
        <f>IF(t&lt;Tnet,'2027'!Resal+('2027'!Salim-'2027'!Resal)*(1-EXP(('2027'!Tnet-t)/('2027'!Tau_j))),Resal+(Salim-Resal)*(1-EXP((Tnet-t)/(Tau_j))))*Salcycl</f>
        <v>5.0386123463602543E-2</v>
      </c>
      <c r="P56" s="169">
        <f>(INDEX(Models!$BJ56:$BT56,,T56)*(1-R56)+INDEX(Models!$BJ56:$BT56,,T56+1)*R56-ERP_i)*Q56*Ramure*Pc/MaxiM</f>
        <v>8.3325619329010505E-4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33.355027543446042</v>
      </c>
      <c r="W56" s="400">
        <f t="shared" si="10"/>
        <v>17.013490946671489</v>
      </c>
      <c r="X56" s="157">
        <f t="shared" si="11"/>
        <v>46794</v>
      </c>
      <c r="Y56" s="383">
        <f t="shared" si="12"/>
        <v>16.542849140753532</v>
      </c>
      <c r="Z56" s="383">
        <f t="shared" si="22"/>
        <v>17.627275204222848</v>
      </c>
      <c r="AA56" s="384">
        <f t="shared" si="13"/>
        <v>19.046885960336652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7.4532433231868409E-2</v>
      </c>
      <c r="AD56" s="230">
        <f>(INDEX(Models!$BJ56:$BT56,,AH56)*(1-AF56)+INDEX(Models!$BJ56:$BT56,,AH56+1)*AF56-ERP_i)*AE56*Ramure*Pc/MaxiM</f>
        <v>8.4742926354715899E-3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'2027'!Wh/'2027'!Env_an*'2028'!Env_an</f>
        <v>26.070352338193207</v>
      </c>
      <c r="C57" s="829"/>
      <c r="D57" s="391">
        <f t="shared" si="0"/>
        <v>27.779862994100025</v>
      </c>
      <c r="E57" s="383">
        <f t="shared" si="1"/>
        <v>29.255269454786664</v>
      </c>
      <c r="F57" s="383">
        <f t="shared" si="2"/>
        <v>29.271343309049112</v>
      </c>
      <c r="G57" s="110">
        <f t="shared" si="21"/>
        <v>0.77371967255574969</v>
      </c>
      <c r="H57" s="412" t="b">
        <f>Wh_hp&gt;='2027'!Maxi_hp</f>
        <v>0</v>
      </c>
      <c r="I57" s="388">
        <f>IF(H57,Wh_hp,'2027'!Maxi_hp)</f>
        <v>29.27640387950817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6.1537764108839932E-2</v>
      </c>
      <c r="M57" s="832"/>
      <c r="N57" s="832"/>
      <c r="O57" s="48">
        <f>IF(t&lt;Tnet,'2027'!Resal+('2027'!Salim-'2027'!Resal)*(1-EXP(('2027'!Tnet-t)/('2027'!Tau_j))),Resal+(Salim-Resal)*(1-EXP((Tnet-t)/(Tau_j))))*Salcycl</f>
        <v>5.043216104937423E-2</v>
      </c>
      <c r="P57" s="169">
        <f>(INDEX(Models!$BJ57:$BT57,,T57)*(1-R57)+INDEX(Models!$BJ57:$BT57,,T57+1)*R57-ERP_i)*Q57*Ramure*Pc/MaxiM</f>
        <v>8.1108817451545207E-4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33.685997966878652</v>
      </c>
      <c r="W57" s="400">
        <f t="shared" si="10"/>
        <v>26.070352338193207</v>
      </c>
      <c r="X57" s="157">
        <f t="shared" si="11"/>
        <v>46795</v>
      </c>
      <c r="Y57" s="383">
        <f t="shared" si="12"/>
        <v>25.27978770810952</v>
      </c>
      <c r="Z57" s="383">
        <f t="shared" si="22"/>
        <v>26.937458686447766</v>
      </c>
      <c r="AA57" s="384">
        <f t="shared" si="13"/>
        <v>29.107629938976828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7.4556783121083825E-2</v>
      </c>
      <c r="AD57" s="230">
        <f>(INDEX(Models!$BJ57:$BT57,,AH57)*(1-AF57)+INDEX(Models!$BJ57:$BT57,,AH57+1)*AF57-ERP_i)*AE57*Ramure*Pc/MaxiM</f>
        <v>8.2609918136381574E-3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'2027'!Wh/'2027'!Env_an*'2028'!Env_an</f>
        <v>31.895269878662067</v>
      </c>
      <c r="C58" s="829"/>
      <c r="D58" s="391">
        <f t="shared" si="0"/>
        <v>33.987389088341523</v>
      </c>
      <c r="E58" s="383">
        <f t="shared" si="1"/>
        <v>35.794216007297713</v>
      </c>
      <c r="F58" s="383">
        <f t="shared" si="2"/>
        <v>35.819954630420213</v>
      </c>
      <c r="G58" s="110">
        <f t="shared" si="21"/>
        <v>0.93754416834096144</v>
      </c>
      <c r="H58" s="412" t="b">
        <f>Wh_hp&gt;='2027'!Maxi_hp</f>
        <v>0</v>
      </c>
      <c r="I58" s="388">
        <f>IF(H58,Wh_hp,'2027'!Maxi_hp)</f>
        <v>35.821621277188584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6.1555749523493186E-2</v>
      </c>
      <c r="M58" s="832"/>
      <c r="N58" s="832"/>
      <c r="O58" s="48">
        <f>IF(t&lt;Tnet,'2027'!Resal+('2027'!Salim-'2027'!Resal)*(1-EXP(('2027'!Tnet-t)/('2027'!Tau_j))),Resal+(Salim-Resal)*(1-EXP((Tnet-t)/(Tau_j))))*Salcycl</f>
        <v>5.0478181128141397E-2</v>
      </c>
      <c r="P58" s="169">
        <f>(INDEX(Models!$BJ58:$BT58,,T58)*(1-R58)+INDEX(Models!$BJ58:$BT58,,T58+1)*R58-ERP_i)*Q58*Ramure*Pc/MaxiM</f>
        <v>7.8886575701260346E-4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34.017624743879971</v>
      </c>
      <c r="W58" s="400">
        <f t="shared" si="10"/>
        <v>31.895269878662067</v>
      </c>
      <c r="X58" s="157">
        <f t="shared" si="11"/>
        <v>46796</v>
      </c>
      <c r="Y58" s="383">
        <f t="shared" si="12"/>
        <v>30.879842764196518</v>
      </c>
      <c r="Z58" s="383">
        <f t="shared" si="22"/>
        <v>32.905356656526898</v>
      </c>
      <c r="AA58" s="384">
        <f t="shared" si="13"/>
        <v>35.55725767272213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7.4581145728503287E-2</v>
      </c>
      <c r="AD58" s="230">
        <f>(INDEX(Models!$BJ58:$BT58,,AH58)*(1-AF58)+INDEX(Models!$BJ58:$BT58,,AH58+1)*AF58-ERP_i)*AE58*Ramure*Pc/MaxiM</f>
        <v>8.0514265822658557E-3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'2027'!Wh/'2027'!Env_an*'2028'!Env_an</f>
        <v>14.973669267436465</v>
      </c>
      <c r="C59" s="829"/>
      <c r="D59" s="391">
        <f t="shared" si="0"/>
        <v>15.956148947887401</v>
      </c>
      <c r="E59" s="383">
        <f t="shared" si="1"/>
        <v>16.80521881815331</v>
      </c>
      <c r="F59" s="383">
        <f t="shared" si="2"/>
        <v>16.807719109623307</v>
      </c>
      <c r="G59" s="110">
        <f t="shared" si="21"/>
        <v>0.43564772444657107</v>
      </c>
      <c r="H59" s="412" t="b">
        <f>Wh_hp&gt;='2027'!Maxi_hp</f>
        <v>0</v>
      </c>
      <c r="I59" s="388">
        <f>IF(H59,Wh_hp,'2027'!Maxi_hp)</f>
        <v>38.116109222133424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6.157373459346005E-2</v>
      </c>
      <c r="M59" s="832"/>
      <c r="N59" s="832"/>
      <c r="O59" s="48">
        <f>IF(t&lt;Tnet,'2027'!Resal+('2027'!Salim-'2027'!Resal)*(1-EXP(('2027'!Tnet-t)/('2027'!Tau_j))),Resal+(Salim-Resal)*(1-EXP((Tnet-t)/(Tau_j))))*Salcycl</f>
        <v>5.0524178200448647E-2</v>
      </c>
      <c r="P59" s="169">
        <f>(INDEX(Models!$BJ59:$BT59,,T59)*(1-R59)+INDEX(Models!$BJ59:$BT59,,T59+1)*R59-ERP_i)*Q59*Ramure*Pc/MaxiM</f>
        <v>7.6613705584223748E-4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34.349825857789384</v>
      </c>
      <c r="W59" s="400">
        <f t="shared" si="10"/>
        <v>14.973669267436465</v>
      </c>
      <c r="X59" s="157">
        <f t="shared" si="11"/>
        <v>46797</v>
      </c>
      <c r="Y59" s="383">
        <f t="shared" si="12"/>
        <v>14.57383689919067</v>
      </c>
      <c r="Z59" s="383">
        <f t="shared" si="22"/>
        <v>15.530082049522635</v>
      </c>
      <c r="AA59" s="384">
        <f t="shared" si="13"/>
        <v>16.782120776614512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7.4605512840579966E-2</v>
      </c>
      <c r="AD59" s="230">
        <f>(INDEX(Models!$BJ59:$BT59,,AH59)*(1-AF59)+INDEX(Models!$BJ59:$BT59,,AH59+1)*AF59-ERP_i)*AE59*Ramure*Pc/MaxiM</f>
        <v>7.8438180992791567E-3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'2027'!Wh/'2027'!Env_an*'2028'!Env_an</f>
        <v>18.059409146835939</v>
      </c>
      <c r="C60" s="829"/>
      <c r="D60" s="391">
        <f t="shared" si="0"/>
        <v>19.244724837386787</v>
      </c>
      <c r="E60" s="383">
        <f t="shared" si="1"/>
        <v>20.269770088495267</v>
      </c>
      <c r="F60" s="383">
        <f t="shared" si="2"/>
        <v>20.274519155679329</v>
      </c>
      <c r="G60" s="110">
        <f t="shared" si="21"/>
        <v>0.52044168169874783</v>
      </c>
      <c r="H60" s="412" t="b">
        <f>Wh_hp&gt;='2027'!Maxi_hp</f>
        <v>0</v>
      </c>
      <c r="I60" s="388">
        <f>IF(H60,Wh_hp,'2027'!Maxi_hp)</f>
        <v>37.957548920378891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6.1591719318747074E-2</v>
      </c>
      <c r="M60" s="832"/>
      <c r="N60" s="832"/>
      <c r="O60" s="48">
        <f>IF(t&lt;Tnet,'2027'!Resal+('2027'!Salim-'2027'!Resal)*(1-EXP(('2027'!Tnet-t)/('2027'!Tau_j))),Resal+(Salim-Resal)*(1-EXP((Tnet-t)/(Tau_j))))*Salcycl</f>
        <v>5.0570146905133215E-2</v>
      </c>
      <c r="P60" s="169">
        <f>(INDEX(Models!$BJ60:$BT60,,T60)*(1-R60)+INDEX(Models!$BJ60:$BT60,,T60+1)*R60-ERP_i)*Q60*Ramure*Pc/MaxiM</f>
        <v>7.4291724234937869E-4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34.682503701329196</v>
      </c>
      <c r="W60" s="400">
        <f t="shared" si="10"/>
        <v>18.059409146835939</v>
      </c>
      <c r="X60" s="157">
        <f t="shared" si="11"/>
        <v>46798</v>
      </c>
      <c r="Y60" s="383">
        <f t="shared" si="12"/>
        <v>17.563485663906743</v>
      </c>
      <c r="Z60" s="383">
        <f t="shared" si="22"/>
        <v>18.716251790911564</v>
      </c>
      <c r="AA60" s="384">
        <f t="shared" si="13"/>
        <v>20.225692741688388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7.4629876467253248E-2</v>
      </c>
      <c r="AD60" s="230">
        <f>(INDEX(Models!$BJ60:$BT60,,AH60)*(1-AF60)+INDEX(Models!$BJ60:$BT60,,AH60+1)*AF60-ERP_i)*AE60*Ramure*Pc/MaxiM</f>
        <v>7.6381283797555153E-3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'2027'!Wh/'2027'!Env_an*'2028'!Env_an</f>
        <v>8.8827581107575728</v>
      </c>
      <c r="C61" s="829"/>
      <c r="D61" s="391">
        <f t="shared" si="0"/>
        <v>9.4659526486745964</v>
      </c>
      <c r="E61" s="383">
        <f t="shared" si="1"/>
        <v>9.9706267087485756</v>
      </c>
      <c r="F61" s="383">
        <f t="shared" si="2"/>
        <v>9.9706267087485756</v>
      </c>
      <c r="G61" s="110">
        <f t="shared" si="21"/>
        <v>0.25349785270837544</v>
      </c>
      <c r="H61" s="412" t="b">
        <f>Wh_hp&gt;='2027'!Maxi_hp</f>
        <v>0</v>
      </c>
      <c r="I61" s="388">
        <f>IF(H61,Wh_hp,'2027'!Maxi_hp)</f>
        <v>33.411514000889703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6.1609703699361029E-2</v>
      </c>
      <c r="M61" s="832"/>
      <c r="N61" s="832"/>
      <c r="O61" s="48">
        <f>IF(t&lt;Tnet,'2027'!Resal+('2027'!Salim-'2027'!Resal)*(1-EXP(('2027'!Tnet-t)/('2027'!Tau_j))),Resal+(Salim-Resal)*(1-EXP((Tnet-t)/(Tau_j))))*Salcycl</f>
        <v>5.0616082099549618E-2</v>
      </c>
      <c r="P61" s="169">
        <f>(INDEX(Models!$BJ61:$BT61,,T61)*(1-R61)+INDEX(Models!$BJ61:$BT61,,T61+1)*R61-ERP_i)*Q61*Ramure*Pc/MaxiM</f>
        <v>7.1922068605556329E-4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35.015560694261517</v>
      </c>
      <c r="W61" s="400">
        <f t="shared" si="10"/>
        <v>8.8827581107575728</v>
      </c>
      <c r="X61" s="157">
        <f t="shared" si="11"/>
        <v>46799</v>
      </c>
      <c r="Y61" s="383">
        <f t="shared" si="12"/>
        <v>8.6578490513536082</v>
      </c>
      <c r="Z61" s="383">
        <f t="shared" si="22"/>
        <v>9.2262772595634654</v>
      </c>
      <c r="AA61" s="384">
        <f t="shared" si="13"/>
        <v>9.9706267087485756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7.4654228959548999E-2</v>
      </c>
      <c r="AD61" s="230">
        <f>(INDEX(Models!$BJ61:$BT61,,AH61)*(1-AF61)+INDEX(Models!$BJ61:$BT61,,AH61+1)*AF61-ERP_i)*AE61*Ramure*Pc/MaxiM</f>
        <v>7.4343193588042476E-3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'2027'!Wh/'2027'!Env_an*'2028'!Env_an</f>
        <v>11.066639665085006</v>
      </c>
      <c r="C62" s="829"/>
      <c r="D62" s="391">
        <f t="shared" si="0"/>
        <v>11.793442240827094</v>
      </c>
      <c r="E62" s="383">
        <f t="shared" si="1"/>
        <v>12.422806186204998</v>
      </c>
      <c r="F62" s="383">
        <f t="shared" si="2"/>
        <v>12.422967394724465</v>
      </c>
      <c r="G62" s="110">
        <f t="shared" si="21"/>
        <v>0.31285531972228475</v>
      </c>
      <c r="H62" s="412" t="b">
        <f>Wh_hp&gt;='2027'!Maxi_hp</f>
        <v>0</v>
      </c>
      <c r="I62" s="388">
        <f>IF(H62,Wh_hp,'2027'!Maxi_hp)</f>
        <v>36.826584894030596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6.1627687735308356E-2</v>
      </c>
      <c r="M62" s="832"/>
      <c r="N62" s="832"/>
      <c r="O62" s="48">
        <f>IF(t&lt;Tnet,'2027'!Resal+('2027'!Salim-'2027'!Resal)*(1-EXP(('2027'!Tnet-t)/('2027'!Tau_j))),Resal+(Salim-Resal)*(1-EXP((Tnet-t)/(Tau_j))))*Salcycl</f>
        <v>5.0661978939733128E-2</v>
      </c>
      <c r="P62" s="169">
        <f>(INDEX(Models!$BJ62:$BT62,,T62)*(1-R62)+INDEX(Models!$BJ62:$BT62,,T62+1)*R62-ERP_i)*Q62*Ramure*Pc/MaxiM</f>
        <v>6.950609932000444E-4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35.348899278164858</v>
      </c>
      <c r="W62" s="400">
        <f t="shared" si="10"/>
        <v>11.066639665085006</v>
      </c>
      <c r="X62" s="157">
        <f t="shared" si="11"/>
        <v>46800</v>
      </c>
      <c r="Y62" s="383">
        <f t="shared" si="12"/>
        <v>10.785356592792315</v>
      </c>
      <c r="Z62" s="383">
        <f t="shared" si="22"/>
        <v>11.493685876944367</v>
      </c>
      <c r="AA62" s="384">
        <f t="shared" si="13"/>
        <v>12.421289963606386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7.4678563126683459E-2</v>
      </c>
      <c r="AD62" s="230">
        <f>(INDEX(Models!$BJ62:$BT62,,AH62)*(1-AF62)+INDEX(Models!$BJ62:$BT62,,AH62+1)*AF62-ERP_i)*AE62*Ramure*Pc/MaxiM</f>
        <v>7.2323531214123077E-3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'2027'!Wh/'2027'!Env_an*'2028'!Env_an</f>
        <v>28.569096009335237</v>
      </c>
      <c r="C63" s="829"/>
      <c r="D63" s="391">
        <f t="shared" si="0"/>
        <v>30.445957501756627</v>
      </c>
      <c r="E63" s="383">
        <f t="shared" si="1"/>
        <v>32.072272961737802</v>
      </c>
      <c r="F63" s="383">
        <f t="shared" si="2"/>
        <v>32.087659482790002</v>
      </c>
      <c r="G63" s="110">
        <f t="shared" si="21"/>
        <v>0.80049607052403249</v>
      </c>
      <c r="H63" s="412" t="b">
        <f>Wh_hp&gt;='2027'!Maxi_hp</f>
        <v>0</v>
      </c>
      <c r="I63" s="388">
        <f>IF(H63,Wh_hp,'2027'!Maxi_hp)</f>
        <v>32.091750465237126</v>
      </c>
      <c r="J63" s="85">
        <f>IF(H63,An,'2027'!An_max)</f>
        <v>2027</v>
      </c>
      <c r="K63" s="197">
        <f t="shared" si="3"/>
        <v>46801</v>
      </c>
      <c r="L63" s="147">
        <f>IF(t&lt;Tvie,1-EXP((T0-t)*PertePVj)+'2027'!Pspv,1-EXP((T0-t)*PertePVj)+Pspv)</f>
        <v>6.1645671426595827E-2</v>
      </c>
      <c r="M63" s="832"/>
      <c r="N63" s="832"/>
      <c r="O63" s="48">
        <f>IF(t&lt;Tnet,'2027'!Resal+('2027'!Salim-'2027'!Resal)*(1-EXP(('2027'!Tnet-t)/('2027'!Tau_j))),Resal+(Salim-Resal)*(1-EXP((Tnet-t)/(Tau_j))))*Salcycl</f>
        <v>5.070783295968357E-2</v>
      </c>
      <c r="P63" s="169">
        <f>(INDEX(Models!$BJ63:$BT63,,T63)*(1-R63)+INDEX(Models!$BJ63:$BT63,,T63+1)*R63-ERP_i)*Q63*Ramure*Pc/MaxiM</f>
        <v>6.7045103858830678E-4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35.682421913600905</v>
      </c>
      <c r="W63" s="400">
        <f t="shared" si="10"/>
        <v>28.569096009335237</v>
      </c>
      <c r="X63" s="157">
        <f t="shared" si="11"/>
        <v>46801</v>
      </c>
      <c r="Y63" s="383">
        <f t="shared" si="12"/>
        <v>27.720197115186139</v>
      </c>
      <c r="Z63" s="383">
        <f t="shared" si="22"/>
        <v>29.541289757068228</v>
      </c>
      <c r="AA63" s="384">
        <f t="shared" si="13"/>
        <v>31.926274138710312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7.4702872351469149E-2</v>
      </c>
      <c r="AD63" s="230">
        <f>(INDEX(Models!$BJ63:$BT63,,AH63)*(1-AF63)+INDEX(Models!$BJ63:$BT63,,AH63+1)*AF63-ERP_i)*AE63*Ramure*Pc/MaxiM</f>
        <v>7.0321920844925905E-3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'2027'!Wh/'2027'!Env_an*'2028'!Env_an</f>
        <v>19.384395529592791</v>
      </c>
      <c r="C64" s="829"/>
      <c r="D64" s="391">
        <f t="shared" si="0"/>
        <v>20.658259299236793</v>
      </c>
      <c r="E64" s="383">
        <f t="shared" si="1"/>
        <v>21.762800652170981</v>
      </c>
      <c r="F64" s="383">
        <f t="shared" si="2"/>
        <v>21.767581595595072</v>
      </c>
      <c r="G64" s="110">
        <f t="shared" si="21"/>
        <v>0.53798655491210101</v>
      </c>
      <c r="H64" s="412" t="b">
        <f>Wh_hp&gt;='2027'!Maxi_hp</f>
        <v>0</v>
      </c>
      <c r="I64" s="388">
        <f>IF(H64,Wh_hp,'2027'!Maxi_hp)</f>
        <v>39.436937045771522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6.1663654773229881E-2</v>
      </c>
      <c r="M64" s="832"/>
      <c r="N64" s="832"/>
      <c r="O64" s="48">
        <f>IF(t&lt;Tnet,'2027'!Resal+('2027'!Salim-'2027'!Resal)*(1-EXP(('2027'!Tnet-t)/('2027'!Tau_j))),Resal+(Salim-Resal)*(1-EXP((Tnet-t)/(Tau_j))))*Salcycl</f>
        <v>5.0753640148976147E-2</v>
      </c>
      <c r="P64" s="169">
        <f>(INDEX(Models!$BJ64:$BT64,,T64)*(1-R64)+INDEX(Models!$BJ64:$BT64,,T64+1)*R64-ERP_i)*Q64*Ramure*Pc/MaxiM</f>
        <v>6.4540299050155361E-4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36.016031075166381</v>
      </c>
      <c r="W64" s="400">
        <f t="shared" si="10"/>
        <v>19.384395529592791</v>
      </c>
      <c r="X64" s="157">
        <f t="shared" si="11"/>
        <v>46802</v>
      </c>
      <c r="Y64" s="383">
        <f t="shared" si="12"/>
        <v>18.855036070211519</v>
      </c>
      <c r="Z64" s="383">
        <f t="shared" si="22"/>
        <v>20.094112485491301</v>
      </c>
      <c r="AA64" s="384">
        <f t="shared" si="13"/>
        <v>21.716958949736146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7.472715070286394E-2</v>
      </c>
      <c r="AD64" s="230">
        <f>(INDEX(Models!$BJ64:$BT64,,AH64)*(1-AF64)+INDEX(Models!$BJ64:$BT64,,AH64+1)*AF64-ERP_i)*AE64*Ramure*Pc/MaxiM</f>
        <v>6.8337991325736333E-3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'2027'!Wh/'2027'!Env_an*'2028'!Env_an</f>
        <v>19.266676741571263</v>
      </c>
      <c r="C65" s="829"/>
      <c r="D65" s="391">
        <f t="shared" si="0"/>
        <v>20.533198024484314</v>
      </c>
      <c r="E65" s="383">
        <f t="shared" si="1"/>
        <v>21.632095428713839</v>
      </c>
      <c r="F65" s="383">
        <f t="shared" si="2"/>
        <v>21.636503209975473</v>
      </c>
      <c r="G65" s="110">
        <f t="shared" si="21"/>
        <v>0.52981356718929218</v>
      </c>
      <c r="H65" s="412" t="b">
        <f>Wh_hp&gt;='2027'!Maxi_hp</f>
        <v>0</v>
      </c>
      <c r="I65" s="388">
        <f>IF(H65,Wh_hp,'2027'!Maxi_hp)</f>
        <v>41.467946828147284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6.1681637775217291E-2</v>
      </c>
      <c r="M65" s="832"/>
      <c r="N65" s="832"/>
      <c r="O65" s="48">
        <f>IF(t&lt;Tnet,'2027'!Resal+('2027'!Salim-'2027'!Resal)*(1-EXP(('2027'!Tnet-t)/('2027'!Tau_j))),Resal+(Salim-Resal)*(1-EXP((Tnet-t)/(Tau_j))))*Salcycl</f>
        <v>5.0799397027940181E-2</v>
      </c>
      <c r="P65" s="169">
        <f>(INDEX(Models!$BJ65:$BT65,,T65)*(1-R65)+INDEX(Models!$BJ65:$BT65,,T65+1)*R65-ERP_i)*Q65*Ramure*Pc/MaxiM</f>
        <v>6.1992416260381431E-4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36.349873659064841</v>
      </c>
      <c r="W65" s="400">
        <f t="shared" si="10"/>
        <v>19.266676741571263</v>
      </c>
      <c r="X65" s="157">
        <f t="shared" si="11"/>
        <v>46803</v>
      </c>
      <c r="Y65" s="383">
        <f t="shared" si="12"/>
        <v>18.743360642184562</v>
      </c>
      <c r="Z65" s="383">
        <f t="shared" si="22"/>
        <v>19.975481027295956</v>
      </c>
      <c r="AA65" s="384">
        <f t="shared" si="13"/>
        <v>21.58931218824085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7.4751393044559702E-2</v>
      </c>
      <c r="AD65" s="230">
        <f>(INDEX(Models!$BJ65:$BT65,,AH65)*(1-AF65)+INDEX(Models!$BJ65:$BT65,,AH65+1)*AF65-ERP_i)*AE65*Ramure*Pc/MaxiM</f>
        <v>6.6370931075683788E-3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'2027'!Wh/'2027'!Env_an*'2028'!Env_an</f>
        <v>21.330840502330265</v>
      </c>
      <c r="C66" s="829"/>
      <c r="D66" s="391">
        <f t="shared" si="0"/>
        <v>22.73348808849887</v>
      </c>
      <c r="E66" s="383">
        <f t="shared" si="1"/>
        <v>23.951294046668565</v>
      </c>
      <c r="F66" s="383">
        <f t="shared" si="2"/>
        <v>23.957019119811768</v>
      </c>
      <c r="G66" s="110">
        <f t="shared" si="21"/>
        <v>0.58126625334185833</v>
      </c>
      <c r="H66" s="412" t="b">
        <f>Wh_hp&gt;='2027'!Maxi_hp</f>
        <v>0</v>
      </c>
      <c r="I66" s="388">
        <f>IF(H66,Wh_hp,'2027'!Maxi_hp)</f>
        <v>23.962712426185501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6.1699620432564495E-2</v>
      </c>
      <c r="M66" s="832"/>
      <c r="N66" s="832"/>
      <c r="O66" s="48">
        <f>IF(t&lt;Tnet,'2027'!Resal+('2027'!Salim-'2027'!Resal)*(1-EXP(('2027'!Tnet-t)/('2027'!Tau_j))),Resal+(Salim-Resal)*(1-EXP((Tnet-t)/(Tau_j))))*Salcycl</f>
        <v>5.0845100719686696E-2</v>
      </c>
      <c r="P66" s="169">
        <f>(INDEX(Models!$BJ66:$BT66,,T66)*(1-R66)+INDEX(Models!$BJ66:$BT66,,T66+1)*R66-ERP_i)*Q66*Ramure*Pc/MaxiM</f>
        <v>5.9430540906323928E-4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36.684151234139989</v>
      </c>
      <c r="W66" s="400">
        <f t="shared" si="10"/>
        <v>21.330840502330265</v>
      </c>
      <c r="X66" s="157">
        <f t="shared" si="11"/>
        <v>46804</v>
      </c>
      <c r="Y66" s="383">
        <f t="shared" si="12"/>
        <v>20.744155055633453</v>
      </c>
      <c r="Z66" s="383">
        <f t="shared" si="22"/>
        <v>22.108224090452445</v>
      </c>
      <c r="AA66" s="384">
        <f t="shared" si="13"/>
        <v>23.894985880494151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7.4775595138571141E-2</v>
      </c>
      <c r="AD66" s="230">
        <f>(INDEX(Models!$BJ66:$BT66,,AH66)*(1-AF66)+INDEX(Models!$BJ66:$BT66,,AH66+1)*AF66-ERP_i)*AE66*Ramure*Pc/MaxiM</f>
        <v>6.439514176676514E-3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'2027'!Wh/'2027'!Env_an*'2028'!Env_an</f>
        <v>32.595831421212203</v>
      </c>
      <c r="C67" s="829"/>
      <c r="D67" s="391">
        <f t="shared" si="0"/>
        <v>34.739894424730629</v>
      </c>
      <c r="E67" s="383">
        <f t="shared" si="1"/>
        <v>36.602629664391451</v>
      </c>
      <c r="F67" s="383">
        <f t="shared" si="2"/>
        <v>36.619912386868535</v>
      </c>
      <c r="G67" s="110">
        <f t="shared" si="21"/>
        <v>0.88043439749299524</v>
      </c>
      <c r="H67" s="412" t="b">
        <f>Wh_hp&gt;='2027'!Maxi_hp</f>
        <v>0</v>
      </c>
      <c r="I67" s="388">
        <f>IF(H67,Wh_hp,'2027'!Maxi_hp)</f>
        <v>39.949310572645629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6.1717602745278155E-2</v>
      </c>
      <c r="M67" s="832"/>
      <c r="N67" s="832"/>
      <c r="O67" s="48">
        <f>IF(t&lt;Tnet,'2027'!Resal+('2027'!Salim-'2027'!Resal)*(1-EXP(('2027'!Tnet-t)/('2027'!Tau_j))),Resal+(Salim-Resal)*(1-EXP((Tnet-t)/(Tau_j))))*Salcycl</f>
        <v>5.0890749018313634E-2</v>
      </c>
      <c r="P67" s="169">
        <f>(INDEX(Models!$BJ67:$BT67,,T67)*(1-R67)+INDEX(Models!$BJ67:$BT67,,T67+1)*R67-ERP_i)*Q67*Ramure*Pc/MaxiM</f>
        <v>5.6908315900811479E-4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37.018844155514358</v>
      </c>
      <c r="W67" s="400">
        <f t="shared" si="10"/>
        <v>32.595831421212203</v>
      </c>
      <c r="X67" s="157">
        <f t="shared" si="11"/>
        <v>46805</v>
      </c>
      <c r="Y67" s="383">
        <f t="shared" si="12"/>
        <v>31.625186010658993</v>
      </c>
      <c r="Z67" s="383">
        <f t="shared" si="22"/>
        <v>33.705402662556281</v>
      </c>
      <c r="AA67" s="384">
        <f t="shared" si="13"/>
        <v>36.430386609720571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7.4799753742860159E-2</v>
      </c>
      <c r="AD67" s="230">
        <f>(INDEX(Models!$BJ67:$BT67,,AH67)*(1-AF67)+INDEX(Models!$BJ67:$BT67,,AH67+1)*AF67-ERP_i)*AE67*Ramure*Pc/MaxiM</f>
        <v>6.2406792746828779E-3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'2027'!Wh/'2027'!Env_an*'2028'!Env_an</f>
        <v>34.251226641023429</v>
      </c>
      <c r="C68" s="829"/>
      <c r="D68" s="391">
        <f t="shared" si="0"/>
        <v>36.504876539050933</v>
      </c>
      <c r="E68" s="383">
        <f t="shared" si="1"/>
        <v>38.464096872555949</v>
      </c>
      <c r="F68" s="383">
        <f t="shared" si="2"/>
        <v>38.482555534903256</v>
      </c>
      <c r="G68" s="110">
        <f t="shared" si="21"/>
        <v>0.91687790004344782</v>
      </c>
      <c r="H68" s="412" t="b">
        <f>Wh_hp&gt;='2027'!Maxi_hp</f>
        <v>0</v>
      </c>
      <c r="I68" s="388">
        <f>IF(H68,Wh_hp,'2027'!Maxi_hp)</f>
        <v>41.571938803017574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6.1735584713364933E-2</v>
      </c>
      <c r="M68" s="832"/>
      <c r="N68" s="832"/>
      <c r="O68" s="48">
        <f>IF(t&lt;Tnet,'2027'!Resal+('2027'!Salim-'2027'!Resal)*(1-EXP(('2027'!Tnet-t)/('2027'!Tau_j))),Resal+(Salim-Resal)*(1-EXP((Tnet-t)/(Tau_j))))*Salcycl</f>
        <v>5.0936340452670661E-2</v>
      </c>
      <c r="P68" s="169">
        <f>(INDEX(Models!$BJ68:$BT68,,T68)*(1-R68)+INDEX(Models!$BJ68:$BT68,,T68+1)*R68-ERP_i)*Q68*Ramure*Pc/MaxiM</f>
        <v>5.4424373899585087E-4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37.353952595217571</v>
      </c>
      <c r="W68" s="400">
        <f t="shared" si="10"/>
        <v>34.251226641023429</v>
      </c>
      <c r="X68" s="157">
        <f t="shared" si="11"/>
        <v>46806</v>
      </c>
      <c r="Y68" s="383">
        <f t="shared" si="12"/>
        <v>33.22731862586258</v>
      </c>
      <c r="Z68" s="383">
        <f t="shared" si="22"/>
        <v>35.413597792379029</v>
      </c>
      <c r="AA68" s="384">
        <f t="shared" si="13"/>
        <v>38.277681965425977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7.482386670211405E-2</v>
      </c>
      <c r="AD68" s="230">
        <f>(INDEX(Models!$BJ68:$BT68,,AH68)*(1-AF68)+INDEX(Models!$BJ68:$BT68,,AH68+1)*AF68-ERP_i)*AE68*Ramure*Pc/MaxiM</f>
        <v>6.0405870899960176E-3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'2027'!Wh/'2027'!Env_an*'2028'!Env_an</f>
        <v>21.320251997649805</v>
      </c>
      <c r="C69" s="829"/>
      <c r="D69" s="391">
        <f t="shared" si="0"/>
        <v>22.723509765349981</v>
      </c>
      <c r="E69" s="383">
        <f t="shared" si="1"/>
        <v>23.944231570571404</v>
      </c>
      <c r="F69" s="383">
        <f t="shared" si="2"/>
        <v>23.94895619775567</v>
      </c>
      <c r="G69" s="110">
        <f t="shared" si="21"/>
        <v>0.56549936048935001</v>
      </c>
      <c r="H69" s="412" t="b">
        <f>Wh_hp&gt;='2027'!Maxi_hp</f>
        <v>0</v>
      </c>
      <c r="I69" s="388">
        <f>IF(H69,Wh_hp,'2027'!Maxi_hp)</f>
        <v>41.52507944394246</v>
      </c>
      <c r="J69" s="85">
        <f>IF(H69,An,'2027'!An_max)</f>
        <v>2020</v>
      </c>
      <c r="K69" s="197">
        <f t="shared" si="3"/>
        <v>46807</v>
      </c>
      <c r="L69" s="147">
        <f>IF(t&lt;Tvie,1-EXP((T0-t)*PertePVj)+'2027'!Pspv,1-EXP((T0-t)*PertePVj)+Pspv)</f>
        <v>6.1753566336831378E-2</v>
      </c>
      <c r="M69" s="832"/>
      <c r="N69" s="832"/>
      <c r="O69" s="48">
        <f>IF(t&lt;Tnet,'2027'!Resal+('2027'!Salim-'2027'!Resal)*(1-EXP(('2027'!Tnet-t)/('2027'!Tau_j))),Resal+(Salim-Resal)*(1-EXP((Tnet-t)/(Tau_j))))*Salcycl</f>
        <v>5.0981874345124044E-2</v>
      </c>
      <c r="P69" s="169">
        <f>(INDEX(Models!$BJ69:$BT69,,T69)*(1-R69)+INDEX(Models!$BJ69:$BT69,,T69+1)*R69-ERP_i)*Q69*Ramure*Pc/MaxiM</f>
        <v>5.1977710322805232E-4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37.689476576257512</v>
      </c>
      <c r="W69" s="400">
        <f t="shared" si="10"/>
        <v>21.320251997649805</v>
      </c>
      <c r="X69" s="157">
        <f t="shared" si="11"/>
        <v>46807</v>
      </c>
      <c r="Y69" s="383">
        <f t="shared" si="12"/>
        <v>20.742115775977062</v>
      </c>
      <c r="Z69" s="383">
        <f t="shared" si="22"/>
        <v>22.107321735286767</v>
      </c>
      <c r="AA69" s="384">
        <f t="shared" si="13"/>
        <v>23.895878877201692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7.484793303088462E-2</v>
      </c>
      <c r="AD69" s="230">
        <f>(INDEX(Models!$BJ69:$BT69,,AH69)*(1-AF69)+INDEX(Models!$BJ69:$BT69,,AH69+1)*AF69-ERP_i)*AE69*Ramure*Pc/MaxiM</f>
        <v>5.8392704542933691E-3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'2027'!Wh/'2027'!Env_an*'2028'!Env_an</f>
        <v>30.530213446948149</v>
      </c>
      <c r="C70" s="829"/>
      <c r="D70" s="391">
        <f t="shared" si="0"/>
        <v>32.540276698454257</v>
      </c>
      <c r="E70" s="383">
        <f t="shared" si="1"/>
        <v>34.290004804784559</v>
      </c>
      <c r="F70" s="383">
        <f t="shared" si="2"/>
        <v>34.302219785410543</v>
      </c>
      <c r="G70" s="110">
        <f t="shared" si="21"/>
        <v>0.80277755835984121</v>
      </c>
      <c r="H70" s="412" t="b">
        <f>Wh_hp&gt;='2027'!Maxi_hp</f>
        <v>0</v>
      </c>
      <c r="I70" s="388">
        <f>IF(H70,Wh_hp,'2027'!Maxi_hp)</f>
        <v>36.519009293012743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6.1771547615684153E-2</v>
      </c>
      <c r="M70" s="832"/>
      <c r="N70" s="832"/>
      <c r="O70" s="48">
        <f>IF(t&lt;Tnet,'2027'!Resal+('2027'!Salim-'2027'!Resal)*(1-EXP(('2027'!Tnet-t)/('2027'!Tau_j))),Resal+(Salim-Resal)*(1-EXP((Tnet-t)/(Tau_j))))*Salcycl</f>
        <v>5.1027350864825682E-2</v>
      </c>
      <c r="P70" s="169">
        <f>(INDEX(Models!$BJ70:$BT70,,T70)*(1-R70)+INDEX(Models!$BJ70:$BT70,,T70+1)*R70-ERP_i)*Q70*Ramure*Pc/MaxiM</f>
        <v>4.9567371548923619E-4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38.025416082338822</v>
      </c>
      <c r="W70" s="400">
        <f t="shared" si="10"/>
        <v>30.530213446948149</v>
      </c>
      <c r="X70" s="157">
        <f t="shared" si="11"/>
        <v>46808</v>
      </c>
      <c r="Y70" s="383">
        <f t="shared" si="12"/>
        <v>29.653121256322791</v>
      </c>
      <c r="Z70" s="383">
        <f t="shared" si="22"/>
        <v>31.605438079569474</v>
      </c>
      <c r="AA70" s="384">
        <f t="shared" si="13"/>
        <v>34.163311967097833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7.4871952988393234E-2</v>
      </c>
      <c r="AD70" s="230">
        <f>(INDEX(Models!$BJ70:$BT70,,AH70)*(1-AF70)+INDEX(Models!$BJ70:$BT70,,AH70+1)*AF70-ERP_i)*AE70*Ramure*Pc/MaxiM</f>
        <v>5.6367632926996314E-3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'2027'!Wh/'2027'!Env_an*'2028'!Env_an</f>
        <v>38.692818770902427</v>
      </c>
      <c r="C71" s="829"/>
      <c r="D71" s="391">
        <f t="shared" si="0"/>
        <v>41.241086033819208</v>
      </c>
      <c r="E71" s="383">
        <f t="shared" si="1"/>
        <v>43.460746806203439</v>
      </c>
      <c r="F71" s="383">
        <f t="shared" si="2"/>
        <v>43.481266681339839</v>
      </c>
      <c r="G71" s="110">
        <f t="shared" si="21"/>
        <v>1.0086296254599769</v>
      </c>
      <c r="H71" s="412" t="b">
        <f>Wh_hp&gt;='2027'!Maxi_hp</f>
        <v>1</v>
      </c>
      <c r="I71" s="388">
        <f>IF(H71,Wh_hp,'2027'!Maxi_hp)</f>
        <v>43.481266681339839</v>
      </c>
      <c r="J71" s="85">
        <f>IF(H71,An,'2027'!An_max)</f>
        <v>2028</v>
      </c>
      <c r="K71" s="197">
        <f t="shared" si="3"/>
        <v>46809</v>
      </c>
      <c r="L71" s="147">
        <f>IF(t&lt;Tvie,1-EXP((T0-t)*PertePVj)+'2027'!Pspv,1-EXP((T0-t)*PertePVj)+Pspv)</f>
        <v>6.1789528549929806E-2</v>
      </c>
      <c r="M71" s="832"/>
      <c r="N71" s="832"/>
      <c r="O71" s="48">
        <f>IF(t&lt;Tnet,'2027'!Resal+('2027'!Salim-'2027'!Resal)*(1-EXP(('2027'!Tnet-t)/('2027'!Tau_j))),Resal+(Salim-Resal)*(1-EXP((Tnet-t)/(Tau_j))))*Salcycl</f>
        <v>5.1072771075056693E-2</v>
      </c>
      <c r="P71" s="169">
        <f>(INDEX(Models!$BJ71:$BT71,,T71)*(1-R71)+INDEX(Models!$BJ71:$BT71,,T71+1)*R71-ERP_i)*Q71*Ramure*Pc/MaxiM</f>
        <v>4.719245022639606E-4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38.361771054718822</v>
      </c>
      <c r="W71" s="400">
        <f t="shared" si="10"/>
        <v>38.692818770902427</v>
      </c>
      <c r="X71" s="157">
        <f t="shared" si="11"/>
        <v>46809</v>
      </c>
      <c r="Y71" s="383">
        <f t="shared" si="12"/>
        <v>37.534190765188754</v>
      </c>
      <c r="Z71" s="383">
        <f t="shared" si="22"/>
        <v>40.006152038760582</v>
      </c>
      <c r="AA71" s="384">
        <f t="shared" si="13"/>
        <v>43.245028592853743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7.4895928144406099E-2</v>
      </c>
      <c r="AD71" s="230">
        <f>(INDEX(Models!$BJ71:$BT71,,AH71)*(1-AF71)+INDEX(Models!$BJ71:$BT71,,AH71+1)*AF71-ERP_i)*AE71*Ramure*Pc/MaxiM</f>
        <v>5.4331004250040126E-3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'2027'!Wh/'2027'!Env_an*'2028'!Env_an</f>
        <v>27.657586477587177</v>
      </c>
      <c r="C72" s="829"/>
      <c r="D72" s="391">
        <f t="shared" si="0"/>
        <v>29.479650228517759</v>
      </c>
      <c r="E72" s="383">
        <f t="shared" si="1"/>
        <v>31.067777114545702</v>
      </c>
      <c r="F72" s="383">
        <f t="shared" si="2"/>
        <v>31.076044183798942</v>
      </c>
      <c r="G72" s="110">
        <f t="shared" si="21"/>
        <v>0.71456279241466114</v>
      </c>
      <c r="H72" s="412" t="b">
        <f>Wh_hp&gt;='2027'!Maxi_hp</f>
        <v>0</v>
      </c>
      <c r="I72" s="388">
        <f>IF(H72,Wh_hp,'2027'!Maxi_hp)</f>
        <v>42.979805880549684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6.180750913957489E-2</v>
      </c>
      <c r="M72" s="832"/>
      <c r="N72" s="832"/>
      <c r="O72" s="48">
        <f>IF(t&lt;Tnet,'2027'!Resal+('2027'!Salim-'2027'!Resal)*(1-EXP(('2027'!Tnet-t)/('2027'!Tau_j))),Resal+(Salim-Resal)*(1-EXP((Tnet-t)/(Tau_j))))*Salcycl</f>
        <v>5.111813697428625E-2</v>
      </c>
      <c r="P72" s="169">
        <f>(INDEX(Models!$BJ72:$BT72,,T72)*(1-R72)+INDEX(Models!$BJ72:$BT72,,T72+1)*R72-ERP_i)*Q72*Ramure*Pc/MaxiM</f>
        <v>4.4905187808250786E-4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38.698520829687141</v>
      </c>
      <c r="W72" s="400">
        <f t="shared" si="10"/>
        <v>27.657586477587177</v>
      </c>
      <c r="X72" s="157">
        <f t="shared" si="11"/>
        <v>46810</v>
      </c>
      <c r="Y72" s="383">
        <f t="shared" si="12"/>
        <v>26.887426770582746</v>
      </c>
      <c r="Z72" s="383">
        <f t="shared" si="22"/>
        <v>28.658752902534996</v>
      </c>
      <c r="AA72" s="384">
        <f t="shared" si="13"/>
        <v>30.97975159969635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7.4919861435690321E-2</v>
      </c>
      <c r="AD72" s="230">
        <f>(INDEX(Models!$BJ72:$BT72,,AH72)*(1-AF72)+INDEX(Models!$BJ72:$BT72,,AH72+1)*AF72-ERP_i)*AE72*Ramure*Pc/MaxiM</f>
        <v>5.2304346815228919E-3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'2027'!Wh/'2027'!Env_an*'2028'!Env_an</f>
        <v>33.388910811141024</v>
      </c>
      <c r="C73" s="829"/>
      <c r="D73" s="391">
        <f t="shared" si="0"/>
        <v>35.589232529074302</v>
      </c>
      <c r="E73" s="383">
        <f t="shared" si="1"/>
        <v>37.508285896539981</v>
      </c>
      <c r="F73" s="383">
        <f t="shared" si="2"/>
        <v>37.521006835662199</v>
      </c>
      <c r="G73" s="110">
        <f t="shared" si="21"/>
        <v>0.85526841704534828</v>
      </c>
      <c r="H73" s="412" t="b">
        <f>Wh_hp&gt;='2027'!Maxi_hp</f>
        <v>0</v>
      </c>
      <c r="I73" s="388">
        <f>IF(H73,Wh_hp,'2027'!Maxi_hp)</f>
        <v>37.523227982646929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6.1825489384626175E-2</v>
      </c>
      <c r="M73" s="832"/>
      <c r="N73" s="832"/>
      <c r="O73" s="48">
        <f>IF(t&lt;Tnet,'2027'!Resal+('2027'!Salim-'2027'!Resal)*(1-EXP(('2027'!Tnet-t)/('2027'!Tau_j))),Resal+(Salim-Resal)*(1-EXP((Tnet-t)/(Tau_j))))*Salcycl</f>
        <v>5.1163451530657773E-2</v>
      </c>
      <c r="P73" s="169">
        <f>(INDEX(Models!$BJ73:$BT73,,T73)*(1-R73)+INDEX(Models!$BJ73:$BT73,,T73+1)*R73-ERP_i)*Q73*Ramure*Pc/MaxiM</f>
        <v>4.2734700281004968E-4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39.035653028002748</v>
      </c>
      <c r="W73" s="400">
        <f t="shared" si="10"/>
        <v>33.388910811141024</v>
      </c>
      <c r="X73" s="157">
        <f t="shared" si="11"/>
        <v>46811</v>
      </c>
      <c r="Y73" s="383">
        <f t="shared" si="12"/>
        <v>32.433170568243455</v>
      </c>
      <c r="Z73" s="383">
        <f t="shared" si="22"/>
        <v>34.570509218982799</v>
      </c>
      <c r="AA73" s="384">
        <f t="shared" si="13"/>
        <v>37.371251195296715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7.494375721266712E-2</v>
      </c>
      <c r="AD73" s="230">
        <f>(INDEX(Models!$BJ73:$BT73,,AH73)*(1-AF73)+INDEX(Models!$BJ73:$BT73,,AH73+1)*AF73-ERP_i)*AE73*Ramure*Pc/MaxiM</f>
        <v>5.0308883211532705E-3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'2027'!Wh/'2027'!Env_an*'2028'!Env_an</f>
        <v>38.738194707686191</v>
      </c>
      <c r="C74" s="829"/>
      <c r="D74" s="391">
        <f t="shared" si="0"/>
        <v>41.291824380486119</v>
      </c>
      <c r="E74" s="383">
        <f t="shared" si="1"/>
        <v>43.520450909214873</v>
      </c>
      <c r="F74" s="383">
        <f t="shared" si="2"/>
        <v>43.537753258540754</v>
      </c>
      <c r="G74" s="110">
        <f t="shared" si="21"/>
        <v>0.98386373461062082</v>
      </c>
      <c r="H74" s="412" t="b">
        <f>Wh_hp&gt;='2027'!Maxi_hp</f>
        <v>0</v>
      </c>
      <c r="I74" s="388">
        <f>IF(H74,Wh_hp,'2027'!Maxi_hp)</f>
        <v>43.538026711857071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6.1843469285090102E-2</v>
      </c>
      <c r="M74" s="832"/>
      <c r="N74" s="832"/>
      <c r="O74" s="48">
        <f>IF(t&lt;Tnet,'2027'!Resal+('2027'!Salim-'2027'!Resal)*(1-EXP(('2027'!Tnet-t)/('2027'!Tau_j))),Resal+(Salim-Resal)*(1-EXP((Tnet-t)/(Tau_j))))*Salcycl</f>
        <v>5.120871870968767E-2</v>
      </c>
      <c r="P74" s="169">
        <f>(INDEX(Models!$BJ74:$BT74,,T74)*(1-R74)+INDEX(Models!$BJ74:$BT74,,T74+1)*R74-ERP_i)*Q74*Ramure*Pc/MaxiM</f>
        <v>4.0678194700078291E-4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39.373167399027849</v>
      </c>
      <c r="W74" s="400">
        <f t="shared" si="10"/>
        <v>38.738194707686191</v>
      </c>
      <c r="X74" s="157">
        <f t="shared" si="11"/>
        <v>46812</v>
      </c>
      <c r="Y74" s="383">
        <f t="shared" si="12"/>
        <v>37.604707543636266</v>
      </c>
      <c r="Z74" s="383">
        <f t="shared" si="22"/>
        <v>40.083617512079876</v>
      </c>
      <c r="AA74" s="384">
        <f t="shared" si="13"/>
        <v>43.3321237548151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7.4967621275987939E-2</v>
      </c>
      <c r="AD74" s="230">
        <f>(INDEX(Models!$BJ74:$BT74,,AH74)*(1-AF74)+INDEX(Models!$BJ74:$BT74,,AH74+1)*AF74-ERP_i)*AE74*Ramure*Pc/MaxiM</f>
        <v>4.8343937757178114E-3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'2027'!Wh/'2027'!Env_an*'2028'!Env_an</f>
        <v>11.287222529988291</v>
      </c>
      <c r="C75" s="829"/>
      <c r="D75" s="391">
        <f t="shared" si="0"/>
        <v>12.03150911562418</v>
      </c>
      <c r="E75" s="383">
        <f t="shared" si="1"/>
        <v>12.681485243739951</v>
      </c>
      <c r="F75" s="383">
        <f t="shared" si="2"/>
        <v>12.681485243739951</v>
      </c>
      <c r="G75" s="110">
        <f t="shared" si="21"/>
        <v>0.2841236073423738</v>
      </c>
      <c r="H75" s="412" t="b">
        <f>Wh_hp&gt;='2027'!Maxi_hp</f>
        <v>0</v>
      </c>
      <c r="I75" s="388">
        <f>IF(H75,Wh_hp,'2027'!Maxi_hp)</f>
        <v>30.966593074683484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6.1861448840973332E-2</v>
      </c>
      <c r="M75" s="832"/>
      <c r="N75" s="832"/>
      <c r="O75" s="48">
        <f>IF(t&lt;Tnet,'2027'!Resal+('2027'!Salim-'2027'!Resal)*(1-EXP(('2027'!Tnet-t)/('2027'!Tau_j))),Resal+(Salim-Resal)*(1-EXP((Tnet-t)/(Tau_j))))*Salcycl</f>
        <v>5.1253943495035176E-2</v>
      </c>
      <c r="P75" s="169">
        <f>(INDEX(Models!$BJ75:$BT75,,T75)*(1-R75)+INDEX(Models!$BJ75:$BT75,,T75+1)*R75-ERP_i)*Q75*Ramure*Pc/MaxiM</f>
        <v>3.8732974801469207E-4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39.711063640459621</v>
      </c>
      <c r="W75" s="400">
        <f t="shared" si="10"/>
        <v>11.287222529988291</v>
      </c>
      <c r="X75" s="157">
        <f t="shared" si="11"/>
        <v>46813</v>
      </c>
      <c r="Y75" s="383">
        <f t="shared" si="12"/>
        <v>11.004817518178617</v>
      </c>
      <c r="Z75" s="383">
        <f t="shared" si="22"/>
        <v>11.730482138893745</v>
      </c>
      <c r="AA75" s="384">
        <f t="shared" si="13"/>
        <v>12.681485243739951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7.4991460902866749E-2</v>
      </c>
      <c r="AD75" s="230">
        <f>(INDEX(Models!$BJ75:$BT75,,AH75)*(1-AF75)+INDEX(Models!$BJ75:$BT75,,AH75+1)*AF75-ERP_i)*AE75*Ramure*Pc/MaxiM</f>
        <v>4.6408866079022991E-3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'2027'!Wh/'2027'!Env_an*'2028'!Env_an</f>
        <v>34.63319711975312</v>
      </c>
      <c r="C76" s="829"/>
      <c r="D76" s="391">
        <f t="shared" si="0"/>
        <v>36.917639539497557</v>
      </c>
      <c r="E76" s="383">
        <f t="shared" si="1"/>
        <v>38.913888224348781</v>
      </c>
      <c r="F76" s="383">
        <f t="shared" si="2"/>
        <v>38.92547564305471</v>
      </c>
      <c r="G76" s="110">
        <f t="shared" si="21"/>
        <v>0.86470155178707753</v>
      </c>
      <c r="H76" s="412" t="b">
        <f>Wh_hp&gt;='2027'!Maxi_hp</f>
        <v>0</v>
      </c>
      <c r="I76" s="388">
        <f>IF(H76,Wh_hp,'2027'!Maxi_hp)</f>
        <v>38.927332528635397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6.1879428052282526E-2</v>
      </c>
      <c r="M76" s="832"/>
      <c r="N76" s="832"/>
      <c r="O76" s="48">
        <f>IF(t&lt;Tnet,'2027'!Resal+('2027'!Salim-'2027'!Resal)*(1-EXP(('2027'!Tnet-t)/('2027'!Tau_j))),Resal+(Salim-Resal)*(1-EXP((Tnet-t)/(Tau_j))))*Salcycl</f>
        <v>5.1299131902274253E-2</v>
      </c>
      <c r="P76" s="169">
        <f>(INDEX(Models!$BJ76:$BT76,,T76)*(1-R76)+INDEX(Models!$BJ76:$BT76,,T76+1)*R76-ERP_i)*Q76*Ramure*Pc/MaxiM</f>
        <v>3.6896435554157611E-4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40.049341396323541</v>
      </c>
      <c r="W76" s="400">
        <f t="shared" si="10"/>
        <v>34.63319711975312</v>
      </c>
      <c r="X76" s="157">
        <f t="shared" si="11"/>
        <v>46814</v>
      </c>
      <c r="Y76" s="383">
        <f t="shared" si="12"/>
        <v>33.656193197601773</v>
      </c>
      <c r="Z76" s="383">
        <f t="shared" si="22"/>
        <v>35.876191402268354</v>
      </c>
      <c r="AA76" s="384">
        <f t="shared" si="13"/>
        <v>38.785712688191751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7.5015284863108656E-2</v>
      </c>
      <c r="AD76" s="230">
        <f>(INDEX(Models!$BJ76:$BT76,,AH76)*(1-AF76)+INDEX(Models!$BJ76:$BT76,,AH76+1)*AF76-ERP_i)*AE76*Ramure*Pc/MaxiM</f>
        <v>4.4503051005834477E-3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'2027'!Wh/'2027'!Env_an*'2028'!Env_an</f>
        <v>3.721554401290057</v>
      </c>
      <c r="C77" s="829"/>
      <c r="D77" s="391">
        <f t="shared" si="0"/>
        <v>3.9671081060201456</v>
      </c>
      <c r="E77" s="383">
        <f t="shared" si="1"/>
        <v>4.1818207262380174</v>
      </c>
      <c r="F77" s="383">
        <f t="shared" si="2"/>
        <v>4.1818207262380174</v>
      </c>
      <c r="G77" s="110">
        <f t="shared" si="21"/>
        <v>9.211264865133606E-2</v>
      </c>
      <c r="H77" s="412" t="b">
        <f>Wh_hp&gt;='2027'!Maxi_hp</f>
        <v>0</v>
      </c>
      <c r="I77" s="388">
        <f>IF(H77,Wh_hp,'2027'!Maxi_hp)</f>
        <v>32.038386239307918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6.1897406919024234E-2</v>
      </c>
      <c r="M77" s="832"/>
      <c r="N77" s="832"/>
      <c r="O77" s="48">
        <f>IF(t&lt;Tnet,'2027'!Resal+('2027'!Salim-'2027'!Resal)*(1-EXP(('2027'!Tnet-t)/('2027'!Tau_j))),Resal+(Salim-Resal)*(1-EXP((Tnet-t)/(Tau_j))))*Salcycl</f>
        <v>5.1344290985670275E-2</v>
      </c>
      <c r="P77" s="169">
        <f>(INDEX(Models!$BJ77:$BT77,,T77)*(1-R77)+INDEX(Models!$BJ77:$BT77,,T77+1)*R77-ERP_i)*Q77*Ramure*Pc/MaxiM</f>
        <v>3.5166058305132684E-4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40.388000255874545</v>
      </c>
      <c r="W77" s="400">
        <f t="shared" si="10"/>
        <v>3.721554401290057</v>
      </c>
      <c r="X77" s="157">
        <f t="shared" si="11"/>
        <v>46815</v>
      </c>
      <c r="Y77" s="383">
        <f t="shared" si="12"/>
        <v>3.6286002002211513</v>
      </c>
      <c r="Z77" s="383">
        <f t="shared" si="22"/>
        <v>3.8680206482575357</v>
      </c>
      <c r="AA77" s="384">
        <f t="shared" si="13"/>
        <v>4.1818207262380174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7.5039103424880058E-2</v>
      </c>
      <c r="AD77" s="230">
        <f>(INDEX(Models!$BJ77:$BT77,,AH77)*(1-AF77)+INDEX(Models!$BJ77:$BT77,,AH77+1)*AF77-ERP_i)*AE77*Ramure*Pc/MaxiM</f>
        <v>4.2625898498212505E-3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'2027'!Wh/'2027'!Env_an*'2028'!Env_an</f>
        <v>12.814196469399958</v>
      </c>
      <c r="C78" s="829"/>
      <c r="D78" s="391">
        <f t="shared" si="0"/>
        <v>13.659958036330016</v>
      </c>
      <c r="E78" s="383">
        <f t="shared" si="1"/>
        <v>14.399963959496816</v>
      </c>
      <c r="F78" s="383">
        <f t="shared" si="2"/>
        <v>14.400064942155536</v>
      </c>
      <c r="G78" s="110">
        <f t="shared" si="21"/>
        <v>0.31453276678776398</v>
      </c>
      <c r="H78" s="412" t="b">
        <f>Wh_hp&gt;='2027'!Maxi_hp</f>
        <v>0</v>
      </c>
      <c r="I78" s="388">
        <f>IF(H78,Wh_hp,'2027'!Maxi_hp)</f>
        <v>38.035034481034316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6.1915385441205006E-2</v>
      </c>
      <c r="M78" s="832"/>
      <c r="N78" s="832"/>
      <c r="O78" s="48">
        <f>IF(t&lt;Tnet,'2027'!Resal+('2027'!Salim-'2027'!Resal)*(1-EXP(('2027'!Tnet-t)/('2027'!Tau_j))),Resal+(Salim-Resal)*(1-EXP((Tnet-t)/(Tau_j))))*Salcycl</f>
        <v>5.1389428838032845E-2</v>
      </c>
      <c r="P78" s="169">
        <f>(INDEX(Models!$BJ78:$BT78,,T78)*(1-R78)+INDEX(Models!$BJ78:$BT78,,T78+1)*R78-ERP_i)*Q78*Ramure*Pc/MaxiM</f>
        <v>3.3539406520194419E-4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40.727039751002735</v>
      </c>
      <c r="W78" s="400">
        <f t="shared" si="10"/>
        <v>12.814196469399958</v>
      </c>
      <c r="X78" s="157">
        <f t="shared" si="11"/>
        <v>46816</v>
      </c>
      <c r="Y78" s="383">
        <f t="shared" si="12"/>
        <v>12.493428083143403</v>
      </c>
      <c r="Z78" s="383">
        <f t="shared" si="22"/>
        <v>13.318018320788024</v>
      </c>
      <c r="AA78" s="384">
        <f t="shared" si="13"/>
        <v>14.398837206335767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7.5062928350364405E-2</v>
      </c>
      <c r="AD78" s="230">
        <f>(INDEX(Models!$BJ78:$BT78,,AH78)*(1-AF78)+INDEX(Models!$BJ78:$BT78,,AH78+1)*AF78-ERP_i)*AE78*Ramure*Pc/MaxiM</f>
        <v>4.0776833646768715E-3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'2027'!Wh/'2027'!Env_an*'2028'!Env_an</f>
        <v>15.448880972323423</v>
      </c>
      <c r="C79" s="829"/>
      <c r="D79" s="391">
        <f t="shared" ref="D79:D142" si="25">Wh/(1-Ppv)</f>
        <v>16.468852396159644</v>
      </c>
      <c r="E79" s="383">
        <f t="shared" si="1"/>
        <v>17.361851494530615</v>
      </c>
      <c r="F79" s="383">
        <f t="shared" ref="F79:F142" si="26">Wh_sa/(1-Pvg*MEDIAN((-Sdif+Wh/Env_an)/Csdif,0,1))</f>
        <v>17.362456415586344</v>
      </c>
      <c r="G79" s="110">
        <f t="shared" si="21"/>
        <v>0.37607516409798963</v>
      </c>
      <c r="H79" s="412" t="b">
        <f>Wh_hp&gt;='2027'!Maxi_hp</f>
        <v>0</v>
      </c>
      <c r="I79" s="388">
        <f>IF(H79,Wh_hp,'2027'!Maxi_hp)</f>
        <v>17.365753765152615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6.1933363618831505E-2</v>
      </c>
      <c r="M79" s="832"/>
      <c r="N79" s="832"/>
      <c r="O79" s="48">
        <f>IF(t&lt;Tnet,'2027'!Resal+('2027'!Salim-'2027'!Resal)*(1-EXP(('2027'!Tnet-t)/('2027'!Tau_j))),Resal+(Salim-Resal)*(1-EXP((Tnet-t)/(Tau_j))))*Salcycl</f>
        <v>5.1434554583783057E-2</v>
      </c>
      <c r="P79" s="169">
        <f>(INDEX(Models!$BJ79:$BT79,,T79)*(1-R79)+INDEX(Models!$BJ79:$BT79,,T79+1)*R79-ERP_i)*Q79*Ramure*Pc/MaxiM</f>
        <v>3.2013297521714835E-4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41.067517474118674</v>
      </c>
      <c r="W79" s="400">
        <f t="shared" ref="W79:W142" si="34">Wh*(A79&gt;Tmaj)</f>
        <v>15.448880972323423</v>
      </c>
      <c r="X79" s="157">
        <f t="shared" ref="X79:X142" si="35">t</f>
        <v>46817</v>
      </c>
      <c r="Y79" s="383">
        <f t="shared" ref="Y79:Y142" si="36">Wh_pvt_s*(1-Ppv)</f>
        <v>15.057805793100453</v>
      </c>
      <c r="Z79" s="383">
        <f t="shared" ref="Z79:Z142" si="37">Wh_sa_s*(1-Psa_s)</f>
        <v>16.05195751464926</v>
      </c>
      <c r="AA79" s="384">
        <f t="shared" ref="AA79:AA142" si="38">Wh_hp*(1-Pvg_s*MEDIAN((-Sdif+Wh/Env_an)/Csdif,0,1))</f>
        <v>17.355095639251221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7.5086772881545735E-2</v>
      </c>
      <c r="AD79" s="230">
        <f>(INDEX(Models!$BJ79:$BT79,,AH79)*(1-AF79)+INDEX(Models!$BJ79:$BT79,,AH79+1)*AF79-ERP_i)*AE79*Ramure*Pc/MaxiM</f>
        <v>3.8954293386686861E-3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'2027'!Wh/'2027'!Env_an*'2028'!Env_an</f>
        <v>38.055339716798905</v>
      </c>
      <c r="C80" s="829"/>
      <c r="D80" s="391">
        <f t="shared" si="25"/>
        <v>40.568620156336991</v>
      </c>
      <c r="E80" s="383">
        <f t="shared" ref="E80:E143" si="47">Wh_pvt/(1-Psa)</f>
        <v>42.77042803513789</v>
      </c>
      <c r="F80" s="383">
        <f t="shared" si="26"/>
        <v>42.782007270969743</v>
      </c>
      <c r="G80" s="110">
        <f t="shared" ref="G80:G143" si="48">+Wh_hp/MaxiM</f>
        <v>0.91895311051984641</v>
      </c>
      <c r="H80" s="412" t="b">
        <f>Wh_hp&gt;='2027'!Maxi_hp</f>
        <v>0</v>
      </c>
      <c r="I80" s="388">
        <f>IF(H80,Wh_hp,'2027'!Maxi_hp)</f>
        <v>42.783013737775434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6.1951341451910391E-2</v>
      </c>
      <c r="M80" s="832"/>
      <c r="N80" s="832"/>
      <c r="O80" s="48">
        <f>IF(t&lt;Tnet,'2027'!Resal+('2027'!Salim-'2027'!Resal)*(1-EXP(('2027'!Tnet-t)/('2027'!Tau_j))),Resal+(Salim-Resal)*(1-EXP((Tnet-t)/(Tau_j))))*Salcycl</f>
        <v>5.1479678365435273E-2</v>
      </c>
      <c r="P80" s="169">
        <f>(INDEX(Models!$BJ80:$BT80,,T80)*(1-R80)+INDEX(Models!$BJ80:$BT80,,T80+1)*R80-ERP_i)*Q80*Ramure*Pc/MaxiM</f>
        <v>3.0608086820953505E-4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41.41015557430822</v>
      </c>
      <c r="W80" s="400">
        <f t="shared" si="34"/>
        <v>38.055339716798905</v>
      </c>
      <c r="X80" s="157">
        <f t="shared" si="35"/>
        <v>46818</v>
      </c>
      <c r="Y80" s="383">
        <f t="shared" si="36"/>
        <v>36.995213361166215</v>
      </c>
      <c r="Z80" s="383">
        <f t="shared" si="37"/>
        <v>39.438480108726296</v>
      </c>
      <c r="AA80" s="384">
        <f t="shared" si="38"/>
        <v>42.641295612191833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7.5110651716450177E-2</v>
      </c>
      <c r="AD80" s="230">
        <f>(INDEX(Models!$BJ80:$BT80,,AH80)*(1-AF80)+INDEX(Models!$BJ80:$BT80,,AH80+1)*AF80-ERP_i)*AE80*Ramure*Pc/MaxiM</f>
        <v>3.719515459514267E-3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'2027'!Wh/'2027'!Env_an*'2028'!Env_an</f>
        <v>31.014338776153313</v>
      </c>
      <c r="C81" s="829"/>
      <c r="D81" s="391">
        <f t="shared" si="25"/>
        <v>33.063245587149758</v>
      </c>
      <c r="E81" s="383">
        <f t="shared" si="47"/>
        <v>34.859367943293215</v>
      </c>
      <c r="F81" s="383">
        <f t="shared" si="26"/>
        <v>34.865828983580911</v>
      </c>
      <c r="G81" s="110">
        <f t="shared" si="48"/>
        <v>0.74269881739194643</v>
      </c>
      <c r="H81" s="412" t="b">
        <f>Wh_hp&gt;='2027'!Maxi_hp</f>
        <v>0</v>
      </c>
      <c r="I81" s="388">
        <f>IF(H81,Wh_hp,'2027'!Maxi_hp)</f>
        <v>34.86831481647873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6.1969318940448104E-2</v>
      </c>
      <c r="M81" s="832"/>
      <c r="N81" s="832"/>
      <c r="O81" s="48">
        <f>IF(t&lt;Tnet,'2027'!Resal+('2027'!Salim-'2027'!Resal)*(1-EXP(('2027'!Tnet-t)/('2027'!Tau_j))),Resal+(Salim-Resal)*(1-EXP((Tnet-t)/(Tau_j))))*Salcycl</f>
        <v>5.1524811323752633E-2</v>
      </c>
      <c r="P81" s="169">
        <f>(INDEX(Models!$BJ81:$BT81,,T81)*(1-R81)+INDEX(Models!$BJ81:$BT81,,T81+1)*R81-ERP_i)*Q81*Ramure*Pc/MaxiM</f>
        <v>2.9296361136408829E-4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41.754475263956408</v>
      </c>
      <c r="W81" s="400">
        <f t="shared" si="34"/>
        <v>31.014338776153313</v>
      </c>
      <c r="X81" s="157">
        <f t="shared" si="35"/>
        <v>46819</v>
      </c>
      <c r="Y81" s="383">
        <f t="shared" si="36"/>
        <v>30.179962960523266</v>
      </c>
      <c r="Z81" s="383">
        <f t="shared" si="37"/>
        <v>32.173748225840022</v>
      </c>
      <c r="AA81" s="384">
        <f t="shared" si="38"/>
        <v>34.787491849140238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7.5134580976260065E-2</v>
      </c>
      <c r="AD81" s="230">
        <f>(INDEX(Models!$BJ81:$BT81,,AH81)*(1-AF81)+INDEX(Models!$BJ81:$BT81,,AH81+1)*AF81-ERP_i)*AE81*Ramure*Pc/MaxiM</f>
        <v>3.5520487085266808E-3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'2027'!Wh/'2027'!Env_an*'2028'!Env_an</f>
        <v>30.237515120355649</v>
      </c>
      <c r="C82" s="829"/>
      <c r="D82" s="391">
        <f t="shared" si="25"/>
        <v>32.235720256383651</v>
      </c>
      <c r="E82" s="383">
        <f t="shared" si="47"/>
        <v>33.988506359165733</v>
      </c>
      <c r="F82" s="383">
        <f t="shared" si="26"/>
        <v>33.994208868527096</v>
      </c>
      <c r="G82" s="110">
        <f t="shared" si="48"/>
        <v>0.71814979465356477</v>
      </c>
      <c r="H82" s="412" t="b">
        <f>Wh_hp&gt;='2027'!Maxi_hp</f>
        <v>0</v>
      </c>
      <c r="I82" s="388">
        <f>IF(H82,Wh_hp,'2027'!Maxi_hp)</f>
        <v>45.223150143497143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6.1987296084451526E-2</v>
      </c>
      <c r="M82" s="832"/>
      <c r="N82" s="832"/>
      <c r="O82" s="48">
        <f>IF(t&lt;Tnet,'2027'!Resal+('2027'!Salim-'2027'!Resal)*(1-EXP(('2027'!Tnet-t)/('2027'!Tau_j))),Resal+(Salim-Resal)*(1-EXP((Tnet-t)/(Tau_j))))*Salcycl</f>
        <v>5.1569965571888275E-2</v>
      </c>
      <c r="P82" s="169">
        <f>(INDEX(Models!$BJ82:$BT82,,T82)*(1-R82)+INDEX(Models!$BJ82:$BT82,,T82+1)*R82-ERP_i)*Q82*Ramure*Pc/MaxiM</f>
        <v>2.8076496212558669E-4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42.099987305447222</v>
      </c>
      <c r="W82" s="400">
        <f t="shared" si="34"/>
        <v>30.237515120355649</v>
      </c>
      <c r="X82" s="157">
        <f t="shared" si="35"/>
        <v>46820</v>
      </c>
      <c r="Y82" s="383">
        <f t="shared" si="36"/>
        <v>29.430636375844561</v>
      </c>
      <c r="Z82" s="383">
        <f t="shared" si="37"/>
        <v>31.375520025466809</v>
      </c>
      <c r="AA82" s="384">
        <f t="shared" si="38"/>
        <v>33.925297120854367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7.5158578163790776E-2</v>
      </c>
      <c r="AD82" s="230">
        <f>(INDEX(Models!$BJ82:$BT82,,AH82)*(1-AF82)+INDEX(Models!$BJ82:$BT82,,AH82+1)*AF82-ERP_i)*AE82*Ramure*Pc/MaxiM</f>
        <v>3.3928930229262717E-3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'2027'!Wh/'2027'!Env_an*'2028'!Env_an</f>
        <v>24.070538064202175</v>
      </c>
      <c r="C83" s="829"/>
      <c r="D83" s="391">
        <f t="shared" si="25"/>
        <v>25.661698694414458</v>
      </c>
      <c r="E83" s="383">
        <f t="shared" si="47"/>
        <v>27.058317946645655</v>
      </c>
      <c r="F83" s="383">
        <f t="shared" si="26"/>
        <v>27.061100236785766</v>
      </c>
      <c r="G83" s="110">
        <f t="shared" si="48"/>
        <v>0.56698891256860406</v>
      </c>
      <c r="H83" s="412" t="b">
        <f>Wh_hp&gt;='2027'!Maxi_hp</f>
        <v>0</v>
      </c>
      <c r="I83" s="388">
        <f>IF(H83,Wh_hp,'2027'!Maxi_hp)</f>
        <v>44.941946667610743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6.2005272883926987E-2</v>
      </c>
      <c r="M83" s="832"/>
      <c r="N83" s="832"/>
      <c r="O83" s="48">
        <f>IF(t&lt;Tnet,'2027'!Resal+('2027'!Salim-'2027'!Resal)*(1-EXP(('2027'!Tnet-t)/('2027'!Tau_j))),Resal+(Salim-Resal)*(1-EXP((Tnet-t)/(Tau_j))))*Salcycl</f>
        <v>5.1615154163872613E-2</v>
      </c>
      <c r="P83" s="169">
        <f>(INDEX(Models!$BJ83:$BT83,,T83)*(1-R83)+INDEX(Models!$BJ83:$BT83,,T83+1)*R83-ERP_i)*Q83*Ramure*Pc/MaxiM</f>
        <v>2.6946853664038721E-4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42.446202528323148</v>
      </c>
      <c r="W83" s="400">
        <f t="shared" si="34"/>
        <v>24.070538064202175</v>
      </c>
      <c r="X83" s="157">
        <f t="shared" si="35"/>
        <v>46821</v>
      </c>
      <c r="Y83" s="383">
        <f t="shared" si="36"/>
        <v>23.445758117536919</v>
      </c>
      <c r="Z83" s="383">
        <f t="shared" si="37"/>
        <v>24.995618247900453</v>
      </c>
      <c r="AA83" s="384">
        <f t="shared" si="38"/>
        <v>27.027627212346413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7.5182662113887785E-2</v>
      </c>
      <c r="AD83" s="230">
        <f>(INDEX(Models!$BJ83:$BT83,,AH83)*(1-AF83)+INDEX(Models!$BJ83:$BT83,,AH83+1)*AF83-ERP_i)*AE83*Ramure*Pc/MaxiM</f>
        <v>3.2419073706812089E-3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'2027'!Wh/'2027'!Env_an*'2028'!Env_an</f>
        <v>14.928085312416133</v>
      </c>
      <c r="C84" s="829"/>
      <c r="D84" s="391">
        <f t="shared" si="25"/>
        <v>15.915197580211126</v>
      </c>
      <c r="E84" s="383">
        <f t="shared" si="47"/>
        <v>16.782171102147817</v>
      </c>
      <c r="F84" s="383">
        <f t="shared" si="26"/>
        <v>16.782474486798879</v>
      </c>
      <c r="G84" s="110">
        <f t="shared" si="48"/>
        <v>0.34876302841063461</v>
      </c>
      <c r="H84" s="412" t="b">
        <f>Wh_hp&gt;='2027'!Maxi_hp</f>
        <v>0</v>
      </c>
      <c r="I84" s="388">
        <f>IF(H84,Wh_hp,'2027'!Maxi_hp)</f>
        <v>33.644561072825525</v>
      </c>
      <c r="J84" s="85">
        <f>IF(H84,An,'2027'!An_max)</f>
        <v>2020</v>
      </c>
      <c r="K84" s="197">
        <f t="shared" si="27"/>
        <v>46822</v>
      </c>
      <c r="L84" s="147">
        <f>IF(t&lt;Tvie,1-EXP((T0-t)*PertePVj)+'2027'!Pspv,1-EXP((T0-t)*PertePVj)+Pspv)</f>
        <v>6.2023249338881148E-2</v>
      </c>
      <c r="M84" s="832"/>
      <c r="N84" s="832"/>
      <c r="O84" s="48">
        <f>IF(t&lt;Tnet,'2027'!Resal+('2027'!Salim-'2027'!Resal)*(1-EXP(('2027'!Tnet-t)/('2027'!Tau_j))),Resal+(Salim-Resal)*(1-EXP((Tnet-t)/(Tau_j))))*Salcycl</f>
        <v>5.1660391057849149E-2</v>
      </c>
      <c r="P84" s="169">
        <f>(INDEX(Models!$BJ84:$BT84,,T84)*(1-R84)+INDEX(Models!$BJ84:$BT84,,T84+1)*R84-ERP_i)*Q84*Ramure*Pc/MaxiM</f>
        <v>2.5905793912365404E-4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42.792631829038783</v>
      </c>
      <c r="W84" s="400">
        <f t="shared" si="34"/>
        <v>14.928085312416133</v>
      </c>
      <c r="X84" s="157">
        <f t="shared" si="35"/>
        <v>46822</v>
      </c>
      <c r="Y84" s="383">
        <f t="shared" si="36"/>
        <v>14.55454878778635</v>
      </c>
      <c r="Z84" s="383">
        <f t="shared" si="37"/>
        <v>15.516961137392579</v>
      </c>
      <c r="AA84" s="384">
        <f t="shared" si="38"/>
        <v>16.778845287361094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7.5206852936360646E-2</v>
      </c>
      <c r="AD84" s="230">
        <f>(INDEX(Models!$BJ84:$BT84,,AH84)*(1-AF84)+INDEX(Models!$BJ84:$BT84,,AH84+1)*AF84-ERP_i)*AE84*Ramure*Pc/MaxiM</f>
        <v>3.0989469102266414E-3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'2027'!Wh/'2027'!Env_an*'2028'!Env_an</f>
        <v>15.53724305253205</v>
      </c>
      <c r="C85" s="829"/>
      <c r="D85" s="391">
        <f t="shared" si="25"/>
        <v>16.564953038554414</v>
      </c>
      <c r="E85" s="383">
        <f t="shared" si="47"/>
        <v>17.468156122674504</v>
      </c>
      <c r="F85" s="383">
        <f t="shared" si="26"/>
        <v>17.468530775773928</v>
      </c>
      <c r="G85" s="110">
        <f t="shared" si="48"/>
        <v>0.36008661307689505</v>
      </c>
      <c r="H85" s="412" t="b">
        <f>Wh_hp&gt;='2027'!Maxi_hp</f>
        <v>0</v>
      </c>
      <c r="I85" s="388">
        <f>IF(H85,Wh_hp,'2027'!Maxi_hp)</f>
        <v>43.401527185164618</v>
      </c>
      <c r="J85" s="85">
        <f>IF(H85,An,'2027'!An_max)</f>
        <v>2020</v>
      </c>
      <c r="K85" s="197">
        <f t="shared" si="27"/>
        <v>46823</v>
      </c>
      <c r="L85" s="147">
        <f>IF(t&lt;Tvie,1-EXP((T0-t)*PertePVj)+'2027'!Pspv,1-EXP((T0-t)*PertePVj)+Pspv)</f>
        <v>6.2041225449320669E-2</v>
      </c>
      <c r="M85" s="832"/>
      <c r="N85" s="832"/>
      <c r="O85" s="48">
        <f>IF(t&lt;Tnet,'2027'!Resal+('2027'!Salim-'2027'!Resal)*(1-EXP(('2027'!Tnet-t)/('2027'!Tau_j))),Resal+(Salim-Resal)*(1-EXP((Tnet-t)/(Tau_j))))*Salcycl</f>
        <v>5.17056910744969E-2</v>
      </c>
      <c r="P85" s="169">
        <f>(INDEX(Models!$BJ85:$BT85,,T85)*(1-R85)+INDEX(Models!$BJ85:$BT85,,T85+1)*R85-ERP_i)*Q85*Ramure*Pc/MaxiM</f>
        <v>2.4951688548733713E-4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43.138786169978985</v>
      </c>
      <c r="W85" s="400">
        <f t="shared" si="34"/>
        <v>15.53724305253205</v>
      </c>
      <c r="X85" s="157">
        <f t="shared" si="35"/>
        <v>46823</v>
      </c>
      <c r="Y85" s="383">
        <f t="shared" si="36"/>
        <v>15.148256739529767</v>
      </c>
      <c r="Z85" s="383">
        <f t="shared" si="37"/>
        <v>16.150237249804931</v>
      </c>
      <c r="AA85" s="384">
        <f t="shared" si="38"/>
        <v>17.46408049230735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7.5231171952118925E-2</v>
      </c>
      <c r="AD85" s="230">
        <f>(INDEX(Models!$BJ85:$BT85,,AH85)*(1-AF85)+INDEX(Models!$BJ85:$BT85,,AH85+1)*AF85-ERP_i)*AE85*Ramure*Pc/MaxiM</f>
        <v>2.9638640967591962E-3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'2027'!Wh/'2027'!Env_an*'2028'!Env_an</f>
        <v>8.7123590125959769</v>
      </c>
      <c r="C86" s="829"/>
      <c r="D86" s="391">
        <f t="shared" si="25"/>
        <v>9.2888154816212598</v>
      </c>
      <c r="E86" s="383">
        <f t="shared" si="47"/>
        <v>9.7957563528837781</v>
      </c>
      <c r="F86" s="383">
        <f t="shared" si="26"/>
        <v>9.7957563528837781</v>
      </c>
      <c r="G86" s="110">
        <f t="shared" si="48"/>
        <v>0.20030874461276557</v>
      </c>
      <c r="H86" s="412" t="b">
        <f>Wh_hp&gt;='2027'!Maxi_hp</f>
        <v>0</v>
      </c>
      <c r="I86" s="388">
        <f>IF(H86,Wh_hp,'2027'!Maxi_hp)</f>
        <v>43.4645843753053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6.2059201215252102E-2</v>
      </c>
      <c r="M86" s="832"/>
      <c r="N86" s="832"/>
      <c r="O86" s="48">
        <f>IF(t&lt;Tnet,'2027'!Resal+('2027'!Salim-'2027'!Resal)*(1-EXP(('2027'!Tnet-t)/('2027'!Tau_j))),Resal+(Salim-Resal)*(1-EXP((Tnet-t)/(Tau_j))))*Salcycl</f>
        <v>5.175106985110741E-2</v>
      </c>
      <c r="P86" s="169">
        <f>(INDEX(Models!$BJ86:$BT86,,T86)*(1-R86)+INDEX(Models!$BJ86:$BT86,,T86+1)*R86-ERP_i)*Q86*Ramure*Pc/MaxiM</f>
        <v>2.408523043247178E-4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43.484175579504821</v>
      </c>
      <c r="W86" s="400">
        <f t="shared" si="34"/>
        <v>8.7123590125959769</v>
      </c>
      <c r="X86" s="157">
        <f t="shared" si="35"/>
        <v>46824</v>
      </c>
      <c r="Y86" s="383">
        <f t="shared" si="36"/>
        <v>8.4964027787368099</v>
      </c>
      <c r="Z86" s="383">
        <f t="shared" si="37"/>
        <v>9.0585704233628146</v>
      </c>
      <c r="AA86" s="384">
        <f t="shared" si="38"/>
        <v>9.7957563528837781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7.5255641623216102E-2</v>
      </c>
      <c r="AD86" s="230">
        <f>(INDEX(Models!$BJ86:$BT86,,AH86)*(1-AF86)+INDEX(Models!$BJ86:$BT86,,AH86+1)*AF86-ERP_i)*AE86*Ramure*Pc/MaxiM</f>
        <v>2.8376825656340168E-3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'2027'!Wh/'2027'!Env_an*'2028'!Env_an</f>
        <v>14.037628982799047</v>
      </c>
      <c r="C87" s="829"/>
      <c r="D87" s="391">
        <f t="shared" si="25"/>
        <v>14.966720750499714</v>
      </c>
      <c r="E87" s="383">
        <f t="shared" si="47"/>
        <v>15.784292550831545</v>
      </c>
      <c r="F87" s="383">
        <f t="shared" si="26"/>
        <v>15.784398941082641</v>
      </c>
      <c r="G87" s="110">
        <f t="shared" si="48"/>
        <v>0.32021430369368109</v>
      </c>
      <c r="H87" s="412" t="b">
        <f>Wh_hp&gt;='2027'!Maxi_hp</f>
        <v>0</v>
      </c>
      <c r="I87" s="388">
        <f>IF(H87,Wh_hp,'2027'!Maxi_hp)</f>
        <v>41.9627960937136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6.2077176636682219E-2</v>
      </c>
      <c r="M87" s="832"/>
      <c r="N87" s="832"/>
      <c r="O87" s="48">
        <f>IF(t&lt;Tnet,'2027'!Resal+('2027'!Salim-'2027'!Resal)*(1-EXP(('2027'!Tnet-t)/('2027'!Tau_j))),Resal+(Salim-Resal)*(1-EXP((Tnet-t)/(Tau_j))))*Salcycl</f>
        <v>5.1796543791806406E-2</v>
      </c>
      <c r="P87" s="169">
        <f>(INDEX(Models!$BJ87:$BT87,,T87)*(1-R87)+INDEX(Models!$BJ87:$BT87,,T87+1)*R87-ERP_i)*Q87*Ramure*Pc/MaxiM</f>
        <v>2.3257433710581279E-4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43.828331913762803</v>
      </c>
      <c r="W87" s="400">
        <f t="shared" si="34"/>
        <v>14.037628982799047</v>
      </c>
      <c r="X87" s="157">
        <f t="shared" si="35"/>
        <v>46825</v>
      </c>
      <c r="Y87" s="383">
        <f t="shared" si="36"/>
        <v>13.68897891389987</v>
      </c>
      <c r="Z87" s="383">
        <f t="shared" si="37"/>
        <v>14.594994996296458</v>
      </c>
      <c r="AA87" s="384">
        <f t="shared" si="38"/>
        <v>15.783155443845468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7.5280285477535694E-2</v>
      </c>
      <c r="AD87" s="230">
        <f>(INDEX(Models!$BJ87:$BT87,,AH87)*(1-AF87)+INDEX(Models!$BJ87:$BT87,,AH87+1)*AF87-ERP_i)*AE87*Ramure*Pc/MaxiM</f>
        <v>2.7183463019501146E-3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'2027'!Wh/'2027'!Env_an*'2028'!Env_an</f>
        <v>13.361563891659571</v>
      </c>
      <c r="C88" s="829"/>
      <c r="D88" s="391">
        <f t="shared" si="25"/>
        <v>14.24618277224185</v>
      </c>
      <c r="E88" s="383">
        <f t="shared" si="47"/>
        <v>15.025116832557226</v>
      </c>
      <c r="F88" s="383">
        <f t="shared" si="26"/>
        <v>15.025128878834041</v>
      </c>
      <c r="G88" s="110">
        <f t="shared" si="48"/>
        <v>0.30243017404062</v>
      </c>
      <c r="H88" s="412" t="b">
        <f>Wh_hp&gt;='2027'!Maxi_hp</f>
        <v>0</v>
      </c>
      <c r="I88" s="388">
        <f>IF(H88,Wh_hp,'2027'!Maxi_hp)</f>
        <v>33.906662518762403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6.2095151713617347E-2</v>
      </c>
      <c r="M88" s="832"/>
      <c r="N88" s="832"/>
      <c r="O88" s="48">
        <f>IF(t&lt;Tnet,'2027'!Resal+('2027'!Salim-'2027'!Resal)*(1-EXP(('2027'!Tnet-t)/('2027'!Tau_j))),Resal+(Salim-Resal)*(1-EXP((Tnet-t)/(Tau_j))))*Salcycl</f>
        <v>5.1842130014426155E-2</v>
      </c>
      <c r="P88" s="169">
        <f>(INDEX(Models!$BJ88:$BT88,,T88)*(1-R88)+INDEX(Models!$BJ88:$BT88,,T88+1)*R88-ERP_i)*Q88*Ramure*Pc/MaxiM</f>
        <v>2.2467686061852275E-4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44.170766392396594</v>
      </c>
      <c r="W88" s="400">
        <f t="shared" si="34"/>
        <v>13.361563891659571</v>
      </c>
      <c r="X88" s="157">
        <f t="shared" si="35"/>
        <v>46826</v>
      </c>
      <c r="Y88" s="383">
        <f t="shared" si="36"/>
        <v>13.030809556952327</v>
      </c>
      <c r="Z88" s="383">
        <f t="shared" si="37"/>
        <v>13.893530437293849</v>
      </c>
      <c r="AA88" s="384">
        <f t="shared" si="38"/>
        <v>15.02498917040354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7.5305128028874457E-2</v>
      </c>
      <c r="AD88" s="230">
        <f>(INDEX(Models!$BJ88:$BT88,,AH88)*(1-AF88)+INDEX(Models!$BJ88:$BT88,,AH88+1)*AF88-ERP_i)*AE88*Ramure*Pc/MaxiM</f>
        <v>2.6057222532201202E-3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'2027'!Wh/'2027'!Env_an*'2028'!Env_an</f>
        <v>13.335054884696625</v>
      </c>
      <c r="C89" s="829"/>
      <c r="D89" s="391">
        <f t="shared" si="25"/>
        <v>14.218191192042264</v>
      </c>
      <c r="E89" s="383">
        <f t="shared" si="47"/>
        <v>14.996317826402779</v>
      </c>
      <c r="F89" s="383">
        <f t="shared" si="26"/>
        <v>14.996317826402779</v>
      </c>
      <c r="G89" s="110">
        <f t="shared" si="48"/>
        <v>0.29952510684489225</v>
      </c>
      <c r="H89" s="412" t="b">
        <f>Wh_hp&gt;='2027'!Maxi_hp</f>
        <v>0</v>
      </c>
      <c r="I89" s="388">
        <f>IF(H89,Wh_hp,'2027'!Maxi_hp)</f>
        <v>50.695816320188271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6.211312644606426E-2</v>
      </c>
      <c r="M89" s="832"/>
      <c r="N89" s="832"/>
      <c r="O89" s="48">
        <f>IF(t&lt;Tnet,'2027'!Resal+('2027'!Salim-'2027'!Resal)*(1-EXP(('2027'!Tnet-t)/('2027'!Tau_j))),Resal+(Salim-Resal)*(1-EXP((Tnet-t)/(Tau_j))))*Salcycl</f>
        <v>5.1887846294543759E-2</v>
      </c>
      <c r="P89" s="169">
        <f>(INDEX(Models!$BJ89:$BT89,,T89)*(1-R89)+INDEX(Models!$BJ89:$BT89,,T89+1)*R89-ERP_i)*Q89*Ramure*Pc/MaxiM</f>
        <v>2.1715368152067893E-4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44.51099031020172</v>
      </c>
      <c r="W89" s="400">
        <f t="shared" si="34"/>
        <v>13.335054884696625</v>
      </c>
      <c r="X89" s="157">
        <f t="shared" si="35"/>
        <v>46827</v>
      </c>
      <c r="Y89" s="383">
        <f t="shared" si="36"/>
        <v>13.005341779237174</v>
      </c>
      <c r="Z89" s="383">
        <f t="shared" si="37"/>
        <v>13.86664228485896</v>
      </c>
      <c r="AA89" s="384">
        <f t="shared" si="38"/>
        <v>14.996317826402779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7.5330194693186192E-2</v>
      </c>
      <c r="AD89" s="230">
        <f>(INDEX(Models!$BJ89:$BT89,,AH89)*(1-AF89)+INDEX(Models!$BJ89:$BT89,,AH89+1)*AF89-ERP_i)*AE89*Ramure*Pc/MaxiM</f>
        <v>2.4996777080298046E-3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'2027'!Wh/'2027'!Env_an*'2028'!Env_an</f>
        <v>11.199383318680651</v>
      </c>
      <c r="C90" s="829"/>
      <c r="D90" s="391">
        <f t="shared" si="25"/>
        <v>11.941310057983644</v>
      </c>
      <c r="E90" s="383">
        <f t="shared" si="47"/>
        <v>12.595437889337667</v>
      </c>
      <c r="F90" s="383">
        <f t="shared" si="26"/>
        <v>12.595437889337667</v>
      </c>
      <c r="G90" s="110">
        <f t="shared" si="48"/>
        <v>0.2496633713153576</v>
      </c>
      <c r="H90" s="412" t="b">
        <f>Wh_hp&gt;='2027'!Maxi_hp</f>
        <v>0</v>
      </c>
      <c r="I90" s="388">
        <f>IF(H90,Wh_hp,'2027'!Maxi_hp)</f>
        <v>27.308423529990701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6.2131100834029507E-2</v>
      </c>
      <c r="M90" s="832"/>
      <c r="N90" s="832"/>
      <c r="O90" s="48">
        <f>IF(t&lt;Tnet,'2027'!Resal+('2027'!Salim-'2027'!Resal)*(1-EXP(('2027'!Tnet-t)/('2027'!Tau_j))),Resal+(Salim-Resal)*(1-EXP((Tnet-t)/(Tau_j))))*Salcycl</f>
        <v>5.1933711007201878E-2</v>
      </c>
      <c r="P90" s="169">
        <f>(INDEX(Models!$BJ90:$BT90,,T90)*(1-R90)+INDEX(Models!$BJ90:$BT90,,T90+1)*R90-ERP_i)*Q90*Ramure*Pc/MaxiM</f>
        <v>2.0999858295352815E-4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44.848515042723086</v>
      </c>
      <c r="W90" s="400">
        <f t="shared" si="34"/>
        <v>11.199383318680651</v>
      </c>
      <c r="X90" s="157">
        <f t="shared" si="35"/>
        <v>46828</v>
      </c>
      <c r="Y90" s="383">
        <f t="shared" si="36"/>
        <v>10.922704644375445</v>
      </c>
      <c r="Z90" s="383">
        <f t="shared" si="37"/>
        <v>11.646302222079019</v>
      </c>
      <c r="AA90" s="384">
        <f t="shared" si="38"/>
        <v>12.595437889337667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7.5355511701749769E-2</v>
      </c>
      <c r="AD90" s="230">
        <f>(INDEX(Models!$BJ90:$BT90,,AH90)*(1-AF90)+INDEX(Models!$BJ90:$BT90,,AH90+1)*AF90-ERP_i)*AE90*Ramure*Pc/MaxiM</f>
        <v>2.4000810800636711E-3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'2027'!Wh/'2027'!Env_an*'2028'!Env_an</f>
        <v>14.478258887594068</v>
      </c>
      <c r="C91" s="829"/>
      <c r="D91" s="391">
        <f t="shared" si="25"/>
        <v>15.437697505819759</v>
      </c>
      <c r="E91" s="383">
        <f t="shared" si="47"/>
        <v>16.284143079136694</v>
      </c>
      <c r="F91" s="383">
        <f t="shared" si="26"/>
        <v>16.284239689206174</v>
      </c>
      <c r="G91" s="110">
        <f t="shared" si="48"/>
        <v>0.32037381553557837</v>
      </c>
      <c r="H91" s="412" t="b">
        <f>Wh_hp&gt;='2027'!Maxi_hp</f>
        <v>0</v>
      </c>
      <c r="I91" s="388">
        <f>IF(H91,Wh_hp,'2027'!Maxi_hp)</f>
        <v>34.112652515484889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6.214907487751975E-2</v>
      </c>
      <c r="M91" s="832"/>
      <c r="N91" s="832"/>
      <c r="O91" s="48">
        <f>IF(t&lt;Tnet,'2027'!Resal+('2027'!Salim-'2027'!Resal)*(1-EXP(('2027'!Tnet-t)/('2027'!Tau_j))),Resal+(Salim-Resal)*(1-EXP((Tnet-t)/(Tau_j))))*Salcycl</f>
        <v>5.1979743066824666E-2</v>
      </c>
      <c r="P91" s="169">
        <f>(INDEX(Models!$BJ91:$BT91,,T91)*(1-R91)+INDEX(Models!$BJ91:$BT91,,T91+1)*R91-ERP_i)*Q91*Ramure*Pc/MaxiM</f>
        <v>2.0320536936268633E-4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45.182852044790735</v>
      </c>
      <c r="W91" s="400">
        <f t="shared" si="34"/>
        <v>14.478258887594068</v>
      </c>
      <c r="X91" s="157">
        <f t="shared" si="35"/>
        <v>46829</v>
      </c>
      <c r="Y91" s="383">
        <f t="shared" si="36"/>
        <v>14.120003709953471</v>
      </c>
      <c r="Z91" s="383">
        <f t="shared" si="37"/>
        <v>15.055701638412783</v>
      </c>
      <c r="AA91" s="384">
        <f t="shared" si="38"/>
        <v>16.283142964422723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7.5381106012014587E-2</v>
      </c>
      <c r="AD91" s="230">
        <f>(INDEX(Models!$BJ91:$BT91,,AH91)*(1-AF91)+INDEX(Models!$BJ91:$BT91,,AH91+1)*AF91-ERP_i)*AE91*Ramure*Pc/MaxiM</f>
        <v>2.3068026543520978E-3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'2027'!Wh/'2027'!Env_an*'2028'!Env_an</f>
        <v>27.661794369063401</v>
      </c>
      <c r="C92" s="829"/>
      <c r="D92" s="391">
        <f t="shared" si="25"/>
        <v>29.49543874213192</v>
      </c>
      <c r="E92" s="383">
        <f t="shared" si="47"/>
        <v>31.114184097473487</v>
      </c>
      <c r="F92" s="383">
        <f t="shared" si="26"/>
        <v>31.116876127836864</v>
      </c>
      <c r="G92" s="110">
        <f t="shared" si="48"/>
        <v>0.6077040099926726</v>
      </c>
      <c r="H92" s="412" t="b">
        <f>Wh_hp&gt;='2027'!Maxi_hp</f>
        <v>0</v>
      </c>
      <c r="I92" s="388">
        <f>IF(H92,Wh_hp,'2027'!Maxi_hp)</f>
        <v>46.811989092410982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6.2167048576541539E-2</v>
      </c>
      <c r="M92" s="832"/>
      <c r="N92" s="832"/>
      <c r="O92" s="48">
        <f>IF(t&lt;Tnet,'2027'!Resal+('2027'!Salim-'2027'!Resal)*(1-EXP(('2027'!Tnet-t)/('2027'!Tau_j))),Resal+(Salim-Resal)*(1-EXP((Tnet-t)/(Tau_j))))*Salcycl</f>
        <v>5.202596186582982E-2</v>
      </c>
      <c r="P92" s="169">
        <f>(INDEX(Models!$BJ92:$BT92,,T92)*(1-R92)+INDEX(Models!$BJ92:$BT92,,T92+1)*R92-ERP_i)*Q92*Ramure*Pc/MaxiM</f>
        <v>1.9676790957314069E-4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45.513512854985443</v>
      </c>
      <c r="W92" s="400">
        <f t="shared" si="34"/>
        <v>27.661794369063401</v>
      </c>
      <c r="X92" s="157">
        <f t="shared" si="35"/>
        <v>46830</v>
      </c>
      <c r="Y92" s="383">
        <f t="shared" si="36"/>
        <v>26.95553907126601</v>
      </c>
      <c r="Z92" s="383">
        <f t="shared" si="37"/>
        <v>28.742367209802602</v>
      </c>
      <c r="AA92" s="384">
        <f t="shared" si="38"/>
        <v>31.086507654693978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7.5407005216857059E-2</v>
      </c>
      <c r="AD92" s="230">
        <f>(INDEX(Models!$BJ92:$BT92,,AH92)*(1-AF92)+INDEX(Models!$BJ92:$BT92,,AH92+1)*AF92-ERP_i)*AE92*Ramure*Pc/MaxiM</f>
        <v>2.2197152968800875E-3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'2027'!Wh/'2027'!Env_an*'2028'!Env_an</f>
        <v>30.715328934026147</v>
      </c>
      <c r="C93" s="829"/>
      <c r="D93" s="391">
        <f t="shared" si="25"/>
        <v>32.752013619225416</v>
      </c>
      <c r="E93" s="383">
        <f t="shared" si="47"/>
        <v>34.551175825452816</v>
      </c>
      <c r="F93" s="383">
        <f t="shared" si="26"/>
        <v>34.55465842013168</v>
      </c>
      <c r="G93" s="110">
        <f t="shared" si="48"/>
        <v>0.66995225655596657</v>
      </c>
      <c r="H93" s="412" t="b">
        <f>Wh_hp&gt;='2027'!Maxi_hp</f>
        <v>0</v>
      </c>
      <c r="I93" s="388">
        <f>IF(H93,Wh_hp,'2027'!Maxi_hp)</f>
        <v>50.974512464979433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6.2185021931101536E-2</v>
      </c>
      <c r="M93" s="832"/>
      <c r="N93" s="832"/>
      <c r="O93" s="48">
        <f>IF(t&lt;Tnet,'2027'!Resal+('2027'!Salim-'2027'!Resal)*(1-EXP(('2027'!Tnet-t)/('2027'!Tau_j))),Resal+(Salim-Resal)*(1-EXP((Tnet-t)/(Tau_j))))*Salcycl</f>
        <v>5.2072387212420419E-2</v>
      </c>
      <c r="P93" s="169">
        <f>(INDEX(Models!$BJ93:$BT93,,T93)*(1-R93)+INDEX(Models!$BJ93:$BT93,,T93+1)*R93-ERP_i)*Q93*Ramure*Pc/MaxiM</f>
        <v>1.9066807818216377E-4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45.84292025281556</v>
      </c>
      <c r="W93" s="400">
        <f t="shared" si="34"/>
        <v>30.715328934026147</v>
      </c>
      <c r="X93" s="157">
        <f t="shared" si="35"/>
        <v>46831</v>
      </c>
      <c r="Y93" s="383">
        <f t="shared" si="36"/>
        <v>29.927527124232132</v>
      </c>
      <c r="Z93" s="383">
        <f t="shared" si="37"/>
        <v>31.911973922465382</v>
      </c>
      <c r="AA93" s="384">
        <f t="shared" si="38"/>
        <v>34.515597158773637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7.5433237452953328E-2</v>
      </c>
      <c r="AD93" s="230">
        <f>(INDEX(Models!$BJ93:$BT93,,AH93)*(1-AF93)+INDEX(Models!$BJ93:$BT93,,AH93+1)*AF93-ERP_i)*AE93*Ramure*Pc/MaxiM</f>
        <v>2.1385594136762282E-3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'2027'!Wh/'2027'!Env_an*'2028'!Env_an</f>
        <v>43.479810051663648</v>
      </c>
      <c r="C94" s="829"/>
      <c r="D94" s="391">
        <f t="shared" si="25"/>
        <v>46.363775760765783</v>
      </c>
      <c r="E94" s="383">
        <f t="shared" si="47"/>
        <v>48.91307841541861</v>
      </c>
      <c r="F94" s="383">
        <f t="shared" si="26"/>
        <v>48.921372792134676</v>
      </c>
      <c r="G94" s="110">
        <f t="shared" si="48"/>
        <v>0.94165116262000004</v>
      </c>
      <c r="H94" s="412" t="b">
        <f>Wh_hp&gt;='2027'!Maxi_hp</f>
        <v>0</v>
      </c>
      <c r="I94" s="388">
        <f>IF(H94,Wh_hp,'2027'!Maxi_hp)</f>
        <v>52.150714918937091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6.2202994941206291E-2</v>
      </c>
      <c r="M94" s="832"/>
      <c r="N94" s="832"/>
      <c r="O94" s="48">
        <f>IF(t&lt;Tnet,'2027'!Resal+('2027'!Salim-'2027'!Resal)*(1-EXP(('2027'!Tnet-t)/('2027'!Tau_j))),Resal+(Salim-Resal)*(1-EXP((Tnet-t)/(Tau_j))))*Salcycl</f>
        <v>5.21190392680176E-2</v>
      </c>
      <c r="P94" s="169">
        <f>(INDEX(Models!$BJ94:$BT94,,T94)*(1-R94)+INDEX(Models!$BJ94:$BT94,,T94+1)*R94-ERP_i)*Q94*Ramure*Pc/MaxiM</f>
        <v>1.849585236101479E-4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46.173298020731288</v>
      </c>
      <c r="W94" s="400">
        <f t="shared" si="34"/>
        <v>43.479810051663648</v>
      </c>
      <c r="X94" s="157">
        <f t="shared" si="35"/>
        <v>46832</v>
      </c>
      <c r="Y94" s="383">
        <f t="shared" si="36"/>
        <v>42.336099175878246</v>
      </c>
      <c r="Z94" s="383">
        <f t="shared" si="37"/>
        <v>45.144203860220316</v>
      </c>
      <c r="AA94" s="384">
        <f t="shared" si="38"/>
        <v>48.828818248247849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7.5459831308937186E-2</v>
      </c>
      <c r="AD94" s="230">
        <f>(INDEX(Models!$BJ94:$BT94,,AH94)*(1-AF94)+INDEX(Models!$BJ94:$BT94,,AH94+1)*AF94-ERP_i)*AE94*Ramure*Pc/MaxiM</f>
        <v>2.0638985154303809E-3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'2027'!Wh/'2027'!Env_an*'2028'!Env_an</f>
        <v>41.280188350431416</v>
      </c>
      <c r="C95" s="829"/>
      <c r="D95" s="391">
        <f t="shared" si="25"/>
        <v>44.019099302196651</v>
      </c>
      <c r="E95" s="383">
        <f t="shared" si="47"/>
        <v>46.441778249482276</v>
      </c>
      <c r="F95" s="383">
        <f t="shared" si="26"/>
        <v>46.448775010925445</v>
      </c>
      <c r="G95" s="110">
        <f t="shared" si="48"/>
        <v>0.88764647338932012</v>
      </c>
      <c r="H95" s="412" t="b">
        <f>Wh_hp&gt;='2027'!Maxi_hp</f>
        <v>0</v>
      </c>
      <c r="I95" s="388">
        <f>IF(H95,Wh_hp,'2027'!Maxi_hp)</f>
        <v>50.892769880316351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6.2220967606862354E-2</v>
      </c>
      <c r="M95" s="832"/>
      <c r="N95" s="832"/>
      <c r="O95" s="48">
        <f>IF(t&lt;Tnet,'2027'!Resal+('2027'!Salim-'2027'!Resal)*(1-EXP(('2027'!Tnet-t)/('2027'!Tau_j))),Resal+(Salim-Resal)*(1-EXP((Tnet-t)/(Tau_j))))*Salcycl</f>
        <v>5.2165938484765854E-2</v>
      </c>
      <c r="P95" s="169">
        <f>(INDEX(Models!$BJ95:$BT95,,T95)*(1-R95)+INDEX(Models!$BJ95:$BT95,,T95+1)*R95-ERP_i)*Q95*Ramure*Pc/MaxiM</f>
        <v>1.7942618237903058E-4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46.503873849776383</v>
      </c>
      <c r="W95" s="400">
        <f t="shared" si="34"/>
        <v>41.280188350431416</v>
      </c>
      <c r="X95" s="157">
        <f t="shared" si="35"/>
        <v>46833</v>
      </c>
      <c r="Y95" s="383">
        <f t="shared" si="36"/>
        <v>40.203226076755641</v>
      </c>
      <c r="Z95" s="383">
        <f t="shared" si="37"/>
        <v>42.870681352471912</v>
      </c>
      <c r="AA95" s="384">
        <f t="shared" si="38"/>
        <v>46.371087056488854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7.5486815733967552E-2</v>
      </c>
      <c r="AD95" s="230">
        <f>(INDEX(Models!$BJ95:$BT95,,AH95)*(1-AF95)+INDEX(Models!$BJ95:$BT95,,AH95+1)*AF95-ERP_i)*AE95*Ramure*Pc/MaxiM</f>
        <v>1.9922435822083621E-3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'2027'!Wh/'2027'!Env_an*'2028'!Env_an</f>
        <v>47.052667794194775</v>
      </c>
      <c r="C96" s="829"/>
      <c r="D96" s="391">
        <f t="shared" si="25"/>
        <v>50.17554022832423</v>
      </c>
      <c r="E96" s="383">
        <f t="shared" si="47"/>
        <v>52.939685621098896</v>
      </c>
      <c r="F96" s="383">
        <f t="shared" si="26"/>
        <v>52.948902458584236</v>
      </c>
      <c r="G96" s="110">
        <f t="shared" si="48"/>
        <v>1.0046718730909368</v>
      </c>
      <c r="H96" s="412" t="b">
        <f>Wh_hp&gt;='2027'!Maxi_hp</f>
        <v>0</v>
      </c>
      <c r="I96" s="388">
        <f>IF(H96,Wh_hp,'2027'!Maxi_hp)</f>
        <v>53.286062169656844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6.2238939928076387E-2</v>
      </c>
      <c r="M96" s="832"/>
      <c r="N96" s="832"/>
      <c r="O96" s="48">
        <f>IF(t&lt;Tnet,'2027'!Resal+('2027'!Salim-'2027'!Resal)*(1-EXP(('2027'!Tnet-t)/('2027'!Tau_j))),Resal+(Salim-Resal)*(1-EXP((Tnet-t)/(Tau_j))))*Salcycl</f>
        <v>5.2213105543509816E-2</v>
      </c>
      <c r="P96" s="169">
        <f>(INDEX(Models!$BJ96:$BT96,,T96)*(1-R96)+INDEX(Models!$BJ96:$BT96,,T96+1)*R96-ERP_i)*Q96*Ramure*Pc/MaxiM</f>
        <v>1.7407041614410943E-4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46.833865916275982</v>
      </c>
      <c r="W96" s="400">
        <f t="shared" si="34"/>
        <v>47.052667794194775</v>
      </c>
      <c r="X96" s="157">
        <f t="shared" si="35"/>
        <v>46834</v>
      </c>
      <c r="Y96" s="383">
        <f t="shared" si="36"/>
        <v>45.815580576696192</v>
      </c>
      <c r="Z96" s="383">
        <f t="shared" si="37"/>
        <v>48.856347877339104</v>
      </c>
      <c r="AA96" s="384">
        <f t="shared" si="38"/>
        <v>52.847051768122341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7.551421994727911E-2</v>
      </c>
      <c r="AD96" s="230">
        <f>(INDEX(Models!$BJ96:$BT96,,AH96)*(1-AF96)+INDEX(Models!$BJ96:$BT96,,AH96+1)*AF96-ERP_i)*AE96*Ramure*Pc/MaxiM</f>
        <v>1.9235656592043935E-3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'2027'!Wh/'2027'!Env_an*'2028'!Env_an</f>
        <v>46.280156176839263</v>
      </c>
      <c r="C97" s="829"/>
      <c r="D97" s="391">
        <f t="shared" si="25"/>
        <v>49.352703063745317</v>
      </c>
      <c r="E97" s="383">
        <f t="shared" si="47"/>
        <v>52.074126123796781</v>
      </c>
      <c r="F97" s="383">
        <f t="shared" si="26"/>
        <v>52.08268728768401</v>
      </c>
      <c r="G97" s="110">
        <f t="shared" si="48"/>
        <v>0.98128713545778756</v>
      </c>
      <c r="H97" s="412" t="b">
        <f>Wh_hp&gt;='2027'!Maxi_hp</f>
        <v>0</v>
      </c>
      <c r="I97" s="388">
        <f>IF(H97,Wh_hp,'2027'!Maxi_hp)</f>
        <v>52.432685420203406</v>
      </c>
      <c r="J97" s="85">
        <f>IF(H97,An,'2027'!An_max)</f>
        <v>2021</v>
      </c>
      <c r="K97" s="197">
        <f t="shared" si="27"/>
        <v>46835</v>
      </c>
      <c r="L97" s="147">
        <f>IF(t&lt;Tvie,1-EXP((T0-t)*PertePVj)+'2027'!Pspv,1-EXP((T0-t)*PertePVj)+Pspv)</f>
        <v>6.2256911904854939E-2</v>
      </c>
      <c r="M97" s="832"/>
      <c r="N97" s="832"/>
      <c r="O97" s="48">
        <f>IF(t&lt;Tnet,'2027'!Resal+('2027'!Salim-'2027'!Resal)*(1-EXP(('2027'!Tnet-t)/('2027'!Tau_j))),Resal+(Salim-Resal)*(1-EXP((Tnet-t)/(Tau_j))))*Salcycl</f>
        <v>5.2260561292603806E-2</v>
      </c>
      <c r="P97" s="169">
        <f>(INDEX(Models!$BJ97:$BT97,,T97)*(1-R97)+INDEX(Models!$BJ97:$BT97,,T97+1)*R97-ERP_i)*Q97*Ramure*Pc/MaxiM</f>
        <v>1.6889020166657831E-4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47.162492577456604</v>
      </c>
      <c r="W97" s="400">
        <f t="shared" si="34"/>
        <v>46.280156176839263</v>
      </c>
      <c r="X97" s="157">
        <f t="shared" si="35"/>
        <v>46835</v>
      </c>
      <c r="Y97" s="383">
        <f t="shared" si="36"/>
        <v>45.069051025154543</v>
      </c>
      <c r="Z97" s="383">
        <f t="shared" si="37"/>
        <v>48.061192449527027</v>
      </c>
      <c r="AA97" s="384">
        <f t="shared" si="38"/>
        <v>51.988512472004714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7.5542073349232908E-2</v>
      </c>
      <c r="AD97" s="230">
        <f>(INDEX(Models!$BJ97:$BT97,,AH97)*(1-AF97)+INDEX(Models!$BJ97:$BT97,,AH97+1)*AF97-ERP_i)*AE97*Ramure*Pc/MaxiM</f>
        <v>1.8578319281699572E-3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'2027'!Wh/'2027'!Env_an*'2028'!Env_an</f>
        <v>41.185642161561439</v>
      </c>
      <c r="C98" s="829"/>
      <c r="D98" s="391">
        <f t="shared" si="25"/>
        <v>43.920805189604302</v>
      </c>
      <c r="E98" s="383">
        <f t="shared" si="47"/>
        <v>46.345036499164003</v>
      </c>
      <c r="F98" s="383">
        <f t="shared" si="26"/>
        <v>46.351192345775232</v>
      </c>
      <c r="G98" s="110">
        <f t="shared" si="48"/>
        <v>0.86724054178449606</v>
      </c>
      <c r="H98" s="412" t="b">
        <f>Wh_hp&gt;='2027'!Maxi_hp</f>
        <v>0</v>
      </c>
      <c r="I98" s="388">
        <f>IF(H98,Wh_hp,'2027'!Maxi_hp)</f>
        <v>46.352104768587438</v>
      </c>
      <c r="J98" s="85">
        <f>IF(H98,An,'2027'!An_max)</f>
        <v>2027</v>
      </c>
      <c r="K98" s="197">
        <f t="shared" si="27"/>
        <v>46836</v>
      </c>
      <c r="L98" s="147">
        <f>IF(t&lt;Tvie,1-EXP((T0-t)*PertePVj)+'2027'!Pspv,1-EXP((T0-t)*PertePVj)+Pspv)</f>
        <v>6.2274883537204673E-2</v>
      </c>
      <c r="M98" s="832"/>
      <c r="N98" s="832"/>
      <c r="O98" s="48">
        <f>IF(t&lt;Tnet,'2027'!Resal+('2027'!Salim-'2027'!Resal)*(1-EXP(('2027'!Tnet-t)/('2027'!Tau_j))),Resal+(Salim-Resal)*(1-EXP((Tnet-t)/(Tau_j))))*Salcycl</f>
        <v>5.2308326687873635E-2</v>
      </c>
      <c r="P98" s="169">
        <f>(INDEX(Models!$BJ98:$BT98,,T98)*(1-R98)+INDEX(Models!$BJ98:$BT98,,T98+1)*R98-ERP_i)*Q98*Ramure*Pc/MaxiM</f>
        <v>1.6388417518900904E-4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47.488972376534704</v>
      </c>
      <c r="W98" s="400">
        <f t="shared" si="34"/>
        <v>41.185642161561439</v>
      </c>
      <c r="X98" s="157">
        <f t="shared" si="35"/>
        <v>46836</v>
      </c>
      <c r="Y98" s="383">
        <f t="shared" si="36"/>
        <v>40.121586429393616</v>
      </c>
      <c r="Z98" s="383">
        <f t="shared" si="37"/>
        <v>42.786084882461886</v>
      </c>
      <c r="AA98" s="384">
        <f t="shared" si="38"/>
        <v>46.283767994861648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7.5570405434321392E-2</v>
      </c>
      <c r="AD98" s="230">
        <f>(INDEX(Models!$BJ98:$BT98,,AH98)*(1-AF98)+INDEX(Models!$BJ98:$BT98,,AH98+1)*AF98-ERP_i)*AE98*Ramure*Pc/MaxiM</f>
        <v>1.7950064117857791E-3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'2027'!Wh/'2027'!Env_an*'2028'!Env_an</f>
        <v>45.591776268206367</v>
      </c>
      <c r="C99" s="829"/>
      <c r="D99" s="391">
        <f t="shared" si="25"/>
        <v>48.620485087275526</v>
      </c>
      <c r="E99" s="383">
        <f t="shared" si="47"/>
        <v>51.30672148651967</v>
      </c>
      <c r="F99" s="383">
        <f t="shared" si="26"/>
        <v>51.314341523117164</v>
      </c>
      <c r="G99" s="110">
        <f t="shared" si="48"/>
        <v>0.95354294618165047</v>
      </c>
      <c r="H99" s="412" t="b">
        <f>Wh_hp&gt;='2027'!Maxi_hp</f>
        <v>0</v>
      </c>
      <c r="I99" s="388">
        <f>IF(H99,Wh_hp,'2027'!Maxi_hp)</f>
        <v>54.664172365947202</v>
      </c>
      <c r="J99" s="85">
        <f>IF(H99,An,'2027'!An_max)</f>
        <v>2018</v>
      </c>
      <c r="K99" s="197">
        <f t="shared" si="27"/>
        <v>46837</v>
      </c>
      <c r="L99" s="147">
        <f>IF(t&lt;Tvie,1-EXP((T0-t)*PertePVj)+'2027'!Pspv,1-EXP((T0-t)*PertePVj)+Pspv)</f>
        <v>6.2292854825132249E-2</v>
      </c>
      <c r="M99" s="832"/>
      <c r="N99" s="832"/>
      <c r="O99" s="48">
        <f>IF(t&lt;Tnet,'2027'!Resal+('2027'!Salim-'2027'!Resal)*(1-EXP(('2027'!Tnet-t)/('2027'!Tau_j))),Resal+(Salim-Resal)*(1-EXP((Tnet-t)/(Tau_j))))*Salcycl</f>
        <v>5.2356422734006189E-2</v>
      </c>
      <c r="P99" s="169">
        <f>(INDEX(Models!$BJ99:$BT99,,T99)*(1-R99)+INDEX(Models!$BJ99:$BT99,,T99+1)*R99-ERP_i)*Q99*Ramure*Pc/MaxiM</f>
        <v>1.5905067517920512E-4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47.812524048477009</v>
      </c>
      <c r="W99" s="400">
        <f t="shared" si="34"/>
        <v>45.591776268206367</v>
      </c>
      <c r="X99" s="157">
        <f t="shared" si="35"/>
        <v>46837</v>
      </c>
      <c r="Y99" s="383">
        <f t="shared" si="36"/>
        <v>44.40809892684063</v>
      </c>
      <c r="Z99" s="383">
        <f t="shared" si="37"/>
        <v>47.358174836728168</v>
      </c>
      <c r="AA99" s="384">
        <f t="shared" si="38"/>
        <v>51.231216133011365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7.5599245706516938E-2</v>
      </c>
      <c r="AD99" s="230">
        <f>(INDEX(Models!$BJ99:$BT99,,AH99)*(1-AF99)+INDEX(Models!$BJ99:$BT99,,AH99+1)*AF99-ERP_i)*AE99*Ramure*Pc/MaxiM</f>
        <v>1.7350506459785317E-3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'2027'!Wh/'2027'!Env_an*'2028'!Env_an</f>
        <v>44.078407255733524</v>
      </c>
      <c r="C100" s="829"/>
      <c r="D100" s="391">
        <f t="shared" si="25"/>
        <v>47.007482294829252</v>
      </c>
      <c r="E100" s="383">
        <f t="shared" si="47"/>
        <v>49.607137930353275</v>
      </c>
      <c r="F100" s="383">
        <f t="shared" si="26"/>
        <v>49.613879074551789</v>
      </c>
      <c r="G100" s="110">
        <f t="shared" si="48"/>
        <v>0.91575781926108357</v>
      </c>
      <c r="H100" s="412" t="b">
        <f>Wh_hp&gt;='2027'!Maxi_hp</f>
        <v>0</v>
      </c>
      <c r="I100" s="388">
        <f>IF(H100,Wh_hp,'2027'!Maxi_hp)</f>
        <v>53.82661692337178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6.2310825768644107E-2</v>
      </c>
      <c r="M100" s="832"/>
      <c r="N100" s="832"/>
      <c r="O100" s="48">
        <f>IF(t&lt;Tnet,'2027'!Resal+('2027'!Salim-'2027'!Resal)*(1-EXP(('2027'!Tnet-t)/('2027'!Tau_j))),Resal+(Salim-Resal)*(1-EXP((Tnet-t)/(Tau_j))))*Salcycl</f>
        <v>5.2404870427595535E-2</v>
      </c>
      <c r="P100" s="169">
        <f>(INDEX(Models!$BJ100:$BT100,,T100)*(1-R100)+INDEX(Models!$BJ100:$BT100,,T100+1)*R100-ERP_i)*Q100*Ramure*Pc/MaxiM</f>
        <v>1.5445662209969766E-4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48.13236321132905</v>
      </c>
      <c r="W100" s="400">
        <f t="shared" si="34"/>
        <v>44.078407255733524</v>
      </c>
      <c r="X100" s="157">
        <f t="shared" si="35"/>
        <v>46838</v>
      </c>
      <c r="Y100" s="383">
        <f t="shared" si="36"/>
        <v>42.940470287259551</v>
      </c>
      <c r="Z100" s="383">
        <f t="shared" si="37"/>
        <v>45.793927739923824</v>
      </c>
      <c r="AA100" s="384">
        <f t="shared" si="38"/>
        <v>49.540616367996449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7.5628623597283492E-2</v>
      </c>
      <c r="AD100" s="230">
        <f>(INDEX(Models!$BJ100:$BT100,,AH100)*(1-AF100)+INDEX(Models!$BJ100:$BT100,,AH100+1)*AF100-ERP_i)*AE100*Ramure*Pc/MaxiM</f>
        <v>1.6786334555660655E-3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'2027'!Wh/'2027'!Env_an*'2028'!Env_an</f>
        <v>14.193942716672316</v>
      </c>
      <c r="C101" s="829"/>
      <c r="D101" s="391">
        <f t="shared" si="25"/>
        <v>15.137441207204935</v>
      </c>
      <c r="E101" s="383">
        <f t="shared" si="47"/>
        <v>15.975410445553933</v>
      </c>
      <c r="F101" s="383">
        <f t="shared" si="26"/>
        <v>15.975410445553933</v>
      </c>
      <c r="G101" s="110">
        <f t="shared" si="48"/>
        <v>0.29293051248592894</v>
      </c>
      <c r="H101" s="412" t="b">
        <f>Wh_hp&gt;='2027'!Maxi_hp</f>
        <v>0</v>
      </c>
      <c r="I101" s="388">
        <f>IF(H101,Wh_hp,'2027'!Maxi_hp)</f>
        <v>53.283033319082513</v>
      </c>
      <c r="J101" s="85">
        <f>IF(H101,An,'2027'!An_max)</f>
        <v>2021</v>
      </c>
      <c r="K101" s="197">
        <f t="shared" si="27"/>
        <v>46839</v>
      </c>
      <c r="L101" s="147">
        <f>IF(t&lt;Tvie,1-EXP((T0-t)*PertePVj)+'2027'!Pspv,1-EXP((T0-t)*PertePVj)+Pspv)</f>
        <v>6.2328796367747019E-2</v>
      </c>
      <c r="M101" s="832"/>
      <c r="N101" s="832"/>
      <c r="O101" s="48">
        <f>IF(t&lt;Tnet,'2027'!Resal+('2027'!Salim-'2027'!Resal)*(1-EXP(('2027'!Tnet-t)/('2027'!Tau_j))),Resal+(Salim-Resal)*(1-EXP((Tnet-t)/(Tau_j))))*Salcycl</f>
        <v>5.2453690702025803E-2</v>
      </c>
      <c r="P101" s="169">
        <f>(INDEX(Models!$BJ101:$BT101,,T101)*(1-R101)+INDEX(Models!$BJ101:$BT101,,T101+1)*R101-ERP_i)*Q101*Ramure*Pc/MaxiM</f>
        <v>1.500777553769218E-4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48.447710008670271</v>
      </c>
      <c r="W101" s="400">
        <f t="shared" si="34"/>
        <v>14.193942716672316</v>
      </c>
      <c r="X101" s="157">
        <f t="shared" si="35"/>
        <v>46839</v>
      </c>
      <c r="Y101" s="383">
        <f t="shared" si="36"/>
        <v>13.846341020197091</v>
      </c>
      <c r="Z101" s="383">
        <f t="shared" si="37"/>
        <v>14.766733761856585</v>
      </c>
      <c r="AA101" s="384">
        <f t="shared" si="38"/>
        <v>15.975410445553933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7.565856838649998E-2</v>
      </c>
      <c r="AD101" s="230">
        <f>(INDEX(Models!$BJ101:$BT101,,AH101)*(1-AF101)+INDEX(Models!$BJ101:$BT101,,AH101+1)*AF101-ERP_i)*AE101*Ramure*Pc/MaxiM</f>
        <v>1.6246283442704619E-3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'2027'!Wh/'2027'!Env_an*'2028'!Env_an</f>
        <v>27.242555653781217</v>
      </c>
      <c r="C102" s="829"/>
      <c r="D102" s="391">
        <f t="shared" si="25"/>
        <v>29.053977189040218</v>
      </c>
      <c r="E102" s="383">
        <f t="shared" si="47"/>
        <v>30.663922162056316</v>
      </c>
      <c r="F102" s="383">
        <f t="shared" si="26"/>
        <v>30.66557600025703</v>
      </c>
      <c r="G102" s="110">
        <f t="shared" si="48"/>
        <v>0.55868104841831445</v>
      </c>
      <c r="H102" s="412" t="b">
        <f>Wh_hp&gt;='2027'!Maxi_hp</f>
        <v>0</v>
      </c>
      <c r="I102" s="388">
        <f>IF(H102,Wh_hp,'2027'!Maxi_hp)</f>
        <v>55.473113479022246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6.2346766622447425E-2</v>
      </c>
      <c r="M102" s="832"/>
      <c r="N102" s="832"/>
      <c r="O102" s="48">
        <f>IF(t&lt;Tnet,'2027'!Resal+('2027'!Salim-'2027'!Resal)*(1-EXP(('2027'!Tnet-t)/('2027'!Tau_j))),Resal+(Salim-Resal)*(1-EXP((Tnet-t)/(Tau_j))))*Salcycl</f>
        <v>5.2502904374322062E-2</v>
      </c>
      <c r="P102" s="169">
        <f>(INDEX(Models!$BJ102:$BT102,,T102)*(1-R102)+INDEX(Models!$BJ102:$BT102,,T102+1)*R102-ERP_i)*Q102*Ramure*Pc/MaxiM</f>
        <v>1.4591133894944146E-4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48.757783761985166</v>
      </c>
      <c r="W102" s="400">
        <f t="shared" si="34"/>
        <v>27.242555653781217</v>
      </c>
      <c r="X102" s="157">
        <f t="shared" si="35"/>
        <v>46840</v>
      </c>
      <c r="Y102" s="383">
        <f t="shared" si="36"/>
        <v>26.561884055801428</v>
      </c>
      <c r="Z102" s="383">
        <f t="shared" si="37"/>
        <v>28.328046137186519</v>
      </c>
      <c r="AA102" s="384">
        <f t="shared" si="38"/>
        <v>30.647746788328842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7.5689109126472601E-2</v>
      </c>
      <c r="AD102" s="230">
        <f>(INDEX(Models!$BJ102:$BT102,,AH102)*(1-AF102)+INDEX(Models!$BJ102:$BT102,,AH102+1)*AF102-ERP_i)*AE102*Ramure*Pc/MaxiM</f>
        <v>1.5729980016973054E-3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'2027'!Wh/'2027'!Env_an*'2028'!Env_an</f>
        <v>7.6385873548829935</v>
      </c>
      <c r="C103" s="829"/>
      <c r="D103" s="391">
        <f t="shared" si="25"/>
        <v>8.1466511046486616</v>
      </c>
      <c r="E103" s="383">
        <f t="shared" si="47"/>
        <v>8.5985253859556074</v>
      </c>
      <c r="F103" s="383">
        <f t="shared" si="26"/>
        <v>8.5985253859556074</v>
      </c>
      <c r="G103" s="110">
        <f t="shared" si="48"/>
        <v>0.15567105972428594</v>
      </c>
      <c r="H103" s="412" t="b">
        <f>Wh_hp&gt;='2027'!Maxi_hp</f>
        <v>0</v>
      </c>
      <c r="I103" s="388">
        <f>IF(H103,Wh_hp,'2027'!Maxi_hp)</f>
        <v>54.228775027955102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6.2364736532752096E-2</v>
      </c>
      <c r="M103" s="832"/>
      <c r="N103" s="832"/>
      <c r="O103" s="48">
        <f>IF(t&lt;Tnet,'2027'!Resal+('2027'!Salim-'2027'!Resal)*(1-EXP(('2027'!Tnet-t)/('2027'!Tau_j))),Resal+(Salim-Resal)*(1-EXP((Tnet-t)/(Tau_j))))*Salcycl</f>
        <v>5.2552532094051092E-2</v>
      </c>
      <c r="P103" s="169">
        <f>(INDEX(Models!$BJ103:$BT103,,T103)*(1-R103)+INDEX(Models!$BJ103:$BT103,,T103+1)*R103-ERP_i)*Q103*Ramure*Pc/MaxiM</f>
        <v>1.4195459959315249E-4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49.061804010331819</v>
      </c>
      <c r="W103" s="400">
        <f t="shared" si="34"/>
        <v>7.6385873548829935</v>
      </c>
      <c r="X103" s="157">
        <f t="shared" si="35"/>
        <v>46841</v>
      </c>
      <c r="Y103" s="383">
        <f t="shared" si="36"/>
        <v>7.4518025138167747</v>
      </c>
      <c r="Z103" s="383">
        <f t="shared" si="37"/>
        <v>7.9474426828413218</v>
      </c>
      <c r="AA103" s="384">
        <f t="shared" si="38"/>
        <v>8.5985253859556074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7.5720274569140794E-2</v>
      </c>
      <c r="AD103" s="230">
        <f>(INDEX(Models!$BJ103:$BT103,,AH103)*(1-AF103)+INDEX(Models!$BJ103:$BT103,,AH103+1)*AF103-ERP_i)*AE103*Ramure*Pc/MaxiM</f>
        <v>1.52370425604276E-3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'2027'!Wh/'2027'!Env_an*'2028'!Env_an</f>
        <v>27.20814290409216</v>
      </c>
      <c r="C104" s="829"/>
      <c r="D104" s="391">
        <f t="shared" si="25"/>
        <v>29.018388505700205</v>
      </c>
      <c r="E104" s="383">
        <f t="shared" si="47"/>
        <v>30.62958409104473</v>
      </c>
      <c r="F104" s="383">
        <f t="shared" si="26"/>
        <v>30.631103443935146</v>
      </c>
      <c r="G104" s="110">
        <f t="shared" si="48"/>
        <v>0.55118088471353754</v>
      </c>
      <c r="H104" s="412" t="b">
        <f>Wh_hp&gt;='2027'!Maxi_hp</f>
        <v>0</v>
      </c>
      <c r="I104" s="388">
        <f>IF(H104,Wh_hp,'2027'!Maxi_hp)</f>
        <v>49.948595361830613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6.2382706098667473E-2</v>
      </c>
      <c r="M104" s="832"/>
      <c r="N104" s="832"/>
      <c r="O104" s="48">
        <f>IF(t&lt;Tnet,'2027'!Resal+('2027'!Salim-'2027'!Resal)*(1-EXP(('2027'!Tnet-t)/('2027'!Tau_j))),Resal+(Salim-Resal)*(1-EXP((Tnet-t)/(Tau_j))))*Salcycl</f>
        <v>5.2602594294305006E-2</v>
      </c>
      <c r="P104" s="169">
        <f>(INDEX(Models!$BJ104:$BT104,,T104)*(1-R104)+INDEX(Models!$BJ104:$BT104,,T104+1)*R104-ERP_i)*Q104*Ramure*Pc/MaxiM</f>
        <v>1.3820476811596206E-4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49.358990510005121</v>
      </c>
      <c r="W104" s="400">
        <f t="shared" si="34"/>
        <v>27.20814290409216</v>
      </c>
      <c r="X104" s="157">
        <f t="shared" si="35"/>
        <v>46842</v>
      </c>
      <c r="Y104" s="383">
        <f t="shared" si="36"/>
        <v>26.530564699582953</v>
      </c>
      <c r="Z104" s="383">
        <f t="shared" si="37"/>
        <v>28.29572883536726</v>
      </c>
      <c r="AA104" s="384">
        <f t="shared" si="38"/>
        <v>30.61486926182668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7.5752093096511403E-2</v>
      </c>
      <c r="AD104" s="230">
        <f>(INDEX(Models!$BJ104:$BT104,,AH104)*(1-AF104)+INDEX(Models!$BJ104:$BT104,,AH104+1)*AF104-ERP_i)*AE104*Ramure*Pc/MaxiM</f>
        <v>1.4767085303259515E-3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'2027'!Wh/'2027'!Env_an*'2028'!Env_an</f>
        <v>31.861287805815476</v>
      </c>
      <c r="C105" s="829"/>
      <c r="D105" s="391">
        <f t="shared" si="25"/>
        <v>33.981773415522078</v>
      </c>
      <c r="E105" s="383">
        <f t="shared" si="47"/>
        <v>35.870464995757693</v>
      </c>
      <c r="F105" s="383">
        <f t="shared" si="26"/>
        <v>35.872823270843639</v>
      </c>
      <c r="G105" s="110">
        <f t="shared" si="48"/>
        <v>0.64169212000758458</v>
      </c>
      <c r="H105" s="412" t="b">
        <f>Wh_hp&gt;='2027'!Maxi_hp</f>
        <v>0</v>
      </c>
      <c r="I105" s="388">
        <f>IF(H105,Wh_hp,'2027'!Maxi_hp)</f>
        <v>50.703405728850484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6.2400675320200216E-2</v>
      </c>
      <c r="M105" s="832"/>
      <c r="N105" s="832"/>
      <c r="O105" s="48">
        <f>IF(t&lt;Tnet,'2027'!Resal+('2027'!Salim-'2027'!Resal)*(1-EXP(('2027'!Tnet-t)/('2027'!Tau_j))),Resal+(Salim-Resal)*(1-EXP((Tnet-t)/(Tau_j))))*Salcycl</f>
        <v>5.2653111144753302E-2</v>
      </c>
      <c r="P105" s="169">
        <f>(INDEX(Models!$BJ105:$BT105,,T105)*(1-R105)+INDEX(Models!$BJ105:$BT105,,T105+1)*R105-ERP_i)*Q105*Ramure*Pc/MaxiM</f>
        <v>1.3465911853359236E-4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49.648563247698846</v>
      </c>
      <c r="W105" s="400">
        <f t="shared" si="34"/>
        <v>31.861287805815476</v>
      </c>
      <c r="X105" s="157">
        <f t="shared" si="35"/>
        <v>46843</v>
      </c>
      <c r="Y105" s="383">
        <f t="shared" si="36"/>
        <v>31.063639301253982</v>
      </c>
      <c r="Z105" s="383">
        <f t="shared" si="37"/>
        <v>33.131038476230287</v>
      </c>
      <c r="AA105" s="384">
        <f t="shared" si="38"/>
        <v>35.847745247377446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7.5784592654287206E-2</v>
      </c>
      <c r="AD105" s="230">
        <f>(INDEX(Models!$BJ105:$BT105,,AH105)*(1-AF105)+INDEX(Models!$BJ105:$BT105,,AH105+1)*AF105-ERP_i)*AE105*Ramure*Pc/MaxiM</f>
        <v>1.4319722727221271E-3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'2027'!Wh/'2027'!Env_an*'2028'!Env_an</f>
        <v>19.890256977802856</v>
      </c>
      <c r="C106" s="829"/>
      <c r="D106" s="391">
        <f t="shared" si="25"/>
        <v>21.214433131272365</v>
      </c>
      <c r="E106" s="383">
        <f t="shared" si="47"/>
        <v>22.394727125293489</v>
      </c>
      <c r="F106" s="383">
        <f t="shared" si="26"/>
        <v>22.395140372827353</v>
      </c>
      <c r="G106" s="110">
        <f t="shared" si="48"/>
        <v>0.39831994117715308</v>
      </c>
      <c r="H106" s="412" t="b">
        <f>Wh_hp&gt;='2027'!Maxi_hp</f>
        <v>0</v>
      </c>
      <c r="I106" s="388">
        <f>IF(H106,Wh_hp,'2027'!Maxi_hp)</f>
        <v>45.942881049826532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6.2418644197356876E-2</v>
      </c>
      <c r="M106" s="832"/>
      <c r="N106" s="832"/>
      <c r="O106" s="48">
        <f>IF(t&lt;Tnet,'2027'!Resal+('2027'!Salim-'2027'!Resal)*(1-EXP(('2027'!Tnet-t)/('2027'!Tau_j))),Resal+(Salim-Resal)*(1-EXP((Tnet-t)/(Tau_j))))*Salcycl</f>
        <v>5.2704102506703578E-2</v>
      </c>
      <c r="P106" s="169">
        <f>(INDEX(Models!$BJ106:$BT106,,T106)*(1-R106)+INDEX(Models!$BJ106:$BT106,,T106+1)*R106-ERP_i)*Q106*Ramure*Pc/MaxiM</f>
        <v>1.3131500544048087E-4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49.929742443821773</v>
      </c>
      <c r="W106" s="400">
        <f t="shared" si="34"/>
        <v>19.890256977802856</v>
      </c>
      <c r="X106" s="157">
        <f t="shared" si="35"/>
        <v>46844</v>
      </c>
      <c r="Y106" s="383">
        <f t="shared" si="36"/>
        <v>19.401510687409232</v>
      </c>
      <c r="Z106" s="383">
        <f t="shared" si="37"/>
        <v>20.69314899164139</v>
      </c>
      <c r="AA106" s="384">
        <f t="shared" si="38"/>
        <v>22.390767758846103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7.5817800688590509E-2</v>
      </c>
      <c r="AD106" s="230">
        <f>(INDEX(Models!$BJ106:$BT106,,AH106)*(1-AF106)+INDEX(Models!$BJ106:$BT106,,AH106+1)*AF106-ERP_i)*AE106*Ramure*Pc/MaxiM</f>
        <v>1.3894573631633145E-3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'2027'!Wh/'2027'!Env_an*'2028'!Env_an</f>
        <v>22.128452045109011</v>
      </c>
      <c r="C107" s="829"/>
      <c r="D107" s="391">
        <f t="shared" si="25"/>
        <v>23.602086371510421</v>
      </c>
      <c r="E107" s="383">
        <f t="shared" si="47"/>
        <v>24.916574930157836</v>
      </c>
      <c r="F107" s="383">
        <f t="shared" si="26"/>
        <v>24.917217149767151</v>
      </c>
      <c r="G107" s="110">
        <f t="shared" si="48"/>
        <v>0.44072635950629208</v>
      </c>
      <c r="H107" s="412" t="b">
        <f>Wh_hp&gt;='2027'!Maxi_hp</f>
        <v>0</v>
      </c>
      <c r="I107" s="388">
        <f>IF(H107,Wh_hp,'2027'!Maxi_hp)</f>
        <v>55.561785950469968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6.2436612730144114E-2</v>
      </c>
      <c r="M107" s="832"/>
      <c r="N107" s="832"/>
      <c r="O107" s="48">
        <f>IF(t&lt;Tnet,'2027'!Resal+('2027'!Salim-'2027'!Resal)*(1-EXP(('2027'!Tnet-t)/('2027'!Tau_j))),Resal+(Salim-Resal)*(1-EXP((Tnet-t)/(Tau_j))))*Salcycl</f>
        <v>5.2755587890068234E-2</v>
      </c>
      <c r="P107" s="169">
        <f>(INDEX(Models!$BJ107:$BT107,,T107)*(1-R107)+INDEX(Models!$BJ107:$BT107,,T107+1)*R107-ERP_i)*Q107*Ramure*Pc/MaxiM</f>
        <v>1.2816438365822075E-4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50.203909459129562</v>
      </c>
      <c r="W107" s="400">
        <f t="shared" si="34"/>
        <v>22.128452045109011</v>
      </c>
      <c r="X107" s="157">
        <f t="shared" si="35"/>
        <v>46845</v>
      </c>
      <c r="Y107" s="383">
        <f t="shared" si="36"/>
        <v>21.583604996826985</v>
      </c>
      <c r="Z107" s="383">
        <f t="shared" si="37"/>
        <v>23.020955478730361</v>
      </c>
      <c r="AA107" s="384">
        <f t="shared" si="38"/>
        <v>24.910457095385397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7.5851744085621953E-2</v>
      </c>
      <c r="AD107" s="230">
        <f>(INDEX(Models!$BJ107:$BT107,,AH107)*(1-AF107)+INDEX(Models!$BJ107:$BT107,,AH107+1)*AF107-ERP_i)*AE107*Ramure*Pc/MaxiM</f>
        <v>1.3490684351111712E-3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'2027'!Wh/'2027'!Env_an*'2028'!Env_an</f>
        <v>44.545281762497098</v>
      </c>
      <c r="C108" s="829"/>
      <c r="D108" s="391">
        <f t="shared" si="25"/>
        <v>47.51266536627179</v>
      </c>
      <c r="E108" s="383">
        <f t="shared" si="47"/>
        <v>50.161577188204888</v>
      </c>
      <c r="F108" s="383">
        <f t="shared" si="26"/>
        <v>50.166804366693043</v>
      </c>
      <c r="G108" s="110">
        <f t="shared" si="48"/>
        <v>0.8825398569868057</v>
      </c>
      <c r="H108" s="412" t="b">
        <f>Wh_hp&gt;='2027'!Maxi_hp</f>
        <v>0</v>
      </c>
      <c r="I108" s="388">
        <f>IF(H108,Wh_hp,'2027'!Maxi_hp)</f>
        <v>57.558924699627966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6.2454580918568592E-2</v>
      </c>
      <c r="M108" s="832"/>
      <c r="N108" s="832"/>
      <c r="O108" s="48">
        <f>IF(t&lt;Tnet,'2027'!Resal+('2027'!Salim-'2027'!Resal)*(1-EXP(('2027'!Tnet-t)/('2027'!Tau_j))),Resal+(Salim-Resal)*(1-EXP((Tnet-t)/(Tau_j))))*Salcycl</f>
        <v>5.2807586412094973E-2</v>
      </c>
      <c r="P108" s="169">
        <f>(INDEX(Models!$BJ108:$BT108,,T108)*(1-R108)+INDEX(Models!$BJ108:$BT108,,T108+1)*R108-ERP_i)*Q108*Ramure*Pc/MaxiM</f>
        <v>1.2520148085209777E-4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50.472900023304796</v>
      </c>
      <c r="W108" s="400">
        <f t="shared" si="34"/>
        <v>44.545281762497098</v>
      </c>
      <c r="X108" s="157">
        <f t="shared" si="35"/>
        <v>46846</v>
      </c>
      <c r="Y108" s="383">
        <f t="shared" si="36"/>
        <v>43.417014378447476</v>
      </c>
      <c r="Z108" s="383">
        <f t="shared" si="37"/>
        <v>46.309238459066535</v>
      </c>
      <c r="AA108" s="384">
        <f t="shared" si="38"/>
        <v>50.112065140338167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7.5886449114038024E-2</v>
      </c>
      <c r="AD108" s="230">
        <f>(INDEX(Models!$BJ108:$BT108,,AH108)*(1-AF108)+INDEX(Models!$BJ108:$BT108,,AH108+1)*AF108-ERP_i)*AE108*Ramure*Pc/MaxiM</f>
        <v>1.3111150146976735E-3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'2027'!Wh/'2027'!Env_an*'2028'!Env_an</f>
        <v>51.116235942945167</v>
      </c>
      <c r="C109" s="829"/>
      <c r="D109" s="391">
        <f t="shared" si="25"/>
        <v>54.522388518310763</v>
      </c>
      <c r="E109" s="383">
        <f t="shared" si="47"/>
        <v>57.565296829931661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Wh_hp&gt;='2027'!Maxi_hp</f>
        <v>0</v>
      </c>
      <c r="I109" s="388">
        <f>IF(H109,Wh_hp,'2027'!Maxi_hp)</f>
        <v>59.132284614261103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6.2472548762636748E-2</v>
      </c>
      <c r="M109" s="832"/>
      <c r="N109" s="832"/>
      <c r="O109" s="48">
        <f>IF(t&lt;Tnet,'2027'!Resal+('2027'!Salim-'2027'!Resal)*(1-EXP(('2027'!Tnet-t)/('2027'!Tau_j))),Resal+(Salim-Resal)*(1-EXP((Tnet-t)/(Tau_j))))*Salcycl</f>
        <v>5.2860116757683519E-2</v>
      </c>
      <c r="P109" s="169">
        <f>(INDEX(Models!$BJ109:$BT109,,T109)*(1-R109)+INDEX(Models!$BJ109:$BT109,,T109+1)*R109-ERP_i)*Q109*Ramure*Pc/MaxiM</f>
        <v>1.2235907911303741E-4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50.736619585494836</v>
      </c>
      <c r="W109" s="400">
        <f t="shared" si="34"/>
        <v>51.116235942945167</v>
      </c>
      <c r="X109" s="157">
        <f t="shared" si="35"/>
        <v>46847</v>
      </c>
      <c r="Y109" s="383">
        <f t="shared" si="36"/>
        <v>49.814129296354963</v>
      </c>
      <c r="Z109" s="383">
        <f t="shared" si="37"/>
        <v>53.133515429985017</v>
      </c>
      <c r="AA109" s="384">
        <f t="shared" si="38"/>
        <v>57.498947122222575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7.5921941369781698E-2</v>
      </c>
      <c r="AD109" s="230">
        <f>(INDEX(Models!$BJ109:$BT109,,AH109)*(1-AF109)+INDEX(Models!$BJ109:$BT109,,AH109+1)*AF109-ERP_i)*AE109*Ramure*Pc/MaxiM</f>
        <v>1.2748171202127746E-3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'2027'!Wh/'2027'!Env_an*'2028'!Env_an</f>
        <v>11.064573578544486</v>
      </c>
      <c r="C110" s="829"/>
      <c r="D110" s="391">
        <f t="shared" si="25"/>
        <v>11.802092427302664</v>
      </c>
      <c r="E110" s="383">
        <f t="shared" si="47"/>
        <v>12.461468570437598</v>
      </c>
      <c r="F110" s="383">
        <f t="shared" si="26"/>
        <v>12.461468570437598</v>
      </c>
      <c r="G110" s="110">
        <f t="shared" si="48"/>
        <v>0.2169478633094036</v>
      </c>
      <c r="H110" s="412" t="b">
        <f>Wh_hp&gt;='2027'!Maxi_hp</f>
        <v>0</v>
      </c>
      <c r="I110" s="388">
        <f>IF(H110,Wh_hp,'2027'!Maxi_hp)</f>
        <v>59.680123270108488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6.2490516262355356E-2</v>
      </c>
      <c r="M110" s="832"/>
      <c r="N110" s="832"/>
      <c r="O110" s="48">
        <f>IF(t&lt;Tnet,'2027'!Resal+('2027'!Salim-'2027'!Resal)*(1-EXP(('2027'!Tnet-t)/('2027'!Tau_j))),Resal+(Salim-Resal)*(1-EXP((Tnet-t)/(Tau_j))))*Salcycl</f>
        <v>5.2913197141079622E-2</v>
      </c>
      <c r="P110" s="169">
        <f>(INDEX(Models!$BJ110:$BT110,,T110)*(1-R110)+INDEX(Models!$BJ110:$BT110,,T110+1)*R110-ERP_i)*Q110*Ramure*Pc/MaxiM</f>
        <v>1.1963459024103266E-4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50.99497042310206</v>
      </c>
      <c r="W110" s="400">
        <f t="shared" si="34"/>
        <v>11.064573578544486</v>
      </c>
      <c r="X110" s="157">
        <f t="shared" si="35"/>
        <v>46848</v>
      </c>
      <c r="Y110" s="383">
        <f t="shared" si="36"/>
        <v>10.795344153230248</v>
      </c>
      <c r="Z110" s="383">
        <f t="shared" si="37"/>
        <v>11.514917278694162</v>
      </c>
      <c r="AA110" s="384">
        <f t="shared" si="38"/>
        <v>12.461468570437598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7.5958245723055776E-2</v>
      </c>
      <c r="AD110" s="230">
        <f>(INDEX(Models!$BJ110:$BT110,,AH110)*(1-AF110)+INDEX(Models!$BJ110:$BT110,,AH110+1)*AF110-ERP_i)*AE110*Ramure*Pc/MaxiM</f>
        <v>1.2401386330169158E-3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'2027'!Wh/'2027'!Env_an*'2028'!Env_an</f>
        <v>37.143430456994103</v>
      </c>
      <c r="C111" s="829"/>
      <c r="D111" s="391">
        <f t="shared" si="25"/>
        <v>39.620017674831516</v>
      </c>
      <c r="E111" s="383">
        <f t="shared" si="47"/>
        <v>41.835935180192621</v>
      </c>
      <c r="F111" s="383">
        <f t="shared" si="26"/>
        <v>41.838906348278144</v>
      </c>
      <c r="G111" s="110">
        <f t="shared" si="48"/>
        <v>0.72474684886602703</v>
      </c>
      <c r="H111" s="412" t="b">
        <f>Wh_hp&gt;='2027'!Maxi_hp</f>
        <v>0</v>
      </c>
      <c r="I111" s="388">
        <f>IF(H111,Wh_hp,'2027'!Maxi_hp)</f>
        <v>57.850737846912956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6.2508483417730965E-2</v>
      </c>
      <c r="M111" s="832"/>
      <c r="N111" s="832"/>
      <c r="O111" s="48">
        <f>IF(t&lt;Tnet,'2027'!Resal+('2027'!Salim-'2027'!Resal)*(1-EXP(('2027'!Tnet-t)/('2027'!Tau_j))),Resal+(Salim-Resal)*(1-EXP((Tnet-t)/(Tau_j))))*Salcycl</f>
        <v>5.296684526871144E-2</v>
      </c>
      <c r="P111" s="169">
        <f>(INDEX(Models!$BJ111:$BT111,,T111)*(1-R111)+INDEX(Models!$BJ111:$BT111,,T111+1)*R111-ERP_i)*Q111*Ramure*Pc/MaxiM</f>
        <v>1.1702554533212441E-4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51.247854868009703</v>
      </c>
      <c r="W111" s="400">
        <f t="shared" si="34"/>
        <v>37.143430456994103</v>
      </c>
      <c r="X111" s="157">
        <f t="shared" si="35"/>
        <v>46849</v>
      </c>
      <c r="Y111" s="383">
        <f t="shared" si="36"/>
        <v>36.216258864473879</v>
      </c>
      <c r="Z111" s="383">
        <f t="shared" si="37"/>
        <v>38.631025693442361</v>
      </c>
      <c r="AA111" s="384">
        <f t="shared" si="38"/>
        <v>41.808260607461726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7.5995386267093581E-2</v>
      </c>
      <c r="AD111" s="230">
        <f>(INDEX(Models!$BJ111:$BT111,,AH111)*(1-AF111)+INDEX(Models!$BJ111:$BT111,,AH111+1)*AF111-ERP_i)*AE111*Ramure*Pc/MaxiM</f>
        <v>1.2070453195237624E-3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'2027'!Wh/'2027'!Env_an*'2028'!Env_an</f>
        <v>30.176811884070826</v>
      </c>
      <c r="C112" s="829"/>
      <c r="D112" s="391">
        <f t="shared" si="25"/>
        <v>32.189507524169422</v>
      </c>
      <c r="E112" s="383">
        <f t="shared" si="47"/>
        <v>33.991788820898321</v>
      </c>
      <c r="F112" s="383">
        <f t="shared" si="26"/>
        <v>33.993379559860784</v>
      </c>
      <c r="G112" s="110">
        <f t="shared" si="48"/>
        <v>0.5859727170387925</v>
      </c>
      <c r="H112" s="412" t="b">
        <f>Wh_hp&gt;='2027'!Maxi_hp</f>
        <v>0</v>
      </c>
      <c r="I112" s="388">
        <f>IF(H112,Wh_hp,'2027'!Maxi_hp)</f>
        <v>57.096062387011123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6.2526450228770014E-2</v>
      </c>
      <c r="M112" s="832"/>
      <c r="N112" s="832"/>
      <c r="O112" s="48">
        <f>IF(t&lt;Tnet,'2027'!Resal+('2027'!Salim-'2027'!Resal)*(1-EXP(('2027'!Tnet-t)/('2027'!Tau_j))),Resal+(Salim-Resal)*(1-EXP((Tnet-t)/(Tau_j))))*Salcycl</f>
        <v>5.3021078302912028E-2</v>
      </c>
      <c r="P112" s="169">
        <f>(INDEX(Models!$BJ112:$BT112,,T112)*(1-R112)+INDEX(Models!$BJ112:$BT112,,T112+1)*R112-ERP_i)*Q112*Ramure*Pc/MaxiM</f>
        <v>1.1452959756896054E-4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51.495175310131167</v>
      </c>
      <c r="W112" s="400">
        <f t="shared" si="34"/>
        <v>30.176811884070826</v>
      </c>
      <c r="X112" s="157">
        <f t="shared" si="35"/>
        <v>46850</v>
      </c>
      <c r="Y112" s="383">
        <f t="shared" si="36"/>
        <v>29.430727966708069</v>
      </c>
      <c r="Z112" s="383">
        <f t="shared" si="37"/>
        <v>31.393662225339583</v>
      </c>
      <c r="AA112" s="384">
        <f t="shared" si="38"/>
        <v>33.977052589107281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7.6033386268351891E-2</v>
      </c>
      <c r="AD112" s="230">
        <f>(INDEX(Models!$BJ112:$BT112,,AH112)*(1-AF112)+INDEX(Models!$BJ112:$BT112,,AH112+1)*AF112-ERP_i)*AE112*Ramure*Pc/MaxiM</f>
        <v>1.1755048653766492E-3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'2027'!Wh/'2027'!Env_an*'2028'!Env_an</f>
        <v>35.403735846973682</v>
      </c>
      <c r="C113" s="829"/>
      <c r="D113" s="391">
        <f t="shared" si="25"/>
        <v>37.76577416305517</v>
      </c>
      <c r="E113" s="383">
        <f t="shared" si="47"/>
        <v>39.882578418480811</v>
      </c>
      <c r="F113" s="383">
        <f t="shared" si="26"/>
        <v>39.88503406130183</v>
      </c>
      <c r="G113" s="110">
        <f t="shared" si="48"/>
        <v>0.6842696444017351</v>
      </c>
      <c r="H113" s="412" t="b">
        <f>Wh_hp&gt;='2027'!Maxi_hp</f>
        <v>0</v>
      </c>
      <c r="I113" s="388">
        <f>IF(H113,Wh_hp,'2027'!Maxi_hp)</f>
        <v>45.048186570983958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6.2544416695479277E-2</v>
      </c>
      <c r="M113" s="832"/>
      <c r="N113" s="832"/>
      <c r="O113" s="48">
        <f>IF(t&lt;Tnet,'2027'!Resal+('2027'!Salim-'2027'!Resal)*(1-EXP(('2027'!Tnet-t)/('2027'!Tau_j))),Resal+(Salim-Resal)*(1-EXP((Tnet-t)/(Tau_j))))*Salcycl</f>
        <v>5.3075912826256885E-2</v>
      </c>
      <c r="P113" s="169">
        <f>(INDEX(Models!$BJ113:$BT113,,T113)*(1-R113)+INDEX(Models!$BJ113:$BT113,,T113+1)*R113-ERP_i)*Q113*Ramure*Pc/MaxiM</f>
        <v>1.1214452512836763E-4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51.736834198843702</v>
      </c>
      <c r="W113" s="400">
        <f t="shared" si="34"/>
        <v>35.403735846973682</v>
      </c>
      <c r="X113" s="157">
        <f t="shared" si="35"/>
        <v>46851</v>
      </c>
      <c r="Y113" s="383">
        <f t="shared" si="36"/>
        <v>34.524346386917856</v>
      </c>
      <c r="Z113" s="383">
        <f t="shared" si="37"/>
        <v>36.827714295774861</v>
      </c>
      <c r="AA113" s="384">
        <f t="shared" si="38"/>
        <v>39.859951189848729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7.6072268117731601E-2</v>
      </c>
      <c r="AD113" s="230">
        <f>(INDEX(Models!$BJ113:$BT113,,AH113)*(1-AF113)+INDEX(Models!$BJ113:$BT113,,AH113+1)*AF113-ERP_i)*AE113*Ramure*Pc/MaxiM</f>
        <v>1.1454869103448475E-3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'2027'!Wh/'2027'!Env_an*'2028'!Env_an</f>
        <v>51.770051942427614</v>
      </c>
      <c r="C114" s="829"/>
      <c r="D114" s="391">
        <f t="shared" si="25"/>
        <v>55.225063506673017</v>
      </c>
      <c r="E114" s="383">
        <f t="shared" si="47"/>
        <v>58.323891460795849</v>
      </c>
      <c r="F114" s="383">
        <f t="shared" si="26"/>
        <v>58.330264974524866</v>
      </c>
      <c r="G114" s="110">
        <f t="shared" si="48"/>
        <v>0.99609962229317706</v>
      </c>
      <c r="H114" s="412" t="b">
        <f>Wh_hp&gt;='2027'!Maxi_hp</f>
        <v>0</v>
      </c>
      <c r="I114" s="388">
        <f>IF(H114,Wh_hp,'2027'!Maxi_hp)</f>
        <v>58.330300369076909</v>
      </c>
      <c r="J114" s="85">
        <f>IF(H114,An,'2027'!An_max)</f>
        <v>2026</v>
      </c>
      <c r="K114" s="197">
        <f t="shared" si="27"/>
        <v>46852</v>
      </c>
      <c r="L114" s="147">
        <f>IF(t&lt;Tvie,1-EXP((T0-t)*PertePVj)+'2027'!Pspv,1-EXP((T0-t)*PertePVj)+Pspv)</f>
        <v>6.2562382817865414E-2</v>
      </c>
      <c r="M114" s="832"/>
      <c r="N114" s="832"/>
      <c r="O114" s="48">
        <f>IF(t&lt;Tnet,'2027'!Resal+('2027'!Salim-'2027'!Resal)*(1-EXP(('2027'!Tnet-t)/('2027'!Tau_j))),Resal+(Salim-Resal)*(1-EXP((Tnet-t)/(Tau_j))))*Salcycl</f>
        <v>5.3131364806235634E-2</v>
      </c>
      <c r="P114" s="169">
        <f>(INDEX(Models!$BJ114:$BT114,,T114)*(1-R114)+INDEX(Models!$BJ114:$BT114,,T114+1)*R114-ERP_i)*Q114*Ramure*Pc/MaxiM</f>
        <v>1.0987812448049955E-4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51.97273353961814</v>
      </c>
      <c r="W114" s="400">
        <f t="shared" si="34"/>
        <v>51.770051942427614</v>
      </c>
      <c r="X114" s="157">
        <f t="shared" si="35"/>
        <v>46852</v>
      </c>
      <c r="Y114" s="383">
        <f t="shared" si="36"/>
        <v>50.462977799741495</v>
      </c>
      <c r="Z114" s="383">
        <f t="shared" si="37"/>
        <v>53.830758308408114</v>
      </c>
      <c r="AA114" s="384">
        <f t="shared" si="38"/>
        <v>58.265462277822536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7.6112053282419337E-2</v>
      </c>
      <c r="AD114" s="230">
        <f>(INDEX(Models!$BJ114:$BT114,,AH114)*(1-AF114)+INDEX(Models!$BJ114:$BT114,,AH114+1)*AF114-ERP_i)*AE114*Ramure*Pc/MaxiM</f>
        <v>1.117185759325709E-3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'2027'!Wh/'2027'!Env_an*'2028'!Env_an</f>
        <v>42.907947181272398</v>
      </c>
      <c r="C115" s="829"/>
      <c r="D115" s="391">
        <f t="shared" si="25"/>
        <v>45.772399924628168</v>
      </c>
      <c r="E115" s="383">
        <f t="shared" si="47"/>
        <v>48.343676795745566</v>
      </c>
      <c r="F115" s="383">
        <f t="shared" si="26"/>
        <v>48.347557939982565</v>
      </c>
      <c r="G115" s="110">
        <f t="shared" si="48"/>
        <v>0.82192504910634978</v>
      </c>
      <c r="H115" s="412" t="b">
        <f>Wh_hp&gt;='2027'!Maxi_hp</f>
        <v>0</v>
      </c>
      <c r="I115" s="388">
        <f>IF(H115,Wh_hp,'2027'!Maxi_hp)</f>
        <v>59.403908056990687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6.2580348595934754E-2</v>
      </c>
      <c r="M115" s="832"/>
      <c r="N115" s="832"/>
      <c r="O115" s="48">
        <f>IF(t&lt;Tnet,'2027'!Resal+('2027'!Salim-'2027'!Resal)*(1-EXP(('2027'!Tnet-t)/('2027'!Tau_j))),Resal+(Salim-Resal)*(1-EXP((Tnet-t)/(Tau_j))))*Salcycl</f>
        <v>5.3187449559973905E-2</v>
      </c>
      <c r="P115" s="169">
        <f>(INDEX(Models!$BJ115:$BT115,,T115)*(1-R115)+INDEX(Models!$BJ115:$BT115,,T115+1)*R115-ERP_i)*Q115*Ramure*Pc/MaxiM</f>
        <v>1.0766050412022226E-4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52.202779458901112</v>
      </c>
      <c r="W115" s="400">
        <f t="shared" si="34"/>
        <v>42.907947181272398</v>
      </c>
      <c r="X115" s="157">
        <f t="shared" si="35"/>
        <v>46853</v>
      </c>
      <c r="Y115" s="383">
        <f t="shared" si="36"/>
        <v>41.836532608316958</v>
      </c>
      <c r="Z115" s="383">
        <f t="shared" si="37"/>
        <v>44.629459757595527</v>
      </c>
      <c r="AA115" s="384">
        <f t="shared" si="38"/>
        <v>48.308267789675611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7.6152762257940265E-2</v>
      </c>
      <c r="AD115" s="230">
        <f>(INDEX(Models!$BJ115:$BT115,,AH115)*(1-AF115)+INDEX(Models!$BJ115:$BT115,,AH115+1)*AF115-ERP_i)*AE115*Ramure*Pc/MaxiM</f>
        <v>1.0898840987861435E-3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'2027'!Wh/'2027'!Env_an*'2028'!Env_an</f>
        <v>36.647235172564791</v>
      </c>
      <c r="C116" s="829"/>
      <c r="D116" s="391">
        <f t="shared" si="25"/>
        <v>39.094483956076083</v>
      </c>
      <c r="E116" s="383">
        <f t="shared" si="47"/>
        <v>41.29310134797749</v>
      </c>
      <c r="F116" s="383">
        <f t="shared" si="26"/>
        <v>41.295584509700838</v>
      </c>
      <c r="G116" s="110">
        <f t="shared" si="48"/>
        <v>0.69898450080185359</v>
      </c>
      <c r="H116" s="412" t="b">
        <f>Wh_hp&gt;='2027'!Maxi_hp</f>
        <v>0</v>
      </c>
      <c r="I116" s="388">
        <f>IF(H116,Wh_hp,'2027'!Maxi_hp)</f>
        <v>58.857771528976158</v>
      </c>
      <c r="J116" s="85">
        <f>IF(H116,An,'2027'!An_max)</f>
        <v>2018</v>
      </c>
      <c r="K116" s="197">
        <f t="shared" si="27"/>
        <v>46854</v>
      </c>
      <c r="L116" s="147">
        <f>IF(t&lt;Tvie,1-EXP((T0-t)*PertePVj)+'2027'!Pspv,1-EXP((T0-t)*PertePVj)+Pspv)</f>
        <v>6.259831402969418E-2</v>
      </c>
      <c r="M116" s="832"/>
      <c r="N116" s="832"/>
      <c r="O116" s="48">
        <f>IF(t&lt;Tnet,'2027'!Resal+('2027'!Salim-'2027'!Resal)*(1-EXP(('2027'!Tnet-t)/('2027'!Tau_j))),Resal+(Salim-Resal)*(1-EXP((Tnet-t)/(Tau_j))))*Salcycl</f>
        <v>5.3244181718724179E-2</v>
      </c>
      <c r="P116" s="169">
        <f>(INDEX(Models!$BJ116:$BT116,,T116)*(1-R116)+INDEX(Models!$BJ116:$BT116,,T116+1)*R116-ERP_i)*Q116*Ramure*Pc/MaxiM</f>
        <v>1.0548941642802515E-4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52.426874680394796</v>
      </c>
      <c r="W116" s="400">
        <f t="shared" si="34"/>
        <v>36.647235172564791</v>
      </c>
      <c r="X116" s="157">
        <f t="shared" si="35"/>
        <v>46854</v>
      </c>
      <c r="Y116" s="383">
        <f t="shared" si="36"/>
        <v>35.739342626692881</v>
      </c>
      <c r="Z116" s="383">
        <f t="shared" si="37"/>
        <v>38.12596367340543</v>
      </c>
      <c r="AA116" s="384">
        <f t="shared" si="38"/>
        <v>41.270548990669205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7.619441452001835E-2</v>
      </c>
      <c r="AD116" s="230">
        <f>(INDEX(Models!$BJ116:$BT116,,AH116)*(1-AF116)+INDEX(Models!$BJ116:$BT116,,AH116+1)*AF116-ERP_i)*AE116*Ramure*Pc/MaxiM</f>
        <v>1.0635562991287814E-3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'2027'!Wh/'2027'!Env_an*'2028'!Env_an</f>
        <v>7.8316219947263255</v>
      </c>
      <c r="C117" s="829"/>
      <c r="D117" s="391">
        <f t="shared" si="25"/>
        <v>8.3547663782415906</v>
      </c>
      <c r="E117" s="383">
        <f t="shared" si="47"/>
        <v>8.8251613811808429</v>
      </c>
      <c r="F117" s="383">
        <f t="shared" si="26"/>
        <v>8.8251613811808429</v>
      </c>
      <c r="G117" s="110">
        <f t="shared" si="48"/>
        <v>0.14874772721059726</v>
      </c>
      <c r="H117" s="412" t="b">
        <f>Wh_hp&gt;='2027'!Maxi_hp</f>
        <v>0</v>
      </c>
      <c r="I117" s="388">
        <f>IF(H117,Wh_hp,'2027'!Maxi_hp)</f>
        <v>58.816606841862637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6.261627911915002E-2</v>
      </c>
      <c r="M117" s="832"/>
      <c r="N117" s="832"/>
      <c r="O117" s="48">
        <f>IF(t&lt;Tnet,'2027'!Resal+('2027'!Salim-'2027'!Resal)*(1-EXP(('2027'!Tnet-t)/('2027'!Tau_j))),Resal+(Salim-Resal)*(1-EXP((Tnet-t)/(Tau_j))))*Salcycl</f>
        <v>5.3301575191853454E-2</v>
      </c>
      <c r="P117" s="169">
        <f>(INDEX(Models!$BJ117:$BT117,,T117)*(1-R117)+INDEX(Models!$BJ117:$BT117,,T117+1)*R117-ERP_i)*Q117*Ramure*Pc/MaxiM</f>
        <v>1.0336260599018233E-4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52.644922007991049</v>
      </c>
      <c r="W117" s="400">
        <f t="shared" si="34"/>
        <v>7.8316219947263255</v>
      </c>
      <c r="X117" s="157">
        <f t="shared" si="35"/>
        <v>46855</v>
      </c>
      <c r="Y117" s="383">
        <f t="shared" si="36"/>
        <v>7.6418870213799792</v>
      </c>
      <c r="Z117" s="383">
        <f t="shared" si="37"/>
        <v>8.1523573016597464</v>
      </c>
      <c r="AA117" s="384">
        <f t="shared" si="38"/>
        <v>8.8251613811808429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7.6237028475854521E-2</v>
      </c>
      <c r="AD117" s="230">
        <f>(INDEX(Models!$BJ117:$BT117,,AH117)*(1-AF117)+INDEX(Models!$BJ117:$BT117,,AH117+1)*AF117-ERP_i)*AE117*Ramure*Pc/MaxiM</f>
        <v>1.0381777927651263E-3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'2027'!Wh/'2027'!Env_an*'2028'!Env_an</f>
        <v>39.639845153778417</v>
      </c>
      <c r="C118" s="829"/>
      <c r="D118" s="391">
        <f t="shared" si="25"/>
        <v>42.288556941950254</v>
      </c>
      <c r="E118" s="383">
        <f t="shared" si="47"/>
        <v>44.672252387144738</v>
      </c>
      <c r="F118" s="383">
        <f t="shared" si="26"/>
        <v>44.675160721012283</v>
      </c>
      <c r="G118" s="110">
        <f t="shared" si="48"/>
        <v>0.74992040208445176</v>
      </c>
      <c r="H118" s="412" t="b">
        <f>Wh_hp&gt;='2027'!Maxi_hp</f>
        <v>0</v>
      </c>
      <c r="I118" s="388">
        <f>IF(H118,Wh_hp,'2027'!Maxi_hp)</f>
        <v>59.036177217934771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6.2634243864309158E-2</v>
      </c>
      <c r="M118" s="832"/>
      <c r="N118" s="832"/>
      <c r="O118" s="48">
        <f>IF(t&lt;Tnet,'2027'!Resal+('2027'!Salim-'2027'!Resal)*(1-EXP(('2027'!Tnet-t)/('2027'!Tau_j))),Resal+(Salim-Resal)*(1-EXP((Tnet-t)/(Tau_j))))*Salcycl</f>
        <v>5.3359643130070591E-2</v>
      </c>
      <c r="P118" s="169">
        <f>(INDEX(Models!$BJ118:$BT118,,T118)*(1-R118)+INDEX(Models!$BJ118:$BT118,,T118+1)*R118-ERP_i)*Q118*Ramure*Pc/MaxiM</f>
        <v>1.0127780950477923E-4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52.856824338323939</v>
      </c>
      <c r="W118" s="400">
        <f t="shared" si="34"/>
        <v>39.639845153778417</v>
      </c>
      <c r="X118" s="157">
        <f t="shared" si="35"/>
        <v>46856</v>
      </c>
      <c r="Y118" s="383">
        <f t="shared" si="36"/>
        <v>38.657359103791073</v>
      </c>
      <c r="Z118" s="383">
        <f t="shared" si="37"/>
        <v>41.240421735862007</v>
      </c>
      <c r="AA118" s="384">
        <f t="shared" si="38"/>
        <v>44.646050187895725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7.6280621414456851E-2</v>
      </c>
      <c r="AD118" s="230">
        <f>(INDEX(Models!$BJ118:$BT118,,AH118)*(1-AF118)+INDEX(Models!$BJ118:$BT118,,AH118+1)*AF118-ERP_i)*AE118*Ramure*Pc/MaxiM</f>
        <v>1.0137250954790589E-3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'2027'!Wh/'2027'!Env_an*'2028'!Env_an</f>
        <v>43.255852186017208</v>
      </c>
      <c r="C119" s="829"/>
      <c r="D119" s="391">
        <f t="shared" si="25"/>
        <v>46.147067894575457</v>
      </c>
      <c r="E119" s="383">
        <f t="shared" si="47"/>
        <v>48.751283345879585</v>
      </c>
      <c r="F119" s="383">
        <f t="shared" si="26"/>
        <v>48.754844081679416</v>
      </c>
      <c r="G119" s="110">
        <f t="shared" si="48"/>
        <v>0.81516572603050663</v>
      </c>
      <c r="H119" s="412" t="b">
        <f>Wh_hp&gt;='2027'!Maxi_hp</f>
        <v>0</v>
      </c>
      <c r="I119" s="388">
        <f>IF(H119,Wh_hp,'2027'!Maxi_hp)</f>
        <v>59.816550107721071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6.2652208265178033E-2</v>
      </c>
      <c r="M119" s="832"/>
      <c r="N119" s="832"/>
      <c r="O119" s="48">
        <f>IF(t&lt;Tnet,'2027'!Resal+('2027'!Salim-'2027'!Resal)*(1-EXP(('2027'!Tnet-t)/('2027'!Tau_j))),Resal+(Salim-Resal)*(1-EXP((Tnet-t)/(Tau_j))))*Salcycl</f>
        <v>5.3418397887657613E-2</v>
      </c>
      <c r="P119" s="169">
        <f>(INDEX(Models!$BJ119:$BT119,,T119)*(1-R119)+INDEX(Models!$BJ119:$BT119,,T119+1)*R119-ERP_i)*Q119*Ramure*Pc/MaxiM</f>
        <v>9.9232755686426752E-5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53.06248465789092</v>
      </c>
      <c r="W119" s="400">
        <f t="shared" si="34"/>
        <v>43.255852186017208</v>
      </c>
      <c r="X119" s="157">
        <f t="shared" si="35"/>
        <v>46857</v>
      </c>
      <c r="Y119" s="383">
        <f t="shared" si="36"/>
        <v>42.181402468111777</v>
      </c>
      <c r="Z119" s="383">
        <f t="shared" si="37"/>
        <v>45.000802092938628</v>
      </c>
      <c r="AA119" s="384">
        <f t="shared" si="38"/>
        <v>48.719313933446358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7.6325209455688325E-2</v>
      </c>
      <c r="AD119" s="230">
        <f>(INDEX(Models!$BJ119:$BT119,,AH119)*(1-AF119)+INDEX(Models!$BJ119:$BT119,,AH119+1)*AF119-ERP_i)*AE119*Ramure*Pc/MaxiM</f>
        <v>9.9017582806332802E-4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'2027'!Wh/'2027'!Env_an*'2028'!Env_an</f>
        <v>44.881317239137466</v>
      </c>
      <c r="C120" s="829"/>
      <c r="D120" s="391">
        <f t="shared" si="25"/>
        <v>47.882096476443472</v>
      </c>
      <c r="E120" s="383">
        <f t="shared" si="47"/>
        <v>50.587402023498299</v>
      </c>
      <c r="F120" s="383">
        <f t="shared" si="26"/>
        <v>50.591215134250632</v>
      </c>
      <c r="G120" s="110">
        <f t="shared" si="48"/>
        <v>0.84263639646242272</v>
      </c>
      <c r="H120" s="412" t="b">
        <f>Wh_hp&gt;='2027'!Maxi_hp</f>
        <v>0</v>
      </c>
      <c r="I120" s="388">
        <f>IF(H120,Wh_hp,'2027'!Maxi_hp)</f>
        <v>51.884062779817704</v>
      </c>
      <c r="J120" s="85">
        <f>IF(H120,An,'2027'!An_max)</f>
        <v>2021</v>
      </c>
      <c r="K120" s="197">
        <f t="shared" si="27"/>
        <v>46858</v>
      </c>
      <c r="L120" s="147">
        <f>IF(t&lt;Tvie,1-EXP((T0-t)*PertePVj)+'2027'!Pspv,1-EXP((T0-t)*PertePVj)+Pspv)</f>
        <v>6.2670172321763196E-2</v>
      </c>
      <c r="M120" s="832"/>
      <c r="N120" s="832"/>
      <c r="O120" s="48">
        <f>IF(t&lt;Tnet,'2027'!Resal+('2027'!Salim-'2027'!Resal)*(1-EXP(('2027'!Tnet-t)/('2027'!Tau_j))),Resal+(Salim-Resal)*(1-EXP((Tnet-t)/(Tau_j))))*Salcycl</f>
        <v>5.3477850983495639E-2</v>
      </c>
      <c r="P120" s="169">
        <f>(INDEX(Models!$BJ120:$BT120,,T120)*(1-R120)+INDEX(Models!$BJ120:$BT120,,T120+1)*R120-ERP_i)*Q120*Ramure*Pc/MaxiM</f>
        <v>9.7225165106538242E-5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53.261806053180941</v>
      </c>
      <c r="W120" s="400">
        <f t="shared" si="34"/>
        <v>44.881317239137466</v>
      </c>
      <c r="X120" s="157">
        <f t="shared" si="35"/>
        <v>46858</v>
      </c>
      <c r="Y120" s="383">
        <f t="shared" si="36"/>
        <v>43.76625047000099</v>
      </c>
      <c r="Z120" s="383">
        <f t="shared" si="37"/>
        <v>46.692475986184995</v>
      </c>
      <c r="AA120" s="384">
        <f t="shared" si="38"/>
        <v>50.553270040856376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7.6370807497737336E-2</v>
      </c>
      <c r="AD120" s="230">
        <f>(INDEX(Models!$BJ120:$BT120,,AH120)*(1-AF120)+INDEX(Models!$BJ120:$BT120,,AH120+1)*AF120-ERP_i)*AE120*Ramure*Pc/MaxiM</f>
        <v>9.6750873757847308E-4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'2027'!Wh/'2027'!Env_an*'2028'!Env_an</f>
        <v>52.678625726927159</v>
      </c>
      <c r="C121" s="829"/>
      <c r="D121" s="391">
        <f t="shared" si="25"/>
        <v>56.201812600594621</v>
      </c>
      <c r="E121" s="383">
        <f t="shared" si="47"/>
        <v>59.380950715561653</v>
      </c>
      <c r="F121" s="383">
        <f t="shared" si="26"/>
        <v>59.386490058425373</v>
      </c>
      <c r="G121" s="110">
        <f t="shared" si="48"/>
        <v>0.98547536283471304</v>
      </c>
      <c r="H121" s="412" t="b">
        <f>Wh_hp&gt;='2027'!Maxi_hp</f>
        <v>0</v>
      </c>
      <c r="I121" s="388">
        <f>IF(H121,Wh_hp,'2027'!Maxi_hp)</f>
        <v>59.386605451986874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6.2688136034071418E-2</v>
      </c>
      <c r="M121" s="832"/>
      <c r="N121" s="832"/>
      <c r="O121" s="48">
        <f>IF(t&lt;Tnet,'2027'!Resal+('2027'!Salim-'2027'!Resal)*(1-EXP(('2027'!Tnet-t)/('2027'!Tau_j))),Resal+(Salim-Resal)*(1-EXP((Tnet-t)/(Tau_j))))*Salcycl</f>
        <v>5.3538013060708621E-2</v>
      </c>
      <c r="P121" s="169">
        <f>(INDEX(Models!$BJ121:$BT121,,T121)*(1-R121)+INDEX(Models!$BJ121:$BT121,,T121+1)*R121-ERP_i)*Q121*Ramure*Pc/MaxiM</f>
        <v>9.525231626432582E-5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53.454935153026575</v>
      </c>
      <c r="W121" s="400">
        <f t="shared" si="34"/>
        <v>52.678625726927159</v>
      </c>
      <c r="X121" s="157">
        <f t="shared" si="35"/>
        <v>46859</v>
      </c>
      <c r="Y121" s="383">
        <f t="shared" si="36"/>
        <v>51.362378042852157</v>
      </c>
      <c r="Z121" s="383">
        <f t="shared" si="37"/>
        <v>54.797533262332834</v>
      </c>
      <c r="AA121" s="384">
        <f t="shared" si="38"/>
        <v>59.331493461010567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7.6417429162763409E-2</v>
      </c>
      <c r="AD121" s="230">
        <f>(INDEX(Models!$BJ121:$BT121,,AH121)*(1-AF121)+INDEX(Models!$BJ121:$BT121,,AH121+1)*AF121-ERP_i)*AE121*Ramure*Pc/MaxiM</f>
        <v>9.4569941223944759E-4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'2027'!Wh/'2027'!Env_an*'2028'!Env_an</f>
        <v>38.96988180559503</v>
      </c>
      <c r="C122" s="829"/>
      <c r="D122" s="391">
        <f t="shared" si="25"/>
        <v>41.577014190251859</v>
      </c>
      <c r="E122" s="383">
        <f t="shared" si="47"/>
        <v>43.931704982002643</v>
      </c>
      <c r="F122" s="383">
        <f t="shared" si="26"/>
        <v>43.934203624416902</v>
      </c>
      <c r="G122" s="110">
        <f t="shared" si="48"/>
        <v>0.72645317145196564</v>
      </c>
      <c r="H122" s="412" t="b">
        <f>Wh_hp&gt;='2027'!Maxi_hp</f>
        <v>0</v>
      </c>
      <c r="I122" s="388">
        <f>IF(H122,Wh_hp,'2027'!Maxi_hp)</f>
        <v>43.935777254192558</v>
      </c>
      <c r="J122" s="85">
        <f>IF(H122,An,'2027'!An_max)</f>
        <v>2026</v>
      </c>
      <c r="K122" s="197">
        <f t="shared" si="27"/>
        <v>46860</v>
      </c>
      <c r="L122" s="147">
        <f>IF(t&lt;Tvie,1-EXP((T0-t)*PertePVj)+'2027'!Pspv,1-EXP((T0-t)*PertePVj)+Pspv)</f>
        <v>6.2706099402109028E-2</v>
      </c>
      <c r="M122" s="832"/>
      <c r="N122" s="832"/>
      <c r="O122" s="48">
        <f>IF(t&lt;Tnet,'2027'!Resal+('2027'!Salim-'2027'!Resal)*(1-EXP(('2027'!Tnet-t)/('2027'!Tau_j))),Resal+(Salim-Resal)*(1-EXP((Tnet-t)/(Tau_j))))*Salcycl</f>
        <v>5.3598893844785341E-2</v>
      </c>
      <c r="P122" s="169">
        <f>(INDEX(Models!$BJ122:$BT122,,T122)*(1-R122)+INDEX(Models!$BJ122:$BT122,,T122+1)*R122-ERP_i)*Q122*Ramure*Pc/MaxiM</f>
        <v>9.3347148214319059E-5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53.642081607523373</v>
      </c>
      <c r="W122" s="400">
        <f t="shared" si="34"/>
        <v>38.96988180559503</v>
      </c>
      <c r="X122" s="157">
        <f t="shared" si="35"/>
        <v>46860</v>
      </c>
      <c r="Y122" s="383">
        <f t="shared" si="36"/>
        <v>38.009053586567155</v>
      </c>
      <c r="Z122" s="383">
        <f t="shared" si="37"/>
        <v>40.551905397358858</v>
      </c>
      <c r="AA122" s="384">
        <f t="shared" si="38"/>
        <v>43.909444911223886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7.6465086740524824E-2</v>
      </c>
      <c r="AD122" s="230">
        <f>(INDEX(Models!$BJ122:$BT122,,AH122)*(1-AF122)+INDEX(Models!$BJ122:$BT122,,AH122+1)*AF122-ERP_i)*AE122*Ramure*Pc/MaxiM</f>
        <v>9.2496439539984363E-4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'2027'!Wh/'2027'!Env_an*'2028'!Env_an</f>
        <v>9.1095182507171355</v>
      </c>
      <c r="C123" s="829"/>
      <c r="D123" s="391">
        <f t="shared" si="25"/>
        <v>9.719142341682895</v>
      </c>
      <c r="E123" s="383">
        <f t="shared" si="47"/>
        <v>10.270249063101833</v>
      </c>
      <c r="F123" s="383">
        <f t="shared" si="26"/>
        <v>10.270249063101833</v>
      </c>
      <c r="G123" s="110">
        <f t="shared" si="48"/>
        <v>0.16923328369846147</v>
      </c>
      <c r="H123" s="412" t="b">
        <f>Wh_hp&gt;='2027'!Maxi_hp</f>
        <v>0</v>
      </c>
      <c r="I123" s="388">
        <f>IF(H123,Wh_hp,'2027'!Maxi_hp)</f>
        <v>59.533076172726751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6.2724062425882909E-2</v>
      </c>
      <c r="M123" s="832"/>
      <c r="N123" s="832"/>
      <c r="O123" s="48">
        <f>IF(t&lt;Tnet,'2027'!Resal+('2027'!Salim-'2027'!Resal)*(1-EXP(('2027'!Tnet-t)/('2027'!Tau_j))),Resal+(Salim-Resal)*(1-EXP((Tnet-t)/(Tau_j))))*Salcycl</f>
        <v>5.3660502100081636E-2</v>
      </c>
      <c r="P123" s="169">
        <f>(INDEX(Models!$BJ123:$BT123,,T123)*(1-R123)+INDEX(Models!$BJ123:$BT123,,T123+1)*R123-ERP_i)*Q123*Ramure*Pc/MaxiM</f>
        <v>9.1504728968397971E-5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53.823246158529628</v>
      </c>
      <c r="W123" s="400">
        <f t="shared" si="34"/>
        <v>9.1095182507171355</v>
      </c>
      <c r="X123" s="157">
        <f t="shared" si="35"/>
        <v>46861</v>
      </c>
      <c r="Y123" s="383">
        <f t="shared" si="36"/>
        <v>8.889531180571991</v>
      </c>
      <c r="Z123" s="383">
        <f t="shared" si="37"/>
        <v>9.484433371436074</v>
      </c>
      <c r="AA123" s="384">
        <f t="shared" si="38"/>
        <v>10.270249063101833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7.651379112985468E-2</v>
      </c>
      <c r="AD123" s="230">
        <f>(INDEX(Models!$BJ123:$BT123,,AH123)*(1-AF123)+INDEX(Models!$BJ123:$BT123,,AH123+1)*AF123-ERP_i)*AE123*Ramure*Pc/MaxiM</f>
        <v>9.0487173608907816E-4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'2027'!Wh/'2027'!Env_an*'2028'!Env_an</f>
        <v>9.5042581329106959</v>
      </c>
      <c r="C124" s="829"/>
      <c r="D124" s="391">
        <f t="shared" si="25"/>
        <v>10.140493212639241</v>
      </c>
      <c r="E124" s="383">
        <f t="shared" si="47"/>
        <v>10.716197855272618</v>
      </c>
      <c r="F124" s="383">
        <f t="shared" si="26"/>
        <v>10.716197855272618</v>
      </c>
      <c r="G124" s="110">
        <f t="shared" si="48"/>
        <v>0.17599410712990649</v>
      </c>
      <c r="H124" s="412" t="b">
        <f>Wh_hp&gt;='2027'!Maxi_hp</f>
        <v>0</v>
      </c>
      <c r="I124" s="388">
        <f>IF(H124,Wh_hp,'2027'!Maxi_hp)</f>
        <v>52.580415314681325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6.2742025105399502E-2</v>
      </c>
      <c r="M124" s="832"/>
      <c r="N124" s="832"/>
      <c r="O124" s="48">
        <f>IF(t&lt;Tnet,'2027'!Resal+('2027'!Salim-'2027'!Resal)*(1-EXP(('2027'!Tnet-t)/('2027'!Tau_j))),Resal+(Salim-Resal)*(1-EXP((Tnet-t)/(Tau_j))))*Salcycl</f>
        <v>5.3722845584650909E-2</v>
      </c>
      <c r="P124" s="169">
        <f>(INDEX(Models!$BJ124:$BT124,,T124)*(1-R124)+INDEX(Models!$BJ124:$BT124,,T124+1)*R124-ERP_i)*Q124*Ramure*Pc/MaxiM</f>
        <v>8.9723107537234198E-5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53.998429471967661</v>
      </c>
      <c r="W124" s="400">
        <f t="shared" si="34"/>
        <v>9.5042581329106959</v>
      </c>
      <c r="X124" s="157">
        <f t="shared" si="35"/>
        <v>46862</v>
      </c>
      <c r="Y124" s="383">
        <f t="shared" si="36"/>
        <v>9.2748496910119673</v>
      </c>
      <c r="Z124" s="383">
        <f t="shared" si="37"/>
        <v>9.8957276859180343</v>
      </c>
      <c r="AA124" s="384">
        <f t="shared" si="38"/>
        <v>10.716197855272618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7.6563551777918418E-2</v>
      </c>
      <c r="AD124" s="230">
        <f>(INDEX(Models!$BJ124:$BT124,,AH124)*(1-AF124)+INDEX(Models!$BJ124:$BT124,,AH124+1)*AF124-ERP_i)*AE124*Ramure*Pc/MaxiM</f>
        <v>8.8540196901197772E-4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'2027'!Wh/'2027'!Env_an*'2028'!Env_an</f>
        <v>9.1487722753359169</v>
      </c>
      <c r="C125" s="829"/>
      <c r="D125" s="391">
        <f t="shared" si="25"/>
        <v>9.7613974571499948</v>
      </c>
      <c r="E125" s="383">
        <f t="shared" si="47"/>
        <v>10.316267509635887</v>
      </c>
      <c r="F125" s="383">
        <f t="shared" si="26"/>
        <v>10.316267509635887</v>
      </c>
      <c r="G125" s="110">
        <f t="shared" si="48"/>
        <v>0.1688825372695445</v>
      </c>
      <c r="H125" s="412" t="b">
        <f>Wh_hp&gt;='2027'!Maxi_hp</f>
        <v>0</v>
      </c>
      <c r="I125" s="388">
        <f>IF(H125,Wh_hp,'2027'!Maxi_hp)</f>
        <v>55.246951602065522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6.2759987440665466E-2</v>
      </c>
      <c r="M125" s="832"/>
      <c r="N125" s="832"/>
      <c r="O125" s="48">
        <f>IF(t&lt;Tnet,'2027'!Resal+('2027'!Salim-'2027'!Resal)*(1-EXP(('2027'!Tnet-t)/('2027'!Tau_j))),Resal+(Salim-Resal)*(1-EXP((Tnet-t)/(Tau_j))))*Salcycl</f>
        <v>5.378593100339988E-2</v>
      </c>
      <c r="P125" s="169">
        <f>(INDEX(Models!$BJ125:$BT125,,T125)*(1-R125)+INDEX(Models!$BJ125:$BT125,,T125+1)*R125-ERP_i)*Q125*Ramure*Pc/MaxiM</f>
        <v>8.8000659902728501E-5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54.167632280049183</v>
      </c>
      <c r="W125" s="400">
        <f t="shared" si="34"/>
        <v>9.1487722753359169</v>
      </c>
      <c r="X125" s="157">
        <f t="shared" si="35"/>
        <v>46863</v>
      </c>
      <c r="Y125" s="383">
        <f t="shared" si="36"/>
        <v>8.9280481737142505</v>
      </c>
      <c r="Z125" s="383">
        <f t="shared" si="37"/>
        <v>9.5258931053682865</v>
      </c>
      <c r="AA125" s="384">
        <f t="shared" si="38"/>
        <v>10.316267509635887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7.6614376617255411E-2</v>
      </c>
      <c r="AD125" s="230">
        <f>(INDEX(Models!$BJ125:$BT125,,AH125)*(1-AF125)+INDEX(Models!$BJ125:$BT125,,AH125+1)*AF125-ERP_i)*AE125*Ramure*Pc/MaxiM</f>
        <v>8.665390053481188E-4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'2027'!Wh/'2027'!Env_an*'2028'!Env_an</f>
        <v>26.5909120280282</v>
      </c>
      <c r="C126" s="829"/>
      <c r="D126" s="391">
        <f t="shared" si="25"/>
        <v>28.372051225111491</v>
      </c>
      <c r="E126" s="383">
        <f t="shared" si="47"/>
        <v>29.986835223809628</v>
      </c>
      <c r="F126" s="383">
        <f t="shared" si="26"/>
        <v>29.987535827592001</v>
      </c>
      <c r="G126" s="110">
        <f t="shared" si="48"/>
        <v>0.48939478852249418</v>
      </c>
      <c r="H126" s="412" t="b">
        <f>Wh_hp&gt;='2027'!Maxi_hp</f>
        <v>0</v>
      </c>
      <c r="I126" s="388">
        <f>IF(H126,Wh_hp,'2027'!Maxi_hp)</f>
        <v>61.484611749803321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6.2777949431687352E-2</v>
      </c>
      <c r="M126" s="832"/>
      <c r="N126" s="832"/>
      <c r="O126" s="48">
        <f>IF(t&lt;Tnet,'2027'!Resal+('2027'!Salim-'2027'!Resal)*(1-EXP(('2027'!Tnet-t)/('2027'!Tau_j))),Resal+(Salim-Resal)*(1-EXP((Tnet-t)/(Tau_j))))*Salcycl</f>
        <v>5.3849763959618907E-2</v>
      </c>
      <c r="P126" s="169">
        <f>(INDEX(Models!$BJ126:$BT126,,T126)*(1-R126)+INDEX(Models!$BJ126:$BT126,,T126+1)*R126-ERP_i)*Q126*Ramure*Pc/MaxiM</f>
        <v>8.6335825142891547E-5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54.330855399471481</v>
      </c>
      <c r="W126" s="400">
        <f t="shared" si="34"/>
        <v>26.5909120280282</v>
      </c>
      <c r="X126" s="157">
        <f t="shared" si="35"/>
        <v>46864</v>
      </c>
      <c r="Y126" s="383">
        <f t="shared" si="36"/>
        <v>25.94431895876874</v>
      </c>
      <c r="Z126" s="383">
        <f t="shared" si="37"/>
        <v>27.682147408969545</v>
      </c>
      <c r="AA126" s="384">
        <f t="shared" si="38"/>
        <v>29.980652249053321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7.6666272000681907E-2</v>
      </c>
      <c r="AD126" s="230">
        <f>(INDEX(Models!$BJ126:$BT126,,AH126)*(1-AF126)+INDEX(Models!$BJ126:$BT126,,AH126+1)*AF126-ERP_i)*AE126*Ramure*Pc/MaxiM</f>
        <v>8.4826752013678021E-4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'2027'!Wh/'2027'!Env_an*'2028'!Env_an</f>
        <v>8.8560124202711261</v>
      </c>
      <c r="C127" s="829"/>
      <c r="D127" s="391">
        <f t="shared" si="25"/>
        <v>9.4493958412644492</v>
      </c>
      <c r="E127" s="383">
        <f t="shared" si="47"/>
        <v>9.9878862239667345</v>
      </c>
      <c r="F127" s="383">
        <f t="shared" si="26"/>
        <v>9.9878862239667345</v>
      </c>
      <c r="G127" s="110">
        <f t="shared" si="48"/>
        <v>0.16251735917718946</v>
      </c>
      <c r="H127" s="412" t="b">
        <f>Wh_hp&gt;='2027'!Maxi_hp</f>
        <v>0</v>
      </c>
      <c r="I127" s="388">
        <f>IF(H127,Wh_hp,'2027'!Maxi_hp)</f>
        <v>61.411826255045938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6.2795911078471822E-2</v>
      </c>
      <c r="M127" s="832"/>
      <c r="N127" s="832"/>
      <c r="O127" s="48">
        <f>IF(t&lt;Tnet,'2027'!Resal+('2027'!Salim-'2027'!Resal)*(1-EXP(('2027'!Tnet-t)/('2027'!Tau_j))),Resal+(Salim-Resal)*(1-EXP((Tnet-t)/(Tau_j))))*Salcycl</f>
        <v>5.3914348904990084E-2</v>
      </c>
      <c r="P127" s="169">
        <f>(INDEX(Models!$BJ127:$BT127,,T127)*(1-R127)+INDEX(Models!$BJ127:$BT127,,T127+1)*R127-ERP_i)*Q127*Ramure*Pc/MaxiM</f>
        <v>8.4726861836789897E-5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54.488099751089663</v>
      </c>
      <c r="W127" s="400">
        <f t="shared" si="34"/>
        <v>8.8560124202711261</v>
      </c>
      <c r="X127" s="157">
        <f t="shared" si="35"/>
        <v>46865</v>
      </c>
      <c r="Y127" s="383">
        <f t="shared" si="36"/>
        <v>8.6425429295593972</v>
      </c>
      <c r="Z127" s="383">
        <f t="shared" si="37"/>
        <v>9.2216231573473593</v>
      </c>
      <c r="AA127" s="384">
        <f t="shared" si="38"/>
        <v>9.9878862239667345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7.6719242634208692E-2</v>
      </c>
      <c r="AD127" s="230">
        <f>(INDEX(Models!$BJ127:$BT127,,AH127)*(1-AF127)+INDEX(Models!$BJ127:$BT127,,AH127+1)*AF127-ERP_i)*AE127*Ramure*Pc/MaxiM</f>
        <v>8.3057057182817052E-4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'2027'!Wh/'2027'!Env_an*'2028'!Env_an</f>
        <v>30.602134117147948</v>
      </c>
      <c r="C128" s="829"/>
      <c r="D128" s="391">
        <f t="shared" si="25"/>
        <v>32.653208594642848</v>
      </c>
      <c r="E128" s="383">
        <f t="shared" si="47"/>
        <v>34.516392743377665</v>
      </c>
      <c r="F128" s="383">
        <f t="shared" si="26"/>
        <v>34.517459746874529</v>
      </c>
      <c r="G128" s="110">
        <f t="shared" si="48"/>
        <v>0.5600455649532402</v>
      </c>
      <c r="H128" s="412" t="b">
        <f>Wh_hp&gt;='2027'!Maxi_hp</f>
        <v>0</v>
      </c>
      <c r="I128" s="388">
        <f>IF(H128,Wh_hp,'2027'!Maxi_hp)</f>
        <v>58.10105142457774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6.2813872381025426E-2</v>
      </c>
      <c r="M128" s="832"/>
      <c r="N128" s="832"/>
      <c r="O128" s="48">
        <f>IF(t&lt;Tnet,'2027'!Resal+('2027'!Salim-'2027'!Resal)*(1-EXP(('2027'!Tnet-t)/('2027'!Tau_j))),Resal+(Salim-Resal)*(1-EXP((Tnet-t)/(Tau_j))))*Salcycl</f>
        <v>5.3979689088231503E-2</v>
      </c>
      <c r="P128" s="169">
        <f>(INDEX(Models!$BJ128:$BT128,,T128)*(1-R128)+INDEX(Models!$BJ128:$BT128,,T128+1)*R128-ERP_i)*Q128*Ramure*Pc/MaxiM</f>
        <v>8.3200645676897598E-5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54.639364791498487</v>
      </c>
      <c r="W128" s="400">
        <f t="shared" si="34"/>
        <v>30.602134117147948</v>
      </c>
      <c r="X128" s="157">
        <f t="shared" si="35"/>
        <v>46866</v>
      </c>
      <c r="Y128" s="383">
        <f t="shared" si="36"/>
        <v>29.85669334936178</v>
      </c>
      <c r="Z128" s="383">
        <f t="shared" si="37"/>
        <v>31.857805476929141</v>
      </c>
      <c r="AA128" s="384">
        <f t="shared" si="38"/>
        <v>34.507023230483455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7.6773291508205194E-2</v>
      </c>
      <c r="AD128" s="230">
        <f>(INDEX(Models!$BJ128:$BT128,,AH128)*(1-AF128)+INDEX(Models!$BJ128:$BT128,,AH128+1)*AF128-ERP_i)*AE128*Ramure*Pc/MaxiM</f>
        <v>8.1379761631853993E-4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'2027'!Wh/'2027'!Env_an*'2028'!Env_an</f>
        <v>46.315197341155567</v>
      </c>
      <c r="C129" s="829"/>
      <c r="D129" s="391">
        <f t="shared" si="25"/>
        <v>49.420369778657452</v>
      </c>
      <c r="E129" s="383">
        <f t="shared" si="47"/>
        <v>52.243934297770224</v>
      </c>
      <c r="F129" s="383">
        <f t="shared" si="26"/>
        <v>52.247262045267497</v>
      </c>
      <c r="G129" s="110">
        <f t="shared" si="48"/>
        <v>0.84538934377089847</v>
      </c>
      <c r="H129" s="412" t="b">
        <f>Wh_hp&gt;='2027'!Maxi_hp</f>
        <v>0</v>
      </c>
      <c r="I129" s="388">
        <f>IF(H129,Wh_hp,'2027'!Maxi_hp)</f>
        <v>57.415722541484826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6.2831833339354715E-2</v>
      </c>
      <c r="M129" s="832"/>
      <c r="N129" s="832"/>
      <c r="O129" s="48">
        <f>IF(t&lt;Tnet,'2027'!Resal+('2027'!Salim-'2027'!Resal)*(1-EXP(('2027'!Tnet-t)/('2027'!Tau_j))),Resal+(Salim-Resal)*(1-EXP((Tnet-t)/(Tau_j))))*Salcycl</f>
        <v>5.4045786502592771E-2</v>
      </c>
      <c r="P129" s="169">
        <f>(INDEX(Models!$BJ129:$BT129,,T129)*(1-R129)+INDEX(Models!$BJ129:$BT129,,T129+1)*R129-ERP_i)*Q129*Ramure*Pc/MaxiM</f>
        <v>8.1745916332459846E-5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54.784652150692594</v>
      </c>
      <c r="W129" s="400">
        <f t="shared" si="34"/>
        <v>46.315197341155567</v>
      </c>
      <c r="X129" s="157">
        <f t="shared" si="35"/>
        <v>46867</v>
      </c>
      <c r="Y129" s="383">
        <f t="shared" si="36"/>
        <v>45.174513038312412</v>
      </c>
      <c r="Z129" s="383">
        <f t="shared" si="37"/>
        <v>48.203209034809653</v>
      </c>
      <c r="AA129" s="384">
        <f t="shared" si="38"/>
        <v>52.214788745752763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7.6828419827120617E-2</v>
      </c>
      <c r="AD129" s="230">
        <f>(INDEX(Models!$BJ129:$BT129,,AH129)*(1-AF129)+INDEX(Models!$BJ129:$BT129,,AH129+1)*AF129-ERP_i)*AE129*Ramure*Pc/MaxiM</f>
        <v>7.9770464175660271E-4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'2027'!Wh/'2027'!Env_an*'2028'!Env_an</f>
        <v>53.102074745827565</v>
      </c>
      <c r="C130" s="829"/>
      <c r="D130" s="391">
        <f t="shared" si="25"/>
        <v>56.663354927748706</v>
      </c>
      <c r="E130" s="383">
        <f t="shared" si="47"/>
        <v>59.904971177036224</v>
      </c>
      <c r="F130" s="383">
        <f t="shared" si="26"/>
        <v>59.909557470200973</v>
      </c>
      <c r="G130" s="110">
        <f t="shared" si="48"/>
        <v>0.96682521815188549</v>
      </c>
      <c r="H130" s="412" t="b">
        <f>Wh_hp&gt;='2027'!Maxi_hp</f>
        <v>0</v>
      </c>
      <c r="I130" s="388">
        <f>IF(H130,Wh_hp,'2027'!Maxi_hp)</f>
        <v>59.909778849647175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6.2849793953466349E-2</v>
      </c>
      <c r="M130" s="832"/>
      <c r="N130" s="832"/>
      <c r="O130" s="48">
        <f>IF(t&lt;Tnet,'2027'!Resal+('2027'!Salim-'2027'!Resal)*(1-EXP(('2027'!Tnet-t)/('2027'!Tau_j))),Resal+(Salim-Resal)*(1-EXP((Tnet-t)/(Tau_j))))*Salcycl</f>
        <v>5.4112641832471942E-2</v>
      </c>
      <c r="P130" s="169">
        <f>(INDEX(Models!$BJ130:$BT130,,T130)*(1-R130)+INDEX(Models!$BJ130:$BT130,,T130+1)*R130-ERP_i)*Q130*Ramure*Pc/MaxiM</f>
        <v>8.0361739119896091E-5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54.923963001845301</v>
      </c>
      <c r="W130" s="400">
        <f t="shared" si="34"/>
        <v>53.102074745827565</v>
      </c>
      <c r="X130" s="157">
        <f t="shared" si="35"/>
        <v>46868</v>
      </c>
      <c r="Y130" s="383">
        <f t="shared" si="36"/>
        <v>51.789001644661774</v>
      </c>
      <c r="Z130" s="383">
        <f t="shared" si="37"/>
        <v>55.26222083772366</v>
      </c>
      <c r="AA130" s="384">
        <f t="shared" si="38"/>
        <v>59.864912285477708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7.6884626938150319E-2</v>
      </c>
      <c r="AD130" s="230">
        <f>(INDEX(Models!$BJ130:$BT130,,AH130)*(1-AF130)+INDEX(Models!$BJ130:$BT130,,AH130+1)*AF130-ERP_i)*AE130*Ramure*Pc/MaxiM</f>
        <v>7.8227984099775265E-4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'2027'!Wh/'2027'!Env_an*'2028'!Env_an</f>
        <v>38.54774605006066</v>
      </c>
      <c r="C131" s="829"/>
      <c r="D131" s="391">
        <f t="shared" si="25"/>
        <v>41.133731363725339</v>
      </c>
      <c r="E131" s="383">
        <f t="shared" si="47"/>
        <v>43.49003238202507</v>
      </c>
      <c r="F131" s="383">
        <f t="shared" si="26"/>
        <v>43.491997592159557</v>
      </c>
      <c r="G131" s="110">
        <f t="shared" si="48"/>
        <v>0.70011500129705495</v>
      </c>
      <c r="H131" s="412" t="b">
        <f>Wh_hp&gt;='2027'!Maxi_hp</f>
        <v>0</v>
      </c>
      <c r="I131" s="388">
        <f>IF(H131,Wh_hp,'2027'!Maxi_hp)</f>
        <v>43.493424228291978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6.2867754223366878E-2</v>
      </c>
      <c r="M131" s="832"/>
      <c r="N131" s="832"/>
      <c r="O131" s="48">
        <f>IF(t&lt;Tnet,'2027'!Resal+('2027'!Salim-'2027'!Resal)*(1-EXP(('2027'!Tnet-t)/('2027'!Tau_j))),Resal+(Salim-Resal)*(1-EXP((Tnet-t)/(Tau_j))))*Salcycl</f>
        <v>5.4180254399479731E-2</v>
      </c>
      <c r="P131" s="169">
        <f>(INDEX(Models!$BJ131:$BT131,,T131)*(1-R131)+INDEX(Models!$BJ131:$BT131,,T131+1)*R131-ERP_i)*Q131*Ramure*Pc/MaxiM</f>
        <v>7.9047312988950787E-5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55.057298622787641</v>
      </c>
      <c r="W131" s="400">
        <f t="shared" si="34"/>
        <v>38.54774605006066</v>
      </c>
      <c r="X131" s="157">
        <f t="shared" si="35"/>
        <v>46869</v>
      </c>
      <c r="Y131" s="383">
        <f t="shared" si="36"/>
        <v>37.605268146081755</v>
      </c>
      <c r="Z131" s="383">
        <f t="shared" si="37"/>
        <v>40.128027090687716</v>
      </c>
      <c r="AA131" s="384">
        <f t="shared" si="38"/>
        <v>43.472916316632684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7.6941910259312837E-2</v>
      </c>
      <c r="AD131" s="230">
        <f>(INDEX(Models!$BJ131:$BT131,,AH131)*(1-AF131)+INDEX(Models!$BJ131:$BT131,,AH131+1)*AF131-ERP_i)*AE131*Ramure*Pc/MaxiM</f>
        <v>7.6751260963647426E-4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'2027'!Wh/'2027'!Env_an*'2028'!Env_an</f>
        <v>23.2270534161798</v>
      </c>
      <c r="C132" s="829"/>
      <c r="D132" s="391">
        <f t="shared" si="25"/>
        <v>24.785721194175064</v>
      </c>
      <c r="E132" s="383">
        <f t="shared" si="47"/>
        <v>26.207438628774693</v>
      </c>
      <c r="F132" s="383">
        <f t="shared" si="26"/>
        <v>26.207790787296766</v>
      </c>
      <c r="G132" s="110">
        <f t="shared" si="48"/>
        <v>0.42086982549272439</v>
      </c>
      <c r="H132" s="412" t="b">
        <f>Wh_hp&gt;='2027'!Maxi_hp</f>
        <v>0</v>
      </c>
      <c r="I132" s="388">
        <f>IF(H132,Wh_hp,'2027'!Maxi_hp)</f>
        <v>46.721279625112096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6.2885714149062966E-2</v>
      </c>
      <c r="M132" s="832"/>
      <c r="N132" s="832"/>
      <c r="O132" s="48">
        <f>IF(t&lt;Tnet,'2027'!Resal+('2027'!Salim-'2027'!Resal)*(1-EXP(('2027'!Tnet-t)/('2027'!Tau_j))),Resal+(Salim-Resal)*(1-EXP((Tnet-t)/(Tau_j))))*Salcycl</f>
        <v>5.4248622108329231E-2</v>
      </c>
      <c r="P132" s="169">
        <f>(INDEX(Models!$BJ132:$BT132,,T132)*(1-R132)+INDEX(Models!$BJ132:$BT132,,T132+1)*R132-ERP_i)*Q132*Ramure*Pc/MaxiM</f>
        <v>7.780197184772855E-5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55.184660397531289</v>
      </c>
      <c r="W132" s="400">
        <f t="shared" si="34"/>
        <v>23.2270534161798</v>
      </c>
      <c r="X132" s="157">
        <f t="shared" si="35"/>
        <v>46870</v>
      </c>
      <c r="Y132" s="383">
        <f t="shared" si="36"/>
        <v>22.665642504165028</v>
      </c>
      <c r="Z132" s="383">
        <f t="shared" si="37"/>
        <v>24.186636407515358</v>
      </c>
      <c r="AA132" s="384">
        <f t="shared" si="38"/>
        <v>26.204380668594794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7.7000265207475313E-2</v>
      </c>
      <c r="AD132" s="230">
        <f>(INDEX(Models!$BJ132:$BT132,,AH132)*(1-AF132)+INDEX(Models!$BJ132:$BT132,,AH132+1)*AF132-ERP_i)*AE132*Ramure*Pc/MaxiM</f>
        <v>7.5339355039779894E-4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'2027'!Wh/'2027'!Env_an*'2028'!Env_an</f>
        <v>42.480440007092739</v>
      </c>
      <c r="C133" s="829"/>
      <c r="D133" s="391">
        <f t="shared" si="25"/>
        <v>45.331988629393621</v>
      </c>
      <c r="E133" s="383">
        <f t="shared" si="47"/>
        <v>47.935750318682281</v>
      </c>
      <c r="F133" s="383">
        <f t="shared" si="26"/>
        <v>47.938206676495568</v>
      </c>
      <c r="G133" s="110">
        <f t="shared" si="48"/>
        <v>0.76807802612298437</v>
      </c>
      <c r="H133" s="412" t="b">
        <f>Wh_hp&gt;='2027'!Maxi_hp</f>
        <v>0</v>
      </c>
      <c r="I133" s="388">
        <f>IF(H133,Wh_hp,'2027'!Maxi_hp)</f>
        <v>51.783140656081144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6.290367373056116E-2</v>
      </c>
      <c r="M133" s="832"/>
      <c r="N133" s="832"/>
      <c r="O133" s="48">
        <f>IF(t&lt;Tnet,'2027'!Resal+('2027'!Salim-'2027'!Resal)*(1-EXP(('2027'!Tnet-t)/('2027'!Tau_j))),Resal+(Salim-Resal)*(1-EXP((Tnet-t)/(Tau_j))))*Salcycl</f>
        <v>5.4317741392980352E-2</v>
      </c>
      <c r="P133" s="169">
        <f>(INDEX(Models!$BJ133:$BT133,,T133)*(1-R133)+INDEX(Models!$BJ133:$BT133,,T133+1)*R133-ERP_i)*Q133*Ramure*Pc/MaxiM</f>
        <v>7.6625185933241235E-5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55.306049824162358</v>
      </c>
      <c r="W133" s="400">
        <f t="shared" si="34"/>
        <v>42.480440007092739</v>
      </c>
      <c r="X133" s="157">
        <f t="shared" si="35"/>
        <v>46871</v>
      </c>
      <c r="Y133" s="383">
        <f t="shared" si="36"/>
        <v>41.440472478802377</v>
      </c>
      <c r="Z133" s="383">
        <f t="shared" si="37"/>
        <v>44.222212079067738</v>
      </c>
      <c r="AA133" s="384">
        <f t="shared" si="38"/>
        <v>47.914487390389702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7.705968512693577E-2</v>
      </c>
      <c r="AD133" s="230">
        <f>(INDEX(Models!$BJ133:$BT133,,AH133)*(1-AF133)+INDEX(Models!$BJ133:$BT133,,AH133+1)*AF133-ERP_i)*AE133*Ramure*Pc/MaxiM</f>
        <v>7.3991447753880813E-4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'2027'!Wh/'2027'!Env_an*'2028'!Env_an</f>
        <v>44.968527077288535</v>
      </c>
      <c r="C134" s="829"/>
      <c r="D134" s="391">
        <f t="shared" si="25"/>
        <v>47.988011098485416</v>
      </c>
      <c r="E134" s="383">
        <f t="shared" si="47"/>
        <v>50.748077607717569</v>
      </c>
      <c r="F134" s="383">
        <f t="shared" si="26"/>
        <v>50.750877501287476</v>
      </c>
      <c r="G134" s="110">
        <f t="shared" si="48"/>
        <v>0.81137532536617374</v>
      </c>
      <c r="H134" s="412" t="b">
        <f>Wh_hp&gt;='2027'!Maxi_hp</f>
        <v>0</v>
      </c>
      <c r="I134" s="388">
        <f>IF(H134,Wh_hp,'2027'!Maxi_hp)</f>
        <v>61.648626642094747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6.2921632967868124E-2</v>
      </c>
      <c r="M134" s="832"/>
      <c r="N134" s="832"/>
      <c r="O134" s="48">
        <f>IF(t&lt;Tnet,'2027'!Resal+('2027'!Salim-'2027'!Resal)*(1-EXP(('2027'!Tnet-t)/('2027'!Tau_j))),Resal+(Salim-Resal)*(1-EXP((Tnet-t)/(Tau_j))))*Salcycl</f>
        <v>5.4387607163515733E-2</v>
      </c>
      <c r="P134" s="169">
        <f>(INDEX(Models!$BJ134:$BT134,,T134)*(1-R134)+INDEX(Models!$BJ134:$BT134,,T134+1)*R134-ERP_i)*Q134*Ramure*Pc/MaxiM</f>
        <v>7.5516563244957144E-5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55.421468508270998</v>
      </c>
      <c r="W134" s="400">
        <f t="shared" si="34"/>
        <v>44.968527077288535</v>
      </c>
      <c r="X134" s="157">
        <f t="shared" si="35"/>
        <v>46872</v>
      </c>
      <c r="Y134" s="383">
        <f t="shared" si="36"/>
        <v>43.866590670769035</v>
      </c>
      <c r="Z134" s="383">
        <f t="shared" si="37"/>
        <v>46.812083400987184</v>
      </c>
      <c r="AA134" s="384">
        <f t="shared" si="38"/>
        <v>50.72392031321386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7.7120161219234803E-2</v>
      </c>
      <c r="AD134" s="230">
        <f>(INDEX(Models!$BJ134:$BT134,,AH134)*(1-AF134)+INDEX(Models!$BJ134:$BT134,,AH134+1)*AF134-ERP_i)*AE134*Ramure*Pc/MaxiM</f>
        <v>7.2706842143853282E-4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'2027'!Wh/'2027'!Env_an*'2028'!Env_an</f>
        <v>47.634508202257337</v>
      </c>
      <c r="C135" s="829"/>
      <c r="D135" s="391">
        <f t="shared" si="25"/>
        <v>50.83397803227956</v>
      </c>
      <c r="E135" s="383">
        <f t="shared" si="47"/>
        <v>51.353460984508693</v>
      </c>
      <c r="F135" s="383">
        <f t="shared" si="26"/>
        <v>51.356298968409554</v>
      </c>
      <c r="G135" s="110">
        <f t="shared" si="48"/>
        <v>0.81937257859223089</v>
      </c>
      <c r="H135" s="412" t="b">
        <f>Wh_hp&gt;='2027'!Maxi_hp</f>
        <v>0</v>
      </c>
      <c r="I135" s="388">
        <f>IF(H135,Wh_hp,'2027'!Maxi_hp)</f>
        <v>57.098058064772587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6.2939591860990296E-2</v>
      </c>
      <c r="M135" s="832"/>
      <c r="N135" s="832"/>
      <c r="O135" s="48">
        <f>IF(t&lt;Tnet,'2027'!Resal+('2027'!Salim-'2027'!Resal)*(1-EXP(('2027'!Tnet-t)/('2027'!Tau_j))),Resal+(Salim-Resal)*(1-EXP((Tnet-t)/(Tau_j))))*Salcycl</f>
        <v>1.0115831382539886E-2</v>
      </c>
      <c r="P135" s="169">
        <f>(INDEX(Models!$BJ135:$BT135,,T135)*(1-R135)+INDEX(Models!$BJ135:$BT135,,T135+1)*R135-ERP_i)*Q135*Ramure*Pc/MaxiM</f>
        <v>7.4476981357518492E-5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58.134228600072412</v>
      </c>
      <c r="W135" s="400">
        <f t="shared" si="34"/>
        <v>47.634508202257337</v>
      </c>
      <c r="X135" s="157">
        <f t="shared" si="35"/>
        <v>46873</v>
      </c>
      <c r="Y135" s="383">
        <f t="shared" si="36"/>
        <v>45.479074355786089</v>
      </c>
      <c r="Z135" s="383">
        <f t="shared" si="37"/>
        <v>48.533770033147562</v>
      </c>
      <c r="AA135" s="384">
        <f t="shared" si="38"/>
        <v>51.32905883992872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5.4458212754267557E-2</v>
      </c>
      <c r="AD135" s="230">
        <f>(INDEX(Models!$BJ135:$BT135,,AH135)*(1-AF135)+INDEX(Models!$BJ135:$BT135,,AH135+1)*AF135-ERP_i)*AE135*Ramure*Pc/MaxiM</f>
        <v>7.1486048262133298E-4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'2027'!Wh/'2027'!Env_an*'2028'!Env_an</f>
        <v>28.300323213756805</v>
      </c>
      <c r="C136" s="829"/>
      <c r="D136" s="391">
        <f t="shared" si="25"/>
        <v>30.201751506708735</v>
      </c>
      <c r="E136" s="383">
        <f t="shared" si="47"/>
        <v>30.513116794182302</v>
      </c>
      <c r="F136" s="383">
        <f t="shared" si="26"/>
        <v>30.513712907872048</v>
      </c>
      <c r="G136" s="110">
        <f t="shared" si="48"/>
        <v>0.48590485161264652</v>
      </c>
      <c r="H136" s="412" t="b">
        <f>Wh_hp&gt;='2027'!Maxi_hp</f>
        <v>0</v>
      </c>
      <c r="I136" s="388">
        <f>IF(H136,Wh_hp,'2027'!Maxi_hp)</f>
        <v>49.564429764978506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6.2957550409934449E-2</v>
      </c>
      <c r="M136" s="832"/>
      <c r="N136" s="832"/>
      <c r="O136" s="48">
        <f>IF(t&lt;Tnet,'2027'!Resal+('2027'!Salim-'2027'!Resal)*(1-EXP(('2027'!Tnet-t)/('2027'!Tau_j))),Resal+(Salim-Resal)*(1-EXP((Tnet-t)/(Tau_j))))*Salcycl</f>
        <v>1.0204309496594359E-2</v>
      </c>
      <c r="P136" s="169">
        <f>(INDEX(Models!$BJ136:$BT136,,T136)*(1-R136)+INDEX(Models!$BJ136:$BT136,,T136+1)*R136-ERP_i)*Q136*Ramure*Pc/MaxiM</f>
        <v>7.3549553966596306E-5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58.239374410222929</v>
      </c>
      <c r="W136" s="400">
        <f t="shared" si="34"/>
        <v>28.300323213756805</v>
      </c>
      <c r="X136" s="157">
        <f t="shared" si="35"/>
        <v>46874</v>
      </c>
      <c r="Y136" s="383">
        <f t="shared" si="36"/>
        <v>27.028447672754602</v>
      </c>
      <c r="Z136" s="383">
        <f t="shared" si="37"/>
        <v>28.84442181309814</v>
      </c>
      <c r="AA136" s="384">
        <f t="shared" si="38"/>
        <v>30.508009858210386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5.4529549873753434E-2</v>
      </c>
      <c r="AD136" s="230">
        <f>(INDEX(Models!$BJ136:$BT136,,AH136)*(1-AF136)+INDEX(Models!$BJ136:$BT136,,AH136+1)*AF136-ERP_i)*AE136*Ramure*Pc/MaxiM</f>
        <v>7.036522832478215E-4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'2027'!Wh/'2027'!Env_an*'2028'!Env_an</f>
        <v>39.500573250035885</v>
      </c>
      <c r="C137" s="829"/>
      <c r="D137" s="391">
        <f t="shared" si="25"/>
        <v>42.15532636893878</v>
      </c>
      <c r="E137" s="383">
        <f t="shared" si="47"/>
        <v>42.593740938344546</v>
      </c>
      <c r="F137" s="383">
        <f t="shared" si="26"/>
        <v>42.595409092530211</v>
      </c>
      <c r="G137" s="110">
        <f t="shared" si="48"/>
        <v>0.6770848326486909</v>
      </c>
      <c r="H137" s="412" t="b">
        <f>Wh_hp&gt;='2027'!Maxi_hp</f>
        <v>0</v>
      </c>
      <c r="I137" s="388">
        <f>IF(H137,Wh_hp,'2027'!Maxi_hp)</f>
        <v>61.404519088032231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6.2975508614707132E-2</v>
      </c>
      <c r="M137" s="832"/>
      <c r="N137" s="832"/>
      <c r="O137" s="48">
        <f>IF(t&lt;Tnet,'2027'!Resal+('2027'!Salim-'2027'!Resal)*(1-EXP(('2027'!Tnet-t)/('2027'!Tau_j))),Resal+(Salim-Resal)*(1-EXP((Tnet-t)/(Tau_j))))*Salcycl</f>
        <v>1.0292934120071226E-2</v>
      </c>
      <c r="P137" s="169">
        <f>(INDEX(Models!$BJ137:$BT137,,T137)*(1-R137)+INDEX(Models!$BJ137:$BT137,,T137+1)*R137-ERP_i)*Q137*Ramure*Pc/MaxiM</f>
        <v>7.2695281321101649E-5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58.337222664111003</v>
      </c>
      <c r="W137" s="400">
        <f t="shared" si="34"/>
        <v>39.500573250035885</v>
      </c>
      <c r="X137" s="157">
        <f t="shared" si="35"/>
        <v>46875</v>
      </c>
      <c r="Y137" s="383">
        <f t="shared" si="36"/>
        <v>37.719539743862725</v>
      </c>
      <c r="Z137" s="383">
        <f t="shared" si="37"/>
        <v>40.254593226371625</v>
      </c>
      <c r="AA137" s="384">
        <f t="shared" si="38"/>
        <v>42.579502557572525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5.4601608557012814E-2</v>
      </c>
      <c r="AD137" s="230">
        <f>(INDEX(Models!$BJ137:$BT137,,AH137)*(1-AF137)+INDEX(Models!$BJ137:$BT137,,AH137+1)*AF137-ERP_i)*AE137*Ramure*Pc/MaxiM</f>
        <v>6.9317934968525898E-4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'2027'!Wh/'2027'!Env_an*'2028'!Env_an</f>
        <v>21.389899686225426</v>
      </c>
      <c r="C138" s="829"/>
      <c r="D138" s="391">
        <f t="shared" si="25"/>
        <v>22.827908793511007</v>
      </c>
      <c r="E138" s="383">
        <f t="shared" si="47"/>
        <v>23.067387628582917</v>
      </c>
      <c r="F138" s="383">
        <f t="shared" si="26"/>
        <v>23.067544247560647</v>
      </c>
      <c r="G138" s="110">
        <f t="shared" si="48"/>
        <v>0.36606489671660475</v>
      </c>
      <c r="H138" s="412" t="b">
        <f>Wh_hp&gt;='2027'!Maxi_hp</f>
        <v>0</v>
      </c>
      <c r="I138" s="388">
        <f>IF(H138,Wh_hp,'2027'!Maxi_hp)</f>
        <v>54.000058250195806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6.2993466475314897E-2</v>
      </c>
      <c r="M138" s="832"/>
      <c r="N138" s="832"/>
      <c r="O138" s="48">
        <f>IF(t&lt;Tnet,'2027'!Resal+('2027'!Salim-'2027'!Resal)*(1-EXP(('2027'!Tnet-t)/('2027'!Tau_j))),Resal+(Salim-Resal)*(1-EXP((Tnet-t)/(Tau_j))))*Salcycl</f>
        <v>1.0381705936010415E-2</v>
      </c>
      <c r="P138" s="169">
        <f>(INDEX(Models!$BJ138:$BT138,,T138)*(1-R138)+INDEX(Models!$BJ138:$BT138,,T138+1)*R138-ERP_i)*Q138*Ramure*Pc/MaxiM</f>
        <v>7.1914025943524486E-5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58.42818271645848</v>
      </c>
      <c r="W138" s="400">
        <f t="shared" si="34"/>
        <v>21.389899686225426</v>
      </c>
      <c r="X138" s="157">
        <f t="shared" si="35"/>
        <v>46876</v>
      </c>
      <c r="Y138" s="383">
        <f t="shared" si="36"/>
        <v>20.43136522896787</v>
      </c>
      <c r="Z138" s="383">
        <f t="shared" si="37"/>
        <v>21.804933581532612</v>
      </c>
      <c r="AA138" s="384">
        <f t="shared" si="38"/>
        <v>23.066055815904544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5.4674377120962327E-2</v>
      </c>
      <c r="AD138" s="230">
        <f>(INDEX(Models!$BJ138:$BT138,,AH138)*(1-AF138)+INDEX(Models!$BJ138:$BT138,,AH138+1)*AF138-ERP_i)*AE138*Ramure*Pc/MaxiM</f>
        <v>6.8343641545647027E-4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'2027'!Wh/'2027'!Env_an*'2028'!Env_an</f>
        <v>43.877654467790549</v>
      </c>
      <c r="C139" s="829"/>
      <c r="D139" s="391">
        <f t="shared" si="25"/>
        <v>46.828377198277487</v>
      </c>
      <c r="E139" s="383">
        <f t="shared" si="47"/>
        <v>47.323887892002098</v>
      </c>
      <c r="F139" s="383">
        <f t="shared" si="26"/>
        <v>47.326053687785702</v>
      </c>
      <c r="G139" s="110">
        <f t="shared" si="48"/>
        <v>0.74986396492737251</v>
      </c>
      <c r="H139" s="412" t="b">
        <f>Wh_hp&gt;='2027'!Maxi_hp</f>
        <v>0</v>
      </c>
      <c r="I139" s="388">
        <f>IF(H139,Wh_hp,'2027'!Maxi_hp)</f>
        <v>59.96671405061354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6.3011423991764404E-2</v>
      </c>
      <c r="M139" s="832"/>
      <c r="N139" s="832"/>
      <c r="O139" s="48">
        <f>IF(t&lt;Tnet,'2027'!Resal+('2027'!Salim-'2027'!Resal)*(1-EXP(('2027'!Tnet-t)/('2027'!Tau_j))),Resal+(Salim-Resal)*(1-EXP((Tnet-t)/(Tau_j))))*Salcycl</f>
        <v>1.0470625212692064E-2</v>
      </c>
      <c r="P139" s="169">
        <f>(INDEX(Models!$BJ139:$BT139,,T139)*(1-R139)+INDEX(Models!$BJ139:$BT139,,T139+1)*R139-ERP_i)*Q139*Ramure*Pc/MaxiM</f>
        <v>7.1205841973570136E-5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58.512663775381334</v>
      </c>
      <c r="W139" s="400">
        <f t="shared" si="34"/>
        <v>43.877654467790549</v>
      </c>
      <c r="X139" s="157">
        <f t="shared" si="35"/>
        <v>46877</v>
      </c>
      <c r="Y139" s="383">
        <f t="shared" si="36"/>
        <v>41.898066595138275</v>
      </c>
      <c r="Z139" s="383">
        <f t="shared" si="37"/>
        <v>44.71566427590043</v>
      </c>
      <c r="AA139" s="384">
        <f t="shared" si="38"/>
        <v>47.305540541001712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5.4747842123408899E-2</v>
      </c>
      <c r="AD139" s="230">
        <f>(INDEX(Models!$BJ139:$BT139,,AH139)*(1-AF139)+INDEX(Models!$BJ139:$BT139,,AH139+1)*AF139-ERP_i)*AE139*Ramure*Pc/MaxiM</f>
        <v>6.7441995193570354E-4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'2027'!Wh/'2027'!Env_an*'2028'!Env_an</f>
        <v>38.504276354832989</v>
      </c>
      <c r="C140" s="829"/>
      <c r="D140" s="391">
        <f t="shared" si="25"/>
        <v>41.09443303854016</v>
      </c>
      <c r="E140" s="383">
        <f t="shared" si="47"/>
        <v>41.53300881048407</v>
      </c>
      <c r="F140" s="383">
        <f t="shared" si="26"/>
        <v>41.534504397332924</v>
      </c>
      <c r="G140" s="110">
        <f t="shared" si="48"/>
        <v>0.65714693862326923</v>
      </c>
      <c r="H140" s="412" t="b">
        <f>Wh_hp&gt;='2027'!Maxi_hp</f>
        <v>0</v>
      </c>
      <c r="I140" s="388">
        <f>IF(H140,Wh_hp,'2027'!Maxi_hp)</f>
        <v>63.959766591204975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6.3029381164062093E-2</v>
      </c>
      <c r="M140" s="832"/>
      <c r="N140" s="832"/>
      <c r="O140" s="48">
        <f>IF(t&lt;Tnet,'2027'!Resal+('2027'!Salim-'2027'!Resal)*(1-EXP(('2027'!Tnet-t)/('2027'!Tau_j))),Resal+(Salim-Resal)*(1-EXP((Tnet-t)/(Tau_j))))*Salcycl</f>
        <v>1.0559691785036253E-2</v>
      </c>
      <c r="P140" s="169">
        <f>(INDEX(Models!$BJ140:$BT140,,T140)*(1-R140)+INDEX(Models!$BJ140:$BT140,,T140+1)*R140-ERP_i)*Q140*Ramure*Pc/MaxiM</f>
        <v>7.0570971013826593E-5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58.591074892468349</v>
      </c>
      <c r="W140" s="400">
        <f t="shared" si="34"/>
        <v>38.504276354832989</v>
      </c>
      <c r="X140" s="157">
        <f t="shared" si="35"/>
        <v>46878</v>
      </c>
      <c r="Y140" s="383">
        <f t="shared" si="36"/>
        <v>36.770622235716452</v>
      </c>
      <c r="Z140" s="383">
        <f t="shared" si="37"/>
        <v>39.244157176880407</v>
      </c>
      <c r="AA140" s="384">
        <f t="shared" si="38"/>
        <v>41.520387368502966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5.4821988326373181E-2</v>
      </c>
      <c r="AD140" s="230">
        <f>(INDEX(Models!$BJ140:$BT140,,AH140)*(1-AF140)+INDEX(Models!$BJ140:$BT140,,AH140+1)*AF140-ERP_i)*AE140*Ramure*Pc/MaxiM</f>
        <v>6.6612810424443545E-4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'2027'!Wh/'2027'!Env_an*'2028'!Env_an</f>
        <v>52.676920756426966</v>
      </c>
      <c r="C141" s="829"/>
      <c r="D141" s="391">
        <f t="shared" si="25"/>
        <v>56.221539136829165</v>
      </c>
      <c r="E141" s="383">
        <f t="shared" si="47"/>
        <v>56.826681067066154</v>
      </c>
      <c r="F141" s="383">
        <f t="shared" si="26"/>
        <v>56.830079673986717</v>
      </c>
      <c r="G141" s="110">
        <f t="shared" si="48"/>
        <v>0.89793638727793379</v>
      </c>
      <c r="H141" s="412" t="b">
        <f>Wh_hp&gt;='2027'!Maxi_hp</f>
        <v>0</v>
      </c>
      <c r="I141" s="388">
        <f>IF(H141,Wh_hp,'2027'!Maxi_hp)</f>
        <v>60.392486037860046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6.3047337992214736E-2</v>
      </c>
      <c r="M141" s="832"/>
      <c r="N141" s="832"/>
      <c r="O141" s="48">
        <f>IF(t&lt;Tnet,'2027'!Resal+('2027'!Salim-'2027'!Resal)*(1-EXP(('2027'!Tnet-t)/('2027'!Tau_j))),Resal+(Salim-Resal)*(1-EXP((Tnet-t)/(Tau_j))))*Salcycl</f>
        <v>1.0648905036752143E-2</v>
      </c>
      <c r="P141" s="169">
        <f>(INDEX(Models!$BJ141:$BT141,,T141)*(1-R141)+INDEX(Models!$BJ141:$BT141,,T141+1)*R141-ERP_i)*Q141*Ramure*Pc/MaxiM</f>
        <v>7.0009837911746105E-5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58.663824969831474</v>
      </c>
      <c r="W141" s="400">
        <f t="shared" si="34"/>
        <v>52.676920756426966</v>
      </c>
      <c r="X141" s="157">
        <f t="shared" si="35"/>
        <v>46879</v>
      </c>
      <c r="Y141" s="383">
        <f t="shared" si="36"/>
        <v>50.295689759410273</v>
      </c>
      <c r="Z141" s="383">
        <f t="shared" si="37"/>
        <v>53.68007563117672</v>
      </c>
      <c r="AA141" s="384">
        <f t="shared" si="38"/>
        <v>56.798110042708721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5.4896798664382129E-2</v>
      </c>
      <c r="AD141" s="230">
        <f>(INDEX(Models!$BJ141:$BT141,,AH141)*(1-AF141)+INDEX(Models!$BJ141:$BT141,,AH141+1)*AF141-ERP_i)*AE141*Ramure*Pc/MaxiM</f>
        <v>6.5856062680520072E-4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'2027'!Wh/'2027'!Env_an*'2028'!Env_an</f>
        <v>48.574014559720027</v>
      </c>
      <c r="C142" s="829"/>
      <c r="D142" s="391">
        <f t="shared" si="25"/>
        <v>51.843542856666708</v>
      </c>
      <c r="E142" s="383">
        <f t="shared" si="47"/>
        <v>52.406295486755667</v>
      </c>
      <c r="F142" s="383">
        <f t="shared" si="26"/>
        <v>52.409038458328382</v>
      </c>
      <c r="G142" s="110">
        <f t="shared" si="48"/>
        <v>0.82704045273672688</v>
      </c>
      <c r="H142" s="412" t="b">
        <f>Wh_hp&gt;='2027'!Maxi_hp</f>
        <v>0</v>
      </c>
      <c r="I142" s="388">
        <f>IF(H142,Wh_hp,'2027'!Maxi_hp)</f>
        <v>59.443974291396984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6.3065294476228884E-2</v>
      </c>
      <c r="M142" s="832"/>
      <c r="N142" s="832"/>
      <c r="O142" s="48">
        <f>IF(t&lt;Tnet,'2027'!Resal+('2027'!Salim-'2027'!Resal)*(1-EXP(('2027'!Tnet-t)/('2027'!Tau_j))),Resal+(Salim-Resal)*(1-EXP((Tnet-t)/(Tau_j))))*Salcycl</f>
        <v>1.0738263883414187E-2</v>
      </c>
      <c r="P142" s="169">
        <f>(INDEX(Models!$BJ142:$BT142,,T142)*(1-R142)+INDEX(Models!$BJ142:$BT142,,T142+1)*R142-ERP_i)*Q142*Ramure*Pc/MaxiM</f>
        <v>6.9511634344067717E-5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58.731323421009222</v>
      </c>
      <c r="W142" s="400">
        <f t="shared" si="34"/>
        <v>48.574014559720027</v>
      </c>
      <c r="X142" s="157">
        <f t="shared" si="35"/>
        <v>46880</v>
      </c>
      <c r="Y142" s="383">
        <f t="shared" si="36"/>
        <v>46.381726372941991</v>
      </c>
      <c r="Z142" s="383">
        <f t="shared" si="37"/>
        <v>49.503691238562226</v>
      </c>
      <c r="AA142" s="384">
        <f t="shared" si="38"/>
        <v>52.383320446976697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5.4972254218387653E-2</v>
      </c>
      <c r="AD142" s="230">
        <f>(INDEX(Models!$BJ142:$BT142,,AH142)*(1-AF142)+INDEX(Models!$BJ142:$BT142,,AH142+1)*AF142-ERP_i)*AE142*Ramure*Pc/MaxiM</f>
        <v>6.5173879996312744E-4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'2027'!Wh/'2027'!Env_an*'2028'!Env_an</f>
        <v>55.777782107958863</v>
      </c>
      <c r="C143" s="829"/>
      <c r="D143" s="391">
        <f t="shared" ref="D143:D206" si="50">Wh/(1-Ppv)</f>
        <v>59.533338628686074</v>
      </c>
      <c r="E143" s="383">
        <f t="shared" si="47"/>
        <v>60.18500785599781</v>
      </c>
      <c r="F143" s="383">
        <f t="shared" ref="F143:F206" si="51">Wh_sa/(1-Pvg*MEDIAN((-Sdif+Wh/Env_an)/Csdif,0,1))</f>
        <v>60.188858943735731</v>
      </c>
      <c r="G143" s="110">
        <f t="shared" si="48"/>
        <v>0.94869405109019178</v>
      </c>
      <c r="H143" s="412" t="b">
        <f>Wh_hp&gt;='2027'!Maxi_hp</f>
        <v>0</v>
      </c>
      <c r="I143" s="388">
        <f>IF(H143,Wh_hp,'2027'!Maxi_hp)</f>
        <v>60.189147100812463</v>
      </c>
      <c r="J143" s="85">
        <f>IF(H143,An,'2027'!An_max)</f>
        <v>2026</v>
      </c>
      <c r="K143" s="197">
        <f t="shared" ref="K143:K206" si="52">t</f>
        <v>46881</v>
      </c>
      <c r="L143" s="147">
        <f>IF(t&lt;Tvie,1-EXP((T0-t)*PertePVj)+'2027'!Pspv,1-EXP((T0-t)*PertePVj)+Pspv)</f>
        <v>6.3083250616111086E-2</v>
      </c>
      <c r="M143" s="832"/>
      <c r="N143" s="832"/>
      <c r="O143" s="48">
        <f>IF(t&lt;Tnet,'2027'!Resal+('2027'!Salim-'2027'!Resal)*(1-EXP(('2027'!Tnet-t)/('2027'!Tau_j))),Resal+(Salim-Resal)*(1-EXP((Tnet-t)/(Tau_j))))*Salcycl</f>
        <v>1.0827766756647402E-2</v>
      </c>
      <c r="P143" s="169">
        <f>(INDEX(Models!$BJ143:$BT143,,T143)*(1-R143)+INDEX(Models!$BJ143:$BT143,,T143+1)*R143-ERP_i)*Q143*Ramure*Pc/MaxiM</f>
        <v>6.9043406995378313E-5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58.793980830535176</v>
      </c>
      <c r="W143" s="400">
        <f t="shared" ref="W143:W206" si="59">Wh*(A143&gt;Tmaj)</f>
        <v>55.777782107958863</v>
      </c>
      <c r="X143" s="157">
        <f t="shared" ref="X143:X206" si="60">t</f>
        <v>46881</v>
      </c>
      <c r="Y143" s="383">
        <f t="shared" ref="Y143:Y206" si="61">Wh_pvt_s*(1-Ppv)</f>
        <v>53.255802866085503</v>
      </c>
      <c r="Z143" s="383">
        <f t="shared" ref="Z143:Z206" si="62">Wh_sa_s*(1-Psa_s)</f>
        <v>56.841552785886485</v>
      </c>
      <c r="AA143" s="384">
        <f t="shared" ref="AA143:AA206" si="63">Wh_hp*(1-Pvg_s*MEDIAN((-Sdif+Wh/Env_an)/Csdif,0,1))</f>
        <v>60.152867964438272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5.5048334195958885E-2</v>
      </c>
      <c r="AD143" s="230">
        <f>(INDEX(Models!$BJ143:$BT143,,AH143)*(1-AF143)+INDEX(Models!$BJ143:$BT143,,AH143+1)*AF143-ERP_i)*AE143*Ramure*Pc/MaxiM</f>
        <v>6.4525661343074444E-4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'2027'!Wh/'2027'!Env_an*'2028'!Env_an</f>
        <v>52.102523330029541</v>
      </c>
      <c r="C144" s="829"/>
      <c r="D144" s="391">
        <f t="shared" si="50"/>
        <v>55.611687928946374</v>
      </c>
      <c r="E144" s="383">
        <f t="shared" ref="E144:E169" si="72">Wh_pvt/(1-Psa)</f>
        <v>56.225525128617306</v>
      </c>
      <c r="F144" s="383">
        <f t="shared" si="51"/>
        <v>56.228750646229081</v>
      </c>
      <c r="G144" s="110">
        <f t="shared" ref="G144:G169" si="73">+Wh_hp/MaxiM</f>
        <v>0.88530135768665796</v>
      </c>
      <c r="H144" s="412" t="b">
        <f>Wh_hp&gt;='2027'!Maxi_hp</f>
        <v>0</v>
      </c>
      <c r="I144" s="388">
        <f>IF(H144,Wh_hp,'2027'!Maxi_hp)</f>
        <v>56.229347339722175</v>
      </c>
      <c r="J144" s="85">
        <f>IF(H144,An,'2027'!An_max)</f>
        <v>2026</v>
      </c>
      <c r="K144" s="197">
        <f t="shared" si="52"/>
        <v>46882</v>
      </c>
      <c r="L144" s="147">
        <f>IF(t&lt;Tvie,1-EXP((T0-t)*PertePVj)+'2027'!Pspv,1-EXP((T0-t)*PertePVj)+Pspv)</f>
        <v>6.3101206411868005E-2</v>
      </c>
      <c r="M144" s="832"/>
      <c r="N144" s="832"/>
      <c r="O144" s="48">
        <f>IF(t&lt;Tnet,'2027'!Resal+('2027'!Salim-'2027'!Resal)*(1-EXP(('2027'!Tnet-t)/('2027'!Tau_j))),Resal+(Salim-Resal)*(1-EXP((Tnet-t)/(Tau_j))))*Salcycl</f>
        <v>1.0917411589607443E-2</v>
      </c>
      <c r="P144" s="169">
        <f>(INDEX(Models!$BJ144:$BT144,,T144)*(1-R144)+INDEX(Models!$BJ144:$BT144,,T144+1)*R144-ERP_i)*Q144*Ramure*Pc/MaxiM</f>
        <v>6.8604421727689346E-5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58.852205749411738</v>
      </c>
      <c r="W144" s="400">
        <f t="shared" si="59"/>
        <v>52.102523330029541</v>
      </c>
      <c r="X144" s="157">
        <f t="shared" si="60"/>
        <v>46882</v>
      </c>
      <c r="Y144" s="383">
        <f t="shared" si="61"/>
        <v>49.750026642561956</v>
      </c>
      <c r="Z144" s="383">
        <f t="shared" si="62"/>
        <v>53.100747896183606</v>
      </c>
      <c r="AA144" s="384">
        <f t="shared" si="63"/>
        <v>56.198702252441663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5.5125015918378449E-2</v>
      </c>
      <c r="AD144" s="230">
        <f>(INDEX(Models!$BJ144:$BT144,,AH144)*(1-AF144)+INDEX(Models!$BJ144:$BT144,,AH144+1)*AF144-ERP_i)*AE144*Ramure*Pc/MaxiM</f>
        <v>6.3910755659949304E-4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'2027'!Wh/'2027'!Env_an*'2028'!Env_an</f>
        <v>56.183339680397992</v>
      </c>
      <c r="C145" s="829"/>
      <c r="D145" s="391">
        <f t="shared" si="50"/>
        <v>59.968501215319613</v>
      </c>
      <c r="E145" s="383">
        <f t="shared" si="72"/>
        <v>60.635932800408334</v>
      </c>
      <c r="F145" s="383">
        <f t="shared" si="51"/>
        <v>60.639794983805466</v>
      </c>
      <c r="G145" s="110">
        <f t="shared" si="73"/>
        <v>0.95376869693347199</v>
      </c>
      <c r="H145" s="412" t="b">
        <f>Wh_hp&gt;='2027'!Maxi_hp</f>
        <v>0</v>
      </c>
      <c r="I145" s="388">
        <f>IF(H145,Wh_hp,'2027'!Maxi_hp)</f>
        <v>60.640052240031864</v>
      </c>
      <c r="J145" s="85">
        <f>IF(H145,An,'2027'!An_max)</f>
        <v>2026</v>
      </c>
      <c r="K145" s="197">
        <f t="shared" si="52"/>
        <v>46883</v>
      </c>
      <c r="L145" s="147">
        <f>IF(t&lt;Tvie,1-EXP((T0-t)*PertePVj)+'2027'!Pspv,1-EXP((T0-t)*PertePVj)+Pspv)</f>
        <v>6.3119161863506079E-2</v>
      </c>
      <c r="M145" s="832"/>
      <c r="N145" s="832"/>
      <c r="O145" s="48">
        <f>IF(t&lt;Tnet,'2027'!Resal+('2027'!Salim-'2027'!Resal)*(1-EXP(('2027'!Tnet-t)/('2027'!Tau_j))),Resal+(Salim-Resal)*(1-EXP((Tnet-t)/(Tau_j))))*Salcycl</f>
        <v>1.1007195803941295E-2</v>
      </c>
      <c r="P145" s="169">
        <f>(INDEX(Models!$BJ145:$BT145,,T145)*(1-R145)+INDEX(Models!$BJ145:$BT145,,T145+1)*R145-ERP_i)*Q145*Ramure*Pc/MaxiM</f>
        <v>6.8194010552310075E-5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58.906406581447456</v>
      </c>
      <c r="W145" s="400">
        <f t="shared" si="59"/>
        <v>56.183339680397992</v>
      </c>
      <c r="X145" s="157">
        <f t="shared" si="60"/>
        <v>46883</v>
      </c>
      <c r="Y145" s="383">
        <f t="shared" si="61"/>
        <v>53.644348341390177</v>
      </c>
      <c r="Z145" s="383">
        <f t="shared" si="62"/>
        <v>57.258453965278719</v>
      </c>
      <c r="AA145" s="384">
        <f t="shared" si="63"/>
        <v>60.603928691807475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5.5202274815246408E-2</v>
      </c>
      <c r="AD145" s="230">
        <f>(INDEX(Models!$BJ145:$BT145,,AH145)*(1-AF145)+INDEX(Models!$BJ145:$BT145,,AH145+1)*AF145-ERP_i)*AE145*Ramure*Pc/MaxiM</f>
        <v>6.3328590164867448E-4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'2027'!Wh/'2027'!Env_an*'2028'!Env_an</f>
        <v>41.887955202138173</v>
      </c>
      <c r="C146" s="829"/>
      <c r="D146" s="391">
        <f t="shared" si="50"/>
        <v>44.710870673742974</v>
      </c>
      <c r="E146" s="383">
        <f t="shared" si="72"/>
        <v>45.212600155825889</v>
      </c>
      <c r="F146" s="383">
        <f t="shared" si="51"/>
        <v>45.214398107269872</v>
      </c>
      <c r="G146" s="110">
        <f t="shared" si="73"/>
        <v>0.71046332615087693</v>
      </c>
      <c r="H146" s="412" t="b">
        <f>Wh_hp&gt;='2027'!Maxi_hp</f>
        <v>0</v>
      </c>
      <c r="I146" s="388">
        <f>IF(H146,Wh_hp,'2027'!Maxi_hp)</f>
        <v>56.127004376201441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6.3137116971032192E-2</v>
      </c>
      <c r="M146" s="832"/>
      <c r="N146" s="832"/>
      <c r="O146" s="48">
        <f>IF(t&lt;Tnet,'2027'!Resal+('2027'!Salim-'2027'!Resal)*(1-EXP(('2027'!Tnet-t)/('2027'!Tau_j))),Resal+(Salim-Resal)*(1-EXP((Tnet-t)/(Tau_j))))*Salcycl</f>
        <v>1.1097116298414525E-2</v>
      </c>
      <c r="P146" s="169">
        <f>(INDEX(Models!$BJ146:$BT146,,T146)*(1-R146)+INDEX(Models!$BJ146:$BT146,,T146+1)*R146-ERP_i)*Q146*Ramure*Pc/MaxiM</f>
        <v>6.7811570248720103E-5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58.956991587041138</v>
      </c>
      <c r="W146" s="400">
        <f t="shared" si="59"/>
        <v>41.887955202138173</v>
      </c>
      <c r="X146" s="157">
        <f t="shared" si="60"/>
        <v>46884</v>
      </c>
      <c r="Y146" s="383">
        <f t="shared" si="61"/>
        <v>40.003311926477977</v>
      </c>
      <c r="Z146" s="383">
        <f t="shared" si="62"/>
        <v>42.699217410709473</v>
      </c>
      <c r="AA146" s="384">
        <f t="shared" si="63"/>
        <v>45.197753013197065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5.5280084427162958E-2</v>
      </c>
      <c r="AD146" s="230">
        <f>(INDEX(Models!$BJ146:$BT146,,AH146)*(1-AF146)+INDEX(Models!$BJ146:$BT146,,AH146+1)*AF146-ERP_i)*AE146*Ramure*Pc/MaxiM</f>
        <v>6.2778667899705126E-4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'2027'!Wh/'2027'!Env_an*'2028'!Env_an</f>
        <v>43.874664429338225</v>
      </c>
      <c r="C147" s="829"/>
      <c r="D147" s="391">
        <f t="shared" si="50"/>
        <v>46.83236585436476</v>
      </c>
      <c r="E147" s="383">
        <f t="shared" si="72"/>
        <v>47.362214978352263</v>
      </c>
      <c r="F147" s="383">
        <f t="shared" si="51"/>
        <v>47.364239637558747</v>
      </c>
      <c r="G147" s="110">
        <f t="shared" si="73"/>
        <v>0.74356494399525019</v>
      </c>
      <c r="H147" s="412" t="b">
        <f>Wh_hp&gt;='2027'!Maxi_hp</f>
        <v>0</v>
      </c>
      <c r="I147" s="388">
        <f>IF(H147,Wh_hp,'2027'!Maxi_hp)</f>
        <v>64.735176440204555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6.3155071734452672E-2</v>
      </c>
      <c r="M147" s="832"/>
      <c r="N147" s="832"/>
      <c r="O147" s="48">
        <f>IF(t&lt;Tnet,'2027'!Resal+('2027'!Salim-'2027'!Resal)*(1-EXP(('2027'!Tnet-t)/('2027'!Tau_j))),Resal+(Salim-Resal)*(1-EXP((Tnet-t)/(Tau_j))))*Salcycl</f>
        <v>1.1187169439387142E-2</v>
      </c>
      <c r="P147" s="169">
        <f>(INDEX(Models!$BJ147:$BT147,,T147)*(1-R147)+INDEX(Models!$BJ147:$BT147,,T147+1)*R147-ERP_i)*Q147*Ramure*Pc/MaxiM</f>
        <v>6.7456561066482255E-5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59.004368878769142</v>
      </c>
      <c r="W147" s="400">
        <f t="shared" si="59"/>
        <v>43.874664429338225</v>
      </c>
      <c r="X147" s="157">
        <f t="shared" si="60"/>
        <v>46885</v>
      </c>
      <c r="Y147" s="383">
        <f t="shared" si="61"/>
        <v>41.899993852638261</v>
      </c>
      <c r="Z147" s="383">
        <f t="shared" si="62"/>
        <v>44.724577769995427</v>
      </c>
      <c r="AA147" s="384">
        <f t="shared" si="63"/>
        <v>47.345552585518391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5.5358416417018198E-2</v>
      </c>
      <c r="AD147" s="230">
        <f>(INDEX(Models!$BJ147:$BT147,,AH147)*(1-AF147)+INDEX(Models!$BJ147:$BT147,,AH147+1)*AF147-ERP_i)*AE147*Ramure*Pc/MaxiM</f>
        <v>6.2260565288023667E-4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'2027'!Wh/'2027'!Env_an*'2028'!Env_an</f>
        <v>49.99589674755083</v>
      </c>
      <c r="C148" s="829"/>
      <c r="D148" s="391">
        <f t="shared" si="50"/>
        <v>53.3672686027477</v>
      </c>
      <c r="E148" s="383">
        <f t="shared" si="72"/>
        <v>53.975974616947866</v>
      </c>
      <c r="F148" s="383">
        <f t="shared" si="51"/>
        <v>53.978804509133454</v>
      </c>
      <c r="G148" s="110">
        <f t="shared" si="73"/>
        <v>0.84667322064825978</v>
      </c>
      <c r="H148" s="412" t="b">
        <f>Wh_hp&gt;='2027'!Maxi_hp</f>
        <v>0</v>
      </c>
      <c r="I148" s="388">
        <f>IF(H148,Wh_hp,'2027'!Maxi_hp)</f>
        <v>63.17753058579234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6.3173026153774181E-2</v>
      </c>
      <c r="M148" s="832"/>
      <c r="N148" s="832"/>
      <c r="O148" s="48">
        <f>IF(t&lt;Tnet,'2027'!Resal+('2027'!Salim-'2027'!Resal)*(1-EXP(('2027'!Tnet-t)/('2027'!Tau_j))),Resal+(Salim-Resal)*(1-EXP((Tnet-t)/(Tau_j))))*Salcycl</f>
        <v>1.1277351053315553E-2</v>
      </c>
      <c r="P148" s="169">
        <f>(INDEX(Models!$BJ148:$BT148,,T148)*(1-R148)+INDEX(Models!$BJ148:$BT148,,T148+1)*R148-ERP_i)*Q148*Ramure*Pc/MaxiM</f>
        <v>6.7128505461383468E-5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59.048946422581245</v>
      </c>
      <c r="W148" s="400">
        <f t="shared" si="59"/>
        <v>49.99589674755083</v>
      </c>
      <c r="X148" s="157">
        <f t="shared" si="60"/>
        <v>46886</v>
      </c>
      <c r="Y148" s="383">
        <f t="shared" si="61"/>
        <v>47.742361318246004</v>
      </c>
      <c r="Z148" s="383">
        <f t="shared" si="62"/>
        <v>50.961770584204601</v>
      </c>
      <c r="AA148" s="384">
        <f t="shared" si="63"/>
        <v>53.952762880527509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5.543724059036842E-2</v>
      </c>
      <c r="AD148" s="230">
        <f>(INDEX(Models!$BJ148:$BT148,,AH148)*(1-AF148)+INDEX(Models!$BJ148:$BT148,,AH148+1)*AF148-ERP_i)*AE148*Ramure*Pc/MaxiM</f>
        <v>6.1773929657153693E-4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'2027'!Wh/'2027'!Env_an*'2028'!Env_an</f>
        <v>52.612563679177512</v>
      </c>
      <c r="C149" s="829"/>
      <c r="D149" s="391">
        <f t="shared" si="50"/>
        <v>56.161461481272539</v>
      </c>
      <c r="E149" s="383">
        <f t="shared" si="72"/>
        <v>56.807226514545412</v>
      </c>
      <c r="F149" s="383">
        <f t="shared" si="51"/>
        <v>56.810428563536632</v>
      </c>
      <c r="G149" s="110">
        <f t="shared" si="73"/>
        <v>0.89037574094041427</v>
      </c>
      <c r="H149" s="412" t="b">
        <f>Wh_hp&gt;='2027'!Maxi_hp</f>
        <v>0</v>
      </c>
      <c r="I149" s="388">
        <f>IF(H149,Wh_hp,'2027'!Maxi_hp)</f>
        <v>63.749746861981109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6.319098022900338E-2</v>
      </c>
      <c r="M149" s="832"/>
      <c r="N149" s="832"/>
      <c r="O149" s="48">
        <f>IF(t&lt;Tnet,'2027'!Resal+('2027'!Salim-'2027'!Resal)*(1-EXP(('2027'!Tnet-t)/('2027'!Tau_j))),Resal+(Salim-Resal)*(1-EXP((Tnet-t)/(Tau_j))))*Salcycl</f>
        <v>1.1367656421450618E-2</v>
      </c>
      <c r="P149" s="169">
        <f>(INDEX(Models!$BJ149:$BT149,,T149)*(1-R149)+INDEX(Models!$BJ149:$BT149,,T149+1)*R149-ERP_i)*Q149*Ramure*Pc/MaxiM</f>
        <v>6.6828634677601129E-5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59.089674892024938</v>
      </c>
      <c r="W149" s="400">
        <f t="shared" si="59"/>
        <v>52.612563679177512</v>
      </c>
      <c r="X149" s="157">
        <f t="shared" si="60"/>
        <v>46887</v>
      </c>
      <c r="Y149" s="383">
        <f t="shared" si="61"/>
        <v>50.239907084987536</v>
      </c>
      <c r="Z149" s="383">
        <f t="shared" si="62"/>
        <v>53.628761065162145</v>
      </c>
      <c r="AA149" s="384">
        <f t="shared" si="63"/>
        <v>56.781047504215799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5.5516524925321435E-2</v>
      </c>
      <c r="AD149" s="230">
        <f>(INDEX(Models!$BJ149:$BT149,,AH149)*(1-AF149)+INDEX(Models!$BJ149:$BT149,,AH149+1)*AF149-ERP_i)*AE149*Ramure*Pc/MaxiM</f>
        <v>6.1319988706519141E-4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'2027'!Wh/'2027'!Env_an*'2028'!Env_an</f>
        <v>51.038137287696543</v>
      </c>
      <c r="C150" s="829"/>
      <c r="D150" s="391">
        <f t="shared" si="50"/>
        <v>54.481878764549691</v>
      </c>
      <c r="E150" s="383">
        <f t="shared" si="72"/>
        <v>55.113372207635017</v>
      </c>
      <c r="F150" s="383">
        <f t="shared" si="51"/>
        <v>55.116323032628245</v>
      </c>
      <c r="G150" s="110">
        <f t="shared" si="73"/>
        <v>0.86320766855959441</v>
      </c>
      <c r="H150" s="412" t="b">
        <f>Wh_hp&gt;='2027'!Maxi_hp</f>
        <v>0</v>
      </c>
      <c r="I150" s="388">
        <f>IF(H150,Wh_hp,'2027'!Maxi_hp)</f>
        <v>55.11699057045918</v>
      </c>
      <c r="J150" s="85">
        <f>IF(H150,An,'2027'!An_max)</f>
        <v>2026</v>
      </c>
      <c r="K150" s="197">
        <f t="shared" si="52"/>
        <v>46888</v>
      </c>
      <c r="L150" s="147">
        <f>IF(t&lt;Tvie,1-EXP((T0-t)*PertePVj)+'2027'!Pspv,1-EXP((T0-t)*PertePVj)+Pspv)</f>
        <v>6.3208933960146818E-2</v>
      </c>
      <c r="M150" s="832"/>
      <c r="N150" s="832"/>
      <c r="O150" s="48">
        <f>IF(t&lt;Tnet,'2027'!Resal+('2027'!Salim-'2027'!Resal)*(1-EXP(('2027'!Tnet-t)/('2027'!Tau_j))),Resal+(Salim-Resal)*(1-EXP((Tnet-t)/(Tau_j))))*Salcycl</f>
        <v>1.1458080276892291E-2</v>
      </c>
      <c r="P150" s="169">
        <f>(INDEX(Models!$BJ150:$BT150,,T150)*(1-R150)+INDEX(Models!$BJ150:$BT150,,T150+1)*R150-ERP_i)*Q150*Ramure*Pc/MaxiM</f>
        <v>6.6540190812528955E-5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59.125370997320637</v>
      </c>
      <c r="W150" s="400">
        <f t="shared" si="59"/>
        <v>51.038137287696543</v>
      </c>
      <c r="X150" s="157">
        <f t="shared" si="60"/>
        <v>46888</v>
      </c>
      <c r="Y150" s="383">
        <f t="shared" si="61"/>
        <v>48.73801212826249</v>
      </c>
      <c r="Z150" s="383">
        <f t="shared" si="62"/>
        <v>52.026555221427643</v>
      </c>
      <c r="AA150" s="384">
        <f t="shared" si="63"/>
        <v>55.08931368476518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5.5596235612289706E-2</v>
      </c>
      <c r="AD150" s="230">
        <f>(INDEX(Models!$BJ150:$BT150,,AH150)*(1-AF150)+INDEX(Models!$BJ150:$BT150,,AH150+1)*AF150-ERP_i)*AE150*Ramure*Pc/MaxiM</f>
        <v>6.0905243945466928E-4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'2027'!Wh/'2027'!Env_an*'2028'!Env_an</f>
        <v>54.433381588291411</v>
      </c>
      <c r="C151" s="829"/>
      <c r="D151" s="391">
        <f t="shared" si="50"/>
        <v>58.107327007011264</v>
      </c>
      <c r="E151" s="383">
        <f t="shared" si="72"/>
        <v>58.786226611509505</v>
      </c>
      <c r="F151" s="383">
        <f t="shared" si="51"/>
        <v>58.789675211770415</v>
      </c>
      <c r="G151" s="110">
        <f t="shared" si="73"/>
        <v>0.92015597512085212</v>
      </c>
      <c r="H151" s="412" t="b">
        <f>Wh_hp&gt;='2027'!Maxi_hp</f>
        <v>0</v>
      </c>
      <c r="I151" s="388">
        <f>IF(H151,Wh_hp,'2027'!Maxi_hp)</f>
        <v>58.790087827912487</v>
      </c>
      <c r="J151" s="85">
        <f>IF(H151,An,'2027'!An_max)</f>
        <v>2026</v>
      </c>
      <c r="K151" s="197">
        <f t="shared" si="52"/>
        <v>46889</v>
      </c>
      <c r="L151" s="147">
        <f>IF(t&lt;Tvie,1-EXP((T0-t)*PertePVj)+'2027'!Pspv,1-EXP((T0-t)*PertePVj)+Pspv)</f>
        <v>6.3226887347211047E-2</v>
      </c>
      <c r="M151" s="832"/>
      <c r="N151" s="832"/>
      <c r="O151" s="48">
        <f>IF(t&lt;Tnet,'2027'!Resal+('2027'!Salim-'2027'!Resal)*(1-EXP(('2027'!Tnet-t)/('2027'!Tau_j))),Resal+(Salim-Resal)*(1-EXP((Tnet-t)/(Tau_j))))*Salcycl</f>
        <v>1.1548616804149881E-2</v>
      </c>
      <c r="P151" s="169">
        <f>(INDEX(Models!$BJ151:$BT151,,T151)*(1-R151)+INDEX(Models!$BJ151:$BT151,,T151+1)*R151-ERP_i)*Q151*Ramure*Pc/MaxiM</f>
        <v>6.6211593025317959E-5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59.156243044936936</v>
      </c>
      <c r="W151" s="400">
        <f t="shared" si="59"/>
        <v>54.433381588291411</v>
      </c>
      <c r="X151" s="157">
        <f t="shared" si="60"/>
        <v>46889</v>
      </c>
      <c r="Y151" s="383">
        <f t="shared" si="61"/>
        <v>51.978476999842215</v>
      </c>
      <c r="Z151" s="383">
        <f t="shared" si="62"/>
        <v>55.486730242126214</v>
      </c>
      <c r="AA151" s="384">
        <f t="shared" si="63"/>
        <v>58.758169918094246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5.5676337103899624E-2</v>
      </c>
      <c r="AD151" s="230">
        <f>(INDEX(Models!$BJ151:$BT151,,AH151)*(1-AF151)+INDEX(Models!$BJ151:$BT151,,AH151+1)*AF151-ERP_i)*AE151*Ramure*Pc/MaxiM</f>
        <v>6.0488764287129583E-4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'2027'!Wh/'2027'!Env_an*'2028'!Env_an</f>
        <v>52.648008844662172</v>
      </c>
      <c r="C152" s="829"/>
      <c r="D152" s="391">
        <f t="shared" si="50"/>
        <v>56.202528808693778</v>
      </c>
      <c r="E152" s="383">
        <f t="shared" si="72"/>
        <v>56.864388187150148</v>
      </c>
      <c r="F152" s="383">
        <f t="shared" si="51"/>
        <v>56.867541774681399</v>
      </c>
      <c r="G152" s="110">
        <f t="shared" si="73"/>
        <v>0.88957825797287227</v>
      </c>
      <c r="H152" s="412" t="b">
        <f>Wh_hp&gt;='2027'!Maxi_hp</f>
        <v>0</v>
      </c>
      <c r="I152" s="388">
        <f>IF(H152,Wh_hp,'2027'!Maxi_hp)</f>
        <v>65.112138934007149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6.3244840390202728E-2</v>
      </c>
      <c r="M152" s="832"/>
      <c r="N152" s="832"/>
      <c r="O152" s="48">
        <f>IF(t&lt;Tnet,'2027'!Resal+('2027'!Salim-'2027'!Resal)*(1-EXP(('2027'!Tnet-t)/('2027'!Tau_j))),Resal+(Salim-Resal)*(1-EXP((Tnet-t)/(Tau_j))))*Salcycl</f>
        <v>1.1639259641343212E-2</v>
      </c>
      <c r="P152" s="169">
        <f>(INDEX(Models!$BJ152:$BT152,,T152)*(1-R152)+INDEX(Models!$BJ152:$BT152,,T152+1)*R152-ERP_i)*Q152*Ramure*Pc/MaxiM</f>
        <v>6.584005870118918E-5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59.182496411050721</v>
      </c>
      <c r="W152" s="400">
        <f t="shared" si="59"/>
        <v>52.648008844662172</v>
      </c>
      <c r="X152" s="157">
        <f t="shared" si="60"/>
        <v>46890</v>
      </c>
      <c r="Y152" s="383">
        <f t="shared" si="61"/>
        <v>50.275295636551895</v>
      </c>
      <c r="Z152" s="383">
        <f t="shared" si="62"/>
        <v>53.6696223349268</v>
      </c>
      <c r="AA152" s="384">
        <f t="shared" si="63"/>
        <v>56.838769810763544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5.5756792175269895E-2</v>
      </c>
      <c r="AD152" s="230">
        <f>(INDEX(Models!$BJ152:$BT152,,AH152)*(1-AF152)+INDEX(Models!$BJ152:$BT152,,AH152+1)*AF152-ERP_i)*AE152*Ramure*Pc/MaxiM</f>
        <v>6.0069611974545862E-4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'2027'!Wh/'2027'!Env_an*'2028'!Env_an</f>
        <v>55.345213802690751</v>
      </c>
      <c r="C153" s="829"/>
      <c r="D153" s="391">
        <f t="shared" si="50"/>
        <v>59.082967340654292</v>
      </c>
      <c r="E153" s="383">
        <f t="shared" si="72"/>
        <v>59.784236548066225</v>
      </c>
      <c r="F153" s="383">
        <f t="shared" si="51"/>
        <v>59.787783797290693</v>
      </c>
      <c r="G153" s="110">
        <f t="shared" si="73"/>
        <v>0.93481119737219875</v>
      </c>
      <c r="H153" s="412" t="b">
        <f>Wh_hp&gt;='2027'!Maxi_hp</f>
        <v>0</v>
      </c>
      <c r="I153" s="388">
        <f>IF(H153,Wh_hp,'2027'!Maxi_hp)</f>
        <v>63.796579298765408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6.3262793089128411E-2</v>
      </c>
      <c r="M153" s="832"/>
      <c r="N153" s="832"/>
      <c r="O153" s="48">
        <f>IF(t&lt;Tnet,'2027'!Resal+('2027'!Salim-'2027'!Resal)*(1-EXP(('2027'!Tnet-t)/('2027'!Tau_j))),Resal+(Salim-Resal)*(1-EXP((Tnet-t)/(Tau_j))))*Salcycl</f>
        <v>1.1730001885164343E-2</v>
      </c>
      <c r="P153" s="169">
        <f>(INDEX(Models!$BJ153:$BT153,,T153)*(1-R153)+INDEX(Models!$BJ153:$BT153,,T153+1)*R153-ERP_i)*Q153*Ramure*Pc/MaxiM</f>
        <v>6.5422752511801446E-5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59.204336416391534</v>
      </c>
      <c r="W153" s="400">
        <f t="shared" si="59"/>
        <v>55.345213802690751</v>
      </c>
      <c r="X153" s="157">
        <f t="shared" si="60"/>
        <v>46891</v>
      </c>
      <c r="Y153" s="383">
        <f t="shared" si="61"/>
        <v>52.849631050777482</v>
      </c>
      <c r="Z153" s="383">
        <f t="shared" si="62"/>
        <v>56.418844752694874</v>
      </c>
      <c r="AA153" s="384">
        <f t="shared" si="63"/>
        <v>59.755443006072589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5.5837561994789994E-2</v>
      </c>
      <c r="AD153" s="230">
        <f>(INDEX(Models!$BJ153:$BT153,,AH153)*(1-AF153)+INDEX(Models!$BJ153:$BT153,,AH153+1)*AF153-ERP_i)*AE153*Ramure*Pc/MaxiM</f>
        <v>5.9646882584528708E-4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'2027'!Wh/'2027'!Env_an*'2028'!Env_an</f>
        <v>49.386009503734535</v>
      </c>
      <c r="C154" s="829"/>
      <c r="D154" s="391">
        <f t="shared" si="50"/>
        <v>52.722317026719992</v>
      </c>
      <c r="E154" s="383">
        <f t="shared" si="72"/>
        <v>53.352994024458127</v>
      </c>
      <c r="F154" s="383">
        <f t="shared" si="51"/>
        <v>53.355637515831859</v>
      </c>
      <c r="G154" s="110">
        <f t="shared" si="73"/>
        <v>0.83390082632596574</v>
      </c>
      <c r="H154" s="412" t="b">
        <f>Wh_hp&gt;='2027'!Maxi_hp</f>
        <v>0</v>
      </c>
      <c r="I154" s="388">
        <f>IF(H154,Wh_hp,'2027'!Maxi_hp)</f>
        <v>63.305602398396879</v>
      </c>
      <c r="J154" s="85">
        <f>IF(H154,An,'2027'!An_max)</f>
        <v>2021</v>
      </c>
      <c r="K154" s="197">
        <f t="shared" si="52"/>
        <v>46892</v>
      </c>
      <c r="L154" s="147">
        <f>IF(t&lt;Tvie,1-EXP((T0-t)*PertePVj)+'2027'!Pspv,1-EXP((T0-t)*PertePVj)+Pspv)</f>
        <v>6.3280745443994757E-2</v>
      </c>
      <c r="M154" s="832"/>
      <c r="N154" s="832"/>
      <c r="O154" s="48">
        <f>IF(t&lt;Tnet,'2027'!Resal+('2027'!Salim-'2027'!Resal)*(1-EXP(('2027'!Tnet-t)/('2027'!Tau_j))),Resal+(Salim-Resal)*(1-EXP((Tnet-t)/(Tau_j))))*Salcycl</f>
        <v>1.1820836098701729E-2</v>
      </c>
      <c r="P154" s="169">
        <f>(INDEX(Models!$BJ154:$BT154,,T154)*(1-R154)+INDEX(Models!$BJ154:$BT154,,T154+1)*R154-ERP_i)*Q154*Ramure*Pc/MaxiM</f>
        <v>6.4956793165531755E-5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59.221968329223643</v>
      </c>
      <c r="W154" s="400">
        <f t="shared" si="59"/>
        <v>49.386009503734535</v>
      </c>
      <c r="X154" s="157">
        <f t="shared" si="60"/>
        <v>46892</v>
      </c>
      <c r="Y154" s="383">
        <f t="shared" si="61"/>
        <v>47.163170133613121</v>
      </c>
      <c r="Z154" s="383">
        <f t="shared" si="62"/>
        <v>50.349312138318275</v>
      </c>
      <c r="AA154" s="384">
        <f t="shared" si="63"/>
        <v>53.331537375129074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5.5918606205444699E-2</v>
      </c>
      <c r="AD154" s="230">
        <f>(INDEX(Models!$BJ154:$BT154,,AH154)*(1-AF154)+INDEX(Models!$BJ154:$BT154,,AH154+1)*AF154-ERP_i)*AE154*Ramure*Pc/MaxiM</f>
        <v>5.9219707332757322E-4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'2027'!Wh/'2027'!Env_an*'2028'!Env_an</f>
        <v>49.481879905233484</v>
      </c>
      <c r="C155" s="829"/>
      <c r="D155" s="391">
        <f t="shared" si="50"/>
        <v>52.825676414436501</v>
      </c>
      <c r="E155" s="383">
        <f t="shared" si="72"/>
        <v>53.462508683321218</v>
      </c>
      <c r="F155" s="383">
        <f t="shared" si="51"/>
        <v>53.465143516726322</v>
      </c>
      <c r="G155" s="110">
        <f t="shared" si="73"/>
        <v>0.83532760748097301</v>
      </c>
      <c r="H155" s="412" t="b">
        <f>Wh_hp&gt;='2027'!Maxi_hp</f>
        <v>0</v>
      </c>
      <c r="I155" s="388">
        <f>IF(H155,Wh_hp,'2027'!Maxi_hp)</f>
        <v>61.653025263591708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6.3298697454808317E-2</v>
      </c>
      <c r="M155" s="832"/>
      <c r="N155" s="832"/>
      <c r="O155" s="48">
        <f>IF(t&lt;Tnet,'2027'!Resal+('2027'!Salim-'2027'!Resal)*(1-EXP(('2027'!Tnet-t)/('2027'!Tau_j))),Resal+(Salim-Resal)*(1-EXP((Tnet-t)/(Tau_j))))*Salcycl</f>
        <v>1.1911754322209566E-2</v>
      </c>
      <c r="P155" s="169">
        <f>(INDEX(Models!$BJ155:$BT155,,T155)*(1-R155)+INDEX(Models!$BJ155:$BT155,,T155+1)*R155-ERP_i)*Q155*Ramure*Pc/MaxiM</f>
        <v>6.44392608554807E-5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59.235597365915609</v>
      </c>
      <c r="W155" s="400">
        <f t="shared" si="59"/>
        <v>49.481879905233484</v>
      </c>
      <c r="X155" s="157">
        <f t="shared" si="60"/>
        <v>46893</v>
      </c>
      <c r="Y155" s="383">
        <f t="shared" si="61"/>
        <v>47.255091840230783</v>
      </c>
      <c r="Z155" s="383">
        <f t="shared" si="62"/>
        <v>50.448410514461663</v>
      </c>
      <c r="AA155" s="384">
        <f t="shared" si="63"/>
        <v>53.441106210531309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5.5999883016641057E-2</v>
      </c>
      <c r="AD155" s="230">
        <f>(INDEX(Models!$BJ155:$BT155,,AH155)*(1-AF155)+INDEX(Models!$BJ155:$BT155,,AH155+1)*AF155-ERP_i)*AE155*Ramure*Pc/MaxiM</f>
        <v>5.8787255435743303E-4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'2027'!Wh/'2027'!Env_an*'2028'!Env_an</f>
        <v>37.586504569191078</v>
      </c>
      <c r="C156" s="829"/>
      <c r="D156" s="391">
        <f t="shared" si="50"/>
        <v>40.127226061979592</v>
      </c>
      <c r="E156" s="383">
        <f t="shared" si="72"/>
        <v>40.614714245691395</v>
      </c>
      <c r="F156" s="383">
        <f t="shared" si="51"/>
        <v>40.615954210553653</v>
      </c>
      <c r="G156" s="110">
        <f t="shared" si="73"/>
        <v>0.63439918148902563</v>
      </c>
      <c r="H156" s="412" t="b">
        <f>Wh_hp&gt;='2027'!Maxi_hp</f>
        <v>0</v>
      </c>
      <c r="I156" s="388">
        <f>IF(H156,Wh_hp,'2027'!Maxi_hp)</f>
        <v>60.757180610940942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6.3316649121575752E-2</v>
      </c>
      <c r="M156" s="832"/>
      <c r="N156" s="832"/>
      <c r="O156" s="48">
        <f>IF(t&lt;Tnet,'2027'!Resal+('2027'!Salim-'2027'!Resal)*(1-EXP(('2027'!Tnet-t)/('2027'!Tau_j))),Resal+(Salim-Resal)*(1-EXP((Tnet-t)/(Tau_j))))*Salcycl</f>
        <v>1.2002748086883777E-2</v>
      </c>
      <c r="P156" s="169">
        <f>(INDEX(Models!$BJ156:$BT156,,T156)*(1-R156)+INDEX(Models!$BJ156:$BT156,,T156+1)*R156-ERP_i)*Q156*Ramure*Pc/MaxiM</f>
        <v>6.3902530183256549E-5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59.24542659197391</v>
      </c>
      <c r="W156" s="400">
        <f t="shared" si="59"/>
        <v>37.586504569191078</v>
      </c>
      <c r="X156" s="157">
        <f t="shared" si="60"/>
        <v>46894</v>
      </c>
      <c r="Y156" s="383">
        <f t="shared" si="61"/>
        <v>35.900699098156181</v>
      </c>
      <c r="Z156" s="383">
        <f t="shared" si="62"/>
        <v>38.327465802064708</v>
      </c>
      <c r="AA156" s="384">
        <f t="shared" si="63"/>
        <v>40.604628136017269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5.6081349306402413E-2</v>
      </c>
      <c r="AD156" s="230">
        <f>(INDEX(Models!$BJ156:$BT156,,AH156)*(1-AF156)+INDEX(Models!$BJ156:$BT156,,AH156+1)*AF156-ERP_i)*AE156*Ramure*Pc/MaxiM</f>
        <v>5.836978465665045E-4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'2027'!Wh/'2027'!Env_an*'2028'!Env_an</f>
        <v>19.845093643878357</v>
      </c>
      <c r="C157" s="829"/>
      <c r="D157" s="391">
        <f t="shared" si="50"/>
        <v>21.186961377341149</v>
      </c>
      <c r="E157" s="383">
        <f t="shared" si="72"/>
        <v>21.446329173933531</v>
      </c>
      <c r="F157" s="383">
        <f t="shared" si="51"/>
        <v>21.446396976177454</v>
      </c>
      <c r="G157" s="110">
        <f t="shared" si="73"/>
        <v>0.3349087426245328</v>
      </c>
      <c r="H157" s="412" t="b">
        <f>Wh_hp&gt;='2027'!Maxi_hp</f>
        <v>0</v>
      </c>
      <c r="I157" s="388">
        <f>IF(H157,Wh_hp,'2027'!Maxi_hp)</f>
        <v>57.940082195716684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6.3334600444303502E-2</v>
      </c>
      <c r="M157" s="832"/>
      <c r="N157" s="832"/>
      <c r="O157" s="48">
        <f>IF(t&lt;Tnet,'2027'!Resal+('2027'!Salim-'2027'!Resal)*(1-EXP(('2027'!Tnet-t)/('2027'!Tau_j))),Resal+(Salim-Resal)*(1-EXP((Tnet-t)/(Tau_j))))*Salcycl</f>
        <v>1.2093808431683744E-2</v>
      </c>
      <c r="P157" s="169">
        <f>(INDEX(Models!$BJ157:$BT157,,T157)*(1-R157)+INDEX(Models!$BJ157:$BT157,,T157+1)*R157-ERP_i)*Q157*Ramure*Pc/MaxiM</f>
        <v>6.3358196154751783E-5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59.251660243389459</v>
      </c>
      <c r="W157" s="400">
        <f t="shared" si="59"/>
        <v>19.845093643878357</v>
      </c>
      <c r="X157" s="157">
        <f t="shared" si="60"/>
        <v>46895</v>
      </c>
      <c r="Y157" s="383">
        <f t="shared" si="61"/>
        <v>18.959342552895624</v>
      </c>
      <c r="Z157" s="383">
        <f t="shared" si="62"/>
        <v>20.241318363941822</v>
      </c>
      <c r="AA157" s="384">
        <f t="shared" si="63"/>
        <v>21.445776677377047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5.6162960733699974E-2</v>
      </c>
      <c r="AD157" s="230">
        <f>(INDEX(Models!$BJ157:$BT157,,AH157)*(1-AF157)+INDEX(Models!$BJ157:$BT157,,AH157+1)*AF157-ERP_i)*AE157*Ramure*Pc/MaxiM</f>
        <v>5.7964177582180577E-4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'2027'!Wh/'2027'!Env_an*'2028'!Env_an</f>
        <v>16.405733162153091</v>
      </c>
      <c r="C158" s="829"/>
      <c r="D158" s="391">
        <f t="shared" si="50"/>
        <v>17.515376983172743</v>
      </c>
      <c r="E158" s="383">
        <f t="shared" si="72"/>
        <v>17.731433183020282</v>
      </c>
      <c r="F158" s="383">
        <f t="shared" si="51"/>
        <v>17.731433183020282</v>
      </c>
      <c r="G158" s="110">
        <f t="shared" si="73"/>
        <v>0.27685157916140923</v>
      </c>
      <c r="H158" s="412" t="b">
        <f>Wh_hp&gt;='2027'!Maxi_hp</f>
        <v>0</v>
      </c>
      <c r="I158" s="388">
        <f>IF(H158,Wh_hp,'2027'!Maxi_hp)</f>
        <v>27.39141049073487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6.3352551422998338E-2</v>
      </c>
      <c r="M158" s="832"/>
      <c r="N158" s="832"/>
      <c r="O158" s="48">
        <f>IF(t&lt;Tnet,'2027'!Resal+('2027'!Salim-'2027'!Resal)*(1-EXP(('2027'!Tnet-t)/('2027'!Tau_j))),Resal+(Salim-Resal)*(1-EXP((Tnet-t)/(Tau_j))))*Salcycl</f>
        <v>1.2184925923214992E-2</v>
      </c>
      <c r="P158" s="169">
        <f>(INDEX(Models!$BJ158:$BT158,,T158)*(1-R158)+INDEX(Models!$BJ158:$BT158,,T158+1)*R158-ERP_i)*Q158*Ramure*Pc/MaxiM</f>
        <v>6.2804887004021343E-5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59.254503267150959</v>
      </c>
      <c r="W158" s="400">
        <f t="shared" si="59"/>
        <v>16.405733162153091</v>
      </c>
      <c r="X158" s="157">
        <f t="shared" si="60"/>
        <v>46896</v>
      </c>
      <c r="Y158" s="383">
        <f t="shared" si="61"/>
        <v>15.673984422930294</v>
      </c>
      <c r="Z158" s="383">
        <f t="shared" si="62"/>
        <v>16.734134542023192</v>
      </c>
      <c r="AA158" s="384">
        <f t="shared" si="63"/>
        <v>17.731433183020282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5.6244671860597804E-2</v>
      </c>
      <c r="AD158" s="230">
        <f>(INDEX(Models!$BJ158:$BT158,,AH158)*(1-AF158)+INDEX(Models!$BJ158:$BT158,,AH158+1)*AF158-ERP_i)*AE158*Ramure*Pc/MaxiM</f>
        <v>5.7569970843537768E-4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'2027'!Wh/'2027'!Env_an*'2028'!Env_an</f>
        <v>41.268413973061676</v>
      </c>
      <c r="C159" s="829"/>
      <c r="D159" s="391">
        <f t="shared" si="50"/>
        <v>44.06055336045214</v>
      </c>
      <c r="E159" s="383">
        <f t="shared" si="72"/>
        <v>44.608167266828701</v>
      </c>
      <c r="F159" s="383">
        <f t="shared" si="51"/>
        <v>44.609739862292244</v>
      </c>
      <c r="G159" s="110">
        <f t="shared" si="73"/>
        <v>0.69644561265540872</v>
      </c>
      <c r="H159" s="412" t="b">
        <f>Wh_hp&gt;='2027'!Maxi_hp</f>
        <v>0</v>
      </c>
      <c r="I159" s="388">
        <f>IF(H159,Wh_hp,'2027'!Maxi_hp)</f>
        <v>59.825577923222795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6.3370502057666589E-2</v>
      </c>
      <c r="M159" s="832"/>
      <c r="N159" s="832"/>
      <c r="O159" s="48">
        <f>IF(t&lt;Tnet,'2027'!Resal+('2027'!Salim-'2027'!Resal)*(1-EXP(('2027'!Tnet-t)/('2027'!Tau_j))),Resal+(Salim-Resal)*(1-EXP((Tnet-t)/(Tau_j))))*Salcycl</f>
        <v>1.2276090678663245E-2</v>
      </c>
      <c r="P159" s="169">
        <f>(INDEX(Models!$BJ159:$BT159,,T159)*(1-R159)+INDEX(Models!$BJ159:$BT159,,T159+1)*R159-ERP_i)*Q159*Ramure*Pc/MaxiM</f>
        <v>6.2241658998786492E-5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59.25416051940951</v>
      </c>
      <c r="W159" s="400">
        <f t="shared" si="59"/>
        <v>41.268413973061676</v>
      </c>
      <c r="X159" s="157">
        <f t="shared" si="60"/>
        <v>46897</v>
      </c>
      <c r="Y159" s="383">
        <f t="shared" si="61"/>
        <v>39.41655116643831</v>
      </c>
      <c r="Z159" s="383">
        <f t="shared" si="62"/>
        <v>42.083397173622984</v>
      </c>
      <c r="AA159" s="384">
        <f t="shared" si="63"/>
        <v>44.595290990136064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5.6326436283792455E-2</v>
      </c>
      <c r="AD159" s="230">
        <f>(INDEX(Models!$BJ159:$BT159,,AH159)*(1-AF159)+INDEX(Models!$BJ159:$BT159,,AH159+1)*AF159-ERP_i)*AE159*Ramure*Pc/MaxiM</f>
        <v>5.7187102119317639E-4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'2027'!Wh/'2027'!Env_an*'2028'!Env_an</f>
        <v>25.086087890250973</v>
      </c>
      <c r="C160" s="829"/>
      <c r="D160" s="391">
        <f t="shared" si="50"/>
        <v>26.783876360640605</v>
      </c>
      <c r="E160" s="383">
        <f t="shared" si="72"/>
        <v>27.11926828092092</v>
      </c>
      <c r="F160" s="383">
        <f t="shared" si="51"/>
        <v>27.119563072030797</v>
      </c>
      <c r="G160" s="110">
        <f t="shared" si="73"/>
        <v>0.42336640159135203</v>
      </c>
      <c r="H160" s="412" t="b">
        <f>Wh_hp&gt;='2027'!Maxi_hp</f>
        <v>0</v>
      </c>
      <c r="I160" s="388">
        <f>IF(H160,Wh_hp,'2027'!Maxi_hp)</f>
        <v>62.596709791929555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6.3388452348315139E-2</v>
      </c>
      <c r="M160" s="832"/>
      <c r="N160" s="832"/>
      <c r="O160" s="48">
        <f>IF(t&lt;Tnet,'2027'!Resal+('2027'!Salim-'2027'!Resal)*(1-EXP(('2027'!Tnet-t)/('2027'!Tau_j))),Resal+(Salim-Resal)*(1-EXP((Tnet-t)/(Tau_j))))*Salcycl</f>
        <v>1.2367292391744557E-2</v>
      </c>
      <c r="P160" s="169">
        <f>(INDEX(Models!$BJ160:$BT160,,T160)*(1-R160)+INDEX(Models!$BJ160:$BT160,,T160+1)*R160-ERP_i)*Q160*Ramure*Pc/MaxiM</f>
        <v>6.1667611798452181E-5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59.250836793155322</v>
      </c>
      <c r="W160" s="400">
        <f t="shared" si="59"/>
        <v>25.086087890250973</v>
      </c>
      <c r="X160" s="157">
        <f t="shared" si="60"/>
        <v>46898</v>
      </c>
      <c r="Y160" s="383">
        <f t="shared" si="61"/>
        <v>23.965299198677048</v>
      </c>
      <c r="Z160" s="383">
        <f t="shared" si="62"/>
        <v>25.587234386298075</v>
      </c>
      <c r="AA160" s="384">
        <f t="shared" si="63"/>
        <v>27.116847104876967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5.6408206775034456E-2</v>
      </c>
      <c r="AD160" s="230">
        <f>(INDEX(Models!$BJ160:$BT160,,AH160)*(1-AF160)+INDEX(Models!$BJ160:$BT160,,AH160+1)*AF160-ERP_i)*AE160*Ramure*Pc/MaxiM</f>
        <v>5.6815555994846974E-4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'2027'!Wh/'2027'!Env_an*'2028'!Env_an</f>
        <v>46.186272340612128</v>
      </c>
      <c r="C161" s="829"/>
      <c r="D161" s="391">
        <f t="shared" si="50"/>
        <v>49.313034440746875</v>
      </c>
      <c r="E161" s="383">
        <f t="shared" si="72"/>
        <v>49.93515255562118</v>
      </c>
      <c r="F161" s="383">
        <f t="shared" si="51"/>
        <v>49.937242352323842</v>
      </c>
      <c r="G161" s="110">
        <f t="shared" si="73"/>
        <v>0.77956940090577487</v>
      </c>
      <c r="H161" s="412" t="b">
        <f>Wh_hp&gt;='2027'!Maxi_hp</f>
        <v>0</v>
      </c>
      <c r="I161" s="388">
        <f>IF(H161,Wh_hp,'2027'!Maxi_hp)</f>
        <v>62.270971233570506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6.3406402294950537E-2</v>
      </c>
      <c r="M161" s="832"/>
      <c r="N161" s="832"/>
      <c r="O161" s="48">
        <f>IF(t&lt;Tnet,'2027'!Resal+('2027'!Salim-'2027'!Resal)*(1-EXP(('2027'!Tnet-t)/('2027'!Tau_j))),Resal+(Salim-Resal)*(1-EXP((Tnet-t)/(Tau_j))))*Salcycl</f>
        <v>1.2458520361609868E-2</v>
      </c>
      <c r="P161" s="169">
        <f>(INDEX(Models!$BJ161:$BT161,,T161)*(1-R161)+INDEX(Models!$BJ161:$BT161,,T161+1)*R161-ERP_i)*Q161*Ramure*Pc/MaxiM</f>
        <v>6.1081891858792825E-5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59.244736811455155</v>
      </c>
      <c r="W161" s="400">
        <f t="shared" si="59"/>
        <v>46.186272340612128</v>
      </c>
      <c r="X161" s="157">
        <f t="shared" si="60"/>
        <v>46899</v>
      </c>
      <c r="Y161" s="383">
        <f t="shared" si="61"/>
        <v>44.111747803976087</v>
      </c>
      <c r="Z161" s="383">
        <f t="shared" si="62"/>
        <v>47.098066773106098</v>
      </c>
      <c r="AA161" s="384">
        <f t="shared" si="63"/>
        <v>49.917927260863074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5.6489935429827387E-2</v>
      </c>
      <c r="AD161" s="230">
        <f>(INDEX(Models!$BJ161:$BT161,,AH161)*(1-AF161)+INDEX(Models!$BJ161:$BT161,,AH161+1)*AF161-ERP_i)*AE161*Ramure*Pc/MaxiM</f>
        <v>5.645536364122807E-4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'2027'!Wh/'2027'!Env_an*'2028'!Env_an</f>
        <v>55.552188097743937</v>
      </c>
      <c r="C162" s="829"/>
      <c r="D162" s="391">
        <f t="shared" si="50"/>
        <v>59.314149594106183</v>
      </c>
      <c r="E162" s="383">
        <f t="shared" si="72"/>
        <v>60.067988647025665</v>
      </c>
      <c r="F162" s="383">
        <f t="shared" si="51"/>
        <v>60.071299186630355</v>
      </c>
      <c r="G162" s="110">
        <f t="shared" si="73"/>
        <v>0.93780519281072794</v>
      </c>
      <c r="H162" s="412" t="b">
        <f>Wh_hp&gt;='2027'!Maxi_hp</f>
        <v>0</v>
      </c>
      <c r="I162" s="388">
        <f>IF(H162,Wh_hp,'2027'!Maxi_hp)</f>
        <v>61.405954695216622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6.3424351897579223E-2</v>
      </c>
      <c r="M162" s="832"/>
      <c r="N162" s="832"/>
      <c r="O162" s="48">
        <f>IF(t&lt;Tnet,'2027'!Resal+('2027'!Salim-'2027'!Resal)*(1-EXP(('2027'!Tnet-t)/('2027'!Tau_j))),Resal+(Salim-Resal)*(1-EXP((Tnet-t)/(Tau_j))))*Salcycl</f>
        <v>1.25497635246159E-2</v>
      </c>
      <c r="P162" s="169">
        <f>(INDEX(Models!$BJ162:$BT162,,T162)*(1-R162)+INDEX(Models!$BJ162:$BT162,,T162+1)*R162-ERP_i)*Q162*Ramure*Pc/MaxiM</f>
        <v>6.0483695836472613E-5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59.236065225619882</v>
      </c>
      <c r="W162" s="400">
        <f t="shared" si="59"/>
        <v>55.552188097743937</v>
      </c>
      <c r="X162" s="157">
        <f t="shared" si="60"/>
        <v>46900</v>
      </c>
      <c r="Y162" s="383">
        <f t="shared" si="61"/>
        <v>53.051390001417353</v>
      </c>
      <c r="Z162" s="383">
        <f t="shared" si="62"/>
        <v>56.643998921927803</v>
      </c>
      <c r="AA162" s="384">
        <f t="shared" si="63"/>
        <v>60.040589567038722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5.6571573823711904E-2</v>
      </c>
      <c r="AD162" s="230">
        <f>(INDEX(Models!$BJ162:$BT162,,AH162)*(1-AF162)+INDEX(Models!$BJ162:$BT162,,AH162+1)*AF162-ERP_i)*AE162*Ramure*Pc/MaxiM</f>
        <v>5.6106602319529815E-4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'2027'!Wh/'2027'!Env_an*'2028'!Env_an</f>
        <v>60.065422052407513</v>
      </c>
      <c r="C163" s="829"/>
      <c r="D163" s="391">
        <f t="shared" si="50"/>
        <v>64.134246215219875</v>
      </c>
      <c r="E163" s="383">
        <f t="shared" si="72"/>
        <v>64.955347443560655</v>
      </c>
      <c r="F163" s="383">
        <f t="shared" si="51"/>
        <v>64.959236791876066</v>
      </c>
      <c r="G163" s="110">
        <f t="shared" si="73"/>
        <v>1.0142136258336654</v>
      </c>
      <c r="H163" s="412" t="b">
        <f>Wh_hp&gt;='2027'!Maxi_hp</f>
        <v>1</v>
      </c>
      <c r="I163" s="388">
        <f>IF(H163,Wh_hp,'2027'!Maxi_hp)</f>
        <v>64.959236791876066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6.3442301156207859E-2</v>
      </c>
      <c r="M163" s="832"/>
      <c r="N163" s="832"/>
      <c r="O163" s="48">
        <f>IF(t&lt;Tnet,'2027'!Resal+('2027'!Salim-'2027'!Resal)*(1-EXP(('2027'!Tnet-t)/('2027'!Tau_j))),Resal+(Salim-Resal)*(1-EXP((Tnet-t)/(Tau_j))))*Salcycl</f>
        <v>1.2641010488847327E-2</v>
      </c>
      <c r="P163" s="169">
        <f>(INDEX(Models!$BJ163:$BT163,,T163)*(1-R163)+INDEX(Models!$BJ163:$BT163,,T163+1)*R163-ERP_i)*Q163*Ramure*Pc/MaxiM</f>
        <v>5.9873676285178968E-5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59.223639401447429</v>
      </c>
      <c r="W163" s="400">
        <f t="shared" si="59"/>
        <v>60.065422052407513</v>
      </c>
      <c r="X163" s="157">
        <f t="shared" si="60"/>
        <v>46901</v>
      </c>
      <c r="Y163" s="383">
        <f t="shared" si="61"/>
        <v>57.359401916969539</v>
      </c>
      <c r="Z163" s="383">
        <f t="shared" si="62"/>
        <v>61.244920614908615</v>
      </c>
      <c r="AA163" s="384">
        <f t="shared" si="63"/>
        <v>64.923008570200494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5.6653073175356713E-2</v>
      </c>
      <c r="AD163" s="230">
        <f>(INDEX(Models!$BJ163:$BT163,,AH163)*(1-AF163)+INDEX(Models!$BJ163:$BT163,,AH163+1)*AF163-ERP_i)*AE163*Ramure*Pc/MaxiM</f>
        <v>5.5770700926855679E-4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'2027'!Wh/'2027'!Env_an*'2028'!Env_an</f>
        <v>50.965081544457263</v>
      </c>
      <c r="C164" s="829"/>
      <c r="D164" s="391">
        <f t="shared" si="50"/>
        <v>54.418492699655758</v>
      </c>
      <c r="E164" s="383">
        <f t="shared" si="72"/>
        <v>55.120298091397068</v>
      </c>
      <c r="F164" s="383">
        <f t="shared" si="51"/>
        <v>55.122915118140227</v>
      </c>
      <c r="G164" s="110">
        <f t="shared" si="73"/>
        <v>0.86079326769635101</v>
      </c>
      <c r="H164" s="412" t="b">
        <f>Wh_hp&gt;='2027'!Maxi_hp</f>
        <v>0</v>
      </c>
      <c r="I164" s="388">
        <f>IF(H164,Wh_hp,'2027'!Maxi_hp)</f>
        <v>59.25879141798292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6.3460250070842994E-2</v>
      </c>
      <c r="M164" s="832"/>
      <c r="N164" s="832"/>
      <c r="O164" s="48">
        <f>IF(t&lt;Tnet,'2027'!Resal+('2027'!Salim-'2027'!Resal)*(1-EXP(('2027'!Tnet-t)/('2027'!Tau_j))),Resal+(Salim-Resal)*(1-EXP((Tnet-t)/(Tau_j))))*Salcycl</f>
        <v>1.2732249571249054E-2</v>
      </c>
      <c r="P164" s="169">
        <f>(INDEX(Models!$BJ164:$BT164,,T164)*(1-R164)+INDEX(Models!$BJ164:$BT164,,T164+1)*R164-ERP_i)*Q164*Ramure*Pc/MaxiM</f>
        <v>5.9260236009961416E-5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59.206412101900902</v>
      </c>
      <c r="W164" s="400">
        <f t="shared" si="59"/>
        <v>50.965081544457263</v>
      </c>
      <c r="X164" s="157">
        <f t="shared" si="60"/>
        <v>46902</v>
      </c>
      <c r="Y164" s="383">
        <f t="shared" si="61"/>
        <v>48.674264496008533</v>
      </c>
      <c r="Z164" s="383">
        <f t="shared" si="62"/>
        <v>51.972449113548478</v>
      </c>
      <c r="AA164" s="384">
        <f t="shared" si="63"/>
        <v>55.098424304228217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5.6734384515599486E-2</v>
      </c>
      <c r="AD164" s="230">
        <f>(INDEX(Models!$BJ164:$BT164,,AH164)*(1-AF164)+INDEX(Models!$BJ164:$BT164,,AH164+1)*AF164-ERP_i)*AE164*Ramure*Pc/MaxiM</f>
        <v>5.5457263335082049E-4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'2027'!Wh/'2027'!Env_an*'2028'!Env_an</f>
        <v>55.24819468755932</v>
      </c>
      <c r="C165" s="829"/>
      <c r="D165" s="391">
        <f t="shared" si="50"/>
        <v>58.992961623975937</v>
      </c>
      <c r="E165" s="383">
        <f t="shared" si="72"/>
        <v>59.759282926315024</v>
      </c>
      <c r="F165" s="383">
        <f t="shared" si="51"/>
        <v>59.762455735039609</v>
      </c>
      <c r="G165" s="110">
        <f t="shared" si="73"/>
        <v>0.93348116021984051</v>
      </c>
      <c r="H165" s="412" t="b">
        <f>Wh_hp&gt;='2027'!Maxi_hp</f>
        <v>0</v>
      </c>
      <c r="I165" s="388">
        <f>IF(H165,Wh_hp,'2027'!Maxi_hp)</f>
        <v>62.682352866116169</v>
      </c>
      <c r="J165" s="85">
        <f>IF(H165,An,'2027'!An_max)</f>
        <v>2018</v>
      </c>
      <c r="K165" s="197">
        <f t="shared" si="52"/>
        <v>46903</v>
      </c>
      <c r="L165" s="147">
        <f>IF(t&lt;Tvie,1-EXP((T0-t)*PertePVj)+'2027'!Pspv,1-EXP((T0-t)*PertePVj)+Pspv)</f>
        <v>6.347819864149129E-2</v>
      </c>
      <c r="M165" s="832"/>
      <c r="N165" s="832"/>
      <c r="O165" s="48">
        <f>IF(t&lt;Tnet,'2027'!Resal+('2027'!Salim-'2027'!Resal)*(1-EXP(('2027'!Tnet-t)/('2027'!Tau_j))),Resal+(Salim-Resal)*(1-EXP((Tnet-t)/(Tau_j))))*Salcycl</f>
        <v>1.2823468837201061E-2</v>
      </c>
      <c r="P165" s="169">
        <f>(INDEX(Models!$BJ165:$BT165,,T165)*(1-R165)+INDEX(Models!$BJ165:$BT165,,T165+1)*R165-ERP_i)*Q165*Ramure*Pc/MaxiM</f>
        <v>5.86646150286106E-5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59.18479028459808</v>
      </c>
      <c r="W165" s="400">
        <f t="shared" si="59"/>
        <v>55.24819468755932</v>
      </c>
      <c r="X165" s="157">
        <f t="shared" si="60"/>
        <v>46903</v>
      </c>
      <c r="Y165" s="383">
        <f t="shared" si="61"/>
        <v>52.762595666645957</v>
      </c>
      <c r="Z165" s="383">
        <f t="shared" si="62"/>
        <v>56.338886708359688</v>
      </c>
      <c r="AA165" s="384">
        <f t="shared" si="63"/>
        <v>59.732623098714583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5.6815458861506525E-2</v>
      </c>
      <c r="AD165" s="230">
        <f>(INDEX(Models!$BJ165:$BT165,,AH165)*(1-AF165)+INDEX(Models!$BJ165:$BT165,,AH165+1)*AF165-ERP_i)*AE165*Ramure*Pc/MaxiM</f>
        <v>5.5159963212834343E-4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'2027'!Wh/'2027'!Env_an*'2028'!Env_an</f>
        <v>56.297149704162329</v>
      </c>
      <c r="C166" s="829"/>
      <c r="D166" s="391">
        <f t="shared" si="50"/>
        <v>60.114167727013978</v>
      </c>
      <c r="E166" s="383">
        <f t="shared" si="72"/>
        <v>60.900679055855562</v>
      </c>
      <c r="F166" s="383">
        <f t="shared" si="51"/>
        <v>60.903972288814572</v>
      </c>
      <c r="G166" s="110">
        <f t="shared" si="73"/>
        <v>0.95161768304297656</v>
      </c>
      <c r="H166" s="412" t="b">
        <f>Wh_hp&gt;='2027'!Maxi_hp</f>
        <v>0</v>
      </c>
      <c r="I166" s="388">
        <f>IF(H166,Wh_hp,'2027'!Maxi_hp)</f>
        <v>63.124729427681508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6.3496146868159409E-2</v>
      </c>
      <c r="M166" s="832"/>
      <c r="N166" s="832"/>
      <c r="O166" s="48">
        <f>IF(t&lt;Tnet,'2027'!Resal+('2027'!Salim-'2027'!Resal)*(1-EXP(('2027'!Tnet-t)/('2027'!Tau_j))),Resal+(Salim-Resal)*(1-EXP((Tnet-t)/(Tau_j))))*Salcycl</f>
        <v>1.2914656142343352E-2</v>
      </c>
      <c r="P166" s="169">
        <f>(INDEX(Models!$BJ166:$BT166,,T166)*(1-R166)+INDEX(Models!$BJ166:$BT166,,T166+1)*R166-ERP_i)*Q166*Ramure*Pc/MaxiM</f>
        <v>5.8087069448969905E-5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59.159181979259174</v>
      </c>
      <c r="W166" s="400">
        <f t="shared" si="59"/>
        <v>56.297149704162329</v>
      </c>
      <c r="X166" s="157">
        <f t="shared" si="60"/>
        <v>46904</v>
      </c>
      <c r="Y166" s="383">
        <f t="shared" si="61"/>
        <v>53.764144593562285</v>
      </c>
      <c r="Z166" s="383">
        <f t="shared" si="62"/>
        <v>57.409421663098477</v>
      </c>
      <c r="AA166" s="384">
        <f t="shared" si="63"/>
        <v>60.872858902842196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5.6896247394452634E-2</v>
      </c>
      <c r="AD166" s="230">
        <f>(INDEX(Models!$BJ166:$BT166,,AH166)*(1-AF166)+INDEX(Models!$BJ166:$BT166,,AH166+1)*AF166-ERP_i)*AE166*Ramure*Pc/MaxiM</f>
        <v>5.4878759998593606E-4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'2027'!Wh/'2027'!Env_an*'2028'!Env_an</f>
        <v>44.899445890940314</v>
      </c>
      <c r="C167" s="829"/>
      <c r="D167" s="391">
        <f t="shared" si="50"/>
        <v>47.944604013015123</v>
      </c>
      <c r="E167" s="383">
        <f t="shared" si="72"/>
        <v>48.576378638303332</v>
      </c>
      <c r="F167" s="383">
        <f t="shared" si="51"/>
        <v>48.578212435800232</v>
      </c>
      <c r="G167" s="110">
        <f t="shared" si="73"/>
        <v>0.75931949225776429</v>
      </c>
      <c r="H167" s="412" t="b">
        <f>Wh_hp&gt;='2027'!Maxi_hp</f>
        <v>0</v>
      </c>
      <c r="I167" s="388">
        <f>IF(H167,Wh_hp,'2027'!Maxi_hp)</f>
        <v>62.353294055215706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6.3514094750853789E-2</v>
      </c>
      <c r="M167" s="832"/>
      <c r="N167" s="832"/>
      <c r="O167" s="48">
        <f>IF(t&lt;Tnet,'2027'!Resal+('2027'!Salim-'2027'!Resal)*(1-EXP(('2027'!Tnet-t)/('2027'!Tau_j))),Resal+(Salim-Resal)*(1-EXP((Tnet-t)/(Tau_j))))*Salcycl</f>
        <v>1.3005799176434303E-2</v>
      </c>
      <c r="P167" s="169">
        <f>(INDEX(Models!$BJ167:$BT167,,T167)*(1-R167)+INDEX(Models!$BJ167:$BT167,,T167+1)*R167-ERP_i)*Q167*Ramure*Pc/MaxiM</f>
        <v>5.7527938199055059E-5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59.129995040294936</v>
      </c>
      <c r="W167" s="400">
        <f t="shared" si="59"/>
        <v>44.899445890940314</v>
      </c>
      <c r="X167" s="157">
        <f t="shared" si="60"/>
        <v>46905</v>
      </c>
      <c r="Y167" s="383">
        <f t="shared" si="61"/>
        <v>42.885406539814895</v>
      </c>
      <c r="Z167" s="383">
        <f t="shared" si="62"/>
        <v>45.793969027655038</v>
      </c>
      <c r="AA167" s="384">
        <f t="shared" si="63"/>
        <v>48.560803436512394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5.6976701641163481E-2</v>
      </c>
      <c r="AD167" s="230">
        <f>(INDEX(Models!$BJ167:$BT167,,AH167)*(1-AF167)+INDEX(Models!$BJ167:$BT167,,AH167+1)*AF167-ERP_i)*AE167*Ramure*Pc/MaxiM</f>
        <v>5.4613654824483345E-4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'2027'!Wh/'2027'!Env_an*'2028'!Env_an</f>
        <v>54.91831953658118</v>
      </c>
      <c r="C168" s="829"/>
      <c r="D168" s="391">
        <f t="shared" si="50"/>
        <v>58.644098908468372</v>
      </c>
      <c r="E168" s="383">
        <f t="shared" si="72"/>
        <v>59.422346578280397</v>
      </c>
      <c r="F168" s="383">
        <f t="shared" si="51"/>
        <v>59.425390962056674</v>
      </c>
      <c r="G168" s="110">
        <f t="shared" si="73"/>
        <v>0.92927578824862833</v>
      </c>
      <c r="H168" s="412" t="b">
        <f>Wh_hp&gt;='2027'!Maxi_hp</f>
        <v>0</v>
      </c>
      <c r="I168" s="388">
        <f>IF(H168,Wh_hp,'2027'!Maxi_hp)</f>
        <v>59.425698201149615</v>
      </c>
      <c r="J168" s="85">
        <f>IF(H168,An,'2027'!An_max)</f>
        <v>2026</v>
      </c>
      <c r="K168" s="197">
        <f t="shared" si="52"/>
        <v>46906</v>
      </c>
      <c r="L168" s="147">
        <f>IF(t&lt;Tvie,1-EXP((T0-t)*PertePVj)+'2027'!Pspv,1-EXP((T0-t)*PertePVj)+Pspv)</f>
        <v>6.3532042289581203E-2</v>
      </c>
      <c r="M168" s="832"/>
      <c r="N168" s="832"/>
      <c r="O168" s="48">
        <f>IF(t&lt;Tnet,'2027'!Resal+('2027'!Salim-'2027'!Resal)*(1-EXP(('2027'!Tnet-t)/('2027'!Tau_j))),Resal+(Salim-Resal)*(1-EXP((Tnet-t)/(Tau_j))))*Salcycl</f>
        <v>1.309688550900278E-2</v>
      </c>
      <c r="P168" s="169">
        <f>(INDEX(Models!$BJ168:$BT168,,T168)*(1-R168)+INDEX(Models!$BJ168:$BT168,,T168+1)*R168-ERP_i)*Q168*Ramure*Pc/MaxiM</f>
        <v>5.6987640553518364E-5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59.09763714316211</v>
      </c>
      <c r="W168" s="400">
        <f t="shared" si="59"/>
        <v>54.91831953658118</v>
      </c>
      <c r="X168" s="157">
        <f t="shared" si="60"/>
        <v>46906</v>
      </c>
      <c r="Y168" s="383">
        <f t="shared" si="61"/>
        <v>52.449120838215691</v>
      </c>
      <c r="Z168" s="383">
        <f t="shared" si="62"/>
        <v>56.007384349219109</v>
      </c>
      <c r="AA168" s="384">
        <f t="shared" si="63"/>
        <v>59.396348353239077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5.7056773656610826E-2</v>
      </c>
      <c r="AD168" s="230">
        <f>(INDEX(Models!$BJ168:$BT168,,AH168)*(1-AF168)+INDEX(Models!$BJ168:$BT168,,AH168+1)*AF168-ERP_i)*AE168*Ramure*Pc/MaxiM</f>
        <v>5.4364688346096178E-4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'2027'!Wh/'2027'!Env_an*'2028'!Env_an</f>
        <v>26.181025845819843</v>
      </c>
      <c r="C169" s="829"/>
      <c r="D169" s="391">
        <f t="shared" si="50"/>
        <v>27.95773992399592</v>
      </c>
      <c r="E169" s="383">
        <f t="shared" si="72"/>
        <v>28.331371290129624</v>
      </c>
      <c r="F169" s="383">
        <f t="shared" si="51"/>
        <v>28.331698737698932</v>
      </c>
      <c r="G169" s="110">
        <f t="shared" si="73"/>
        <v>0.44325660230181074</v>
      </c>
      <c r="H169" s="412" t="b">
        <f>Wh_hp&gt;='2027'!Maxi_hp</f>
        <v>0</v>
      </c>
      <c r="I169" s="388">
        <f>IF(H169,Wh_hp,'2027'!Maxi_hp)</f>
        <v>57.206955445857666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6.354998948434798E-2</v>
      </c>
      <c r="M169" s="832"/>
      <c r="N169" s="832"/>
      <c r="O169" s="48">
        <f>IF(t&lt;Tnet,'2027'!Resal+('2027'!Salim-'2027'!Resal)*(1-EXP(('2027'!Tnet-t)/('2027'!Tau_j))),Resal+(Salim-Resal)*(1-EXP((Tnet-t)/(Tau_j))))*Salcycl</f>
        <v>1.3187902636533201E-2</v>
      </c>
      <c r="P169" s="169">
        <f>(INDEX(Models!$BJ169:$BT169,,T169)*(1-R169)+INDEX(Models!$BJ169:$BT169,,T169+1)*R169-ERP_i)*Q169*Ramure*Pc/MaxiM</f>
        <v>5.6466673350482845E-5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59.062515779149471</v>
      </c>
      <c r="W169" s="400">
        <f t="shared" si="59"/>
        <v>26.181025845819843</v>
      </c>
      <c r="X169" s="157">
        <f t="shared" si="60"/>
        <v>46907</v>
      </c>
      <c r="Y169" s="383">
        <f t="shared" si="61"/>
        <v>25.012549137726865</v>
      </c>
      <c r="Z169" s="383">
        <f t="shared" si="62"/>
        <v>26.70996727732836</v>
      </c>
      <c r="AA169" s="384">
        <f t="shared" si="63"/>
        <v>28.328559652177237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5.7136416207609002E-2</v>
      </c>
      <c r="AD169" s="230">
        <f>(INDEX(Models!$BJ169:$BT169,,AH169)*(1-AF169)+INDEX(Models!$BJ169:$BT169,,AH169+1)*AF169-ERP_i)*AE169*Ramure*Pc/MaxiM</f>
        <v>5.4131938480148122E-4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'2027'!Wh/'2027'!Env_an*'2028'!Env_an</f>
        <v>36.076211421558895</v>
      </c>
      <c r="C170" s="829"/>
      <c r="D170" s="391">
        <f t="shared" si="50"/>
        <v>38.525177448933476</v>
      </c>
      <c r="E170" s="383">
        <f t="shared" ref="E170:E232" si="75">Wh_pvt/(1-Psa)</f>
        <v>39.043631507864689</v>
      </c>
      <c r="F170" s="383">
        <f t="shared" si="51"/>
        <v>39.044603748425921</v>
      </c>
      <c r="G170" s="110">
        <f t="shared" ref="G170:G232" si="76">+Wh_hp/MaxiM</f>
        <v>0.61118284302513137</v>
      </c>
      <c r="H170" s="412" t="b">
        <f>Wh_hp&gt;='2027'!Maxi_hp</f>
        <v>0</v>
      </c>
      <c r="I170" s="388">
        <f>IF(H170,Wh_hp,'2027'!Maxi_hp)</f>
        <v>45.501902889660293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6.3567936335161002E-2</v>
      </c>
      <c r="M170" s="832"/>
      <c r="N170" s="832"/>
      <c r="O170" s="48">
        <f>IF(t&lt;Tnet,'2027'!Resal+('2027'!Salim-'2027'!Resal)*(1-EXP(('2027'!Tnet-t)/('2027'!Tau_j))),Resal+(Salim-Resal)*(1-EXP((Tnet-t)/(Tau_j))))*Salcycl</f>
        <v>1.3278838030903389E-2</v>
      </c>
      <c r="P170" s="169">
        <f>(INDEX(Models!$BJ170:$BT170,,T170)*(1-R170)+INDEX(Models!$BJ170:$BT170,,T170+1)*R170-ERP_i)*Q170*Ramure*Pc/MaxiM</f>
        <v>5.6010387211151591E-5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59.025035614218687</v>
      </c>
      <c r="W170" s="400">
        <f t="shared" si="59"/>
        <v>36.076211421558895</v>
      </c>
      <c r="X170" s="157">
        <f t="shared" si="60"/>
        <v>46908</v>
      </c>
      <c r="Y170" s="383">
        <f t="shared" si="61"/>
        <v>34.462400879115144</v>
      </c>
      <c r="Z170" s="383">
        <f t="shared" si="62"/>
        <v>36.801816401119815</v>
      </c>
      <c r="AA170" s="384">
        <f t="shared" si="63"/>
        <v>39.035240438641488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5.7215582955927574E-2</v>
      </c>
      <c r="AD170" s="230">
        <f>(INDEX(Models!$BJ170:$BT170,,AH170)*(1-AF170)+INDEX(Models!$BJ170:$BT170,,AH170+1)*AF170-ERP_i)*AE170*Ramure*Pc/MaxiM</f>
        <v>5.3941650607333626E-4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'2027'!Wh/'2027'!Env_an*'2028'!Env_an</f>
        <v>47.057756206503448</v>
      </c>
      <c r="C171" s="829"/>
      <c r="D171" s="391">
        <f t="shared" si="50"/>
        <v>50.253146918933929</v>
      </c>
      <c r="E171" s="383">
        <f t="shared" si="75"/>
        <v>50.934119759886393</v>
      </c>
      <c r="F171" s="383">
        <f t="shared" si="51"/>
        <v>50.936132911883412</v>
      </c>
      <c r="G171" s="110">
        <f t="shared" si="76"/>
        <v>0.79777090864190359</v>
      </c>
      <c r="H171" s="412" t="b">
        <f>Wh_hp&gt;='2027'!Maxi_hp</f>
        <v>0</v>
      </c>
      <c r="I171" s="388">
        <f>IF(H171,Wh_hp,'2027'!Maxi_hp)</f>
        <v>58.87079114151684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6.3585882842026598E-2</v>
      </c>
      <c r="M171" s="832"/>
      <c r="N171" s="832"/>
      <c r="O171" s="48">
        <f>IF(t&lt;Tnet,'2027'!Resal+('2027'!Salim-'2027'!Resal)*(1-EXP(('2027'!Tnet-t)/('2027'!Tau_j))),Resal+(Salim-Resal)*(1-EXP((Tnet-t)/(Tau_j))))*Salcycl</f>
        <v>1.3369679188777649E-2</v>
      </c>
      <c r="P171" s="169">
        <f>(INDEX(Models!$BJ171:$BT171,,T171)*(1-R171)+INDEX(Models!$BJ171:$BT171,,T171+1)*R171-ERP_i)*Q171*Ramure*Pc/MaxiM</f>
        <v>5.5578644286066144E-5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58.985606177499861</v>
      </c>
      <c r="W171" s="400">
        <f t="shared" si="59"/>
        <v>47.057756206503448</v>
      </c>
      <c r="X171" s="157">
        <f t="shared" si="60"/>
        <v>46909</v>
      </c>
      <c r="Y171" s="383">
        <f t="shared" si="61"/>
        <v>44.947339977001789</v>
      </c>
      <c r="Z171" s="383">
        <f t="shared" si="62"/>
        <v>47.999425845284598</v>
      </c>
      <c r="AA171" s="384">
        <f t="shared" si="63"/>
        <v>50.916656398552973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5.7294228639712605E-2</v>
      </c>
      <c r="AD171" s="230">
        <f>(INDEX(Models!$BJ171:$BT171,,AH171)*(1-AF171)+INDEX(Models!$BJ171:$BT171,,AH171+1)*AF171-ERP_i)*AE171*Ramure*Pc/MaxiM</f>
        <v>5.3770316793130314E-4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'2027'!Wh/'2027'!Env_an*'2028'!Env_an</f>
        <v>28.545505255753884</v>
      </c>
      <c r="C172" s="829"/>
      <c r="D172" s="391">
        <f t="shared" si="50"/>
        <v>30.48443184621355</v>
      </c>
      <c r="E172" s="383">
        <f t="shared" si="75"/>
        <v>30.900363522134615</v>
      </c>
      <c r="F172" s="383">
        <f t="shared" si="51"/>
        <v>30.900812333486751</v>
      </c>
      <c r="G172" s="110">
        <f t="shared" si="76"/>
        <v>0.48425688300720943</v>
      </c>
      <c r="H172" s="412" t="b">
        <f>Wh_hp&gt;='2027'!Maxi_hp</f>
        <v>0</v>
      </c>
      <c r="I172" s="388">
        <f>IF(H172,Wh_hp,'2027'!Maxi_hp)</f>
        <v>52.613805955532094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6.360382900495154E-2</v>
      </c>
      <c r="M172" s="832"/>
      <c r="N172" s="832"/>
      <c r="O172" s="48">
        <f>IF(t&lt;Tnet,'2027'!Resal+('2027'!Salim-'2027'!Resal)*(1-EXP(('2027'!Tnet-t)/('2027'!Tau_j))),Resal+(Salim-Resal)*(1-EXP((Tnet-t)/(Tau_j))))*Salcycl</f>
        <v>1.346041368164236E-2</v>
      </c>
      <c r="P172" s="169">
        <f>(INDEX(Models!$BJ172:$BT172,,T172)*(1-R172)+INDEX(Models!$BJ172:$BT172,,T172+1)*R172-ERP_i)*Q172*Ramure*Pc/MaxiM</f>
        <v>5.5172398074893225E-5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58.944634384809646</v>
      </c>
      <c r="W172" s="400">
        <f t="shared" si="59"/>
        <v>28.545505255753884</v>
      </c>
      <c r="X172" s="157">
        <f t="shared" si="60"/>
        <v>46910</v>
      </c>
      <c r="Y172" s="383">
        <f t="shared" si="61"/>
        <v>27.27146155894394</v>
      </c>
      <c r="Z172" s="383">
        <f t="shared" si="62"/>
        <v>29.123849929847854</v>
      </c>
      <c r="AA172" s="384">
        <f t="shared" si="63"/>
        <v>30.896450651409552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5.7372309251995886E-2</v>
      </c>
      <c r="AD172" s="230">
        <f>(INDEX(Models!$BJ172:$BT172,,AH172)*(1-AF172)+INDEX(Models!$BJ172:$BT172,,AH172+1)*AF172-ERP_i)*AE172*Ramure*Pc/MaxiM</f>
        <v>5.3618175809025945E-4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'2027'!Wh/'2027'!Env_an*'2028'!Env_an</f>
        <v>21.281362131982121</v>
      </c>
      <c r="C173" s="829"/>
      <c r="D173" s="391">
        <f t="shared" si="50"/>
        <v>22.72731419825659</v>
      </c>
      <c r="E173" s="383">
        <f t="shared" si="75"/>
        <v>23.039523453470558</v>
      </c>
      <c r="F173" s="383">
        <f t="shared" si="51"/>
        <v>23.039634000201641</v>
      </c>
      <c r="G173" s="110">
        <f t="shared" si="76"/>
        <v>0.36127988515874687</v>
      </c>
      <c r="H173" s="412" t="b">
        <f>Wh_hp&gt;='2027'!Maxi_hp</f>
        <v>0</v>
      </c>
      <c r="I173" s="388">
        <f>IF(H173,Wh_hp,'2027'!Maxi_hp)</f>
        <v>63.747853574878313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6.3621774823942379E-2</v>
      </c>
      <c r="M173" s="832"/>
      <c r="N173" s="832"/>
      <c r="O173" s="48">
        <f>IF(t&lt;Tnet,'2027'!Resal+('2027'!Salim-'2027'!Resal)*(1-EXP(('2027'!Tnet-t)/('2027'!Tau_j))),Resal+(Salim-Resal)*(1-EXP((Tnet-t)/(Tau_j))))*Salcycl</f>
        <v>1.3551029206159155E-2</v>
      </c>
      <c r="P173" s="169">
        <f>(INDEX(Models!$BJ173:$BT173,,T173)*(1-R173)+INDEX(Models!$BJ173:$BT173,,T173+1)*R173-ERP_i)*Q173*Ramure*Pc/MaxiM</f>
        <v>5.4792665924240467E-5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58.902526957202667</v>
      </c>
      <c r="W173" s="400">
        <f t="shared" si="59"/>
        <v>21.281362131982121</v>
      </c>
      <c r="X173" s="157">
        <f t="shared" si="60"/>
        <v>46911</v>
      </c>
      <c r="Y173" s="383">
        <f t="shared" si="61"/>
        <v>20.333448425232085</v>
      </c>
      <c r="Z173" s="383">
        <f t="shared" si="62"/>
        <v>21.714994943852943</v>
      </c>
      <c r="AA173" s="384">
        <f t="shared" si="63"/>
        <v>23.038554905737495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5.7449782215070036E-2</v>
      </c>
      <c r="AD173" s="230">
        <f>(INDEX(Models!$BJ173:$BT173,,AH173)*(1-AF173)+INDEX(Models!$BJ173:$BT173,,AH173+1)*AF173-ERP_i)*AE173*Ramure*Pc/MaxiM</f>
        <v>5.3485491516543928E-4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'2027'!Wh/'2027'!Env_an*'2028'!Env_an</f>
        <v>46.36546404150851</v>
      </c>
      <c r="C174" s="829"/>
      <c r="D174" s="391">
        <f t="shared" si="50"/>
        <v>49.516692502499446</v>
      </c>
      <c r="E174" s="383">
        <f t="shared" si="75"/>
        <v>50.201517183632589</v>
      </c>
      <c r="F174" s="383">
        <f t="shared" si="51"/>
        <v>50.203421485657245</v>
      </c>
      <c r="G174" s="110">
        <f t="shared" si="76"/>
        <v>0.78771563768522557</v>
      </c>
      <c r="H174" s="412" t="b">
        <f>Wh_hp&gt;='2027'!Maxi_hp</f>
        <v>0</v>
      </c>
      <c r="I174" s="388">
        <f>IF(H174,Wh_hp,'2027'!Maxi_hp)</f>
        <v>60.451525350346095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6.3639720299005664E-2</v>
      </c>
      <c r="M174" s="832"/>
      <c r="N174" s="832"/>
      <c r="O174" s="48">
        <f>IF(t&lt;Tnet,'2027'!Resal+('2027'!Salim-'2027'!Resal)*(1-EXP(('2027'!Tnet-t)/('2027'!Tau_j))),Resal+(Salim-Resal)*(1-EXP((Tnet-t)/(Tau_j))))*Salcycl</f>
        <v>1.3641513634500727E-2</v>
      </c>
      <c r="P174" s="169">
        <f>(INDEX(Models!$BJ174:$BT174,,T174)*(1-R174)+INDEX(Models!$BJ174:$BT174,,T174+1)*R174-ERP_i)*Q174*Ramure*Pc/MaxiM</f>
        <v>5.4440523385390434E-5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58.859690421147178</v>
      </c>
      <c r="W174" s="400">
        <f t="shared" si="59"/>
        <v>46.36546404150851</v>
      </c>
      <c r="X174" s="157">
        <f t="shared" si="60"/>
        <v>46912</v>
      </c>
      <c r="Y174" s="383">
        <f t="shared" si="61"/>
        <v>44.287775199551632</v>
      </c>
      <c r="Z174" s="383">
        <f t="shared" si="62"/>
        <v>47.297793551958378</v>
      </c>
      <c r="AA174" s="384">
        <f t="shared" si="63"/>
        <v>50.184752037186634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5.7526606549515941E-2</v>
      </c>
      <c r="AD174" s="230">
        <f>(INDEX(Models!$BJ174:$BT174,,AH174)*(1-AF174)+INDEX(Models!$BJ174:$BT174,,AH174+1)*AF174-ERP_i)*AE174*Ramure*Pc/MaxiM</f>
        <v>5.3372549779332813E-4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'2027'!Wh/'2027'!Env_an*'2028'!Env_an</f>
        <v>57.841766795390114</v>
      </c>
      <c r="C175" s="829"/>
      <c r="D175" s="391">
        <f t="shared" si="50"/>
        <v>61.774165985950162</v>
      </c>
      <c r="E175" s="383">
        <f t="shared" si="75"/>
        <v>62.634250434986171</v>
      </c>
      <c r="F175" s="383">
        <f t="shared" si="51"/>
        <v>62.637559943077797</v>
      </c>
      <c r="G175" s="110">
        <f t="shared" si="76"/>
        <v>0.98342577494803263</v>
      </c>
      <c r="H175" s="412" t="b">
        <f>Wh_hp&gt;='2027'!Maxi_hp</f>
        <v>0</v>
      </c>
      <c r="I175" s="388">
        <f>IF(H175,Wh_hp,'2027'!Maxi_hp)</f>
        <v>62.637631128443779</v>
      </c>
      <c r="J175" s="85">
        <f>IF(H175,An,'2027'!An_max)</f>
        <v>2026</v>
      </c>
      <c r="K175" s="197">
        <f t="shared" si="52"/>
        <v>46913</v>
      </c>
      <c r="L175" s="147">
        <f>IF(t&lt;Tvie,1-EXP((T0-t)*PertePVj)+'2027'!Pspv,1-EXP((T0-t)*PertePVj)+Pspv)</f>
        <v>6.3657665430148058E-2</v>
      </c>
      <c r="M175" s="832"/>
      <c r="N175" s="832"/>
      <c r="O175" s="48">
        <f>IF(t&lt;Tnet,'2027'!Resal+('2027'!Salim-'2027'!Resal)*(1-EXP(('2027'!Tnet-t)/('2027'!Tau_j))),Resal+(Salim-Resal)*(1-EXP((Tnet-t)/(Tau_j))))*Salcycl</f>
        <v>1.3731855064327243E-2</v>
      </c>
      <c r="P175" s="169">
        <f>(INDEX(Models!$BJ175:$BT175,,T175)*(1-R175)+INDEX(Models!$BJ175:$BT175,,T175+1)*R175-ERP_i)*Q175*Ramure*Pc/MaxiM</f>
        <v>5.4117098189756893E-5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58.816531104536182</v>
      </c>
      <c r="W175" s="400">
        <f t="shared" si="59"/>
        <v>57.841766795390114</v>
      </c>
      <c r="X175" s="157">
        <f t="shared" si="60"/>
        <v>46913</v>
      </c>
      <c r="Y175" s="383">
        <f t="shared" si="61"/>
        <v>55.243035358654168</v>
      </c>
      <c r="Z175" s="383">
        <f t="shared" si="62"/>
        <v>58.998758594026796</v>
      </c>
      <c r="AA175" s="384">
        <f t="shared" si="63"/>
        <v>62.604976996790761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5.7602743036689039E-2</v>
      </c>
      <c r="AD175" s="230">
        <f>(INDEX(Models!$BJ175:$BT175,,AH175)*(1-AF175)+INDEX(Models!$BJ175:$BT175,,AH175+1)*AF175-ERP_i)*AE175*Ramure*Pc/MaxiM</f>
        <v>5.3279655305496141E-4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'2027'!Wh/'2027'!Env_an*'2028'!Env_an</f>
        <v>55.896287302657221</v>
      </c>
      <c r="C176" s="829"/>
      <c r="D176" s="391">
        <f t="shared" si="50"/>
        <v>59.69756626294231</v>
      </c>
      <c r="E176" s="383">
        <f t="shared" si="75"/>
        <v>60.53427352607212</v>
      </c>
      <c r="F176" s="383">
        <f t="shared" si="51"/>
        <v>60.537303992505855</v>
      </c>
      <c r="G176" s="110">
        <f t="shared" si="76"/>
        <v>0.95104289454640345</v>
      </c>
      <c r="H176" s="412" t="b">
        <f>Wh_hp&gt;='2027'!Maxi_hp</f>
        <v>0</v>
      </c>
      <c r="I176" s="388">
        <f>IF(H176,Wh_hp,'2027'!Maxi_hp)</f>
        <v>60.537505782568182</v>
      </c>
      <c r="J176" s="85">
        <f>IF(H176,An,'2027'!An_max)</f>
        <v>2026</v>
      </c>
      <c r="K176" s="197">
        <f t="shared" si="52"/>
        <v>46914</v>
      </c>
      <c r="L176" s="147">
        <f>IF(t&lt;Tvie,1-EXP((T0-t)*PertePVj)+'2027'!Pspv,1-EXP((T0-t)*PertePVj)+Pspv)</f>
        <v>6.3675610217376E-2</v>
      </c>
      <c r="M176" s="832"/>
      <c r="N176" s="832"/>
      <c r="O176" s="48">
        <f>IF(t&lt;Tnet,'2027'!Resal+('2027'!Salim-'2027'!Resal)*(1-EXP(('2027'!Tnet-t)/('2027'!Tau_j))),Resal+(Salim-Resal)*(1-EXP((Tnet-t)/(Tau_j))))*Salcycl</f>
        <v>1.3822041868057451E-2</v>
      </c>
      <c r="P176" s="169">
        <f>(INDEX(Models!$BJ176:$BT176,,T176)*(1-R176)+INDEX(Models!$BJ176:$BT176,,T176+1)*R176-ERP_i)*Q176*Ramure*Pc/MaxiM</f>
        <v>5.3823563856174482E-5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58.77345513517546</v>
      </c>
      <c r="W176" s="400">
        <f t="shared" si="59"/>
        <v>55.896287302657221</v>
      </c>
      <c r="X176" s="157">
        <f t="shared" si="60"/>
        <v>46914</v>
      </c>
      <c r="Y176" s="383">
        <f t="shared" si="61"/>
        <v>53.386776960116784</v>
      </c>
      <c r="Z176" s="383">
        <f t="shared" si="62"/>
        <v>57.01739433756606</v>
      </c>
      <c r="AA176" s="384">
        <f t="shared" si="63"/>
        <v>60.507346404198373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5.7678154373502002E-2</v>
      </c>
      <c r="AD176" s="230">
        <f>(INDEX(Models!$BJ176:$BT176,,AH176)*(1-AF176)+INDEX(Models!$BJ176:$BT176,,AH176+1)*AF176-ERP_i)*AE176*Ramure*Pc/MaxiM</f>
        <v>5.3207128424054978E-4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'2027'!Wh/'2027'!Env_an*'2028'!Env_an</f>
        <v>43.389233676351068</v>
      </c>
      <c r="C177" s="829"/>
      <c r="D177" s="391">
        <f t="shared" si="50"/>
        <v>46.340846944215414</v>
      </c>
      <c r="E177" s="383">
        <f t="shared" si="75"/>
        <v>46.99463931485851</v>
      </c>
      <c r="F177" s="383">
        <f t="shared" si="51"/>
        <v>46.996217225018512</v>
      </c>
      <c r="G177" s="110">
        <f t="shared" si="76"/>
        <v>0.73877870884842445</v>
      </c>
      <c r="H177" s="412" t="b">
        <f>Wh_hp&gt;='2027'!Maxi_hp</f>
        <v>0</v>
      </c>
      <c r="I177" s="388">
        <f>IF(H177,Wh_hp,'2027'!Maxi_hp)</f>
        <v>56.41651381708197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6.3693554660696372E-2</v>
      </c>
      <c r="M177" s="832"/>
      <c r="N177" s="832"/>
      <c r="O177" s="48">
        <f>IF(t&lt;Tnet,'2027'!Resal+('2027'!Salim-'2027'!Resal)*(1-EXP(('2027'!Tnet-t)/('2027'!Tau_j))),Resal+(Salim-Resal)*(1-EXP((Tnet-t)/(Tau_j))))*Salcycl</f>
        <v>1.3912062741087671E-2</v>
      </c>
      <c r="P177" s="169">
        <f>(INDEX(Models!$BJ177:$BT177,,T177)*(1-R177)+INDEX(Models!$BJ177:$BT177,,T177+1)*R177-ERP_i)*Q177*Ramure*Pc/MaxiM</f>
        <v>5.3562057174306041E-5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58.729854983238113</v>
      </c>
      <c r="W177" s="400">
        <f t="shared" si="59"/>
        <v>43.389233676351068</v>
      </c>
      <c r="X177" s="157">
        <f t="shared" si="60"/>
        <v>46915</v>
      </c>
      <c r="Y177" s="383">
        <f t="shared" si="61"/>
        <v>41.44775707156407</v>
      </c>
      <c r="Z177" s="383">
        <f t="shared" si="62"/>
        <v>44.267298679700978</v>
      </c>
      <c r="AA177" s="384">
        <f t="shared" si="63"/>
        <v>46.980557681213114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5.7752805318382359E-2</v>
      </c>
      <c r="AD177" s="230">
        <f>(INDEX(Models!$BJ177:$BT177,,AH177)*(1-AF177)+INDEX(Models!$BJ177:$BT177,,AH177+1)*AF177-ERP_i)*AE177*Ramure*Pc/MaxiM</f>
        <v>5.3156219022491629E-4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'2027'!Wh/'2027'!Env_an*'2028'!Env_an</f>
        <v>54.56542441116563</v>
      </c>
      <c r="C178" s="829"/>
      <c r="D178" s="391">
        <f t="shared" si="50"/>
        <v>58.278430568042971</v>
      </c>
      <c r="E178" s="383">
        <f t="shared" si="75"/>
        <v>59.106027655557071</v>
      </c>
      <c r="F178" s="383">
        <f t="shared" si="51"/>
        <v>59.108866068462071</v>
      </c>
      <c r="G178" s="110">
        <f t="shared" si="76"/>
        <v>0.92979928328520367</v>
      </c>
      <c r="H178" s="412" t="b">
        <f>Wh_hp&gt;='2027'!Maxi_hp</f>
        <v>0</v>
      </c>
      <c r="I178" s="388">
        <f>IF(H178,Wh_hp,'2027'!Maxi_hp)</f>
        <v>64.279104061315721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6.3711498760115393E-2</v>
      </c>
      <c r="M178" s="832"/>
      <c r="N178" s="832"/>
      <c r="O178" s="48">
        <f>IF(t&lt;Tnet,'2027'!Resal+('2027'!Salim-'2027'!Resal)*(1-EXP(('2027'!Tnet-t)/('2027'!Tau_j))),Resal+(Salim-Resal)*(1-EXP((Tnet-t)/(Tau_j))))*Salcycl</f>
        <v>1.4001906748613756E-2</v>
      </c>
      <c r="P178" s="169">
        <f>(INDEX(Models!$BJ178:$BT178,,T178)*(1-R178)+INDEX(Models!$BJ178:$BT178,,T178+1)*R178-ERP_i)*Q178*Ramure*Pc/MaxiM</f>
        <v>5.3372235154818235E-5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58.684850952053488</v>
      </c>
      <c r="W178" s="400">
        <f t="shared" si="59"/>
        <v>54.56542441116563</v>
      </c>
      <c r="X178" s="157">
        <f t="shared" si="60"/>
        <v>46916</v>
      </c>
      <c r="Y178" s="383">
        <f t="shared" si="61"/>
        <v>52.117718803954425</v>
      </c>
      <c r="Z178" s="383">
        <f t="shared" si="62"/>
        <v>55.664166263857005</v>
      </c>
      <c r="AA178" s="384">
        <f t="shared" si="63"/>
        <v>59.080600211950106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5.7826662827336395E-2</v>
      </c>
      <c r="AD178" s="230">
        <f>(INDEX(Models!$BJ178:$BT178,,AH178)*(1-AF178)+INDEX(Models!$BJ178:$BT178,,AH178+1)*AF178-ERP_i)*AE178*Ramure*Pc/MaxiM</f>
        <v>5.3149840812528448E-4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'2027'!Wh/'2027'!Env_an*'2028'!Env_an</f>
        <v>48.506544645360925</v>
      </c>
      <c r="C179" s="829"/>
      <c r="D179" s="391">
        <f t="shared" si="50"/>
        <v>51.808255912363457</v>
      </c>
      <c r="E179" s="383">
        <f t="shared" si="75"/>
        <v>52.548749952369214</v>
      </c>
      <c r="F179" s="383">
        <f t="shared" si="51"/>
        <v>52.550857455567531</v>
      </c>
      <c r="G179" s="110">
        <f t="shared" si="76"/>
        <v>0.82720316820413164</v>
      </c>
      <c r="H179" s="412" t="b">
        <f>Wh_hp&gt;='2027'!Maxi_hp</f>
        <v>0</v>
      </c>
      <c r="I179" s="388">
        <f>IF(H179,Wh_hp,'2027'!Maxi_hp)</f>
        <v>56.161235442538548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6.3729442515639945E-2</v>
      </c>
      <c r="M179" s="832"/>
      <c r="N179" s="832"/>
      <c r="O179" s="48">
        <f>IF(t&lt;Tnet,'2027'!Resal+('2027'!Salim-'2027'!Resal)*(1-EXP(('2027'!Tnet-t)/('2027'!Tau_j))),Resal+(Salim-Resal)*(1-EXP((Tnet-t)/(Tau_j))))*Salcycl</f>
        <v>1.409156337071666E-2</v>
      </c>
      <c r="P179" s="169">
        <f>(INDEX(Models!$BJ179:$BT179,,T179)*(1-R179)+INDEX(Models!$BJ179:$BT179,,T179+1)*R179-ERP_i)*Q179*Ramure*Pc/MaxiM</f>
        <v>5.3247534986722173E-5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58.6384445080948</v>
      </c>
      <c r="W179" s="400">
        <f t="shared" si="59"/>
        <v>48.506544645360925</v>
      </c>
      <c r="X179" s="157">
        <f t="shared" si="60"/>
        <v>46917</v>
      </c>
      <c r="Y179" s="383">
        <f t="shared" si="61"/>
        <v>46.33448435322795</v>
      </c>
      <c r="Z179" s="383">
        <f t="shared" si="62"/>
        <v>49.488349262763123</v>
      </c>
      <c r="AA179" s="384">
        <f t="shared" si="63"/>
        <v>52.529809259218602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5.7899696179112392E-2</v>
      </c>
      <c r="AD179" s="230">
        <f>(INDEX(Models!$BJ179:$BT179,,AH179)*(1-AF179)+INDEX(Models!$BJ179:$BT179,,AH179+1)*AF179-ERP_i)*AE179*Ramure*Pc/MaxiM</f>
        <v>5.3179732889293218E-4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'2027'!Wh/'2027'!Env_an*'2028'!Env_an</f>
        <v>54.682411868341561</v>
      </c>
      <c r="C180" s="829"/>
      <c r="D180" s="391">
        <f t="shared" si="50"/>
        <v>58.405617294323619</v>
      </c>
      <c r="E180" s="383">
        <f t="shared" si="75"/>
        <v>59.245783079898388</v>
      </c>
      <c r="F180" s="383">
        <f t="shared" si="51"/>
        <v>59.248634237365671</v>
      </c>
      <c r="G180" s="110">
        <f t="shared" si="76"/>
        <v>0.93329135693282073</v>
      </c>
      <c r="H180" s="412" t="b">
        <f>Wh_hp&gt;='2027'!Maxi_hp</f>
        <v>0</v>
      </c>
      <c r="I180" s="388">
        <f>IF(H180,Wh_hp,'2027'!Maxi_hp)</f>
        <v>59.248898513062265</v>
      </c>
      <c r="J180" s="85">
        <f>IF(H180,An,'2027'!An_max)</f>
        <v>2026</v>
      </c>
      <c r="K180" s="197">
        <f t="shared" si="52"/>
        <v>46918</v>
      </c>
      <c r="L180" s="147">
        <f>IF(t&lt;Tvie,1-EXP((T0-t)*PertePVj)+'2027'!Pspv,1-EXP((T0-t)*PertePVj)+Pspv)</f>
        <v>6.3747385927276468E-2</v>
      </c>
      <c r="M180" s="832"/>
      <c r="N180" s="832"/>
      <c r="O180" s="48">
        <f>IF(t&lt;Tnet,'2027'!Resal+('2027'!Salim-'2027'!Resal)*(1-EXP(('2027'!Tnet-t)/('2027'!Tau_j))),Resal+(Salim-Resal)*(1-EXP((Tnet-t)/(Tau_j))))*Salcycl</f>
        <v>1.4181022545380678E-2</v>
      </c>
      <c r="P180" s="169">
        <f>(INDEX(Models!$BJ180:$BT180,,T180)*(1-R180)+INDEX(Models!$BJ180:$BT180,,T180+1)*R180-ERP_i)*Q180*Ramure*Pc/MaxiM</f>
        <v>5.3190502715767971E-5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58.590636553045918</v>
      </c>
      <c r="W180" s="400">
        <f t="shared" si="59"/>
        <v>54.682411868341561</v>
      </c>
      <c r="X180" s="157">
        <f t="shared" si="60"/>
        <v>46918</v>
      </c>
      <c r="Y180" s="383">
        <f t="shared" si="61"/>
        <v>52.230717566940179</v>
      </c>
      <c r="Z180" s="383">
        <f t="shared" si="62"/>
        <v>55.786992508074484</v>
      </c>
      <c r="AA180" s="384">
        <f t="shared" si="63"/>
        <v>59.220092427449899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5.7971877088528315E-2</v>
      </c>
      <c r="AD180" s="230">
        <f>(INDEX(Models!$BJ180:$BT180,,AH180)*(1-AF180)+INDEX(Models!$BJ180:$BT180,,AH180+1)*AF180-ERP_i)*AE180*Ramure*Pc/MaxiM</f>
        <v>5.3246908852202374E-4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'2027'!Wh/'2027'!Env_an*'2028'!Env_an</f>
        <v>52.520244497194376</v>
      </c>
      <c r="C181" s="829"/>
      <c r="D181" s="391">
        <f t="shared" si="50"/>
        <v>56.097307783761472</v>
      </c>
      <c r="E181" s="383">
        <f t="shared" si="75"/>
        <v>56.909420852869125</v>
      </c>
      <c r="F181" s="383">
        <f t="shared" si="51"/>
        <v>56.912003877322185</v>
      </c>
      <c r="G181" s="110">
        <f t="shared" si="76"/>
        <v>0.8971396110251314</v>
      </c>
      <c r="H181" s="412" t="b">
        <f>Wh_hp&gt;='2027'!Maxi_hp</f>
        <v>0</v>
      </c>
      <c r="I181" s="388">
        <f>IF(H181,Wh_hp,'2027'!Maxi_hp)</f>
        <v>63.760579589282713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6.3765328995031623E-2</v>
      </c>
      <c r="M181" s="832"/>
      <c r="N181" s="832"/>
      <c r="O181" s="48">
        <f>IF(t&lt;Tnet,'2027'!Resal+('2027'!Salim-'2027'!Resal)*(1-EXP(('2027'!Tnet-t)/('2027'!Tau_j))),Resal+(Salim-Resal)*(1-EXP((Tnet-t)/(Tau_j))))*Salcycl</f>
        <v>1.4270274709125039E-2</v>
      </c>
      <c r="P181" s="169">
        <f>(INDEX(Models!$BJ181:$BT181,,T181)*(1-R181)+INDEX(Models!$BJ181:$BT181,,T181+1)*R181-ERP_i)*Q181*Ramure*Pc/MaxiM</f>
        <v>5.3203683141764307E-5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58.541427957804743</v>
      </c>
      <c r="W181" s="400">
        <f t="shared" si="59"/>
        <v>52.520244497194376</v>
      </c>
      <c r="X181" s="157">
        <f t="shared" si="60"/>
        <v>46919</v>
      </c>
      <c r="Y181" s="383">
        <f t="shared" si="61"/>
        <v>50.167433817799449</v>
      </c>
      <c r="Z181" s="383">
        <f t="shared" si="62"/>
        <v>53.58425122618987</v>
      </c>
      <c r="AA181" s="384">
        <f t="shared" si="63"/>
        <v>56.886101440634114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5.8043179807110289E-2</v>
      </c>
      <c r="AD181" s="230">
        <f>(INDEX(Models!$BJ181:$BT181,,AH181)*(1-AF181)+INDEX(Models!$BJ181:$BT181,,AH181+1)*AF181-ERP_i)*AE181*Ramure*Pc/MaxiM</f>
        <v>5.3352380482500758E-4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'2027'!Wh/'2027'!Env_an*'2028'!Env_an</f>
        <v>52.661203108656679</v>
      </c>
      <c r="C182" s="829"/>
      <c r="D182" s="391">
        <f t="shared" si="50"/>
        <v>56.248944841376272</v>
      </c>
      <c r="E182" s="383">
        <f t="shared" si="75"/>
        <v>57.068407848528665</v>
      </c>
      <c r="F182" s="383">
        <f t="shared" si="51"/>
        <v>57.071016116453421</v>
      </c>
      <c r="G182" s="110">
        <f t="shared" si="76"/>
        <v>0.90032596436944345</v>
      </c>
      <c r="H182" s="412" t="b">
        <f>Wh_hp&gt;='2027'!Maxi_hp</f>
        <v>0</v>
      </c>
      <c r="I182" s="388">
        <f>IF(H182,Wh_hp,'2027'!Maxi_hp)</f>
        <v>62.238525909161851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6.378327171891196E-2</v>
      </c>
      <c r="M182" s="832"/>
      <c r="N182" s="832"/>
      <c r="O182" s="48">
        <f>IF(t&lt;Tnet,'2027'!Resal+('2027'!Salim-'2027'!Resal)*(1-EXP(('2027'!Tnet-t)/('2027'!Tau_j))),Resal+(Salim-Resal)*(1-EXP((Tnet-t)/(Tau_j))))*Salcycl</f>
        <v>1.4359310834944242E-2</v>
      </c>
      <c r="P182" s="169">
        <f>(INDEX(Models!$BJ182:$BT182,,T182)*(1-R182)+INDEX(Models!$BJ182:$BT182,,T182+1)*R182-ERP_i)*Q182*Ramure*Pc/MaxiM</f>
        <v>5.3289613005887368E-5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58.490819557945684</v>
      </c>
      <c r="W182" s="400">
        <f t="shared" si="59"/>
        <v>52.661203108656679</v>
      </c>
      <c r="X182" s="157">
        <f t="shared" si="60"/>
        <v>46920</v>
      </c>
      <c r="Y182" s="383">
        <f t="shared" si="61"/>
        <v>50.302692990610169</v>
      </c>
      <c r="Z182" s="383">
        <f t="shared" si="62"/>
        <v>53.729752386465989</v>
      </c>
      <c r="AA182" s="384">
        <f t="shared" si="63"/>
        <v>57.044831855104192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5.8113581210277258E-2</v>
      </c>
      <c r="AD182" s="230">
        <f>(INDEX(Models!$BJ182:$BT182,,AH182)*(1-AF182)+INDEX(Models!$BJ182:$BT182,,AH182+1)*AF182-ERP_i)*AE182*Ramure*Pc/MaxiM</f>
        <v>5.3497155752339309E-4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'2027'!Wh/'2027'!Env_an*'2028'!Env_an</f>
        <v>55.06405906948099</v>
      </c>
      <c r="C183" s="829"/>
      <c r="D183" s="391">
        <f t="shared" si="50"/>
        <v>58.816631573050742</v>
      </c>
      <c r="E183" s="383">
        <f t="shared" si="75"/>
        <v>59.678879330324719</v>
      </c>
      <c r="F183" s="383">
        <f t="shared" si="51"/>
        <v>59.681806199970005</v>
      </c>
      <c r="G183" s="110">
        <f t="shared" si="76"/>
        <v>0.94224735612664179</v>
      </c>
      <c r="H183" s="412" t="b">
        <f>Wh_hp&gt;='2027'!Maxi_hp</f>
        <v>0</v>
      </c>
      <c r="I183" s="388">
        <f>IF(H183,Wh_hp,'2027'!Maxi_hp)</f>
        <v>59.682036704515475</v>
      </c>
      <c r="J183" s="85">
        <f>IF(H183,An,'2027'!An_max)</f>
        <v>2026</v>
      </c>
      <c r="K183" s="197">
        <f t="shared" si="52"/>
        <v>46921</v>
      </c>
      <c r="L183" s="147">
        <f>IF(t&lt;Tvie,1-EXP((T0-t)*PertePVj)+'2027'!Pspv,1-EXP((T0-t)*PertePVj)+Pspv)</f>
        <v>6.3801214098924142E-2</v>
      </c>
      <c r="M183" s="832"/>
      <c r="N183" s="832"/>
      <c r="O183" s="48">
        <f>IF(t&lt;Tnet,'2027'!Resal+('2027'!Salim-'2027'!Resal)*(1-EXP(('2027'!Tnet-t)/('2027'!Tau_j))),Resal+(Salim-Resal)*(1-EXP((Tnet-t)/(Tau_j))))*Salcycl</f>
        <v>1.4448122467270204E-2</v>
      </c>
      <c r="P183" s="169">
        <f>(INDEX(Models!$BJ183:$BT183,,T183)*(1-R183)+INDEX(Models!$BJ183:$BT183,,T183+1)*R183-ERP_i)*Q183*Ramure*Pc/MaxiM</f>
        <v>5.3450814518363704E-5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58.438812155154018</v>
      </c>
      <c r="W183" s="400">
        <f t="shared" si="59"/>
        <v>55.06405906948099</v>
      </c>
      <c r="X183" s="157">
        <f t="shared" si="60"/>
        <v>46921</v>
      </c>
      <c r="Y183" s="383">
        <f t="shared" si="61"/>
        <v>52.597193393603739</v>
      </c>
      <c r="Z183" s="383">
        <f t="shared" si="62"/>
        <v>56.181650933225477</v>
      </c>
      <c r="AA183" s="384">
        <f t="shared" si="63"/>
        <v>59.652410780748134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5.8183060870404701E-2</v>
      </c>
      <c r="AD183" s="230">
        <f>(INDEX(Models!$BJ183:$BT183,,AH183)*(1-AF183)+INDEX(Models!$BJ183:$BT183,,AH183+1)*AF183-ERP_i)*AE183*Ramure*Pc/MaxiM</f>
        <v>5.3682237029159237E-4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'2027'!Wh/'2027'!Env_an*'2028'!Env_an</f>
        <v>56.402610878972396</v>
      </c>
      <c r="C184" s="829"/>
      <c r="D184" s="391">
        <f t="shared" si="50"/>
        <v>60.247559270834984</v>
      </c>
      <c r="E184" s="383">
        <f t="shared" si="75"/>
        <v>61.136279126832072</v>
      </c>
      <c r="F184" s="383">
        <f t="shared" si="51"/>
        <v>61.139404740619412</v>
      </c>
      <c r="G184" s="110">
        <f t="shared" si="76"/>
        <v>0.96603705363892434</v>
      </c>
      <c r="H184" s="412" t="b">
        <f>Wh_hp&gt;='2027'!Maxi_hp</f>
        <v>0</v>
      </c>
      <c r="I184" s="388">
        <f>IF(H184,Wh_hp,'2027'!Maxi_hp)</f>
        <v>61.139544099093641</v>
      </c>
      <c r="J184" s="85">
        <f>IF(H184,An,'2027'!An_max)</f>
        <v>2026</v>
      </c>
      <c r="K184" s="197">
        <f t="shared" si="52"/>
        <v>46922</v>
      </c>
      <c r="L184" s="147">
        <f>IF(t&lt;Tvie,1-EXP((T0-t)*PertePVj)+'2027'!Pspv,1-EXP((T0-t)*PertePVj)+Pspv)</f>
        <v>6.3819156135074717E-2</v>
      </c>
      <c r="M184" s="832"/>
      <c r="N184" s="832"/>
      <c r="O184" s="48">
        <f>IF(t&lt;Tnet,'2027'!Resal+('2027'!Salim-'2027'!Resal)*(1-EXP(('2027'!Tnet-t)/('2027'!Tau_j))),Resal+(Salim-Resal)*(1-EXP((Tnet-t)/(Tau_j))))*Salcycl</f>
        <v>1.4536701753689792E-2</v>
      </c>
      <c r="P184" s="169">
        <f>(INDEX(Models!$BJ184:$BT184,,T184)*(1-R184)+INDEX(Models!$BJ184:$BT184,,T184+1)*R184-ERP_i)*Q184*Ramure*Pc/MaxiM</f>
        <v>5.372941534832902E-5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58.385404199149001</v>
      </c>
      <c r="W184" s="400">
        <f t="shared" si="59"/>
        <v>56.402610878972396</v>
      </c>
      <c r="X184" s="157">
        <f t="shared" si="60"/>
        <v>46922</v>
      </c>
      <c r="Y184" s="383">
        <f t="shared" si="61"/>
        <v>53.875700920918128</v>
      </c>
      <c r="Z184" s="383">
        <f t="shared" si="62"/>
        <v>57.548390649073632</v>
      </c>
      <c r="AA184" s="384">
        <f t="shared" si="63"/>
        <v>61.108031314119103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5.8251601115204138E-2</v>
      </c>
      <c r="AD184" s="230">
        <f>(INDEX(Models!$BJ184:$BT184,,AH184)*(1-AF184)+INDEX(Models!$BJ184:$BT184,,AH184+1)*AF184-ERP_i)*AE184*Ramure*Pc/MaxiM</f>
        <v>5.3931034927098289E-4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'2027'!Wh/'2027'!Env_an*'2028'!Env_an</f>
        <v>31.818047740718747</v>
      </c>
      <c r="C185" s="829"/>
      <c r="D185" s="391">
        <f t="shared" si="50"/>
        <v>33.987725498282401</v>
      </c>
      <c r="E185" s="383">
        <f t="shared" si="75"/>
        <v>34.492174987981628</v>
      </c>
      <c r="F185" s="383">
        <f t="shared" si="51"/>
        <v>34.492829092071773</v>
      </c>
      <c r="G185" s="110">
        <f t="shared" si="76"/>
        <v>0.54545865820449102</v>
      </c>
      <c r="H185" s="412" t="b">
        <f>Wh_hp&gt;='2027'!Maxi_hp</f>
        <v>0</v>
      </c>
      <c r="I185" s="388">
        <f>IF(H185,Wh_hp,'2027'!Maxi_hp)</f>
        <v>56.990075158502776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6.3837097827370126E-2</v>
      </c>
      <c r="M185" s="832"/>
      <c r="N185" s="832"/>
      <c r="O185" s="48">
        <f>IF(t&lt;Tnet,'2027'!Resal+('2027'!Salim-'2027'!Resal)*(1-EXP(('2027'!Tnet-t)/('2027'!Tau_j))),Resal+(Salim-Resal)*(1-EXP((Tnet-t)/(Tau_j))))*Salcycl</f>
        <v>1.4625041473174522E-2</v>
      </c>
      <c r="P185" s="169">
        <f>(INDEX(Models!$BJ185:$BT185,,T185)*(1-R185)+INDEX(Models!$BJ185:$BT185,,T185+1)*R185-ERP_i)*Q185*Ramure*Pc/MaxiM</f>
        <v>5.4075911086279046E-5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58.330599454174958</v>
      </c>
      <c r="W185" s="400">
        <f t="shared" si="59"/>
        <v>31.818047740718747</v>
      </c>
      <c r="X185" s="157">
        <f t="shared" si="60"/>
        <v>46923</v>
      </c>
      <c r="Y185" s="383">
        <f t="shared" si="61"/>
        <v>30.401946293978732</v>
      </c>
      <c r="Z185" s="383">
        <f t="shared" si="62"/>
        <v>32.475059867702988</v>
      </c>
      <c r="AA185" s="384">
        <f t="shared" si="63"/>
        <v>34.486271167288074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5.8319187070964541E-2</v>
      </c>
      <c r="AD185" s="230">
        <f>(INDEX(Models!$BJ185:$BT185,,AH185)*(1-AF185)+INDEX(Models!$BJ185:$BT185,,AH185+1)*AF185-ERP_i)*AE185*Ramure*Pc/MaxiM</f>
        <v>5.4215493047355518E-4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'2027'!Wh/'2027'!Env_an*'2028'!Env_an</f>
        <v>22.897995089201867</v>
      </c>
      <c r="C186" s="829"/>
      <c r="D186" s="391">
        <f t="shared" si="50"/>
        <v>24.459881799761497</v>
      </c>
      <c r="E186" s="383">
        <f t="shared" si="75"/>
        <v>24.82513739921421</v>
      </c>
      <c r="F186" s="383">
        <f t="shared" si="51"/>
        <v>24.825316999408784</v>
      </c>
      <c r="G186" s="110">
        <f t="shared" si="76"/>
        <v>0.39291547423314838</v>
      </c>
      <c r="H186" s="412" t="b">
        <f>Wh_hp&gt;='2027'!Maxi_hp</f>
        <v>0</v>
      </c>
      <c r="I186" s="388">
        <f>IF(H186,Wh_hp,'2027'!Maxi_hp)</f>
        <v>52.195932812822107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6.3855039175817252E-2</v>
      </c>
      <c r="M186" s="832"/>
      <c r="N186" s="832"/>
      <c r="O186" s="48">
        <f>IF(t&lt;Tnet,'2027'!Resal+('2027'!Salim-'2027'!Resal)*(1-EXP(('2027'!Tnet-t)/('2027'!Tau_j))),Resal+(Salim-Resal)*(1-EXP((Tnet-t)/(Tau_j))))*Salcycl</f>
        <v>1.4713135060604931E-2</v>
      </c>
      <c r="P186" s="169">
        <f>(INDEX(Models!$BJ186:$BT186,,T186)*(1-R186)+INDEX(Models!$BJ186:$BT186,,T186+1)*R186-ERP_i)*Q186*Ramure*Pc/MaxiM</f>
        <v>5.4492308469514234E-5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58.274398630702542</v>
      </c>
      <c r="W186" s="400">
        <f t="shared" si="59"/>
        <v>22.897995089201867</v>
      </c>
      <c r="X186" s="157">
        <f t="shared" si="60"/>
        <v>46924</v>
      </c>
      <c r="Y186" s="383">
        <f t="shared" si="61"/>
        <v>21.881619256248236</v>
      </c>
      <c r="Z186" s="383">
        <f t="shared" si="62"/>
        <v>23.374178329159236</v>
      </c>
      <c r="AA186" s="384">
        <f t="shared" si="63"/>
        <v>24.823519542543494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5.8385806690317295E-2</v>
      </c>
      <c r="AD186" s="230">
        <f>(INDEX(Models!$BJ186:$BT186,,AH186)*(1-AF186)+INDEX(Models!$BJ186:$BT186,,AH186+1)*AF186-ERP_i)*AE186*Ramure*Pc/MaxiM</f>
        <v>5.4536452032167594E-4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'2027'!Wh/'2027'!Env_an*'2028'!Env_an</f>
        <v>44.350080850900511</v>
      </c>
      <c r="C187" s="829"/>
      <c r="D187" s="391">
        <f t="shared" si="50"/>
        <v>47.376135836190507</v>
      </c>
      <c r="E187" s="383">
        <f t="shared" si="75"/>
        <v>48.087883475573605</v>
      </c>
      <c r="F187" s="383">
        <f t="shared" si="51"/>
        <v>48.089627791319181</v>
      </c>
      <c r="G187" s="110">
        <f t="shared" si="76"/>
        <v>0.76179469285900747</v>
      </c>
      <c r="H187" s="412" t="b">
        <f>Wh_hp&gt;='2027'!Maxi_hp</f>
        <v>0</v>
      </c>
      <c r="I187" s="388">
        <f>IF(H187,Wh_hp,'2027'!Maxi_hp)</f>
        <v>63.676809848065162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6.3872980180422423E-2</v>
      </c>
      <c r="M187" s="832"/>
      <c r="N187" s="832"/>
      <c r="O187" s="48">
        <f>IF(t&lt;Tnet,'2027'!Resal+('2027'!Salim-'2027'!Resal)*(1-EXP(('2027'!Tnet-t)/('2027'!Tau_j))),Resal+(Salim-Resal)*(1-EXP((Tnet-t)/(Tau_j))))*Salcycl</f>
        <v>1.4800976627399959E-2</v>
      </c>
      <c r="P187" s="169">
        <f>(INDEX(Models!$BJ187:$BT187,,T187)*(1-R187)+INDEX(Models!$BJ187:$BT187,,T187+1)*R187-ERP_i)*Q187*Ramure*Pc/MaxiM</f>
        <v>5.4980588499912815E-5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58.216802397288276</v>
      </c>
      <c r="W187" s="400">
        <f t="shared" si="59"/>
        <v>44.350080850900511</v>
      </c>
      <c r="X187" s="157">
        <f t="shared" si="60"/>
        <v>46925</v>
      </c>
      <c r="Y187" s="383">
        <f t="shared" si="61"/>
        <v>42.371281988584897</v>
      </c>
      <c r="Z187" s="383">
        <f t="shared" si="62"/>
        <v>45.262321342622108</v>
      </c>
      <c r="AA187" s="384">
        <f t="shared" si="63"/>
        <v>48.072211867740542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5.8451450764304122E-2</v>
      </c>
      <c r="AD187" s="230">
        <f>(INDEX(Models!$BJ187:$BT187,,AH187)*(1-AF187)+INDEX(Models!$BJ187:$BT187,,AH187+1)*AF187-ERP_i)*AE187*Ramure*Pc/MaxiM</f>
        <v>5.4894747699930175E-4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'2027'!Wh/'2027'!Env_an*'2028'!Env_an</f>
        <v>41.833149731105415</v>
      </c>
      <c r="C188" s="829"/>
      <c r="D188" s="391">
        <f t="shared" si="50"/>
        <v>44.688328168654124</v>
      </c>
      <c r="E188" s="383">
        <f t="shared" si="75"/>
        <v>45.363728811254106</v>
      </c>
      <c r="F188" s="383">
        <f t="shared" si="51"/>
        <v>45.365238115500226</v>
      </c>
      <c r="G188" s="110">
        <f t="shared" si="76"/>
        <v>0.71928803665955587</v>
      </c>
      <c r="H188" s="412" t="b">
        <f>Wh_hp&gt;='2027'!Maxi_hp</f>
        <v>0</v>
      </c>
      <c r="I188" s="388">
        <f>IF(H188,Wh_hp,'2027'!Maxi_hp)</f>
        <v>54.409239843799597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6.3890920841192411E-2</v>
      </c>
      <c r="M188" s="832"/>
      <c r="N188" s="832"/>
      <c r="O188" s="48">
        <f>IF(t&lt;Tnet,'2027'!Resal+('2027'!Salim-'2027'!Resal)*(1-EXP(('2027'!Tnet-t)/('2027'!Tau_j))),Resal+(Salim-Resal)*(1-EXP((Tnet-t)/(Tau_j))))*Salcycl</f>
        <v>1.4888560978091925E-2</v>
      </c>
      <c r="P188" s="169">
        <f>(INDEX(Models!$BJ188:$BT188,,T188)*(1-R188)+INDEX(Models!$BJ188:$BT188,,T188+1)*R188-ERP_i)*Q188*Ramure*Pc/MaxiM</f>
        <v>5.5542135551952053E-5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58.157811414959546</v>
      </c>
      <c r="W188" s="400">
        <f t="shared" si="59"/>
        <v>41.833149731105415</v>
      </c>
      <c r="X188" s="157">
        <f t="shared" si="60"/>
        <v>46926</v>
      </c>
      <c r="Y188" s="383">
        <f t="shared" si="61"/>
        <v>39.968576808891655</v>
      </c>
      <c r="Z188" s="383">
        <f t="shared" si="62"/>
        <v>42.696495204178156</v>
      </c>
      <c r="AA188" s="384">
        <f t="shared" si="63"/>
        <v>45.35021341314669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5.8516112918649291E-2</v>
      </c>
      <c r="AD188" s="230">
        <f>(INDEX(Models!$BJ188:$BT188,,AH188)*(1-AF188)+INDEX(Models!$BJ188:$BT188,,AH188+1)*AF188-ERP_i)*AE188*Ramure*Pc/MaxiM</f>
        <v>5.5290645136281565E-4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'2027'!Wh/'2027'!Env_an*'2028'!Env_an</f>
        <v>39.458125998278781</v>
      </c>
      <c r="C189" s="829"/>
      <c r="D189" s="391">
        <f t="shared" si="50"/>
        <v>42.152013154505923</v>
      </c>
      <c r="E189" s="383">
        <f t="shared" si="75"/>
        <v>42.79287425929477</v>
      </c>
      <c r="F189" s="383">
        <f t="shared" si="51"/>
        <v>42.794176498281459</v>
      </c>
      <c r="G189" s="110">
        <f t="shared" si="76"/>
        <v>0.67915418135501782</v>
      </c>
      <c r="H189" s="412" t="b">
        <f>Wh_hp&gt;='2027'!Maxi_hp</f>
        <v>0</v>
      </c>
      <c r="I189" s="388">
        <f>IF(H189,Wh_hp,'2027'!Maxi_hp)</f>
        <v>62.441537989908561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6.3908861158133656E-2</v>
      </c>
      <c r="M189" s="832"/>
      <c r="N189" s="832"/>
      <c r="O189" s="48">
        <f>IF(t&lt;Tnet,'2027'!Resal+('2027'!Salim-'2027'!Resal)*(1-EXP(('2027'!Tnet-t)/('2027'!Tau_j))),Resal+(Salim-Resal)*(1-EXP((Tnet-t)/(Tau_j))))*Salcycl</f>
        <v>1.4975883622719014E-2</v>
      </c>
      <c r="P189" s="169">
        <f>(INDEX(Models!$BJ189:$BT189,,T189)*(1-R189)+INDEX(Models!$BJ189:$BT189,,T189+1)*R189-ERP_i)*Q189*Ramure*Pc/MaxiM</f>
        <v>5.6178246487474335E-5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58.097426305069078</v>
      </c>
      <c r="W189" s="400">
        <f t="shared" si="59"/>
        <v>39.458125998278781</v>
      </c>
      <c r="X189" s="157">
        <f t="shared" si="60"/>
        <v>46927</v>
      </c>
      <c r="Y189" s="383">
        <f t="shared" si="61"/>
        <v>37.701203684811816</v>
      </c>
      <c r="Z189" s="383">
        <f t="shared" si="62"/>
        <v>40.275142152777789</v>
      </c>
      <c r="AA189" s="384">
        <f t="shared" si="63"/>
        <v>42.781259322465274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5.8579789594259968E-2</v>
      </c>
      <c r="AD189" s="230">
        <f>(INDEX(Models!$BJ189:$BT189,,AH189)*(1-AF189)+INDEX(Models!$BJ189:$BT189,,AH189+1)*AF189-ERP_i)*AE189*Ramure*Pc/MaxiM</f>
        <v>5.5724355847332088E-4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'2027'!Wh/'2027'!Env_an*'2028'!Env_an</f>
        <v>34.242061231592999</v>
      </c>
      <c r="C190" s="829"/>
      <c r="D190" s="391">
        <f t="shared" si="50"/>
        <v>36.580538010248389</v>
      </c>
      <c r="E190" s="383">
        <f t="shared" si="75"/>
        <v>37.139975258318607</v>
      </c>
      <c r="F190" s="383">
        <f t="shared" si="51"/>
        <v>37.140850684964512</v>
      </c>
      <c r="G190" s="110">
        <f t="shared" si="76"/>
        <v>0.58999807286177364</v>
      </c>
      <c r="H190" s="412" t="b">
        <f>Wh_hp&gt;='2027'!Maxi_hp</f>
        <v>0</v>
      </c>
      <c r="I190" s="388">
        <f>IF(H190,Wh_hp,'2027'!Maxi_hp)</f>
        <v>58.359170518097258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6.3926801131252931E-2</v>
      </c>
      <c r="M190" s="832"/>
      <c r="N190" s="832"/>
      <c r="O190" s="48">
        <f>IF(t&lt;Tnet,'2027'!Resal+('2027'!Salim-'2027'!Resal)*(1-EXP(('2027'!Tnet-t)/('2027'!Tau_j))),Resal+(Salim-Resal)*(1-EXP((Tnet-t)/(Tau_j))))*Salcycl</f>
        <v>1.5062940784940783E-2</v>
      </c>
      <c r="P190" s="169">
        <f>(INDEX(Models!$BJ190:$BT190,,T190)*(1-R190)+INDEX(Models!$BJ190:$BT190,,T190+1)*R190-ERP_i)*Q190*Ramure*Pc/MaxiM</f>
        <v>5.6890716232203706E-5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58.035647615073692</v>
      </c>
      <c r="W190" s="400">
        <f t="shared" si="59"/>
        <v>34.242061231592999</v>
      </c>
      <c r="X190" s="157">
        <f t="shared" si="60"/>
        <v>46928</v>
      </c>
      <c r="Y190" s="383">
        <f t="shared" si="61"/>
        <v>32.720137942952036</v>
      </c>
      <c r="Z190" s="383">
        <f t="shared" si="62"/>
        <v>34.954678739327882</v>
      </c>
      <c r="AA190" s="384">
        <f t="shared" si="63"/>
        <v>37.13220322474001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5.8642480012102115E-2</v>
      </c>
      <c r="AD190" s="230">
        <f>(INDEX(Models!$BJ190:$BT190,,AH190)*(1-AF190)+INDEX(Models!$BJ190:$BT190,,AH190+1)*AF190-ERP_i)*AE190*Ramure*Pc/MaxiM</f>
        <v>5.6196622305704452E-4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'2027'!Wh/'2027'!Env_an*'2028'!Env_an</f>
        <v>12.157127263140227</v>
      </c>
      <c r="C191" s="829"/>
      <c r="D191" s="391">
        <f t="shared" si="50"/>
        <v>12.987617069763642</v>
      </c>
      <c r="E191" s="383">
        <f t="shared" si="75"/>
        <v>13.187402651499402</v>
      </c>
      <c r="F191" s="383">
        <f t="shared" si="51"/>
        <v>13.187402651499402</v>
      </c>
      <c r="G191" s="110">
        <f t="shared" si="76"/>
        <v>0.20969306288060005</v>
      </c>
      <c r="H191" s="412" t="b">
        <f>Wh_hp&gt;='2027'!Maxi_hp</f>
        <v>0</v>
      </c>
      <c r="I191" s="388">
        <f>IF(H191,Wh_hp,'2027'!Maxi_hp)</f>
        <v>60.460509614669505</v>
      </c>
      <c r="J191" s="85">
        <f>IF(H191,An,'2027'!An_max)</f>
        <v>2021</v>
      </c>
      <c r="K191" s="197">
        <f t="shared" si="52"/>
        <v>46929</v>
      </c>
      <c r="L191" s="147">
        <f>IF(t&lt;Tvie,1-EXP((T0-t)*PertePVj)+'2027'!Pspv,1-EXP((T0-t)*PertePVj)+Pspv)</f>
        <v>6.3944740760556562E-2</v>
      </c>
      <c r="M191" s="832"/>
      <c r="N191" s="832"/>
      <c r="O191" s="48">
        <f>IF(t&lt;Tnet,'2027'!Resal+('2027'!Salim-'2027'!Resal)*(1-EXP(('2027'!Tnet-t)/('2027'!Tau_j))),Resal+(Salim-Resal)*(1-EXP((Tnet-t)/(Tau_j))))*Salcycl</f>
        <v>1.5149729405816218E-2</v>
      </c>
      <c r="P191" s="169">
        <f>(INDEX(Models!$BJ191:$BT191,,T191)*(1-R191)+INDEX(Models!$BJ191:$BT191,,T191+1)*R191-ERP_i)*Q191*Ramure*Pc/MaxiM</f>
        <v>5.7681293060944136E-5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57.972475852678507</v>
      </c>
      <c r="W191" s="400">
        <f t="shared" si="59"/>
        <v>12.157127263140227</v>
      </c>
      <c r="X191" s="157">
        <f t="shared" si="60"/>
        <v>46929</v>
      </c>
      <c r="Y191" s="383">
        <f t="shared" si="61"/>
        <v>11.619485056000558</v>
      </c>
      <c r="Z191" s="383">
        <f t="shared" si="62"/>
        <v>12.413246911770502</v>
      </c>
      <c r="AA191" s="384">
        <f t="shared" si="63"/>
        <v>13.187402651499402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5.8704186122722268E-2</v>
      </c>
      <c r="AD191" s="230">
        <f>(INDEX(Models!$BJ191:$BT191,,AH191)*(1-AF191)+INDEX(Models!$BJ191:$BT191,,AH191+1)*AF191-ERP_i)*AE191*Ramure*Pc/MaxiM</f>
        <v>5.6708174694847702E-4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'2027'!Wh/'2027'!Env_an*'2028'!Env_an</f>
        <v>14.771891807386217</v>
      </c>
      <c r="C192" s="829"/>
      <c r="D192" s="391">
        <f t="shared" si="50"/>
        <v>15.781306463414268</v>
      </c>
      <c r="E192" s="383">
        <f t="shared" si="75"/>
        <v>16.025474554311124</v>
      </c>
      <c r="F192" s="383">
        <f t="shared" si="51"/>
        <v>16.025474554311124</v>
      </c>
      <c r="G192" s="110">
        <f t="shared" si="76"/>
        <v>0.25507787295936751</v>
      </c>
      <c r="H192" s="412" t="b">
        <f>Wh_hp&gt;='2027'!Maxi_hp</f>
        <v>0</v>
      </c>
      <c r="I192" s="388">
        <f>IF(H192,Wh_hp,'2027'!Maxi_hp)</f>
        <v>59.284461981263078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6.3962680046051434E-2</v>
      </c>
      <c r="M192" s="832"/>
      <c r="N192" s="832"/>
      <c r="O192" s="48">
        <f>IF(t&lt;Tnet,'2027'!Resal+('2027'!Salim-'2027'!Resal)*(1-EXP(('2027'!Tnet-t)/('2027'!Tau_j))),Resal+(Salim-Resal)*(1-EXP((Tnet-t)/(Tau_j))))*Salcycl</f>
        <v>1.5236247143219223E-2</v>
      </c>
      <c r="P192" s="169">
        <f>(INDEX(Models!$BJ192:$BT192,,T192)*(1-R192)+INDEX(Models!$BJ192:$BT192,,T192+1)*R192-ERP_i)*Q192*Ramure*Pc/MaxiM</f>
        <v>5.860821599155152E-5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57.907908207755476</v>
      </c>
      <c r="W192" s="400">
        <f t="shared" si="59"/>
        <v>14.771891807386217</v>
      </c>
      <c r="X192" s="157">
        <f t="shared" si="60"/>
        <v>46930</v>
      </c>
      <c r="Y192" s="383">
        <f t="shared" si="61"/>
        <v>14.118942575747937</v>
      </c>
      <c r="Z192" s="383">
        <f t="shared" si="62"/>
        <v>15.083738943702121</v>
      </c>
      <c r="AA192" s="384">
        <f t="shared" si="63"/>
        <v>16.025474554311124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5.8764912540805903E-2</v>
      </c>
      <c r="AD192" s="230">
        <f>(INDEX(Models!$BJ192:$BT192,,AH192)*(1-AF192)+INDEX(Models!$BJ192:$BT192,,AH192+1)*AF192-ERP_i)*AE192*Ramure*Pc/MaxiM</f>
        <v>5.729052797692366E-4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'2027'!Wh/'2027'!Env_an*'2028'!Env_an</f>
        <v>58.601473514320745</v>
      </c>
      <c r="C193" s="829"/>
      <c r="D193" s="391">
        <f t="shared" si="50"/>
        <v>62.607115518213213</v>
      </c>
      <c r="E193" s="383">
        <f t="shared" si="75"/>
        <v>63.581340116830752</v>
      </c>
      <c r="F193" s="383">
        <f t="shared" si="51"/>
        <v>63.585131804859891</v>
      </c>
      <c r="G193" s="110">
        <f t="shared" si="76"/>
        <v>1.0131310585480506</v>
      </c>
      <c r="H193" s="412" t="b">
        <f>Wh_hp&gt;='2027'!Maxi_hp</f>
        <v>1</v>
      </c>
      <c r="I193" s="388">
        <f>IF(H193,Wh_hp,'2027'!Maxi_hp)</f>
        <v>63.585131804859891</v>
      </c>
      <c r="J193" s="85">
        <f>IF(H193,An,'2027'!An_max)</f>
        <v>2028</v>
      </c>
      <c r="K193" s="197">
        <f t="shared" si="52"/>
        <v>46931</v>
      </c>
      <c r="L193" s="147">
        <f>IF(t&lt;Tvie,1-EXP((T0-t)*PertePVj)+'2027'!Pspv,1-EXP((T0-t)*PertePVj)+Pspv)</f>
        <v>6.3980618987743876E-2</v>
      </c>
      <c r="M193" s="832"/>
      <c r="N193" s="832"/>
      <c r="O193" s="48">
        <f>IF(t&lt;Tnet,'2027'!Resal+('2027'!Salim-'2027'!Resal)*(1-EXP(('2027'!Tnet-t)/('2027'!Tau_j))),Resal+(Salim-Resal)*(1-EXP((Tnet-t)/(Tau_j))))*Salcycl</f>
        <v>1.5322492366901931E-2</v>
      </c>
      <c r="P193" s="169">
        <f>(INDEX(Models!$BJ193:$BT193,,T193)*(1-R193)+INDEX(Models!$BJ193:$BT193,,T193+1)*R193-ERP_i)*Q193*Ramure*Pc/MaxiM</f>
        <v>5.9631676800992439E-5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57.841947514968432</v>
      </c>
      <c r="W193" s="400">
        <f t="shared" si="59"/>
        <v>58.601473514320745</v>
      </c>
      <c r="X193" s="157">
        <f t="shared" si="60"/>
        <v>46931</v>
      </c>
      <c r="Y193" s="383">
        <f t="shared" si="61"/>
        <v>55.983407960083909</v>
      </c>
      <c r="Z193" s="383">
        <f t="shared" si="62"/>
        <v>59.810094850323267</v>
      </c>
      <c r="AA193" s="384">
        <f t="shared" si="63"/>
        <v>63.54830255240315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5.8824666465281054E-2</v>
      </c>
      <c r="AD193" s="230">
        <f>(INDEX(Models!$BJ193:$BT193,,AH193)*(1-AF193)+INDEX(Models!$BJ193:$BT193,,AH193+1)*AF193-ERP_i)*AE193*Ramure*Pc/MaxiM</f>
        <v>5.7921170266294968E-4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'2027'!Wh/'2027'!Env_an*'2028'!Env_an</f>
        <v>56.92066540046055</v>
      </c>
      <c r="C194" s="829"/>
      <c r="D194" s="391">
        <f t="shared" si="50"/>
        <v>60.812582995211123</v>
      </c>
      <c r="E194" s="383">
        <f t="shared" si="75"/>
        <v>61.764275621834678</v>
      </c>
      <c r="F194" s="383">
        <f t="shared" si="51"/>
        <v>61.76794901206037</v>
      </c>
      <c r="G194" s="110">
        <f t="shared" si="76"/>
        <v>0.98521838575092524</v>
      </c>
      <c r="H194" s="412" t="b">
        <f>Wh_hp&gt;='2027'!Maxi_hp</f>
        <v>0</v>
      </c>
      <c r="I194" s="388">
        <f>IF(H194,Wh_hp,'2027'!Maxi_hp)</f>
        <v>61.768016952318149</v>
      </c>
      <c r="J194" s="85">
        <f>IF(H194,An,'2027'!An_max)</f>
        <v>2026</v>
      </c>
      <c r="K194" s="197">
        <f t="shared" si="52"/>
        <v>46932</v>
      </c>
      <c r="L194" s="147">
        <f>IF(t&lt;Tvie,1-EXP((T0-t)*PertePVj)+'2027'!Pspv,1-EXP((T0-t)*PertePVj)+Pspv)</f>
        <v>6.3998557585640659E-2</v>
      </c>
      <c r="M194" s="832"/>
      <c r="N194" s="832"/>
      <c r="O194" s="48">
        <f>IF(t&lt;Tnet,'2027'!Resal+('2027'!Salim-'2027'!Resal)*(1-EXP(('2027'!Tnet-t)/('2027'!Tau_j))),Resal+(Salim-Resal)*(1-EXP((Tnet-t)/(Tau_j))))*Salcycl</f>
        <v>1.5408464149251885E-2</v>
      </c>
      <c r="P194" s="169">
        <f>(INDEX(Models!$BJ194:$BT194,,T194)*(1-R194)+INDEX(Models!$BJ194:$BT194,,T194+1)*R194-ERP_i)*Q194*Ramure*Pc/MaxiM</f>
        <v>6.0753613872261779E-5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57.774594142321568</v>
      </c>
      <c r="W194" s="400">
        <f t="shared" si="59"/>
        <v>56.92066540046055</v>
      </c>
      <c r="X194" s="157">
        <f t="shared" si="60"/>
        <v>46932</v>
      </c>
      <c r="Y194" s="383">
        <f t="shared" si="61"/>
        <v>54.379336969137498</v>
      </c>
      <c r="Z194" s="383">
        <f t="shared" si="62"/>
        <v>58.097492701367287</v>
      </c>
      <c r="AA194" s="384">
        <f t="shared" si="63"/>
        <v>61.732516732008193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5.8883457585589639E-2</v>
      </c>
      <c r="AD194" s="230">
        <f>(INDEX(Models!$BJ194:$BT194,,AH194)*(1-AF194)+INDEX(Models!$BJ194:$BT194,,AH194+1)*AF194-ERP_i)*AE194*Ramure*Pc/MaxiM</f>
        <v>5.8600881709963497E-4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'2027'!Wh/'2027'!Env_an*'2028'!Env_an</f>
        <v>14.037449695869892</v>
      </c>
      <c r="C195" s="829"/>
      <c r="D195" s="391">
        <f t="shared" si="50"/>
        <v>14.997539629145548</v>
      </c>
      <c r="E195" s="383">
        <f t="shared" si="75"/>
        <v>15.233571050679481</v>
      </c>
      <c r="F195" s="383">
        <f t="shared" si="51"/>
        <v>15.233571050679481</v>
      </c>
      <c r="G195" s="110">
        <f t="shared" si="76"/>
        <v>0.24324362428986204</v>
      </c>
      <c r="H195" s="412" t="b">
        <f>Wh_hp&gt;='2027'!Maxi_hp</f>
        <v>0</v>
      </c>
      <c r="I195" s="388">
        <f>IF(H195,Wh_hp,'2027'!Maxi_hp)</f>
        <v>52.702185547178217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6.4016495839748222E-2</v>
      </c>
      <c r="M195" s="832"/>
      <c r="N195" s="832"/>
      <c r="O195" s="48">
        <f>IF(t&lt;Tnet,'2027'!Resal+('2027'!Salim-'2027'!Resal)*(1-EXP(('2027'!Tnet-t)/('2027'!Tau_j))),Resal+(Salim-Resal)*(1-EXP((Tnet-t)/(Tau_j))))*Salcycl</f>
        <v>1.54941622518251E-2</v>
      </c>
      <c r="P195" s="169">
        <f>(INDEX(Models!$BJ195:$BT195,,T195)*(1-R195)+INDEX(Models!$BJ195:$BT195,,T195+1)*R195-ERP_i)*Q195*Ramure*Pc/MaxiM</f>
        <v>6.1975900094496565E-5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57.705848419538533</v>
      </c>
      <c r="W195" s="400">
        <f t="shared" si="59"/>
        <v>14.037449695869892</v>
      </c>
      <c r="X195" s="157">
        <f t="shared" si="60"/>
        <v>46933</v>
      </c>
      <c r="Y195" s="383">
        <f t="shared" si="61"/>
        <v>13.417964306594126</v>
      </c>
      <c r="Z195" s="383">
        <f t="shared" si="62"/>
        <v>14.335684600160226</v>
      </c>
      <c r="AA195" s="384">
        <f t="shared" si="63"/>
        <v>15.233571050679481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5.8941297974857039E-2</v>
      </c>
      <c r="AD195" s="230">
        <f>(INDEX(Models!$BJ195:$BT195,,AH195)*(1-AF195)+INDEX(Models!$BJ195:$BT195,,AH195+1)*AF195-ERP_i)*AE195*Ramure*Pc/MaxiM</f>
        <v>5.933042453165028E-4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'2027'!Wh/'2027'!Env_an*'2028'!Env_an</f>
        <v>50.631702190020455</v>
      </c>
      <c r="C196" s="829"/>
      <c r="D196" s="391">
        <f t="shared" si="50"/>
        <v>54.095689003691938</v>
      </c>
      <c r="E196" s="383">
        <f t="shared" si="75"/>
        <v>54.951815601587043</v>
      </c>
      <c r="F196" s="383">
        <f t="shared" si="51"/>
        <v>54.954690348505643</v>
      </c>
      <c r="G196" s="110">
        <f t="shared" si="76"/>
        <v>0.87846831764354583</v>
      </c>
      <c r="H196" s="412" t="b">
        <f>Wh_hp&gt;='2027'!Maxi_hp</f>
        <v>0</v>
      </c>
      <c r="I196" s="388">
        <f>IF(H196,Wh_hp,'2027'!Maxi_hp)</f>
        <v>60.959454139649438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6.4034433750073338E-2</v>
      </c>
      <c r="M196" s="832"/>
      <c r="N196" s="832"/>
      <c r="O196" s="48">
        <f>IF(t&lt;Tnet,'2027'!Resal+('2027'!Salim-'2027'!Resal)*(1-EXP(('2027'!Tnet-t)/('2027'!Tau_j))),Resal+(Salim-Resal)*(1-EXP((Tnet-t)/(Tau_j))))*Salcycl</f>
        <v>1.5579587107771173E-2</v>
      </c>
      <c r="P196" s="169">
        <f>(INDEX(Models!$BJ196:$BT196,,T196)*(1-R196)+INDEX(Models!$BJ196:$BT196,,T196+1)*R196-ERP_i)*Q196*Ramure*Pc/MaxiM</f>
        <v>6.3300343416481145E-5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57.635710640908343</v>
      </c>
      <c r="W196" s="400">
        <f t="shared" si="59"/>
        <v>50.631702190020455</v>
      </c>
      <c r="X196" s="157">
        <f t="shared" si="60"/>
        <v>46934</v>
      </c>
      <c r="Y196" s="383">
        <f t="shared" si="61"/>
        <v>48.377040853327074</v>
      </c>
      <c r="Z196" s="383">
        <f t="shared" si="62"/>
        <v>51.68677416964843</v>
      </c>
      <c r="AA196" s="384">
        <f t="shared" si="63"/>
        <v>54.927391507538999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5.899820197079228E-2</v>
      </c>
      <c r="AD196" s="230">
        <f>(INDEX(Models!$BJ196:$BT196,,AH196)*(1-AF196)+INDEX(Models!$BJ196:$BT196,,AH196+1)*AF196-ERP_i)*AE196*Ramure*Pc/MaxiM</f>
        <v>6.011054388400884E-4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'2027'!Wh/'2027'!Env_an*'2028'!Env_an</f>
        <v>55.930315479270568</v>
      </c>
      <c r="C197" s="829"/>
      <c r="D197" s="391">
        <f t="shared" si="50"/>
        <v>59.757954147444373</v>
      </c>
      <c r="E197" s="383">
        <f t="shared" si="75"/>
        <v>60.708943958099084</v>
      </c>
      <c r="F197" s="383">
        <f t="shared" si="51"/>
        <v>60.712714465998694</v>
      </c>
      <c r="G197" s="110">
        <f t="shared" si="76"/>
        <v>0.97161407738918493</v>
      </c>
      <c r="H197" s="412" t="b">
        <f>Wh_hp&gt;='2027'!Maxi_hp</f>
        <v>0</v>
      </c>
      <c r="I197" s="388">
        <f>IF(H197,Wh_hp,'2027'!Maxi_hp)</f>
        <v>60.712850155568447</v>
      </c>
      <c r="J197" s="85">
        <f>IF(H197,An,'2027'!An_max)</f>
        <v>2026</v>
      </c>
      <c r="K197" s="197">
        <f t="shared" si="52"/>
        <v>46935</v>
      </c>
      <c r="L197" s="147">
        <f>IF(t&lt;Tvie,1-EXP((T0-t)*PertePVj)+'2027'!Pspv,1-EXP((T0-t)*PertePVj)+Pspv)</f>
        <v>6.4052371316622447E-2</v>
      </c>
      <c r="M197" s="832"/>
      <c r="N197" s="832"/>
      <c r="O197" s="48">
        <f>IF(t&lt;Tnet,'2027'!Resal+('2027'!Salim-'2027'!Resal)*(1-EXP(('2027'!Tnet-t)/('2027'!Tau_j))),Resal+(Salim-Resal)*(1-EXP((Tnet-t)/(Tau_j))))*Salcycl</f>
        <v>1.5664739800301572E-2</v>
      </c>
      <c r="P197" s="169">
        <f>(INDEX(Models!$BJ197:$BT197,,T197)*(1-R197)+INDEX(Models!$BJ197:$BT197,,T197+1)*R197-ERP_i)*Q197*Ramure*Pc/MaxiM</f>
        <v>6.4728688060679282E-5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57.564181064420488</v>
      </c>
      <c r="W197" s="400">
        <f t="shared" si="59"/>
        <v>55.930315479270568</v>
      </c>
      <c r="X197" s="157">
        <f t="shared" si="60"/>
        <v>46935</v>
      </c>
      <c r="Y197" s="383">
        <f t="shared" si="61"/>
        <v>53.436967361755862</v>
      </c>
      <c r="Z197" s="383">
        <f t="shared" si="62"/>
        <v>57.093971632715245</v>
      </c>
      <c r="AA197" s="384">
        <f t="shared" si="63"/>
        <v>60.677215187080549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5.9054186045246392E-2</v>
      </c>
      <c r="AD197" s="230">
        <f>(INDEX(Models!$BJ197:$BT197,,AH197)*(1-AF197)+INDEX(Models!$BJ197:$BT197,,AH197+1)*AF197-ERP_i)*AE197*Ramure*Pc/MaxiM</f>
        <v>6.0941968897906958E-4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'2027'!Wh/'2027'!Env_an*'2028'!Env_an</f>
        <v>46.073442916207014</v>
      </c>
      <c r="C198" s="829"/>
      <c r="D198" s="391">
        <f t="shared" si="50"/>
        <v>49.227461567444763</v>
      </c>
      <c r="E198" s="383">
        <f t="shared" si="75"/>
        <v>50.015181776556588</v>
      </c>
      <c r="F198" s="383">
        <f t="shared" si="51"/>
        <v>50.017556147642189</v>
      </c>
      <c r="G198" s="110">
        <f t="shared" si="76"/>
        <v>0.80138402145917487</v>
      </c>
      <c r="H198" s="412" t="b">
        <f>Wh_hp&gt;='2027'!Maxi_hp</f>
        <v>0</v>
      </c>
      <c r="I198" s="388">
        <f>IF(H198,Wh_hp,'2027'!Maxi_hp)</f>
        <v>50.018355090153918</v>
      </c>
      <c r="J198" s="85">
        <f>IF(H198,An,'2027'!An_max)</f>
        <v>2026</v>
      </c>
      <c r="K198" s="197">
        <f t="shared" si="52"/>
        <v>46936</v>
      </c>
      <c r="L198" s="147">
        <f>IF(t&lt;Tvie,1-EXP((T0-t)*PertePVj)+'2027'!Pspv,1-EXP((T0-t)*PertePVj)+Pspv)</f>
        <v>6.407030853940221E-2</v>
      </c>
      <c r="M198" s="832"/>
      <c r="N198" s="832"/>
      <c r="O198" s="48">
        <f>IF(t&lt;Tnet,'2027'!Resal+('2027'!Salim-'2027'!Resal)*(1-EXP(('2027'!Tnet-t)/('2027'!Tau_j))),Resal+(Salim-Resal)*(1-EXP((Tnet-t)/(Tau_j))))*Salcycl</f>
        <v>1.5749622037384003E-2</v>
      </c>
      <c r="P198" s="169">
        <f>(INDEX(Models!$BJ198:$BT198,,T198)*(1-R198)+INDEX(Models!$BJ198:$BT198,,T198+1)*R198-ERP_i)*Q198*Ramure*Pc/MaxiM</f>
        <v>6.6273609506937753E-5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57.491259282764773</v>
      </c>
      <c r="W198" s="400">
        <f t="shared" si="59"/>
        <v>46.073442916207014</v>
      </c>
      <c r="X198" s="157">
        <f t="shared" si="60"/>
        <v>46936</v>
      </c>
      <c r="Y198" s="383">
        <f t="shared" si="61"/>
        <v>44.026329789579343</v>
      </c>
      <c r="Z198" s="383">
        <f t="shared" si="62"/>
        <v>47.040210596238822</v>
      </c>
      <c r="AA198" s="384">
        <f t="shared" si="63"/>
        <v>49.995402260384772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5.9109268663442252E-2</v>
      </c>
      <c r="AD198" s="230">
        <f>(INDEX(Models!$BJ198:$BT198,,AH198)*(1-AF198)+INDEX(Models!$BJ198:$BT198,,AH198+1)*AF198-ERP_i)*AE198*Ramure*Pc/MaxiM</f>
        <v>6.1836082913198289E-4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'2027'!Wh/'2027'!Env_an*'2028'!Env_an</f>
        <v>44.574810199945794</v>
      </c>
      <c r="C199" s="829"/>
      <c r="D199" s="391">
        <f t="shared" si="50"/>
        <v>47.627150724134147</v>
      </c>
      <c r="E199" s="383">
        <f t="shared" si="75"/>
        <v>48.393423620536161</v>
      </c>
      <c r="F199" s="383">
        <f t="shared" si="51"/>
        <v>48.395659466192505</v>
      </c>
      <c r="G199" s="110">
        <f t="shared" si="76"/>
        <v>0.77631857341057298</v>
      </c>
      <c r="H199" s="412" t="b">
        <f>Wh_hp&gt;='2027'!Maxi_hp</f>
        <v>0</v>
      </c>
      <c r="I199" s="388">
        <f>IF(H199,Wh_hp,'2027'!Maxi_hp)</f>
        <v>58.082093863284776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6.4088245418419176E-2</v>
      </c>
      <c r="M199" s="832"/>
      <c r="N199" s="832"/>
      <c r="O199" s="48">
        <f>IF(t&lt;Tnet,'2027'!Resal+('2027'!Salim-'2027'!Resal)*(1-EXP(('2027'!Tnet-t)/('2027'!Tau_j))),Resal+(Salim-Resal)*(1-EXP((Tnet-t)/(Tau_j))))*Salcycl</f>
        <v>1.5834236122877741E-2</v>
      </c>
      <c r="P199" s="169">
        <f>(INDEX(Models!$BJ199:$BT199,,T199)*(1-R199)+INDEX(Models!$BJ199:$BT199,,T199+1)*R199-ERP_i)*Q199*Ramure*Pc/MaxiM</f>
        <v>6.7892308485893087E-5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57.416948042053043</v>
      </c>
      <c r="W199" s="400">
        <f t="shared" si="59"/>
        <v>44.574810199945794</v>
      </c>
      <c r="X199" s="157">
        <f t="shared" si="60"/>
        <v>46937</v>
      </c>
      <c r="Y199" s="383">
        <f t="shared" si="61"/>
        <v>42.596110469513704</v>
      </c>
      <c r="Z199" s="383">
        <f t="shared" si="62"/>
        <v>45.512955960850391</v>
      </c>
      <c r="AA199" s="384">
        <f t="shared" si="63"/>
        <v>48.374988126078655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5.9163470133967069E-2</v>
      </c>
      <c r="AD199" s="230">
        <f>(INDEX(Models!$BJ199:$BT199,,AH199)*(1-AF199)+INDEX(Models!$BJ199:$BT199,,AH199+1)*AF199-ERP_i)*AE199*Ramure*Pc/MaxiM</f>
        <v>6.2769314860636216E-4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'2027'!Wh/'2027'!Env_an*'2028'!Env_an</f>
        <v>55.876776035693531</v>
      </c>
      <c r="C200" s="829"/>
      <c r="D200" s="391">
        <f t="shared" si="50"/>
        <v>59.704183271919021</v>
      </c>
      <c r="E200" s="383">
        <f t="shared" si="75"/>
        <v>60.669963234017111</v>
      </c>
      <c r="F200" s="383">
        <f t="shared" si="51"/>
        <v>60.674031237957095</v>
      </c>
      <c r="G200" s="110">
        <f t="shared" si="76"/>
        <v>0.97445794375150363</v>
      </c>
      <c r="H200" s="412" t="b">
        <f>Wh_hp&gt;='2027'!Maxi_hp</f>
        <v>0</v>
      </c>
      <c r="I200" s="388">
        <f>IF(H200,Wh_hp,'2027'!Maxi_hp)</f>
        <v>61.390169549077257</v>
      </c>
      <c r="J200" s="85">
        <f>IF(H200,An,'2027'!An_max)</f>
        <v>2020</v>
      </c>
      <c r="K200" s="197">
        <f t="shared" si="52"/>
        <v>46938</v>
      </c>
      <c r="L200" s="147">
        <f>IF(t&lt;Tvie,1-EXP((T0-t)*PertePVj)+'2027'!Pspv,1-EXP((T0-t)*PertePVj)+Pspv)</f>
        <v>6.4106181953679897E-2</v>
      </c>
      <c r="M200" s="832"/>
      <c r="N200" s="832"/>
      <c r="O200" s="48">
        <f>IF(t&lt;Tnet,'2027'!Resal+('2027'!Salim-'2027'!Resal)*(1-EXP(('2027'!Tnet-t)/('2027'!Tau_j))),Resal+(Salim-Resal)*(1-EXP((Tnet-t)/(Tau_j))))*Salcycl</f>
        <v>1.5918584924353288E-2</v>
      </c>
      <c r="P200" s="169">
        <f>(INDEX(Models!$BJ200:$BT200,,T200)*(1-R200)+INDEX(Models!$BJ200:$BT200,,T200+1)*R200-ERP_i)*Q200*Ramure*Pc/MaxiM</f>
        <v>6.958571383858608E-5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57.341247533688147</v>
      </c>
      <c r="W200" s="400">
        <f t="shared" si="59"/>
        <v>55.876776035693531</v>
      </c>
      <c r="X200" s="157">
        <f t="shared" si="60"/>
        <v>46938</v>
      </c>
      <c r="Y200" s="383">
        <f t="shared" si="61"/>
        <v>53.389046731505537</v>
      </c>
      <c r="Z200" s="383">
        <f t="shared" si="62"/>
        <v>57.046051274230301</v>
      </c>
      <c r="AA200" s="384">
        <f t="shared" si="63"/>
        <v>60.636767354263583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5.921681245068558E-2</v>
      </c>
      <c r="AD200" s="230">
        <f>(INDEX(Models!$BJ200:$BT200,,AH200)*(1-AF200)+INDEX(Models!$BJ200:$BT200,,AH200+1)*AF200-ERP_i)*AE200*Ramure*Pc/MaxiM</f>
        <v>6.3742169021158439E-4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'2027'!Wh/'2027'!Env_an*'2028'!Env_an</f>
        <v>47.495546631481645</v>
      </c>
      <c r="C201" s="829"/>
      <c r="D201" s="391">
        <f t="shared" si="50"/>
        <v>50.749835050082069</v>
      </c>
      <c r="E201" s="383">
        <f t="shared" si="75"/>
        <v>51.575175661168089</v>
      </c>
      <c r="F201" s="383">
        <f t="shared" si="51"/>
        <v>51.57795910336268</v>
      </c>
      <c r="G201" s="110">
        <f t="shared" si="76"/>
        <v>0.82939699825641111</v>
      </c>
      <c r="H201" s="412" t="b">
        <f>Wh_hp&gt;='2027'!Maxi_hp</f>
        <v>0</v>
      </c>
      <c r="I201" s="388">
        <f>IF(H201,Wh_hp,'2027'!Maxi_hp)</f>
        <v>60.936475957669771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6.4124118145191145E-2</v>
      </c>
      <c r="M201" s="832"/>
      <c r="N201" s="832"/>
      <c r="O201" s="48">
        <f>IF(t&lt;Tnet,'2027'!Resal+('2027'!Salim-'2027'!Resal)*(1-EXP(('2027'!Tnet-t)/('2027'!Tau_j))),Resal+(Salim-Resal)*(1-EXP((Tnet-t)/(Tau_j))))*Salcycl</f>
        <v>1.6002671837867091E-2</v>
      </c>
      <c r="P201" s="169">
        <f>(INDEX(Models!$BJ201:$BT201,,T201)*(1-R201)+INDEX(Models!$BJ201:$BT201,,T201+1)*R201-ERP_i)*Q201*Ramure*Pc/MaxiM</f>
        <v>7.1354733157573112E-5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57.264157920181788</v>
      </c>
      <c r="W201" s="400">
        <f t="shared" si="59"/>
        <v>47.495546631481645</v>
      </c>
      <c r="X201" s="157">
        <f t="shared" si="60"/>
        <v>46939</v>
      </c>
      <c r="Y201" s="383">
        <f t="shared" si="61"/>
        <v>45.387365158504636</v>
      </c>
      <c r="Z201" s="383">
        <f t="shared" si="62"/>
        <v>48.497205706970021</v>
      </c>
      <c r="AA201" s="384">
        <f t="shared" si="63"/>
        <v>51.552699080681855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5.9269319127789481E-2</v>
      </c>
      <c r="AD201" s="230">
        <f>(INDEX(Models!$BJ201:$BT201,,AH201)*(1-AF201)+INDEX(Models!$BJ201:$BT201,,AH201+1)*AF201-ERP_i)*AE201*Ramure*Pc/MaxiM</f>
        <v>6.4755150347568151E-4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'2027'!Wh/'2027'!Env_an*'2028'!Env_an</f>
        <v>55.321715966484177</v>
      </c>
      <c r="C202" s="829"/>
      <c r="D202" s="391">
        <f t="shared" si="50"/>
        <v>59.1133688638553</v>
      </c>
      <c r="E202" s="383">
        <f t="shared" si="75"/>
        <v>60.079843308293221</v>
      </c>
      <c r="F202" s="383">
        <f t="shared" si="51"/>
        <v>60.084036678062382</v>
      </c>
      <c r="G202" s="110">
        <f t="shared" si="76"/>
        <v>0.96740176968041525</v>
      </c>
      <c r="H202" s="412" t="b">
        <f>Wh_hp&gt;='2027'!Maxi_hp</f>
        <v>0</v>
      </c>
      <c r="I202" s="388">
        <f>IF(H202,Wh_hp,'2027'!Maxi_hp)</f>
        <v>60.084209021380254</v>
      </c>
      <c r="J202" s="85">
        <f>IF(H202,An,'2027'!An_max)</f>
        <v>2026</v>
      </c>
      <c r="K202" s="197">
        <f t="shared" si="52"/>
        <v>46940</v>
      </c>
      <c r="L202" s="147">
        <f>IF(t&lt;Tvie,1-EXP((T0-t)*PertePVj)+'2027'!Pspv,1-EXP((T0-t)*PertePVj)+Pspv)</f>
        <v>6.4142053992959247E-2</v>
      </c>
      <c r="M202" s="832"/>
      <c r="N202" s="832"/>
      <c r="O202" s="48">
        <f>IF(t&lt;Tnet,'2027'!Resal+('2027'!Salim-'2027'!Resal)*(1-EXP(('2027'!Tnet-t)/('2027'!Tau_j))),Resal+(Salim-Resal)*(1-EXP((Tnet-t)/(Tau_j))))*Salcycl</f>
        <v>1.6086500749986261E-2</v>
      </c>
      <c r="P202" s="169">
        <f>(INDEX(Models!$BJ202:$BT202,,T202)*(1-R202)+INDEX(Models!$BJ202:$BT202,,T202+1)*R202-ERP_i)*Q202*Ramure*Pc/MaxiM</f>
        <v>7.3200255623189815E-5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57.185679334600195</v>
      </c>
      <c r="W202" s="400">
        <f t="shared" si="59"/>
        <v>55.321715966484177</v>
      </c>
      <c r="X202" s="157">
        <f t="shared" si="60"/>
        <v>46940</v>
      </c>
      <c r="Y202" s="383">
        <f t="shared" si="61"/>
        <v>52.861306821193004</v>
      </c>
      <c r="Z202" s="383">
        <f t="shared" si="62"/>
        <v>56.484327612681625</v>
      </c>
      <c r="AA202" s="384">
        <f t="shared" si="63"/>
        <v>60.04633728948204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5.9321015029243904E-2</v>
      </c>
      <c r="AD202" s="230">
        <f>(INDEX(Models!$BJ202:$BT202,,AH202)*(1-AF202)+INDEX(Models!$BJ202:$BT202,,AH202+1)*AF202-ERP_i)*AE202*Ramure*Pc/MaxiM</f>
        <v>6.5808765571145509E-4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'2027'!Wh/'2027'!Env_an*'2028'!Env_an</f>
        <v>57.704515519493746</v>
      </c>
      <c r="C203" s="829"/>
      <c r="D203" s="391">
        <f t="shared" si="50"/>
        <v>61.660663010633492</v>
      </c>
      <c r="E203" s="383">
        <f t="shared" si="75"/>
        <v>62.674108101706089</v>
      </c>
      <c r="F203" s="383">
        <f t="shared" si="51"/>
        <v>62.678816732167263</v>
      </c>
      <c r="G203" s="110">
        <f t="shared" si="76"/>
        <v>1.0104841103494975</v>
      </c>
      <c r="H203" s="412" t="b">
        <f>Wh_hp&gt;='2027'!Maxi_hp</f>
        <v>0</v>
      </c>
      <c r="I203" s="388">
        <f>IF(H203,Wh_hp,'2027'!Maxi_hp)</f>
        <v>63.179240618782657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6.4159989496990977E-2</v>
      </c>
      <c r="M203" s="832"/>
      <c r="N203" s="832"/>
      <c r="O203" s="48">
        <f>IF(t&lt;Tnet,'2027'!Resal+('2027'!Salim-'2027'!Resal)*(1-EXP(('2027'!Tnet-t)/('2027'!Tau_j))),Resal+(Salim-Resal)*(1-EXP((Tnet-t)/(Tau_j))))*Salcycl</f>
        <v>1.617007599737998E-2</v>
      </c>
      <c r="P203" s="169">
        <f>(INDEX(Models!$BJ203:$BT203,,T203)*(1-R203)+INDEX(Models!$BJ203:$BT203,,T203+1)*R203-ERP_i)*Q203*Ramure*Pc/MaxiM</f>
        <v>7.5123154945499335E-5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57.105811886082428</v>
      </c>
      <c r="W203" s="400">
        <f t="shared" si="59"/>
        <v>57.704515519493746</v>
      </c>
      <c r="X203" s="157">
        <f t="shared" si="60"/>
        <v>46941</v>
      </c>
      <c r="Y203" s="383">
        <f t="shared" si="61"/>
        <v>55.137831131121999</v>
      </c>
      <c r="Z203" s="383">
        <f t="shared" si="62"/>
        <v>58.918010036230136</v>
      </c>
      <c r="AA203" s="384">
        <f t="shared" si="63"/>
        <v>62.636882394791336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5.9371926193926373E-2</v>
      </c>
      <c r="AD203" s="230">
        <f>(INDEX(Models!$BJ203:$BT203,,AH203)*(1-AF203)+INDEX(Models!$BJ203:$BT203,,AH203+1)*AF203-ERP_i)*AE203*Ramure*Pc/MaxiM</f>
        <v>6.6903524288146961E-4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'2027'!Wh/'2027'!Env_an*'2028'!Env_an</f>
        <v>57.02954810360891</v>
      </c>
      <c r="C204" s="829"/>
      <c r="D204" s="391">
        <f t="shared" si="50"/>
        <v>60.940588607854906</v>
      </c>
      <c r="E204" s="383">
        <f t="shared" si="75"/>
        <v>61.94744536025857</v>
      </c>
      <c r="F204" s="383">
        <f t="shared" si="51"/>
        <v>61.95222338164826</v>
      </c>
      <c r="G204" s="110">
        <f t="shared" si="76"/>
        <v>1.000087549019707</v>
      </c>
      <c r="H204" s="412" t="b">
        <f>Wh_hp&gt;='2027'!Maxi_hp</f>
        <v>1</v>
      </c>
      <c r="I204" s="388">
        <f>IF(H204,Wh_hp,'2027'!Maxi_hp)</f>
        <v>61.95222338164826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6.4177924657292884E-2</v>
      </c>
      <c r="M204" s="832"/>
      <c r="N204" s="832"/>
      <c r="O204" s="48">
        <f>IF(t&lt;Tnet,'2027'!Resal+('2027'!Salim-'2027'!Resal)*(1-EXP(('2027'!Tnet-t)/('2027'!Tau_j))),Resal+(Salim-Resal)*(1-EXP((Tnet-t)/(Tau_j))))*Salcycl</f>
        <v>1.6253402324312761E-2</v>
      </c>
      <c r="P204" s="169">
        <f>(INDEX(Models!$BJ204:$BT204,,T204)*(1-R204)+INDEX(Models!$BJ204:$BT204,,T204+1)*R204-ERP_i)*Q204*Ramure*Pc/MaxiM</f>
        <v>7.7124292380194141E-5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57.024555659661694</v>
      </c>
      <c r="W204" s="400">
        <f t="shared" si="59"/>
        <v>57.02954810360891</v>
      </c>
      <c r="X204" s="157">
        <f t="shared" si="60"/>
        <v>46942</v>
      </c>
      <c r="Y204" s="383">
        <f t="shared" si="61"/>
        <v>54.494085432801363</v>
      </c>
      <c r="Z204" s="383">
        <f t="shared" si="62"/>
        <v>58.231245947949134</v>
      </c>
      <c r="AA204" s="384">
        <f t="shared" si="63"/>
        <v>61.910071126017954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5.9422079657775961E-2</v>
      </c>
      <c r="AD204" s="230">
        <f>(INDEX(Models!$BJ204:$BT204,,AH204)*(1-AF204)+INDEX(Models!$BJ204:$BT204,,AH204+1)*AF204-ERP_i)*AE204*Ramure*Pc/MaxiM</f>
        <v>6.803994002060837E-4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'2027'!Wh/'2027'!Env_an*'2028'!Env_an</f>
        <v>56.486902628493404</v>
      </c>
      <c r="C205" s="829"/>
      <c r="D205" s="391">
        <f t="shared" si="50"/>
        <v>60.361885764616609</v>
      </c>
      <c r="E205" s="383">
        <f t="shared" si="75"/>
        <v>61.364363762845805</v>
      </c>
      <c r="F205" s="383">
        <f t="shared" si="51"/>
        <v>61.369168901738931</v>
      </c>
      <c r="G205" s="110">
        <f t="shared" si="76"/>
        <v>0.99200073271021494</v>
      </c>
      <c r="H205" s="412" t="b">
        <f>Wh_hp&gt;='2027'!Maxi_hp</f>
        <v>0</v>
      </c>
      <c r="I205" s="388">
        <f>IF(H205,Wh_hp,'2027'!Maxi_hp)</f>
        <v>61.369215318265475</v>
      </c>
      <c r="J205" s="85">
        <f>IF(H205,An,'2027'!An_max)</f>
        <v>2026</v>
      </c>
      <c r="K205" s="197">
        <f t="shared" si="52"/>
        <v>46943</v>
      </c>
      <c r="L205" s="147">
        <f>IF(t&lt;Tvie,1-EXP((T0-t)*PertePVj)+'2027'!Pspv,1-EXP((T0-t)*PertePVj)+Pspv)</f>
        <v>6.4195859473871408E-2</v>
      </c>
      <c r="M205" s="832"/>
      <c r="N205" s="832"/>
      <c r="O205" s="48">
        <f>IF(t&lt;Tnet,'2027'!Resal+('2027'!Salim-'2027'!Resal)*(1-EXP(('2027'!Tnet-t)/('2027'!Tau_j))),Resal+(Salim-Resal)*(1-EXP((Tnet-t)/(Tau_j))))*Salcycl</f>
        <v>1.6336484838390199E-2</v>
      </c>
      <c r="P205" s="169">
        <f>(INDEX(Models!$BJ205:$BT205,,T205)*(1-R205)+INDEX(Models!$BJ205:$BT205,,T205+1)*R205-ERP_i)*Q205*Ramure*Pc/MaxiM</f>
        <v>7.9203910785265682E-5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56.942348569990223</v>
      </c>
      <c r="W205" s="400">
        <f t="shared" si="59"/>
        <v>56.486902628493404</v>
      </c>
      <c r="X205" s="157">
        <f t="shared" si="60"/>
        <v>46943</v>
      </c>
      <c r="Y205" s="383">
        <f t="shared" si="61"/>
        <v>53.97714204946783</v>
      </c>
      <c r="Z205" s="383">
        <f t="shared" si="62"/>
        <v>57.679956426694964</v>
      </c>
      <c r="AA205" s="384">
        <f t="shared" si="63"/>
        <v>61.327175760752965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5.9471503274280496E-2</v>
      </c>
      <c r="AD205" s="230">
        <f>(INDEX(Models!$BJ205:$BT205,,AH205)*(1-AF205)+INDEX(Models!$BJ205:$BT205,,AH205+1)*AF205-ERP_i)*AE205*Ramure*Pc/MaxiM</f>
        <v>6.9217999026096894E-4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'2027'!Wh/'2027'!Env_an*'2028'!Env_an</f>
        <v>55.002666055787451</v>
      </c>
      <c r="C206" s="829"/>
      <c r="D206" s="391">
        <f t="shared" si="50"/>
        <v>58.776957493062902</v>
      </c>
      <c r="E206" s="383">
        <f t="shared" si="75"/>
        <v>59.758146153084162</v>
      </c>
      <c r="F206" s="383">
        <f t="shared" si="51"/>
        <v>59.762784967283316</v>
      </c>
      <c r="G206" s="110">
        <f t="shared" si="76"/>
        <v>0.96733995888830593</v>
      </c>
      <c r="H206" s="412" t="b">
        <f>Wh_hp&gt;='2027'!Maxi_hp</f>
        <v>0</v>
      </c>
      <c r="I206" s="388">
        <f>IF(H206,Wh_hp,'2027'!Maxi_hp)</f>
        <v>60.983970970198122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6.4213793946733433E-2</v>
      </c>
      <c r="M206" s="832"/>
      <c r="N206" s="832"/>
      <c r="O206" s="48">
        <f>IF(t&lt;Tnet,'2027'!Resal+('2027'!Salim-'2027'!Resal)*(1-EXP(('2027'!Tnet-t)/('2027'!Tau_j))),Resal+(Salim-Resal)*(1-EXP((Tnet-t)/(Tau_j))))*Salcycl</f>
        <v>1.6419328964920044E-2</v>
      </c>
      <c r="P206" s="169">
        <f>(INDEX(Models!$BJ206:$BT206,,T206)*(1-R206)+INDEX(Models!$BJ206:$BT206,,T206+1)*R206-ERP_i)*Q206*Ramure*Pc/MaxiM</f>
        <v>8.1418794655689205E-5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56.859490414971866</v>
      </c>
      <c r="W206" s="400">
        <f t="shared" si="59"/>
        <v>55.002666055787451</v>
      </c>
      <c r="X206" s="157">
        <f t="shared" si="60"/>
        <v>46944</v>
      </c>
      <c r="Y206" s="383">
        <f t="shared" si="61"/>
        <v>52.561175342505784</v>
      </c>
      <c r="Z206" s="383">
        <f t="shared" si="62"/>
        <v>56.167931310064546</v>
      </c>
      <c r="AA206" s="384">
        <f t="shared" si="63"/>
        <v>59.722636079009739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5.9520225534628282E-2</v>
      </c>
      <c r="AD206" s="230">
        <f>(INDEX(Models!$BJ206:$BT206,,AH206)*(1-AF206)+INDEX(Models!$BJ206:$BT206,,AH206+1)*AF206-ERP_i)*AE206*Ramure*Pc/MaxiM</f>
        <v>7.0467881438288202E-4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'2027'!Wh/'2027'!Env_an*'2028'!Env_an</f>
        <v>54.763978835390233</v>
      </c>
      <c r="C207" s="829"/>
      <c r="D207" s="391">
        <f t="shared" ref="D207:D270" si="77">Wh/(1-Ppv)</f>
        <v>58.523013098943011</v>
      </c>
      <c r="E207" s="383">
        <f t="shared" si="75"/>
        <v>59.504960409134341</v>
      </c>
      <c r="F207" s="383">
        <f t="shared" ref="F207:F270" si="78">Wh_sa/(1-Pvg*MEDIAN((-Sdif+Wh/Env_an)/Csdif,0,1))</f>
        <v>59.509689710875826</v>
      </c>
      <c r="G207" s="110">
        <f t="shared" si="76"/>
        <v>0.96456172661017425</v>
      </c>
      <c r="H207" s="412" t="b">
        <f>Wh_hp&gt;='2027'!Maxi_hp</f>
        <v>0</v>
      </c>
      <c r="I207" s="388">
        <f>IF(H207,Wh_hp,'2027'!Maxi_hp)</f>
        <v>61.397076269848142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6.4231728075885286E-2</v>
      </c>
      <c r="M207" s="832"/>
      <c r="N207" s="832"/>
      <c r="O207" s="48">
        <f>IF(t&lt;Tnet,'2027'!Resal+('2027'!Salim-'2027'!Resal)*(1-EXP(('2027'!Tnet-t)/('2027'!Tau_j))),Resal+(Salim-Resal)*(1-EXP((Tnet-t)/(Tau_j))))*Salcycl</f>
        <v>1.6501940400259433E-2</v>
      </c>
      <c r="P207" s="169">
        <f>(INDEX(Models!$BJ207:$BT207,,T207)*(1-R207)+INDEX(Models!$BJ207:$BT207,,T207+1)*R207-ERP_i)*Q207*Ramure*Pc/MaxiM</f>
        <v>8.3708465583053521E-5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56.775782463968106</v>
      </c>
      <c r="W207" s="400">
        <f t="shared" ref="W207:W270" si="86">Wh*(A207&gt;Tmaj)</f>
        <v>54.763978835390233</v>
      </c>
      <c r="X207" s="157">
        <f t="shared" ref="X207:X270" si="87">t</f>
        <v>46945</v>
      </c>
      <c r="Y207" s="383">
        <f t="shared" ref="Y207:Y270" si="88">Wh_pvt_s*(1-Ppv)</f>
        <v>52.334406971702776</v>
      </c>
      <c r="Z207" s="383">
        <f t="shared" ref="Z207:Z270" si="89">Wh_sa_s*(1-Psa_s)</f>
        <v>55.926673880589519</v>
      </c>
      <c r="AA207" s="384">
        <f t="shared" ref="AA207:AA270" si="90">Wh_hp*(1-Pvg_s*MEDIAN((-Sdif+Wh/Env_an)/Csdif,0,1))</f>
        <v>59.469148495296949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5.9568275388836002E-2</v>
      </c>
      <c r="AD207" s="230">
        <f>(INDEX(Models!$BJ207:$BT207,,AH207)*(1-AF207)+INDEX(Models!$BJ207:$BT207,,AH207+1)*AF207-ERP_i)*AE207*Ramure*Pc/MaxiM</f>
        <v>7.1757801351747476E-4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'2027'!Wh/'2027'!Env_an*'2028'!Env_an</f>
        <v>54.485020923373057</v>
      </c>
      <c r="C208" s="829"/>
      <c r="D208" s="391">
        <f t="shared" si="77"/>
        <v>58.226023227254302</v>
      </c>
      <c r="E208" s="383">
        <f t="shared" si="75"/>
        <v>59.207947067830368</v>
      </c>
      <c r="F208" s="383">
        <f t="shared" si="78"/>
        <v>59.212760413503453</v>
      </c>
      <c r="G208" s="110">
        <f t="shared" si="76"/>
        <v>0.96108268542949826</v>
      </c>
      <c r="H208" s="412" t="b">
        <f>Wh_hp&gt;='2027'!Maxi_hp</f>
        <v>0</v>
      </c>
      <c r="I208" s="388">
        <f>IF(H208,Wh_hp,'2027'!Maxi_hp)</f>
        <v>59.212995501688539</v>
      </c>
      <c r="J208" s="85">
        <f>IF(H208,An,'2027'!An_max)</f>
        <v>2026</v>
      </c>
      <c r="K208" s="197">
        <f t="shared" si="79"/>
        <v>46946</v>
      </c>
      <c r="L208" s="147">
        <f>IF(t&lt;Tvie,1-EXP((T0-t)*PertePVj)+'2027'!Pspv,1-EXP((T0-t)*PertePVj)+Pspv)</f>
        <v>6.4249661861333629E-2</v>
      </c>
      <c r="M208" s="832"/>
      <c r="N208" s="832"/>
      <c r="O208" s="48">
        <f>IF(t&lt;Tnet,'2027'!Resal+('2027'!Salim-'2027'!Resal)*(1-EXP(('2027'!Tnet-t)/('2027'!Tau_j))),Resal+(Salim-Resal)*(1-EXP((Tnet-t)/(Tau_j))))*Salcycl</f>
        <v>1.6584325064524598E-2</v>
      </c>
      <c r="P208" s="169">
        <f>(INDEX(Models!$BJ208:$BT208,,T208)*(1-R208)+INDEX(Models!$BJ208:$BT208,,T208+1)*R208-ERP_i)*Q208*Ramure*Pc/MaxiM</f>
        <v>8.6073800715434821E-5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56.69102256013268</v>
      </c>
      <c r="W208" s="400">
        <f t="shared" si="86"/>
        <v>54.485020923373057</v>
      </c>
      <c r="X208" s="157">
        <f t="shared" si="87"/>
        <v>46946</v>
      </c>
      <c r="Y208" s="383">
        <f t="shared" si="88"/>
        <v>52.069187521633893</v>
      </c>
      <c r="Z208" s="383">
        <f t="shared" si="89"/>
        <v>55.644316009766591</v>
      </c>
      <c r="AA208" s="384">
        <f t="shared" si="90"/>
        <v>59.171888502140774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5.9615682069139232E-2</v>
      </c>
      <c r="AD208" s="230">
        <f>(INDEX(Models!$BJ208:$BT208,,AH208)*(1-AF208)+INDEX(Models!$BJ208:$BT208,,AH208+1)*AF208-ERP_i)*AE208*Ramure*Pc/MaxiM</f>
        <v>7.3088470939445594E-4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'2027'!Wh/'2027'!Env_an*'2028'!Env_an</f>
        <v>53.914571824074514</v>
      </c>
      <c r="C209" s="829"/>
      <c r="D209" s="391">
        <f t="shared" si="77"/>
        <v>57.617510683022168</v>
      </c>
      <c r="E209" s="383">
        <f t="shared" si="75"/>
        <v>58.594068077263572</v>
      </c>
      <c r="F209" s="383">
        <f t="shared" si="78"/>
        <v>58.598902809089751</v>
      </c>
      <c r="G209" s="110">
        <f t="shared" si="76"/>
        <v>0.95246426195672296</v>
      </c>
      <c r="H209" s="412" t="b">
        <f>Wh_hp&gt;='2027'!Maxi_hp</f>
        <v>0</v>
      </c>
      <c r="I209" s="388">
        <f>IF(H209,Wh_hp,'2027'!Maxi_hp)</f>
        <v>61.162094530225126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6.4267595303085123E-2</v>
      </c>
      <c r="M209" s="832"/>
      <c r="N209" s="832"/>
      <c r="O209" s="48">
        <f>IF(t&lt;Tnet,'2027'!Resal+('2027'!Salim-'2027'!Resal)*(1-EXP(('2027'!Tnet-t)/('2027'!Tau_j))),Resal+(Salim-Resal)*(1-EXP((Tnet-t)/(Tau_j))))*Salcycl</f>
        <v>1.6666489054040168E-2</v>
      </c>
      <c r="P209" s="169">
        <f>(INDEX(Models!$BJ209:$BT209,,T209)*(1-R209)+INDEX(Models!$BJ209:$BT209,,T209+1)*R209-ERP_i)*Q209*Ramure*Pc/MaxiM</f>
        <v>8.8515719887634871E-5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56.605008620682163</v>
      </c>
      <c r="W209" s="400">
        <f t="shared" si="86"/>
        <v>53.914571824074514</v>
      </c>
      <c r="X209" s="157">
        <f t="shared" si="87"/>
        <v>46947</v>
      </c>
      <c r="Y209" s="383">
        <f t="shared" si="88"/>
        <v>51.525640099829431</v>
      </c>
      <c r="Z209" s="383">
        <f t="shared" si="89"/>
        <v>55.064503314405002</v>
      </c>
      <c r="AA209" s="384">
        <f t="shared" si="90"/>
        <v>58.558232385268731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5.9662474916893665E-2</v>
      </c>
      <c r="AD209" s="230">
        <f>(INDEX(Models!$BJ209:$BT209,,AH209)*(1-AF209)+INDEX(Models!$BJ209:$BT209,,AH209+1)*AF209-ERP_i)*AE209*Ramure*Pc/MaxiM</f>
        <v>7.4460631366559012E-4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'2027'!Wh/'2027'!Env_an*'2028'!Env_an</f>
        <v>52.135003691763103</v>
      </c>
      <c r="C210" s="829"/>
      <c r="D210" s="391">
        <f t="shared" si="77"/>
        <v>55.716786770092497</v>
      </c>
      <c r="E210" s="383">
        <f t="shared" si="75"/>
        <v>56.665851300978161</v>
      </c>
      <c r="F210" s="383">
        <f t="shared" si="78"/>
        <v>56.67043881341516</v>
      </c>
      <c r="G210" s="110">
        <f t="shared" si="76"/>
        <v>0.9224477772839802</v>
      </c>
      <c r="H210" s="412" t="b">
        <f>Wh_hp&gt;='2027'!Maxi_hp</f>
        <v>0</v>
      </c>
      <c r="I210" s="388">
        <f>IF(H210,Wh_hp,'2027'!Maxi_hp)</f>
        <v>62.506291921724774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6.4285528401146319E-2</v>
      </c>
      <c r="M210" s="832"/>
      <c r="N210" s="832"/>
      <c r="O210" s="48">
        <f>IF(t&lt;Tnet,'2027'!Resal+('2027'!Salim-'2027'!Resal)*(1-EXP(('2027'!Tnet-t)/('2027'!Tau_j))),Resal+(Salim-Resal)*(1-EXP((Tnet-t)/(Tau_j))))*Salcycl</f>
        <v>1.6748438593902806E-2</v>
      </c>
      <c r="P210" s="169">
        <f>(INDEX(Models!$BJ210:$BT210,,T210)*(1-R210)+INDEX(Models!$BJ210:$BT210,,T210+1)*R210-ERP_i)*Q210*Ramure*Pc/MaxiM</f>
        <v>9.1035190993096554E-5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56.517538638786831</v>
      </c>
      <c r="W210" s="400">
        <f t="shared" si="86"/>
        <v>52.135003691763103</v>
      </c>
      <c r="X210" s="157">
        <f t="shared" si="87"/>
        <v>46948</v>
      </c>
      <c r="Y210" s="383">
        <f t="shared" si="88"/>
        <v>49.827515186622833</v>
      </c>
      <c r="Z210" s="383">
        <f t="shared" si="89"/>
        <v>53.250769010211677</v>
      </c>
      <c r="AA210" s="384">
        <f t="shared" si="90"/>
        <v>56.632203296567837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5.9708683214186167E-2</v>
      </c>
      <c r="AD210" s="230">
        <f>(INDEX(Models!$BJ210:$BT210,,AH210)*(1-AF210)+INDEX(Models!$BJ210:$BT210,,AH210+1)*AF210-ERP_i)*AE210*Ramure*Pc/MaxiM</f>
        <v>7.5875054873838956E-4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'2027'!Wh/'2027'!Env_an*'2028'!Env_an</f>
        <v>53.651030552904807</v>
      </c>
      <c r="C211" s="829"/>
      <c r="D211" s="391">
        <f t="shared" si="77"/>
        <v>57.338066697521718</v>
      </c>
      <c r="E211" s="383">
        <f t="shared" si="75"/>
        <v>58.319595995123677</v>
      </c>
      <c r="F211" s="383">
        <f t="shared" si="78"/>
        <v>58.324673131286353</v>
      </c>
      <c r="G211" s="110">
        <f t="shared" si="76"/>
        <v>0.95077420484104003</v>
      </c>
      <c r="H211" s="412" t="b">
        <f>Wh_hp&gt;='2027'!Maxi_hp</f>
        <v>0</v>
      </c>
      <c r="I211" s="388">
        <f>IF(H211,Wh_hp,'2027'!Maxi_hp)</f>
        <v>60.8270261955942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6.4303461155523656E-2</v>
      </c>
      <c r="M211" s="832"/>
      <c r="N211" s="832"/>
      <c r="O211" s="48">
        <f>IF(t&lt;Tnet,'2027'!Resal+('2027'!Salim-'2027'!Resal)*(1-EXP(('2027'!Tnet-t)/('2027'!Tau_j))),Resal+(Salim-Resal)*(1-EXP((Tnet-t)/(Tau_j))))*Salcycl</f>
        <v>1.6830179991027844E-2</v>
      </c>
      <c r="P211" s="169">
        <f>(INDEX(Models!$BJ211:$BT211,,T211)*(1-R211)+INDEX(Models!$BJ211:$BT211,,T211+1)*R211-ERP_i)*Q211*Ramure*Pc/MaxiM</f>
        <v>9.3633235209016749E-5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56.42841068587007</v>
      </c>
      <c r="W211" s="400">
        <f t="shared" si="86"/>
        <v>53.651030552904807</v>
      </c>
      <c r="X211" s="157">
        <f t="shared" si="87"/>
        <v>46949</v>
      </c>
      <c r="Y211" s="383">
        <f t="shared" si="88"/>
        <v>51.276258408217842</v>
      </c>
      <c r="Z211" s="383">
        <f t="shared" si="89"/>
        <v>54.800094132592015</v>
      </c>
      <c r="AA211" s="384">
        <f t="shared" si="90"/>
        <v>58.282740598560359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5.9754336021294999E-2</v>
      </c>
      <c r="AD211" s="230">
        <f>(INDEX(Models!$BJ211:$BT211,,AH211)*(1-AF211)+INDEX(Models!$BJ211:$BT211,,AH211+1)*AF211-ERP_i)*AE211*Ramure*Pc/MaxiM</f>
        <v>7.7332546810642531E-4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'2027'!Wh/'2027'!Env_an*'2028'!Env_an</f>
        <v>53.178387525986459</v>
      </c>
      <c r="C212" s="829"/>
      <c r="D212" s="391">
        <f t="shared" si="77"/>
        <v>56.834031643268354</v>
      </c>
      <c r="E212" s="383">
        <f t="shared" si="75"/>
        <v>57.811727365371603</v>
      </c>
      <c r="F212" s="383">
        <f t="shared" si="78"/>
        <v>57.816848012930279</v>
      </c>
      <c r="G212" s="110">
        <f t="shared" si="76"/>
        <v>0.94391920880031999</v>
      </c>
      <c r="H212" s="412" t="b">
        <f>Wh_hp&gt;='2027'!Maxi_hp</f>
        <v>0</v>
      </c>
      <c r="I212" s="388">
        <f>IF(H212,Wh_hp,'2027'!Maxi_hp)</f>
        <v>61.26677577265081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6.4321393566224017E-2</v>
      </c>
      <c r="M212" s="832"/>
      <c r="N212" s="832"/>
      <c r="O212" s="48">
        <f>IF(t&lt;Tnet,'2027'!Resal+('2027'!Salim-'2027'!Resal)*(1-EXP(('2027'!Tnet-t)/('2027'!Tau_j))),Resal+(Salim-Resal)*(1-EXP((Tnet-t)/(Tau_j))))*Salcycl</f>
        <v>1.6911719588037742E-2</v>
      </c>
      <c r="P212" s="169">
        <f>(INDEX(Models!$BJ212:$BT212,,T212)*(1-R212)+INDEX(Models!$BJ212:$BT212,,T212+1)*R212-ERP_i)*Q212*Ramure*Pc/MaxiM</f>
        <v>9.6279144500105611E-5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56.337424706081656</v>
      </c>
      <c r="W212" s="400">
        <f t="shared" si="86"/>
        <v>53.178387525986459</v>
      </c>
      <c r="X212" s="157">
        <f t="shared" si="87"/>
        <v>46950</v>
      </c>
      <c r="Y212" s="383">
        <f t="shared" si="88"/>
        <v>50.826066761308155</v>
      </c>
      <c r="Z212" s="383">
        <f t="shared" si="89"/>
        <v>54.320005193904628</v>
      </c>
      <c r="AA212" s="384">
        <f t="shared" si="90"/>
        <v>57.774913967473026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5.9799462021068429E-2</v>
      </c>
      <c r="AD212" s="230">
        <f>(INDEX(Models!$BJ212:$BT212,,AH212)*(1-AF212)+INDEX(Models!$BJ212:$BT212,,AH212+1)*AF212-ERP_i)*AE212*Ramure*Pc/MaxiM</f>
        <v>7.8844989345434457E-4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'2027'!Wh/'2027'!Env_an*'2028'!Env_an</f>
        <v>54.136366390996756</v>
      </c>
      <c r="C213" s="829"/>
      <c r="D213" s="391">
        <f t="shared" si="77"/>
        <v>57.85897374348469</v>
      </c>
      <c r="E213" s="383">
        <f t="shared" si="75"/>
        <v>58.859171393380976</v>
      </c>
      <c r="F213" s="383">
        <f t="shared" si="78"/>
        <v>58.86468484958344</v>
      </c>
      <c r="G213" s="110">
        <f t="shared" si="76"/>
        <v>0.9625153640291102</v>
      </c>
      <c r="H213" s="412" t="b">
        <f>Wh_hp&gt;='2027'!Maxi_hp</f>
        <v>0</v>
      </c>
      <c r="I213" s="388">
        <f>IF(H213,Wh_hp,'2027'!Maxi_hp)</f>
        <v>58.864940440827439</v>
      </c>
      <c r="J213" s="85">
        <f>IF(H213,An,'2027'!An_max)</f>
        <v>2026</v>
      </c>
      <c r="K213" s="197">
        <f t="shared" si="79"/>
        <v>46951</v>
      </c>
      <c r="L213" s="147">
        <f>IF(t&lt;Tvie,1-EXP((T0-t)*PertePVj)+'2027'!Pspv,1-EXP((T0-t)*PertePVj)+Pspv)</f>
        <v>6.4339325633253619E-2</v>
      </c>
      <c r="M213" s="832"/>
      <c r="N213" s="832"/>
      <c r="O213" s="48">
        <f>IF(t&lt;Tnet,'2027'!Resal+('2027'!Salim-'2027'!Resal)*(1-EXP(('2027'!Tnet-t)/('2027'!Tau_j))),Resal+(Salim-Resal)*(1-EXP((Tnet-t)/(Tau_j))))*Salcycl</f>
        <v>1.6993063718337774E-2</v>
      </c>
      <c r="P213" s="169">
        <f>(INDEX(Models!$BJ213:$BT213,,T213)*(1-R213)+INDEX(Models!$BJ213:$BT213,,T213+1)*R213-ERP_i)*Q213*Ramure*Pc/MaxiM</f>
        <v>9.8961859716508788E-5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56.244379610382786</v>
      </c>
      <c r="W213" s="400">
        <f t="shared" si="86"/>
        <v>54.136366390996756</v>
      </c>
      <c r="X213" s="157">
        <f t="shared" si="87"/>
        <v>46951</v>
      </c>
      <c r="Y213" s="383">
        <f t="shared" si="88"/>
        <v>51.741911444535674</v>
      </c>
      <c r="Z213" s="383">
        <f t="shared" si="89"/>
        <v>55.29986763583338</v>
      </c>
      <c r="AA213" s="384">
        <f t="shared" si="90"/>
        <v>58.819890414610136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5.9844089371210885E-2</v>
      </c>
      <c r="AD213" s="230">
        <f>(INDEX(Models!$BJ213:$BT213,,AH213)*(1-AF213)+INDEX(Models!$BJ213:$BT213,,AH213+1)*AF213-ERP_i)*AE213*Ramure*Pc/MaxiM</f>
        <v>8.0402209197245444E-4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'2027'!Wh/'2027'!Env_an*'2028'!Env_an</f>
        <v>44.735752943422327</v>
      </c>
      <c r="C214" s="829"/>
      <c r="D214" s="391">
        <f t="shared" si="77"/>
        <v>47.812857306021257</v>
      </c>
      <c r="E214" s="383">
        <f t="shared" si="75"/>
        <v>48.643405447124216</v>
      </c>
      <c r="F214" s="383">
        <f t="shared" si="78"/>
        <v>48.646915581525811</v>
      </c>
      <c r="G214" s="110">
        <f t="shared" si="76"/>
        <v>0.79670827977649761</v>
      </c>
      <c r="H214" s="412" t="b">
        <f>Wh_hp&gt;='2027'!Maxi_hp</f>
        <v>0</v>
      </c>
      <c r="I214" s="388">
        <f>IF(H214,Wh_hp,'2027'!Maxi_hp)</f>
        <v>60.996282625351171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6.4357257356619457E-2</v>
      </c>
      <c r="M214" s="832"/>
      <c r="N214" s="832"/>
      <c r="O214" s="48">
        <f>IF(t&lt;Tnet,'2027'!Resal+('2027'!Salim-'2027'!Resal)*(1-EXP(('2027'!Tnet-t)/('2027'!Tau_j))),Resal+(Salim-Resal)*(1-EXP((Tnet-t)/(Tau_j))))*Salcycl</f>
        <v>1.7074218662707929E-2</v>
      </c>
      <c r="P214" s="169">
        <f>(INDEX(Models!$BJ214:$BT214,,T214)*(1-R214)+INDEX(Models!$BJ214:$BT214,,T214+1)*R214-ERP_i)*Q214*Ramure*Pc/MaxiM</f>
        <v>1.0168210002080194E-4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56.149073734375918</v>
      </c>
      <c r="W214" s="400">
        <f t="shared" si="86"/>
        <v>44.735752943422327</v>
      </c>
      <c r="X214" s="157">
        <f t="shared" si="87"/>
        <v>46952</v>
      </c>
      <c r="Y214" s="383">
        <f t="shared" si="88"/>
        <v>42.765351512516723</v>
      </c>
      <c r="Z214" s="383">
        <f t="shared" si="89"/>
        <v>45.706923768463092</v>
      </c>
      <c r="AA214" s="384">
        <f t="shared" si="90"/>
        <v>48.618606833557777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5.9888245565378175E-2</v>
      </c>
      <c r="AD214" s="230">
        <f>(INDEX(Models!$BJ214:$BT214,,AH214)*(1-AF214)+INDEX(Models!$BJ214:$BT214,,AH214+1)*AF214-ERP_i)*AE214*Ramure*Pc/MaxiM</f>
        <v>8.2005205870199459E-4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'2027'!Wh/'2027'!Env_an*'2028'!Env_an</f>
        <v>44.298577878244437</v>
      </c>
      <c r="C215" s="829"/>
      <c r="D215" s="391">
        <f t="shared" si="77"/>
        <v>47.346518973149031</v>
      </c>
      <c r="E215" s="383">
        <f t="shared" si="75"/>
        <v>48.172934852680036</v>
      </c>
      <c r="F215" s="383">
        <f t="shared" si="78"/>
        <v>48.176459274141685</v>
      </c>
      <c r="G215" s="110">
        <f t="shared" si="76"/>
        <v>0.79029723819858388</v>
      </c>
      <c r="H215" s="412" t="b">
        <f>Wh_hp&gt;='2027'!Maxi_hp</f>
        <v>0</v>
      </c>
      <c r="I215" s="388">
        <f>IF(H215,Wh_hp,'2027'!Maxi_hp)</f>
        <v>59.776097909915435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6.4375188736327749E-2</v>
      </c>
      <c r="M215" s="832"/>
      <c r="N215" s="832"/>
      <c r="O215" s="48">
        <f>IF(t&lt;Tnet,'2027'!Resal+('2027'!Salim-'2027'!Resal)*(1-EXP(('2027'!Tnet-t)/('2027'!Tau_j))),Resal+(Salim-Resal)*(1-EXP((Tnet-t)/(Tau_j))))*Salcycl</f>
        <v>1.7155190607719931E-2</v>
      </c>
      <c r="P215" s="169">
        <f>(INDEX(Models!$BJ215:$BT215,,T215)*(1-R215)+INDEX(Models!$BJ215:$BT215,,T215+1)*R215-ERP_i)*Q215*Ramure*Pc/MaxiM</f>
        <v>1.0444067027797452E-4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56.051305498504504</v>
      </c>
      <c r="W215" s="400">
        <f t="shared" si="86"/>
        <v>44.298577878244437</v>
      </c>
      <c r="X215" s="157">
        <f t="shared" si="87"/>
        <v>46953</v>
      </c>
      <c r="Y215" s="383">
        <f t="shared" si="88"/>
        <v>42.348822525426471</v>
      </c>
      <c r="Z215" s="383">
        <f t="shared" si="89"/>
        <v>45.262611696059409</v>
      </c>
      <c r="AA215" s="384">
        <f t="shared" si="90"/>
        <v>48.148229319918521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5.993195730388693E-2</v>
      </c>
      <c r="AD215" s="230">
        <f>(INDEX(Models!$BJ215:$BT215,,AH215)*(1-AF215)+INDEX(Models!$BJ215:$BT215,,AH215+1)*AF215-ERP_i)*AE215*Ramure*Pc/MaxiM</f>
        <v>8.3655016094491823E-4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'2027'!Wh/'2027'!Env_an*'2028'!Env_an</f>
        <v>52.385720964086346</v>
      </c>
      <c r="C216" s="829"/>
      <c r="D216" s="391">
        <f t="shared" si="77"/>
        <v>55.991166879129757</v>
      </c>
      <c r="E216" s="383">
        <f t="shared" si="75"/>
        <v>56.973155364943445</v>
      </c>
      <c r="F216" s="383">
        <f t="shared" si="78"/>
        <v>56.978709467172699</v>
      </c>
      <c r="G216" s="110">
        <f t="shared" si="76"/>
        <v>0.93627152448171691</v>
      </c>
      <c r="H216" s="412" t="b">
        <f>Wh_hp&gt;='2027'!Maxi_hp</f>
        <v>0</v>
      </c>
      <c r="I216" s="388">
        <f>IF(H216,Wh_hp,'2027'!Maxi_hp)</f>
        <v>56.979162026109471</v>
      </c>
      <c r="J216" s="85">
        <f>IF(H216,An,'2027'!An_max)</f>
        <v>2026</v>
      </c>
      <c r="K216" s="197">
        <f t="shared" si="79"/>
        <v>46954</v>
      </c>
      <c r="L216" s="147">
        <f>IF(t&lt;Tvie,1-EXP((T0-t)*PertePVj)+'2027'!Pspv,1-EXP((T0-t)*PertePVj)+Pspv)</f>
        <v>6.4393119772385266E-2</v>
      </c>
      <c r="M216" s="832"/>
      <c r="N216" s="832"/>
      <c r="O216" s="48">
        <f>IF(t&lt;Tnet,'2027'!Resal+('2027'!Salim-'2027'!Resal)*(1-EXP(('2027'!Tnet-t)/('2027'!Tau_j))),Resal+(Salim-Resal)*(1-EXP((Tnet-t)/(Tau_j))))*Salcycl</f>
        <v>1.7235985606265436E-2</v>
      </c>
      <c r="P216" s="169">
        <f>(INDEX(Models!$BJ216:$BT216,,T216)*(1-R216)+INDEX(Models!$BJ216:$BT216,,T216+1)*R216-ERP_i)*Q216*Ramure*Pc/MaxiM</f>
        <v>1.0723846140024938E-4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55.950873408788169</v>
      </c>
      <c r="W216" s="400">
        <f t="shared" si="86"/>
        <v>52.385720964086346</v>
      </c>
      <c r="X216" s="157">
        <f t="shared" si="87"/>
        <v>46954</v>
      </c>
      <c r="Y216" s="383">
        <f t="shared" si="88"/>
        <v>50.073532799006152</v>
      </c>
      <c r="Z216" s="383">
        <f t="shared" si="89"/>
        <v>53.519842422304812</v>
      </c>
      <c r="AA216" s="384">
        <f t="shared" si="90"/>
        <v>56.93450352625343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5.9975250374740816E-2</v>
      </c>
      <c r="AD216" s="230">
        <f>(INDEX(Models!$BJ216:$BT216,,AH216)*(1-AF216)+INDEX(Models!$BJ216:$BT216,,AH216+1)*AF216-ERP_i)*AE216*Ramure*Pc/MaxiM</f>
        <v>8.5352715763273171E-4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'2027'!Wh/'2027'!Env_an*'2028'!Env_an</f>
        <v>42.297559316148146</v>
      </c>
      <c r="C217" s="829"/>
      <c r="D217" s="391">
        <f t="shared" si="77"/>
        <v>45.209554192748307</v>
      </c>
      <c r="E217" s="383">
        <f t="shared" si="75"/>
        <v>46.006226045610084</v>
      </c>
      <c r="F217" s="383">
        <f t="shared" si="78"/>
        <v>46.009535197253442</v>
      </c>
      <c r="G217" s="110">
        <f t="shared" si="76"/>
        <v>0.75734612656635625</v>
      </c>
      <c r="H217" s="412" t="b">
        <f>Wh_hp&gt;='2027'!Maxi_hp</f>
        <v>0</v>
      </c>
      <c r="I217" s="388">
        <f>IF(H217,Wh_hp,'2027'!Maxi_hp)</f>
        <v>55.348148280408218</v>
      </c>
      <c r="J217" s="85">
        <f>IF(H217,An,'2027'!An_max)</f>
        <v>2020</v>
      </c>
      <c r="K217" s="197">
        <f t="shared" si="79"/>
        <v>46955</v>
      </c>
      <c r="L217" s="147">
        <f>IF(t&lt;Tvie,1-EXP((T0-t)*PertePVj)+'2027'!Pspv,1-EXP((T0-t)*PertePVj)+Pspv)</f>
        <v>6.4411050464798669E-2</v>
      </c>
      <c r="M217" s="832"/>
      <c r="N217" s="832"/>
      <c r="O217" s="48">
        <f>IF(t&lt;Tnet,'2027'!Resal+('2027'!Salim-'2027'!Resal)*(1-EXP(('2027'!Tnet-t)/('2027'!Tau_j))),Resal+(Salim-Resal)*(1-EXP((Tnet-t)/(Tau_j))))*Salcycl</f>
        <v>1.7316609540455753E-2</v>
      </c>
      <c r="P217" s="169">
        <f>(INDEX(Models!$BJ217:$BT217,,T217)*(1-R217)+INDEX(Models!$BJ217:$BT217,,T217+1)*R217-ERP_i)*Q217*Ramure*Pc/MaxiM</f>
        <v>1.1007645057201874E-4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55.847576063012866</v>
      </c>
      <c r="W217" s="400">
        <f t="shared" si="86"/>
        <v>42.297559316148146</v>
      </c>
      <c r="X217" s="157">
        <f t="shared" si="87"/>
        <v>46955</v>
      </c>
      <c r="Y217" s="383">
        <f t="shared" si="88"/>
        <v>40.439443425984877</v>
      </c>
      <c r="Z217" s="383">
        <f t="shared" si="89"/>
        <v>43.223515461651303</v>
      </c>
      <c r="AA217" s="384">
        <f t="shared" si="90"/>
        <v>45.983351104869712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6.0018149545567452E-2</v>
      </c>
      <c r="AD217" s="230">
        <f>(INDEX(Models!$BJ217:$BT217,,AH217)*(1-AF217)+INDEX(Models!$BJ217:$BT217,,AH217+1)*AF217-ERP_i)*AE217*Ramure*Pc/MaxiM</f>
        <v>8.7099421896825492E-4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'2027'!Wh/'2027'!Env_an*'2028'!Env_an</f>
        <v>48.604108592652281</v>
      </c>
      <c r="C218" s="829"/>
      <c r="D218" s="391">
        <f t="shared" si="77"/>
        <v>51.951276381902581</v>
      </c>
      <c r="E218" s="383">
        <f t="shared" si="75"/>
        <v>52.871078127933984</v>
      </c>
      <c r="F218" s="383">
        <f t="shared" si="78"/>
        <v>52.875958287727379</v>
      </c>
      <c r="G218" s="110">
        <f t="shared" si="76"/>
        <v>0.87194200495952379</v>
      </c>
      <c r="H218" s="412" t="b">
        <f>Wh_hp&gt;='2027'!Maxi_hp</f>
        <v>0</v>
      </c>
      <c r="I218" s="388">
        <f>IF(H218,Wh_hp,'2027'!Maxi_hp)</f>
        <v>56.109961045476417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6.4428980813574399E-2</v>
      </c>
      <c r="M218" s="832"/>
      <c r="N218" s="832"/>
      <c r="O218" s="48">
        <f>IF(t&lt;Tnet,'2027'!Resal+('2027'!Salim-'2027'!Resal)*(1-EXP(('2027'!Tnet-t)/('2027'!Tau_j))),Resal+(Salim-Resal)*(1-EXP((Tnet-t)/(Tau_j))))*Salcycl</f>
        <v>1.7397068087125628E-2</v>
      </c>
      <c r="P218" s="169">
        <f>(INDEX(Models!$BJ218:$BT218,,T218)*(1-R218)+INDEX(Models!$BJ218:$BT218,,T218+1)*R218-ERP_i)*Q218*Ramure*Pc/MaxiM</f>
        <v>1.1295570142683683E-4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55.741212149341003</v>
      </c>
      <c r="W218" s="400">
        <f t="shared" si="86"/>
        <v>48.604108592652281</v>
      </c>
      <c r="X218" s="157">
        <f t="shared" si="87"/>
        <v>46956</v>
      </c>
      <c r="Y218" s="383">
        <f t="shared" si="88"/>
        <v>46.464285336601336</v>
      </c>
      <c r="Z218" s="383">
        <f t="shared" si="89"/>
        <v>49.664092178706831</v>
      </c>
      <c r="AA218" s="384">
        <f t="shared" si="90"/>
        <v>52.837551362043342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6.0060678466947563E-2</v>
      </c>
      <c r="AD218" s="230">
        <f>(INDEX(Models!$BJ218:$BT218,,AH218)*(1-AF218)+INDEX(Models!$BJ218:$BT218,,AH218+1)*AF218-ERP_i)*AE218*Ramure*Pc/MaxiM</f>
        <v>8.8896294669733086E-4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'2027'!Wh/'2027'!Env_an*'2028'!Env_an</f>
        <v>52.616103096674522</v>
      </c>
      <c r="C219" s="829"/>
      <c r="D219" s="391">
        <f t="shared" si="77"/>
        <v>56.240638511193204</v>
      </c>
      <c r="E219" s="383">
        <f t="shared" si="75"/>
        <v>57.241061533111456</v>
      </c>
      <c r="F219" s="383">
        <f t="shared" si="78"/>
        <v>57.247181362853574</v>
      </c>
      <c r="G219" s="110">
        <f t="shared" si="76"/>
        <v>0.94577851798084978</v>
      </c>
      <c r="H219" s="412" t="b">
        <f>Wh_hp&gt;='2027'!Maxi_hp</f>
        <v>0</v>
      </c>
      <c r="I219" s="388">
        <f>IF(H219,Wh_hp,'2027'!Maxi_hp)</f>
        <v>57.247596581337419</v>
      </c>
      <c r="J219" s="85">
        <f>IF(H219,An,'2027'!An_max)</f>
        <v>2026</v>
      </c>
      <c r="K219" s="197">
        <f t="shared" si="79"/>
        <v>46957</v>
      </c>
      <c r="L219" s="147">
        <f>IF(t&lt;Tvie,1-EXP((T0-t)*PertePVj)+'2027'!Pspv,1-EXP((T0-t)*PertePVj)+Pspv)</f>
        <v>6.4446910818719005E-2</v>
      </c>
      <c r="M219" s="832"/>
      <c r="N219" s="832"/>
      <c r="O219" s="48">
        <f>IF(t&lt;Tnet,'2027'!Resal+('2027'!Salim-'2027'!Resal)*(1-EXP(('2027'!Tnet-t)/('2027'!Tau_j))),Resal+(Salim-Resal)*(1-EXP((Tnet-t)/(Tau_j))))*Salcycl</f>
        <v>1.7477366686142738E-2</v>
      </c>
      <c r="P219" s="169">
        <f>(INDEX(Models!$BJ219:$BT219,,T219)*(1-R219)+INDEX(Models!$BJ219:$BT219,,T219+1)*R219-ERP_i)*Q219*Ramure*Pc/MaxiM</f>
        <v>1.1587612638511376E-4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55.632084948603271</v>
      </c>
      <c r="W219" s="400">
        <f t="shared" si="86"/>
        <v>52.616103096674522</v>
      </c>
      <c r="X219" s="157">
        <f t="shared" si="87"/>
        <v>46957</v>
      </c>
      <c r="Y219" s="383">
        <f t="shared" si="88"/>
        <v>50.296660296972249</v>
      </c>
      <c r="Z219" s="383">
        <f t="shared" si="89"/>
        <v>53.761417581323734</v>
      </c>
      <c r="AA219" s="384">
        <f t="shared" si="90"/>
        <v>57.199256460902816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6.0102859587500668E-2</v>
      </c>
      <c r="AD219" s="230">
        <f>(INDEX(Models!$BJ219:$BT219,,AH219)*(1-AF219)+INDEX(Models!$BJ219:$BT219,,AH219+1)*AF219-ERP_i)*AE219*Ramure*Pc/MaxiM</f>
        <v>9.074357015550307E-4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'2027'!Wh/'2027'!Env_an*'2028'!Env_an</f>
        <v>26.812942030856721</v>
      </c>
      <c r="C220" s="829"/>
      <c r="D220" s="391">
        <f t="shared" si="77"/>
        <v>28.660539112843857</v>
      </c>
      <c r="E220" s="383">
        <f t="shared" si="75"/>
        <v>29.172739798511099</v>
      </c>
      <c r="F220" s="383">
        <f t="shared" si="78"/>
        <v>29.173645666410419</v>
      </c>
      <c r="G220" s="110">
        <f t="shared" si="76"/>
        <v>0.48289414418084353</v>
      </c>
      <c r="H220" s="412" t="b">
        <f>Wh_hp&gt;='2027'!Maxi_hp</f>
        <v>0</v>
      </c>
      <c r="I220" s="388">
        <f>IF(H220,Wh_hp,'2027'!Maxi_hp)</f>
        <v>59.315557328001788</v>
      </c>
      <c r="J220" s="85">
        <f>IF(H220,An,'2027'!An_max)</f>
        <v>2020</v>
      </c>
      <c r="K220" s="197">
        <f t="shared" si="79"/>
        <v>46958</v>
      </c>
      <c r="L220" s="147">
        <f>IF(t&lt;Tvie,1-EXP((T0-t)*PertePVj)+'2027'!Pspv,1-EXP((T0-t)*PertePVj)+Pspv)</f>
        <v>6.4464840480239149E-2</v>
      </c>
      <c r="M220" s="832"/>
      <c r="N220" s="832"/>
      <c r="O220" s="48">
        <f>IF(t&lt;Tnet,'2027'!Resal+('2027'!Salim-'2027'!Resal)*(1-EXP(('2027'!Tnet-t)/('2027'!Tau_j))),Resal+(Salim-Resal)*(1-EXP((Tnet-t)/(Tau_j))))*Salcycl</f>
        <v>1.7557510511692933E-2</v>
      </c>
      <c r="P220" s="169">
        <f>(INDEX(Models!$BJ220:$BT220,,T220)*(1-R220)+INDEX(Models!$BJ220:$BT220,,T220+1)*R220-ERP_i)*Q220*Ramure*Pc/MaxiM</f>
        <v>1.1881513591782178E-4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55.520633379898442</v>
      </c>
      <c r="W220" s="400">
        <f t="shared" si="86"/>
        <v>26.812942030856721</v>
      </c>
      <c r="X220" s="157">
        <f t="shared" si="87"/>
        <v>46958</v>
      </c>
      <c r="Y220" s="383">
        <f t="shared" si="88"/>
        <v>25.645232496193795</v>
      </c>
      <c r="Z220" s="383">
        <f t="shared" si="89"/>
        <v>27.412366318074337</v>
      </c>
      <c r="AA220" s="384">
        <f t="shared" si="90"/>
        <v>29.166582056587039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6.0144714080974201E-2</v>
      </c>
      <c r="AD220" s="230">
        <f>(INDEX(Models!$BJ220:$BT220,,AH220)*(1-AF220)+INDEX(Models!$BJ220:$BT220,,AH220+1)*AF220-ERP_i)*AE220*Ramure*Pc/MaxiM</f>
        <v>9.2647477834852132E-4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'2027'!Wh/'2027'!Env_an*'2028'!Env_an</f>
        <v>56.85929700564224</v>
      </c>
      <c r="C221" s="829"/>
      <c r="D221" s="391">
        <f t="shared" si="77"/>
        <v>60.778460481560124</v>
      </c>
      <c r="E221" s="383">
        <f t="shared" si="75"/>
        <v>61.869687367621083</v>
      </c>
      <c r="F221" s="383">
        <f t="shared" si="78"/>
        <v>61.877218642952457</v>
      </c>
      <c r="G221" s="110">
        <f t="shared" si="76"/>
        <v>1.026214007121929</v>
      </c>
      <c r="H221" s="412" t="b">
        <f>Wh_hp&gt;='2027'!Maxi_hp</f>
        <v>1</v>
      </c>
      <c r="I221" s="388">
        <f>IF(H221,Wh_hp,'2027'!Maxi_hp)</f>
        <v>61.877218642952457</v>
      </c>
      <c r="J221" s="85">
        <f>IF(H221,An,'2027'!An_max)</f>
        <v>2028</v>
      </c>
      <c r="K221" s="197">
        <f t="shared" si="79"/>
        <v>46959</v>
      </c>
      <c r="L221" s="147">
        <f>IF(t&lt;Tvie,1-EXP((T0-t)*PertePVj)+'2027'!Pspv,1-EXP((T0-t)*PertePVj)+Pspv)</f>
        <v>6.4482769798141493E-2</v>
      </c>
      <c r="M221" s="832"/>
      <c r="N221" s="832"/>
      <c r="O221" s="48">
        <f>IF(t&lt;Tnet,'2027'!Resal+('2027'!Salim-'2027'!Resal)*(1-EXP(('2027'!Tnet-t)/('2027'!Tau_j))),Resal+(Salim-Resal)*(1-EXP((Tnet-t)/(Tau_j))))*Salcycl</f>
        <v>1.7637504446677412E-2</v>
      </c>
      <c r="P221" s="169">
        <f>(INDEX(Models!$BJ221:$BT221,,T221)*(1-R221)+INDEX(Models!$BJ221:$BT221,,T221+1)*R221-ERP_i)*Q221*Ramure*Pc/MaxiM</f>
        <v>1.217132168597834E-4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55.406861152779548</v>
      </c>
      <c r="W221" s="400">
        <f t="shared" si="86"/>
        <v>56.85929700564224</v>
      </c>
      <c r="X221" s="157">
        <f t="shared" si="87"/>
        <v>46959</v>
      </c>
      <c r="Y221" s="383">
        <f t="shared" si="88"/>
        <v>54.351736575427296</v>
      </c>
      <c r="Z221" s="383">
        <f t="shared" si="89"/>
        <v>58.098060431981253</v>
      </c>
      <c r="AA221" s="384">
        <f t="shared" si="90"/>
        <v>61.818696694470781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6.0186261785462616E-2</v>
      </c>
      <c r="AD221" s="230">
        <f>(INDEX(Models!$BJ221:$BT221,,AH221)*(1-AF221)+INDEX(Models!$BJ221:$BT221,,AH221+1)*AF221-ERP_i)*AE221*Ramure*Pc/MaxiM</f>
        <v>9.4577535586016202E-4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'2027'!Wh/'2027'!Env_an*'2028'!Env_an</f>
        <v>56.897748400643152</v>
      </c>
      <c r="C222" s="829"/>
      <c r="D222" s="391">
        <f t="shared" si="77"/>
        <v>60.820727846596583</v>
      </c>
      <c r="E222" s="383">
        <f t="shared" si="75"/>
        <v>61.917746420630444</v>
      </c>
      <c r="F222" s="383">
        <f t="shared" si="78"/>
        <v>61.925460480563899</v>
      </c>
      <c r="G222" s="110">
        <f t="shared" si="76"/>
        <v>1.0290641592934002</v>
      </c>
      <c r="H222" s="412" t="b">
        <f>Wh_hp&gt;='2027'!Maxi_hp</f>
        <v>1</v>
      </c>
      <c r="I222" s="388">
        <f>IF(H222,Wh_hp,'2027'!Maxi_hp)</f>
        <v>61.925460480563899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6.4500698772432585E-2</v>
      </c>
      <c r="M222" s="832"/>
      <c r="N222" s="832"/>
      <c r="O222" s="48">
        <f>IF(t&lt;Tnet,'2027'!Resal+('2027'!Salim-'2027'!Resal)*(1-EXP(('2027'!Tnet-t)/('2027'!Tau_j))),Resal+(Salim-Resal)*(1-EXP((Tnet-t)/(Tau_j))))*Salcycl</f>
        <v>1.7717353060322967E-2</v>
      </c>
      <c r="P222" s="169">
        <f>(INDEX(Models!$BJ222:$BT222,,T222)*(1-R222)+INDEX(Models!$BJ222:$BT222,,T222+1)*R222-ERP_i)*Q222*Ramure*Pc/MaxiM</f>
        <v>1.2457008593226863E-4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55.290768691926459</v>
      </c>
      <c r="W222" s="400">
        <f t="shared" si="86"/>
        <v>56.897748400643152</v>
      </c>
      <c r="X222" s="157">
        <f t="shared" si="87"/>
        <v>46960</v>
      </c>
      <c r="Y222" s="383">
        <f t="shared" si="88"/>
        <v>54.38961554391183</v>
      </c>
      <c r="Z222" s="383">
        <f t="shared" si="89"/>
        <v>58.139664532663438</v>
      </c>
      <c r="AA222" s="384">
        <f t="shared" si="90"/>
        <v>61.865681153063477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6.0227521154764332E-2</v>
      </c>
      <c r="AD222" s="230">
        <f>(INDEX(Models!$BJ222:$BT222,,AH222)*(1-AF222)+INDEX(Models!$BJ222:$BT222,,AH222+1)*AF222-ERP_i)*AE222*Ramure*Pc/MaxiM</f>
        <v>9.6534328588778699E-4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'2027'!Wh/'2027'!Env_an*'2028'!Env_an</f>
        <v>44.361486917188422</v>
      </c>
      <c r="C223" s="829"/>
      <c r="D223" s="391">
        <f t="shared" si="77"/>
        <v>47.421026454050768</v>
      </c>
      <c r="E223" s="383">
        <f t="shared" si="75"/>
        <v>48.280273405098235</v>
      </c>
      <c r="F223" s="383">
        <f t="shared" si="78"/>
        <v>48.284702423492874</v>
      </c>
      <c r="G223" s="110">
        <f t="shared" si="76"/>
        <v>0.80402411244590943</v>
      </c>
      <c r="H223" s="412" t="b">
        <f>Wh_hp&gt;='2027'!Maxi_hp</f>
        <v>0</v>
      </c>
      <c r="I223" s="388">
        <f>IF(H223,Wh_hp,'2027'!Maxi_hp)</f>
        <v>56.218409152668862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6.4518627403118867E-2</v>
      </c>
      <c r="M223" s="832"/>
      <c r="N223" s="832"/>
      <c r="O223" s="48">
        <f>IF(t&lt;Tnet,'2027'!Resal+('2027'!Salim-'2027'!Resal)*(1-EXP(('2027'!Tnet-t)/('2027'!Tau_j))),Resal+(Salim-Resal)*(1-EXP((Tnet-t)/(Tau_j))))*Salcycl</f>
        <v>1.7797060589071351E-2</v>
      </c>
      <c r="P223" s="169">
        <f>(INDEX(Models!$BJ223:$BT223,,T223)*(1-R223)+INDEX(Models!$BJ223:$BT223,,T223+1)*R223-ERP_i)*Q223*Ramure*Pc/MaxiM</f>
        <v>1.2738548504207209E-4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55.172356436672111</v>
      </c>
      <c r="W223" s="400">
        <f t="shared" si="86"/>
        <v>44.361486917188422</v>
      </c>
      <c r="X223" s="157">
        <f t="shared" si="87"/>
        <v>46961</v>
      </c>
      <c r="Y223" s="383">
        <f t="shared" si="88"/>
        <v>42.417032601117867</v>
      </c>
      <c r="Z223" s="383">
        <f t="shared" si="89"/>
        <v>45.34246628916712</v>
      </c>
      <c r="AA223" s="384">
        <f t="shared" si="90"/>
        <v>48.250448914526658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6.0268509221766735E-2</v>
      </c>
      <c r="AD223" s="230">
        <f>(INDEX(Models!$BJ223:$BT223,,AH223)*(1-AF223)+INDEX(Models!$BJ223:$BT223,,AH223+1)*AF223-ERP_i)*AE223*Ramure*Pc/MaxiM</f>
        <v>9.8518440549642556E-4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'2027'!Wh/'2027'!Env_an*'2028'!Env_an</f>
        <v>31.684227827586493</v>
      </c>
      <c r="C224" s="829"/>
      <c r="D224" s="391">
        <f t="shared" si="77"/>
        <v>33.870086554759894</v>
      </c>
      <c r="E224" s="383">
        <f t="shared" si="75"/>
        <v>34.486590606752763</v>
      </c>
      <c r="F224" s="383">
        <f t="shared" si="78"/>
        <v>34.488357574564446</v>
      </c>
      <c r="G224" s="110">
        <f t="shared" si="76"/>
        <v>0.57549122477458614</v>
      </c>
      <c r="H224" s="412" t="b">
        <f>Wh_hp&gt;='2027'!Maxi_hp</f>
        <v>0</v>
      </c>
      <c r="I224" s="388">
        <f>IF(H224,Wh_hp,'2027'!Maxi_hp)</f>
        <v>59.204840320642759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6.4536555690207109E-2</v>
      </c>
      <c r="M224" s="832"/>
      <c r="N224" s="832"/>
      <c r="O224" s="48">
        <f>IF(t&lt;Tnet,'2027'!Resal+('2027'!Salim-'2027'!Resal)*(1-EXP(('2027'!Tnet-t)/('2027'!Tau_j))),Resal+(Salim-Resal)*(1-EXP((Tnet-t)/(Tau_j))))*Salcycl</f>
        <v>1.7876630920777549E-2</v>
      </c>
      <c r="P224" s="169">
        <f>(INDEX(Models!$BJ224:$BT224,,T224)*(1-R224)+INDEX(Models!$BJ224:$BT224,,T224+1)*R224-ERP_i)*Q224*Ramure*Pc/MaxiM</f>
        <v>1.3015917558456718E-4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55.051624845595335</v>
      </c>
      <c r="W224" s="400">
        <f t="shared" si="86"/>
        <v>31.684227827586493</v>
      </c>
      <c r="X224" s="157">
        <f t="shared" si="87"/>
        <v>46962</v>
      </c>
      <c r="Y224" s="383">
        <f t="shared" si="88"/>
        <v>30.304868222472315</v>
      </c>
      <c r="Z224" s="383">
        <f t="shared" si="89"/>
        <v>32.39556650429239</v>
      </c>
      <c r="AA224" s="384">
        <f t="shared" si="90"/>
        <v>34.474710125427848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6.0309241573634736E-2</v>
      </c>
      <c r="AD224" s="230">
        <f>(INDEX(Models!$BJ224:$BT224,,AH224)*(1-AF224)+INDEX(Models!$BJ224:$BT224,,AH224+1)*AF224-ERP_i)*AE224*Ramure*Pc/MaxiM</f>
        <v>1.0053045203793941E-3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'2027'!Wh/'2027'!Env_an*'2028'!Env_an</f>
        <v>49.003578395389553</v>
      </c>
      <c r="C225" s="829"/>
      <c r="D225" s="391">
        <f t="shared" si="77"/>
        <v>52.385283309435444</v>
      </c>
      <c r="E225" s="383">
        <f t="shared" si="75"/>
        <v>53.343115903647039</v>
      </c>
      <c r="F225" s="383">
        <f t="shared" si="78"/>
        <v>53.349113035161679</v>
      </c>
      <c r="G225" s="110">
        <f t="shared" si="76"/>
        <v>0.89211444731825995</v>
      </c>
      <c r="H225" s="412" t="b">
        <f>Wh_hp&gt;='2027'!Maxi_hp</f>
        <v>0</v>
      </c>
      <c r="I225" s="388">
        <f>IF(H225,Wh_hp,'2027'!Maxi_hp)</f>
        <v>53.349986658424307</v>
      </c>
      <c r="J225" s="85">
        <f>IF(H225,An,'2027'!An_max)</f>
        <v>2026</v>
      </c>
      <c r="K225" s="197">
        <f t="shared" si="79"/>
        <v>46963</v>
      </c>
      <c r="L225" s="147">
        <f>IF(t&lt;Tvie,1-EXP((T0-t)*PertePVj)+'2027'!Pspv,1-EXP((T0-t)*PertePVj)+Pspv)</f>
        <v>6.4554483633703863E-2</v>
      </c>
      <c r="M225" s="832"/>
      <c r="N225" s="832"/>
      <c r="O225" s="48">
        <f>IF(t&lt;Tnet,'2027'!Resal+('2027'!Salim-'2027'!Resal)*(1-EXP(('2027'!Tnet-t)/('2027'!Tau_j))),Resal+(Salim-Resal)*(1-EXP((Tnet-t)/(Tau_j))))*Salcycl</f>
        <v>1.7956067582210886E-2</v>
      </c>
      <c r="P225" s="169">
        <f>(INDEX(Models!$BJ225:$BT225,,T225)*(1-R225)+INDEX(Models!$BJ225:$BT225,,T225+1)*R225-ERP_i)*Q225*Ramure*Pc/MaxiM</f>
        <v>1.3289093304575639E-4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54.928574395066263</v>
      </c>
      <c r="W225" s="400">
        <f t="shared" si="86"/>
        <v>49.003578395389553</v>
      </c>
      <c r="X225" s="157">
        <f t="shared" si="87"/>
        <v>46963</v>
      </c>
      <c r="Y225" s="383">
        <f t="shared" si="88"/>
        <v>46.852736664978231</v>
      </c>
      <c r="Z225" s="383">
        <f t="shared" si="89"/>
        <v>50.086013397098711</v>
      </c>
      <c r="AA225" s="384">
        <f t="shared" si="90"/>
        <v>53.302824594245699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6.0349732338467098E-2</v>
      </c>
      <c r="AD225" s="230">
        <f>(INDEX(Models!$BJ225:$BT225,,AH225)*(1-AF225)+INDEX(Models!$BJ225:$BT225,,AH225+1)*AF225-ERP_i)*AE225*Ramure*Pc/MaxiM</f>
        <v>1.0257093891548139E-3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'2027'!Wh/'2027'!Env_an*'2028'!Env_an</f>
        <v>54.409842412859199</v>
      </c>
      <c r="C226" s="829"/>
      <c r="D226" s="391">
        <f t="shared" si="77"/>
        <v>58.165744806194319</v>
      </c>
      <c r="E226" s="383">
        <f t="shared" si="75"/>
        <v>59.234053091226464</v>
      </c>
      <c r="F226" s="383">
        <f t="shared" si="78"/>
        <v>59.242008586880651</v>
      </c>
      <c r="G226" s="110">
        <f t="shared" si="76"/>
        <v>0.992820976504313</v>
      </c>
      <c r="H226" s="412" t="b">
        <f>Wh_hp&gt;='2027'!Maxi_hp</f>
        <v>0</v>
      </c>
      <c r="I226" s="388">
        <f>IF(H226,Wh_hp,'2027'!Maxi_hp)</f>
        <v>59.242074407471534</v>
      </c>
      <c r="J226" s="85">
        <f>IF(H226,An,'2027'!An_max)</f>
        <v>2026</v>
      </c>
      <c r="K226" s="197">
        <f t="shared" si="79"/>
        <v>46964</v>
      </c>
      <c r="L226" s="147">
        <f>IF(t&lt;Tvie,1-EXP((T0-t)*PertePVj)+'2027'!Pspv,1-EXP((T0-t)*PertePVj)+Pspv)</f>
        <v>6.4572411233615568E-2</v>
      </c>
      <c r="M226" s="832"/>
      <c r="N226" s="832"/>
      <c r="O226" s="48">
        <f>IF(t&lt;Tnet,'2027'!Resal+('2027'!Salim-'2027'!Resal)*(1-EXP(('2027'!Tnet-t)/('2027'!Tau_j))),Resal+(Salim-Resal)*(1-EXP((Tnet-t)/(Tau_j))))*Salcycl</f>
        <v>1.8035373729817877E-2</v>
      </c>
      <c r="P226" s="169">
        <f>(INDEX(Models!$BJ226:$BT226,,T226)*(1-R226)+INDEX(Models!$BJ226:$BT226,,T226+1)*R226-ERP_i)*Q226*Ramure*Pc/MaxiM</f>
        <v>1.356793061028847E-4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54.803200168004999</v>
      </c>
      <c r="W226" s="400">
        <f t="shared" si="86"/>
        <v>54.409842412859199</v>
      </c>
      <c r="X226" s="157">
        <f t="shared" si="87"/>
        <v>46964</v>
      </c>
      <c r="Y226" s="383">
        <f t="shared" si="88"/>
        <v>52.016039142596078</v>
      </c>
      <c r="Z226" s="383">
        <f t="shared" si="89"/>
        <v>55.606697693397486</v>
      </c>
      <c r="AA226" s="384">
        <f t="shared" si="90"/>
        <v>59.180614669003774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6.0389994182979516E-2</v>
      </c>
      <c r="AD226" s="230">
        <f>(INDEX(Models!$BJ226:$BT226,,AH226)*(1-AF226)+INDEX(Models!$BJ226:$BT226,,AH226+1)*AF226-ERP_i)*AE226*Ramure*Pc/MaxiM</f>
        <v>1.0470603641261258E-3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'2027'!Wh/'2027'!Env_an*'2028'!Env_an</f>
        <v>54.040772329206227</v>
      </c>
      <c r="C227" s="829"/>
      <c r="D227" s="391">
        <f t="shared" si="77"/>
        <v>57.772305068954601</v>
      </c>
      <c r="E227" s="383">
        <f t="shared" si="75"/>
        <v>58.838131469494904</v>
      </c>
      <c r="F227" s="383">
        <f t="shared" si="78"/>
        <v>58.846149889799626</v>
      </c>
      <c r="G227" s="110">
        <f t="shared" si="76"/>
        <v>0.98838871733587563</v>
      </c>
      <c r="H227" s="412" t="b">
        <f>Wh_hp&gt;='2027'!Maxi_hp</f>
        <v>0</v>
      </c>
      <c r="I227" s="388">
        <f>IF(H227,Wh_hp,'2027'!Maxi_hp)</f>
        <v>58.846257744444664</v>
      </c>
      <c r="J227" s="85">
        <f>IF(H227,An,'2027'!An_max)</f>
        <v>2026</v>
      </c>
      <c r="K227" s="197">
        <f t="shared" si="79"/>
        <v>46965</v>
      </c>
      <c r="L227" s="147">
        <f>IF(t&lt;Tvie,1-EXP((T0-t)*PertePVj)+'2027'!Pspv,1-EXP((T0-t)*PertePVj)+Pspv)</f>
        <v>6.4590338489948995E-2</v>
      </c>
      <c r="M227" s="832"/>
      <c r="N227" s="832"/>
      <c r="O227" s="48">
        <f>IF(t&lt;Tnet,'2027'!Resal+('2027'!Salim-'2027'!Resal)*(1-EXP(('2027'!Tnet-t)/('2027'!Tau_j))),Resal+(Salim-Resal)*(1-EXP((Tnet-t)/(Tau_j))))*Salcycl</f>
        <v>1.8114552143670422E-2</v>
      </c>
      <c r="P227" s="169">
        <f>(INDEX(Models!$BJ227:$BT227,,T227)*(1-R227)+INDEX(Models!$BJ227:$BT227,,T227+1)*R227-ERP_i)*Q227*Ramure*Pc/MaxiM</f>
        <v>1.3855864472131716E-4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54.675500826985854</v>
      </c>
      <c r="W227" s="400">
        <f t="shared" si="86"/>
        <v>54.040772329206227</v>
      </c>
      <c r="X227" s="157">
        <f t="shared" si="87"/>
        <v>46965</v>
      </c>
      <c r="Y227" s="383">
        <f t="shared" si="88"/>
        <v>51.664486894947366</v>
      </c>
      <c r="Z227" s="383">
        <f t="shared" si="89"/>
        <v>55.231936359887847</v>
      </c>
      <c r="AA227" s="384">
        <f t="shared" si="90"/>
        <v>58.784272180402468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6.0430038320673549E-2</v>
      </c>
      <c r="AD227" s="230">
        <f>(INDEX(Models!$BJ227:$BT227,,AH227)*(1-AF227)+INDEX(Models!$BJ227:$BT227,,AH227+1)*AF227-ERP_i)*AE227*Ramure*Pc/MaxiM</f>
        <v>1.069249456465166E-3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'2027'!Wh/'2027'!Env_an*'2028'!Env_an</f>
        <v>54.029368571830759</v>
      </c>
      <c r="C228" s="829"/>
      <c r="D228" s="391">
        <f t="shared" si="77"/>
        <v>57.761220859078698</v>
      </c>
      <c r="E228" s="383">
        <f t="shared" si="75"/>
        <v>58.831579389219414</v>
      </c>
      <c r="F228" s="383">
        <f t="shared" si="78"/>
        <v>58.839794427699701</v>
      </c>
      <c r="G228" s="110">
        <f t="shared" si="76"/>
        <v>0.99053612289155812</v>
      </c>
      <c r="H228" s="412" t="b">
        <f>Wh_hp&gt;='2027'!Maxi_hp</f>
        <v>0</v>
      </c>
      <c r="I228" s="388">
        <f>IF(H228,Wh_hp,'2027'!Maxi_hp)</f>
        <v>58.839884104738097</v>
      </c>
      <c r="J228" s="85">
        <f>IF(H228,An,'2027'!An_max)</f>
        <v>2026</v>
      </c>
      <c r="K228" s="197">
        <f t="shared" si="79"/>
        <v>46966</v>
      </c>
      <c r="L228" s="147">
        <f>IF(t&lt;Tvie,1-EXP((T0-t)*PertePVj)+'2027'!Pspv,1-EXP((T0-t)*PertePVj)+Pspv)</f>
        <v>6.4608265402710585E-2</v>
      </c>
      <c r="M228" s="832"/>
      <c r="N228" s="832"/>
      <c r="O228" s="48">
        <f>IF(t&lt;Tnet,'2027'!Resal+('2027'!Salim-'2027'!Resal)*(1-EXP(('2027'!Tnet-t)/('2027'!Tau_j))),Resal+(Salim-Resal)*(1-EXP((Tnet-t)/(Tau_j))))*Salcycl</f>
        <v>1.8193605224490345E-2</v>
      </c>
      <c r="P228" s="169">
        <f>(INDEX(Models!$BJ228:$BT228,,T228)*(1-R228)+INDEX(Models!$BJ228:$BT228,,T228+1)*R228-ERP_i)*Q228*Ramure*Pc/MaxiM</f>
        <v>1.4153012861546819E-4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54.545476884991849</v>
      </c>
      <c r="W228" s="400">
        <f t="shared" si="86"/>
        <v>54.029368571830759</v>
      </c>
      <c r="X228" s="157">
        <f t="shared" si="87"/>
        <v>46966</v>
      </c>
      <c r="Y228" s="383">
        <f t="shared" si="88"/>
        <v>51.654382123148395</v>
      </c>
      <c r="Z228" s="383">
        <f t="shared" si="89"/>
        <v>55.222192171055433</v>
      </c>
      <c r="AA228" s="384">
        <f t="shared" si="90"/>
        <v>58.776393299174082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6.0469874529858123E-2</v>
      </c>
      <c r="AD228" s="230">
        <f>(INDEX(Models!$BJ228:$BT228,,AH228)*(1-AF228)+INDEX(Models!$BJ228:$BT228,,AH228+1)*AF228-ERP_i)*AE228*Ramure*Pc/MaxiM</f>
        <v>1.0922857995286372E-3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'2027'!Wh/'2027'!Env_an*'2028'!Env_an</f>
        <v>51.021444759712878</v>
      </c>
      <c r="C229" s="829"/>
      <c r="D229" s="391">
        <f t="shared" si="77"/>
        <v>54.546582683637105</v>
      </c>
      <c r="E229" s="383">
        <f t="shared" si="75"/>
        <v>55.561838318623401</v>
      </c>
      <c r="F229" s="383">
        <f t="shared" si="78"/>
        <v>55.569157852084189</v>
      </c>
      <c r="G229" s="110">
        <f t="shared" si="76"/>
        <v>0.93765583410351017</v>
      </c>
      <c r="H229" s="412" t="b">
        <f>Wh_hp&gt;='2027'!Maxi_hp</f>
        <v>0</v>
      </c>
      <c r="I229" s="388">
        <f>IF(H229,Wh_hp,'2027'!Maxi_hp)</f>
        <v>56.932913500318811</v>
      </c>
      <c r="J229" s="85">
        <f>IF(H229,An,'2027'!An_max)</f>
        <v>2018</v>
      </c>
      <c r="K229" s="197">
        <f t="shared" si="79"/>
        <v>46967</v>
      </c>
      <c r="L229" s="147">
        <f>IF(t&lt;Tvie,1-EXP((T0-t)*PertePVj)+'2027'!Pspv,1-EXP((T0-t)*PertePVj)+Pspv)</f>
        <v>6.4626191971906999E-2</v>
      </c>
      <c r="M229" s="832"/>
      <c r="N229" s="832"/>
      <c r="O229" s="48">
        <f>IF(t&lt;Tnet,'2027'!Resal+('2027'!Salim-'2027'!Resal)*(1-EXP(('2027'!Tnet-t)/('2027'!Tau_j))),Resal+(Salim-Resal)*(1-EXP((Tnet-t)/(Tau_j))))*Salcycl</f>
        <v>1.827253499360899E-2</v>
      </c>
      <c r="P229" s="169">
        <f>(INDEX(Models!$BJ229:$BT229,,T229)*(1-R229)+INDEX(Models!$BJ229:$BT229,,T229+1)*R229-ERP_i)*Q229*Ramure*Pc/MaxiM</f>
        <v>1.4459492959727164E-4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54.413128876202471</v>
      </c>
      <c r="W229" s="400">
        <f t="shared" si="86"/>
        <v>51.021444759712878</v>
      </c>
      <c r="X229" s="157">
        <f t="shared" si="87"/>
        <v>46967</v>
      </c>
      <c r="Y229" s="383">
        <f t="shared" si="88"/>
        <v>48.783122808610173</v>
      </c>
      <c r="Z229" s="383">
        <f t="shared" si="89"/>
        <v>52.153612160096984</v>
      </c>
      <c r="AA229" s="384">
        <f t="shared" si="90"/>
        <v>55.512655828636099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6.0509511180806351E-2</v>
      </c>
      <c r="AD229" s="230">
        <f>(INDEX(Models!$BJ229:$BT229,,AH229)*(1-AF229)+INDEX(Models!$BJ229:$BT229,,AH229+1)*AF229-ERP_i)*AE229*Ramure*Pc/MaxiM</f>
        <v>1.1161785305503836E-3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'2027'!Wh/'2027'!Env_an*'2028'!Env_an</f>
        <v>50.264984595301961</v>
      </c>
      <c r="C230" s="829"/>
      <c r="D230" s="391">
        <f t="shared" si="77"/>
        <v>53.738887596921955</v>
      </c>
      <c r="E230" s="383">
        <f t="shared" si="75"/>
        <v>54.743504428958246</v>
      </c>
      <c r="F230" s="383">
        <f t="shared" si="78"/>
        <v>54.750739556553704</v>
      </c>
      <c r="G230" s="110">
        <f t="shared" si="76"/>
        <v>0.92604326699402661</v>
      </c>
      <c r="H230" s="412" t="b">
        <f>Wh_hp&gt;='2027'!Maxi_hp</f>
        <v>0</v>
      </c>
      <c r="I230" s="388">
        <f>IF(H230,Wh_hp,'2027'!Maxi_hp)</f>
        <v>54.751418864509112</v>
      </c>
      <c r="J230" s="85">
        <f>IF(H230,An,'2027'!An_max)</f>
        <v>2026</v>
      </c>
      <c r="K230" s="197">
        <f t="shared" si="79"/>
        <v>46968</v>
      </c>
      <c r="L230" s="147">
        <f>IF(t&lt;Tvie,1-EXP((T0-t)*PertePVj)+'2027'!Pspv,1-EXP((T0-t)*PertePVj)+Pspv)</f>
        <v>6.4644118197544786E-2</v>
      </c>
      <c r="M230" s="832"/>
      <c r="N230" s="832"/>
      <c r="O230" s="48">
        <f>IF(t&lt;Tnet,'2027'!Resal+('2027'!Salim-'2027'!Resal)*(1-EXP(('2027'!Tnet-t)/('2027'!Tau_j))),Resal+(Salim-Resal)*(1-EXP((Tnet-t)/(Tau_j))))*Salcycl</f>
        <v>1.8351343095690951E-2</v>
      </c>
      <c r="P230" s="169">
        <f>(INDEX(Models!$BJ230:$BT230,,T230)*(1-R230)+INDEX(Models!$BJ230:$BT230,,T230+1)*R230-ERP_i)*Q230*Ramure*Pc/MaxiM</f>
        <v>1.4775421121514969E-4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54.278457357254275</v>
      </c>
      <c r="W230" s="400">
        <f t="shared" si="86"/>
        <v>50.264984595301961</v>
      </c>
      <c r="X230" s="157">
        <f t="shared" si="87"/>
        <v>46968</v>
      </c>
      <c r="Y230" s="383">
        <f t="shared" si="88"/>
        <v>48.061534988999661</v>
      </c>
      <c r="Z230" s="383">
        <f t="shared" si="89"/>
        <v>51.383153646699505</v>
      </c>
      <c r="AA230" s="384">
        <f t="shared" si="90"/>
        <v>54.694870940865016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6.0548955271255221E-2</v>
      </c>
      <c r="AD230" s="230">
        <f>(INDEX(Models!$BJ230:$BT230,,AH230)*(1-AF230)+INDEX(Models!$BJ230:$BT230,,AH230+1)*AF230-ERP_i)*AE230*Ramure*Pc/MaxiM</f>
        <v>1.1409367884460194E-3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'2027'!Wh/'2027'!Env_an*'2028'!Env_an</f>
        <v>45.647068679684828</v>
      </c>
      <c r="C231" s="829"/>
      <c r="D231" s="391">
        <f t="shared" si="77"/>
        <v>48.802754545300431</v>
      </c>
      <c r="E231" s="383">
        <f t="shared" si="75"/>
        <v>49.71907869723821</v>
      </c>
      <c r="F231" s="383">
        <f t="shared" si="78"/>
        <v>49.724904621703054</v>
      </c>
      <c r="G231" s="110">
        <f t="shared" si="76"/>
        <v>0.84307887292203365</v>
      </c>
      <c r="H231" s="412" t="b">
        <f>Wh_hp&gt;='2027'!Maxi_hp</f>
        <v>0</v>
      </c>
      <c r="I231" s="388">
        <f>IF(H231,Wh_hp,'2027'!Maxi_hp)</f>
        <v>57.498472641811972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6.4662044079630498E-2</v>
      </c>
      <c r="M231" s="832"/>
      <c r="N231" s="832"/>
      <c r="O231" s="48">
        <f>IF(t&lt;Tnet,'2027'!Resal+('2027'!Salim-'2027'!Resal)*(1-EXP(('2027'!Tnet-t)/('2027'!Tau_j))),Resal+(Salim-Resal)*(1-EXP((Tnet-t)/(Tau_j))))*Salcycl</f>
        <v>1.8430030804023709E-2</v>
      </c>
      <c r="P231" s="169">
        <f>(INDEX(Models!$BJ231:$BT231,,T231)*(1-R231)+INDEX(Models!$BJ231:$BT231,,T231+1)*R231-ERP_i)*Q231*Ramure*Pc/MaxiM</f>
        <v>1.5100912840067981E-4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54.141462908346433</v>
      </c>
      <c r="W231" s="400">
        <f t="shared" si="86"/>
        <v>45.647068679684828</v>
      </c>
      <c r="X231" s="157">
        <f t="shared" si="87"/>
        <v>46969</v>
      </c>
      <c r="Y231" s="383">
        <f t="shared" si="88"/>
        <v>43.652112201995457</v>
      </c>
      <c r="Z231" s="383">
        <f t="shared" si="89"/>
        <v>46.669882180758847</v>
      </c>
      <c r="AA231" s="384">
        <f t="shared" si="90"/>
        <v>49.679898421796366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6.0588212469390168E-2</v>
      </c>
      <c r="AD231" s="230">
        <f>(INDEX(Models!$BJ231:$BT231,,AH231)*(1-AF231)+INDEX(Models!$BJ231:$BT231,,AH231+1)*AF231-ERP_i)*AE231*Ramure*Pc/MaxiM</f>
        <v>1.1665697112184428E-3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'2027'!Wh/'2027'!Env_an*'2028'!Env_an</f>
        <v>50.123282270892446</v>
      </c>
      <c r="C232" s="829"/>
      <c r="D232" s="391">
        <f t="shared" si="77"/>
        <v>53.589446010720458</v>
      </c>
      <c r="E232" s="383">
        <f t="shared" si="75"/>
        <v>54.600015810283637</v>
      </c>
      <c r="F232" s="383">
        <f t="shared" si="78"/>
        <v>54.607580142470546</v>
      </c>
      <c r="G232" s="110">
        <f t="shared" si="76"/>
        <v>0.92815733895083985</v>
      </c>
      <c r="H232" s="412" t="b">
        <f>Wh_hp&gt;='2027'!Maxi_hp</f>
        <v>0</v>
      </c>
      <c r="I232" s="388">
        <f>IF(H232,Wh_hp,'2027'!Maxi_hp)</f>
        <v>58.413322100606401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6.4679969618170907E-2</v>
      </c>
      <c r="M232" s="832"/>
      <c r="N232" s="832"/>
      <c r="O232" s="48">
        <f>IF(t&lt;Tnet,'2027'!Resal+('2027'!Salim-'2027'!Resal)*(1-EXP(('2027'!Tnet-t)/('2027'!Tau_j))),Resal+(Salim-Resal)*(1-EXP((Tnet-t)/(Tau_j))))*Salcycl</f>
        <v>1.8508599028149778E-2</v>
      </c>
      <c r="P232" s="169">
        <f>(INDEX(Models!$BJ232:$BT232,,T232)*(1-R232)+INDEX(Models!$BJ232:$BT232,,T232+1)*R232-ERP_i)*Q232*Ramure*Pc/MaxiM</f>
        <v>1.5436082714522827E-4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54.002146129760106</v>
      </c>
      <c r="W232" s="400">
        <f t="shared" si="86"/>
        <v>50.123282270892446</v>
      </c>
      <c r="X232" s="157">
        <f t="shared" si="87"/>
        <v>46970</v>
      </c>
      <c r="Y232" s="383">
        <f t="shared" si="88"/>
        <v>47.927621369696638</v>
      </c>
      <c r="Z232" s="383">
        <f t="shared" si="89"/>
        <v>51.24194907932312</v>
      </c>
      <c r="AA232" s="384">
        <f t="shared" si="90"/>
        <v>54.549113870456416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6.0627287163402363E-2</v>
      </c>
      <c r="AD232" s="230">
        <f>(INDEX(Models!$BJ232:$BT232,,AH232)*(1-AF232)+INDEX(Models!$BJ232:$BT232,,AH232+1)*AF232-ERP_i)*AE232*Ramure*Pc/MaxiM</f>
        <v>1.1930864331709684E-3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'2027'!Wh/'2027'!Env_an*'2028'!Env_an</f>
        <v>52.745014562492294</v>
      </c>
      <c r="C233" s="829"/>
      <c r="D233" s="391">
        <f t="shared" si="77"/>
        <v>56.393559118480141</v>
      </c>
      <c r="E233" s="383">
        <f t="shared" ref="E233:E296" si="100">Wh_pvt/(1-Psa)</f>
        <v>57.461600666825625</v>
      </c>
      <c r="F233" s="383">
        <f t="shared" si="78"/>
        <v>57.470401586594846</v>
      </c>
      <c r="G233" s="110">
        <f t="shared" ref="G233:G296" si="101">+Wh_hp/MaxiM</f>
        <v>0.97927670763419139</v>
      </c>
      <c r="H233" s="412" t="b">
        <f>Wh_hp&gt;='2027'!Maxi_hp</f>
        <v>0</v>
      </c>
      <c r="I233" s="388">
        <f>IF(H233,Wh_hp,'2027'!Maxi_hp)</f>
        <v>57.470614400759345</v>
      </c>
      <c r="J233" s="85">
        <f>IF(H233,An,'2027'!An_max)</f>
        <v>2026</v>
      </c>
      <c r="K233" s="197">
        <f t="shared" si="79"/>
        <v>46971</v>
      </c>
      <c r="L233" s="147">
        <f>IF(t&lt;Tvie,1-EXP((T0-t)*PertePVj)+'2027'!Pspv,1-EXP((T0-t)*PertePVj)+Pspv)</f>
        <v>6.4697894813172341E-2</v>
      </c>
      <c r="M233" s="832"/>
      <c r="N233" s="832"/>
      <c r="O233" s="48">
        <f>IF(t&lt;Tnet,'2027'!Resal+('2027'!Salim-'2027'!Resal)*(1-EXP(('2027'!Tnet-t)/('2027'!Tau_j))),Resal+(Salim-Resal)*(1-EXP((Tnet-t)/(Tau_j))))*Salcycl</f>
        <v>1.8587048323596318E-2</v>
      </c>
      <c r="P233" s="169">
        <f>(INDEX(Models!$BJ233:$BT233,,T233)*(1-R233)+INDEX(Models!$BJ233:$BT233,,T233+1)*R233-ERP_i)*Q233*Ramure*Pc/MaxiM</f>
        <v>1.5780916513342773E-4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53.860944254959165</v>
      </c>
      <c r="W233" s="400">
        <f t="shared" si="86"/>
        <v>52.745014562492294</v>
      </c>
      <c r="X233" s="157">
        <f t="shared" si="87"/>
        <v>46971</v>
      </c>
      <c r="Y233" s="383">
        <f t="shared" si="88"/>
        <v>50.431447650187224</v>
      </c>
      <c r="Z233" s="383">
        <f t="shared" si="89"/>
        <v>53.919955242818027</v>
      </c>
      <c r="AA233" s="384">
        <f t="shared" si="90"/>
        <v>57.402335824851157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6.0666182516661712E-2</v>
      </c>
      <c r="AD233" s="230">
        <f>(INDEX(Models!$BJ233:$BT233,,AH233)*(1-AF233)+INDEX(Models!$BJ233:$BT233,,AH233+1)*AF233-ERP_i)*AE233*Ramure*Pc/MaxiM</f>
        <v>1.2204861896934925E-3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'2027'!Wh/'2027'!Env_an*'2028'!Env_an</f>
        <v>53.189108139361842</v>
      </c>
      <c r="C234" s="829"/>
      <c r="D234" s="391">
        <f t="shared" si="77"/>
        <v>56.869461985650382</v>
      </c>
      <c r="E234" s="383">
        <f t="shared" si="100"/>
        <v>57.951142009137897</v>
      </c>
      <c r="F234" s="383">
        <f t="shared" si="78"/>
        <v>57.960367054015805</v>
      </c>
      <c r="G234" s="110">
        <f t="shared" si="101"/>
        <v>0.99014916819326504</v>
      </c>
      <c r="H234" s="412" t="b">
        <f>Wh_hp&gt;='2027'!Maxi_hp</f>
        <v>0</v>
      </c>
      <c r="I234" s="388">
        <f>IF(H234,Wh_hp,'2027'!Maxi_hp)</f>
        <v>57.960471343861798</v>
      </c>
      <c r="J234" s="85">
        <f>IF(H234,An,'2027'!An_max)</f>
        <v>2026</v>
      </c>
      <c r="K234" s="197">
        <f t="shared" si="79"/>
        <v>46972</v>
      </c>
      <c r="L234" s="147">
        <f>IF(t&lt;Tvie,1-EXP((T0-t)*PertePVj)+'2027'!Pspv,1-EXP((T0-t)*PertePVj)+Pspv)</f>
        <v>6.4715819664641572E-2</v>
      </c>
      <c r="M234" s="832"/>
      <c r="N234" s="832"/>
      <c r="O234" s="48">
        <f>IF(t&lt;Tnet,'2027'!Resal+('2027'!Salim-'2027'!Resal)*(1-EXP(('2027'!Tnet-t)/('2027'!Tau_j))),Resal+(Salim-Resal)*(1-EXP((Tnet-t)/(Tau_j))))*Salcycl</f>
        <v>1.8665378903438234E-2</v>
      </c>
      <c r="P234" s="169">
        <f>(INDEX(Models!$BJ234:$BT234,,T234)*(1-R234)+INDEX(Models!$BJ234:$BT234,,T234+1)*R234-ERP_i)*Q234*Ramure*Pc/MaxiM</f>
        <v>1.6143251625846939E-4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53.718155831946575</v>
      </c>
      <c r="W234" s="400">
        <f t="shared" si="86"/>
        <v>53.189108139361842</v>
      </c>
      <c r="X234" s="157">
        <f t="shared" si="87"/>
        <v>46972</v>
      </c>
      <c r="Y234" s="383">
        <f t="shared" si="88"/>
        <v>50.855908678862754</v>
      </c>
      <c r="Z234" s="383">
        <f t="shared" si="89"/>
        <v>54.374819705202007</v>
      </c>
      <c r="AA234" s="384">
        <f t="shared" si="90"/>
        <v>57.888963474566658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6.0704900527517328E-2</v>
      </c>
      <c r="AD234" s="230">
        <f>(INDEX(Models!$BJ234:$BT234,,AH234)*(1-AF234)+INDEX(Models!$BJ234:$BT234,,AH234+1)*AF234-ERP_i)*AE234*Ramure*Pc/MaxiM</f>
        <v>1.2495179864052679E-3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'2027'!Wh/'2027'!Env_an*'2028'!Env_an</f>
        <v>51.192809441580188</v>
      </c>
      <c r="C235" s="829"/>
      <c r="D235" s="391">
        <f t="shared" si="77"/>
        <v>54.736080899540994</v>
      </c>
      <c r="E235" s="383">
        <f t="shared" si="100"/>
        <v>55.781628917846263</v>
      </c>
      <c r="F235" s="383">
        <f t="shared" si="78"/>
        <v>55.79026331079303</v>
      </c>
      <c r="G235" s="110">
        <f t="shared" si="101"/>
        <v>0.95555073311470473</v>
      </c>
      <c r="H235" s="412" t="b">
        <f>Wh_hp&gt;='2027'!Maxi_hp</f>
        <v>0</v>
      </c>
      <c r="I235" s="388">
        <f>IF(H235,Wh_hp,'2027'!Maxi_hp)</f>
        <v>56.144783633335642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6.4733744172585039E-2</v>
      </c>
      <c r="M235" s="832"/>
      <c r="N235" s="832"/>
      <c r="O235" s="48">
        <f>IF(t&lt;Tnet,'2027'!Resal+('2027'!Salim-'2027'!Resal)*(1-EXP(('2027'!Tnet-t)/('2027'!Tau_j))),Resal+(Salim-Resal)*(1-EXP((Tnet-t)/(Tau_j))))*Salcycl</f>
        <v>1.8743590651415447E-2</v>
      </c>
      <c r="P235" s="169">
        <f>(INDEX(Models!$BJ235:$BT235,,T235)*(1-R235)+INDEX(Models!$BJ235:$BT235,,T235+1)*R235-ERP_i)*Q235*Ramure*Pc/MaxiM</f>
        <v>1.6525647633853312E-4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53.573578574126223</v>
      </c>
      <c r="W235" s="400">
        <f t="shared" si="86"/>
        <v>51.192809441580188</v>
      </c>
      <c r="X235" s="157">
        <f t="shared" si="87"/>
        <v>46973</v>
      </c>
      <c r="Y235" s="383">
        <f t="shared" si="88"/>
        <v>48.950478355963092</v>
      </c>
      <c r="Z235" s="383">
        <f t="shared" si="89"/>
        <v>52.338548569420368</v>
      </c>
      <c r="AA235" s="384">
        <f t="shared" si="90"/>
        <v>55.723378377078951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6.0743442092715712E-2</v>
      </c>
      <c r="AD235" s="230">
        <f>(INDEX(Models!$BJ235:$BT235,,AH235)*(1-AF235)+INDEX(Models!$BJ235:$BT235,,AH235+1)*AF235-ERP_i)*AE235*Ramure*Pc/MaxiM</f>
        <v>1.2801326664031584E-3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'2027'!Wh/'2027'!Env_an*'2028'!Env_an</f>
        <v>48.375686448416673</v>
      </c>
      <c r="C236" s="829"/>
      <c r="D236" s="391">
        <f t="shared" si="77"/>
        <v>51.724964173310582</v>
      </c>
      <c r="E236" s="383">
        <f t="shared" si="100"/>
        <v>52.717190427371264</v>
      </c>
      <c r="F236" s="383">
        <f t="shared" si="78"/>
        <v>52.724910367958891</v>
      </c>
      <c r="G236" s="110">
        <f t="shared" si="101"/>
        <v>0.90543301619161587</v>
      </c>
      <c r="H236" s="412" t="b">
        <f>Wh_hp&gt;='2027'!Maxi_hp</f>
        <v>0</v>
      </c>
      <c r="I236" s="388">
        <f>IF(H236,Wh_hp,'2027'!Maxi_hp)</f>
        <v>53.37794367209424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6.4751668337009516E-2</v>
      </c>
      <c r="M236" s="832"/>
      <c r="N236" s="832"/>
      <c r="O236" s="48">
        <f>IF(t&lt;Tnet,'2027'!Resal+('2027'!Salim-'2027'!Resal)*(1-EXP(('2027'!Tnet-t)/('2027'!Tau_j))),Resal+(Salim-Resal)*(1-EXP((Tnet-t)/(Tau_j))))*Salcycl</f>
        <v>1.8821683136313497E-2</v>
      </c>
      <c r="P236" s="169">
        <f>(INDEX(Models!$BJ236:$BT236,,T236)*(1-R236)+INDEX(Models!$BJ236:$BT236,,T236+1)*R236-ERP_i)*Q236*Ramure*Pc/MaxiM</f>
        <v>1.6928372021786999E-4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53.427011535681778</v>
      </c>
      <c r="W236" s="400">
        <f t="shared" si="86"/>
        <v>48.375686448416673</v>
      </c>
      <c r="X236" s="157">
        <f t="shared" si="87"/>
        <v>46974</v>
      </c>
      <c r="Y236" s="383">
        <f t="shared" si="88"/>
        <v>46.261109375433634</v>
      </c>
      <c r="Z236" s="383">
        <f t="shared" si="89"/>
        <v>49.463984921711109</v>
      </c>
      <c r="AA236" s="384">
        <f t="shared" si="90"/>
        <v>52.66506259592623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6.0781807073418972E-2</v>
      </c>
      <c r="AD236" s="230">
        <f>(INDEX(Models!$BJ236:$BT236,,AH236)*(1-AF236)+INDEX(Models!$BJ236:$BT236,,AH236+1)*AF236-ERP_i)*AE236*Ramure*Pc/MaxiM</f>
        <v>1.312348635516742E-3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'2027'!Wh/'2027'!Env_an*'2028'!Env_an</f>
        <v>46.778282425733344</v>
      </c>
      <c r="C237" s="829"/>
      <c r="D237" s="391">
        <f t="shared" si="77"/>
        <v>50.017922892036935</v>
      </c>
      <c r="E237" s="383">
        <f t="shared" si="100"/>
        <v>50.98145483173591</v>
      </c>
      <c r="F237" s="383">
        <f t="shared" si="78"/>
        <v>50.988760263118884</v>
      </c>
      <c r="G237" s="110">
        <f t="shared" si="101"/>
        <v>0.8779729847598019</v>
      </c>
      <c r="H237" s="412" t="b">
        <f>Wh_hp&gt;='2027'!Maxi_hp</f>
        <v>0</v>
      </c>
      <c r="I237" s="388">
        <f>IF(H237,Wh_hp,'2027'!Maxi_hp)</f>
        <v>51.914944304147305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6.476959215792133E-2</v>
      </c>
      <c r="M237" s="832"/>
      <c r="N237" s="832"/>
      <c r="O237" s="48">
        <f>IF(t&lt;Tnet,'2027'!Resal+('2027'!Salim-'2027'!Resal)*(1-EXP(('2027'!Tnet-t)/('2027'!Tau_j))),Resal+(Salim-Resal)*(1-EXP((Tnet-t)/(Tau_j))))*Salcycl</f>
        <v>1.8899655627308064E-2</v>
      </c>
      <c r="P237" s="169">
        <f>(INDEX(Models!$BJ237:$BT237,,T237)*(1-R237)+INDEX(Models!$BJ237:$BT237,,T237+1)*R237-ERP_i)*Q237*Ramure*Pc/MaxiM</f>
        <v>1.7351697185614517E-4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53.278253867559364</v>
      </c>
      <c r="W237" s="400">
        <f t="shared" si="86"/>
        <v>46.778282425733344</v>
      </c>
      <c r="X237" s="157">
        <f t="shared" si="87"/>
        <v>46975</v>
      </c>
      <c r="Y237" s="383">
        <f t="shared" si="88"/>
        <v>44.736179839021162</v>
      </c>
      <c r="Z237" s="383">
        <f t="shared" si="89"/>
        <v>47.834394031567065</v>
      </c>
      <c r="AA237" s="384">
        <f t="shared" si="90"/>
        <v>50.93208303461865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6.0819994362808126E-2</v>
      </c>
      <c r="AD237" s="230">
        <f>(INDEX(Models!$BJ237:$BT237,,AH237)*(1-AF237)+INDEX(Models!$BJ237:$BT237,,AH237+1)*AF237-ERP_i)*AE237*Ramure*Pc/MaxiM</f>
        <v>1.3461848516535249E-3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'2027'!Wh/'2027'!Env_an*'2028'!Env_an</f>
        <v>47.708557562521278</v>
      </c>
      <c r="C238" s="829"/>
      <c r="D238" s="391">
        <f t="shared" si="77"/>
        <v>51.013602106618173</v>
      </c>
      <c r="E238" s="383">
        <f t="shared" si="100"/>
        <v>52.000440842426926</v>
      </c>
      <c r="F238" s="383">
        <f t="shared" si="78"/>
        <v>52.008347663241004</v>
      </c>
      <c r="G238" s="110">
        <f t="shared" si="101"/>
        <v>0.89798456913714486</v>
      </c>
      <c r="H238" s="412" t="b">
        <f>Wh_hp&gt;='2027'!Maxi_hp</f>
        <v>0</v>
      </c>
      <c r="I238" s="388">
        <f>IF(H238,Wh_hp,'2027'!Maxi_hp)</f>
        <v>52.009413751077624</v>
      </c>
      <c r="J238" s="85">
        <f>IF(H238,An,'2027'!An_max)</f>
        <v>2026</v>
      </c>
      <c r="K238" s="197">
        <f t="shared" si="79"/>
        <v>46976</v>
      </c>
      <c r="L238" s="147">
        <f>IF(t&lt;Tvie,1-EXP((T0-t)*PertePVj)+'2027'!Pspv,1-EXP((T0-t)*PertePVj)+Pspv)</f>
        <v>6.4787515635327364E-2</v>
      </c>
      <c r="M238" s="832"/>
      <c r="N238" s="832"/>
      <c r="O238" s="48">
        <f>IF(t&lt;Tnet,'2027'!Resal+('2027'!Salim-'2027'!Resal)*(1-EXP(('2027'!Tnet-t)/('2027'!Tau_j))),Resal+(Salim-Resal)*(1-EXP((Tnet-t)/(Tau_j))))*Salcycl</f>
        <v>1.8977507109970454E-2</v>
      </c>
      <c r="P238" s="169">
        <f>(INDEX(Models!$BJ238:$BT238,,T238)*(1-R238)+INDEX(Models!$BJ238:$BT238,,T238+1)*R238-ERP_i)*Q238*Ramure*Pc/MaxiM</f>
        <v>1.7795901382457744E-4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53.12710481965302</v>
      </c>
      <c r="W238" s="400">
        <f t="shared" si="86"/>
        <v>47.708557562521278</v>
      </c>
      <c r="X238" s="157">
        <f t="shared" si="87"/>
        <v>46976</v>
      </c>
      <c r="Y238" s="383">
        <f t="shared" si="88"/>
        <v>45.624875528862802</v>
      </c>
      <c r="Z238" s="383">
        <f t="shared" si="89"/>
        <v>48.785571505557492</v>
      </c>
      <c r="AA238" s="384">
        <f t="shared" si="90"/>
        <v>51.946959679234872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6.0858001954272302E-2</v>
      </c>
      <c r="AD238" s="230">
        <f>(INDEX(Models!$BJ238:$BT238,,AH238)*(1-AF238)+INDEX(Models!$BJ238:$BT238,,AH238+1)*AF238-ERP_i)*AE238*Ramure*Pc/MaxiM</f>
        <v>1.3816608914367127E-3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'2027'!Wh/'2027'!Env_an*'2028'!Env_an</f>
        <v>35.904505994865552</v>
      </c>
      <c r="C239" s="829"/>
      <c r="D239" s="391">
        <f t="shared" si="77"/>
        <v>38.392552184663373</v>
      </c>
      <c r="E239" s="383">
        <f t="shared" si="100"/>
        <v>39.138342550455597</v>
      </c>
      <c r="F239" s="383">
        <f t="shared" si="78"/>
        <v>39.1422001921812</v>
      </c>
      <c r="G239" s="110">
        <f t="shared" si="101"/>
        <v>0.67772716509015318</v>
      </c>
      <c r="H239" s="412" t="b">
        <f>Wh_hp&gt;='2027'!Maxi_hp</f>
        <v>0</v>
      </c>
      <c r="I239" s="388">
        <f>IF(H239,Wh_hp,'2027'!Maxi_hp)</f>
        <v>49.870847104426645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6.4805438769233947E-2</v>
      </c>
      <c r="M239" s="832"/>
      <c r="N239" s="832"/>
      <c r="O239" s="48">
        <f>IF(t&lt;Tnet,'2027'!Resal+('2027'!Salim-'2027'!Resal)*(1-EXP(('2027'!Tnet-t)/('2027'!Tau_j))),Resal+(Salim-Resal)*(1-EXP((Tnet-t)/(Tau_j))))*Salcycl</f>
        <v>1.9055236302630264E-2</v>
      </c>
      <c r="P239" s="169">
        <f>(INDEX(Models!$BJ239:$BT239,,T239)*(1-R239)+INDEX(Models!$BJ239:$BT239,,T239+1)*R239-ERP_i)*Q239*Ramure*Pc/MaxiM</f>
        <v>1.8261269699867855E-4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52.973363737293532</v>
      </c>
      <c r="W239" s="400">
        <f t="shared" si="86"/>
        <v>35.904505994865552</v>
      </c>
      <c r="X239" s="157">
        <f t="shared" si="87"/>
        <v>46977</v>
      </c>
      <c r="Y239" s="383">
        <f t="shared" si="88"/>
        <v>34.350123621922307</v>
      </c>
      <c r="Z239" s="383">
        <f t="shared" si="89"/>
        <v>36.730457004279096</v>
      </c>
      <c r="AA239" s="384">
        <f t="shared" si="90"/>
        <v>39.112228505281458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6.0895827009211263E-2</v>
      </c>
      <c r="AD239" s="230">
        <f>(INDEX(Models!$BJ239:$BT239,,AH239)*(1-AF239)+INDEX(Models!$BJ239:$BT239,,AH239+1)*AF239-ERP_i)*AE239*Ramure*Pc/MaxiM</f>
        <v>1.4187970184061367E-3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'2027'!Wh/'2027'!Env_an*'2028'!Env_an</f>
        <v>34.080765410050581</v>
      </c>
      <c r="C240" s="829"/>
      <c r="D240" s="391">
        <f t="shared" si="77"/>
        <v>36.443131713479318</v>
      </c>
      <c r="E240" s="383">
        <f t="shared" si="100"/>
        <v>37.153993182553222</v>
      </c>
      <c r="F240" s="383">
        <f t="shared" si="78"/>
        <v>37.157430860606709</v>
      </c>
      <c r="G240" s="110">
        <f t="shared" si="101"/>
        <v>0.6452020807108354</v>
      </c>
      <c r="H240" s="412" t="b">
        <f>Wh_hp&gt;='2027'!Maxi_hp</f>
        <v>0</v>
      </c>
      <c r="I240" s="388">
        <f>IF(H240,Wh_hp,'2027'!Maxi_hp)</f>
        <v>56.99494858795164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6.4823361559647741E-2</v>
      </c>
      <c r="M240" s="832"/>
      <c r="N240" s="832"/>
      <c r="O240" s="48">
        <f>IF(t&lt;Tnet,'2027'!Resal+('2027'!Salim-'2027'!Resal)*(1-EXP(('2027'!Tnet-t)/('2027'!Tau_j))),Resal+(Salim-Resal)*(1-EXP((Tnet-t)/(Tau_j))))*Salcycl</f>
        <v>1.9132841672795324E-2</v>
      </c>
      <c r="P240" s="169">
        <f>(INDEX(Models!$BJ240:$BT240,,T240)*(1-R240)+INDEX(Models!$BJ240:$BT240,,T240+1)*R240-ERP_i)*Q240*Ramure*Pc/MaxiM</f>
        <v>1.8757156101084491E-4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52.81682527421107</v>
      </c>
      <c r="W240" s="400">
        <f t="shared" si="86"/>
        <v>34.080765410050581</v>
      </c>
      <c r="X240" s="157">
        <f t="shared" si="87"/>
        <v>46978</v>
      </c>
      <c r="Y240" s="383">
        <f t="shared" si="88"/>
        <v>32.607930003151772</v>
      </c>
      <c r="Z240" s="383">
        <f t="shared" si="89"/>
        <v>34.868204211702604</v>
      </c>
      <c r="AA240" s="384">
        <f t="shared" si="90"/>
        <v>37.130706873707787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6.0933465923517185E-2</v>
      </c>
      <c r="AD240" s="230">
        <f>(INDEX(Models!$BJ240:$BT240,,AH240)*(1-AF240)+INDEX(Models!$BJ240:$BT240,,AH240+1)*AF240-ERP_i)*AE240*Ramure*Pc/MaxiM</f>
        <v>1.4581528174171848E-3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'2027'!Wh/'2027'!Env_an*'2028'!Env_an</f>
        <v>38.606966884341638</v>
      </c>
      <c r="C241" s="829"/>
      <c r="D241" s="391">
        <f t="shared" si="77"/>
        <v>41.283865748210701</v>
      </c>
      <c r="E241" s="383">
        <f t="shared" si="100"/>
        <v>42.092475737902582</v>
      </c>
      <c r="F241" s="383">
        <f t="shared" si="78"/>
        <v>42.097496647204707</v>
      </c>
      <c r="G241" s="110">
        <f t="shared" si="101"/>
        <v>0.73312027563349447</v>
      </c>
      <c r="H241" s="412" t="b">
        <f>Wh_hp&gt;='2027'!Maxi_hp</f>
        <v>0</v>
      </c>
      <c r="I241" s="388">
        <f>IF(H241,Wh_hp,'2027'!Maxi_hp)</f>
        <v>50.673625731633024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6.4841284006575406E-2</v>
      </c>
      <c r="M241" s="832"/>
      <c r="N241" s="832"/>
      <c r="O241" s="48">
        <f>IF(t&lt;Tnet,'2027'!Resal+('2027'!Salim-'2027'!Resal)*(1-EXP(('2027'!Tnet-t)/('2027'!Tau_j))),Resal+(Salim-Resal)*(1-EXP((Tnet-t)/(Tau_j))))*Salcycl</f>
        <v>1.9210321453336596E-2</v>
      </c>
      <c r="P241" s="169">
        <f>(INDEX(Models!$BJ241:$BT241,,T241)*(1-R241)+INDEX(Models!$BJ241:$BT241,,T241+1)*R241-ERP_i)*Q241*Ramure*Pc/MaxiM</f>
        <v>1.927354567626213E-4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52.657294439143172</v>
      </c>
      <c r="W241" s="400">
        <f t="shared" si="86"/>
        <v>38.606966884341638</v>
      </c>
      <c r="X241" s="157">
        <f t="shared" si="87"/>
        <v>46979</v>
      </c>
      <c r="Y241" s="383">
        <f t="shared" si="88"/>
        <v>36.933254468534713</v>
      </c>
      <c r="Z241" s="383">
        <f t="shared" si="89"/>
        <v>39.494102805105442</v>
      </c>
      <c r="AA241" s="384">
        <f t="shared" si="90"/>
        <v>42.058444632231634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6.097091439185081E-2</v>
      </c>
      <c r="AD241" s="230">
        <f>(INDEX(Models!$BJ241:$BT241,,AH241)*(1-AF241)+INDEX(Models!$BJ241:$BT241,,AH241+1)*AF241-ERP_i)*AE241*Ramure*Pc/MaxiM</f>
        <v>1.4990726759699492E-3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'2027'!Wh/'2027'!Env_an*'2028'!Env_an</f>
        <v>35.708281694897352</v>
      </c>
      <c r="C242" s="829"/>
      <c r="D242" s="391">
        <f t="shared" si="77"/>
        <v>38.184925658476395</v>
      </c>
      <c r="E242" s="383">
        <f t="shared" si="100"/>
        <v>38.935908760227427</v>
      </c>
      <c r="F242" s="383">
        <f t="shared" si="78"/>
        <v>38.94009904724674</v>
      </c>
      <c r="G242" s="110">
        <f t="shared" si="101"/>
        <v>0.68016652397814392</v>
      </c>
      <c r="H242" s="412" t="b">
        <f>Wh_hp&gt;='2027'!Maxi_hp</f>
        <v>0</v>
      </c>
      <c r="I242" s="388">
        <f>IF(H242,Wh_hp,'2027'!Maxi_hp)</f>
        <v>55.891220971481495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6.4859206110023382E-2</v>
      </c>
      <c r="M242" s="832"/>
      <c r="N242" s="832"/>
      <c r="O242" s="48">
        <f>IF(t&lt;Tnet,'2027'!Resal+('2027'!Salim-'2027'!Resal)*(1-EXP(('2027'!Tnet-t)/('2027'!Tau_j))),Resal+(Salim-Resal)*(1-EXP((Tnet-t)/(Tau_j))))*Salcycl</f>
        <v>1.9287673658156642E-2</v>
      </c>
      <c r="P242" s="169">
        <f>(INDEX(Models!$BJ242:$BT242,,T242)*(1-R242)+INDEX(Models!$BJ242:$BT242,,T242+1)*R242-ERP_i)*Q242*Ramure*Pc/MaxiM</f>
        <v>1.981073375193626E-4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52.494570861206007</v>
      </c>
      <c r="W242" s="400">
        <f t="shared" si="86"/>
        <v>35.708281694897352</v>
      </c>
      <c r="X242" s="157">
        <f t="shared" si="87"/>
        <v>46980</v>
      </c>
      <c r="Y242" s="383">
        <f t="shared" si="88"/>
        <v>34.164263003391213</v>
      </c>
      <c r="Z242" s="383">
        <f t="shared" si="89"/>
        <v>36.533817395854925</v>
      </c>
      <c r="AA242" s="384">
        <f t="shared" si="90"/>
        <v>38.907492195513193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6.1008167468886564E-2</v>
      </c>
      <c r="AD242" s="230">
        <f>(INDEX(Models!$BJ242:$BT242,,AH242)*(1-AF242)+INDEX(Models!$BJ242:$BT242,,AH242+1)*AF242-ERP_i)*AE242*Ramure*Pc/MaxiM</f>
        <v>1.5415785486891209E-3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'2027'!Wh/'2027'!Env_an*'2028'!Env_an</f>
        <v>28.648809903685699</v>
      </c>
      <c r="C243" s="829"/>
      <c r="D243" s="391">
        <f t="shared" si="77"/>
        <v>30.636412344861263</v>
      </c>
      <c r="E243" s="383">
        <f t="shared" si="100"/>
        <v>31.241398786284986</v>
      </c>
      <c r="F243" s="383">
        <f t="shared" si="78"/>
        <v>31.243648747455911</v>
      </c>
      <c r="G243" s="110">
        <f t="shared" si="101"/>
        <v>0.54740843489096547</v>
      </c>
      <c r="H243" s="412" t="b">
        <f>Wh_hp&gt;='2027'!Maxi_hp</f>
        <v>0</v>
      </c>
      <c r="I243" s="388">
        <f>IF(H243,Wh_hp,'2027'!Maxi_hp)</f>
        <v>54.973908818601828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6.4877127869998441E-2</v>
      </c>
      <c r="M243" s="832"/>
      <c r="N243" s="832"/>
      <c r="O243" s="48">
        <f>IF(t&lt;Tnet,'2027'!Resal+('2027'!Salim-'2027'!Resal)*(1-EXP(('2027'!Tnet-t)/('2027'!Tau_j))),Resal+(Salim-Resal)*(1-EXP((Tnet-t)/(Tau_j))))*Salcycl</f>
        <v>1.9364896097075875E-2</v>
      </c>
      <c r="P243" s="169">
        <f>(INDEX(Models!$BJ243:$BT243,,T243)*(1-R243)+INDEX(Models!$BJ243:$BT243,,T243+1)*R243-ERP_i)*Q243*Ramure*Pc/MaxiM</f>
        <v>2.0369026731300636E-4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52.328454259171622</v>
      </c>
      <c r="W243" s="400">
        <f t="shared" si="86"/>
        <v>28.648809903685699</v>
      </c>
      <c r="X243" s="157">
        <f t="shared" si="87"/>
        <v>46981</v>
      </c>
      <c r="Y243" s="383">
        <f t="shared" si="88"/>
        <v>27.417734377002343</v>
      </c>
      <c r="Z243" s="383">
        <f t="shared" si="89"/>
        <v>29.31992703221006</v>
      </c>
      <c r="AA243" s="384">
        <f t="shared" si="90"/>
        <v>31.22613319094615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6.1045219626770397E-2</v>
      </c>
      <c r="AD243" s="230">
        <f>(INDEX(Models!$BJ243:$BT243,,AH243)*(1-AF243)+INDEX(Models!$BJ243:$BT243,,AH243+1)*AF243-ERP_i)*AE243*Ramure*Pc/MaxiM</f>
        <v>1.5856933149413206E-3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'2027'!Wh/'2027'!Env_an*'2028'!Env_an</f>
        <v>36.348142187765013</v>
      </c>
      <c r="C244" s="829"/>
      <c r="D244" s="391">
        <f t="shared" si="77"/>
        <v>38.870655277817818</v>
      </c>
      <c r="E244" s="383">
        <f t="shared" si="100"/>
        <v>39.641362100239398</v>
      </c>
      <c r="F244" s="383">
        <f t="shared" si="78"/>
        <v>39.646070942991521</v>
      </c>
      <c r="G244" s="110">
        <f t="shared" si="101"/>
        <v>0.69681210406018812</v>
      </c>
      <c r="H244" s="412" t="b">
        <f>Wh_hp&gt;='2027'!Maxi_hp</f>
        <v>0</v>
      </c>
      <c r="I244" s="388">
        <f>IF(H244,Wh_hp,'2027'!Maxi_hp)</f>
        <v>54.287330596628593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6.4895049286506912E-2</v>
      </c>
      <c r="M244" s="832"/>
      <c r="N244" s="832"/>
      <c r="O244" s="48">
        <f>IF(t&lt;Tnet,'2027'!Resal+('2027'!Salim-'2027'!Resal)*(1-EXP(('2027'!Tnet-t)/('2027'!Tau_j))),Resal+(Salim-Resal)*(1-EXP((Tnet-t)/(Tau_j))))*Salcycl</f>
        <v>1.9441986389688852E-2</v>
      </c>
      <c r="P244" s="169">
        <f>(INDEX(Models!$BJ244:$BT244,,T244)*(1-R244)+INDEX(Models!$BJ244:$BT244,,T244+1)*R244-ERP_i)*Q244*Ramure*Pc/MaxiM</f>
        <v>2.0948743125953105E-4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52.158744439950084</v>
      </c>
      <c r="W244" s="400">
        <f t="shared" si="86"/>
        <v>36.348142187765013</v>
      </c>
      <c r="X244" s="157">
        <f t="shared" si="87"/>
        <v>46982</v>
      </c>
      <c r="Y244" s="383">
        <f t="shared" si="88"/>
        <v>34.77653032700816</v>
      </c>
      <c r="Z244" s="383">
        <f t="shared" si="89"/>
        <v>37.189975628375585</v>
      </c>
      <c r="AA244" s="384">
        <f t="shared" si="90"/>
        <v>39.609399537963903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6.1082064808112228E-2</v>
      </c>
      <c r="AD244" s="230">
        <f>(INDEX(Models!$BJ244:$BT244,,AH244)*(1-AF244)+INDEX(Models!$BJ244:$BT244,,AH244+1)*AF244-ERP_i)*AE244*Ramure*Pc/MaxiM</f>
        <v>1.6314408537945067E-3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'2027'!Wh/'2027'!Env_an*'2028'!Env_an</f>
        <v>41.40376320110343</v>
      </c>
      <c r="C245" s="829"/>
      <c r="D245" s="391">
        <f t="shared" si="77"/>
        <v>44.277978293660887</v>
      </c>
      <c r="E245" s="383">
        <f t="shared" si="100"/>
        <v>45.159442838176489</v>
      </c>
      <c r="F245" s="383">
        <f t="shared" si="78"/>
        <v>45.166345967559877</v>
      </c>
      <c r="G245" s="110">
        <f t="shared" si="101"/>
        <v>0.79640234867326232</v>
      </c>
      <c r="H245" s="412" t="b">
        <f>Wh_hp&gt;='2027'!Maxi_hp</f>
        <v>0</v>
      </c>
      <c r="I245" s="388">
        <f>IF(H245,Wh_hp,'2027'!Maxi_hp)</f>
        <v>46.197672752985881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6.4912970359555677E-2</v>
      </c>
      <c r="M245" s="832"/>
      <c r="N245" s="832"/>
      <c r="O245" s="48">
        <f>IF(t&lt;Tnet,'2027'!Resal+('2027'!Salim-'2027'!Resal)*(1-EXP(('2027'!Tnet-t)/('2027'!Tau_j))),Resal+(Salim-Resal)*(1-EXP((Tnet-t)/(Tau_j))))*Salcycl</f>
        <v>1.9518941977965099E-2</v>
      </c>
      <c r="P245" s="169">
        <f>(INDEX(Models!$BJ245:$BT245,,T245)*(1-R245)+INDEX(Models!$BJ245:$BT245,,T245+1)*R245-ERP_i)*Q245*Ramure*Pc/MaxiM</f>
        <v>2.1550214621386793E-4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51.985241301436275</v>
      </c>
      <c r="W245" s="400">
        <f t="shared" si="86"/>
        <v>41.40376320110343</v>
      </c>
      <c r="X245" s="157">
        <f t="shared" si="87"/>
        <v>46983</v>
      </c>
      <c r="Y245" s="383">
        <f t="shared" si="88"/>
        <v>39.605935187561286</v>
      </c>
      <c r="Z245" s="383">
        <f t="shared" si="89"/>
        <v>42.355346542225476</v>
      </c>
      <c r="AA245" s="384">
        <f t="shared" si="90"/>
        <v>45.112567886009622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6.1118696473920334E-2</v>
      </c>
      <c r="AD245" s="230">
        <f>(INDEX(Models!$BJ245:$BT245,,AH245)*(1-AF245)+INDEX(Models!$BJ245:$BT245,,AH245+1)*AF245-ERP_i)*AE245*Ramure*Pc/MaxiM</f>
        <v>1.678846121765115E-3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'2027'!Wh/'2027'!Env_an*'2028'!Env_an</f>
        <v>49.721723922791767</v>
      </c>
      <c r="C246" s="829"/>
      <c r="D246" s="391">
        <f t="shared" si="77"/>
        <v>53.174384063127384</v>
      </c>
      <c r="E246" s="383">
        <f t="shared" si="100"/>
        <v>54.237203289307722</v>
      </c>
      <c r="F246" s="383">
        <f t="shared" si="78"/>
        <v>54.248540328415928</v>
      </c>
      <c r="G246" s="110">
        <f t="shared" si="101"/>
        <v>0.95972310278348483</v>
      </c>
      <c r="H246" s="412" t="b">
        <f>Wh_hp&gt;='2027'!Maxi_hp</f>
        <v>0</v>
      </c>
      <c r="I246" s="388">
        <f>IF(H246,Wh_hp,'2027'!Maxi_hp)</f>
        <v>54.249085983170417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6.4930891089151066E-2</v>
      </c>
      <c r="M246" s="832"/>
      <c r="N246" s="832"/>
      <c r="O246" s="48">
        <f>IF(t&lt;Tnet,'2027'!Resal+('2027'!Salim-'2027'!Resal)*(1-EXP(('2027'!Tnet-t)/('2027'!Tau_j))),Resal+(Salim-Resal)*(1-EXP((Tnet-t)/(Tau_j))))*Salcycl</f>
        <v>1.9595760137393746E-2</v>
      </c>
      <c r="P246" s="169">
        <f>(INDEX(Models!$BJ246:$BT246,,T246)*(1-R246)+INDEX(Models!$BJ246:$BT246,,T246+1)*R246-ERP_i)*Q246*Ramure*Pc/MaxiM</f>
        <v>2.2173787184278588E-4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51.807744824360839</v>
      </c>
      <c r="W246" s="400">
        <f t="shared" si="86"/>
        <v>49.721723922791767</v>
      </c>
      <c r="X246" s="157">
        <f t="shared" si="87"/>
        <v>46984</v>
      </c>
      <c r="Y246" s="383">
        <f t="shared" si="88"/>
        <v>47.546414387055023</v>
      </c>
      <c r="Z246" s="383">
        <f t="shared" si="89"/>
        <v>50.848021749361607</v>
      </c>
      <c r="AA246" s="384">
        <f t="shared" si="90"/>
        <v>54.160194259423761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6.1155107645978271E-2</v>
      </c>
      <c r="AD246" s="230">
        <f>(INDEX(Models!$BJ246:$BT246,,AH246)*(1-AF246)+INDEX(Models!$BJ246:$BT246,,AH246+1)*AF246-ERP_i)*AE246*Ramure*Pc/MaxiM</f>
        <v>1.7279352339739464E-3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'2027'!Wh/'2027'!Env_an*'2028'!Env_an</f>
        <v>33.586823177886174</v>
      </c>
      <c r="C247" s="829"/>
      <c r="D247" s="391">
        <f t="shared" si="77"/>
        <v>35.919769516446053</v>
      </c>
      <c r="E247" s="383">
        <f t="shared" si="100"/>
        <v>36.640579035307567</v>
      </c>
      <c r="F247" s="383">
        <f t="shared" si="78"/>
        <v>36.644766969946055</v>
      </c>
      <c r="G247" s="110">
        <f t="shared" si="101"/>
        <v>0.65049846454509874</v>
      </c>
      <c r="H247" s="412" t="b">
        <f>Wh_hp&gt;='2027'!Maxi_hp</f>
        <v>0</v>
      </c>
      <c r="I247" s="388">
        <f>IF(H247,Wh_hp,'2027'!Maxi_hp)</f>
        <v>54.553633144965026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6.494881147529985E-2</v>
      </c>
      <c r="M247" s="832"/>
      <c r="N247" s="832"/>
      <c r="O247" s="48">
        <f>IF(t&lt;Tnet,'2027'!Resal+('2027'!Salim-'2027'!Resal)*(1-EXP(('2027'!Tnet-t)/('2027'!Tau_j))),Resal+(Salim-Resal)*(1-EXP((Tnet-t)/(Tau_j))))*Salcycl</f>
        <v>1.9672437986499286E-2</v>
      </c>
      <c r="P247" s="169">
        <f>(INDEX(Models!$BJ247:$BT247,,T247)*(1-R247)+INDEX(Models!$BJ247:$BT247,,T247+1)*R247-ERP_i)*Q247*Ramure*Pc/MaxiM</f>
        <v>2.2819599877812227E-4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51.626558171810963</v>
      </c>
      <c r="W247" s="400">
        <f t="shared" si="86"/>
        <v>33.586823177886174</v>
      </c>
      <c r="X247" s="157">
        <f t="shared" si="87"/>
        <v>46985</v>
      </c>
      <c r="Y247" s="383">
        <f t="shared" si="88"/>
        <v>32.139373935127814</v>
      </c>
      <c r="Z247" s="383">
        <f t="shared" si="89"/>
        <v>34.371780207922626</v>
      </c>
      <c r="AA247" s="384">
        <f t="shared" si="90"/>
        <v>36.61212329661651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6.1191290943263157E-2</v>
      </c>
      <c r="AD247" s="230">
        <f>(INDEX(Models!$BJ247:$BT247,,AH247)*(1-AF247)+INDEX(Models!$BJ247:$BT247,,AH247+1)*AF247-ERP_i)*AE247*Ramure*Pc/MaxiM</f>
        <v>1.778718218464767E-3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'2027'!Wh/'2027'!Env_an*'2028'!Env_an</f>
        <v>26.767922694818651</v>
      </c>
      <c r="C248" s="829"/>
      <c r="D248" s="391">
        <f t="shared" si="77"/>
        <v>28.627775713559217</v>
      </c>
      <c r="E248" s="383">
        <f t="shared" si="100"/>
        <v>29.204535277471152</v>
      </c>
      <c r="F248" s="383">
        <f t="shared" si="78"/>
        <v>29.206694904515146</v>
      </c>
      <c r="G248" s="110">
        <f t="shared" si="101"/>
        <v>0.5202665687107898</v>
      </c>
      <c r="H248" s="412" t="b">
        <f>Wh_hp&gt;='2027'!Maxi_hp</f>
        <v>0</v>
      </c>
      <c r="I248" s="388">
        <f>IF(H248,Wh_hp,'2027'!Maxi_hp)</f>
        <v>56.59830554422004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6.4966731518008469E-2</v>
      </c>
      <c r="M248" s="832"/>
      <c r="N248" s="832"/>
      <c r="O248" s="48">
        <f>IF(t&lt;Tnet,'2027'!Resal+('2027'!Salim-'2027'!Resal)*(1-EXP(('2027'!Tnet-t)/('2027'!Tau_j))),Resal+(Salim-Resal)*(1-EXP((Tnet-t)/(Tau_j))))*Salcycl</f>
        <v>1.9748972494585751E-2</v>
      </c>
      <c r="P248" s="169">
        <f>(INDEX(Models!$BJ248:$BT248,,T248)*(1-R248)+INDEX(Models!$BJ248:$BT248,,T248+1)*R248-ERP_i)*Q248*Ramure*Pc/MaxiM</f>
        <v>2.3489873680974067E-4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51.44211742937501</v>
      </c>
      <c r="W248" s="400">
        <f t="shared" si="86"/>
        <v>26.767922694818651</v>
      </c>
      <c r="X248" s="157">
        <f t="shared" si="87"/>
        <v>46986</v>
      </c>
      <c r="Y248" s="383">
        <f t="shared" si="88"/>
        <v>25.622380008771692</v>
      </c>
      <c r="Z248" s="383">
        <f t="shared" si="89"/>
        <v>27.402639962072293</v>
      </c>
      <c r="AA248" s="384">
        <f t="shared" si="90"/>
        <v>29.189854125677776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6.1227238612107528E-2</v>
      </c>
      <c r="AD248" s="230">
        <f>(INDEX(Models!$BJ248:$BT248,,AH248)*(1-AF248)+INDEX(Models!$BJ248:$BT248,,AH248+1)*AF248-ERP_i)*AE248*Ramure*Pc/MaxiM</f>
        <v>1.8317411271503838E-3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'2027'!Wh/'2027'!Env_an*'2028'!Env_an</f>
        <v>48.544756663681312</v>
      </c>
      <c r="C249" s="829"/>
      <c r="D249" s="391">
        <f t="shared" si="77"/>
        <v>51.918673556408521</v>
      </c>
      <c r="E249" s="383">
        <f t="shared" si="100"/>
        <v>52.968799093022923</v>
      </c>
      <c r="F249" s="383">
        <f t="shared" si="78"/>
        <v>52.980640632806285</v>
      </c>
      <c r="G249" s="110">
        <f t="shared" si="101"/>
        <v>0.94711563522548381</v>
      </c>
      <c r="H249" s="412" t="b">
        <f>Wh_hp&gt;='2027'!Maxi_hp</f>
        <v>0</v>
      </c>
      <c r="I249" s="388">
        <f>IF(H249,Wh_hp,'2027'!Maxi_hp)</f>
        <v>53.920594526150673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6.4984651217283473E-2</v>
      </c>
      <c r="M249" s="832"/>
      <c r="N249" s="832"/>
      <c r="O249" s="48">
        <f>IF(t&lt;Tnet,'2027'!Resal+('2027'!Salim-'2027'!Resal)*(1-EXP(('2027'!Tnet-t)/('2027'!Tau_j))),Resal+(Salim-Resal)*(1-EXP((Tnet-t)/(Tau_j))))*Salcycl</f>
        <v>1.9825360487599364E-2</v>
      </c>
      <c r="P249" s="169">
        <f>(INDEX(Models!$BJ249:$BT249,,T249)*(1-R249)+INDEX(Models!$BJ249:$BT249,,T249+1)*R249-ERP_i)*Q249*Ramure*Pc/MaxiM</f>
        <v>2.4176615915938514E-4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51.254427938592372</v>
      </c>
      <c r="W249" s="400">
        <f t="shared" si="86"/>
        <v>48.544756663681312</v>
      </c>
      <c r="X249" s="157">
        <f t="shared" si="87"/>
        <v>46987</v>
      </c>
      <c r="Y249" s="383">
        <f t="shared" si="88"/>
        <v>46.421794962576058</v>
      </c>
      <c r="Z249" s="383">
        <f t="shared" si="89"/>
        <v>49.648163554760835</v>
      </c>
      <c r="AA249" s="384">
        <f t="shared" si="90"/>
        <v>52.888253596402514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6.1262942549913782E-2</v>
      </c>
      <c r="AD249" s="230">
        <f>(INDEX(Models!$BJ249:$BT249,,AH249)*(1-AF249)+INDEX(Models!$BJ249:$BT249,,AH249+1)*AF249-ERP_i)*AE249*Ramure*Pc/MaxiM</f>
        <v>1.8862461602203067E-3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'2027'!Wh/'2027'!Env_an*'2028'!Env_an</f>
        <v>46.279926981697599</v>
      </c>
      <c r="C250" s="829"/>
      <c r="D250" s="391">
        <f t="shared" si="77"/>
        <v>49.497384190741698</v>
      </c>
      <c r="E250" s="383">
        <f t="shared" si="100"/>
        <v>50.50246395940048</v>
      </c>
      <c r="F250" s="383">
        <f t="shared" si="78"/>
        <v>50.513349794493401</v>
      </c>
      <c r="G250" s="110">
        <f t="shared" si="101"/>
        <v>0.90629106979390783</v>
      </c>
      <c r="H250" s="412" t="b">
        <f>Wh_hp&gt;='2027'!Maxi_hp</f>
        <v>0</v>
      </c>
      <c r="I250" s="388">
        <f>IF(H250,Wh_hp,'2027'!Maxi_hp)</f>
        <v>53.710943273979339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6.5002570573131635E-2</v>
      </c>
      <c r="M250" s="832"/>
      <c r="N250" s="832"/>
      <c r="O250" s="48">
        <f>IF(t&lt;Tnet,'2027'!Resal+('2027'!Salim-'2027'!Resal)*(1-EXP(('2027'!Tnet-t)/('2027'!Tau_j))),Resal+(Salim-Resal)*(1-EXP((Tnet-t)/(Tau_j))))*Salcycl</f>
        <v>1.9901598652033666E-2</v>
      </c>
      <c r="P250" s="169">
        <f>(INDEX(Models!$BJ250:$BT250,,T250)*(1-R250)+INDEX(Models!$BJ250:$BT250,,T250+1)*R250-ERP_i)*Q250*Ramure*Pc/MaxiM</f>
        <v>2.4880025980781705E-4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51.063490802397794</v>
      </c>
      <c r="W250" s="400">
        <f t="shared" si="86"/>
        <v>46.279926981697599</v>
      </c>
      <c r="X250" s="157">
        <f t="shared" si="87"/>
        <v>46988</v>
      </c>
      <c r="Y250" s="383">
        <f t="shared" si="88"/>
        <v>44.260152606912818</v>
      </c>
      <c r="Z250" s="383">
        <f t="shared" si="89"/>
        <v>47.337191754680291</v>
      </c>
      <c r="AA250" s="384">
        <f t="shared" si="90"/>
        <v>50.428369855090381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6.1298394322339189E-2</v>
      </c>
      <c r="AD250" s="230">
        <f>(INDEX(Models!$BJ250:$BT250,,AH250)*(1-AF250)+INDEX(Models!$BJ250:$BT250,,AH250+1)*AF250-ERP_i)*AE250*Ramure*Pc/MaxiM</f>
        <v>1.9422516344819196E-3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'2027'!Wh/'2027'!Env_an*'2028'!Env_an</f>
        <v>32.447206146787828</v>
      </c>
      <c r="C251" s="829"/>
      <c r="D251" s="391">
        <f t="shared" si="77"/>
        <v>34.703654770365205</v>
      </c>
      <c r="E251" s="383">
        <f t="shared" si="100"/>
        <v>35.411086245064745</v>
      </c>
      <c r="F251" s="383">
        <f t="shared" si="78"/>
        <v>35.415462167690009</v>
      </c>
      <c r="G251" s="110">
        <f t="shared" si="101"/>
        <v>0.63776980715593612</v>
      </c>
      <c r="H251" s="412" t="b">
        <f>Wh_hp&gt;='2027'!Maxi_hp</f>
        <v>0</v>
      </c>
      <c r="I251" s="388">
        <f>IF(H251,Wh_hp,'2027'!Maxi_hp)</f>
        <v>50.59926404911738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6.5020489585559393E-2</v>
      </c>
      <c r="M251" s="832"/>
      <c r="N251" s="832"/>
      <c r="O251" s="48">
        <f>IF(t&lt;Tnet,'2027'!Resal+('2027'!Salim-'2027'!Resal)*(1-EXP(('2027'!Tnet-t)/('2027'!Tau_j))),Resal+(Salim-Resal)*(1-EXP((Tnet-t)/(Tau_j))))*Salcycl</f>
        <v>1.9977683536836949E-2</v>
      </c>
      <c r="P251" s="169">
        <f>(INDEX(Models!$BJ251:$BT251,,T251)*(1-R251)+INDEX(Models!$BJ251:$BT251,,T251+1)*R251-ERP_i)*Q251*Ramure*Pc/MaxiM</f>
        <v>2.5600315251135091E-4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50.869307123918446</v>
      </c>
      <c r="W251" s="400">
        <f t="shared" si="86"/>
        <v>32.447206146787828</v>
      </c>
      <c r="X251" s="157">
        <f t="shared" si="87"/>
        <v>46989</v>
      </c>
      <c r="Y251" s="383">
        <f t="shared" si="88"/>
        <v>31.051809082472861</v>
      </c>
      <c r="Z251" s="383">
        <f t="shared" si="89"/>
        <v>33.211218787787963</v>
      </c>
      <c r="AA251" s="384">
        <f t="shared" si="90"/>
        <v>35.381279508059933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6.1333585173979542E-2</v>
      </c>
      <c r="AD251" s="230">
        <f>(INDEX(Models!$BJ251:$BT251,,AH251)*(1-AF251)+INDEX(Models!$BJ251:$BT251,,AH251+1)*AF251-ERP_i)*AE251*Ramure*Pc/MaxiM</f>
        <v>1.9997768187215749E-3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'2027'!Wh/'2027'!Env_an*'2028'!Env_an</f>
        <v>43.089887574574078</v>
      </c>
      <c r="C252" s="829"/>
      <c r="D252" s="391">
        <f t="shared" si="77"/>
        <v>46.087334447752042</v>
      </c>
      <c r="E252" s="383">
        <f t="shared" si="100"/>
        <v>47.030465126572189</v>
      </c>
      <c r="F252" s="383">
        <f t="shared" si="78"/>
        <v>47.040206140282066</v>
      </c>
      <c r="G252" s="110">
        <f t="shared" si="101"/>
        <v>0.85032295753907094</v>
      </c>
      <c r="H252" s="412" t="b">
        <f>Wh_hp&gt;='2027'!Maxi_hp</f>
        <v>0</v>
      </c>
      <c r="I252" s="388">
        <f>IF(H252,Wh_hp,'2027'!Maxi_hp)</f>
        <v>53.844483293966427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6.503840825457341E-2</v>
      </c>
      <c r="M252" s="832"/>
      <c r="N252" s="832"/>
      <c r="O252" s="48">
        <f>IF(t&lt;Tnet,'2027'!Resal+('2027'!Salim-'2027'!Resal)*(1-EXP(('2027'!Tnet-t)/('2027'!Tau_j))),Resal+(Salim-Resal)*(1-EXP((Tnet-t)/(Tau_j))))*Salcycl</f>
        <v>2.0053611553317932E-2</v>
      </c>
      <c r="P252" s="169">
        <f>(INDEX(Models!$BJ252:$BT252,,T252)*(1-R252)+INDEX(Models!$BJ252:$BT252,,T252+1)*R252-ERP_i)*Q252*Ramure*Pc/MaxiM</f>
        <v>2.6337682683480419E-4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50.671878020046492</v>
      </c>
      <c r="W252" s="400">
        <f t="shared" si="86"/>
        <v>43.089887574574078</v>
      </c>
      <c r="X252" s="157">
        <f t="shared" si="87"/>
        <v>46990</v>
      </c>
      <c r="Y252" s="383">
        <f t="shared" si="88"/>
        <v>41.214926012455891</v>
      </c>
      <c r="Z252" s="383">
        <f t="shared" si="89"/>
        <v>44.081945586143377</v>
      </c>
      <c r="AA252" s="384">
        <f t="shared" si="90"/>
        <v>46.964059771553515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6.1368506032688876E-2</v>
      </c>
      <c r="AD252" s="230">
        <f>(INDEX(Models!$BJ252:$BT252,,AH252)*(1-AF252)+INDEX(Models!$BJ252:$BT252,,AH252+1)*AF252-ERP_i)*AE252*Ramure*Pc/MaxiM</f>
        <v>2.058840031236648E-3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'2027'!Wh/'2027'!Env_an*'2028'!Env_an</f>
        <v>49.003061544817044</v>
      </c>
      <c r="C253" s="829"/>
      <c r="D253" s="391">
        <f t="shared" si="77"/>
        <v>52.412848964017847</v>
      </c>
      <c r="E253" s="383">
        <f t="shared" si="100"/>
        <v>53.489560600447959</v>
      </c>
      <c r="F253" s="383">
        <f t="shared" si="78"/>
        <v>53.503453574332951</v>
      </c>
      <c r="G253" s="110">
        <f t="shared" si="101"/>
        <v>0.97090033986950197</v>
      </c>
      <c r="H253" s="412" t="b">
        <f>Wh_hp&gt;='2027'!Maxi_hp</f>
        <v>0</v>
      </c>
      <c r="I253" s="388">
        <f>IF(H253,Wh_hp,'2027'!Maxi_hp)</f>
        <v>53.503927104775158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6.5056326580180235E-2</v>
      </c>
      <c r="M253" s="832"/>
      <c r="N253" s="832"/>
      <c r="O253" s="48">
        <f>IF(t&lt;Tnet,'2027'!Resal+('2027'!Salim-'2027'!Resal)*(1-EXP(('2027'!Tnet-t)/('2027'!Tau_j))),Resal+(Salim-Resal)*(1-EXP((Tnet-t)/(Tau_j))))*Salcycl</f>
        <v>2.0129378973083135E-2</v>
      </c>
      <c r="P253" s="169">
        <f>(INDEX(Models!$BJ253:$BT253,,T253)*(1-R253)+INDEX(Models!$BJ253:$BT253,,T253+1)*R253-ERP_i)*Q253*Ramure*Pc/MaxiM</f>
        <v>2.7092329806442965E-4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50.471204610643696</v>
      </c>
      <c r="W253" s="400">
        <f t="shared" si="86"/>
        <v>49.003061544817044</v>
      </c>
      <c r="X253" s="157">
        <f t="shared" si="87"/>
        <v>46991</v>
      </c>
      <c r="Y253" s="383">
        <f t="shared" si="88"/>
        <v>46.855787363967899</v>
      </c>
      <c r="Z253" s="383">
        <f t="shared" si="89"/>
        <v>50.116160680118476</v>
      </c>
      <c r="AA253" s="384">
        <f t="shared" si="90"/>
        <v>53.394767462779186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6.1403147507781294E-2</v>
      </c>
      <c r="AD253" s="230">
        <f>(INDEX(Models!$BJ253:$BT253,,AH253)*(1-AF253)+INDEX(Models!$BJ253:$BT253,,AH253+1)*AF253-ERP_i)*AE253*Ramure*Pc/MaxiM</f>
        <v>2.1194598103826553E-3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'2027'!Wh/'2027'!Env_an*'2028'!Env_an</f>
        <v>47.936926387219927</v>
      </c>
      <c r="C254" s="829"/>
      <c r="D254" s="391">
        <f t="shared" si="77"/>
        <v>51.273511408167316</v>
      </c>
      <c r="E254" s="383">
        <f t="shared" si="100"/>
        <v>52.330855395504933</v>
      </c>
      <c r="F254" s="383">
        <f t="shared" si="78"/>
        <v>52.344475853499063</v>
      </c>
      <c r="G254" s="110">
        <f t="shared" si="101"/>
        <v>0.95362300726260263</v>
      </c>
      <c r="H254" s="412" t="b">
        <f>Wh_hp&gt;='2027'!Maxi_hp</f>
        <v>0</v>
      </c>
      <c r="I254" s="388">
        <f>IF(H254,Wh_hp,'2027'!Maxi_hp)</f>
        <v>54.734917062438733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6.5074244562386419E-2</v>
      </c>
      <c r="M254" s="832"/>
      <c r="N254" s="832"/>
      <c r="O254" s="48">
        <f>IF(t&lt;Tnet,'2027'!Resal+('2027'!Salim-'2027'!Resal)*(1-EXP(('2027'!Tnet-t)/('2027'!Tau_j))),Resal+(Salim-Resal)*(1-EXP((Tnet-t)/(Tau_j))))*Salcycl</f>
        <v>2.0204981924076111E-2</v>
      </c>
      <c r="P254" s="169">
        <f>(INDEX(Models!$BJ254:$BT254,,T254)*(1-R254)+INDEX(Models!$BJ254:$BT254,,T254+1)*R254-ERP_i)*Q254*Ramure*Pc/MaxiM</f>
        <v>2.7866335925291551E-4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50.26728707754706</v>
      </c>
      <c r="W254" s="400">
        <f t="shared" si="86"/>
        <v>47.936926387219927</v>
      </c>
      <c r="X254" s="157">
        <f t="shared" si="87"/>
        <v>46992</v>
      </c>
      <c r="Y254" s="383">
        <f t="shared" si="88"/>
        <v>45.837944929605534</v>
      </c>
      <c r="Z254" s="383">
        <f t="shared" si="89"/>
        <v>49.028433180932133</v>
      </c>
      <c r="AA254" s="384">
        <f t="shared" si="90"/>
        <v>52.237792554883015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6.1437499882465489E-2</v>
      </c>
      <c r="AD254" s="230">
        <f>(INDEX(Models!$BJ254:$BT254,,AH254)*(1-AF254)+INDEX(Models!$BJ254:$BT254,,AH254+1)*AF254-ERP_i)*AE254*Ramure*Pc/MaxiM</f>
        <v>2.1826524762492278E-3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'2027'!Wh/'2027'!Env_an*'2028'!Env_an</f>
        <v>32.80168760071885</v>
      </c>
      <c r="C255" s="829"/>
      <c r="D255" s="391">
        <f t="shared" si="77"/>
        <v>35.085477171684595</v>
      </c>
      <c r="E255" s="383">
        <f t="shared" si="100"/>
        <v>35.811754463679137</v>
      </c>
      <c r="F255" s="383">
        <f t="shared" si="78"/>
        <v>35.81696221252448</v>
      </c>
      <c r="G255" s="110">
        <f t="shared" si="101"/>
        <v>0.65515326419476594</v>
      </c>
      <c r="H255" s="412" t="b">
        <f>Wh_hp&gt;='2027'!Maxi_hp</f>
        <v>0</v>
      </c>
      <c r="I255" s="388">
        <f>IF(H255,Wh_hp,'2027'!Maxi_hp)</f>
        <v>54.247939934538053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6.5092162201198511E-2</v>
      </c>
      <c r="M255" s="832"/>
      <c r="N255" s="832"/>
      <c r="O255" s="48">
        <f>IF(t&lt;Tnet,'2027'!Resal+('2027'!Salim-'2027'!Resal)*(1-EXP(('2027'!Tnet-t)/('2027'!Tau_j))),Resal+(Salim-Resal)*(1-EXP((Tnet-t)/(Tau_j))))*Salcycl</f>
        <v>2.0280416384825466E-2</v>
      </c>
      <c r="P255" s="169">
        <f>(INDEX(Models!$BJ255:$BT255,,T255)*(1-R255)+INDEX(Models!$BJ255:$BT255,,T255+1)*R255-ERP_i)*Q255*Ramure*Pc/MaxiM</f>
        <v>2.8650384104076027E-4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50.060131333597752</v>
      </c>
      <c r="W255" s="400">
        <f t="shared" si="86"/>
        <v>32.80168760071885</v>
      </c>
      <c r="X255" s="157">
        <f t="shared" si="87"/>
        <v>46993</v>
      </c>
      <c r="Y255" s="383">
        <f t="shared" si="88"/>
        <v>31.391297735606663</v>
      </c>
      <c r="Z255" s="383">
        <f t="shared" si="89"/>
        <v>33.57689011305763</v>
      </c>
      <c r="AA255" s="384">
        <f t="shared" si="90"/>
        <v>35.776102710576374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6.1471553100964214E-2</v>
      </c>
      <c r="AD255" s="230">
        <f>(INDEX(Models!$BJ255:$BT255,,AH255)*(1-AF255)+INDEX(Models!$BJ255:$BT255,,AH255+1)*AF255-ERP_i)*AE255*Ramure*Pc/MaxiM</f>
        <v>2.2478818773316142E-3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'2027'!Wh/'2027'!Env_an*'2028'!Env_an</f>
        <v>47.619990344892216</v>
      </c>
      <c r="C256" s="829"/>
      <c r="D256" s="391">
        <f t="shared" si="77"/>
        <v>50.93646781350683</v>
      </c>
      <c r="E256" s="383">
        <f t="shared" si="100"/>
        <v>51.994858418331368</v>
      </c>
      <c r="F256" s="383">
        <f t="shared" si="78"/>
        <v>52.009193773328391</v>
      </c>
      <c r="G256" s="110">
        <f t="shared" si="101"/>
        <v>0.95525263648957393</v>
      </c>
      <c r="H256" s="412" t="b">
        <f>Wh_hp&gt;='2027'!Maxi_hp</f>
        <v>0</v>
      </c>
      <c r="I256" s="388">
        <f>IF(H256,Wh_hp,'2027'!Maxi_hp)</f>
        <v>52.905760781813107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6.5110079496623174E-2</v>
      </c>
      <c r="M256" s="832"/>
      <c r="N256" s="832"/>
      <c r="O256" s="48">
        <f>IF(t&lt;Tnet,'2027'!Resal+('2027'!Salim-'2027'!Resal)*(1-EXP(('2027'!Tnet-t)/('2027'!Tau_j))),Resal+(Salim-Resal)*(1-EXP((Tnet-t)/(Tau_j))))*Salcycl</f>
        <v>2.035567817704436E-2</v>
      </c>
      <c r="P256" s="169">
        <f>(INDEX(Models!$BJ256:$BT256,,T256)*(1-R256)+INDEX(Models!$BJ256:$BT256,,T256+1)*R256-ERP_i)*Q256*Ramure*Pc/MaxiM</f>
        <v>2.9444601293561852E-4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49.849738505077269</v>
      </c>
      <c r="W256" s="400">
        <f t="shared" si="86"/>
        <v>47.619990344892216</v>
      </c>
      <c r="X256" s="157">
        <f t="shared" si="87"/>
        <v>46994</v>
      </c>
      <c r="Y256" s="383">
        <f t="shared" si="88"/>
        <v>45.53341101071296</v>
      </c>
      <c r="Z256" s="383">
        <f t="shared" si="89"/>
        <v>48.704569395930818</v>
      </c>
      <c r="AA256" s="384">
        <f t="shared" si="90"/>
        <v>51.896477654388683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6.1505296750866009E-2</v>
      </c>
      <c r="AD256" s="230">
        <f>(INDEX(Models!$BJ256:$BT256,,AH256)*(1-AF256)+INDEX(Models!$BJ256:$BT256,,AH256+1)*AF256-ERP_i)*AE256*Ramure*Pc/MaxiM</f>
        <v>2.315171952300563E-3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'2027'!Wh/'2027'!Env_an*'2028'!Env_an</f>
        <v>24.596966841137544</v>
      </c>
      <c r="C257" s="829"/>
      <c r="D257" s="391">
        <f t="shared" si="77"/>
        <v>26.310518175429504</v>
      </c>
      <c r="E257" s="383">
        <f t="shared" si="100"/>
        <v>26.859273628116274</v>
      </c>
      <c r="F257" s="383">
        <f t="shared" si="78"/>
        <v>26.861543462267491</v>
      </c>
      <c r="G257" s="110">
        <f t="shared" si="101"/>
        <v>0.49543778982255943</v>
      </c>
      <c r="H257" s="412" t="b">
        <f>Wh_hp&gt;='2027'!Maxi_hp</f>
        <v>0</v>
      </c>
      <c r="I257" s="388">
        <f>IF(H257,Wh_hp,'2027'!Maxi_hp)</f>
        <v>52.429420207764473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6.5127996448666958E-2</v>
      </c>
      <c r="M257" s="832"/>
      <c r="N257" s="832"/>
      <c r="O257" s="48">
        <f>IF(t&lt;Tnet,'2027'!Resal+('2027'!Salim-'2027'!Resal)*(1-EXP(('2027'!Tnet-t)/('2027'!Tau_j))),Resal+(Salim-Resal)*(1-EXP((Tnet-t)/(Tau_j))))*Salcycl</f>
        <v>2.043076295675892E-2</v>
      </c>
      <c r="P257" s="169">
        <f>(INDEX(Models!$BJ257:$BT257,,T257)*(1-R257)+INDEX(Models!$BJ257:$BT257,,T257+1)*R257-ERP_i)*Q257*Ramure*Pc/MaxiM</f>
        <v>3.0249114027687681E-4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49.636109726019022</v>
      </c>
      <c r="W257" s="400">
        <f t="shared" si="86"/>
        <v>24.596966841137544</v>
      </c>
      <c r="X257" s="157">
        <f t="shared" si="87"/>
        <v>46995</v>
      </c>
      <c r="Y257" s="383">
        <f t="shared" si="88"/>
        <v>23.551039742131579</v>
      </c>
      <c r="Z257" s="383">
        <f t="shared" si="89"/>
        <v>25.191726410318598</v>
      </c>
      <c r="AA257" s="384">
        <f t="shared" si="90"/>
        <v>26.843650290429121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6.153872004134632E-2</v>
      </c>
      <c r="AD257" s="230">
        <f>(INDEX(Models!$BJ257:$BT257,,AH257)*(1-AF257)+INDEX(Models!$BJ257:$BT257,,AH257+1)*AF257-ERP_i)*AE257*Ramure*Pc/MaxiM</f>
        <v>2.3845468840324791E-3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'2027'!Wh/'2027'!Env_an*'2028'!Env_an</f>
        <v>40.263139151553375</v>
      </c>
      <c r="C258" s="829"/>
      <c r="D258" s="391">
        <f t="shared" si="77"/>
        <v>43.068902103460339</v>
      </c>
      <c r="E258" s="383">
        <f t="shared" si="100"/>
        <v>43.970547472751427</v>
      </c>
      <c r="F258" s="383">
        <f t="shared" si="78"/>
        <v>43.980593563716397</v>
      </c>
      <c r="G258" s="110">
        <f t="shared" si="101"/>
        <v>0.8146588855647019</v>
      </c>
      <c r="H258" s="412" t="b">
        <f>Wh_hp&gt;='2027'!Maxi_hp</f>
        <v>0</v>
      </c>
      <c r="I258" s="388">
        <f>IF(H258,Wh_hp,'2027'!Maxi_hp)</f>
        <v>47.872949450269061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6.5145913057336413E-2</v>
      </c>
      <c r="M258" s="832"/>
      <c r="N258" s="832"/>
      <c r="O258" s="48">
        <f>IF(t&lt;Tnet,'2027'!Resal+('2027'!Salim-'2027'!Resal)*(1-EXP(('2027'!Tnet-t)/('2027'!Tau_j))),Resal+(Salim-Resal)*(1-EXP((Tnet-t)/(Tau_j))))*Salcycl</f>
        <v>2.0505666204175356E-2</v>
      </c>
      <c r="P258" s="169">
        <f>(INDEX(Models!$BJ258:$BT258,,T258)*(1-R258)+INDEX(Models!$BJ258:$BT258,,T258+1)*R258-ERP_i)*Q258*Ramure*Pc/MaxiM</f>
        <v>3.1064048036024485E-4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49.419246133608198</v>
      </c>
      <c r="W258" s="400">
        <f t="shared" si="86"/>
        <v>40.263139151553375</v>
      </c>
      <c r="X258" s="157">
        <f t="shared" si="87"/>
        <v>46996</v>
      </c>
      <c r="Y258" s="383">
        <f t="shared" si="88"/>
        <v>38.514204103880729</v>
      </c>
      <c r="Z258" s="383">
        <f t="shared" si="89"/>
        <v>41.198091383262977</v>
      </c>
      <c r="AA258" s="384">
        <f t="shared" si="90"/>
        <v>43.901165694221319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6.1571811777976181E-2</v>
      </c>
      <c r="AD258" s="230">
        <f>(INDEX(Models!$BJ258:$BT258,,AH258)*(1-AF258)+INDEX(Models!$BJ258:$BT258,,AH258+1)*AF258-ERP_i)*AE258*Ramure*Pc/MaxiM</f>
        <v>2.4560310691966233E-3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'2027'!Wh/'2027'!Env_an*'2028'!Env_an</f>
        <v>38.750070975815618</v>
      </c>
      <c r="C259" s="829"/>
      <c r="D259" s="391">
        <f t="shared" si="77"/>
        <v>41.451189193651082</v>
      </c>
      <c r="E259" s="383">
        <f t="shared" si="100"/>
        <v>42.32219621004964</v>
      </c>
      <c r="F259" s="383">
        <f t="shared" si="78"/>
        <v>42.331599791610728</v>
      </c>
      <c r="G259" s="110">
        <f t="shared" si="101"/>
        <v>0.7875404716194645</v>
      </c>
      <c r="H259" s="412" t="b">
        <f>Wh_hp&gt;='2027'!Maxi_hp</f>
        <v>0</v>
      </c>
      <c r="I259" s="388">
        <f>IF(H259,Wh_hp,'2027'!Maxi_hp)</f>
        <v>52.448101483562709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6.51638293226382E-2</v>
      </c>
      <c r="M259" s="832"/>
      <c r="N259" s="832"/>
      <c r="O259" s="48">
        <f>IF(t&lt;Tnet,'2027'!Resal+('2027'!Salim-'2027'!Resal)*(1-EXP(('2027'!Tnet-t)/('2027'!Tau_j))),Resal+(Salim-Resal)*(1-EXP((Tnet-t)/(Tau_j))))*Salcycl</f>
        <v>2.0580383212526508E-2</v>
      </c>
      <c r="P259" s="169">
        <f>(INDEX(Models!$BJ259:$BT259,,T259)*(1-R259)+INDEX(Models!$BJ259:$BT259,,T259+1)*R259-ERP_i)*Q259*Ramure*Pc/MaxiM</f>
        <v>3.1889527803557419E-4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49.199148871428214</v>
      </c>
      <c r="W259" s="400">
        <f t="shared" si="86"/>
        <v>38.750070975815618</v>
      </c>
      <c r="X259" s="157">
        <f t="shared" si="87"/>
        <v>46997</v>
      </c>
      <c r="Y259" s="383">
        <f t="shared" si="88"/>
        <v>37.06978903762122</v>
      </c>
      <c r="Z259" s="383">
        <f t="shared" si="89"/>
        <v>39.653781272456825</v>
      </c>
      <c r="AA259" s="384">
        <f t="shared" si="90"/>
        <v>42.257005518493472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6.1604560334909846E-2</v>
      </c>
      <c r="AD259" s="230">
        <f>(INDEX(Models!$BJ259:$BT259,,AH259)*(1-AF259)+INDEX(Models!$BJ259:$BT259,,AH259+1)*AF259-ERP_i)*AE259*Ramure*Pc/MaxiM</f>
        <v>2.5296490822198851E-3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'2027'!Wh/'2027'!Env_an*'2028'!Env_an</f>
        <v>37.832530159413309</v>
      </c>
      <c r="C260" s="829"/>
      <c r="D260" s="391">
        <f t="shared" si="77"/>
        <v>40.470465747709994</v>
      </c>
      <c r="E260" s="383">
        <f t="shared" si="100"/>
        <v>41.324009404625166</v>
      </c>
      <c r="F260" s="383">
        <f t="shared" si="78"/>
        <v>41.33313931638552</v>
      </c>
      <c r="G260" s="110">
        <f t="shared" si="101"/>
        <v>0.77239147195488667</v>
      </c>
      <c r="H260" s="412" t="b">
        <f>Wh_hp&gt;='2027'!Maxi_hp</f>
        <v>0</v>
      </c>
      <c r="I260" s="388">
        <f>IF(H260,Wh_hp,'2027'!Maxi_hp)</f>
        <v>55.043508007448153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6.5181745244578759E-2</v>
      </c>
      <c r="M260" s="832"/>
      <c r="N260" s="832"/>
      <c r="O260" s="48">
        <f>IF(t&lt;Tnet,'2027'!Resal+('2027'!Salim-'2027'!Resal)*(1-EXP(('2027'!Tnet-t)/('2027'!Tau_j))),Resal+(Salim-Resal)*(1-EXP((Tnet-t)/(Tau_j))))*Salcycl</f>
        <v>2.0654909076166281E-2</v>
      </c>
      <c r="P260" s="169">
        <f>(INDEX(Models!$BJ260:$BT260,,T260)*(1-R260)+INDEX(Models!$BJ260:$BT260,,T260+1)*R260-ERP_i)*Q260*Ramure*Pc/MaxiM</f>
        <v>3.2725676085390635E-4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48.975819087572582</v>
      </c>
      <c r="W260" s="400">
        <f t="shared" si="86"/>
        <v>37.832530159413309</v>
      </c>
      <c r="X260" s="157">
        <f t="shared" si="87"/>
        <v>46998</v>
      </c>
      <c r="Y260" s="383">
        <f t="shared" si="88"/>
        <v>36.193623621912174</v>
      </c>
      <c r="Z260" s="383">
        <f t="shared" si="89"/>
        <v>38.717283747718</v>
      </c>
      <c r="AA260" s="384">
        <f t="shared" si="90"/>
        <v>41.260452334839663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6.1636953625306086E-2</v>
      </c>
      <c r="AD260" s="230">
        <f>(INDEX(Models!$BJ260:$BT260,,AH260)*(1-AF260)+INDEX(Models!$BJ260:$BT260,,AH260+1)*AF260-ERP_i)*AE260*Ramure*Pc/MaxiM</f>
        <v>2.6054256340383359E-3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'2027'!Wh/'2027'!Env_an*'2028'!Env_an</f>
        <v>45.724405507201574</v>
      </c>
      <c r="C261" s="829"/>
      <c r="D261" s="391">
        <f t="shared" si="77"/>
        <v>48.913552542637596</v>
      </c>
      <c r="E261" s="383">
        <f t="shared" si="100"/>
        <v>49.948956381190577</v>
      </c>
      <c r="F261" s="383">
        <f t="shared" si="78"/>
        <v>49.96424378067001</v>
      </c>
      <c r="G261" s="110">
        <f t="shared" si="101"/>
        <v>0.937922879132014</v>
      </c>
      <c r="H261" s="412" t="b">
        <f>Wh_hp&gt;='2027'!Maxi_hp</f>
        <v>0</v>
      </c>
      <c r="I261" s="388">
        <f>IF(H261,Wh_hp,'2027'!Maxi_hp)</f>
        <v>53.392231312994895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6.5199660823164862E-2</v>
      </c>
      <c r="M261" s="832"/>
      <c r="N261" s="832"/>
      <c r="O261" s="48">
        <f>IF(t&lt;Tnet,'2027'!Resal+('2027'!Salim-'2027'!Resal)*(1-EXP(('2027'!Tnet-t)/('2027'!Tau_j))),Resal+(Salim-Resal)*(1-EXP((Tnet-t)/(Tau_j))))*Salcycl</f>
        <v>2.0729238678205673E-2</v>
      </c>
      <c r="P261" s="169">
        <f>(INDEX(Models!$BJ261:$BT261,,T261)*(1-R261)+INDEX(Models!$BJ261:$BT261,,T261+1)*R261-ERP_i)*Q261*Ramure*Pc/MaxiM</f>
        <v>3.3572613369996457E-4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48.749257939980915</v>
      </c>
      <c r="W261" s="400">
        <f t="shared" si="86"/>
        <v>45.724405507201574</v>
      </c>
      <c r="X261" s="157">
        <f t="shared" si="87"/>
        <v>46999</v>
      </c>
      <c r="Y261" s="383">
        <f t="shared" si="88"/>
        <v>43.719065982748518</v>
      </c>
      <c r="Z261" s="383">
        <f t="shared" si="89"/>
        <v>46.768346298682964</v>
      </c>
      <c r="AA261" s="384">
        <f t="shared" si="90"/>
        <v>49.842054941735014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6.1668979070890834E-2</v>
      </c>
      <c r="AD261" s="230">
        <f>(INDEX(Models!$BJ261:$BT261,,AH261)*(1-AF261)+INDEX(Models!$BJ261:$BT261,,AH261+1)*AF261-ERP_i)*AE261*Ramure*Pc/MaxiM</f>
        <v>2.6833855249300729E-3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'2027'!Wh/'2027'!Env_an*'2028'!Env_an</f>
        <v>39.966783678820555</v>
      </c>
      <c r="C262" s="829"/>
      <c r="D262" s="391">
        <f t="shared" si="77"/>
        <v>42.755172385780313</v>
      </c>
      <c r="E262" s="383">
        <f t="shared" si="100"/>
        <v>43.663520615599282</v>
      </c>
      <c r="F262" s="383">
        <f t="shared" si="78"/>
        <v>43.674778098019239</v>
      </c>
      <c r="G262" s="110">
        <f t="shared" si="101"/>
        <v>0.82365546386660948</v>
      </c>
      <c r="H262" s="412" t="b">
        <f>Wh_hp&gt;='2027'!Maxi_hp</f>
        <v>0</v>
      </c>
      <c r="I262" s="388">
        <f>IF(H262,Wh_hp,'2027'!Maxi_hp)</f>
        <v>53.427461866974461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6.5217576058402948E-2</v>
      </c>
      <c r="M262" s="832"/>
      <c r="N262" s="832"/>
      <c r="O262" s="48">
        <f>IF(t&lt;Tnet,'2027'!Resal+('2027'!Salim-'2027'!Resal)*(1-EXP(('2027'!Tnet-t)/('2027'!Tau_j))),Resal+(Salim-Resal)*(1-EXP((Tnet-t)/(Tau_j))))*Salcycl</f>
        <v>2.0803366678005586E-2</v>
      </c>
      <c r="P262" s="169">
        <f>(INDEX(Models!$BJ262:$BT262,,T262)*(1-R262)+INDEX(Models!$BJ262:$BT262,,T262+1)*R262-ERP_i)*Q262*Ramure*Pc/MaxiM</f>
        <v>3.4451147554088671E-4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48.519456548403063</v>
      </c>
      <c r="W262" s="400">
        <f t="shared" si="86"/>
        <v>39.966783678820555</v>
      </c>
      <c r="X262" s="157">
        <f t="shared" si="87"/>
        <v>47000</v>
      </c>
      <c r="Y262" s="383">
        <f t="shared" si="88"/>
        <v>38.228145058170341</v>
      </c>
      <c r="Z262" s="383">
        <f t="shared" si="89"/>
        <v>40.895233028641904</v>
      </c>
      <c r="AA262" s="384">
        <f t="shared" si="90"/>
        <v>43.584418849672993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6.1700623571610706E-2</v>
      </c>
      <c r="AD262" s="230">
        <f>(INDEX(Models!$BJ262:$BT262,,AH262)*(1-AF262)+INDEX(Models!$BJ262:$BT262,,AH262+1)*AF262-ERP_i)*AE262*Ramure*Pc/MaxiM</f>
        <v>2.7652539720016364E-3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'2027'!Wh/'2027'!Env_an*'2028'!Env_an</f>
        <v>45.228205414806254</v>
      </c>
      <c r="C263" s="829"/>
      <c r="D263" s="391">
        <f t="shared" si="77"/>
        <v>48.384598449064057</v>
      </c>
      <c r="E263" s="383">
        <f t="shared" si="100"/>
        <v>49.416276255574772</v>
      </c>
      <c r="F263" s="383">
        <f t="shared" si="78"/>
        <v>49.432173696870507</v>
      </c>
      <c r="G263" s="110">
        <f t="shared" si="101"/>
        <v>0.9366351988623659</v>
      </c>
      <c r="H263" s="412" t="b">
        <f>Wh_hp&gt;='2027'!Maxi_hp</f>
        <v>0</v>
      </c>
      <c r="I263" s="388">
        <f>IF(H263,Wh_hp,'2027'!Maxi_hp)</f>
        <v>54.427802265876565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6.5235490950299679E-2</v>
      </c>
      <c r="M263" s="832"/>
      <c r="N263" s="832"/>
      <c r="O263" s="48">
        <f>IF(t&lt;Tnet,'2027'!Resal+('2027'!Salim-'2027'!Resal)*(1-EXP(('2027'!Tnet-t)/('2027'!Tau_j))),Resal+(Salim-Resal)*(1-EXP((Tnet-t)/(Tau_j))))*Salcycl</f>
        <v>2.0877287498859785E-2</v>
      </c>
      <c r="P263" s="169">
        <f>(INDEX(Models!$BJ263:$BT263,,T263)*(1-R263)+INDEX(Models!$BJ263:$BT263,,T263+1)*R263-ERP_i)*Q263*Ramure*Pc/MaxiM</f>
        <v>3.5359365787985647E-4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48.286417207184599</v>
      </c>
      <c r="W263" s="400">
        <f t="shared" si="86"/>
        <v>45.228205414806254</v>
      </c>
      <c r="X263" s="157">
        <f t="shared" si="87"/>
        <v>47001</v>
      </c>
      <c r="Y263" s="383">
        <f t="shared" si="88"/>
        <v>43.242567785367164</v>
      </c>
      <c r="Z263" s="383">
        <f t="shared" si="89"/>
        <v>46.260386831896724</v>
      </c>
      <c r="AA263" s="384">
        <f t="shared" si="90"/>
        <v>49.304016116688402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6.1731873476357127E-2</v>
      </c>
      <c r="AD263" s="230">
        <f>(INDEX(Models!$BJ263:$BT263,,AH263)*(1-AF263)+INDEX(Models!$BJ263:$BT263,,AH263+1)*AF263-ERP_i)*AE263*Ramure*Pc/MaxiM</f>
        <v>2.8505032173817973E-3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'2027'!Wh/'2027'!Env_an*'2028'!Env_an</f>
        <v>36.004615877828208</v>
      </c>
      <c r="C264" s="829"/>
      <c r="D264" s="391">
        <f t="shared" si="77"/>
        <v>38.518049800484576</v>
      </c>
      <c r="E264" s="383">
        <f t="shared" si="100"/>
        <v>39.342310360578146</v>
      </c>
      <c r="F264" s="383">
        <f t="shared" si="78"/>
        <v>39.351478692339526</v>
      </c>
      <c r="G264" s="110">
        <f t="shared" si="101"/>
        <v>0.74921600013900813</v>
      </c>
      <c r="H264" s="412" t="b">
        <f>Wh_hp&gt;='2027'!Maxi_hp</f>
        <v>0</v>
      </c>
      <c r="I264" s="388">
        <f>IF(H264,Wh_hp,'2027'!Maxi_hp)</f>
        <v>49.351657913110358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6.5253405498861605E-2</v>
      </c>
      <c r="M264" s="832"/>
      <c r="N264" s="832"/>
      <c r="O264" s="48">
        <f>IF(t&lt;Tnet,'2027'!Resal+('2027'!Salim-'2027'!Resal)*(1-EXP(('2027'!Tnet-t)/('2027'!Tau_j))),Resal+(Salim-Resal)*(1-EXP((Tnet-t)/(Tau_j))))*Salcycl</f>
        <v>2.0950995316215432E-2</v>
      </c>
      <c r="P264" s="169">
        <f>(INDEX(Models!$BJ264:$BT264,,T264)*(1-R264)+INDEX(Models!$BJ264:$BT264,,T264+1)*R264-ERP_i)*Q264*Ramure*Pc/MaxiM</f>
        <v>3.6297599759666139E-4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48.050141120433494</v>
      </c>
      <c r="W264" s="400">
        <f t="shared" si="86"/>
        <v>36.004615877828208</v>
      </c>
      <c r="X264" s="157">
        <f t="shared" si="87"/>
        <v>47002</v>
      </c>
      <c r="Y264" s="383">
        <f t="shared" si="88"/>
        <v>34.446692539473766</v>
      </c>
      <c r="Z264" s="383">
        <f t="shared" si="89"/>
        <v>36.851369924334946</v>
      </c>
      <c r="AA264" s="384">
        <f t="shared" si="90"/>
        <v>39.277238813725447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6.1762714555758859E-2</v>
      </c>
      <c r="AD264" s="230">
        <f>(INDEX(Models!$BJ264:$BT264,,AH264)*(1-AF264)+INDEX(Models!$BJ264:$BT264,,AH264+1)*AF264-ERP_i)*AE264*Ramure*Pc/MaxiM</f>
        <v>2.9391709094674741E-3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'2027'!Wh/'2027'!Env_an*'2028'!Env_an</f>
        <v>34.992125443924806</v>
      </c>
      <c r="C265" s="829"/>
      <c r="D265" s="391">
        <f t="shared" si="77"/>
        <v>37.435596212632987</v>
      </c>
      <c r="E265" s="383">
        <f t="shared" si="100"/>
        <v>38.239563301215554</v>
      </c>
      <c r="F265" s="383">
        <f t="shared" si="78"/>
        <v>38.248357633177697</v>
      </c>
      <c r="G265" s="110">
        <f t="shared" si="101"/>
        <v>0.73178558959630635</v>
      </c>
      <c r="H265" s="412" t="b">
        <f>Wh_hp&gt;='2027'!Maxi_hp</f>
        <v>0</v>
      </c>
      <c r="I265" s="388">
        <f>IF(H265,Wh_hp,'2027'!Maxi_hp)</f>
        <v>48.219770599083176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6.5271319704095165E-2</v>
      </c>
      <c r="M265" s="832"/>
      <c r="N265" s="832"/>
      <c r="O265" s="48">
        <f>IF(t&lt;Tnet,'2027'!Resal+('2027'!Salim-'2027'!Resal)*(1-EXP(('2027'!Tnet-t)/('2027'!Tau_j))),Resal+(Salim-Resal)*(1-EXP((Tnet-t)/(Tau_j))))*Salcycl</f>
        <v>2.1024484046788628E-2</v>
      </c>
      <c r="P265" s="169">
        <f>(INDEX(Models!$BJ265:$BT265,,T265)*(1-R265)+INDEX(Models!$BJ265:$BT265,,T265+1)*R265-ERP_i)*Q265*Ramure*Pc/MaxiM</f>
        <v>3.7266179787885396E-4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47.81062950733611</v>
      </c>
      <c r="W265" s="400">
        <f t="shared" si="86"/>
        <v>34.992125443924806</v>
      </c>
      <c r="X265" s="157">
        <f t="shared" si="87"/>
        <v>47003</v>
      </c>
      <c r="Y265" s="383">
        <f t="shared" si="88"/>
        <v>33.479885263390386</v>
      </c>
      <c r="Z265" s="383">
        <f t="shared" si="89"/>
        <v>35.817757568743623</v>
      </c>
      <c r="AA265" s="384">
        <f t="shared" si="90"/>
        <v>38.176823032919316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6.1793131978045999E-2</v>
      </c>
      <c r="AD265" s="230">
        <f>(INDEX(Models!$BJ265:$BT265,,AH265)*(1-AF265)+INDEX(Models!$BJ265:$BT265,,AH265+1)*AF265-ERP_i)*AE265*Ramure*Pc/MaxiM</f>
        <v>3.0312947996051346E-3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'2027'!Wh/'2027'!Env_an*'2028'!Env_an</f>
        <v>23.435979686424883</v>
      </c>
      <c r="C266" s="829"/>
      <c r="D266" s="391">
        <f t="shared" si="77"/>
        <v>25.072975007911051</v>
      </c>
      <c r="E266" s="383">
        <f t="shared" si="100"/>
        <v>25.613359188573025</v>
      </c>
      <c r="F266" s="383">
        <f t="shared" si="78"/>
        <v>25.616057354498338</v>
      </c>
      <c r="G266" s="110">
        <f t="shared" si="101"/>
        <v>0.49254828859563676</v>
      </c>
      <c r="H266" s="412" t="b">
        <f>Wh_hp&gt;='2027'!Maxi_hp</f>
        <v>0</v>
      </c>
      <c r="I266" s="388">
        <f>IF(H266,Wh_hp,'2027'!Maxi_hp)</f>
        <v>50.375328728188094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6.5289233566007243E-2</v>
      </c>
      <c r="M266" s="832"/>
      <c r="N266" s="832"/>
      <c r="O266" s="48">
        <f>IF(t&lt;Tnet,'2027'!Resal+('2027'!Salim-'2027'!Resal)*(1-EXP(('2027'!Tnet-t)/('2027'!Tau_j))),Resal+(Salim-Resal)*(1-EXP((Tnet-t)/(Tau_j))))*Salcycl</f>
        <v>2.1097747338937756E-2</v>
      </c>
      <c r="P266" s="169">
        <f>(INDEX(Models!$BJ266:$BT266,,T266)*(1-R266)+INDEX(Models!$BJ266:$BT266,,T266+1)*R266-ERP_i)*Q266*Ramure*Pc/MaxiM</f>
        <v>3.8265433993682073E-4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47.567883598409132</v>
      </c>
      <c r="W266" s="400">
        <f t="shared" si="86"/>
        <v>23.435979686424883</v>
      </c>
      <c r="X266" s="157">
        <f t="shared" si="87"/>
        <v>47004</v>
      </c>
      <c r="Y266" s="383">
        <f t="shared" si="88"/>
        <v>22.444001692428383</v>
      </c>
      <c r="Z266" s="383">
        <f t="shared" si="89"/>
        <v>24.011707683708732</v>
      </c>
      <c r="AA266" s="384">
        <f t="shared" si="90"/>
        <v>25.594008919900936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6.1823110288981277E-2</v>
      </c>
      <c r="AD266" s="230">
        <f>(INDEX(Models!$BJ266:$BT266,,AH266)*(1-AF266)+INDEX(Models!$BJ266:$BT266,,AH266+1)*AF266-ERP_i)*AE266*Ramure*Pc/MaxiM</f>
        <v>3.1269126588410055E-3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'2027'!Wh/'2027'!Env_an*'2028'!Env_an</f>
        <v>46.358253007247313</v>
      </c>
      <c r="C267" s="829"/>
      <c r="D267" s="391">
        <f t="shared" si="77"/>
        <v>49.597311954030154</v>
      </c>
      <c r="E267" s="383">
        <f t="shared" si="100"/>
        <v>50.670036067478001</v>
      </c>
      <c r="F267" s="383">
        <f t="shared" si="78"/>
        <v>50.689375348404766</v>
      </c>
      <c r="G267" s="110">
        <f t="shared" si="101"/>
        <v>0.97962504285971763</v>
      </c>
      <c r="H267" s="412" t="b">
        <f>Wh_hp&gt;='2027'!Maxi_hp</f>
        <v>0</v>
      </c>
      <c r="I267" s="388">
        <f>IF(H267,Wh_hp,'2027'!Maxi_hp)</f>
        <v>50.689828871694885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6.5307147084604056E-2</v>
      </c>
      <c r="M267" s="832"/>
      <c r="N267" s="832"/>
      <c r="O267" s="48">
        <f>IF(t&lt;Tnet,'2027'!Resal+('2027'!Salim-'2027'!Resal)*(1-EXP(('2027'!Tnet-t)/('2027'!Tau_j))),Resal+(Salim-Resal)*(1-EXP((Tnet-t)/(Tau_j))))*Salcycl</f>
        <v>2.1170778564658696E-2</v>
      </c>
      <c r="P267" s="169">
        <f>(INDEX(Models!$BJ267:$BT267,,T267)*(1-R267)+INDEX(Models!$BJ267:$BT267,,T267+1)*R267-ERP_i)*Q267*Ramure*Pc/MaxiM</f>
        <v>3.9295687412024908E-4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47.321904637601783</v>
      </c>
      <c r="W267" s="400">
        <f t="shared" si="86"/>
        <v>46.358253007247313</v>
      </c>
      <c r="X267" s="157">
        <f t="shared" si="87"/>
        <v>47005</v>
      </c>
      <c r="Y267" s="383">
        <f t="shared" si="88"/>
        <v>44.309259042572421</v>
      </c>
      <c r="Z267" s="383">
        <f t="shared" si="89"/>
        <v>47.405154435885144</v>
      </c>
      <c r="AA267" s="384">
        <f t="shared" si="90"/>
        <v>50.53060545011094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6.1852633396834493E-2</v>
      </c>
      <c r="AD267" s="230">
        <f>(INDEX(Models!$BJ267:$BT267,,AH267)*(1-AF267)+INDEX(Models!$BJ267:$BT267,,AH267+1)*AF267-ERP_i)*AE267*Ramure*Pc/MaxiM</f>
        <v>3.2260621878442211E-3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'2027'!Wh/'2027'!Env_an*'2028'!Env_an</f>
        <v>45.787971771525854</v>
      </c>
      <c r="C268" s="829"/>
      <c r="D268" s="391">
        <f t="shared" si="77"/>
        <v>48.988123918522412</v>
      </c>
      <c r="E268" s="383">
        <f t="shared" si="100"/>
        <v>50.051394256732841</v>
      </c>
      <c r="F268" s="383">
        <f t="shared" si="78"/>
        <v>50.0708233619781</v>
      </c>
      <c r="G268" s="110">
        <f t="shared" si="101"/>
        <v>0.9726925775197971</v>
      </c>
      <c r="H268" s="412" t="b">
        <f>Wh_hp&gt;='2027'!Maxi_hp</f>
        <v>0</v>
      </c>
      <c r="I268" s="388">
        <f>IF(H268,Wh_hp,'2027'!Maxi_hp)</f>
        <v>50.07144038380455</v>
      </c>
      <c r="J268" s="85">
        <f>IF(H268,An,'2027'!An_max)</f>
        <v>2026</v>
      </c>
      <c r="K268" s="197">
        <f t="shared" si="79"/>
        <v>47006</v>
      </c>
      <c r="L268" s="147">
        <f>IF(t&lt;Tvie,1-EXP((T0-t)*PertePVj)+'2027'!Pspv,1-EXP((T0-t)*PertePVj)+Pspv)</f>
        <v>6.5325060259892487E-2</v>
      </c>
      <c r="M268" s="832"/>
      <c r="N268" s="832"/>
      <c r="O268" s="48">
        <f>IF(t&lt;Tnet,'2027'!Resal+('2027'!Salim-'2027'!Resal)*(1-EXP(('2027'!Tnet-t)/('2027'!Tau_j))),Resal+(Salim-Resal)*(1-EXP((Tnet-t)/(Tau_j))))*Salcycl</f>
        <v>2.1243570813562273E-2</v>
      </c>
      <c r="P268" s="169">
        <f>(INDEX(Models!$BJ268:$BT268,,T268)*(1-R268)+INDEX(Models!$BJ268:$BT268,,T268+1)*R268-ERP_i)*Q268*Ramure*Pc/MaxiM</f>
        <v>4.0377514543007547E-4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47.07268434521017</v>
      </c>
      <c r="W268" s="400">
        <f t="shared" si="86"/>
        <v>45.787971771525854</v>
      </c>
      <c r="X268" s="157">
        <f t="shared" si="87"/>
        <v>47006</v>
      </c>
      <c r="Y268" s="383">
        <f t="shared" si="88"/>
        <v>43.763355709444596</v>
      </c>
      <c r="Z268" s="383">
        <f t="shared" si="89"/>
        <v>46.822006077977534</v>
      </c>
      <c r="AA268" s="384">
        <f t="shared" si="90"/>
        <v>49.910555318583384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6.1881684563342844E-2</v>
      </c>
      <c r="AD268" s="230">
        <f>(INDEX(Models!$BJ268:$BT268,,AH268)*(1-AF268)+INDEX(Models!$BJ268:$BT268,,AH268+1)*AF268-ERP_i)*AE268*Ramure*Pc/MaxiM</f>
        <v>3.3306861902601152E-3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'2027'!Wh/'2027'!Env_an*'2028'!Env_an</f>
        <v>33.235216925529706</v>
      </c>
      <c r="C269" s="829"/>
      <c r="D269" s="391">
        <f t="shared" si="77"/>
        <v>35.55873006751257</v>
      </c>
      <c r="E269" s="383">
        <f t="shared" si="100"/>
        <v>36.333213084583242</v>
      </c>
      <c r="F269" s="383">
        <f t="shared" si="78"/>
        <v>36.342045526294605</v>
      </c>
      <c r="G269" s="110">
        <f t="shared" si="101"/>
        <v>0.70972527713810629</v>
      </c>
      <c r="H269" s="412" t="b">
        <f>Wh_hp&gt;='2027'!Maxi_hp</f>
        <v>0</v>
      </c>
      <c r="I269" s="388">
        <f>IF(H269,Wh_hp,'2027'!Maxi_hp)</f>
        <v>50.716513586551613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6.5342973091878975E-2</v>
      </c>
      <c r="M269" s="832"/>
      <c r="N269" s="832"/>
      <c r="O269" s="48">
        <f>IF(t&lt;Tnet,'2027'!Resal+('2027'!Salim-'2027'!Resal)*(1-EXP(('2027'!Tnet-t)/('2027'!Tau_j))),Resal+(Salim-Resal)*(1-EXP((Tnet-t)/(Tau_j))))*Salcycl</f>
        <v>2.1316116889185721E-2</v>
      </c>
      <c r="P269" s="169">
        <f>(INDEX(Models!$BJ269:$BT269,,T269)*(1-R269)+INDEX(Models!$BJ269:$BT269,,T269+1)*R269-ERP_i)*Q269*Ramure*Pc/MaxiM</f>
        <v>4.1509473334345857E-4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46.820224967919827</v>
      </c>
      <c r="W269" s="400">
        <f t="shared" si="86"/>
        <v>33.235216925529706</v>
      </c>
      <c r="X269" s="157">
        <f t="shared" si="87"/>
        <v>47007</v>
      </c>
      <c r="Y269" s="383">
        <f t="shared" si="88"/>
        <v>31.800246886785626</v>
      </c>
      <c r="Z269" s="383">
        <f t="shared" si="89"/>
        <v>34.023439584017233</v>
      </c>
      <c r="AA269" s="384">
        <f t="shared" si="90"/>
        <v>36.268853223804804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6.1910246401554569E-2</v>
      </c>
      <c r="AD269" s="230">
        <f>(INDEX(Models!$BJ269:$BT269,,AH269)*(1-AF269)+INDEX(Models!$BJ269:$BT269,,AH269+1)*AF269-ERP_i)*AE269*Ramure*Pc/MaxiM</f>
        <v>3.4397893898020109E-3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'2027'!Wh/'2027'!Env_an*'2028'!Env_an</f>
        <v>14.107868210866727</v>
      </c>
      <c r="C270" s="829"/>
      <c r="D270" s="391">
        <f t="shared" si="77"/>
        <v>15.094455168003661</v>
      </c>
      <c r="E270" s="383">
        <f t="shared" si="100"/>
        <v>15.424357642575702</v>
      </c>
      <c r="F270" s="383">
        <f t="shared" si="78"/>
        <v>15.424385624835587</v>
      </c>
      <c r="G270" s="110">
        <f t="shared" si="101"/>
        <v>0.30284578210634561</v>
      </c>
      <c r="H270" s="412" t="b">
        <f>Wh_hp&gt;='2027'!Maxi_hp</f>
        <v>0</v>
      </c>
      <c r="I270" s="388">
        <f>IF(H270,Wh_hp,'2027'!Maxi_hp)</f>
        <v>48.946025733501244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6.5360885580570183E-2</v>
      </c>
      <c r="M270" s="832"/>
      <c r="N270" s="832"/>
      <c r="O270" s="48">
        <f>IF(t&lt;Tnet,'2027'!Resal+('2027'!Salim-'2027'!Resal)*(1-EXP(('2027'!Tnet-t)/('2027'!Tau_j))),Resal+(Salim-Resal)*(1-EXP((Tnet-t)/(Tau_j))))*Salcycl</f>
        <v>2.1388409307977568E-2</v>
      </c>
      <c r="P270" s="169">
        <f>(INDEX(Models!$BJ270:$BT270,,T270)*(1-R270)+INDEX(Models!$BJ270:$BT270,,T270+1)*R270-ERP_i)*Q270*Ramure*Pc/MaxiM</f>
        <v>4.2692094282976181E-4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46.564527831287755</v>
      </c>
      <c r="W270" s="400">
        <f t="shared" si="86"/>
        <v>14.107868210866727</v>
      </c>
      <c r="X270" s="157">
        <f t="shared" si="87"/>
        <v>47008</v>
      </c>
      <c r="Y270" s="383">
        <f t="shared" si="88"/>
        <v>13.523112873671069</v>
      </c>
      <c r="Z270" s="383">
        <f t="shared" si="89"/>
        <v>14.46880690636538</v>
      </c>
      <c r="AA270" s="384">
        <f t="shared" si="90"/>
        <v>15.4241527182702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6.1938300881395868E-2</v>
      </c>
      <c r="AD270" s="230">
        <f>(INDEX(Models!$BJ270:$BT270,,AH270)*(1-AF270)+INDEX(Models!$BJ270:$BT270,,AH270+1)*AF270-ERP_i)*AE270*Ramure*Pc/MaxiM</f>
        <v>3.5534188767998528E-3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'2027'!Wh/'2027'!Env_an*'2028'!Env_an</f>
        <v>35.377387796976166</v>
      </c>
      <c r="C271" s="829"/>
      <c r="D271" s="391">
        <f t="shared" ref="D271:D334" si="102">Wh/(1-Ppv)</f>
        <v>37.852113466824228</v>
      </c>
      <c r="E271" s="383">
        <f t="shared" si="100"/>
        <v>38.682251618399867</v>
      </c>
      <c r="F271" s="383">
        <f t="shared" ref="F271:F334" si="103">Wh_sa/(1-Pvg*MEDIAN((-Sdif+Wh/Env_an)/Csdif,0,1))</f>
        <v>38.693517809620538</v>
      </c>
      <c r="G271" s="110">
        <f t="shared" si="101"/>
        <v>0.76388496111220294</v>
      </c>
      <c r="H271" s="412" t="b">
        <f>Wh_hp&gt;='2027'!Maxi_hp</f>
        <v>0</v>
      </c>
      <c r="I271" s="388">
        <f>IF(H271,Wh_hp,'2027'!Maxi_hp)</f>
        <v>48.424336454195235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6.5378797725972548E-2</v>
      </c>
      <c r="M271" s="832"/>
      <c r="N271" s="832"/>
      <c r="O271" s="48">
        <f>IF(t&lt;Tnet,'2027'!Resal+('2027'!Salim-'2027'!Resal)*(1-EXP(('2027'!Tnet-t)/('2027'!Tau_j))),Resal+(Salim-Resal)*(1-EXP((Tnet-t)/(Tau_j))))*Salcycl</f>
        <v>2.1460440301276841E-2</v>
      </c>
      <c r="P271" s="169">
        <f>(INDEX(Models!$BJ271:$BT271,,T271)*(1-R271)+INDEX(Models!$BJ271:$BT271,,T271+1)*R271-ERP_i)*Q271*Ramure*Pc/MaxiM</f>
        <v>4.3925903731097224E-4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46.305594278324065</v>
      </c>
      <c r="W271" s="400">
        <f t="shared" ref="W271:W334" si="111">Wh*(A271&gt;Tmaj)</f>
        <v>35.377387796976166</v>
      </c>
      <c r="X271" s="157">
        <f t="shared" ref="X271:X334" si="112">t</f>
        <v>47009</v>
      </c>
      <c r="Y271" s="383">
        <f t="shared" ref="Y271:Y334" si="113">Wh_pvt_s*(1-Ppv)</f>
        <v>33.840303590544245</v>
      </c>
      <c r="Z271" s="383">
        <f t="shared" ref="Z271:Z334" si="114">Wh_sa_s*(1-Psa_s)</f>
        <v>36.207506857545475</v>
      </c>
      <c r="AA271" s="384">
        <f t="shared" ref="AA271:AA334" si="115">Wh_hp*(1-Pvg_s*MEDIAN((-Sdif+Wh/Env_an)/Csdif,0,1))</f>
        <v>38.599347433381809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6.1965829343731425E-2</v>
      </c>
      <c r="AD271" s="230">
        <f>(INDEX(Models!$BJ271:$BT271,,AH271)*(1-AF271)+INDEX(Models!$BJ271:$BT271,,AH271+1)*AF271-ERP_i)*AE271*Ramure*Pc/MaxiM</f>
        <v>3.6716214024436747E-3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'2027'!Wh/'2027'!Env_an*'2028'!Env_an</f>
        <v>40.5174269929472</v>
      </c>
      <c r="C272" s="829"/>
      <c r="D272" s="391">
        <f t="shared" si="102"/>
        <v>43.35254049072396</v>
      </c>
      <c r="E272" s="383">
        <f t="shared" si="100"/>
        <v>44.30655824482713</v>
      </c>
      <c r="F272" s="383">
        <f t="shared" si="103"/>
        <v>44.323161607278401</v>
      </c>
      <c r="G272" s="110">
        <f t="shared" si="101"/>
        <v>0.87991465587227413</v>
      </c>
      <c r="H272" s="412" t="b">
        <f>Wh_hp&gt;='2027'!Maxi_hp</f>
        <v>0</v>
      </c>
      <c r="I272" s="388">
        <f>IF(H272,Wh_hp,'2027'!Maxi_hp)</f>
        <v>49.537413864977964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6.5396709528092845E-2</v>
      </c>
      <c r="M272" s="832"/>
      <c r="N272" s="832"/>
      <c r="O272" s="48">
        <f>IF(t&lt;Tnet,'2027'!Resal+('2027'!Salim-'2027'!Resal)*(1-EXP(('2027'!Tnet-t)/('2027'!Tau_j))),Resal+(Salim-Resal)*(1-EXP((Tnet-t)/(Tau_j))))*Salcycl</f>
        <v>2.153220182058618E-2</v>
      </c>
      <c r="P272" s="169">
        <f>(INDEX(Models!$BJ272:$BT272,,T272)*(1-R272)+INDEX(Models!$BJ272:$BT272,,T272+1)*R272-ERP_i)*Q272*Ramure*Pc/MaxiM</f>
        <v>4.5211422565575752E-4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46.043425669522946</v>
      </c>
      <c r="W272" s="400">
        <f t="shared" si="111"/>
        <v>40.5174269929472</v>
      </c>
      <c r="X272" s="157">
        <f t="shared" si="112"/>
        <v>47010</v>
      </c>
      <c r="Y272" s="383">
        <f t="shared" si="113"/>
        <v>38.734386805379074</v>
      </c>
      <c r="Z272" s="383">
        <f t="shared" si="114"/>
        <v>41.444736178727773</v>
      </c>
      <c r="AA272" s="384">
        <f t="shared" si="115"/>
        <v>44.18381514776069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6.1992812523608859E-2</v>
      </c>
      <c r="AD272" s="230">
        <f>(INDEX(Models!$BJ272:$BT272,,AH272)*(1-AF272)+INDEX(Models!$BJ272:$BT272,,AH272+1)*AF272-ERP_i)*AE272*Ramure*Pc/MaxiM</f>
        <v>3.7944432537461367E-3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'2027'!Wh/'2027'!Env_an*'2028'!Env_an</f>
        <v>32.37318877697637</v>
      </c>
      <c r="C273" s="829"/>
      <c r="D273" s="391">
        <f t="shared" si="102"/>
        <v>34.639091841093197</v>
      </c>
      <c r="E273" s="383">
        <f t="shared" si="100"/>
        <v>35.403947591971779</v>
      </c>
      <c r="F273" s="383">
        <f t="shared" si="103"/>
        <v>35.413536451111533</v>
      </c>
      <c r="G273" s="110">
        <f t="shared" si="101"/>
        <v>0.70703977278994656</v>
      </c>
      <c r="H273" s="412" t="b">
        <f>Wh_hp&gt;='2027'!Maxi_hp</f>
        <v>0</v>
      </c>
      <c r="I273" s="388">
        <f>IF(H273,Wh_hp,'2027'!Maxi_hp)</f>
        <v>43.865326468567289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6.54146209869374E-2</v>
      </c>
      <c r="M273" s="832"/>
      <c r="N273" s="832"/>
      <c r="O273" s="48">
        <f>IF(t&lt;Tnet,'2027'!Resal+('2027'!Salim-'2027'!Resal)*(1-EXP(('2027'!Tnet-t)/('2027'!Tau_j))),Resal+(Salim-Resal)*(1-EXP((Tnet-t)/(Tau_j))))*Salcycl</f>
        <v>2.1603685546411261E-2</v>
      </c>
      <c r="P273" s="169">
        <f>(INDEX(Models!$BJ273:$BT273,,T273)*(1-R273)+INDEX(Models!$BJ273:$BT273,,T273+1)*R273-ERP_i)*Q273*Ramure*Pc/MaxiM</f>
        <v>4.6549164895595305E-4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45.778023381346266</v>
      </c>
      <c r="W273" s="400">
        <f t="shared" si="111"/>
        <v>32.37318877697637</v>
      </c>
      <c r="X273" s="157">
        <f t="shared" si="112"/>
        <v>47011</v>
      </c>
      <c r="Y273" s="383">
        <f t="shared" si="113"/>
        <v>30.973502623149866</v>
      </c>
      <c r="Z273" s="383">
        <f t="shared" si="114"/>
        <v>33.14143717490893</v>
      </c>
      <c r="AA273" s="384">
        <f t="shared" si="115"/>
        <v>35.332746955481873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6.2019230583286407E-2</v>
      </c>
      <c r="AD273" s="230">
        <f>(INDEX(Models!$BJ273:$BT273,,AH273)*(1-AF273)+INDEX(Models!$BJ273:$BT273,,AH273+1)*AF273-ERP_i)*AE273*Ramure*Pc/MaxiM</f>
        <v>3.921930126500937E-3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'2027'!Wh/'2027'!Env_an*'2028'!Env_an</f>
        <v>45.238395832451687</v>
      </c>
      <c r="C274" s="829"/>
      <c r="D274" s="391">
        <f t="shared" si="102"/>
        <v>48.405703586307482</v>
      </c>
      <c r="E274" s="383">
        <f t="shared" si="100"/>
        <v>49.478136398909001</v>
      </c>
      <c r="F274" s="383">
        <f t="shared" si="103"/>
        <v>49.501665446676952</v>
      </c>
      <c r="G274" s="110">
        <f t="shared" si="101"/>
        <v>0.99404128340826758</v>
      </c>
      <c r="H274" s="412" t="b">
        <f>Wh_hp&gt;='2027'!Maxi_hp</f>
        <v>0</v>
      </c>
      <c r="I274" s="388">
        <f>IF(H274,Wh_hp,'2027'!Maxi_hp)</f>
        <v>49.501823662015703</v>
      </c>
      <c r="J274" s="85">
        <f>IF(H274,An,'2027'!An_max)</f>
        <v>2026</v>
      </c>
      <c r="K274" s="197">
        <f t="shared" si="104"/>
        <v>47012</v>
      </c>
      <c r="L274" s="147">
        <f>IF(t&lt;Tvie,1-EXP((T0-t)*PertePVj)+'2027'!Pspv,1-EXP((T0-t)*PertePVj)+Pspv)</f>
        <v>6.5432532102512986E-2</v>
      </c>
      <c r="M274" s="832"/>
      <c r="N274" s="832"/>
      <c r="O274" s="48">
        <f>IF(t&lt;Tnet,'2027'!Resal+('2027'!Salim-'2027'!Resal)*(1-EXP(('2027'!Tnet-t)/('2027'!Tau_j))),Resal+(Salim-Resal)*(1-EXP((Tnet-t)/(Tau_j))))*Salcycl</f>
        <v>2.167488290090824E-2</v>
      </c>
      <c r="P274" s="169">
        <f>(INDEX(Models!$BJ274:$BT274,,T274)*(1-R274)+INDEX(Models!$BJ274:$BT274,,T274+1)*R274-ERP_i)*Q274*Ramure*Pc/MaxiM</f>
        <v>4.7939636721239042E-4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45.509388809958409</v>
      </c>
      <c r="W274" s="400">
        <f t="shared" si="111"/>
        <v>45.238395832451687</v>
      </c>
      <c r="X274" s="157">
        <f t="shared" si="112"/>
        <v>47012</v>
      </c>
      <c r="Y274" s="383">
        <f t="shared" si="113"/>
        <v>43.217856001776724</v>
      </c>
      <c r="Z274" s="383">
        <f t="shared" si="114"/>
        <v>46.243698273603187</v>
      </c>
      <c r="AA274" s="384">
        <f t="shared" si="115"/>
        <v>49.302686575945671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6.2045063155542861E-2</v>
      </c>
      <c r="AD274" s="230">
        <f>(INDEX(Models!$BJ274:$BT274,,AH274)*(1-AF274)+INDEX(Models!$BJ274:$BT274,,AH274+1)*AF274-ERP_i)*AE274*Ramure*Pc/MaxiM</f>
        <v>4.0541269974601014E-3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'2027'!Wh/'2027'!Env_an*'2028'!Env_an</f>
        <v>45.231644240520374</v>
      </c>
      <c r="C275" s="829"/>
      <c r="D275" s="391">
        <f t="shared" si="102"/>
        <v>48.399406853993121</v>
      </c>
      <c r="E275" s="383">
        <f t="shared" si="100"/>
        <v>49.475285784673659</v>
      </c>
      <c r="F275" s="383">
        <f t="shared" si="103"/>
        <v>49.499726146949556</v>
      </c>
      <c r="G275" s="110">
        <f t="shared" si="101"/>
        <v>0.99987475620943211</v>
      </c>
      <c r="H275" s="412" t="b">
        <f>Wh_hp&gt;='2027'!Maxi_hp</f>
        <v>0</v>
      </c>
      <c r="I275" s="388">
        <f>IF(H275,Wh_hp,'2027'!Maxi_hp)</f>
        <v>49.499729573237367</v>
      </c>
      <c r="J275" s="85">
        <f>IF(H275,An,'2027'!An_max)</f>
        <v>2026</v>
      </c>
      <c r="K275" s="197">
        <f t="shared" si="104"/>
        <v>47013</v>
      </c>
      <c r="L275" s="147">
        <f>IF(t&lt;Tvie,1-EXP((T0-t)*PertePVj)+'2027'!Pspv,1-EXP((T0-t)*PertePVj)+Pspv)</f>
        <v>6.5450442874826154E-2</v>
      </c>
      <c r="M275" s="832"/>
      <c r="N275" s="832"/>
      <c r="O275" s="48">
        <f>IF(t&lt;Tnet,'2027'!Resal+('2027'!Salim-'2027'!Resal)*(1-EXP(('2027'!Tnet-t)/('2027'!Tau_j))),Resal+(Salim-Resal)*(1-EXP((Tnet-t)/(Tau_j))))*Salcycl</f>
        <v>2.1745785064546764E-2</v>
      </c>
      <c r="P275" s="169">
        <f>(INDEX(Models!$BJ275:$BT275,,T275)*(1-R275)+INDEX(Models!$BJ275:$BT275,,T275+1)*R275-ERP_i)*Q275*Ramure*Pc/MaxiM</f>
        <v>4.9383571866915118E-4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45.237305936506978</v>
      </c>
      <c r="W275" s="400">
        <f t="shared" si="111"/>
        <v>45.231644240520374</v>
      </c>
      <c r="X275" s="157">
        <f t="shared" si="112"/>
        <v>47013</v>
      </c>
      <c r="Y275" s="383">
        <f t="shared" si="113"/>
        <v>43.206765562501644</v>
      </c>
      <c r="Z275" s="383">
        <f t="shared" si="114"/>
        <v>46.232717391052724</v>
      </c>
      <c r="AA275" s="384">
        <f t="shared" si="115"/>
        <v>49.292305029299079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6.2070289397660551E-2</v>
      </c>
      <c r="AD275" s="230">
        <f>(INDEX(Models!$BJ275:$BT275,,AH275)*(1-AF275)+INDEX(Models!$BJ275:$BT275,,AH275+1)*AF275-ERP_i)*AE275*Ramure*Pc/MaxiM</f>
        <v>4.1910981329069058E-3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'2027'!Wh/'2027'!Env_an*'2028'!Env_an</f>
        <v>44.618268987887348</v>
      </c>
      <c r="C276" s="829"/>
      <c r="D276" s="391">
        <f t="shared" si="102"/>
        <v>47.743989350845339</v>
      </c>
      <c r="E276" s="383">
        <f t="shared" si="100"/>
        <v>48.808821289732165</v>
      </c>
      <c r="F276" s="383">
        <f t="shared" si="103"/>
        <v>48.833401440046245</v>
      </c>
      <c r="G276" s="110">
        <f t="shared" si="101"/>
        <v>0.99235790747626107</v>
      </c>
      <c r="H276" s="412" t="b">
        <f>Wh_hp&gt;='2027'!Maxi_hp</f>
        <v>0</v>
      </c>
      <c r="I276" s="388">
        <f>IF(H276,Wh_hp,'2027'!Maxi_hp)</f>
        <v>48.833614043887223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6.5468353303883453E-2</v>
      </c>
      <c r="M276" s="832"/>
      <c r="N276" s="832"/>
      <c r="O276" s="48">
        <f>IF(t&lt;Tnet,'2027'!Resal+('2027'!Salim-'2027'!Resal)*(1-EXP(('2027'!Tnet-t)/('2027'!Tau_j))),Resal+(Salim-Resal)*(1-EXP((Tnet-t)/(Tau_j))))*Salcycl</f>
        <v>2.1816382996957019E-2</v>
      </c>
      <c r="P276" s="169">
        <f>(INDEX(Models!$BJ276:$BT276,,T276)*(1-R276)+INDEX(Models!$BJ276:$BT276,,T276+1)*R276-ERP_i)*Q276*Ramure*Pc/MaxiM</f>
        <v>5.0889886756583377E-4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44.961622027810421</v>
      </c>
      <c r="W276" s="400">
        <f t="shared" si="111"/>
        <v>44.618268987887348</v>
      </c>
      <c r="X276" s="157">
        <f t="shared" si="112"/>
        <v>47014</v>
      </c>
      <c r="Y276" s="383">
        <f t="shared" si="113"/>
        <v>42.619021711204809</v>
      </c>
      <c r="Z276" s="383">
        <f t="shared" si="114"/>
        <v>45.604685364992584</v>
      </c>
      <c r="AA276" s="384">
        <f t="shared" si="115"/>
        <v>48.623986354530935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6.2094888056355449E-2</v>
      </c>
      <c r="AD276" s="230">
        <f>(INDEX(Models!$BJ276:$BT276,,AH276)*(1-AF276)+INDEX(Models!$BJ276:$BT276,,AH276+1)*AF276-ERP_i)*AE276*Ramure*Pc/MaxiM</f>
        <v>4.3356569633708287E-3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'2027'!Wh/'2027'!Env_an*'2028'!Env_an</f>
        <v>46.317358948487509</v>
      </c>
      <c r="C277" s="829"/>
      <c r="D277" s="391">
        <f t="shared" si="102"/>
        <v>49.563058448440771</v>
      </c>
      <c r="E277" s="383">
        <f t="shared" si="100"/>
        <v>50.672101892159532</v>
      </c>
      <c r="F277" s="383">
        <f t="shared" si="103"/>
        <v>50.698686823362131</v>
      </c>
      <c r="G277" s="110">
        <f t="shared" si="101"/>
        <v>1.0365895377792054</v>
      </c>
      <c r="H277" s="412" t="b">
        <f>Wh_hp&gt;='2027'!Maxi_hp</f>
        <v>1</v>
      </c>
      <c r="I277" s="388">
        <f>IF(H277,Wh_hp,'2027'!Maxi_hp)</f>
        <v>50.698686823362131</v>
      </c>
      <c r="J277" s="85">
        <f>IF(H277,An,'2027'!An_max)</f>
        <v>2028</v>
      </c>
      <c r="K277" s="197">
        <f t="shared" si="104"/>
        <v>47015</v>
      </c>
      <c r="L277" s="147">
        <f>IF(t&lt;Tvie,1-EXP((T0-t)*PertePVj)+'2027'!Pspv,1-EXP((T0-t)*PertePVj)+Pspv)</f>
        <v>6.5486263389691435E-2</v>
      </c>
      <c r="M277" s="832"/>
      <c r="N277" s="832"/>
      <c r="O277" s="48">
        <f>IF(t&lt;Tnet,'2027'!Resal+('2027'!Salim-'2027'!Resal)*(1-EXP(('2027'!Tnet-t)/('2027'!Tau_j))),Resal+(Salim-Resal)*(1-EXP((Tnet-t)/(Tau_j))))*Salcycl</f>
        <v>2.1886667462088453E-2</v>
      </c>
      <c r="P277" s="169">
        <f>(INDEX(Models!$BJ277:$BT277,,T277)*(1-R277)+INDEX(Models!$BJ277:$BT277,,T277+1)*R277-ERP_i)*Q277*Ramure*Pc/MaxiM</f>
        <v>5.2437119910469945E-4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44.682448800050643</v>
      </c>
      <c r="W277" s="400">
        <f t="shared" si="111"/>
        <v>46.317358948487509</v>
      </c>
      <c r="X277" s="157">
        <f t="shared" si="112"/>
        <v>47015</v>
      </c>
      <c r="Y277" s="383">
        <f t="shared" si="113"/>
        <v>44.236173636120107</v>
      </c>
      <c r="Z277" s="383">
        <f t="shared" si="114"/>
        <v>47.336033600292119</v>
      </c>
      <c r="AA277" s="384">
        <f t="shared" si="115"/>
        <v>50.471248912095611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6.211883754380651E-2</v>
      </c>
      <c r="AD277" s="230">
        <f>(INDEX(Models!$BJ277:$BT277,,AH277)*(1-AF277)+INDEX(Models!$BJ277:$BT277,,AH277+1)*AF277-ERP_i)*AE277*Ramure*Pc/MaxiM</f>
        <v>4.4860710506946701E-3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'2027'!Wh/'2027'!Env_an*'2028'!Env_an</f>
        <v>45.125650855951164</v>
      </c>
      <c r="C278" s="829"/>
      <c r="D278" s="391">
        <f t="shared" si="102"/>
        <v>48.288766582515386</v>
      </c>
      <c r="E278" s="383">
        <f t="shared" si="100"/>
        <v>49.372827440151724</v>
      </c>
      <c r="F278" s="383">
        <f t="shared" si="103"/>
        <v>49.399515767454261</v>
      </c>
      <c r="G278" s="110">
        <f t="shared" si="101"/>
        <v>1.0163460501370338</v>
      </c>
      <c r="H278" s="412" t="b">
        <f>Wh_hp&gt;='2027'!Maxi_hp</f>
        <v>1</v>
      </c>
      <c r="I278" s="388">
        <f>IF(H278,Wh_hp,'2027'!Maxi_hp)</f>
        <v>49.399515767454261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6.550417313225676E-2</v>
      </c>
      <c r="M278" s="832"/>
      <c r="N278" s="832"/>
      <c r="O278" s="48">
        <f>IF(t&lt;Tnet,'2027'!Resal+('2027'!Salim-'2027'!Resal)*(1-EXP(('2027'!Tnet-t)/('2027'!Tau_j))),Resal+(Salim-Resal)*(1-EXP((Tnet-t)/(Tau_j))))*Salcycl</f>
        <v>2.1956629057762793E-2</v>
      </c>
      <c r="P278" s="169">
        <f>(INDEX(Models!$BJ278:$BT278,,T278)*(1-R278)+INDEX(Models!$BJ278:$BT278,,T278+1)*R278-ERP_i)*Q278*Ramure*Pc/MaxiM</f>
        <v>5.4025483626542854E-4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44.399888059649442</v>
      </c>
      <c r="W278" s="400">
        <f t="shared" si="111"/>
        <v>45.125650855951164</v>
      </c>
      <c r="X278" s="157">
        <f t="shared" si="112"/>
        <v>47016</v>
      </c>
      <c r="Y278" s="383">
        <f t="shared" si="113"/>
        <v>43.093943178266358</v>
      </c>
      <c r="Z278" s="383">
        <f t="shared" si="114"/>
        <v>46.114644859045832</v>
      </c>
      <c r="AA278" s="384">
        <f t="shared" si="115"/>
        <v>49.170184147287799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6.2142116024808694E-2</v>
      </c>
      <c r="AD278" s="230">
        <f>(INDEX(Models!$BJ278:$BT278,,AH278)*(1-AF278)+INDEX(Models!$BJ278:$BT278,,AH278+1)*AF278-ERP_i)*AE278*Ramure*Pc/MaxiM</f>
        <v>4.6423859951588995E-3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'2027'!Wh/'2027'!Env_an*'2028'!Env_an</f>
        <v>43.667287605829024</v>
      </c>
      <c r="C279" s="829"/>
      <c r="D279" s="391">
        <f t="shared" si="102"/>
        <v>46.729073838499779</v>
      </c>
      <c r="E279" s="383">
        <f t="shared" si="100"/>
        <v>47.781521981219818</v>
      </c>
      <c r="F279" s="383">
        <f t="shared" si="103"/>
        <v>47.807744515452164</v>
      </c>
      <c r="G279" s="110">
        <f t="shared" si="101"/>
        <v>0.98986477414744489</v>
      </c>
      <c r="H279" s="412" t="b">
        <f>Wh_hp&gt;='2027'!Maxi_hp</f>
        <v>0</v>
      </c>
      <c r="I279" s="388">
        <f>IF(H279,Wh_hp,'2027'!Maxi_hp)</f>
        <v>47.808046737033415</v>
      </c>
      <c r="J279" s="85">
        <f>IF(H279,An,'2027'!An_max)</f>
        <v>2026</v>
      </c>
      <c r="K279" s="197">
        <f t="shared" si="104"/>
        <v>47017</v>
      </c>
      <c r="L279" s="147">
        <f>IF(t&lt;Tvie,1-EXP((T0-t)*PertePVj)+'2027'!Pspv,1-EXP((T0-t)*PertePVj)+Pspv)</f>
        <v>6.5522082531585868E-2</v>
      </c>
      <c r="M279" s="832"/>
      <c r="N279" s="832"/>
      <c r="O279" s="48">
        <f>IF(t&lt;Tnet,'2027'!Resal+('2027'!Salim-'2027'!Resal)*(1-EXP(('2027'!Tnet-t)/('2027'!Tau_j))),Resal+(Salim-Resal)*(1-EXP((Tnet-t)/(Tau_j))))*Salcycl</f>
        <v>2.2026258249657652E-2</v>
      </c>
      <c r="P279" s="169">
        <f>(INDEX(Models!$BJ279:$BT279,,T279)*(1-R279)+INDEX(Models!$BJ279:$BT279,,T279+1)*R279-ERP_i)*Q279*Ramure*Pc/MaxiM</f>
        <v>5.5655162634529471E-4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44.114041582438013</v>
      </c>
      <c r="W279" s="400">
        <f t="shared" si="111"/>
        <v>43.667287605829024</v>
      </c>
      <c r="X279" s="157">
        <f t="shared" si="112"/>
        <v>47017</v>
      </c>
      <c r="Y279" s="383">
        <f t="shared" si="113"/>
        <v>41.699663092201682</v>
      </c>
      <c r="Z279" s="383">
        <f t="shared" si="114"/>
        <v>44.623486882568471</v>
      </c>
      <c r="AA279" s="384">
        <f t="shared" si="115"/>
        <v>47.581368449930984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6.2164701514943591E-2</v>
      </c>
      <c r="AD279" s="230">
        <f>(INDEX(Models!$BJ279:$BT279,,AH279)*(1-AF279)+INDEX(Models!$BJ279:$BT279,,AH279+1)*AF279-ERP_i)*AE279*Ramure*Pc/MaxiM</f>
        <v>4.8046449788233751E-3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'2027'!Wh/'2027'!Env_an*'2028'!Env_an</f>
        <v>27.715960332337662</v>
      </c>
      <c r="C280" s="829"/>
      <c r="D280" s="391">
        <f t="shared" si="102"/>
        <v>29.659867819734956</v>
      </c>
      <c r="E280" s="383">
        <f t="shared" si="100"/>
        <v>30.330026292968878</v>
      </c>
      <c r="F280" s="383">
        <f t="shared" si="103"/>
        <v>30.338285547154463</v>
      </c>
      <c r="G280" s="110">
        <f t="shared" si="101"/>
        <v>0.6322329230957352</v>
      </c>
      <c r="H280" s="412" t="b">
        <f>Wh_hp&gt;='2027'!Maxi_hp</f>
        <v>0</v>
      </c>
      <c r="I280" s="388">
        <f>IF(H280,Wh_hp,'2027'!Maxi_hp)</f>
        <v>41.863369362780062</v>
      </c>
      <c r="J280" s="85">
        <f>IF(H280,An,'2027'!An_max)</f>
        <v>2018</v>
      </c>
      <c r="K280" s="197">
        <f t="shared" si="104"/>
        <v>47018</v>
      </c>
      <c r="L280" s="147">
        <f>IF(t&lt;Tvie,1-EXP((T0-t)*PertePVj)+'2027'!Pspv,1-EXP((T0-t)*PertePVj)+Pspv)</f>
        <v>6.5539991587685531E-2</v>
      </c>
      <c r="M280" s="832"/>
      <c r="N280" s="832"/>
      <c r="O280" s="48">
        <f>IF(t&lt;Tnet,'2027'!Resal+('2027'!Salim-'2027'!Resal)*(1-EXP(('2027'!Tnet-t)/('2027'!Tau_j))),Resal+(Salim-Resal)*(1-EXP((Tnet-t)/(Tau_j))))*Salcycl</f>
        <v>2.2095545409707696E-2</v>
      </c>
      <c r="P280" s="169">
        <f>(INDEX(Models!$BJ280:$BT280,,T280)*(1-R280)+INDEX(Models!$BJ280:$BT280,,T280+1)*R280-ERP_i)*Q280*Ramure*Pc/MaxiM</f>
        <v>5.7326616966624298E-4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43.825010975630768</v>
      </c>
      <c r="W280" s="400">
        <f t="shared" si="111"/>
        <v>27.715960332337662</v>
      </c>
      <c r="X280" s="157">
        <f t="shared" si="112"/>
        <v>47018</v>
      </c>
      <c r="Y280" s="383">
        <f t="shared" si="113"/>
        <v>26.524143133277324</v>
      </c>
      <c r="Z280" s="383">
        <f t="shared" si="114"/>
        <v>28.384460431156302</v>
      </c>
      <c r="AA280" s="384">
        <f t="shared" si="115"/>
        <v>30.266638953307176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6.2186571989527498E-2</v>
      </c>
      <c r="AD280" s="230">
        <f>(INDEX(Models!$BJ280:$BT280,,AH280)*(1-AF280)+INDEX(Models!$BJ280:$BT280,,AH280+1)*AF280-ERP_i)*AE280*Ramure*Pc/MaxiM</f>
        <v>4.9729149268897335E-3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'2027'!Wh/'2027'!Env_an*'2028'!Env_an</f>
        <v>16.789380682002594</v>
      </c>
      <c r="C281" s="829"/>
      <c r="D281" s="391">
        <f t="shared" si="102"/>
        <v>17.967277680878119</v>
      </c>
      <c r="E281" s="383">
        <f t="shared" si="100"/>
        <v>18.374539816941077</v>
      </c>
      <c r="F281" s="383">
        <f t="shared" si="103"/>
        <v>18.37586761383902</v>
      </c>
      <c r="G281" s="110">
        <f t="shared" si="101"/>
        <v>0.38547125415093392</v>
      </c>
      <c r="H281" s="412" t="b">
        <f>Wh_hp&gt;='2027'!Maxi_hp</f>
        <v>0</v>
      </c>
      <c r="I281" s="388">
        <f>IF(H281,Wh_hp,'2027'!Maxi_hp)</f>
        <v>40.4343470381435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6.5557900300562189E-2</v>
      </c>
      <c r="M281" s="832"/>
      <c r="N281" s="832"/>
      <c r="O281" s="48">
        <f>IF(t&lt;Tnet,'2027'!Resal+('2027'!Salim-'2027'!Resal)*(1-EXP(('2027'!Tnet-t)/('2027'!Tau_j))),Resal+(Salim-Resal)*(1-EXP((Tnet-t)/(Tau_j))))*Salcycl</f>
        <v>2.2164480858860261E-2</v>
      </c>
      <c r="P281" s="169">
        <f>(INDEX(Models!$BJ281:$BT281,,T281)*(1-R281)+INDEX(Models!$BJ281:$BT281,,T281+1)*R281-ERP_i)*Q281*Ramure*Pc/MaxiM</f>
        <v>5.9040154377918981E-4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43.532897868464715</v>
      </c>
      <c r="W281" s="400">
        <f t="shared" si="111"/>
        <v>16.789380682002594</v>
      </c>
      <c r="X281" s="157">
        <f t="shared" si="112"/>
        <v>47019</v>
      </c>
      <c r="Y281" s="383">
        <f t="shared" si="113"/>
        <v>16.09286012427933</v>
      </c>
      <c r="Z281" s="383">
        <f t="shared" si="114"/>
        <v>17.221891147087209</v>
      </c>
      <c r="AA281" s="384">
        <f t="shared" si="115"/>
        <v>18.364291590094343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6.2207705502963284E-2</v>
      </c>
      <c r="AD281" s="230">
        <f>(INDEX(Models!$BJ281:$BT281,,AH281)*(1-AF281)+INDEX(Models!$BJ281:$BT281,,AH281+1)*AF281-ERP_i)*AE281*Ramure*Pc/MaxiM</f>
        <v>5.1472497791369212E-3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'2027'!Wh/'2027'!Env_an*'2028'!Env_an</f>
        <v>35.35753304940976</v>
      </c>
      <c r="C282" s="829"/>
      <c r="D282" s="391">
        <f t="shared" si="102"/>
        <v>37.838845973253868</v>
      </c>
      <c r="E282" s="383">
        <f t="shared" si="100"/>
        <v>38.6992484900668</v>
      </c>
      <c r="F282" s="383">
        <f t="shared" si="103"/>
        <v>38.716680597330786</v>
      </c>
      <c r="G282" s="110">
        <f t="shared" si="101"/>
        <v>0.81761678574753582</v>
      </c>
      <c r="H282" s="412" t="b">
        <f>Wh_hp&gt;='2027'!Maxi_hp</f>
        <v>0</v>
      </c>
      <c r="I282" s="388">
        <f>IF(H282,Wh_hp,'2027'!Maxi_hp)</f>
        <v>38.721506534658232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6.5575808670222391E-2</v>
      </c>
      <c r="M282" s="832"/>
      <c r="N282" s="832"/>
      <c r="O282" s="48">
        <f>IF(t&lt;Tnet,'2027'!Resal+('2027'!Salim-'2027'!Resal)*(1-EXP(('2027'!Tnet-t)/('2027'!Tau_j))),Resal+(Salim-Resal)*(1-EXP((Tnet-t)/(Tau_j))))*Salcycl</f>
        <v>2.2233054914070984E-2</v>
      </c>
      <c r="P282" s="169">
        <f>(INDEX(Models!$BJ282:$BT282,,T282)*(1-R282)+INDEX(Models!$BJ282:$BT282,,T282+1)*R282-ERP_i)*Q282*Ramure*Pc/MaxiM</f>
        <v>6.0874118161641168E-4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43.237770081016038</v>
      </c>
      <c r="W282" s="400">
        <f t="shared" si="111"/>
        <v>35.35753304940976</v>
      </c>
      <c r="X282" s="157">
        <f t="shared" si="112"/>
        <v>47020</v>
      </c>
      <c r="Y282" s="383">
        <f t="shared" si="113"/>
        <v>33.792667229311398</v>
      </c>
      <c r="Z282" s="383">
        <f t="shared" si="114"/>
        <v>36.164161355049153</v>
      </c>
      <c r="AA282" s="384">
        <f t="shared" si="115"/>
        <v>38.563920070577531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6.2228080317988321E-2</v>
      </c>
      <c r="AD282" s="230">
        <f>(INDEX(Models!$BJ282:$BT282,,AH282)*(1-AF282)+INDEX(Models!$BJ282:$BT282,,AH282+1)*AF282-ERP_i)*AE282*Ramure*Pc/MaxiM</f>
        <v>5.3345027168480129E-3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'2027'!Wh/'2027'!Env_an*'2028'!Env_an</f>
        <v>32.373962760183353</v>
      </c>
      <c r="C283" s="829"/>
      <c r="D283" s="391">
        <f t="shared" si="102"/>
        <v>34.646559359312562</v>
      </c>
      <c r="E283" s="383">
        <f t="shared" si="100"/>
        <v>35.436845593449824</v>
      </c>
      <c r="F283" s="383">
        <f t="shared" si="103"/>
        <v>35.451284904401383</v>
      </c>
      <c r="G283" s="110">
        <f t="shared" si="101"/>
        <v>0.75377292100414683</v>
      </c>
      <c r="H283" s="412" t="b">
        <f>Wh_hp&gt;='2027'!Maxi_hp</f>
        <v>0</v>
      </c>
      <c r="I283" s="388">
        <f>IF(H283,Wh_hp,'2027'!Maxi_hp)</f>
        <v>39.693686966189702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6.5593716696672799E-2</v>
      </c>
      <c r="M283" s="832"/>
      <c r="N283" s="832"/>
      <c r="O283" s="48">
        <f>IF(t&lt;Tnet,'2027'!Resal+('2027'!Salim-'2027'!Resal)*(1-EXP(('2027'!Tnet-t)/('2027'!Tau_j))),Resal+(Salim-Resal)*(1-EXP((Tnet-t)/(Tau_j))))*Salcycl</f>
        <v>2.2301257939373091E-2</v>
      </c>
      <c r="P283" s="169">
        <f>(INDEX(Models!$BJ283:$BT283,,T283)*(1-R283)+INDEX(Models!$BJ283:$BT283,,T283+1)*R283-ERP_i)*Q283*Ramure*Pc/MaxiM</f>
        <v>6.2807948471373435E-4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42.939738801265733</v>
      </c>
      <c r="W283" s="400">
        <f t="shared" si="111"/>
        <v>32.373962760183353</v>
      </c>
      <c r="X283" s="157">
        <f t="shared" si="112"/>
        <v>47021</v>
      </c>
      <c r="Y283" s="383">
        <f t="shared" si="113"/>
        <v>30.9524384473929</v>
      </c>
      <c r="Z283" s="383">
        <f t="shared" si="114"/>
        <v>33.125246480545243</v>
      </c>
      <c r="AA283" s="384">
        <f t="shared" si="115"/>
        <v>35.324088886802627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6.2247675044179052E-2</v>
      </c>
      <c r="AD283" s="230">
        <f>(INDEX(Models!$BJ283:$BT283,,AH283)*(1-AF283)+INDEX(Models!$BJ283:$BT283,,AH283+1)*AF283-ERP_i)*AE283*Ramure*Pc/MaxiM</f>
        <v>5.5327577236260741E-3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'2027'!Wh/'2027'!Env_an*'2028'!Env_an</f>
        <v>17.167066279124157</v>
      </c>
      <c r="C284" s="829"/>
      <c r="D284" s="391">
        <f t="shared" si="102"/>
        <v>18.372516960874783</v>
      </c>
      <c r="E284" s="383">
        <f t="shared" si="100"/>
        <v>18.792896779908546</v>
      </c>
      <c r="F284" s="383">
        <f t="shared" si="103"/>
        <v>18.794683294244152</v>
      </c>
      <c r="G284" s="110">
        <f t="shared" si="101"/>
        <v>0.40239225901911368</v>
      </c>
      <c r="H284" s="412" t="b">
        <f>Wh_hp&gt;='2027'!Maxi_hp</f>
        <v>0</v>
      </c>
      <c r="I284" s="388">
        <f>IF(H284,Wh_hp,'2027'!Maxi_hp)</f>
        <v>37.960845399345402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6.5611624379919964E-2</v>
      </c>
      <c r="M284" s="832"/>
      <c r="N284" s="832"/>
      <c r="O284" s="48">
        <f>IF(t&lt;Tnet,'2027'!Resal+('2027'!Salim-'2027'!Resal)*(1-EXP(('2027'!Tnet-t)/('2027'!Tau_j))),Resal+(Salim-Resal)*(1-EXP((Tnet-t)/(Tau_j))))*Salcycl</f>
        <v>2.2369080400802769E-2</v>
      </c>
      <c r="P284" s="169">
        <f>(INDEX(Models!$BJ284:$BT284,,T284)*(1-R284)+INDEX(Models!$BJ284:$BT284,,T284+1)*R284-ERP_i)*Q284*Ramure*Pc/MaxiM</f>
        <v>6.4842293501493435E-4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42.638905879573464</v>
      </c>
      <c r="W284" s="400">
        <f t="shared" si="111"/>
        <v>17.167066279124157</v>
      </c>
      <c r="X284" s="157">
        <f t="shared" si="112"/>
        <v>47022</v>
      </c>
      <c r="Y284" s="383">
        <f t="shared" si="113"/>
        <v>16.454176935453656</v>
      </c>
      <c r="Z284" s="383">
        <f t="shared" si="114"/>
        <v>17.609569387605355</v>
      </c>
      <c r="AA284" s="384">
        <f t="shared" si="115"/>
        <v>18.778862866072419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6.2266468784945087E-2</v>
      </c>
      <c r="AD284" s="230">
        <f>(INDEX(Models!$BJ284:$BT284,,AH284)*(1-AF284)+INDEX(Models!$BJ284:$BT284,,AH284+1)*AF284-ERP_i)*AE284*Ramure*Pc/MaxiM</f>
        <v>5.7420913249154196E-3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'2027'!Wh/'2027'!Env_an*'2028'!Env_an</f>
        <v>19.457989333384766</v>
      </c>
      <c r="C285" s="829"/>
      <c r="D285" s="391">
        <f t="shared" si="102"/>
        <v>20.824704968686184</v>
      </c>
      <c r="E285" s="383">
        <f t="shared" si="100"/>
        <v>21.302662429623457</v>
      </c>
      <c r="F285" s="383">
        <f t="shared" si="103"/>
        <v>21.305916354279205</v>
      </c>
      <c r="G285" s="110">
        <f t="shared" si="101"/>
        <v>0.45937771494740204</v>
      </c>
      <c r="H285" s="412" t="b">
        <f>Wh_hp&gt;='2027'!Maxi_hp</f>
        <v>0</v>
      </c>
      <c r="I285" s="388">
        <f>IF(H285,Wh_hp,'2027'!Maxi_hp)</f>
        <v>38.326040675068562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6.5629531719970546E-2</v>
      </c>
      <c r="M285" s="832"/>
      <c r="N285" s="832"/>
      <c r="O285" s="48">
        <f>IF(t&lt;Tnet,'2027'!Resal+('2027'!Salim-'2027'!Resal)*(1-EXP(('2027'!Tnet-t)/('2027'!Tau_j))),Resal+(Salim-Resal)*(1-EXP((Tnet-t)/(Tau_j))))*Salcycl</f>
        <v>2.2436512924911431E-2</v>
      </c>
      <c r="P285" s="169">
        <f>(INDEX(Models!$BJ285:$BT285,,T285)*(1-R285)+INDEX(Models!$BJ285:$BT285,,T285+1)*R285-ERP_i)*Q285*Ramure*Pc/MaxiM</f>
        <v>6.6977746689607419E-4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42.33537314255809</v>
      </c>
      <c r="W285" s="400">
        <f t="shared" si="111"/>
        <v>19.457989333384766</v>
      </c>
      <c r="X285" s="157">
        <f t="shared" si="112"/>
        <v>47023</v>
      </c>
      <c r="Y285" s="383">
        <f t="shared" si="113"/>
        <v>18.642303562286383</v>
      </c>
      <c r="Z285" s="383">
        <f t="shared" si="114"/>
        <v>19.951725996437755</v>
      </c>
      <c r="AA285" s="384">
        <f t="shared" si="115"/>
        <v>21.276948869154051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6.228444129212142E-2</v>
      </c>
      <c r="AD285" s="230">
        <f>(INDEX(Models!$BJ285:$BT285,,AH285)*(1-AF285)+INDEX(Models!$BJ285:$BT285,,AH285+1)*AF285-ERP_i)*AE285*Ramure*Pc/MaxiM</f>
        <v>5.9625746942850626E-3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'2027'!Wh/'2027'!Env_an*'2028'!Env_an</f>
        <v>23.379731512838383</v>
      </c>
      <c r="C286" s="829"/>
      <c r="D286" s="391">
        <f t="shared" si="102"/>
        <v>25.022387139101358</v>
      </c>
      <c r="E286" s="383">
        <f t="shared" si="100"/>
        <v>25.598442885329174</v>
      </c>
      <c r="F286" s="383">
        <f t="shared" si="103"/>
        <v>25.604931135787488</v>
      </c>
      <c r="G286" s="110">
        <f t="shared" si="101"/>
        <v>0.55602884383391382</v>
      </c>
      <c r="H286" s="412" t="b">
        <f>Wh_hp&gt;='2027'!Maxi_hp</f>
        <v>0</v>
      </c>
      <c r="I286" s="388">
        <f>IF(H286,Wh_hp,'2027'!Maxi_hp)</f>
        <v>44.025423023353014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6.5647438716830986E-2</v>
      </c>
      <c r="M286" s="832"/>
      <c r="N286" s="832"/>
      <c r="O286" s="48">
        <f>IF(t&lt;Tnet,'2027'!Resal+('2027'!Salim-'2027'!Resal)*(1-EXP(('2027'!Tnet-t)/('2027'!Tau_j))),Resal+(Salim-Resal)*(1-EXP((Tnet-t)/(Tau_j))))*Salcycl</f>
        <v>2.2503546360546901E-2</v>
      </c>
      <c r="P286" s="169">
        <f>(INDEX(Models!$BJ286:$BT286,,T286)*(1-R286)+INDEX(Models!$BJ286:$BT286,,T286+1)*R286-ERP_i)*Q286*Ramure*Pc/MaxiM</f>
        <v>6.9214841892890314E-4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42.029242396469108</v>
      </c>
      <c r="W286" s="400">
        <f t="shared" si="111"/>
        <v>23.379731512838383</v>
      </c>
      <c r="X286" s="157">
        <f t="shared" si="112"/>
        <v>47024</v>
      </c>
      <c r="Y286" s="383">
        <f t="shared" si="113"/>
        <v>22.382654471845409</v>
      </c>
      <c r="Z286" s="383">
        <f t="shared" si="114"/>
        <v>23.9552556490098</v>
      </c>
      <c r="AA286" s="384">
        <f t="shared" si="115"/>
        <v>25.546865561989602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6.2301573127151434E-2</v>
      </c>
      <c r="AD286" s="230">
        <f>(INDEX(Models!$BJ286:$BT286,,AH286)*(1-AF286)+INDEX(Models!$BJ286:$BT286,,AH286+1)*AF286-ERP_i)*AE286*Ramure*Pc/MaxiM</f>
        <v>6.1942730720100378E-3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'2027'!Wh/'2027'!Env_an*'2028'!Env_an</f>
        <v>27.744821376211718</v>
      </c>
      <c r="C287" s="829"/>
      <c r="D287" s="391">
        <f t="shared" si="102"/>
        <v>29.694736504463542</v>
      </c>
      <c r="E287" s="383">
        <f t="shared" si="100"/>
        <v>30.380427984759759</v>
      </c>
      <c r="F287" s="383">
        <f t="shared" si="103"/>
        <v>30.391767708019984</v>
      </c>
      <c r="G287" s="110">
        <f t="shared" si="101"/>
        <v>0.66478687112141421</v>
      </c>
      <c r="H287" s="412" t="b">
        <f>Wh_hp&gt;='2027'!Maxi_hp</f>
        <v>0</v>
      </c>
      <c r="I287" s="388">
        <f>IF(H287,Wh_hp,'2027'!Maxi_hp)</f>
        <v>36.159220038545989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6.5665345370507833E-2</v>
      </c>
      <c r="M287" s="832"/>
      <c r="N287" s="832"/>
      <c r="O287" s="48">
        <f>IF(t&lt;Tnet,'2027'!Resal+('2027'!Salim-'2027'!Resal)*(1-EXP(('2027'!Tnet-t)/('2027'!Tau_j))),Resal+(Salim-Resal)*(1-EXP((Tnet-t)/(Tau_j))))*Salcycl</f>
        <v>2.257017184353664E-2</v>
      </c>
      <c r="P287" s="169">
        <f>(INDEX(Models!$BJ287:$BT287,,T287)*(1-R287)+INDEX(Models!$BJ287:$BT287,,T287+1)*R287-ERP_i)*Q287*Ramure*Pc/MaxiM</f>
        <v>7.1554048890672215E-4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41.720615419994033</v>
      </c>
      <c r="W287" s="400">
        <f t="shared" si="111"/>
        <v>27.744821376211718</v>
      </c>
      <c r="X287" s="157">
        <f t="shared" si="112"/>
        <v>47025</v>
      </c>
      <c r="Y287" s="383">
        <f t="shared" si="113"/>
        <v>26.537122008518995</v>
      </c>
      <c r="Z287" s="383">
        <f t="shared" si="114"/>
        <v>28.402159629883595</v>
      </c>
      <c r="AA287" s="384">
        <f t="shared" si="115"/>
        <v>30.289751706915784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6.231784582774285E-2</v>
      </c>
      <c r="AD287" s="230">
        <f>(INDEX(Models!$BJ287:$BT287,,AH287)*(1-AF287)+INDEX(Models!$BJ287:$BT287,,AH287+1)*AF287-ERP_i)*AE287*Ramure*Pc/MaxiM</f>
        <v>6.4372452158922011E-3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'2027'!Wh/'2027'!Env_an*'2028'!Env_an</f>
        <v>36.253256323673142</v>
      </c>
      <c r="C288" s="829"/>
      <c r="D288" s="391">
        <f t="shared" si="102"/>
        <v>38.80189067454846</v>
      </c>
      <c r="E288" s="383">
        <f t="shared" si="100"/>
        <v>39.700567848887445</v>
      </c>
      <c r="F288" s="383">
        <f t="shared" si="103"/>
        <v>39.724733572500256</v>
      </c>
      <c r="G288" s="110">
        <f t="shared" si="101"/>
        <v>0.8753643296867033</v>
      </c>
      <c r="H288" s="412" t="b">
        <f>Wh_hp&gt;='2027'!Maxi_hp</f>
        <v>0</v>
      </c>
      <c r="I288" s="388">
        <f>IF(H288,Wh_hp,'2027'!Maxi_hp)</f>
        <v>44.503895100671492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6.5683251681007859E-2</v>
      </c>
      <c r="M288" s="832"/>
      <c r="N288" s="832"/>
      <c r="O288" s="48">
        <f>IF(t&lt;Tnet,'2027'!Resal+('2027'!Salim-'2027'!Resal)*(1-EXP(('2027'!Tnet-t)/('2027'!Tau_j))),Resal+(Salim-Resal)*(1-EXP((Tnet-t)/(Tau_j))))*Salcycl</f>
        <v>2.2636380863861404E-2</v>
      </c>
      <c r="P288" s="169">
        <f>(INDEX(Models!$BJ288:$BT288,,T288)*(1-R288)+INDEX(Models!$BJ288:$BT288,,T288+1)*R288-ERP_i)*Q288*Ramure*Pc/MaxiM</f>
        <v>7.3995769252489145E-4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41.409593966412736</v>
      </c>
      <c r="W288" s="400">
        <f t="shared" si="111"/>
        <v>36.253256323673142</v>
      </c>
      <c r="X288" s="157">
        <f t="shared" si="112"/>
        <v>47026</v>
      </c>
      <c r="Y288" s="383">
        <f t="shared" si="113"/>
        <v>34.610502607179555</v>
      </c>
      <c r="Z288" s="383">
        <f t="shared" si="114"/>
        <v>37.043649992842603</v>
      </c>
      <c r="AA288" s="384">
        <f t="shared" si="115"/>
        <v>39.506199489216456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6.2333242078778828E-2</v>
      </c>
      <c r="AD288" s="230">
        <f>(INDEX(Models!$BJ288:$BT288,,AH288)*(1-AF288)+INDEX(Models!$BJ288:$BT288,,AH288+1)*AF288-ERP_i)*AE288*Ramure*Pc/MaxiM</f>
        <v>6.691542889243951E-3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'2027'!Wh/'2027'!Env_an*'2028'!Env_an</f>
        <v>38.658027047431183</v>
      </c>
      <c r="C289" s="829"/>
      <c r="D289" s="391">
        <f t="shared" si="102"/>
        <v>41.376511770182219</v>
      </c>
      <c r="E289" s="383">
        <f t="shared" si="100"/>
        <v>42.33766852083491</v>
      </c>
      <c r="F289" s="383">
        <f t="shared" si="103"/>
        <v>42.367350874873836</v>
      </c>
      <c r="G289" s="110">
        <f t="shared" si="101"/>
        <v>0.94064427104902126</v>
      </c>
      <c r="H289" s="412" t="b">
        <f>Wh_hp&gt;='2027'!Maxi_hp</f>
        <v>0</v>
      </c>
      <c r="I289" s="388">
        <f>IF(H289,Wh_hp,'2027'!Maxi_hp)</f>
        <v>42.369537938201859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6.5701157648337505E-2</v>
      </c>
      <c r="M289" s="832"/>
      <c r="N289" s="832"/>
      <c r="O289" s="48">
        <f>IF(t&lt;Tnet,'2027'!Resal+('2027'!Salim-'2027'!Resal)*(1-EXP(('2027'!Tnet-t)/('2027'!Tau_j))),Resal+(Salim-Resal)*(1-EXP((Tnet-t)/(Tau_j))))*Salcycl</f>
        <v>2.2702165334864643E-2</v>
      </c>
      <c r="P289" s="169">
        <f>(INDEX(Models!$BJ289:$BT289,,T289)*(1-R289)+INDEX(Models!$BJ289:$BT289,,T289+1)*R289-ERP_i)*Q289*Ramure*Pc/MaxiM</f>
        <v>7.6543223936884465E-4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41.094726242446562</v>
      </c>
      <c r="W289" s="400">
        <f t="shared" si="111"/>
        <v>38.658027047431183</v>
      </c>
      <c r="X289" s="157">
        <f t="shared" si="112"/>
        <v>47027</v>
      </c>
      <c r="Y289" s="383">
        <f t="shared" si="113"/>
        <v>36.879449998616266</v>
      </c>
      <c r="Z289" s="383">
        <f t="shared" si="114"/>
        <v>39.472862778882842</v>
      </c>
      <c r="AA289" s="384">
        <f t="shared" si="115"/>
        <v>42.097550137272023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6.2347745886175768E-2</v>
      </c>
      <c r="AD289" s="230">
        <f>(INDEX(Models!$BJ289:$BT289,,AH289)*(1-AF289)+INDEX(Models!$BJ289:$BT289,,AH289+1)*AF289-ERP_i)*AE289*Ramure*Pc/MaxiM</f>
        <v>6.9574732009159979E-3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'2027'!Wh/'2027'!Env_an*'2028'!Env_an</f>
        <v>37.319677696571638</v>
      </c>
      <c r="C290" s="829"/>
      <c r="D290" s="391">
        <f t="shared" si="102"/>
        <v>39.944813416927005</v>
      </c>
      <c r="E290" s="383">
        <f t="shared" si="100"/>
        <v>40.875445852395437</v>
      </c>
      <c r="F290" s="383">
        <f t="shared" si="103"/>
        <v>40.903968160508022</v>
      </c>
      <c r="G290" s="110">
        <f t="shared" si="101"/>
        <v>0.91517442868211296</v>
      </c>
      <c r="H290" s="412" t="b">
        <f>Wh_hp&gt;='2027'!Maxi_hp</f>
        <v>0</v>
      </c>
      <c r="I290" s="388">
        <f>IF(H290,Wh_hp,'2027'!Maxi_hp)</f>
        <v>40.907102417729099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6.571906327250332E-2</v>
      </c>
      <c r="M290" s="832"/>
      <c r="N290" s="832"/>
      <c r="O290" s="48">
        <f>IF(t&lt;Tnet,'2027'!Resal+('2027'!Salim-'2027'!Resal)*(1-EXP(('2027'!Tnet-t)/('2027'!Tau_j))),Resal+(Salim-Resal)*(1-EXP((Tnet-t)/(Tau_j))))*Salcycl</f>
        <v>2.2767517664003541E-2</v>
      </c>
      <c r="P290" s="169">
        <f>(INDEX(Models!$BJ290:$BT290,,T290)*(1-R290)+INDEX(Models!$BJ290:$BT290,,T290+1)*R290-ERP_i)*Q290*Ramure*Pc/MaxiM</f>
        <v>7.9333551815478258E-4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40.774840276596947</v>
      </c>
      <c r="W290" s="400">
        <f t="shared" si="111"/>
        <v>37.319677696571638</v>
      </c>
      <c r="X290" s="157">
        <f t="shared" si="112"/>
        <v>47028</v>
      </c>
      <c r="Y290" s="383">
        <f t="shared" si="113"/>
        <v>35.604600970586368</v>
      </c>
      <c r="Z290" s="383">
        <f t="shared" si="114"/>
        <v>38.109094995878337</v>
      </c>
      <c r="AA290" s="384">
        <f t="shared" si="115"/>
        <v>40.643690083919921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6.2361342752299855E-2</v>
      </c>
      <c r="AD290" s="230">
        <f>(INDEX(Models!$BJ290:$BT290,,AH290)*(1-AF290)+INDEX(Models!$BJ290:$BT290,,AH290+1)*AF290-ERP_i)*AE290*Ramure*Pc/MaxiM</f>
        <v>7.2395207968194413E-3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'2027'!Wh/'2027'!Env_an*'2028'!Env_an</f>
        <v>41.110959125075375</v>
      </c>
      <c r="C291" s="829"/>
      <c r="D291" s="391">
        <f t="shared" si="102"/>
        <v>44.003623970248142</v>
      </c>
      <c r="E291" s="383">
        <f t="shared" si="100"/>
        <v>45.031809648965272</v>
      </c>
      <c r="F291" s="383">
        <f t="shared" si="103"/>
        <v>45.068928153940966</v>
      </c>
      <c r="G291" s="110">
        <f t="shared" si="101"/>
        <v>1.0163264907080047</v>
      </c>
      <c r="H291" s="412" t="b">
        <f>Wh_hp&gt;='2027'!Maxi_hp</f>
        <v>1</v>
      </c>
      <c r="I291" s="388">
        <f>IF(H291,Wh_hp,'2027'!Maxi_hp)</f>
        <v>45.068928153940966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6.5736968553511965E-2</v>
      </c>
      <c r="M291" s="832"/>
      <c r="N291" s="832"/>
      <c r="O291" s="48">
        <f>IF(t&lt;Tnet,'2027'!Resal+('2027'!Salim-'2027'!Resal)*(1-EXP(('2027'!Tnet-t)/('2027'!Tau_j))),Resal+(Salim-Resal)*(1-EXP((Tnet-t)/(Tau_j))))*Salcycl</f>
        <v>2.2832430824612688E-2</v>
      </c>
      <c r="P291" s="169">
        <f>(INDEX(Models!$BJ291:$BT291,,T291)*(1-R291)+INDEX(Models!$BJ291:$BT291,,T291+1)*R291-ERP_i)*Q291*Ramure*Pc/MaxiM</f>
        <v>8.2359413671672602E-4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40.450543699236064</v>
      </c>
      <c r="W291" s="400">
        <f t="shared" si="111"/>
        <v>41.110959125075375</v>
      </c>
      <c r="X291" s="157">
        <f t="shared" si="112"/>
        <v>47029</v>
      </c>
      <c r="Y291" s="383">
        <f t="shared" si="113"/>
        <v>39.182424375424532</v>
      </c>
      <c r="Z291" s="383">
        <f t="shared" si="114"/>
        <v>41.939392929590397</v>
      </c>
      <c r="AA291" s="384">
        <f t="shared" si="115"/>
        <v>44.729341781834499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6.2374019851487272E-2</v>
      </c>
      <c r="AD291" s="230">
        <f>(INDEX(Models!$BJ291:$BT291,,AH291)*(1-AF291)+INDEX(Models!$BJ291:$BT291,,AH291+1)*AF291-ERP_i)*AE291*Ramure*Pc/MaxiM</f>
        <v>7.5348224600894458E-3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'2027'!Wh/'2027'!Env_an*'2028'!Env_an</f>
        <v>41.915003862758851</v>
      </c>
      <c r="C292" s="829"/>
      <c r="D292" s="391">
        <f t="shared" si="102"/>
        <v>44.865103037143506</v>
      </c>
      <c r="E292" s="383">
        <f t="shared" si="100"/>
        <v>45.916447266381965</v>
      </c>
      <c r="F292" s="383">
        <f t="shared" si="103"/>
        <v>45.955795501616798</v>
      </c>
      <c r="G292" s="110">
        <f t="shared" si="101"/>
        <v>1.0446773289765234</v>
      </c>
      <c r="H292" s="412" t="b">
        <f>Wh_hp&gt;='2027'!Maxi_hp</f>
        <v>1</v>
      </c>
      <c r="I292" s="388">
        <f>IF(H292,Wh_hp,'2027'!Maxi_hp)</f>
        <v>45.955795501616798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6.5754873491369992E-2</v>
      </c>
      <c r="M292" s="832"/>
      <c r="N292" s="832"/>
      <c r="O292" s="48">
        <f>IF(t&lt;Tnet,'2027'!Resal+('2027'!Salim-'2027'!Resal)*(1-EXP(('2027'!Tnet-t)/('2027'!Tau_j))),Resal+(Salim-Resal)*(1-EXP((Tnet-t)/(Tau_j))))*Salcycl</f>
        <v>2.2896898428119646E-2</v>
      </c>
      <c r="P292" s="169">
        <f>(INDEX(Models!$BJ292:$BT292,,T292)*(1-R292)+INDEX(Models!$BJ292:$BT292,,T292+1)*R292-ERP_i)*Q292*Ramure*Pc/MaxiM</f>
        <v>8.5621921686579146E-4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40.122440393937929</v>
      </c>
      <c r="W292" s="400">
        <f t="shared" si="111"/>
        <v>41.915003862758851</v>
      </c>
      <c r="X292" s="157">
        <f t="shared" si="112"/>
        <v>47030</v>
      </c>
      <c r="Y292" s="383">
        <f t="shared" si="113"/>
        <v>39.939769568103856</v>
      </c>
      <c r="Z292" s="383">
        <f t="shared" si="114"/>
        <v>42.750846041191437</v>
      </c>
      <c r="AA292" s="384">
        <f t="shared" si="115"/>
        <v>45.595346679112133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6.2385766204159553E-2</v>
      </c>
      <c r="AD292" s="230">
        <f>(INDEX(Models!$BJ292:$BT292,,AH292)*(1-AF292)+INDEX(Models!$BJ292:$BT292,,AH292+1)*AF292-ERP_i)*AE292*Ramure*Pc/MaxiM</f>
        <v>7.8433812007885698E-3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'2027'!Wh/'2027'!Env_an*'2028'!Env_an</f>
        <v>11.578985421866717</v>
      </c>
      <c r="C293" s="829"/>
      <c r="D293" s="391">
        <f t="shared" si="102"/>
        <v>12.394185429691598</v>
      </c>
      <c r="E293" s="383">
        <f t="shared" si="100"/>
        <v>12.6854550830025</v>
      </c>
      <c r="F293" s="383">
        <f t="shared" si="103"/>
        <v>12.6854550830025</v>
      </c>
      <c r="G293" s="110">
        <f t="shared" si="101"/>
        <v>0.29073476474484622</v>
      </c>
      <c r="H293" s="412" t="b">
        <f>Wh_hp&gt;='2027'!Maxi_hp</f>
        <v>0</v>
      </c>
      <c r="I293" s="388">
        <f>IF(H293,Wh_hp,'2027'!Maxi_hp)</f>
        <v>29.938480404074163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6.5772778086083949E-2</v>
      </c>
      <c r="M293" s="832"/>
      <c r="N293" s="832"/>
      <c r="O293" s="48">
        <f>IF(t&lt;Tnet,'2027'!Resal+('2027'!Salim-'2027'!Resal)*(1-EXP(('2027'!Tnet-t)/('2027'!Tau_j))),Resal+(Salim-Resal)*(1-EXP((Tnet-t)/(Tau_j))))*Salcycl</f>
        <v>2.2960914796125859E-2</v>
      </c>
      <c r="P293" s="169">
        <f>(INDEX(Models!$BJ293:$BT293,,T293)*(1-R293)+INDEX(Models!$BJ293:$BT293,,T293+1)*R293-ERP_i)*Q293*Ramure*Pc/MaxiM</f>
        <v>8.9121954772132604E-4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39.791134073246553</v>
      </c>
      <c r="W293" s="400">
        <f t="shared" si="111"/>
        <v>11.578985421866717</v>
      </c>
      <c r="X293" s="157">
        <f t="shared" si="112"/>
        <v>47031</v>
      </c>
      <c r="Y293" s="383">
        <f t="shared" si="113"/>
        <v>11.111629594859137</v>
      </c>
      <c r="Z293" s="383">
        <f t="shared" si="114"/>
        <v>11.893926160806105</v>
      </c>
      <c r="AA293" s="384">
        <f t="shared" si="115"/>
        <v>12.6854550830025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6.2396572847984048E-2</v>
      </c>
      <c r="AD293" s="230">
        <f>(INDEX(Models!$BJ293:$BT293,,AH293)*(1-AF293)+INDEX(Models!$BJ293:$BT293,,AH293+1)*AF293-ERP_i)*AE293*Ramure*Pc/MaxiM</f>
        <v>8.1651783455456064E-3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'2027'!Wh/'2027'!Env_an*'2028'!Env_an</f>
        <v>29.085969201603984</v>
      </c>
      <c r="C294" s="829"/>
      <c r="D294" s="391">
        <f t="shared" si="102"/>
        <v>31.134317172499891</v>
      </c>
      <c r="E294" s="383">
        <f t="shared" si="100"/>
        <v>31.86806258376998</v>
      </c>
      <c r="F294" s="383">
        <f t="shared" si="103"/>
        <v>31.886554039549775</v>
      </c>
      <c r="G294" s="110">
        <f t="shared" si="101"/>
        <v>0.73689467493989913</v>
      </c>
      <c r="H294" s="412" t="b">
        <f>Wh_hp&gt;='2027'!Maxi_hp</f>
        <v>0</v>
      </c>
      <c r="I294" s="388">
        <f>IF(H294,Wh_hp,'2027'!Maxi_hp)</f>
        <v>43.826307821277801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6.57906823376605E-2</v>
      </c>
      <c r="M294" s="832"/>
      <c r="N294" s="832"/>
      <c r="O294" s="48">
        <f>IF(t&lt;Tnet,'2027'!Resal+('2027'!Salim-'2027'!Resal)*(1-EXP(('2027'!Tnet-t)/('2027'!Tau_j))),Resal+(Salim-Resal)*(1-EXP((Tnet-t)/(Tau_j))))*Salcycl</f>
        <v>2.3024475031744641E-2</v>
      </c>
      <c r="P294" s="169">
        <f>(INDEX(Models!$BJ294:$BT294,,T294)*(1-R294)+INDEX(Models!$BJ294:$BT294,,T294+1)*R294-ERP_i)*Q294*Ramure*Pc/MaxiM</f>
        <v>9.2860116743080548E-4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39.457228282846422</v>
      </c>
      <c r="W294" s="400">
        <f t="shared" si="111"/>
        <v>29.085969201603984</v>
      </c>
      <c r="X294" s="157">
        <f t="shared" si="112"/>
        <v>47032</v>
      </c>
      <c r="Y294" s="383">
        <f t="shared" si="113"/>
        <v>27.78144689928947</v>
      </c>
      <c r="Z294" s="383">
        <f t="shared" si="114"/>
        <v>29.737925295806985</v>
      </c>
      <c r="AA294" s="384">
        <f t="shared" si="115"/>
        <v>31.71728811141671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6.2406433004505497E-2</v>
      </c>
      <c r="AD294" s="230">
        <f>(INDEX(Models!$BJ294:$BT294,,AH294)*(1-AF294)+INDEX(Models!$BJ294:$BT294,,AH294+1)*AF294-ERP_i)*AE294*Ramure*Pc/MaxiM</f>
        <v>8.5001711245657838E-3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'2027'!Wh/'2027'!Env_an*'2028'!Env_an</f>
        <v>16.786629340881063</v>
      </c>
      <c r="C295" s="829"/>
      <c r="D295" s="391">
        <f t="shared" si="102"/>
        <v>17.96915395895876</v>
      </c>
      <c r="E295" s="383">
        <f t="shared" si="100"/>
        <v>18.393822722242831</v>
      </c>
      <c r="F295" s="383">
        <f t="shared" si="103"/>
        <v>18.397108129277377</v>
      </c>
      <c r="G295" s="110">
        <f t="shared" si="101"/>
        <v>0.42875256806933898</v>
      </c>
      <c r="H295" s="412" t="b">
        <f>Wh_hp&gt;='2027'!Maxi_hp</f>
        <v>0</v>
      </c>
      <c r="I295" s="388">
        <f>IF(H295,Wh_hp,'2027'!Maxi_hp)</f>
        <v>40.63677888339361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6.5808586246106082E-2</v>
      </c>
      <c r="M295" s="832"/>
      <c r="N295" s="832"/>
      <c r="O295" s="48">
        <f>IF(t&lt;Tnet,'2027'!Resal+('2027'!Salim-'2027'!Resal)*(1-EXP(('2027'!Tnet-t)/('2027'!Tau_j))),Resal+(Salim-Resal)*(1-EXP((Tnet-t)/(Tau_j))))*Salcycl</f>
        <v>2.3087575089572699E-2</v>
      </c>
      <c r="P295" s="169">
        <f>(INDEX(Models!$BJ295:$BT295,,T295)*(1-R295)+INDEX(Models!$BJ295:$BT295,,T295+1)*R295-ERP_i)*Q295*Ramure*Pc/MaxiM</f>
        <v>9.6836693748889729E-4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39.12132639753613</v>
      </c>
      <c r="W295" s="400">
        <f t="shared" si="111"/>
        <v>16.786629340881063</v>
      </c>
      <c r="X295" s="157">
        <f t="shared" si="112"/>
        <v>47033</v>
      </c>
      <c r="Y295" s="383">
        <f t="shared" si="113"/>
        <v>16.08743024113852</v>
      </c>
      <c r="Z295" s="383">
        <f t="shared" si="114"/>
        <v>17.220700173740454</v>
      </c>
      <c r="AA295" s="384">
        <f t="shared" si="115"/>
        <v>18.367088274328768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6.2415342239662157E-2</v>
      </c>
      <c r="AD295" s="230">
        <f>(INDEX(Models!$BJ295:$BT295,,AH295)*(1-AF295)+INDEX(Models!$BJ295:$BT295,,AH295+1)*AF295-ERP_i)*AE295*Ramure*Pc/MaxiM</f>
        <v>8.8482902406842989E-3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'2027'!Wh/'2027'!Env_an*'2028'!Env_an</f>
        <v>38.329521414772209</v>
      </c>
      <c r="C296" s="829"/>
      <c r="D296" s="391">
        <f t="shared" si="102"/>
        <v>41.030409229903121</v>
      </c>
      <c r="E296" s="383">
        <f t="shared" si="100"/>
        <v>42.002782543815677</v>
      </c>
      <c r="F296" s="383">
        <f t="shared" si="103"/>
        <v>42.044590708753212</v>
      </c>
      <c r="G296" s="110">
        <f t="shared" si="101"/>
        <v>0.98826503027864376</v>
      </c>
      <c r="H296" s="412" t="b">
        <f>Wh_hp&gt;='2027'!Maxi_hp</f>
        <v>0</v>
      </c>
      <c r="I296" s="388">
        <f>IF(H296,Wh_hp,'2027'!Maxi_hp)</f>
        <v>42.045164060850539</v>
      </c>
      <c r="J296" s="85">
        <f>IF(H296,An,'2027'!An_max)</f>
        <v>2026</v>
      </c>
      <c r="K296" s="197">
        <f t="shared" si="104"/>
        <v>47034</v>
      </c>
      <c r="L296" s="147">
        <f>IF(t&lt;Tvie,1-EXP((T0-t)*PertePVj)+'2027'!Pspv,1-EXP((T0-t)*PertePVj)+Pspv)</f>
        <v>6.5826489811427358E-2</v>
      </c>
      <c r="M296" s="832"/>
      <c r="N296" s="832"/>
      <c r="O296" s="48">
        <f>IF(t&lt;Tnet,'2027'!Resal+('2027'!Salim-'2027'!Resal)*(1-EXP(('2027'!Tnet-t)/('2027'!Tau_j))),Resal+(Salim-Resal)*(1-EXP((Tnet-t)/(Tau_j))))*Salcycl</f>
        <v>2.3150211843660857E-2</v>
      </c>
      <c r="P296" s="169">
        <f>(INDEX(Models!$BJ296:$BT296,,T296)*(1-R296)+INDEX(Models!$BJ296:$BT296,,T296+1)*R296-ERP_i)*Q296*Ramure*Pc/MaxiM</f>
        <v>1.0113063742821309E-3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38.784000942556588</v>
      </c>
      <c r="W296" s="400">
        <f t="shared" si="111"/>
        <v>38.329521414772209</v>
      </c>
      <c r="X296" s="157">
        <f t="shared" si="112"/>
        <v>47034</v>
      </c>
      <c r="Y296" s="383">
        <f t="shared" si="113"/>
        <v>36.491848576141315</v>
      </c>
      <c r="Z296" s="383">
        <f t="shared" si="114"/>
        <v>39.063244866336511</v>
      </c>
      <c r="AA296" s="384">
        <f t="shared" si="115"/>
        <v>41.664052454267171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6.2423298616606122E-2</v>
      </c>
      <c r="AD296" s="230">
        <f>(INDEX(Models!$BJ296:$BT296,,AH296)*(1-AF296)+INDEX(Models!$BJ296:$BT296,,AH296+1)*AF296-ERP_i)*AE296*Ramure*Pc/MaxiM</f>
        <v>9.2049187759112184E-3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'2027'!Wh/'2027'!Env_an*'2028'!Env_an</f>
        <v>30.772630412064881</v>
      </c>
      <c r="C297" s="829"/>
      <c r="D297" s="391">
        <f t="shared" si="102"/>
        <v>32.941653598802127</v>
      </c>
      <c r="E297" s="383">
        <f t="shared" ref="E297:E360" si="125">Wh_pvt/(1-Psa)</f>
        <v>33.724479129997796</v>
      </c>
      <c r="F297" s="383">
        <f t="shared" si="103"/>
        <v>33.749971656732512</v>
      </c>
      <c r="G297" s="110">
        <f t="shared" ref="G297:G360" si="126">+Wh_hp/MaxiM</f>
        <v>0.80017278827387817</v>
      </c>
      <c r="H297" s="412" t="b">
        <f>Wh_hp&gt;='2027'!Maxi_hp</f>
        <v>0</v>
      </c>
      <c r="I297" s="388">
        <f>IF(H297,Wh_hp,'2027'!Maxi_hp)</f>
        <v>33.758168800984315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6.5844393033630877E-2</v>
      </c>
      <c r="M297" s="832"/>
      <c r="N297" s="832"/>
      <c r="O297" s="48">
        <f>IF(t&lt;Tnet,'2027'!Resal+('2027'!Salim-'2027'!Resal)*(1-EXP(('2027'!Tnet-t)/('2027'!Tau_j))),Resal+(Salim-Resal)*(1-EXP((Tnet-t)/(Tau_j))))*Salcycl</f>
        <v>2.3212383152846048E-2</v>
      </c>
      <c r="P297" s="169">
        <f>(INDEX(Models!$BJ297:$BT297,,T297)*(1-R297)+INDEX(Models!$BJ297:$BT297,,T297+1)*R297-ERP_i)*Q297*Ramure*Pc/MaxiM</f>
        <v>1.0565935879256773E-3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38.445887349164813</v>
      </c>
      <c r="W297" s="400">
        <f t="shared" si="111"/>
        <v>30.772630412064881</v>
      </c>
      <c r="X297" s="157">
        <f t="shared" si="112"/>
        <v>47035</v>
      </c>
      <c r="Y297" s="383">
        <f t="shared" si="113"/>
        <v>29.357367372646557</v>
      </c>
      <c r="Z297" s="383">
        <f t="shared" si="114"/>
        <v>31.426635084901292</v>
      </c>
      <c r="AA297" s="384">
        <f t="shared" si="115"/>
        <v>33.519252147409816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6.2430302839266351E-2</v>
      </c>
      <c r="AD297" s="230">
        <f>(INDEX(Models!$BJ297:$BT297,,AH297)*(1-AF297)+INDEX(Models!$BJ297:$BT297,,AH297+1)*AF297-ERP_i)*AE297*Ramure*Pc/MaxiM</f>
        <v>9.5626752379840991E-3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'2027'!Wh/'2027'!Env_an*'2028'!Env_an</f>
        <v>22.383340543300093</v>
      </c>
      <c r="C298" s="829"/>
      <c r="D298" s="391">
        <f t="shared" si="102"/>
        <v>23.961499943062798</v>
      </c>
      <c r="E298" s="383">
        <f t="shared" si="125"/>
        <v>24.532470826031588</v>
      </c>
      <c r="F298" s="383">
        <f t="shared" si="103"/>
        <v>24.543596852396174</v>
      </c>
      <c r="G298" s="110">
        <f t="shared" si="126"/>
        <v>0.58698976969022387</v>
      </c>
      <c r="H298" s="412" t="b">
        <f>Wh_hp&gt;='2027'!Maxi_hp</f>
        <v>0</v>
      </c>
      <c r="I298" s="388">
        <f>IF(H298,Wh_hp,'2027'!Maxi_hp)</f>
        <v>42.372842429013986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6.5862295912723301E-2</v>
      </c>
      <c r="M298" s="832"/>
      <c r="N298" s="832"/>
      <c r="O298" s="48">
        <f>IF(t&lt;Tnet,'2027'!Resal+('2027'!Salim-'2027'!Resal)*(1-EXP(('2027'!Tnet-t)/('2027'!Tau_j))),Resal+(Salim-Resal)*(1-EXP((Tnet-t)/(Tau_j))))*Salcycl</f>
        <v>2.3274087922808336E-2</v>
      </c>
      <c r="P298" s="169">
        <f>(INDEX(Models!$BJ298:$BT298,,T298)*(1-R298)+INDEX(Models!$BJ298:$BT298,,T298+1)*R298-ERP_i)*Q298*Ramure*Pc/MaxiM</f>
        <v>1.1042186181175425E-3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38.107588471192294</v>
      </c>
      <c r="W298" s="400">
        <f t="shared" si="111"/>
        <v>22.383340543300093</v>
      </c>
      <c r="X298" s="157">
        <f t="shared" si="112"/>
        <v>47036</v>
      </c>
      <c r="Y298" s="383">
        <f t="shared" si="113"/>
        <v>21.408062931791662</v>
      </c>
      <c r="Z298" s="383">
        <f t="shared" si="114"/>
        <v>22.917459426079972</v>
      </c>
      <c r="AA298" s="384">
        <f t="shared" si="115"/>
        <v>24.4436307135446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6.2436358385129419E-2</v>
      </c>
      <c r="AD298" s="230">
        <f>(INDEX(Models!$BJ298:$BT298,,AH298)*(1-AF298)+INDEX(Models!$BJ298:$BT298,,AH298+1)*AF298-ERP_i)*AE298*Ramure*Pc/MaxiM</f>
        <v>9.9212843906778606E-3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'2027'!Wh/'2027'!Env_an*'2028'!Env_an</f>
        <v>27.782645462653566</v>
      </c>
      <c r="C299" s="829"/>
      <c r="D299" s="391">
        <f t="shared" si="102"/>
        <v>29.742058156261155</v>
      </c>
      <c r="E299" s="383">
        <f t="shared" si="125"/>
        <v>30.452681409527699</v>
      </c>
      <c r="F299" s="383">
        <f t="shared" si="103"/>
        <v>30.474567896026517</v>
      </c>
      <c r="G299" s="110">
        <f t="shared" si="126"/>
        <v>0.73525918929535339</v>
      </c>
      <c r="H299" s="412" t="b">
        <f>Wh_hp&gt;='2027'!Maxi_hp</f>
        <v>0</v>
      </c>
      <c r="I299" s="388">
        <f>IF(H299,Wh_hp,'2027'!Maxi_hp)</f>
        <v>40.061070375868503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6.5880198448711069E-2</v>
      </c>
      <c r="M299" s="832"/>
      <c r="N299" s="832"/>
      <c r="O299" s="48">
        <f>IF(t&lt;Tnet,'2027'!Resal+('2027'!Salim-'2027'!Resal)*(1-EXP(('2027'!Tnet-t)/('2027'!Tau_j))),Resal+(Salim-Resal)*(1-EXP((Tnet-t)/(Tau_j))))*Salcycl</f>
        <v>2.3335326164224474E-2</v>
      </c>
      <c r="P299" s="169">
        <f>(INDEX(Models!$BJ299:$BT299,,T299)*(1-R299)+INDEX(Models!$BJ299:$BT299,,T299+1)*R299-ERP_i)*Q299*Ramure*Pc/MaxiM</f>
        <v>1.1541665554022252E-3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37.769706982128788</v>
      </c>
      <c r="W299" s="400">
        <f t="shared" si="111"/>
        <v>27.782645462653566</v>
      </c>
      <c r="X299" s="157">
        <f t="shared" si="112"/>
        <v>47037</v>
      </c>
      <c r="Y299" s="383">
        <f t="shared" si="113"/>
        <v>26.518648198383854</v>
      </c>
      <c r="Z299" s="383">
        <f t="shared" si="114"/>
        <v>28.388915591281165</v>
      </c>
      <c r="AA299" s="384">
        <f t="shared" si="115"/>
        <v>30.279619599331756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6.2441471625763627E-2</v>
      </c>
      <c r="AD299" s="230">
        <f>(INDEX(Models!$BJ299:$BT299,,AH299)*(1-AF299)+INDEX(Models!$BJ299:$BT299,,AH299+1)*AF299-ERP_i)*AE299*Ramure*Pc/MaxiM</f>
        <v>1.0280444240781573E-2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'2027'!Wh/'2027'!Env_an*'2028'!Env_an</f>
        <v>23.262832621380507</v>
      </c>
      <c r="C300" s="829"/>
      <c r="D300" s="391">
        <f t="shared" si="102"/>
        <v>24.903956021670552</v>
      </c>
      <c r="E300" s="383">
        <f t="shared" si="125"/>
        <v>25.500569880330527</v>
      </c>
      <c r="F300" s="383">
        <f t="shared" si="103"/>
        <v>25.514705352644981</v>
      </c>
      <c r="G300" s="110">
        <f t="shared" si="126"/>
        <v>0.62104943407880142</v>
      </c>
      <c r="H300" s="412" t="b">
        <f>Wh_hp&gt;='2027'!Maxi_hp</f>
        <v>0</v>
      </c>
      <c r="I300" s="388">
        <f>IF(H300,Wh_hp,'2027'!Maxi_hp)</f>
        <v>39.39832701671196</v>
      </c>
      <c r="J300" s="85">
        <f>IF(H300,An,'2027'!An_max)</f>
        <v>2018</v>
      </c>
      <c r="K300" s="197">
        <f t="shared" si="104"/>
        <v>47038</v>
      </c>
      <c r="L300" s="147">
        <f>IF(t&lt;Tvie,1-EXP((T0-t)*PertePVj)+'2027'!Pspv,1-EXP((T0-t)*PertePVj)+Pspv)</f>
        <v>6.5898100641600732E-2</v>
      </c>
      <c r="M300" s="832"/>
      <c r="N300" s="832"/>
      <c r="O300" s="48">
        <f>IF(t&lt;Tnet,'2027'!Resal+('2027'!Salim-'2027'!Resal)*(1-EXP(('2027'!Tnet-t)/('2027'!Tau_j))),Resal+(Salim-Resal)*(1-EXP((Tnet-t)/(Tau_j))))*Salcycl</f>
        <v>2.3396099046404554E-2</v>
      </c>
      <c r="P300" s="169">
        <f>(INDEX(Models!$BJ300:$BT300,,T300)*(1-R300)+INDEX(Models!$BJ300:$BT300,,T300+1)*R300-ERP_i)*Q300*Ramure*Pc/MaxiM</f>
        <v>1.2064171105051252E-3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37.432845373818935</v>
      </c>
      <c r="W300" s="400">
        <f t="shared" si="111"/>
        <v>23.262832621380507</v>
      </c>
      <c r="X300" s="157">
        <f t="shared" si="112"/>
        <v>47038</v>
      </c>
      <c r="Y300" s="383">
        <f t="shared" si="113"/>
        <v>22.235867869160714</v>
      </c>
      <c r="Z300" s="383">
        <f t="shared" si="114"/>
        <v>23.804541971741763</v>
      </c>
      <c r="AA300" s="384">
        <f t="shared" si="115"/>
        <v>25.390039543667989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6.2445651933678611E-2</v>
      </c>
      <c r="AD300" s="230">
        <f>(INDEX(Models!$BJ300:$BT300,,AH300)*(1-AF300)+INDEX(Models!$BJ300:$BT300,,AH300+1)*AF300-ERP_i)*AE300*Ramure*Pc/MaxiM</f>
        <v>1.0639825942782193E-2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'2027'!Wh/'2027'!Env_an*'2028'!Env_an</f>
        <v>18.083457234798196</v>
      </c>
      <c r="C301" s="829"/>
      <c r="D301" s="391">
        <f t="shared" si="102"/>
        <v>19.359562183947688</v>
      </c>
      <c r="E301" s="383">
        <f t="shared" si="125"/>
        <v>19.824575534870874</v>
      </c>
      <c r="F301" s="383">
        <f t="shared" si="103"/>
        <v>19.83127203923906</v>
      </c>
      <c r="G301" s="110">
        <f t="shared" si="126"/>
        <v>0.48700597287290903</v>
      </c>
      <c r="H301" s="412" t="b">
        <f>Wh_hp&gt;='2027'!Maxi_hp</f>
        <v>0</v>
      </c>
      <c r="I301" s="388">
        <f>IF(H301,Wh_hp,'2027'!Maxi_hp)</f>
        <v>42.332847154201126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6.5916002491399062E-2</v>
      </c>
      <c r="M301" s="832"/>
      <c r="N301" s="832"/>
      <c r="O301" s="48">
        <f>IF(t&lt;Tnet,'2027'!Resal+('2027'!Salim-'2027'!Resal)*(1-EXP(('2027'!Tnet-t)/('2027'!Tau_j))),Resal+(Salim-Resal)*(1-EXP((Tnet-t)/(Tau_j))))*Salcycl</f>
        <v>2.345640894581786E-2</v>
      </c>
      <c r="P301" s="169">
        <f>(INDEX(Models!$BJ301:$BT301,,T301)*(1-R301)+INDEX(Models!$BJ301:$BT301,,T301+1)*R301-ERP_i)*Q301*Ramure*Pc/MaxiM</f>
        <v>1.2609441896257324E-3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37.097605951348072</v>
      </c>
      <c r="W301" s="400">
        <f t="shared" si="111"/>
        <v>18.083457234798196</v>
      </c>
      <c r="X301" s="157">
        <f t="shared" si="112"/>
        <v>47039</v>
      </c>
      <c r="Y301" s="383">
        <f t="shared" si="113"/>
        <v>17.316110467200982</v>
      </c>
      <c r="Z301" s="383">
        <f t="shared" si="114"/>
        <v>18.538065648685453</v>
      </c>
      <c r="AA301" s="384">
        <f t="shared" si="115"/>
        <v>19.772859187616465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6.2448911774193518E-2</v>
      </c>
      <c r="AD301" s="230">
        <f>(INDEX(Models!$BJ301:$BT301,,AH301)*(1-AF301)+INDEX(Models!$BJ301:$BT301,,AH301+1)*AF301-ERP_i)*AE301*Ramure*Pc/MaxiM</f>
        <v>1.0999073815723147E-2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'2027'!Wh/'2027'!Env_an*'2028'!Env_an</f>
        <v>37.159446329483011</v>
      </c>
      <c r="C302" s="829"/>
      <c r="D302" s="391">
        <f t="shared" si="102"/>
        <v>39.782459173432969</v>
      </c>
      <c r="E302" s="383">
        <f t="shared" si="125"/>
        <v>40.740523905305558</v>
      </c>
      <c r="F302" s="383">
        <f t="shared" si="103"/>
        <v>40.794279158401729</v>
      </c>
      <c r="G302" s="110">
        <f t="shared" si="126"/>
        <v>1.0107401032289725</v>
      </c>
      <c r="H302" s="412" t="b">
        <f>Wh_hp&gt;='2027'!Maxi_hp</f>
        <v>1</v>
      </c>
      <c r="I302" s="388">
        <f>IF(H302,Wh_hp,'2027'!Maxi_hp)</f>
        <v>40.794279158401729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6.5933903998112497E-2</v>
      </c>
      <c r="M302" s="832"/>
      <c r="N302" s="832"/>
      <c r="O302" s="48">
        <f>IF(t&lt;Tnet,'2027'!Resal+('2027'!Salim-'2027'!Resal)*(1-EXP(('2027'!Tnet-t)/('2027'!Tau_j))),Resal+(Salim-Resal)*(1-EXP((Tnet-t)/(Tau_j))))*Salcycl</f>
        <v>2.3516259488941569E-2</v>
      </c>
      <c r="P302" s="169">
        <f>(INDEX(Models!$BJ302:$BT302,,T302)*(1-R302)+INDEX(Models!$BJ302:$BT302,,T302+1)*R302-ERP_i)*Q302*Ramure*Pc/MaxiM</f>
        <v>1.317715478865202E-3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36.764590828810647</v>
      </c>
      <c r="W302" s="400">
        <f t="shared" si="111"/>
        <v>37.159446329483011</v>
      </c>
      <c r="X302" s="157">
        <f t="shared" si="112"/>
        <v>47040</v>
      </c>
      <c r="Y302" s="383">
        <f t="shared" si="113"/>
        <v>35.319119276759487</v>
      </c>
      <c r="Z302" s="383">
        <f t="shared" si="114"/>
        <v>37.812227023266367</v>
      </c>
      <c r="AA302" s="384">
        <f t="shared" si="115"/>
        <v>40.330945670892611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6.2451266781082149E-2</v>
      </c>
      <c r="AD302" s="230">
        <f>(INDEX(Models!$BJ302:$BT302,,AH302)*(1-AF302)+INDEX(Models!$BJ302:$BT302,,AH302+1)*AF302-ERP_i)*AE302*Ramure*Pc/MaxiM</f>
        <v>1.1357805483215576E-2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'2027'!Wh/'2027'!Env_an*'2028'!Env_an</f>
        <v>32.79882605405259</v>
      </c>
      <c r="C303" s="829"/>
      <c r="D303" s="391">
        <f t="shared" si="102"/>
        <v>35.114704182616947</v>
      </c>
      <c r="E303" s="383">
        <f t="shared" si="125"/>
        <v>35.962544751785366</v>
      </c>
      <c r="F303" s="383">
        <f t="shared" si="103"/>
        <v>36.005054321858644</v>
      </c>
      <c r="G303" s="110">
        <f t="shared" si="126"/>
        <v>0.90010296816281099</v>
      </c>
      <c r="H303" s="412" t="b">
        <f>Wh_hp&gt;='2027'!Maxi_hp</f>
        <v>0</v>
      </c>
      <c r="I303" s="388">
        <f>IF(H303,Wh_hp,'2027'!Maxi_hp)</f>
        <v>38.803370286376357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6.5951805161747701E-2</v>
      </c>
      <c r="M303" s="832"/>
      <c r="N303" s="832"/>
      <c r="O303" s="48">
        <f>IF(t&lt;Tnet,'2027'!Resal+('2027'!Salim-'2027'!Resal)*(1-EXP(('2027'!Tnet-t)/('2027'!Tau_j))),Resal+(Salim-Resal)*(1-EXP((Tnet-t)/(Tau_j))))*Salcycl</f>
        <v>2.3575655588897845E-2</v>
      </c>
      <c r="P303" s="169">
        <f>(INDEX(Models!$BJ303:$BT303,,T303)*(1-R303)+INDEX(Models!$BJ303:$BT303,,T303+1)*R303-ERP_i)*Q303*Ramure*Pc/MaxiM</f>
        <v>1.3767896341003146E-3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36.431815741912501</v>
      </c>
      <c r="W303" s="400">
        <f t="shared" si="111"/>
        <v>32.79882605405259</v>
      </c>
      <c r="X303" s="157">
        <f t="shared" si="112"/>
        <v>47041</v>
      </c>
      <c r="Y303" s="383">
        <f t="shared" si="113"/>
        <v>31.213347715144614</v>
      </c>
      <c r="Z303" s="383">
        <f t="shared" si="114"/>
        <v>33.417277489144745</v>
      </c>
      <c r="AA303" s="384">
        <f t="shared" si="115"/>
        <v>35.643299026838363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6.2452735814871832E-2</v>
      </c>
      <c r="AD303" s="230">
        <f>(INDEX(Models!$BJ303:$BT303,,AH303)*(1-AF303)+INDEX(Models!$BJ303:$BT303,,AH303+1)*AF303-ERP_i)*AE303*Ramure*Pc/MaxiM</f>
        <v>1.1716442660000425E-2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'2027'!Wh/'2027'!Env_an*'2028'!Env_an</f>
        <v>19.472068069001757</v>
      </c>
      <c r="C304" s="829"/>
      <c r="D304" s="391">
        <f t="shared" si="102"/>
        <v>20.847362439652294</v>
      </c>
      <c r="E304" s="383">
        <f t="shared" si="125"/>
        <v>21.352008698647779</v>
      </c>
      <c r="F304" s="383">
        <f t="shared" si="103"/>
        <v>21.362511208946199</v>
      </c>
      <c r="G304" s="110">
        <f t="shared" si="126"/>
        <v>0.53892296982438836</v>
      </c>
      <c r="H304" s="412" t="b">
        <f>Wh_hp&gt;='2027'!Maxi_hp</f>
        <v>0</v>
      </c>
      <c r="I304" s="388">
        <f>IF(H304,Wh_hp,'2027'!Maxi_hp)</f>
        <v>35.6425652403491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6.5969705982311111E-2</v>
      </c>
      <c r="M304" s="832"/>
      <c r="N304" s="832"/>
      <c r="O304" s="48">
        <f>IF(t&lt;Tnet,'2027'!Resal+('2027'!Salim-'2027'!Resal)*(1-EXP(('2027'!Tnet-t)/('2027'!Tau_j))),Resal+(Salim-Resal)*(1-EXP((Tnet-t)/(Tau_j))))*Salcycl</f>
        <v>2.3634603475383657E-2</v>
      </c>
      <c r="P304" s="169">
        <f>(INDEX(Models!$BJ304:$BT304,,T304)*(1-R304)+INDEX(Models!$BJ304:$BT304,,T304+1)*R304-ERP_i)*Q304*Ramure*Pc/MaxiM</f>
        <v>1.437322411240359E-3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36.097263555857324</v>
      </c>
      <c r="W304" s="400">
        <f t="shared" si="111"/>
        <v>19.472068069001757</v>
      </c>
      <c r="X304" s="157">
        <f t="shared" si="112"/>
        <v>47042</v>
      </c>
      <c r="Y304" s="383">
        <f t="shared" si="113"/>
        <v>18.629850977235961</v>
      </c>
      <c r="Z304" s="383">
        <f t="shared" si="114"/>
        <v>19.945660324463891</v>
      </c>
      <c r="AA304" s="384">
        <f t="shared" si="115"/>
        <v>21.274312198816485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6.2453341002794295E-2</v>
      </c>
      <c r="AD304" s="230">
        <f>(INDEX(Models!$BJ304:$BT304,,AH304)*(1-AF304)+INDEX(Models!$BJ304:$BT304,,AH304+1)*AF304-ERP_i)*AE304*Ramure*Pc/MaxiM</f>
        <v>1.2070486988977334E-2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'2027'!Wh/'2027'!Env_an*'2028'!Env_an</f>
        <v>34.349080289731873</v>
      </c>
      <c r="C305" s="829"/>
      <c r="D305" s="391">
        <f t="shared" si="102"/>
        <v>36.775829236631893</v>
      </c>
      <c r="E305" s="383">
        <f t="shared" si="125"/>
        <v>37.668308643869842</v>
      </c>
      <c r="F305" s="383">
        <f t="shared" si="103"/>
        <v>37.721623352784597</v>
      </c>
      <c r="G305" s="110">
        <f t="shared" si="126"/>
        <v>0.9604235304524783</v>
      </c>
      <c r="H305" s="412" t="b">
        <f>Wh_hp&gt;='2027'!Maxi_hp</f>
        <v>0</v>
      </c>
      <c r="I305" s="388">
        <f>IF(H305,Wh_hp,'2027'!Maxi_hp)</f>
        <v>38.775386152374139</v>
      </c>
      <c r="J305" s="85">
        <f>IF(H305,An,'2027'!An_max)</f>
        <v>2020</v>
      </c>
      <c r="K305" s="197">
        <f t="shared" si="104"/>
        <v>47043</v>
      </c>
      <c r="L305" s="147">
        <f>IF(t&lt;Tvie,1-EXP((T0-t)*PertePVj)+'2027'!Pspv,1-EXP((T0-t)*PertePVj)+Pspv)</f>
        <v>6.5987606459809389E-2</v>
      </c>
      <c r="M305" s="832"/>
      <c r="N305" s="832"/>
      <c r="O305" s="48">
        <f>IF(t&lt;Tnet,'2027'!Resal+('2027'!Salim-'2027'!Resal)*(1-EXP(('2027'!Tnet-t)/('2027'!Tau_j))),Resal+(Salim-Resal)*(1-EXP((Tnet-t)/(Tau_j))))*Salcycl</f>
        <v>2.3693110717441089E-2</v>
      </c>
      <c r="P305" s="169">
        <f>(INDEX(Models!$BJ305:$BT305,,T305)*(1-R305)+INDEX(Models!$BJ305:$BT305,,T305+1)*R305-ERP_i)*Q305*Ramure*Pc/MaxiM</f>
        <v>1.4978858438411441E-3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35.761486614794691</v>
      </c>
      <c r="W305" s="400">
        <f t="shared" si="111"/>
        <v>34.349080289731873</v>
      </c>
      <c r="X305" s="157">
        <f t="shared" si="112"/>
        <v>47043</v>
      </c>
      <c r="Y305" s="383">
        <f t="shared" si="113"/>
        <v>32.645122652642684</v>
      </c>
      <c r="Z305" s="383">
        <f t="shared" si="114"/>
        <v>34.951487665926741</v>
      </c>
      <c r="AA305" s="384">
        <f t="shared" si="115"/>
        <v>37.279722171978236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6.2453107759519164E-2</v>
      </c>
      <c r="AD305" s="230">
        <f>(INDEX(Models!$BJ305:$BT305,,AH305)*(1-AF305)+INDEX(Models!$BJ305:$BT305,,AH305+1)*AF305-ERP_i)*AE305*Ramure*Pc/MaxiM</f>
        <v>1.2415289074632175E-2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'2027'!Wh/'2027'!Env_an*'2028'!Env_an</f>
        <v>15.966223365721936</v>
      </c>
      <c r="C306" s="829"/>
      <c r="D306" s="391">
        <f t="shared" si="102"/>
        <v>17.094558349591686</v>
      </c>
      <c r="E306" s="383">
        <f t="shared" si="125"/>
        <v>17.510452364832094</v>
      </c>
      <c r="F306" s="383">
        <f t="shared" si="103"/>
        <v>17.516329490768495</v>
      </c>
      <c r="G306" s="110">
        <f t="shared" si="126"/>
        <v>0.45015378512232096</v>
      </c>
      <c r="H306" s="412" t="b">
        <f>Wh_hp&gt;='2027'!Maxi_hp</f>
        <v>0</v>
      </c>
      <c r="I306" s="388">
        <f>IF(H306,Wh_hp,'2027'!Maxi_hp)</f>
        <v>38.555741543850147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6.6005506594249197E-2</v>
      </c>
      <c r="M306" s="832"/>
      <c r="N306" s="832"/>
      <c r="O306" s="48">
        <f>IF(t&lt;Tnet,'2027'!Resal+('2027'!Salim-'2027'!Resal)*(1-EXP(('2027'!Tnet-t)/('2027'!Tau_j))),Resal+(Salim-Resal)*(1-EXP((Tnet-t)/(Tau_j))))*Salcycl</f>
        <v>2.3751186238665411E-2</v>
      </c>
      <c r="P306" s="169">
        <f>(INDEX(Models!$BJ306:$BT306,,T306)*(1-R306)+INDEX(Models!$BJ306:$BT306,,T306+1)*R306-ERP_i)*Q306*Ramure*Pc/MaxiM</f>
        <v>1.558446302951729E-3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35.424985566519304</v>
      </c>
      <c r="W306" s="400">
        <f t="shared" si="111"/>
        <v>15.966223365721936</v>
      </c>
      <c r="X306" s="157">
        <f t="shared" si="112"/>
        <v>47044</v>
      </c>
      <c r="Y306" s="383">
        <f t="shared" si="113"/>
        <v>15.296324191914367</v>
      </c>
      <c r="Z306" s="383">
        <f t="shared" si="114"/>
        <v>16.377317318153885</v>
      </c>
      <c r="AA306" s="384">
        <f t="shared" si="115"/>
        <v>17.468245305718312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6.2452064787944489E-2</v>
      </c>
      <c r="AD306" s="230">
        <f>(INDEX(Models!$BJ306:$BT306,,AH306)*(1-AF306)+INDEX(Models!$BJ306:$BT306,,AH306+1)*AF306-ERP_i)*AE306*Ramure*Pc/MaxiM</f>
        <v>1.2750555498184577E-2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'2027'!Wh/'2027'!Env_an*'2028'!Env_an</f>
        <v>6.7235881596765852</v>
      </c>
      <c r="C307" s="829"/>
      <c r="D307" s="391">
        <f t="shared" si="102"/>
        <v>7.1988829330906547</v>
      </c>
      <c r="E307" s="383">
        <f t="shared" si="125"/>
        <v>7.374460280385736</v>
      </c>
      <c r="F307" s="383">
        <f t="shared" si="103"/>
        <v>7.374460280385736</v>
      </c>
      <c r="G307" s="110">
        <f t="shared" si="126"/>
        <v>0.19130907995738972</v>
      </c>
      <c r="H307" s="412" t="b">
        <f>Wh_hp&gt;='2027'!Maxi_hp</f>
        <v>0</v>
      </c>
      <c r="I307" s="388">
        <f>IF(H307,Wh_hp,'2027'!Maxi_hp)</f>
        <v>31.702695928532638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6.6023406385636862E-2</v>
      </c>
      <c r="M307" s="832"/>
      <c r="N307" s="832"/>
      <c r="O307" s="48">
        <f>IF(t&lt;Tnet,'2027'!Resal+('2027'!Salim-'2027'!Resal)*(1-EXP(('2027'!Tnet-t)/('2027'!Tau_j))),Resal+(Salim-Resal)*(1-EXP((Tnet-t)/(Tau_j))))*Salcycl</f>
        <v>2.3808840324501337E-2</v>
      </c>
      <c r="P307" s="169">
        <f>(INDEX(Models!$BJ307:$BT307,,T307)*(1-R307)+INDEX(Models!$BJ307:$BT307,,T307+1)*R307-ERP_i)*Q307*Ramure*Pc/MaxiM</f>
        <v>1.618967840965331E-3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35.088260777613343</v>
      </c>
      <c r="W307" s="400">
        <f t="shared" si="111"/>
        <v>6.7235881596765852</v>
      </c>
      <c r="X307" s="157">
        <f t="shared" si="112"/>
        <v>47045</v>
      </c>
      <c r="Y307" s="383">
        <f t="shared" si="113"/>
        <v>6.4574426593300283</v>
      </c>
      <c r="Z307" s="383">
        <f t="shared" si="114"/>
        <v>6.9139234360687762</v>
      </c>
      <c r="AA307" s="384">
        <f t="shared" si="115"/>
        <v>7.374460280385736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6.2450244059470451E-2</v>
      </c>
      <c r="AD307" s="230">
        <f>(INDEX(Models!$BJ307:$BT307,,AH307)*(1-AF307)+INDEX(Models!$BJ307:$BT307,,AH307+1)*AF307-ERP_i)*AE307*Ramure*Pc/MaxiM</f>
        <v>1.3075986051472813E-2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'2027'!Wh/'2027'!Env_an*'2028'!Env_an</f>
        <v>16.363631113369088</v>
      </c>
      <c r="C308" s="829"/>
      <c r="D308" s="391">
        <f t="shared" si="102"/>
        <v>17.520722506878109</v>
      </c>
      <c r="E308" s="383">
        <f t="shared" si="125"/>
        <v>17.949097179029415</v>
      </c>
      <c r="F308" s="383">
        <f t="shared" si="103"/>
        <v>17.956458387059115</v>
      </c>
      <c r="G308" s="110">
        <f t="shared" si="126"/>
        <v>0.47027330223086877</v>
      </c>
      <c r="H308" s="412" t="b">
        <f>Wh_hp&gt;='2027'!Maxi_hp</f>
        <v>0</v>
      </c>
      <c r="I308" s="388">
        <f>IF(H308,Wh_hp,'2027'!Maxi_hp)</f>
        <v>24.418087613545492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6.6041305833979158E-2</v>
      </c>
      <c r="M308" s="832"/>
      <c r="N308" s="832"/>
      <c r="O308" s="48">
        <f>IF(t&lt;Tnet,'2027'!Resal+('2027'!Salim-'2027'!Resal)*(1-EXP(('2027'!Tnet-t)/('2027'!Tau_j))),Resal+(Salim-Resal)*(1-EXP((Tnet-t)/(Tau_j))))*Salcycl</f>
        <v>2.3866084621336409E-2</v>
      </c>
      <c r="P308" s="169">
        <f>(INDEX(Models!$BJ308:$BT308,,T308)*(1-R308)+INDEX(Models!$BJ308:$BT308,,T308+1)*R308-ERP_i)*Q308*Ramure*Pc/MaxiM</f>
        <v>1.6794122610202635E-3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34.75181233121674</v>
      </c>
      <c r="W308" s="400">
        <f t="shared" si="111"/>
        <v>16.363631113369088</v>
      </c>
      <c r="X308" s="157">
        <f t="shared" si="112"/>
        <v>47046</v>
      </c>
      <c r="Y308" s="383">
        <f t="shared" si="113"/>
        <v>15.671909054053215</v>
      </c>
      <c r="Z308" s="383">
        <f t="shared" si="114"/>
        <v>16.780087975997116</v>
      </c>
      <c r="AA308" s="384">
        <f t="shared" si="115"/>
        <v>17.897761684210039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6.2447680773343228E-2</v>
      </c>
      <c r="AD308" s="230">
        <f>(INDEX(Models!$BJ308:$BT308,,AH308)*(1-AF308)+INDEX(Models!$BJ308:$BT308,,AH308+1)*AF308-ERP_i)*AE308*Ramure*Pc/MaxiM</f>
        <v>1.3391275188593637E-2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'2027'!Wh/'2027'!Env_an*'2028'!Env_an</f>
        <v>33.061320444288597</v>
      </c>
      <c r="C309" s="829"/>
      <c r="D309" s="391">
        <f t="shared" si="102"/>
        <v>35.399803305668016</v>
      </c>
      <c r="E309" s="383">
        <f t="shared" si="125"/>
        <v>36.267426487966482</v>
      </c>
      <c r="F309" s="383">
        <f t="shared" si="103"/>
        <v>36.327071968258423</v>
      </c>
      <c r="G309" s="110">
        <f t="shared" si="126"/>
        <v>0.96054003910530339</v>
      </c>
      <c r="H309" s="412" t="b">
        <f>Wh_hp&gt;='2027'!Maxi_hp</f>
        <v>0</v>
      </c>
      <c r="I309" s="388">
        <f>IF(H309,Wh_hp,'2027'!Maxi_hp)</f>
        <v>36.329936976032066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6.6059204939282634E-2</v>
      </c>
      <c r="M309" s="832"/>
      <c r="N309" s="832"/>
      <c r="O309" s="48">
        <f>IF(t&lt;Tnet,'2027'!Resal+('2027'!Salim-'2027'!Resal)*(1-EXP(('2027'!Tnet-t)/('2027'!Tau_j))),Resal+(Salim-Resal)*(1-EXP((Tnet-t)/(Tau_j))))*Salcycl</f>
        <v>2.3922932127162261E-2</v>
      </c>
      <c r="P309" s="169">
        <f>(INDEX(Models!$BJ309:$BT309,,T309)*(1-R309)+INDEX(Models!$BJ309:$BT309,,T309+1)*R309-ERP_i)*Q309*Ramure*Pc/MaxiM</f>
        <v>1.7397391890369665E-3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34.416140026778891</v>
      </c>
      <c r="W309" s="400">
        <f t="shared" si="111"/>
        <v>33.061320444288597</v>
      </c>
      <c r="X309" s="157">
        <f t="shared" si="112"/>
        <v>47047</v>
      </c>
      <c r="Y309" s="383">
        <f t="shared" si="113"/>
        <v>31.397605526959985</v>
      </c>
      <c r="Z309" s="383">
        <f t="shared" si="114"/>
        <v>33.618411030989137</v>
      </c>
      <c r="AA309" s="384">
        <f t="shared" si="115"/>
        <v>35.857512352023072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6.2444413294822511E-2</v>
      </c>
      <c r="AD309" s="230">
        <f>(INDEX(Models!$BJ309:$BT309,,AH309)*(1-AF309)+INDEX(Models!$BJ309:$BT309,,AH309+1)*AF309-ERP_i)*AE309*Ramure*Pc/MaxiM</f>
        <v>1.3696113468369676E-2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'2027'!Wh/'2027'!Env_an*'2028'!Env_an</f>
        <v>16.992377377226539</v>
      </c>
      <c r="C310" s="829"/>
      <c r="D310" s="391">
        <f t="shared" si="102"/>
        <v>18.194625535550017</v>
      </c>
      <c r="E310" s="383">
        <f t="shared" si="125"/>
        <v>18.641640845348981</v>
      </c>
      <c r="F310" s="383">
        <f t="shared" si="103"/>
        <v>18.651154319413955</v>
      </c>
      <c r="G310" s="110">
        <f t="shared" si="126"/>
        <v>0.49793370876099768</v>
      </c>
      <c r="H310" s="412" t="b">
        <f>Wh_hp&gt;='2027'!Maxi_hp</f>
        <v>0</v>
      </c>
      <c r="I310" s="388">
        <f>IF(H310,Wh_hp,'2027'!Maxi_hp)</f>
        <v>37.404529448025627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6.6077103701553841E-2</v>
      </c>
      <c r="M310" s="832"/>
      <c r="N310" s="832"/>
      <c r="O310" s="48">
        <f>IF(t&lt;Tnet,'2027'!Resal+('2027'!Salim-'2027'!Resal)*(1-EXP(('2027'!Tnet-t)/('2027'!Tau_j))),Resal+(Salim-Resal)*(1-EXP((Tnet-t)/(Tau_j))))*Salcycl</f>
        <v>2.3979397173639509E-2</v>
      </c>
      <c r="P310" s="169">
        <f>(INDEX(Models!$BJ310:$BT310,,T310)*(1-R310)+INDEX(Models!$BJ310:$BT310,,T310+1)*R310-ERP_i)*Q310*Ramure*Pc/MaxiM</f>
        <v>1.7980604020987733E-3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34.081806399517909</v>
      </c>
      <c r="W310" s="400">
        <f t="shared" si="111"/>
        <v>16.992377377226539</v>
      </c>
      <c r="X310" s="157">
        <f t="shared" si="112"/>
        <v>47048</v>
      </c>
      <c r="Y310" s="383">
        <f t="shared" si="113"/>
        <v>16.26629316989586</v>
      </c>
      <c r="Z310" s="383">
        <f t="shared" si="114"/>
        <v>17.417169269932721</v>
      </c>
      <c r="AA310" s="384">
        <f t="shared" si="115"/>
        <v>18.577134523687086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6.2440483072097569E-2</v>
      </c>
      <c r="AD310" s="230">
        <f>(INDEX(Models!$BJ310:$BT310,,AH310)*(1-AF310)+INDEX(Models!$BJ310:$BT310,,AH310+1)*AF310-ERP_i)*AE310*Ramure*Pc/MaxiM</f>
        <v>1.3989848793291357E-2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'2027'!Wh/'2027'!Env_an*'2028'!Env_an</f>
        <v>25.141790930925204</v>
      </c>
      <c r="C311" s="829"/>
      <c r="D311" s="391">
        <f t="shared" si="102"/>
        <v>26.921144000749059</v>
      </c>
      <c r="E311" s="383">
        <f t="shared" si="125"/>
        <v>27.584142531667283</v>
      </c>
      <c r="F311" s="383">
        <f t="shared" si="103"/>
        <v>27.616680440047759</v>
      </c>
      <c r="G311" s="110">
        <f t="shared" si="126"/>
        <v>0.74445292439640853</v>
      </c>
      <c r="H311" s="412" t="b">
        <f>Wh_hp&gt;='2027'!Maxi_hp</f>
        <v>0</v>
      </c>
      <c r="I311" s="388">
        <f>IF(H311,Wh_hp,'2027'!Maxi_hp)</f>
        <v>38.420312161688102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6.609500212079944E-2</v>
      </c>
      <c r="M311" s="832"/>
      <c r="N311" s="832"/>
      <c r="O311" s="48">
        <f>IF(t&lt;Tnet,'2027'!Resal+('2027'!Salim-'2027'!Resal)*(1-EXP(('2027'!Tnet-t)/('2027'!Tau_j))),Resal+(Salim-Resal)*(1-EXP((Tnet-t)/(Tau_j))))*Salcycl</f>
        <v>2.4035495399470329E-2</v>
      </c>
      <c r="P311" s="169">
        <f>(INDEX(Models!$BJ311:$BT311,,T311)*(1-R311)+INDEX(Models!$BJ311:$BT311,,T311+1)*R311-ERP_i)*Q311*Ramure*Pc/MaxiM</f>
        <v>1.8535253787266412E-3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33.749336097949985</v>
      </c>
      <c r="W311" s="400">
        <f t="shared" si="111"/>
        <v>25.141790930925204</v>
      </c>
      <c r="X311" s="157">
        <f t="shared" si="112"/>
        <v>47049</v>
      </c>
      <c r="Y311" s="383">
        <f t="shared" si="113"/>
        <v>23.961600087012428</v>
      </c>
      <c r="Z311" s="383">
        <f t="shared" si="114"/>
        <v>25.657427834123048</v>
      </c>
      <c r="AA311" s="384">
        <f t="shared" si="115"/>
        <v>27.366052922812447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6.2435934532052408E-2</v>
      </c>
      <c r="AD311" s="230">
        <f>(INDEX(Models!$BJ311:$BT311,,AH311)*(1-AF311)+INDEX(Models!$BJ311:$BT311,,AH311+1)*AF311-ERP_i)*AE311*Ramure*Pc/MaxiM</f>
        <v>1.4277022922642612E-2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'2027'!Wh/'2027'!Env_an*'2028'!Env_an</f>
        <v>22.229949590910678</v>
      </c>
      <c r="C312" s="829"/>
      <c r="D312" s="391">
        <f t="shared" si="102"/>
        <v>23.803679904777159</v>
      </c>
      <c r="E312" s="383">
        <f t="shared" si="125"/>
        <v>24.391296575093875</v>
      </c>
      <c r="F312" s="383">
        <f t="shared" si="103"/>
        <v>24.415575300799176</v>
      </c>
      <c r="G312" s="110">
        <f t="shared" si="126"/>
        <v>0.66457741693952432</v>
      </c>
      <c r="H312" s="412" t="b">
        <f>Wh_hp&gt;='2027'!Maxi_hp</f>
        <v>0</v>
      </c>
      <c r="I312" s="388">
        <f>IF(H312,Wh_hp,'2027'!Maxi_hp)</f>
        <v>35.228620832517834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6.6112900197025759E-2</v>
      </c>
      <c r="M312" s="832"/>
      <c r="N312" s="832"/>
      <c r="O312" s="48">
        <f>IF(t&lt;Tnet,'2027'!Resal+('2027'!Salim-'2027'!Resal)*(1-EXP(('2027'!Tnet-t)/('2027'!Tau_j))),Resal+(Salim-Resal)*(1-EXP((Tnet-t)/(Tau_j))))*Salcycl</f>
        <v>2.4091243715052696E-2</v>
      </c>
      <c r="P312" s="169">
        <f>(INDEX(Models!$BJ312:$BT312,,T312)*(1-R312)+INDEX(Models!$BJ312:$BT312,,T312+1)*R312-ERP_i)*Q312*Ramure*Pc/MaxiM</f>
        <v>1.9060955472625352E-3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33.41922520056653</v>
      </c>
      <c r="W312" s="400">
        <f t="shared" si="111"/>
        <v>22.229949590910678</v>
      </c>
      <c r="X312" s="157">
        <f t="shared" si="112"/>
        <v>47050</v>
      </c>
      <c r="Y312" s="383">
        <f t="shared" si="113"/>
        <v>21.215526680747757</v>
      </c>
      <c r="Z312" s="383">
        <f t="shared" si="114"/>
        <v>22.717442702895969</v>
      </c>
      <c r="AA312" s="384">
        <f t="shared" si="115"/>
        <v>24.23015076141758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6.2430814955156712E-2</v>
      </c>
      <c r="AD312" s="230">
        <f>(INDEX(Models!$BJ312:$BT312,,AH312)*(1-AF312)+INDEX(Models!$BJ312:$BT312,,AH312+1)*AF312-ERP_i)*AE312*Ramure*Pc/MaxiM</f>
        <v>1.4557472791550312E-2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'2027'!Wh/'2027'!Env_an*'2028'!Env_an</f>
        <v>12.392546420628461</v>
      </c>
      <c r="C313" s="829"/>
      <c r="D313" s="391">
        <f t="shared" si="102"/>
        <v>13.270109339897401</v>
      </c>
      <c r="E313" s="383">
        <f t="shared" si="125"/>
        <v>13.598466900171786</v>
      </c>
      <c r="F313" s="383">
        <f t="shared" si="103"/>
        <v>13.601297478078301</v>
      </c>
      <c r="G313" s="110">
        <f t="shared" si="126"/>
        <v>0.37383342906354083</v>
      </c>
      <c r="H313" s="412" t="b">
        <f>Wh_hp&gt;='2027'!Maxi_hp</f>
        <v>0</v>
      </c>
      <c r="I313" s="388">
        <f>IF(H313,Wh_hp,'2027'!Maxi_hp)</f>
        <v>35.899581400046522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6.6130797930239571E-2</v>
      </c>
      <c r="M313" s="832"/>
      <c r="N313" s="832"/>
      <c r="O313" s="48">
        <f>IF(t&lt;Tnet,'2027'!Resal+('2027'!Salim-'2027'!Resal)*(1-EXP(('2027'!Tnet-t)/('2027'!Tau_j))),Resal+(Salim-Resal)*(1-EXP((Tnet-t)/(Tau_j))))*Salcycl</f>
        <v>2.4146660258461659E-2</v>
      </c>
      <c r="P313" s="169">
        <f>(INDEX(Models!$BJ313:$BT313,,T313)*(1-R313)+INDEX(Models!$BJ313:$BT313,,T313+1)*R313-ERP_i)*Q313*Ramure*Pc/MaxiM</f>
        <v>1.9557185853008546E-3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33.091969955365727</v>
      </c>
      <c r="W313" s="400">
        <f t="shared" si="111"/>
        <v>12.392546420628461</v>
      </c>
      <c r="X313" s="157">
        <f t="shared" si="112"/>
        <v>47051</v>
      </c>
      <c r="Y313" s="383">
        <f t="shared" si="113"/>
        <v>11.890124280659558</v>
      </c>
      <c r="Z313" s="383">
        <f t="shared" si="114"/>
        <v>12.732108794579737</v>
      </c>
      <c r="AA313" s="384">
        <f t="shared" si="115"/>
        <v>13.579832186172858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6.2425174329936377E-2</v>
      </c>
      <c r="AD313" s="230">
        <f>(INDEX(Models!$BJ313:$BT313,,AH313)*(1-AF313)+INDEX(Models!$BJ313:$BT313,,AH313+1)*AF313-ERP_i)*AE313*Ramure*Pc/MaxiM</f>
        <v>1.4830918527893554E-2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'2027'!Wh/'2027'!Env_an*'2028'!Env_an</f>
        <v>14.336910691668832</v>
      </c>
      <c r="C314" s="829"/>
      <c r="D314" s="391">
        <f t="shared" si="102"/>
        <v>15.352455599543751</v>
      </c>
      <c r="E314" s="383">
        <f t="shared" si="125"/>
        <v>15.733227462955051</v>
      </c>
      <c r="F314" s="383">
        <f t="shared" si="103"/>
        <v>15.739419261875353</v>
      </c>
      <c r="G314" s="110">
        <f t="shared" si="126"/>
        <v>0.4368226715246557</v>
      </c>
      <c r="H314" s="412" t="b">
        <f>Wh_hp&gt;='2027'!Maxi_hp</f>
        <v>0</v>
      </c>
      <c r="I314" s="388">
        <f>IF(H314,Wh_hp,'2027'!Maxi_hp)</f>
        <v>30.879725572368368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6.6148695320447537E-2</v>
      </c>
      <c r="M314" s="832"/>
      <c r="N314" s="832"/>
      <c r="O314" s="48">
        <f>IF(t&lt;Tnet,'2027'!Resal+('2027'!Salim-'2027'!Resal)*(1-EXP(('2027'!Tnet-t)/('2027'!Tau_j))),Resal+(Salim-Resal)*(1-EXP((Tnet-t)/(Tau_j))))*Salcycl</f>
        <v>2.420176434287594E-2</v>
      </c>
      <c r="P314" s="169">
        <f>(INDEX(Models!$BJ314:$BT314,,T314)*(1-R314)+INDEX(Models!$BJ314:$BT314,,T314+1)*R314-ERP_i)*Q314*Ramure*Pc/MaxiM</f>
        <v>2.0023431408413544E-3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32.768066292738396</v>
      </c>
      <c r="W314" s="400">
        <f t="shared" si="111"/>
        <v>14.336910691668832</v>
      </c>
      <c r="X314" s="157">
        <f t="shared" si="112"/>
        <v>47052</v>
      </c>
      <c r="Y314" s="383">
        <f t="shared" si="113"/>
        <v>13.739949492963943</v>
      </c>
      <c r="Z314" s="383">
        <f t="shared" si="114"/>
        <v>14.713209077411692</v>
      </c>
      <c r="AA314" s="384">
        <f t="shared" si="115"/>
        <v>15.692734921445993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6.2419065187653229E-2</v>
      </c>
      <c r="AD314" s="230">
        <f>(INDEX(Models!$BJ314:$BT314,,AH314)*(1-AF314)+INDEX(Models!$BJ314:$BT314,,AH314+1)*AF314-ERP_i)*AE314*Ramure*Pc/MaxiM</f>
        <v>1.5097077609696427E-2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'2027'!Wh/'2027'!Env_an*'2028'!Env_an</f>
        <v>17.247169459753394</v>
      </c>
      <c r="C315" s="829"/>
      <c r="D315" s="391">
        <f t="shared" si="102"/>
        <v>18.469214443165125</v>
      </c>
      <c r="E315" s="383">
        <f t="shared" si="125"/>
        <v>18.928351446060006</v>
      </c>
      <c r="F315" s="383">
        <f t="shared" si="103"/>
        <v>18.941169114548238</v>
      </c>
      <c r="G315" s="110">
        <f t="shared" si="126"/>
        <v>0.53080415598342778</v>
      </c>
      <c r="H315" s="412" t="b">
        <f>Wh_hp&gt;='2027'!Maxi_hp</f>
        <v>0</v>
      </c>
      <c r="I315" s="388">
        <f>IF(H315,Wh_hp,'2027'!Maxi_hp)</f>
        <v>35.461193234664123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6.6166592367655985E-2</v>
      </c>
      <c r="M315" s="832"/>
      <c r="N315" s="832"/>
      <c r="O315" s="48">
        <f>IF(t&lt;Tnet,'2027'!Resal+('2027'!Salim-'2027'!Resal)*(1-EXP(('2027'!Tnet-t)/('2027'!Tau_j))),Resal+(Salim-Resal)*(1-EXP((Tnet-t)/(Tau_j))))*Salcycl</f>
        <v>2.4256576395640172E-2</v>
      </c>
      <c r="P315" s="169">
        <f>(INDEX(Models!$BJ315:$BT315,,T315)*(1-R315)+INDEX(Models!$BJ315:$BT315,,T315+1)*R315-ERP_i)*Q315*Ramure*Pc/MaxiM</f>
        <v>2.0459191477667348E-3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32.448009841167782</v>
      </c>
      <c r="W315" s="400">
        <f t="shared" si="111"/>
        <v>17.247169459753394</v>
      </c>
      <c r="X315" s="157">
        <f t="shared" si="112"/>
        <v>47053</v>
      </c>
      <c r="Y315" s="383">
        <f t="shared" si="113"/>
        <v>16.499719208030616</v>
      </c>
      <c r="Z315" s="383">
        <f t="shared" si="114"/>
        <v>17.668803742911987</v>
      </c>
      <c r="AA315" s="384">
        <f t="shared" si="115"/>
        <v>18.844965981604552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6.2412542417994883E-2</v>
      </c>
      <c r="AD315" s="230">
        <f>(INDEX(Models!$BJ315:$BT315,,AH315)*(1-AF315)+INDEX(Models!$BJ315:$BT315,,AH315+1)*AF315-ERP_i)*AE315*Ramure*Pc/MaxiM</f>
        <v>1.5355665653649934E-2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'2027'!Wh/'2027'!Env_an*'2028'!Env_an</f>
        <v>26.786824934242059</v>
      </c>
      <c r="C316" s="829"/>
      <c r="D316" s="391">
        <f t="shared" si="102"/>
        <v>28.685350179735579</v>
      </c>
      <c r="E316" s="383">
        <f t="shared" si="125"/>
        <v>29.400099463753861</v>
      </c>
      <c r="F316" s="383">
        <f t="shared" si="103"/>
        <v>29.446936467292577</v>
      </c>
      <c r="G316" s="110">
        <f t="shared" si="126"/>
        <v>0.83322778395812991</v>
      </c>
      <c r="H316" s="412" t="b">
        <f>Wh_hp&gt;='2027'!Maxi_hp</f>
        <v>0</v>
      </c>
      <c r="I316" s="388">
        <f>IF(H316,Wh_hp,'2027'!Maxi_hp)</f>
        <v>29.777598995663187</v>
      </c>
      <c r="J316" s="85">
        <f>IF(H316,An,'2027'!An_max)</f>
        <v>2018</v>
      </c>
      <c r="K316" s="197">
        <f t="shared" si="104"/>
        <v>47054</v>
      </c>
      <c r="L316" s="147">
        <f>IF(t&lt;Tvie,1-EXP((T0-t)*PertePVj)+'2027'!Pspv,1-EXP((T0-t)*PertePVj)+Pspv)</f>
        <v>6.6184489071871577E-2</v>
      </c>
      <c r="M316" s="832"/>
      <c r="N316" s="832"/>
      <c r="O316" s="48">
        <f>IF(t&lt;Tnet,'2027'!Resal+('2027'!Salim-'2027'!Resal)*(1-EXP(('2027'!Tnet-t)/('2027'!Tau_j))),Resal+(Salim-Resal)*(1-EXP((Tnet-t)/(Tau_j))))*Salcycl</f>
        <v>2.4311117889225645E-2</v>
      </c>
      <c r="P316" s="169">
        <f>(INDEX(Models!$BJ316:$BT316,,T316)*(1-R316)+INDEX(Models!$BJ316:$BT316,,T316+1)*R316-ERP_i)*Q316*Ramure*Pc/MaxiM</f>
        <v>2.0863981324536103E-3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32.132295940802976</v>
      </c>
      <c r="W316" s="400">
        <f t="shared" si="111"/>
        <v>26.786824934242059</v>
      </c>
      <c r="X316" s="157">
        <f t="shared" si="112"/>
        <v>47054</v>
      </c>
      <c r="Y316" s="383">
        <f t="shared" si="113"/>
        <v>25.475234569360019</v>
      </c>
      <c r="Z316" s="383">
        <f t="shared" si="114"/>
        <v>27.280800405681774</v>
      </c>
      <c r="AA316" s="384">
        <f t="shared" si="115"/>
        <v>29.096592557196498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6.2405663066743673E-2</v>
      </c>
      <c r="AD316" s="230">
        <f>(INDEX(Models!$BJ316:$BT316,,AH316)*(1-AF316)+INDEX(Models!$BJ316:$BT316,,AH316+1)*AF316-ERP_i)*AE316*Ramure*Pc/MaxiM</f>
        <v>1.5606397175617171E-2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'2027'!Wh/'2027'!Env_an*'2028'!Env_an</f>
        <v>23.030643893451483</v>
      </c>
      <c r="C317" s="829"/>
      <c r="D317" s="391">
        <f t="shared" si="102"/>
        <v>24.663421210529901</v>
      </c>
      <c r="E317" s="383">
        <f t="shared" si="125"/>
        <v>25.279363293683254</v>
      </c>
      <c r="F317" s="383">
        <f t="shared" si="103"/>
        <v>25.311909717453901</v>
      </c>
      <c r="G317" s="110">
        <f t="shared" si="126"/>
        <v>0.7231824553536802</v>
      </c>
      <c r="H317" s="412" t="b">
        <f>Wh_hp&gt;='2027'!Maxi_hp</f>
        <v>0</v>
      </c>
      <c r="I317" s="388">
        <f>IF(H317,Wh_hp,'2027'!Maxi_hp)</f>
        <v>28.491037803008169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6.6202385433100974E-2</v>
      </c>
      <c r="M317" s="832"/>
      <c r="N317" s="832"/>
      <c r="O317" s="48">
        <f>IF(t&lt;Tnet,'2027'!Resal+('2027'!Salim-'2027'!Resal)*(1-EXP(('2027'!Tnet-t)/('2027'!Tau_j))),Resal+(Salim-Resal)*(1-EXP((Tnet-t)/(Tau_j))))*Salcycl</f>
        <v>2.436541126442299E-2</v>
      </c>
      <c r="P317" s="169">
        <f>(INDEX(Models!$BJ317:$BT317,,T317)*(1-R317)+INDEX(Models!$BJ317:$BT317,,T317+1)*R317-ERP_i)*Q317*Ramure*Pc/MaxiM</f>
        <v>2.1238600568758191E-3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31.81951960829241</v>
      </c>
      <c r="W317" s="400">
        <f t="shared" si="111"/>
        <v>23.030643893451483</v>
      </c>
      <c r="X317" s="157">
        <f t="shared" si="112"/>
        <v>47055</v>
      </c>
      <c r="Y317" s="383">
        <f t="shared" si="113"/>
        <v>21.948682658273444</v>
      </c>
      <c r="Z317" s="383">
        <f t="shared" si="114"/>
        <v>23.504753402538274</v>
      </c>
      <c r="AA317" s="384">
        <f t="shared" si="115"/>
        <v>25.069022451962656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6.2398486116554457E-2</v>
      </c>
      <c r="AD317" s="230">
        <f>(INDEX(Models!$BJ317:$BT317,,AH317)*(1-AF317)+INDEX(Models!$BJ317:$BT317,,AH317+1)*AF317-ERP_i)*AE317*Ramure*Pc/MaxiM</f>
        <v>1.5849930706238448E-2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'2027'!Wh/'2027'!Env_an*'2028'!Env_an</f>
        <v>21.905965598107464</v>
      </c>
      <c r="C318" s="829"/>
      <c r="D318" s="391">
        <f t="shared" si="102"/>
        <v>23.45945747478363</v>
      </c>
      <c r="E318" s="383">
        <f t="shared" si="125"/>
        <v>24.046664514257127</v>
      </c>
      <c r="F318" s="383">
        <f t="shared" si="103"/>
        <v>24.076025559029869</v>
      </c>
      <c r="G318" s="110">
        <f t="shared" si="126"/>
        <v>0.69459419360069352</v>
      </c>
      <c r="H318" s="412" t="b">
        <f>Wh_hp&gt;='2027'!Maxi_hp</f>
        <v>0</v>
      </c>
      <c r="I318" s="388">
        <f>IF(H318,Wh_hp,'2027'!Maxi_hp)</f>
        <v>34.120858369867321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6.6220281451350727E-2</v>
      </c>
      <c r="M318" s="832"/>
      <c r="N318" s="832"/>
      <c r="O318" s="48">
        <f>IF(t&lt;Tnet,'2027'!Resal+('2027'!Salim-'2027'!Resal)*(1-EXP(('2027'!Tnet-t)/('2027'!Tau_j))),Resal+(Salim-Resal)*(1-EXP((Tnet-t)/(Tau_j))))*Salcycl</f>
        <v>2.4419479846169333E-2</v>
      </c>
      <c r="P318" s="169">
        <f>(INDEX(Models!$BJ318:$BT318,,T318)*(1-R318)+INDEX(Models!$BJ318:$BT318,,T318+1)*R318-ERP_i)*Q318*Ramure*Pc/MaxiM</f>
        <v>2.1598036441129974E-3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31.508098817998601</v>
      </c>
      <c r="W318" s="400">
        <f t="shared" si="111"/>
        <v>21.905965598107464</v>
      </c>
      <c r="X318" s="157">
        <f t="shared" si="112"/>
        <v>47056</v>
      </c>
      <c r="Y318" s="383">
        <f t="shared" si="113"/>
        <v>20.887573710465297</v>
      </c>
      <c r="Z318" s="383">
        <f t="shared" si="114"/>
        <v>22.368844916583043</v>
      </c>
      <c r="AA318" s="384">
        <f t="shared" si="115"/>
        <v>23.857329270864234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6.239107225212346E-2</v>
      </c>
      <c r="AD318" s="230">
        <f>(INDEX(Models!$BJ318:$BT318,,AH318)*(1-AF318)+INDEX(Models!$BJ318:$BT318,,AH318+1)*AF318-ERP_i)*AE318*Ramure*Pc/MaxiM</f>
        <v>1.6087337619969229E-2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'2027'!Wh/'2027'!Env_an*'2028'!Env_an</f>
        <v>19.419774448220398</v>
      </c>
      <c r="C319" s="829"/>
      <c r="D319" s="391">
        <f t="shared" si="102"/>
        <v>20.797353214186728</v>
      </c>
      <c r="E319" s="383">
        <f t="shared" si="125"/>
        <v>21.319103036571683</v>
      </c>
      <c r="F319" s="383">
        <f t="shared" si="103"/>
        <v>21.340683258076002</v>
      </c>
      <c r="G319" s="110">
        <f t="shared" si="126"/>
        <v>0.62172486412399086</v>
      </c>
      <c r="H319" s="412" t="b">
        <f>Wh_hp&gt;='2027'!Maxi_hp</f>
        <v>0</v>
      </c>
      <c r="I319" s="388">
        <f>IF(H319,Wh_hp,'2027'!Maxi_hp)</f>
        <v>32.848992554762482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6.6238177126627273E-2</v>
      </c>
      <c r="M319" s="832"/>
      <c r="N319" s="832"/>
      <c r="O319" s="48">
        <f>IF(t&lt;Tnet,'2027'!Resal+('2027'!Salim-'2027'!Resal)*(1-EXP(('2027'!Tnet-t)/('2027'!Tau_j))),Resal+(Salim-Resal)*(1-EXP((Tnet-t)/(Tau_j))))*Salcycl</f>
        <v>2.4473347752479214E-2</v>
      </c>
      <c r="P319" s="169">
        <f>(INDEX(Models!$BJ319:$BT319,,T319)*(1-R319)+INDEX(Models!$BJ319:$BT319,,T319+1)*R319-ERP_i)*Q319*Ramure*Pc/MaxiM</f>
        <v>2.1951606673425482E-3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31.198300921437703</v>
      </c>
      <c r="W319" s="400">
        <f t="shared" si="111"/>
        <v>19.419774448220398</v>
      </c>
      <c r="X319" s="157">
        <f t="shared" si="112"/>
        <v>47057</v>
      </c>
      <c r="Y319" s="383">
        <f t="shared" si="113"/>
        <v>18.543494342221411</v>
      </c>
      <c r="Z319" s="383">
        <f t="shared" si="114"/>
        <v>19.858912506359871</v>
      </c>
      <c r="AA319" s="384">
        <f t="shared" si="115"/>
        <v>21.180207642720823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6.2383483611174732E-2</v>
      </c>
      <c r="AD319" s="230">
        <f>(INDEX(Models!$BJ319:$BT319,,AH319)*(1-AF319)+INDEX(Models!$BJ319:$BT319,,AH319+1)*AF319-ERP_i)*AE319*Ramure*Pc/MaxiM</f>
        <v>1.632373230389474E-2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'2027'!Wh/'2027'!Env_an*'2028'!Env_an</f>
        <v>28.810712634774898</v>
      </c>
      <c r="C320" s="829"/>
      <c r="D320" s="391">
        <f t="shared" si="102"/>
        <v>30.855046854918271</v>
      </c>
      <c r="E320" s="383">
        <f t="shared" si="125"/>
        <v>31.63085817211946</v>
      </c>
      <c r="F320" s="383">
        <f t="shared" si="103"/>
        <v>31.694737469350489</v>
      </c>
      <c r="G320" s="110">
        <f t="shared" si="126"/>
        <v>0.93247414506847992</v>
      </c>
      <c r="H320" s="412" t="b">
        <f>Wh_hp&gt;='2027'!Maxi_hp</f>
        <v>0</v>
      </c>
      <c r="I320" s="388">
        <f>IF(H320,Wh_hp,'2027'!Maxi_hp)</f>
        <v>31.700145657097558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6.6256072458937387E-2</v>
      </c>
      <c r="M320" s="832"/>
      <c r="N320" s="832"/>
      <c r="O320" s="48">
        <f>IF(t&lt;Tnet,'2027'!Resal+('2027'!Salim-'2027'!Resal)*(1-EXP(('2027'!Tnet-t)/('2027'!Tau_j))),Resal+(Salim-Resal)*(1-EXP((Tnet-t)/(Tau_j))))*Salcycl</f>
        <v>2.4527039797011117E-2</v>
      </c>
      <c r="P320" s="169">
        <f>(INDEX(Models!$BJ320:$BT320,,T320)*(1-R320)+INDEX(Models!$BJ320:$BT320,,T320+1)*R320-ERP_i)*Q320*Ramure*Pc/MaxiM</f>
        <v>2.2299268865102317E-3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30.890423291946199</v>
      </c>
      <c r="W320" s="400">
        <f t="shared" si="111"/>
        <v>28.810712634774898</v>
      </c>
      <c r="X320" s="157">
        <f t="shared" si="112"/>
        <v>47058</v>
      </c>
      <c r="Y320" s="383">
        <f t="shared" si="113"/>
        <v>27.333471080129918</v>
      </c>
      <c r="Z320" s="383">
        <f t="shared" si="114"/>
        <v>29.272984031189743</v>
      </c>
      <c r="AA320" s="384">
        <f t="shared" si="115"/>
        <v>31.22037967531768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6.237578352282238E-2</v>
      </c>
      <c r="AD320" s="230">
        <f>(INDEX(Models!$BJ320:$BT320,,AH320)*(1-AF320)+INDEX(Models!$BJ320:$BT320,,AH320+1)*AF320-ERP_i)*AE320*Ramure*Pc/MaxiM</f>
        <v>1.6559092610455805E-2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'2027'!Wh/'2027'!Env_an*'2028'!Env_an</f>
        <v>10.113701429095784</v>
      </c>
      <c r="C321" s="829"/>
      <c r="D321" s="391">
        <f t="shared" si="102"/>
        <v>10.831551307889294</v>
      </c>
      <c r="E321" s="383">
        <f t="shared" si="125"/>
        <v>11.104506534510666</v>
      </c>
      <c r="F321" s="383">
        <f t="shared" si="103"/>
        <v>11.105608488920366</v>
      </c>
      <c r="G321" s="110">
        <f t="shared" si="126"/>
        <v>0.32996182823554032</v>
      </c>
      <c r="H321" s="412" t="b">
        <f>Wh_hp&gt;='2027'!Maxi_hp</f>
        <v>0</v>
      </c>
      <c r="I321" s="388">
        <f>IF(H321,Wh_hp,'2027'!Maxi_hp)</f>
        <v>29.614967506581426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6.6273967448287396E-2</v>
      </c>
      <c r="M321" s="832"/>
      <c r="N321" s="832"/>
      <c r="O321" s="48">
        <f>IF(t&lt;Tnet,'2027'!Resal+('2027'!Salim-'2027'!Resal)*(1-EXP(('2027'!Tnet-t)/('2027'!Tau_j))),Resal+(Salim-Resal)*(1-EXP((Tnet-t)/(Tau_j))))*Salcycl</f>
        <v>2.4580581385861749E-2</v>
      </c>
      <c r="P321" s="169">
        <f>(INDEX(Models!$BJ321:$BT321,,T321)*(1-R321)+INDEX(Models!$BJ321:$BT321,,T321+1)*R321-ERP_i)*Q321*Ramure*Pc/MaxiM</f>
        <v>2.2640991916126159E-3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30.584763151210257</v>
      </c>
      <c r="W321" s="400">
        <f t="shared" si="111"/>
        <v>10.113701429095784</v>
      </c>
      <c r="X321" s="157">
        <f t="shared" si="112"/>
        <v>47059</v>
      </c>
      <c r="Y321" s="383">
        <f t="shared" si="113"/>
        <v>9.7157086203160166</v>
      </c>
      <c r="Z321" s="383">
        <f t="shared" si="114"/>
        <v>10.405309782104561</v>
      </c>
      <c r="AA321" s="384">
        <f t="shared" si="115"/>
        <v>11.097435010985103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6.2368036234987934E-2</v>
      </c>
      <c r="AD321" s="230">
        <f>(INDEX(Models!$BJ321:$BT321,,AH321)*(1-AF321)+INDEX(Models!$BJ321:$BT321,,AH321+1)*AF321-ERP_i)*AE321*Ramure*Pc/MaxiM</f>
        <v>1.6793403268785832E-2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'2027'!Wh/'2027'!Env_an*'2028'!Env_an</f>
        <v>17.467357043729312</v>
      </c>
      <c r="C322" s="829"/>
      <c r="D322" s="391">
        <f t="shared" si="102"/>
        <v>18.707512909671799</v>
      </c>
      <c r="E322" s="383">
        <f t="shared" si="125"/>
        <v>19.17999282234662</v>
      </c>
      <c r="F322" s="383">
        <f t="shared" si="103"/>
        <v>19.197436886000453</v>
      </c>
      <c r="G322" s="110">
        <f t="shared" si="126"/>
        <v>0.57602843077965116</v>
      </c>
      <c r="H322" s="412" t="b">
        <f>Wh_hp&gt;='2027'!Maxi_hp</f>
        <v>0</v>
      </c>
      <c r="I322" s="388">
        <f>IF(H322,Wh_hp,'2027'!Maxi_hp)</f>
        <v>19.218570572200022</v>
      </c>
      <c r="J322" s="85">
        <f>IF(H322,An,'2027'!An_max)</f>
        <v>2026</v>
      </c>
      <c r="K322" s="197">
        <f t="shared" si="104"/>
        <v>47060</v>
      </c>
      <c r="L322" s="147">
        <f>IF(t&lt;Tvie,1-EXP((T0-t)*PertePVj)+'2027'!Pspv,1-EXP((T0-t)*PertePVj)+Pspv)</f>
        <v>6.6291862094684184E-2</v>
      </c>
      <c r="M322" s="832"/>
      <c r="N322" s="832"/>
      <c r="O322" s="48">
        <f>IF(t&lt;Tnet,'2027'!Resal+('2027'!Salim-'2027'!Resal)*(1-EXP(('2027'!Tnet-t)/('2027'!Tau_j))),Resal+(Salim-Resal)*(1-EXP((Tnet-t)/(Tau_j))))*Salcycl</f>
        <v>2.4633998409234751E-2</v>
      </c>
      <c r="P322" s="169">
        <f>(INDEX(Models!$BJ322:$BT322,,T322)*(1-R322)+INDEX(Models!$BJ322:$BT322,,T322+1)*R322-ERP_i)*Q322*Ramure*Pc/MaxiM</f>
        <v>2.2976755451278486E-3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30.28161758097615</v>
      </c>
      <c r="W322" s="400">
        <f t="shared" si="111"/>
        <v>17.467357043729312</v>
      </c>
      <c r="X322" s="157">
        <f t="shared" si="112"/>
        <v>47060</v>
      </c>
      <c r="Y322" s="383">
        <f t="shared" si="113"/>
        <v>16.693835758937407</v>
      </c>
      <c r="Z322" s="383">
        <f t="shared" si="114"/>
        <v>17.879072786479529</v>
      </c>
      <c r="AA322" s="384">
        <f t="shared" si="115"/>
        <v>19.0681696956221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6.2360306632659013E-2</v>
      </c>
      <c r="AD322" s="230">
        <f>(INDEX(Models!$BJ322:$BT322,,AH322)*(1-AF322)+INDEX(Models!$BJ322:$BT322,,AH322+1)*AF322-ERP_i)*AE322*Ramure*Pc/MaxiM</f>
        <v>1.7026655486575143E-2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'2027'!Wh/'2027'!Env_an*'2028'!Env_an</f>
        <v>29.75522001431586</v>
      </c>
      <c r="C323" s="829"/>
      <c r="D323" s="391">
        <f t="shared" si="102"/>
        <v>31.868406270938564</v>
      </c>
      <c r="E323" s="383">
        <f t="shared" si="125"/>
        <v>32.675065987164245</v>
      </c>
      <c r="F323" s="383">
        <f t="shared" si="103"/>
        <v>32.75057407003078</v>
      </c>
      <c r="G323" s="110">
        <f t="shared" si="126"/>
        <v>0.99243487187066914</v>
      </c>
      <c r="H323" s="412" t="b">
        <f>Wh_hp&gt;='2027'!Maxi_hp</f>
        <v>0</v>
      </c>
      <c r="I323" s="388">
        <f>IF(H323,Wh_hp,'2027'!Maxi_hp)</f>
        <v>32.7512246842103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6.6309756398134079E-2</v>
      </c>
      <c r="M323" s="832"/>
      <c r="N323" s="832"/>
      <c r="O323" s="48">
        <f>IF(t&lt;Tnet,'2027'!Resal+('2027'!Salim-'2027'!Resal)*(1-EXP(('2027'!Tnet-t)/('2027'!Tau_j))),Resal+(Salim-Resal)*(1-EXP((Tnet-t)/(Tau_j))))*Salcycl</f>
        <v>2.4687317128680473E-2</v>
      </c>
      <c r="P323" s="169">
        <f>(INDEX(Models!$BJ323:$BT323,,T323)*(1-R323)+INDEX(Models!$BJ323:$BT323,,T323+1)*R323-ERP_i)*Q323*Ramure*Pc/MaxiM</f>
        <v>2.3306549012489098E-3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29.981283534751569</v>
      </c>
      <c r="W323" s="400">
        <f t="shared" si="111"/>
        <v>29.75522001431586</v>
      </c>
      <c r="X323" s="157">
        <f t="shared" si="112"/>
        <v>47061</v>
      </c>
      <c r="Y323" s="383">
        <f t="shared" si="113"/>
        <v>28.182697227216746</v>
      </c>
      <c r="Z323" s="383">
        <f t="shared" si="114"/>
        <v>30.184204472885234</v>
      </c>
      <c r="AA323" s="384">
        <f t="shared" si="115"/>
        <v>32.191425479049734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6.2352659948867614E-2</v>
      </c>
      <c r="AD323" s="230">
        <f>(INDEX(Models!$BJ323:$BT323,,AH323)*(1-AF323)+INDEX(Models!$BJ323:$BT323,,AH323+1)*AF323-ERP_i)*AE323*Ramure*Pc/MaxiM</f>
        <v>1.7258846399264213E-2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'2027'!Wh/'2027'!Env_an*'2028'!Env_an</f>
        <v>29.713853749960339</v>
      </c>
      <c r="C324" s="829"/>
      <c r="D324" s="391">
        <f t="shared" si="102"/>
        <v>31.824712128804151</v>
      </c>
      <c r="E324" s="383">
        <f t="shared" si="125"/>
        <v>32.632047387627878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Wh_hp&gt;='2027'!Maxi_hp</f>
        <v>1</v>
      </c>
      <c r="I324" s="388">
        <f>IF(H324,Wh_hp,'2027'!Maxi_hp)</f>
        <v>32.709345157525121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6.6327650358643742E-2</v>
      </c>
      <c r="M324" s="832"/>
      <c r="N324" s="832"/>
      <c r="O324" s="48">
        <f>IF(t&lt;Tnet,'2027'!Resal+('2027'!Salim-'2027'!Resal)*(1-EXP(('2027'!Tnet-t)/('2027'!Tau_j))),Resal+(Salim-Resal)*(1-EXP((Tnet-t)/(Tau_j))))*Salcycl</f>
        <v>2.4740564060648576E-2</v>
      </c>
      <c r="P324" s="169">
        <f>(INDEX(Models!$BJ324:$BT324,,T324)*(1-R324)+INDEX(Models!$BJ324:$BT324,,T324+1)*R324-ERP_i)*Q324*Ramure*Pc/MaxiM</f>
        <v>2.3631708163213676E-3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29.684053865070233</v>
      </c>
      <c r="W324" s="400">
        <f t="shared" si="111"/>
        <v>29.713853749960339</v>
      </c>
      <c r="X324" s="157">
        <f t="shared" si="112"/>
        <v>47062</v>
      </c>
      <c r="Y324" s="383">
        <f t="shared" si="113"/>
        <v>28.135172106858054</v>
      </c>
      <c r="Z324" s="383">
        <f t="shared" si="114"/>
        <v>30.133881674513958</v>
      </c>
      <c r="AA324" s="384">
        <f t="shared" si="115"/>
        <v>32.137499254808041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6.234516147034453E-2</v>
      </c>
      <c r="AD324" s="230">
        <f>(INDEX(Models!$BJ324:$BT324,,AH324)*(1-AF324)+INDEX(Models!$BJ324:$BT324,,AH324+1)*AF324-ERP_i)*AE324*Ramure*Pc/MaxiM</f>
        <v>1.7482646013337429E-2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'2027'!Wh/'2027'!Env_an*'2028'!Env_an</f>
        <v>27.872872348423464</v>
      </c>
      <c r="C325" s="829"/>
      <c r="D325" s="391">
        <f t="shared" si="102"/>
        <v>29.853520398893206</v>
      </c>
      <c r="E325" s="383">
        <f t="shared" si="125"/>
        <v>30.612520053393848</v>
      </c>
      <c r="F325" s="383">
        <f t="shared" si="103"/>
        <v>30.680640260614734</v>
      </c>
      <c r="G325" s="110">
        <f t="shared" si="126"/>
        <v>0.94820592421355687</v>
      </c>
      <c r="H325" s="412" t="b">
        <f>Wh_hp&gt;='2027'!Maxi_hp</f>
        <v>0</v>
      </c>
      <c r="I325" s="388">
        <f>IF(H325,Wh_hp,'2027'!Maxi_hp)</f>
        <v>30.684914387235704</v>
      </c>
      <c r="J325" s="85">
        <f>IF(H325,An,'2027'!An_max)</f>
        <v>2026</v>
      </c>
      <c r="K325" s="197">
        <f t="shared" si="104"/>
        <v>47063</v>
      </c>
      <c r="L325" s="147">
        <f>IF(t&lt;Tvie,1-EXP((T0-t)*PertePVj)+'2027'!Pspv,1-EXP((T0-t)*PertePVj)+Pspv)</f>
        <v>6.6345543976219723E-2</v>
      </c>
      <c r="M325" s="832"/>
      <c r="N325" s="832"/>
      <c r="O325" s="48">
        <f>IF(t&lt;Tnet,'2027'!Resal+('2027'!Salim-'2027'!Resal)*(1-EXP(('2027'!Tnet-t)/('2027'!Tau_j))),Resal+(Salim-Resal)*(1-EXP((Tnet-t)/(Tau_j))))*Salcycl</f>
        <v>2.4793765857133242E-2</v>
      </c>
      <c r="P325" s="169">
        <f>(INDEX(Models!$BJ325:$BT325,,T325)*(1-R325)+INDEX(Models!$BJ325:$BT325,,T325+1)*R325-ERP_i)*Q325*Ramure*Pc/MaxiM</f>
        <v>2.3970882223877999E-3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29.390170488748055</v>
      </c>
      <c r="W325" s="400">
        <f t="shared" si="111"/>
        <v>27.872872348423464</v>
      </c>
      <c r="X325" s="157">
        <f t="shared" si="112"/>
        <v>47063</v>
      </c>
      <c r="Y325" s="383">
        <f t="shared" si="113"/>
        <v>26.419130652126608</v>
      </c>
      <c r="Z325" s="383">
        <f t="shared" si="114"/>
        <v>28.296475726833258</v>
      </c>
      <c r="AA325" s="384">
        <f t="shared" si="115"/>
        <v>30.177688753557742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6.2337876239866176E-2</v>
      </c>
      <c r="AD325" s="230">
        <f>(INDEX(Models!$BJ325:$BT325,,AH325)*(1-AF325)+INDEX(Models!$BJ325:$BT325,,AH325+1)*AF325-ERP_i)*AE325*Ramure*Pc/MaxiM</f>
        <v>1.7698406731047285E-2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'2027'!Wh/'2027'!Env_an*'2028'!Env_an</f>
        <v>20.100756886709195</v>
      </c>
      <c r="C326" s="829"/>
      <c r="D326" s="391">
        <f t="shared" si="102"/>
        <v>21.529530535438422</v>
      </c>
      <c r="E326" s="383">
        <f t="shared" si="125"/>
        <v>22.078104065231219</v>
      </c>
      <c r="F326" s="383">
        <f t="shared" si="103"/>
        <v>22.108122531636582</v>
      </c>
      <c r="G326" s="110">
        <f t="shared" si="126"/>
        <v>0.69000598662616186</v>
      </c>
      <c r="H326" s="412" t="b">
        <f>Wh_hp&gt;='2027'!Maxi_hp</f>
        <v>0</v>
      </c>
      <c r="I326" s="388">
        <f>IF(H326,Wh_hp,'2027'!Maxi_hp)</f>
        <v>24.301685975957074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6.6363437250868573E-2</v>
      </c>
      <c r="M326" s="832"/>
      <c r="N326" s="832"/>
      <c r="O326" s="48">
        <f>IF(t&lt;Tnet,'2027'!Resal+('2027'!Salim-'2027'!Resal)*(1-EXP(('2027'!Tnet-t)/('2027'!Tau_j))),Resal+(Salim-Resal)*(1-EXP((Tnet-t)/(Tau_j))))*Salcycl</f>
        <v>2.4846949184223442E-2</v>
      </c>
      <c r="P326" s="169">
        <f>(INDEX(Models!$BJ326:$BT326,,T326)*(1-R326)+INDEX(Models!$BJ326:$BT326,,T326+1)*R326-ERP_i)*Q326*Ramure*Pc/MaxiM</f>
        <v>2.4324083901267023E-3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29.09993176486168</v>
      </c>
      <c r="W326" s="400">
        <f t="shared" si="111"/>
        <v>20.100756886709195</v>
      </c>
      <c r="X326" s="157">
        <f t="shared" si="112"/>
        <v>47064</v>
      </c>
      <c r="Y326" s="383">
        <f t="shared" si="113"/>
        <v>19.160927419046253</v>
      </c>
      <c r="Z326" s="383">
        <f t="shared" si="114"/>
        <v>20.522897435192675</v>
      </c>
      <c r="AA326" s="384">
        <f t="shared" si="115"/>
        <v>21.887142011377438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6.2330868757355121E-2</v>
      </c>
      <c r="AD326" s="230">
        <f>(INDEX(Models!$BJ326:$BT326,,AH326)*(1-AF326)+INDEX(Models!$BJ326:$BT326,,AH326+1)*AF326-ERP_i)*AE326*Ramure*Pc/MaxiM</f>
        <v>1.7906140316244584E-2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'2027'!Wh/'2027'!Env_an*'2028'!Env_an</f>
        <v>9.9013414296827129</v>
      </c>
      <c r="C327" s="829"/>
      <c r="D327" s="391">
        <f t="shared" si="102"/>
        <v>10.605337864140202</v>
      </c>
      <c r="E327" s="383">
        <f t="shared" si="125"/>
        <v>10.876155669491457</v>
      </c>
      <c r="F327" s="383">
        <f t="shared" si="103"/>
        <v>10.877829889029917</v>
      </c>
      <c r="G327" s="110">
        <f t="shared" si="126"/>
        <v>0.34283816619692864</v>
      </c>
      <c r="H327" s="412" t="b">
        <f>Wh_hp&gt;='2027'!Maxi_hp</f>
        <v>0</v>
      </c>
      <c r="I327" s="388">
        <f>IF(H327,Wh_hp,'2027'!Maxi_hp)</f>
        <v>24.305673600704964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6.6381330182596954E-2</v>
      </c>
      <c r="M327" s="832"/>
      <c r="N327" s="832"/>
      <c r="O327" s="48">
        <f>IF(t&lt;Tnet,'2027'!Resal+('2027'!Salim-'2027'!Resal)*(1-EXP(('2027'!Tnet-t)/('2027'!Tau_j))),Resal+(Salim-Resal)*(1-EXP((Tnet-t)/(Tau_j))))*Salcycl</f>
        <v>2.4900140599396017E-2</v>
      </c>
      <c r="P327" s="169">
        <f>(INDEX(Models!$BJ327:$BT327,,T327)*(1-R327)+INDEX(Models!$BJ327:$BT327,,T327+1)*R327-ERP_i)*Q327*Ramure*Pc/MaxiM</f>
        <v>2.4691324029399368E-3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28.813635933802352</v>
      </c>
      <c r="W327" s="400">
        <f t="shared" si="111"/>
        <v>9.9013414296827129</v>
      </c>
      <c r="X327" s="157">
        <f t="shared" si="112"/>
        <v>47065</v>
      </c>
      <c r="Y327" s="383">
        <f t="shared" si="113"/>
        <v>9.5120488070745122</v>
      </c>
      <c r="Z327" s="383">
        <f t="shared" si="114"/>
        <v>10.188366101263675</v>
      </c>
      <c r="AA327" s="384">
        <f t="shared" si="115"/>
        <v>10.865553030592402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6.2324202681822025E-2</v>
      </c>
      <c r="AD327" s="230">
        <f>(INDEX(Models!$BJ327:$BT327,,AH327)*(1-AF327)+INDEX(Models!$BJ327:$BT327,,AH327+1)*AF327-ERP_i)*AE327*Ramure*Pc/MaxiM</f>
        <v>1.8105862629147686E-2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'2027'!Wh/'2027'!Env_an*'2028'!Env_an</f>
        <v>19.992470036091127</v>
      </c>
      <c r="C328" s="829"/>
      <c r="D328" s="391">
        <f t="shared" si="102"/>
        <v>21.41436738671014</v>
      </c>
      <c r="E328" s="383">
        <f t="shared" si="125"/>
        <v>21.962403283491575</v>
      </c>
      <c r="F328" s="383">
        <f t="shared" si="103"/>
        <v>21.993970722523134</v>
      </c>
      <c r="G328" s="110">
        <f t="shared" si="126"/>
        <v>0.69996147558877309</v>
      </c>
      <c r="H328" s="412" t="b">
        <f>Wh_hp&gt;='2027'!Maxi_hp</f>
        <v>0</v>
      </c>
      <c r="I328" s="388">
        <f>IF(H328,Wh_hp,'2027'!Maxi_hp)</f>
        <v>22.012430968794117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6.6399222771411304E-2</v>
      </c>
      <c r="M328" s="832"/>
      <c r="N328" s="832"/>
      <c r="O328" s="48">
        <f>IF(t&lt;Tnet,'2027'!Resal+('2027'!Salim-'2027'!Resal)*(1-EXP(('2027'!Tnet-t)/('2027'!Tau_j))),Resal+(Salim-Resal)*(1-EXP((Tnet-t)/(Tau_j))))*Salcycl</f>
        <v>2.4953366428408005E-2</v>
      </c>
      <c r="P328" s="169">
        <f>(INDEX(Models!$BJ328:$BT328,,T328)*(1-R328)+INDEX(Models!$BJ328:$BT328,,T328+1)*R328-ERP_i)*Q328*Ramure*Pc/MaxiM</f>
        <v>2.5072610097151764E-3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28.531581120836918</v>
      </c>
      <c r="W328" s="400">
        <f t="shared" si="111"/>
        <v>19.992470036091127</v>
      </c>
      <c r="X328" s="157">
        <f t="shared" si="112"/>
        <v>47066</v>
      </c>
      <c r="Y328" s="383">
        <f t="shared" si="113"/>
        <v>19.052302936091809</v>
      </c>
      <c r="Z328" s="383">
        <f t="shared" si="114"/>
        <v>20.407334056264311</v>
      </c>
      <c r="AA328" s="384">
        <f t="shared" si="115"/>
        <v>21.76359657337898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6.2317940536245481E-2</v>
      </c>
      <c r="AD328" s="230">
        <f>(INDEX(Models!$BJ328:$BT328,,AH328)*(1-AF328)+INDEX(Models!$BJ328:$BT328,,AH328+1)*AF328-ERP_i)*AE328*Ramure*Pc/MaxiM</f>
        <v>1.8297592060540151E-2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'2027'!Wh/'2027'!Env_an*'2028'!Env_an</f>
        <v>27.348923601257937</v>
      </c>
      <c r="C329" s="829"/>
      <c r="D329" s="391">
        <f t="shared" si="102"/>
        <v>29.294585452651344</v>
      </c>
      <c r="E329" s="383">
        <f t="shared" si="125"/>
        <v>30.045933679498845</v>
      </c>
      <c r="F329" s="383">
        <f t="shared" si="103"/>
        <v>30.119130373559589</v>
      </c>
      <c r="G329" s="110">
        <f t="shared" si="126"/>
        <v>0.96785109867717511</v>
      </c>
      <c r="H329" s="412" t="b">
        <f>Wh_hp&gt;='2027'!Maxi_hp</f>
        <v>0</v>
      </c>
      <c r="I329" s="388">
        <f>IF(H329,Wh_hp,'2027'!Maxi_hp)</f>
        <v>30.121873964250081</v>
      </c>
      <c r="J329" s="85">
        <f>IF(H329,An,'2027'!An_max)</f>
        <v>2026</v>
      </c>
      <c r="K329" s="197">
        <f t="shared" si="104"/>
        <v>47067</v>
      </c>
      <c r="L329" s="147">
        <f>IF(t&lt;Tvie,1-EXP((T0-t)*PertePVj)+'2027'!Pspv,1-EXP((T0-t)*PertePVj)+Pspv)</f>
        <v>6.6417115017318396E-2</v>
      </c>
      <c r="M329" s="832"/>
      <c r="N329" s="832"/>
      <c r="O329" s="48">
        <f>IF(t&lt;Tnet,'2027'!Resal+('2027'!Salim-'2027'!Resal)*(1-EXP(('2027'!Tnet-t)/('2027'!Tau_j))),Resal+(Salim-Resal)*(1-EXP((Tnet-t)/(Tau_j))))*Salcycl</f>
        <v>2.5006652642655832E-2</v>
      </c>
      <c r="P329" s="169">
        <f>(INDEX(Models!$BJ329:$BT329,,T329)*(1-R329)+INDEX(Models!$BJ329:$BT329,,T329+1)*R329-ERP_i)*Q329*Ramure*Pc/MaxiM</f>
        <v>2.5467944501393436E-3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28.254065335939337</v>
      </c>
      <c r="W329" s="400">
        <f t="shared" si="111"/>
        <v>27.348923601257937</v>
      </c>
      <c r="X329" s="157">
        <f t="shared" si="112"/>
        <v>47067</v>
      </c>
      <c r="Y329" s="383">
        <f t="shared" si="113"/>
        <v>25.901579186354979</v>
      </c>
      <c r="Z329" s="383">
        <f t="shared" si="114"/>
        <v>27.744273811141543</v>
      </c>
      <c r="AA329" s="384">
        <f t="shared" si="115"/>
        <v>29.587963218653332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6.2312143417477962E-2</v>
      </c>
      <c r="AD329" s="230">
        <f>(INDEX(Models!$BJ329:$BT329,,AH329)*(1-AF329)+INDEX(Models!$BJ329:$BT329,,AH329+1)*AF329-ERP_i)*AE329*Ramure*Pc/MaxiM</f>
        <v>1.8481347820010586E-2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'2027'!Wh/'2027'!Env_an*'2028'!Env_an</f>
        <v>26.932903975475156</v>
      </c>
      <c r="C330" s="829"/>
      <c r="D330" s="391">
        <f t="shared" si="102"/>
        <v>28.849522181233457</v>
      </c>
      <c r="E330" s="383">
        <f t="shared" si="125"/>
        <v>29.59107525925053</v>
      </c>
      <c r="F330" s="383">
        <f t="shared" si="103"/>
        <v>29.663728017977331</v>
      </c>
      <c r="G330" s="110">
        <f t="shared" si="126"/>
        <v>0.96239562981568505</v>
      </c>
      <c r="H330" s="412" t="b">
        <f>Wh_hp&gt;='2027'!Maxi_hp</f>
        <v>0</v>
      </c>
      <c r="I330" s="388">
        <f>IF(H330,Wh_hp,'2027'!Maxi_hp)</f>
        <v>29.66693279231125</v>
      </c>
      <c r="J330" s="85">
        <f>IF(H330,An,'2027'!An_max)</f>
        <v>2026</v>
      </c>
      <c r="K330" s="197">
        <f t="shared" si="104"/>
        <v>47068</v>
      </c>
      <c r="L330" s="147">
        <f>IF(t&lt;Tvie,1-EXP((T0-t)*PertePVj)+'2027'!Pspv,1-EXP((T0-t)*PertePVj)+Pspv)</f>
        <v>6.6435006920324557E-2</v>
      </c>
      <c r="M330" s="832"/>
      <c r="N330" s="832"/>
      <c r="O330" s="48">
        <f>IF(t&lt;Tnet,'2027'!Resal+('2027'!Salim-'2027'!Resal)*(1-EXP(('2027'!Tnet-t)/('2027'!Tau_j))),Resal+(Salim-Resal)*(1-EXP((Tnet-t)/(Tau_j))))*Salcycl</f>
        <v>2.5060024737872846E-2</v>
      </c>
      <c r="P330" s="169">
        <f>(INDEX(Models!$BJ330:$BT330,,T330)*(1-R330)+INDEX(Models!$BJ330:$BT330,,T330+1)*R330-ERP_i)*Q330*Ramure*Pc/MaxiM</f>
        <v>2.587732249883094E-3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27.981386478549144</v>
      </c>
      <c r="W330" s="400">
        <f t="shared" si="111"/>
        <v>26.932903975475156</v>
      </c>
      <c r="X330" s="157">
        <f t="shared" si="112"/>
        <v>47068</v>
      </c>
      <c r="Y330" s="383">
        <f t="shared" si="113"/>
        <v>25.5090063112252</v>
      </c>
      <c r="Z330" s="383">
        <f t="shared" si="114"/>
        <v>27.324296112555846</v>
      </c>
      <c r="AA330" s="384">
        <f t="shared" si="115"/>
        <v>29.139912898092319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6.2306870713238538E-2</v>
      </c>
      <c r="AD330" s="230">
        <f>(INDEX(Models!$BJ330:$BT330,,AH330)*(1-AF330)+INDEX(Models!$BJ330:$BT330,,AH330+1)*AF330-ERP_i)*AE330*Ramure*Pc/MaxiM</f>
        <v>1.8657148089860767E-2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'2027'!Wh/'2027'!Env_an*'2028'!Env_an</f>
        <v>25.903117537304976</v>
      </c>
      <c r="C331" s="829"/>
      <c r="D331" s="391">
        <f t="shared" si="102"/>
        <v>27.7469851228092</v>
      </c>
      <c r="E331" s="383">
        <f t="shared" si="125"/>
        <v>28.461759742848468</v>
      </c>
      <c r="F331" s="383">
        <f t="shared" si="103"/>
        <v>28.529802665625702</v>
      </c>
      <c r="G331" s="110">
        <f t="shared" si="126"/>
        <v>0.93449548783651926</v>
      </c>
      <c r="H331" s="412" t="b">
        <f>Wh_hp&gt;='2027'!Maxi_hp</f>
        <v>0</v>
      </c>
      <c r="I331" s="388">
        <f>IF(H331,Wh_hp,'2027'!Maxi_hp)</f>
        <v>29.071978311267806</v>
      </c>
      <c r="J331" s="85">
        <f>IF(H331,An,'2027'!An_max)</f>
        <v>2020</v>
      </c>
      <c r="K331" s="197">
        <f t="shared" si="104"/>
        <v>47069</v>
      </c>
      <c r="L331" s="147">
        <f>IF(t&lt;Tvie,1-EXP((T0-t)*PertePVj)+'2027'!Pspv,1-EXP((T0-t)*PertePVj)+Pspv)</f>
        <v>6.6452898480436562E-2</v>
      </c>
      <c r="M331" s="832"/>
      <c r="N331" s="832"/>
      <c r="O331" s="48">
        <f>IF(t&lt;Tnet,'2027'!Resal+('2027'!Salim-'2027'!Resal)*(1-EXP(('2027'!Tnet-t)/('2027'!Tau_j))),Resal+(Salim-Resal)*(1-EXP((Tnet-t)/(Tau_j))))*Salcycl</f>
        <v>2.5113507615033139E-2</v>
      </c>
      <c r="P331" s="169">
        <f>(INDEX(Models!$BJ331:$BT331,,T331)*(1-R331)+INDEX(Models!$BJ331:$BT331,,T331+1)*R331-ERP_i)*Q331*Ramure*Pc/MaxiM</f>
        <v>2.630246348166972E-3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27.712010860093969</v>
      </c>
      <c r="W331" s="400">
        <f t="shared" si="111"/>
        <v>25.903117537304976</v>
      </c>
      <c r="X331" s="157">
        <f t="shared" si="112"/>
        <v>47069</v>
      </c>
      <c r="Y331" s="383">
        <f t="shared" si="113"/>
        <v>24.548230136740923</v>
      </c>
      <c r="Z331" s="383">
        <f t="shared" si="114"/>
        <v>26.295652460152262</v>
      </c>
      <c r="AA331" s="384">
        <f t="shared" si="115"/>
        <v>28.042778701708805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6.2302179828209354E-2</v>
      </c>
      <c r="AD331" s="230">
        <f>(INDEX(Models!$BJ331:$BT331,,AH331)*(1-AF331)+INDEX(Models!$BJ331:$BT331,,AH331+1)*AF331-ERP_i)*AE331*Ramure*Pc/MaxiM</f>
        <v>1.8826248936367349E-2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'2027'!Wh/'2027'!Env_an*'2028'!Env_an</f>
        <v>9.5916037540755763</v>
      </c>
      <c r="C332" s="829"/>
      <c r="D332" s="391">
        <f t="shared" si="102"/>
        <v>10.274562004298906</v>
      </c>
      <c r="E332" s="383">
        <f t="shared" si="125"/>
        <v>10.539818950189526</v>
      </c>
      <c r="F332" s="383">
        <f t="shared" si="103"/>
        <v>10.541809284016653</v>
      </c>
      <c r="G332" s="110">
        <f t="shared" si="126"/>
        <v>0.34862154251552468</v>
      </c>
      <c r="H332" s="412" t="b">
        <f>Wh_hp&gt;='2027'!Maxi_hp</f>
        <v>0</v>
      </c>
      <c r="I332" s="388">
        <f>IF(H332,Wh_hp,'2027'!Maxi_hp)</f>
        <v>19.875209801097167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6.6470789697660848E-2</v>
      </c>
      <c r="M332" s="832"/>
      <c r="N332" s="832"/>
      <c r="O332" s="48">
        <f>IF(t&lt;Tnet,'2027'!Resal+('2027'!Salim-'2027'!Resal)*(1-EXP(('2027'!Tnet-t)/('2027'!Tau_j))),Resal+(Salim-Resal)*(1-EXP((Tnet-t)/(Tau_j))))*Salcycl</f>
        <v>2.5167125464318419E-2</v>
      </c>
      <c r="P332" s="169">
        <f>(INDEX(Models!$BJ332:$BT332,,T332)*(1-R332)+INDEX(Models!$BJ332:$BT332,,T332+1)*R332-ERP_i)*Q332*Ramure*Pc/MaxiM</f>
        <v>2.6705438665976153E-3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27.444647633500843</v>
      </c>
      <c r="W332" s="400">
        <f t="shared" si="111"/>
        <v>9.5916037540755763</v>
      </c>
      <c r="X332" s="157">
        <f t="shared" si="112"/>
        <v>47070</v>
      </c>
      <c r="Y332" s="383">
        <f t="shared" si="113"/>
        <v>9.2156232004870713</v>
      </c>
      <c r="Z332" s="383">
        <f t="shared" si="114"/>
        <v>9.8718102216666974</v>
      </c>
      <c r="AA332" s="384">
        <f t="shared" si="115"/>
        <v>10.527663956483696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6.2298125921190488E-2</v>
      </c>
      <c r="AD332" s="230">
        <f>(INDEX(Models!$BJ332:$BT332,,AH332)*(1-AF332)+INDEX(Models!$BJ332:$BT332,,AH332+1)*AF332-ERP_i)*AE332*Ramure*Pc/MaxiM</f>
        <v>1.8979588835438242E-2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'2027'!Wh/'2027'!Env_an*'2028'!Env_an</f>
        <v>12.308235427122682</v>
      </c>
      <c r="C333" s="829"/>
      <c r="D333" s="391">
        <f t="shared" si="102"/>
        <v>13.184880751809724</v>
      </c>
      <c r="E333" s="383">
        <f t="shared" si="125"/>
        <v>13.526019150562465</v>
      </c>
      <c r="F333" s="383">
        <f t="shared" si="103"/>
        <v>13.534019408763843</v>
      </c>
      <c r="G333" s="110">
        <f t="shared" si="126"/>
        <v>0.45188562659864434</v>
      </c>
      <c r="H333" s="412" t="b">
        <f>Wh_hp&gt;='2027'!Maxi_hp</f>
        <v>0</v>
      </c>
      <c r="I333" s="388">
        <f>IF(H333,Wh_hp,'2027'!Maxi_hp)</f>
        <v>26.911873928380832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6.6488680572004077E-2</v>
      </c>
      <c r="M333" s="832"/>
      <c r="N333" s="832"/>
      <c r="O333" s="48">
        <f>IF(t&lt;Tnet,'2027'!Resal+('2027'!Salim-'2027'!Resal)*(1-EXP(('2027'!Tnet-t)/('2027'!Tau_j))),Resal+(Salim-Resal)*(1-EXP((Tnet-t)/(Tau_j))))*Salcycl</f>
        <v>2.5220901652986016E-2</v>
      </c>
      <c r="P333" s="169">
        <f>(INDEX(Models!$BJ333:$BT333,,T333)*(1-R333)+INDEX(Models!$BJ333:$BT333,,T333+1)*R333-ERP_i)*Q333*Ramure*Pc/MaxiM</f>
        <v>2.7072324096364137E-3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27.179829840284423</v>
      </c>
      <c r="W333" s="400">
        <f t="shared" si="111"/>
        <v>12.308235427122682</v>
      </c>
      <c r="X333" s="157">
        <f t="shared" si="112"/>
        <v>47071</v>
      </c>
      <c r="Y333" s="383">
        <f t="shared" si="113"/>
        <v>11.79766650906747</v>
      </c>
      <c r="Z333" s="383">
        <f t="shared" si="114"/>
        <v>12.637946925267524</v>
      </c>
      <c r="AA333" s="384">
        <f t="shared" si="115"/>
        <v>13.477526208102853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6.2294761655188914E-2</v>
      </c>
      <c r="AD333" s="230">
        <f>(INDEX(Models!$BJ333:$BT333,,AH333)*(1-AF333)+INDEX(Models!$BJ333:$BT333,,AH333+1)*AF333-ERP_i)*AE333*Ramure*Pc/MaxiM</f>
        <v>1.9116910967595907E-2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'2027'!Wh/'2027'!Env_an*'2028'!Env_an</f>
        <v>26.500701781680224</v>
      </c>
      <c r="C334" s="829"/>
      <c r="D334" s="391">
        <f t="shared" si="102"/>
        <v>28.388739504043883</v>
      </c>
      <c r="E334" s="383">
        <f t="shared" si="125"/>
        <v>29.124866384170485</v>
      </c>
      <c r="F334" s="383">
        <f t="shared" si="103"/>
        <v>29.20311951294434</v>
      </c>
      <c r="G334" s="110">
        <f t="shared" si="126"/>
        <v>0.98443563481895213</v>
      </c>
      <c r="H334" s="412" t="b">
        <f>Wh_hp&gt;='2027'!Maxi_hp</f>
        <v>0</v>
      </c>
      <c r="I334" s="388">
        <f>IF(H334,Wh_hp,'2027'!Maxi_hp)</f>
        <v>29.204490810604817</v>
      </c>
      <c r="J334" s="85">
        <f>IF(H334,An,'2027'!An_max)</f>
        <v>2026</v>
      </c>
      <c r="K334" s="197">
        <f t="shared" si="104"/>
        <v>47072</v>
      </c>
      <c r="L334" s="147">
        <f>IF(t&lt;Tvie,1-EXP((T0-t)*PertePVj)+'2027'!Pspv,1-EXP((T0-t)*PertePVj)+Pspv)</f>
        <v>6.6506571103472689E-2</v>
      </c>
      <c r="M334" s="832"/>
      <c r="N334" s="832"/>
      <c r="O334" s="48">
        <f>IF(t&lt;Tnet,'2027'!Resal+('2027'!Salim-'2027'!Resal)*(1-EXP(('2027'!Tnet-t)/('2027'!Tau_j))),Resal+(Salim-Resal)*(1-EXP((Tnet-t)/(Tau_j))))*Salcycl</f>
        <v>2.5274858617950331E-2</v>
      </c>
      <c r="P334" s="169">
        <f>(INDEX(Models!$BJ334:$BT334,,T334)*(1-R334)+INDEX(Models!$BJ334:$BT334,,T334+1)*R334-ERP_i)*Q334*Ramure*Pc/MaxiM</f>
        <v>2.7403111383687184E-3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26.918051361685464</v>
      </c>
      <c r="W334" s="400">
        <f t="shared" si="111"/>
        <v>26.500701781680224</v>
      </c>
      <c r="X334" s="157">
        <f t="shared" si="112"/>
        <v>47072</v>
      </c>
      <c r="Y334" s="383">
        <f t="shared" si="113"/>
        <v>25.081890413638384</v>
      </c>
      <c r="Z334" s="383">
        <f t="shared" si="114"/>
        <v>26.86884517579028</v>
      </c>
      <c r="AA334" s="384">
        <f t="shared" si="115"/>
        <v>28.653748395312139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6.229213696222289E-2</v>
      </c>
      <c r="AD334" s="230">
        <f>(INDEX(Models!$BJ334:$BT334,,AH334)*(1-AF334)+INDEX(Models!$BJ334:$BT334,,AH334+1)*AF334-ERP_i)*AE334*Ramure*Pc/MaxiM</f>
        <v>1.9238180202304635E-2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'2027'!Wh/'2027'!Env_an*'2028'!Env_an</f>
        <v>13.567142809543572</v>
      </c>
      <c r="C335" s="829"/>
      <c r="D335" s="391">
        <f t="shared" ref="D335:D380" si="127">Wh/(1-Ppv)</f>
        <v>14.534009994865619</v>
      </c>
      <c r="E335" s="383">
        <f t="shared" si="125"/>
        <v>14.911708935379302</v>
      </c>
      <c r="F335" s="383">
        <f t="shared" ref="F335:F380" si="128">Wh_sa/(1-Pvg*MEDIAN((-Sdif+Wh/Env_an)/Csdif,0,1))</f>
        <v>14.924044776437169</v>
      </c>
      <c r="G335" s="110">
        <f t="shared" si="126"/>
        <v>0.50790907051203971</v>
      </c>
      <c r="H335" s="412" t="b">
        <f>Wh_hp&gt;='2027'!Maxi_hp</f>
        <v>0</v>
      </c>
      <c r="I335" s="388">
        <f>IF(H335,Wh_hp,'2027'!Maxi_hp)</f>
        <v>23.200751935750731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6.6524461292073456E-2</v>
      </c>
      <c r="M335" s="832"/>
      <c r="N335" s="832"/>
      <c r="O335" s="48">
        <f>IF(t&lt;Tnet,'2027'!Resal+('2027'!Salim-'2027'!Resal)*(1-EXP(('2027'!Tnet-t)/('2027'!Tau_j))),Resal+(Salim-Resal)*(1-EXP((Tnet-t)/(Tau_j))))*Salcycl</f>
        <v>2.5329017763856709E-2</v>
      </c>
      <c r="P335" s="169">
        <f>(INDEX(Models!$BJ335:$BT335,,T335)*(1-R335)+INDEX(Models!$BJ335:$BT335,,T335+1)*R335-ERP_i)*Q335*Ramure*Pc/MaxiM</f>
        <v>2.769774147972609E-3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26.659806104342593</v>
      </c>
      <c r="W335" s="400">
        <f t="shared" ref="W335:W379" si="136">Wh*(A335&gt;Tmaj)</f>
        <v>13.567142809543572</v>
      </c>
      <c r="X335" s="157">
        <f t="shared" ref="X335:X380" si="137">t</f>
        <v>47073</v>
      </c>
      <c r="Y335" s="383">
        <f t="shared" ref="Y335:Y380" si="138">Wh_pvt_s*(1-Ppv)</f>
        <v>12.988040540580789</v>
      </c>
      <c r="Z335" s="383">
        <f t="shared" ref="Z335:Z380" si="139">Wh_sa_s*(1-Psa_s)</f>
        <v>13.913637799827333</v>
      </c>
      <c r="AA335" s="384">
        <f t="shared" ref="AA335:AA380" si="140">Wh_hp*(1-Pvg_s*MEDIAN((-Sdif+Wh/Env_an)/Csdif,0,1))</f>
        <v>14.837894694259388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6.2290298824511814E-2</v>
      </c>
      <c r="AD335" s="230">
        <f>(INDEX(Models!$BJ335:$BT335,,AH335)*(1-AF335)+INDEX(Models!$BJ335:$BT335,,AH335+1)*AF335-ERP_i)*AE335*Ramure*Pc/MaxiM</f>
        <v>1.9343332111883986E-2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'2027'!Wh/'2027'!Env_an*'2028'!Env_an</f>
        <v>15.530848656907992</v>
      </c>
      <c r="C336" s="829"/>
      <c r="D336" s="391">
        <f t="shared" si="127"/>
        <v>16.637978890460534</v>
      </c>
      <c r="E336" s="383">
        <f t="shared" si="125"/>
        <v>17.071306685789065</v>
      </c>
      <c r="F336" s="383">
        <f t="shared" si="128"/>
        <v>17.090975899805304</v>
      </c>
      <c r="G336" s="110">
        <f t="shared" si="126"/>
        <v>0.58719672314795512</v>
      </c>
      <c r="H336" s="412" t="b">
        <f>Wh_hp&gt;='2027'!Maxi_hp</f>
        <v>0</v>
      </c>
      <c r="I336" s="388">
        <f>IF(H336,Wh_hp,'2027'!Maxi_hp)</f>
        <v>27.250192771666942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6.6542351137812816E-2</v>
      </c>
      <c r="M336" s="832"/>
      <c r="N336" s="832"/>
      <c r="O336" s="48">
        <f>IF(t&lt;Tnet,'2027'!Resal+('2027'!Salim-'2027'!Resal)*(1-EXP(('2027'!Tnet-t)/('2027'!Tau_j))),Resal+(Salim-Resal)*(1-EXP((Tnet-t)/(Tau_j))))*Salcycl</f>
        <v>2.5383399367387045E-2</v>
      </c>
      <c r="P336" s="169">
        <f>(INDEX(Models!$BJ336:$BT336,,T336)*(1-R336)+INDEX(Models!$BJ336:$BT336,,T336+1)*R336-ERP_i)*Q336*Ramure*Pc/MaxiM</f>
        <v>2.7956101717778021E-3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26.405588027109104</v>
      </c>
      <c r="W336" s="400">
        <f t="shared" si="136"/>
        <v>15.530848656907992</v>
      </c>
      <c r="X336" s="157">
        <f t="shared" si="137"/>
        <v>47074</v>
      </c>
      <c r="Y336" s="383">
        <f t="shared" si="138"/>
        <v>14.840284031638591</v>
      </c>
      <c r="Z336" s="383">
        <f t="shared" si="139"/>
        <v>15.898186757297186</v>
      </c>
      <c r="AA336" s="384">
        <f t="shared" si="140"/>
        <v>16.954255300655817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6.2289291073597333E-2</v>
      </c>
      <c r="AD336" s="230">
        <f>(INDEX(Models!$BJ336:$BT336,,AH336)*(1-AF336)+INDEX(Models!$BJ336:$BT336,,AH336+1)*AF336-ERP_i)*AE336*Ramure*Pc/MaxiM</f>
        <v>1.9432271028130884E-2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'2027'!Wh/'2027'!Env_an*'2028'!Env_an</f>
        <v>7.0979294118445813</v>
      </c>
      <c r="C337" s="829"/>
      <c r="D337" s="391">
        <f t="shared" si="127"/>
        <v>7.6040572952629324</v>
      </c>
      <c r="E337" s="383">
        <f t="shared" si="125"/>
        <v>7.8025384436600618</v>
      </c>
      <c r="F337" s="383">
        <f t="shared" si="128"/>
        <v>7.8025384436600618</v>
      </c>
      <c r="G337" s="110">
        <f t="shared" si="126"/>
        <v>0.27060553238688978</v>
      </c>
      <c r="H337" s="412" t="b">
        <f>Wh_hp&gt;='2027'!Maxi_hp</f>
        <v>0</v>
      </c>
      <c r="I337" s="388">
        <f>IF(H337,Wh_hp,'2027'!Maxi_hp)</f>
        <v>28.562272949049884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6.6560240640697321E-2</v>
      </c>
      <c r="M337" s="832"/>
      <c r="N337" s="832"/>
      <c r="O337" s="48">
        <f>IF(t&lt;Tnet,'2027'!Resal+('2027'!Salim-'2027'!Resal)*(1-EXP(('2027'!Tnet-t)/('2027'!Tau_j))),Resal+(Salim-Resal)*(1-EXP((Tnet-t)/(Tau_j))))*Salcycl</f>
        <v>2.5438022488489569E-2</v>
      </c>
      <c r="P337" s="169">
        <f>(INDEX(Models!$BJ337:$BT337,,T337)*(1-R337)+INDEX(Models!$BJ337:$BT337,,T337+1)*R337-ERP_i)*Q337*Ramure*Pc/MaxiM</f>
        <v>2.8178023354505353E-3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26.155891150265088</v>
      </c>
      <c r="W337" s="400">
        <f t="shared" si="136"/>
        <v>7.0979294118445813</v>
      </c>
      <c r="X337" s="157">
        <f t="shared" si="137"/>
        <v>47075</v>
      </c>
      <c r="Y337" s="383">
        <f t="shared" si="138"/>
        <v>6.8295352637727831</v>
      </c>
      <c r="Z337" s="383">
        <f t="shared" si="139"/>
        <v>7.3165249233228087</v>
      </c>
      <c r="AA337" s="384">
        <f t="shared" si="140"/>
        <v>7.8025384436600618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6.2289154208802669E-2</v>
      </c>
      <c r="AD337" s="230">
        <f>(INDEX(Models!$BJ337:$BT337,,AH337)*(1-AF337)+INDEX(Models!$BJ337:$BT337,,AH337+1)*AF337-ERP_i)*AE337*Ramure*Pc/MaxiM</f>
        <v>1.950486837110977E-2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'2027'!Wh/'2027'!Env_an*'2028'!Env_an</f>
        <v>15.619721760819704</v>
      </c>
      <c r="C338" s="829"/>
      <c r="D338" s="391">
        <f t="shared" si="127"/>
        <v>16.733828785782805</v>
      </c>
      <c r="E338" s="383">
        <f t="shared" si="125"/>
        <v>17.171582300157318</v>
      </c>
      <c r="F338" s="383">
        <f t="shared" si="128"/>
        <v>17.192698694620091</v>
      </c>
      <c r="G338" s="110">
        <f t="shared" si="126"/>
        <v>0.60184657170952338</v>
      </c>
      <c r="H338" s="412" t="b">
        <f>Wh_hp&gt;='2027'!Maxi_hp</f>
        <v>0</v>
      </c>
      <c r="I338" s="388">
        <f>IF(H338,Wh_hp,'2027'!Maxi_hp)</f>
        <v>28.66422438766487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6.6578129800733632E-2</v>
      </c>
      <c r="M338" s="832"/>
      <c r="N338" s="832"/>
      <c r="O338" s="48">
        <f>IF(t&lt;Tnet,'2027'!Resal+('2027'!Salim-'2027'!Resal)*(1-EXP(('2027'!Tnet-t)/('2027'!Tau_j))),Resal+(Salim-Resal)*(1-EXP((Tnet-t)/(Tau_j))))*Salcycl</f>
        <v>2.5492904889172736E-2</v>
      </c>
      <c r="P338" s="169">
        <f>(INDEX(Models!$BJ338:$BT338,,T338)*(1-R338)+INDEX(Models!$BJ338:$BT338,,T338+1)*R338-ERP_i)*Q338*Ramure*Pc/MaxiM</f>
        <v>2.8391661713871785E-3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25.911135827379525</v>
      </c>
      <c r="W338" s="400">
        <f t="shared" si="136"/>
        <v>15.619721760819704</v>
      </c>
      <c r="X338" s="157">
        <f t="shared" si="137"/>
        <v>47076</v>
      </c>
      <c r="Y338" s="383">
        <f t="shared" si="138"/>
        <v>14.921105803019486</v>
      </c>
      <c r="Z338" s="383">
        <f t="shared" si="139"/>
        <v>15.985382686431096</v>
      </c>
      <c r="AA338" s="384">
        <f t="shared" si="140"/>
        <v>17.047254920940397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6.2289925236286806E-2</v>
      </c>
      <c r="AD338" s="230">
        <f>(INDEX(Models!$BJ338:$BT338,,AH338)*(1-AF338)+INDEX(Models!$BJ338:$BT338,,AH338+1)*AF338-ERP_i)*AE338*Ramure*Pc/MaxiM</f>
        <v>1.9555376406622815E-2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'2027'!Wh/'2027'!Env_an*'2028'!Env_an</f>
        <v>3.1374426725064781</v>
      </c>
      <c r="C339" s="829"/>
      <c r="D339" s="391">
        <f t="shared" si="127"/>
        <v>3.3612912898238685</v>
      </c>
      <c r="E339" s="383">
        <f t="shared" si="125"/>
        <v>3.4494172180884339</v>
      </c>
      <c r="F339" s="383">
        <f t="shared" si="128"/>
        <v>3.4494172180884339</v>
      </c>
      <c r="G339" s="110">
        <f t="shared" si="126"/>
        <v>0.12186400575286838</v>
      </c>
      <c r="H339" s="412" t="b">
        <f>Wh_hp&gt;='2027'!Maxi_hp</f>
        <v>0</v>
      </c>
      <c r="I339" s="388">
        <f>IF(H339,Wh_hp,'2027'!Maxi_hp)</f>
        <v>27.981917732937102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6.6596018617928299E-2</v>
      </c>
      <c r="M339" s="832"/>
      <c r="N339" s="832"/>
      <c r="O339" s="48">
        <f>IF(t&lt;Tnet,'2027'!Resal+('2027'!Salim-'2027'!Resal)*(1-EXP(('2027'!Tnet-t)/('2027'!Tau_j))),Resal+(Salim-Resal)*(1-EXP((Tnet-t)/(Tau_j))))*Salcycl</f>
        <v>2.5548062960444737E-2</v>
      </c>
      <c r="P339" s="169">
        <f>(INDEX(Models!$BJ339:$BT339,,T339)*(1-R339)+INDEX(Models!$BJ339:$BT339,,T339+1)*R339-ERP_i)*Q339*Ramure*Pc/MaxiM</f>
        <v>2.859543096075676E-3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25.671821639584845</v>
      </c>
      <c r="W339" s="400">
        <f t="shared" si="136"/>
        <v>3.1374426725064781</v>
      </c>
      <c r="X339" s="157">
        <f t="shared" si="137"/>
        <v>47077</v>
      </c>
      <c r="Y339" s="383">
        <f t="shared" si="138"/>
        <v>3.0191393941072229</v>
      </c>
      <c r="Z339" s="383">
        <f t="shared" si="139"/>
        <v>3.2345473710502568</v>
      </c>
      <c r="AA339" s="384">
        <f t="shared" si="140"/>
        <v>3.4494172180884339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6.22916375297888E-2</v>
      </c>
      <c r="AD339" s="230">
        <f>(INDEX(Models!$BJ339:$BT339,,AH339)*(1-AF339)+INDEX(Models!$BJ339:$BT339,,AH339+1)*AF339-ERP_i)*AE339*Ramure*Pc/MaxiM</f>
        <v>1.9590927843203945E-2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'2027'!Wh/'2027'!Env_an*'2028'!Env_an</f>
        <v>7.7620772690836599</v>
      </c>
      <c r="C340" s="829"/>
      <c r="D340" s="391">
        <f t="shared" si="127"/>
        <v>8.3160412695918851</v>
      </c>
      <c r="E340" s="383">
        <f t="shared" si="125"/>
        <v>8.5345558703125732</v>
      </c>
      <c r="F340" s="383">
        <f t="shared" si="128"/>
        <v>8.5347359998679035</v>
      </c>
      <c r="G340" s="110">
        <f t="shared" si="126"/>
        <v>0.30425973246362298</v>
      </c>
      <c r="H340" s="412" t="b">
        <f>Wh_hp&gt;='2027'!Maxi_hp</f>
        <v>0</v>
      </c>
      <c r="I340" s="388">
        <f>IF(H340,Wh_hp,'2027'!Maxi_hp)</f>
        <v>29.203443370360098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6.6613907092287761E-2</v>
      </c>
      <c r="M340" s="832"/>
      <c r="N340" s="832"/>
      <c r="O340" s="48">
        <f>IF(t&lt;Tnet,'2027'!Resal+('2027'!Salim-'2027'!Resal)*(1-EXP(('2027'!Tnet-t)/('2027'!Tau_j))),Resal+(Salim-Resal)*(1-EXP((Tnet-t)/(Tau_j))))*Salcycl</f>
        <v>2.5603511657916512E-2</v>
      </c>
      <c r="P340" s="169">
        <f>(INDEX(Models!$BJ340:$BT340,,T340)*(1-R340)+INDEX(Models!$BJ340:$BT340,,T340+1)*R340-ERP_i)*Q340*Ramure*Pc/MaxiM</f>
        <v>2.8789025690356554E-3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25.43844463503714</v>
      </c>
      <c r="W340" s="400">
        <f t="shared" si="136"/>
        <v>7.7620772690836599</v>
      </c>
      <c r="X340" s="157">
        <f t="shared" si="137"/>
        <v>47078</v>
      </c>
      <c r="Y340" s="383">
        <f t="shared" si="138"/>
        <v>7.4688806592831751</v>
      </c>
      <c r="Z340" s="383">
        <f t="shared" si="139"/>
        <v>8.0019198015002502</v>
      </c>
      <c r="AA340" s="384">
        <f t="shared" si="140"/>
        <v>8.5335089445049146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6.2294320713986898E-2</v>
      </c>
      <c r="AD340" s="230">
        <f>(INDEX(Models!$BJ340:$BT340,,AH340)*(1-AF340)+INDEX(Models!$BJ340:$BT340,,AH340+1)*AF340-ERP_i)*AE340*Ramure*Pc/MaxiM</f>
        <v>1.9611289387815364E-2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'2027'!Wh/'2027'!Env_an*'2028'!Env_an</f>
        <v>13.018022831073594</v>
      </c>
      <c r="C341" s="829"/>
      <c r="D341" s="391">
        <f t="shared" si="127"/>
        <v>13.947360499809692</v>
      </c>
      <c r="E341" s="383">
        <f t="shared" si="125"/>
        <v>14.314664255402171</v>
      </c>
      <c r="F341" s="383">
        <f t="shared" si="128"/>
        <v>14.327493799863957</v>
      </c>
      <c r="G341" s="110">
        <f t="shared" si="126"/>
        <v>0.51531801306986724</v>
      </c>
      <c r="H341" s="412" t="b">
        <f>Wh_hp&gt;='2027'!Maxi_hp</f>
        <v>0</v>
      </c>
      <c r="I341" s="388">
        <f>IF(H341,Wh_hp,'2027'!Maxi_hp)</f>
        <v>29.107219927904186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6.663179522381879E-2</v>
      </c>
      <c r="M341" s="832"/>
      <c r="N341" s="832"/>
      <c r="O341" s="48">
        <f>IF(t&lt;Tnet,'2027'!Resal+('2027'!Salim-'2027'!Resal)*(1-EXP(('2027'!Tnet-t)/('2027'!Tau_j))),Resal+(Salim-Resal)*(1-EXP((Tnet-t)/(Tau_j))))*Salcycl</f>
        <v>2.5659264446517688E-2</v>
      </c>
      <c r="P341" s="169">
        <f>(INDEX(Models!$BJ341:$BT341,,T341)*(1-R341)+INDEX(Models!$BJ341:$BT341,,T341+1)*R341-ERP_i)*Q341*Ramure*Pc/MaxiM</f>
        <v>2.8971904277250017E-3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25.211501315389523</v>
      </c>
      <c r="W341" s="400">
        <f t="shared" si="136"/>
        <v>13.018022831073594</v>
      </c>
      <c r="X341" s="157">
        <f t="shared" si="137"/>
        <v>47079</v>
      </c>
      <c r="Y341" s="383">
        <f t="shared" si="138"/>
        <v>12.463700436637833</v>
      </c>
      <c r="Z341" s="383">
        <f t="shared" si="139"/>
        <v>13.353465837875406</v>
      </c>
      <c r="AA341" s="384">
        <f t="shared" si="140"/>
        <v>14.240628521651768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6.229800057121785E-2</v>
      </c>
      <c r="AD341" s="230">
        <f>(INDEX(Models!$BJ341:$BT341,,AH341)*(1-AF341)+INDEX(Models!$BJ341:$BT341,,AH341+1)*AF341-ERP_i)*AE341*Ramure*Pc/MaxiM</f>
        <v>1.9616070803421794E-2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'2027'!Wh/'2027'!Env_an*'2028'!Env_an</f>
        <v>13.661896461575132</v>
      </c>
      <c r="C342" s="829"/>
      <c r="D342" s="391">
        <f t="shared" si="127"/>
        <v>14.637479853942674</v>
      </c>
      <c r="E342" s="383">
        <f t="shared" si="125"/>
        <v>15.023822455135987</v>
      </c>
      <c r="F342" s="383">
        <f t="shared" si="128"/>
        <v>15.039266953670069</v>
      </c>
      <c r="G342" s="110">
        <f t="shared" si="126"/>
        <v>0.5456291506986003</v>
      </c>
      <c r="H342" s="412" t="b">
        <f>Wh_hp&gt;='2027'!Maxi_hp</f>
        <v>0</v>
      </c>
      <c r="I342" s="388">
        <f>IF(H342,Wh_hp,'2027'!Maxi_hp)</f>
        <v>27.112988230859333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6.6649683012527827E-2</v>
      </c>
      <c r="M342" s="832"/>
      <c r="N342" s="832"/>
      <c r="O342" s="48">
        <f>IF(t&lt;Tnet,'2027'!Resal+('2027'!Salim-'2027'!Resal)*(1-EXP(('2027'!Tnet-t)/('2027'!Tau_j))),Resal+(Salim-Resal)*(1-EXP((Tnet-t)/(Tau_j))))*Salcycl</f>
        <v>2.5715333254703043E-2</v>
      </c>
      <c r="P342" s="169">
        <f>(INDEX(Models!$BJ342:$BT342,,T342)*(1-R342)+INDEX(Models!$BJ342:$BT342,,T342+1)*R342-ERP_i)*Q342*Ramure*Pc/MaxiM</f>
        <v>2.9143583730260238E-3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24.991487879705989</v>
      </c>
      <c r="W342" s="400">
        <f t="shared" si="136"/>
        <v>13.661896461575132</v>
      </c>
      <c r="X342" s="157">
        <f t="shared" si="137"/>
        <v>47080</v>
      </c>
      <c r="Y342" s="383">
        <f t="shared" si="138"/>
        <v>13.071438315420993</v>
      </c>
      <c r="Z342" s="383">
        <f t="shared" si="139"/>
        <v>14.004857637602798</v>
      </c>
      <c r="AA342" s="384">
        <f t="shared" si="140"/>
        <v>14.93537159833029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6.230269897211798E-2</v>
      </c>
      <c r="AD342" s="230">
        <f>(INDEX(Models!$BJ342:$BT342,,AH342)*(1-AF342)+INDEX(Models!$BJ342:$BT342,,AH342+1)*AF342-ERP_i)*AE342*Ramure*Pc/MaxiM</f>
        <v>1.9604929100469723E-2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'2027'!Wh/'2027'!Env_an*'2028'!Env_an</f>
        <v>4.7343329591539414</v>
      </c>
      <c r="C343" s="829"/>
      <c r="D343" s="391">
        <f t="shared" si="127"/>
        <v>5.0725045110446727</v>
      </c>
      <c r="E343" s="383">
        <f t="shared" si="125"/>
        <v>5.2066899094543517</v>
      </c>
      <c r="F343" s="383">
        <f t="shared" si="128"/>
        <v>5.2066899094543517</v>
      </c>
      <c r="G343" s="110">
        <f t="shared" si="126"/>
        <v>0.19050319408380548</v>
      </c>
      <c r="H343" s="412" t="b">
        <f>Wh_hp&gt;='2027'!Maxi_hp</f>
        <v>0</v>
      </c>
      <c r="I343" s="388">
        <f>IF(H343,Wh_hp,'2027'!Maxi_hp)</f>
        <v>25.709723482797013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6.6667570458421421E-2</v>
      </c>
      <c r="M343" s="832"/>
      <c r="N343" s="832"/>
      <c r="O343" s="48">
        <f>IF(t&lt;Tnet,'2027'!Resal+('2027'!Salim-'2027'!Resal)*(1-EXP(('2027'!Tnet-t)/('2027'!Tau_j))),Resal+(Salim-Resal)*(1-EXP((Tnet-t)/(Tau_j))))*Salcycl</f>
        <v>2.5771728438450773E-2</v>
      </c>
      <c r="P343" s="169">
        <f>(INDEX(Models!$BJ343:$BT343,,T343)*(1-R343)+INDEX(Models!$BJ343:$BT343,,T343+1)*R343-ERP_i)*Q343*Ramure*Pc/MaxiM</f>
        <v>2.9303671086538486E-3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24.778900155828428</v>
      </c>
      <c r="W343" s="400">
        <f t="shared" si="136"/>
        <v>4.7343329591539414</v>
      </c>
      <c r="X343" s="157">
        <f t="shared" si="137"/>
        <v>47081</v>
      </c>
      <c r="Y343" s="383">
        <f t="shared" si="138"/>
        <v>4.5567801888165658</v>
      </c>
      <c r="Z343" s="383">
        <f t="shared" si="139"/>
        <v>4.8822692157548868</v>
      </c>
      <c r="AA343" s="384">
        <f t="shared" si="140"/>
        <v>5.2066899094543517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6.2308433830556995E-2</v>
      </c>
      <c r="AD343" s="230">
        <f>(INDEX(Models!$BJ343:$BT343,,AH343)*(1-AF343)+INDEX(Models!$BJ343:$BT343,,AH343+1)*AF343-ERP_i)*AE343*Ramure*Pc/MaxiM</f>
        <v>1.9577589396991023E-2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'2027'!Wh/'2027'!Env_an*'2028'!Env_an</f>
        <v>10.879157603300463</v>
      </c>
      <c r="C344" s="829"/>
      <c r="D344" s="391">
        <f t="shared" si="127"/>
        <v>11.656474970245531</v>
      </c>
      <c r="E344" s="383">
        <f t="shared" si="125"/>
        <v>11.965526066745653</v>
      </c>
      <c r="F344" s="383">
        <f t="shared" si="128"/>
        <v>11.972714711615646</v>
      </c>
      <c r="G344" s="110">
        <f t="shared" si="126"/>
        <v>0.44166720936127918</v>
      </c>
      <c r="H344" s="412" t="b">
        <f>Wh_hp&gt;='2027'!Maxi_hp</f>
        <v>0</v>
      </c>
      <c r="I344" s="388">
        <f>IF(H344,Wh_hp,'2027'!Maxi_hp)</f>
        <v>26.915508219914461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6.6685457561506234E-2</v>
      </c>
      <c r="M344" s="832"/>
      <c r="N344" s="832"/>
      <c r="O344" s="48">
        <f>IF(t&lt;Tnet,'2027'!Resal+('2027'!Salim-'2027'!Resal)*(1-EXP(('2027'!Tnet-t)/('2027'!Tau_j))),Resal+(Salim-Resal)*(1-EXP((Tnet-t)/(Tau_j))))*Salcycl</f>
        <v>2.5828458755276184E-2</v>
      </c>
      <c r="P344" s="169">
        <f>(INDEX(Models!$BJ344:$BT344,,T344)*(1-R344)+INDEX(Models!$BJ344:$BT344,,T344+1)*R344-ERP_i)*Q344*Ramure*Pc/MaxiM</f>
        <v>2.9451715829687452E-3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24.57423398123764</v>
      </c>
      <c r="W344" s="400">
        <f t="shared" si="136"/>
        <v>10.879157603300463</v>
      </c>
      <c r="X344" s="157">
        <f t="shared" si="137"/>
        <v>47082</v>
      </c>
      <c r="Y344" s="383">
        <f t="shared" si="138"/>
        <v>10.436253244252988</v>
      </c>
      <c r="Z344" s="383">
        <f t="shared" si="139"/>
        <v>11.181925031389667</v>
      </c>
      <c r="AA344" s="384">
        <f t="shared" si="140"/>
        <v>11.925036279734575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6.231521908304391E-2</v>
      </c>
      <c r="AD344" s="230">
        <f>(INDEX(Models!$BJ344:$BT344,,AH344)*(1-AF344)+INDEX(Models!$BJ344:$BT344,,AH344+1)*AF344-ERP_i)*AE344*Ramure*Pc/MaxiM</f>
        <v>1.9533745961327578E-2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'2027'!Wh/'2027'!Env_an*'2028'!Env_an</f>
        <v>14.321651684884451</v>
      </c>
      <c r="C345" s="829"/>
      <c r="D345" s="391">
        <f t="shared" si="127"/>
        <v>15.345229834212942</v>
      </c>
      <c r="E345" s="383">
        <f t="shared" si="125"/>
        <v>15.753004732035594</v>
      </c>
      <c r="F345" s="383">
        <f t="shared" si="128"/>
        <v>15.772175856382304</v>
      </c>
      <c r="G345" s="110">
        <f t="shared" si="126"/>
        <v>0.58651867806833025</v>
      </c>
      <c r="H345" s="412" t="b">
        <f>Wh_hp&gt;='2027'!Maxi_hp</f>
        <v>0</v>
      </c>
      <c r="I345" s="388">
        <f>IF(H345,Wh_hp,'2027'!Maxi_hp)</f>
        <v>23.300191289146664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6.6703344321788816E-2</v>
      </c>
      <c r="M345" s="832"/>
      <c r="N345" s="832"/>
      <c r="O345" s="48">
        <f>IF(t&lt;Tnet,'2027'!Resal+('2027'!Salim-'2027'!Resal)*(1-EXP(('2027'!Tnet-t)/('2027'!Tau_j))),Resal+(Salim-Resal)*(1-EXP((Tnet-t)/(Tau_j))))*Salcycl</f>
        <v>2.5885531348403257E-2</v>
      </c>
      <c r="P345" s="169">
        <f>(INDEX(Models!$BJ345:$BT345,,T345)*(1-R345)+INDEX(Models!$BJ345:$BT345,,T345+1)*R345-ERP_i)*Q345*Ramure*Pc/MaxiM</f>
        <v>2.9590289539323153E-3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24.375440471609885</v>
      </c>
      <c r="W345" s="400">
        <f t="shared" si="136"/>
        <v>14.321651684884451</v>
      </c>
      <c r="X345" s="157">
        <f t="shared" si="137"/>
        <v>47083</v>
      </c>
      <c r="Y345" s="383">
        <f t="shared" si="138"/>
        <v>13.69229526999408</v>
      </c>
      <c r="Z345" s="383">
        <f t="shared" si="139"/>
        <v>14.67089288993982</v>
      </c>
      <c r="AA345" s="384">
        <f t="shared" si="140"/>
        <v>15.645999530883298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6.2323064692590274E-2</v>
      </c>
      <c r="AD345" s="230">
        <f>(INDEX(Models!$BJ345:$BT345,,AH345)*(1-AF345)+INDEX(Models!$BJ345:$BT345,,AH345+1)*AF345-ERP_i)*AE345*Ramure*Pc/MaxiM</f>
        <v>1.9475091481340343E-2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'2027'!Wh/'2027'!Env_an*'2028'!Env_an</f>
        <v>10.390507730043405</v>
      </c>
      <c r="C346" s="829"/>
      <c r="D346" s="391">
        <f t="shared" si="127"/>
        <v>11.133337725312247</v>
      </c>
      <c r="E346" s="383">
        <f t="shared" si="125"/>
        <v>11.429862085812545</v>
      </c>
      <c r="F346" s="383">
        <f t="shared" si="128"/>
        <v>11.43617100872412</v>
      </c>
      <c r="G346" s="110">
        <f t="shared" si="126"/>
        <v>0.42866470723149414</v>
      </c>
      <c r="H346" s="412" t="b">
        <f>Wh_hp&gt;='2027'!Maxi_hp</f>
        <v>0</v>
      </c>
      <c r="I346" s="388">
        <f>IF(H346,Wh_hp,'2027'!Maxi_hp)</f>
        <v>16.384266753107251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6.6721230739275716E-2</v>
      </c>
      <c r="M346" s="832"/>
      <c r="N346" s="832"/>
      <c r="O346" s="48">
        <f>IF(t&lt;Tnet,'2027'!Resal+('2027'!Salim-'2027'!Resal)*(1-EXP(('2027'!Tnet-t)/('2027'!Tau_j))),Resal+(Salim-Resal)*(1-EXP((Tnet-t)/(Tau_j))))*Salcycl</f>
        <v>2.5942951741155601E-2</v>
      </c>
      <c r="P346" s="169">
        <f>(INDEX(Models!$BJ346:$BT346,,T346)*(1-R346)+INDEX(Models!$BJ346:$BT346,,T346+1)*R346-ERP_i)*Q346*Ramure*Pc/MaxiM</f>
        <v>2.977195526903459E-3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24.180416860239973</v>
      </c>
      <c r="W346" s="400">
        <f t="shared" si="136"/>
        <v>10.390507730043405</v>
      </c>
      <c r="X346" s="157">
        <f t="shared" si="137"/>
        <v>47084</v>
      </c>
      <c r="Y346" s="383">
        <f t="shared" si="138"/>
        <v>9.9718776352988243</v>
      </c>
      <c r="Z346" s="383">
        <f t="shared" si="139"/>
        <v>10.684779257539333</v>
      </c>
      <c r="AA346" s="384">
        <f t="shared" si="140"/>
        <v>11.39505559725877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6.2331976676823268E-2</v>
      </c>
      <c r="AD346" s="230">
        <f>(INDEX(Models!$BJ346:$BT346,,AH346)*(1-AF346)+INDEX(Models!$BJ346:$BT346,,AH346+1)*AF346-ERP_i)*AE346*Ramure*Pc/MaxiM</f>
        <v>1.9402459154616209E-2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'2027'!Wh/'2027'!Env_an*'2028'!Env_an</f>
        <v>15.13304499580582</v>
      </c>
      <c r="C347" s="829"/>
      <c r="D347" s="391">
        <f t="shared" si="127"/>
        <v>16.215235491434775</v>
      </c>
      <c r="E347" s="383">
        <f t="shared" si="125"/>
        <v>16.648098092422824</v>
      </c>
      <c r="F347" s="383">
        <f t="shared" si="128"/>
        <v>16.67176350517472</v>
      </c>
      <c r="G347" s="110">
        <f t="shared" si="126"/>
        <v>0.6298144330340395</v>
      </c>
      <c r="H347" s="412" t="b">
        <f>Wh_hp&gt;='2027'!Maxi_hp</f>
        <v>0</v>
      </c>
      <c r="I347" s="388">
        <f>IF(H347,Wh_hp,'2027'!Maxi_hp)</f>
        <v>16.692242685766246</v>
      </c>
      <c r="J347" s="85">
        <f>IF(H347,An,'2027'!An_max)</f>
        <v>2026</v>
      </c>
      <c r="K347" s="197">
        <f t="shared" si="129"/>
        <v>47085</v>
      </c>
      <c r="L347" s="147">
        <f>IF(t&lt;Tvie,1-EXP((T0-t)*PertePVj)+'2027'!Pspv,1-EXP((T0-t)*PertePVj)+Pspv)</f>
        <v>6.6739116813973487E-2</v>
      </c>
      <c r="M347" s="832"/>
      <c r="N347" s="832"/>
      <c r="O347" s="48">
        <f>IF(t&lt;Tnet,'2027'!Resal+('2027'!Salim-'2027'!Resal)*(1-EXP(('2027'!Tnet-t)/('2027'!Tau_j))),Resal+(Salim-Resal)*(1-EXP((Tnet-t)/(Tau_j))))*Salcycl</f>
        <v>2.600072384154568E-2</v>
      </c>
      <c r="P347" s="169">
        <f>(INDEX(Models!$BJ347:$BT347,,T347)*(1-R347)+INDEX(Models!$BJ347:$BT347,,T347+1)*R347-ERP_i)*Q347*Ramure*Pc/MaxiM</f>
        <v>3.0036214408574475E-3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23.989666485350227</v>
      </c>
      <c r="W347" s="400">
        <f t="shared" si="136"/>
        <v>15.13304499580582</v>
      </c>
      <c r="X347" s="157">
        <f t="shared" si="137"/>
        <v>47085</v>
      </c>
      <c r="Y347" s="383">
        <f t="shared" si="138"/>
        <v>14.455873881581725</v>
      </c>
      <c r="Z347" s="383">
        <f t="shared" si="139"/>
        <v>15.48963868734252</v>
      </c>
      <c r="AA347" s="384">
        <f t="shared" si="140"/>
        <v>16.51949642582527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6.2341957159950286E-2</v>
      </c>
      <c r="AD347" s="230">
        <f>(INDEX(Models!$BJ347:$BT347,,AH347)*(1-AF347)+INDEX(Models!$BJ347:$BT347,,AH347+1)*AF347-ERP_i)*AE347*Ramure*Pc/MaxiM</f>
        <v>1.9325784386926583E-2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'2027'!Wh/'2027'!Env_an*'2028'!Env_an</f>
        <v>3.9545952876884138</v>
      </c>
      <c r="C348" s="829"/>
      <c r="D348" s="391">
        <f t="shared" si="127"/>
        <v>4.2374765184164866</v>
      </c>
      <c r="E348" s="383">
        <f t="shared" si="125"/>
        <v>4.3508547905889623</v>
      </c>
      <c r="F348" s="383">
        <f t="shared" si="128"/>
        <v>4.3508547905889623</v>
      </c>
      <c r="G348" s="110">
        <f t="shared" si="126"/>
        <v>0.16562824986364794</v>
      </c>
      <c r="H348" s="412" t="b">
        <f>Wh_hp&gt;='2027'!Maxi_hp</f>
        <v>0</v>
      </c>
      <c r="I348" s="388">
        <f>IF(H348,Wh_hp,'2027'!Maxi_hp)</f>
        <v>25.310170680267795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6.6757002545888677E-2</v>
      </c>
      <c r="M348" s="832"/>
      <c r="N348" s="832"/>
      <c r="O348" s="48">
        <f>IF(t&lt;Tnet,'2027'!Resal+('2027'!Salim-'2027'!Resal)*(1-EXP(('2027'!Tnet-t)/('2027'!Tau_j))),Resal+(Salim-Resal)*(1-EXP((Tnet-t)/(Tau_j))))*Salcycl</f>
        <v>2.6058849956959371E-2</v>
      </c>
      <c r="P348" s="169">
        <f>(INDEX(Models!$BJ348:$BT348,,T348)*(1-R348)+INDEX(Models!$BJ348:$BT348,,T348+1)*R348-ERP_i)*Q348*Ramure*Pc/MaxiM</f>
        <v>3.0382706394919321E-3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23.803790477653738</v>
      </c>
      <c r="W348" s="400">
        <f t="shared" si="136"/>
        <v>3.9545952876884138</v>
      </c>
      <c r="X348" s="157">
        <f t="shared" si="137"/>
        <v>47086</v>
      </c>
      <c r="Y348" s="383">
        <f t="shared" si="138"/>
        <v>3.8072263298057707</v>
      </c>
      <c r="Z348" s="383">
        <f t="shared" si="139"/>
        <v>4.0795659224788094</v>
      </c>
      <c r="AA348" s="384">
        <f t="shared" si="140"/>
        <v>4.3508547905889623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6.2353004447990024E-2</v>
      </c>
      <c r="AD348" s="230">
        <f>(INDEX(Models!$BJ348:$BT348,,AH348)*(1-AF348)+INDEX(Models!$BJ348:$BT348,,AH348+1)*AF348-ERP_i)*AE348*Ramure*Pc/MaxiM</f>
        <v>1.9244615386742058E-2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'2027'!Wh/'2027'!Env_an*'2028'!Env_an</f>
        <v>3.7433000226113617</v>
      </c>
      <c r="C349" s="829"/>
      <c r="D349" s="391">
        <f t="shared" si="127"/>
        <v>4.0111436932172371</v>
      </c>
      <c r="E349" s="383">
        <f t="shared" si="125"/>
        <v>4.1187134961436795</v>
      </c>
      <c r="F349" s="383">
        <f t="shared" si="128"/>
        <v>4.1187134961436795</v>
      </c>
      <c r="G349" s="110">
        <f t="shared" si="126"/>
        <v>0.15796913992078643</v>
      </c>
      <c r="H349" s="412" t="b">
        <f>Wh_hp&gt;='2027'!Maxi_hp</f>
        <v>0</v>
      </c>
      <c r="I349" s="388">
        <f>IF(H349,Wh_hp,'2027'!Maxi_hp)</f>
        <v>26.146261330818092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6.6774887935027949E-2</v>
      </c>
      <c r="M349" s="832"/>
      <c r="N349" s="832"/>
      <c r="O349" s="48">
        <f>IF(t&lt;Tnet,'2027'!Resal+('2027'!Salim-'2027'!Resal)*(1-EXP(('2027'!Tnet-t)/('2027'!Tau_j))),Resal+(Salim-Resal)*(1-EXP((Tnet-t)/(Tau_j))))*Salcycl</f>
        <v>2.6117330818751908E-2</v>
      </c>
      <c r="P349" s="169">
        <f>(INDEX(Models!$BJ349:$BT349,,T349)*(1-R349)+INDEX(Models!$BJ349:$BT349,,T349+1)*R349-ERP_i)*Q349*Ramure*Pc/MaxiM</f>
        <v>3.0811034724858052E-3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23.623389541681565</v>
      </c>
      <c r="W349" s="400">
        <f t="shared" si="136"/>
        <v>3.7433000226113617</v>
      </c>
      <c r="X349" s="157">
        <f t="shared" si="137"/>
        <v>47087</v>
      </c>
      <c r="Y349" s="383">
        <f t="shared" si="138"/>
        <v>3.6039748979058448</v>
      </c>
      <c r="Z349" s="383">
        <f t="shared" si="139"/>
        <v>3.8618494630210214</v>
      </c>
      <c r="AA349" s="384">
        <f t="shared" si="140"/>
        <v>4.1187134961436795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6.2365113126503766E-2</v>
      </c>
      <c r="AD349" s="230">
        <f>(INDEX(Models!$BJ349:$BT349,,AH349)*(1-AF349)+INDEX(Models!$BJ349:$BT349,,AH349+1)*AF349-ERP_i)*AE349*Ramure*Pc/MaxiM</f>
        <v>1.915846486522407E-2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'2027'!Wh/'2027'!Env_an*'2028'!Env_an</f>
        <v>5.6237204918860817</v>
      </c>
      <c r="C350" s="829"/>
      <c r="D350" s="391">
        <f t="shared" si="127"/>
        <v>6.0262290400950578</v>
      </c>
      <c r="E350" s="383">
        <f t="shared" si="125"/>
        <v>6.1882127211540707</v>
      </c>
      <c r="F350" s="383">
        <f t="shared" si="128"/>
        <v>6.1882127211540707</v>
      </c>
      <c r="G350" s="110">
        <f t="shared" si="126"/>
        <v>0.23907592178400011</v>
      </c>
      <c r="H350" s="412" t="b">
        <f>Wh_hp&gt;='2027'!Maxi_hp</f>
        <v>0</v>
      </c>
      <c r="I350" s="388">
        <f>IF(H350,Wh_hp,'2027'!Maxi_hp)</f>
        <v>9.9498204075695913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6.6792772981397852E-2</v>
      </c>
      <c r="M350" s="832"/>
      <c r="N350" s="832"/>
      <c r="O350" s="48">
        <f>IF(t&lt;Tnet,'2027'!Resal+('2027'!Salim-'2027'!Resal)*(1-EXP(('2027'!Tnet-t)/('2027'!Tau_j))),Resal+(Salim-Resal)*(1-EXP((Tnet-t)/(Tau_j))))*Salcycl</f>
        <v>2.6176165616492116E-2</v>
      </c>
      <c r="P350" s="169">
        <f>(INDEX(Models!$BJ350:$BT350,,T350)*(1-R350)+INDEX(Models!$BJ350:$BT350,,T350+1)*R350-ERP_i)*Q350*Ramure*Pc/MaxiM</f>
        <v>3.1320745414299615E-3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23.449063955383689</v>
      </c>
      <c r="W350" s="400">
        <f t="shared" si="136"/>
        <v>5.6237204918860817</v>
      </c>
      <c r="X350" s="157">
        <f t="shared" si="137"/>
        <v>47088</v>
      </c>
      <c r="Y350" s="383">
        <f t="shared" si="138"/>
        <v>5.4146574841950308</v>
      </c>
      <c r="Z350" s="383">
        <f t="shared" si="139"/>
        <v>5.8022026913504572</v>
      </c>
      <c r="AA350" s="384">
        <f t="shared" si="140"/>
        <v>6.1882127211540707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6.2378274179887096E-2</v>
      </c>
      <c r="AD350" s="230">
        <f>(INDEX(Models!$BJ350:$BT350,,AH350)*(1-AF350)+INDEX(Models!$BJ350:$BT350,,AH350+1)*AF350-ERP_i)*AE350*Ramure*Pc/MaxiM</f>
        <v>1.906681237632556E-2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'2027'!Wh/'2027'!Env_an*'2028'!Env_an</f>
        <v>9.4249690982498997</v>
      </c>
      <c r="C351" s="829"/>
      <c r="D351" s="391">
        <f t="shared" si="127"/>
        <v>10.099739325000275</v>
      </c>
      <c r="E351" s="383">
        <f t="shared" si="125"/>
        <v>10.371848419609972</v>
      </c>
      <c r="F351" s="383">
        <f t="shared" si="128"/>
        <v>10.376807346913708</v>
      </c>
      <c r="G351" s="110">
        <f t="shared" si="126"/>
        <v>0.40372912048890697</v>
      </c>
      <c r="H351" s="412" t="b">
        <f>Wh_hp&gt;='2027'!Maxi_hp</f>
        <v>0</v>
      </c>
      <c r="I351" s="388">
        <f>IF(H351,Wh_hp,'2027'!Maxi_hp)</f>
        <v>16.647333469246274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6.6810657685004826E-2</v>
      </c>
      <c r="M351" s="832"/>
      <c r="N351" s="832"/>
      <c r="O351" s="48">
        <f>IF(t&lt;Tnet,'2027'!Resal+('2027'!Salim-'2027'!Resal)*(1-EXP(('2027'!Tnet-t)/('2027'!Tau_j))),Resal+(Salim-Resal)*(1-EXP((Tnet-t)/(Tau_j))))*Salcycl</f>
        <v>2.6235352041514792E-2</v>
      </c>
      <c r="P351" s="169">
        <f>(INDEX(Models!$BJ351:$BT351,,T351)*(1-R351)+INDEX(Models!$BJ351:$BT351,,T351+1)*R351-ERP_i)*Q351*Ramure*Pc/MaxiM</f>
        <v>3.1911303827860172E-3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23.281413569161394</v>
      </c>
      <c r="W351" s="400">
        <f t="shared" si="136"/>
        <v>9.4249690982498997</v>
      </c>
      <c r="X351" s="157">
        <f t="shared" si="137"/>
        <v>47089</v>
      </c>
      <c r="Y351" s="383">
        <f t="shared" si="138"/>
        <v>9.0535551090314517</v>
      </c>
      <c r="Z351" s="383">
        <f t="shared" si="139"/>
        <v>9.7017343624735179</v>
      </c>
      <c r="AA351" s="384">
        <f t="shared" si="140"/>
        <v>10.347329884996638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6.23924751311173E-2</v>
      </c>
      <c r="AD351" s="230">
        <f>(INDEX(Models!$BJ351:$BT351,,AH351)*(1-AF351)+INDEX(Models!$BJ351:$BT351,,AH351+1)*AF351-ERP_i)*AE351*Ramure*Pc/MaxiM</f>
        <v>1.8969107343055194E-2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'2027'!Wh/'2027'!Env_an*'2028'!Env_an</f>
        <v>17.284144050557551</v>
      </c>
      <c r="C352" s="829"/>
      <c r="D352" s="391">
        <f t="shared" si="127"/>
        <v>18.521938174631661</v>
      </c>
      <c r="E352" s="383">
        <f t="shared" si="125"/>
        <v>19.022122729743771</v>
      </c>
      <c r="F352" s="383">
        <f t="shared" si="128"/>
        <v>19.061792071975692</v>
      </c>
      <c r="G352" s="110">
        <f t="shared" si="126"/>
        <v>0.74666874156537089</v>
      </c>
      <c r="H352" s="412" t="b">
        <f>Wh_hp&gt;='2027'!Maxi_hp</f>
        <v>0</v>
      </c>
      <c r="I352" s="388">
        <f>IF(H352,Wh_hp,'2027'!Maxi_hp)</f>
        <v>19.07950596524082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6.6828542045855643E-2</v>
      </c>
      <c r="M352" s="832"/>
      <c r="N352" s="832"/>
      <c r="O352" s="48">
        <f>IF(t&lt;Tnet,'2027'!Resal+('2027'!Salim-'2027'!Resal)*(1-EXP(('2027'!Tnet-t)/('2027'!Tau_j))),Resal+(Salim-Resal)*(1-EXP((Tnet-t)/(Tau_j))))*Salcycl</f>
        <v>2.6294886339367461E-2</v>
      </c>
      <c r="P352" s="169">
        <f>(INDEX(Models!$BJ352:$BT352,,T352)*(1-R352)+INDEX(Models!$BJ352:$BT352,,T352+1)*R352-ERP_i)*Q352*Ramure*Pc/MaxiM</f>
        <v>3.254989393922179E-3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23.121112434679301</v>
      </c>
      <c r="W352" s="400">
        <f t="shared" si="136"/>
        <v>17.284144050557551</v>
      </c>
      <c r="X352" s="157">
        <f t="shared" si="137"/>
        <v>47090</v>
      </c>
      <c r="Y352" s="383">
        <f t="shared" si="138"/>
        <v>16.476631609883491</v>
      </c>
      <c r="Z352" s="383">
        <f t="shared" si="139"/>
        <v>17.656596190807569</v>
      </c>
      <c r="AA352" s="384">
        <f t="shared" si="140"/>
        <v>18.831848549297021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6.2407700200696574E-2</v>
      </c>
      <c r="AD352" s="230">
        <f>(INDEX(Models!$BJ352:$BT352,,AH352)*(1-AF352)+INDEX(Models!$BJ352:$BT352,,AH352+1)*AF352-ERP_i)*AE352*Ramure*Pc/MaxiM</f>
        <v>1.8867560826806736E-2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'2027'!Wh/'2027'!Env_an*'2028'!Env_an</f>
        <v>22.913392493582073</v>
      </c>
      <c r="C353" s="829"/>
      <c r="D353" s="391">
        <f t="shared" si="127"/>
        <v>24.554792623183499</v>
      </c>
      <c r="E353" s="383">
        <f t="shared" si="125"/>
        <v>25.219445131976283</v>
      </c>
      <c r="F353" s="383">
        <f t="shared" si="128"/>
        <v>25.30317960852501</v>
      </c>
      <c r="G353" s="110">
        <f t="shared" si="126"/>
        <v>0.99757518564864822</v>
      </c>
      <c r="H353" s="412" t="b">
        <f>Wh_hp&gt;='2027'!Maxi_hp</f>
        <v>0</v>
      </c>
      <c r="I353" s="388">
        <f>IF(H353,Wh_hp,'2027'!Maxi_hp)</f>
        <v>25.303409719606442</v>
      </c>
      <c r="J353" s="85">
        <f>IF(H353,An,'2027'!An_max)</f>
        <v>2026</v>
      </c>
      <c r="K353" s="197">
        <f t="shared" si="129"/>
        <v>47091</v>
      </c>
      <c r="L353" s="147">
        <f>IF(t&lt;Tvie,1-EXP((T0-t)*PertePVj)+'2027'!Pspv,1-EXP((T0-t)*PertePVj)+Pspv)</f>
        <v>6.6846426063956743E-2</v>
      </c>
      <c r="M353" s="832"/>
      <c r="N353" s="832"/>
      <c r="O353" s="48">
        <f>IF(t&lt;Tnet,'2027'!Resal+('2027'!Salim-'2027'!Resal)*(1-EXP(('2027'!Tnet-t)/('2027'!Tau_j))),Resal+(Salim-Resal)*(1-EXP((Tnet-t)/(Tau_j))))*Salcycl</f>
        <v>2.6354763370668072E-2</v>
      </c>
      <c r="P353" s="169">
        <f>(INDEX(Models!$BJ353:$BT353,,T353)*(1-R353)+INDEX(Models!$BJ353:$BT353,,T353+1)*R353-ERP_i)*Q353*Ramure*Pc/MaxiM</f>
        <v>3.3206958100904242E-3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22.968824431467823</v>
      </c>
      <c r="W353" s="400">
        <f t="shared" si="136"/>
        <v>22.913392493582073</v>
      </c>
      <c r="X353" s="157">
        <f t="shared" si="137"/>
        <v>47091</v>
      </c>
      <c r="Y353" s="383">
        <f t="shared" si="138"/>
        <v>21.723781097093656</v>
      </c>
      <c r="Z353" s="383">
        <f t="shared" si="139"/>
        <v>23.279963452813789</v>
      </c>
      <c r="AA353" s="384">
        <f t="shared" si="140"/>
        <v>24.829946294188492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6.2423930483388859E-2</v>
      </c>
      <c r="AD353" s="230">
        <f>(INDEX(Models!$BJ353:$BT353,,AH353)*(1-AF353)+INDEX(Models!$BJ353:$BT353,,AH353+1)*AF353-ERP_i)*AE353*Ramure*Pc/MaxiM</f>
        <v>1.876722646254287E-2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'2027'!Wh/'2027'!Env_an*'2028'!Env_an</f>
        <v>11.263761659211697</v>
      </c>
      <c r="C354" s="829"/>
      <c r="D354" s="391">
        <f t="shared" si="127"/>
        <v>12.070872196588041</v>
      </c>
      <c r="E354" s="383">
        <f t="shared" si="125"/>
        <v>12.398374982621709</v>
      </c>
      <c r="F354" s="383">
        <f t="shared" si="128"/>
        <v>12.409996741432261</v>
      </c>
      <c r="G354" s="110">
        <f t="shared" si="126"/>
        <v>0.49226939928265429</v>
      </c>
      <c r="H354" s="412" t="b">
        <f>Wh_hp&gt;='2027'!Maxi_hp</f>
        <v>0</v>
      </c>
      <c r="I354" s="388">
        <f>IF(H354,Wh_hp,'2027'!Maxi_hp)</f>
        <v>18.881092862283797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6.6864309739314676E-2</v>
      </c>
      <c r="M354" s="832"/>
      <c r="N354" s="832"/>
      <c r="O354" s="48">
        <f>IF(t&lt;Tnet,'2027'!Resal+('2027'!Salim-'2027'!Resal)*(1-EXP(('2027'!Tnet-t)/('2027'!Tau_j))),Resal+(Salim-Resal)*(1-EXP((Tnet-t)/(Tau_j))))*Salcycl</f>
        <v>2.6414976679824221E-2</v>
      </c>
      <c r="P354" s="169">
        <f>(INDEX(Models!$BJ354:$BT354,,T354)*(1-R354)+INDEX(Models!$BJ354:$BT354,,T354+1)*R354-ERP_i)*Q354*Ramure*Pc/MaxiM</f>
        <v>3.3881396671081553E-3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22.825145989597178</v>
      </c>
      <c r="W354" s="400">
        <f t="shared" si="136"/>
        <v>11.263761659211697</v>
      </c>
      <c r="X354" s="157">
        <f t="shared" si="137"/>
        <v>47092</v>
      </c>
      <c r="Y354" s="383">
        <f t="shared" si="138"/>
        <v>10.801109614843355</v>
      </c>
      <c r="Z354" s="383">
        <f t="shared" si="139"/>
        <v>11.575068586033725</v>
      </c>
      <c r="AA354" s="384">
        <f t="shared" si="140"/>
        <v>12.345964750587552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6.2441144141217521E-2</v>
      </c>
      <c r="AD354" s="230">
        <f>(INDEX(Models!$BJ354:$BT354,,AH354)*(1-AF354)+INDEX(Models!$BJ354:$BT354,,AH354+1)*AF354-ERP_i)*AE354*Ramure*Pc/MaxiM</f>
        <v>1.8667512523826722E-2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'2027'!Wh/'2027'!Env_an*'2028'!Env_an</f>
        <v>20.296616266517624</v>
      </c>
      <c r="C355" s="829"/>
      <c r="D355" s="391">
        <f t="shared" si="127"/>
        <v>21.751397428944717</v>
      </c>
      <c r="E355" s="383">
        <f t="shared" si="125"/>
        <v>22.342938307023118</v>
      </c>
      <c r="F355" s="383">
        <f t="shared" si="128"/>
        <v>22.408732719887354</v>
      </c>
      <c r="G355" s="110">
        <f t="shared" si="126"/>
        <v>0.89402409547897244</v>
      </c>
      <c r="H355" s="412" t="b">
        <f>Wh_hp&gt;='2027'!Maxi_hp</f>
        <v>0</v>
      </c>
      <c r="I355" s="388">
        <f>IF(H355,Wh_hp,'2027'!Maxi_hp)</f>
        <v>22.418043522276314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6.6882193071935991E-2</v>
      </c>
      <c r="M355" s="832"/>
      <c r="N355" s="832"/>
      <c r="O355" s="48">
        <f>IF(t&lt;Tnet,'2027'!Resal+('2027'!Salim-'2027'!Resal)*(1-EXP(('2027'!Tnet-t)/('2027'!Tau_j))),Resal+(Salim-Resal)*(1-EXP((Tnet-t)/(Tau_j))))*Salcycl</f>
        <v>2.6475518571004646E-2</v>
      </c>
      <c r="P355" s="169">
        <f>(INDEX(Models!$BJ355:$BT355,,T355)*(1-R355)+INDEX(Models!$BJ355:$BT355,,T355+1)*R355-ERP_i)*Q355*Ramure*Pc/MaxiM</f>
        <v>3.4571963982305458E-3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22.690673384407017</v>
      </c>
      <c r="W355" s="400">
        <f t="shared" si="136"/>
        <v>20.296616266517624</v>
      </c>
      <c r="X355" s="157">
        <f t="shared" si="137"/>
        <v>47093</v>
      </c>
      <c r="Y355" s="383">
        <f t="shared" si="138"/>
        <v>19.294826081462215</v>
      </c>
      <c r="Z355" s="383">
        <f t="shared" si="139"/>
        <v>20.677802886414849</v>
      </c>
      <c r="AA355" s="384">
        <f t="shared" si="140"/>
        <v>22.0553659726753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6.245931661107474E-2</v>
      </c>
      <c r="AD355" s="230">
        <f>(INDEX(Models!$BJ355:$BT355,,AH355)*(1-AF355)+INDEX(Models!$BJ355:$BT355,,AH355+1)*AF355-ERP_i)*AE355*Ramure*Pc/MaxiM</f>
        <v>1.8567811346486149E-2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'2027'!Wh/'2027'!Env_an*'2028'!Env_an</f>
        <v>4.0762900845329808</v>
      </c>
      <c r="C356" s="829"/>
      <c r="D356" s="391">
        <f t="shared" si="127"/>
        <v>4.3685461545521216</v>
      </c>
      <c r="E356" s="383">
        <f t="shared" si="125"/>
        <v>4.487631654286071</v>
      </c>
      <c r="F356" s="383">
        <f t="shared" si="128"/>
        <v>4.487631654286071</v>
      </c>
      <c r="G356" s="110">
        <f t="shared" si="126"/>
        <v>0.18000130989129012</v>
      </c>
      <c r="H356" s="412" t="b">
        <f>Wh_hp&gt;='2027'!Maxi_hp</f>
        <v>0</v>
      </c>
      <c r="I356" s="388">
        <f>IF(H356,Wh_hp,'2027'!Maxi_hp)</f>
        <v>17.076709643331426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6.6900076061827463E-2</v>
      </c>
      <c r="M356" s="832"/>
      <c r="N356" s="832"/>
      <c r="O356" s="48">
        <f>IF(t&lt;Tnet,'2027'!Resal+('2027'!Salim-'2027'!Resal)*(1-EXP(('2027'!Tnet-t)/('2027'!Tau_j))),Resal+(Salim-Resal)*(1-EXP((Tnet-t)/(Tau_j))))*Salcycl</f>
        <v>2.6536380190698688E-2</v>
      </c>
      <c r="P356" s="169">
        <f>(INDEX(Models!$BJ356:$BT356,,T356)*(1-R356)+INDEX(Models!$BJ356:$BT356,,T356+1)*R356-ERP_i)*Q356*Ramure*Pc/MaxiM</f>
        <v>3.5277263173017297E-3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22.566002720635559</v>
      </c>
      <c r="W356" s="400">
        <f t="shared" si="136"/>
        <v>4.0762900845329808</v>
      </c>
      <c r="X356" s="157">
        <f t="shared" si="137"/>
        <v>47094</v>
      </c>
      <c r="Y356" s="383">
        <f t="shared" si="138"/>
        <v>3.9257860688975819</v>
      </c>
      <c r="Z356" s="383">
        <f t="shared" si="139"/>
        <v>4.2072515152811283</v>
      </c>
      <c r="AA356" s="384">
        <f t="shared" si="140"/>
        <v>4.487631654286071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6.2478420825193219E-2</v>
      </c>
      <c r="AD356" s="230">
        <f>(INDEX(Models!$BJ356:$BT356,,AH356)*(1-AF356)+INDEX(Models!$BJ356:$BT356,,AH356+1)*AF356-ERP_i)*AE356*Ramure*Pc/MaxiM</f>
        <v>1.8467502948099263E-2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'2027'!Wh/'2027'!Env_an*'2028'!Env_an</f>
        <v>4.9748192628537282</v>
      </c>
      <c r="C357" s="829"/>
      <c r="D357" s="391">
        <f t="shared" si="127"/>
        <v>5.3315989834833921</v>
      </c>
      <c r="E357" s="383">
        <f t="shared" si="125"/>
        <v>5.4772812543624703</v>
      </c>
      <c r="F357" s="383">
        <f t="shared" si="128"/>
        <v>5.4772812543624703</v>
      </c>
      <c r="G357" s="110">
        <f t="shared" si="126"/>
        <v>0.22078085062494218</v>
      </c>
      <c r="H357" s="412" t="b">
        <f>Wh_hp&gt;='2027'!Maxi_hp</f>
        <v>0</v>
      </c>
      <c r="I357" s="388">
        <f>IF(H357,Wh_hp,'2027'!Maxi_hp)</f>
        <v>11.827516861952027</v>
      </c>
      <c r="J357" s="85">
        <f>IF(H357,An,'2027'!An_max)</f>
        <v>2018</v>
      </c>
      <c r="K357" s="197">
        <f t="shared" si="129"/>
        <v>47095</v>
      </c>
      <c r="L357" s="147">
        <f>IF(t&lt;Tvie,1-EXP((T0-t)*PertePVj)+'2027'!Pspv,1-EXP((T0-t)*PertePVj)+Pspv)</f>
        <v>6.6917958708995418E-2</v>
      </c>
      <c r="M357" s="832"/>
      <c r="N357" s="832"/>
      <c r="O357" s="48">
        <f>IF(t&lt;Tnet,'2027'!Resal+('2027'!Salim-'2027'!Resal)*(1-EXP(('2027'!Tnet-t)/('2027'!Tau_j))),Resal+(Salim-Resal)*(1-EXP((Tnet-t)/(Tau_j))))*Salcycl</f>
        <v>2.6597551616150239E-2</v>
      </c>
      <c r="P357" s="169">
        <f>(INDEX(Models!$BJ357:$BT357,,T357)*(1-R357)+INDEX(Models!$BJ357:$BT357,,T357+1)*R357-ERP_i)*Q357*Ramure*Pc/MaxiM</f>
        <v>3.5995742630937069E-3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22.451729927847389</v>
      </c>
      <c r="W357" s="400">
        <f t="shared" si="136"/>
        <v>4.9748192628537282</v>
      </c>
      <c r="X357" s="157">
        <f t="shared" si="137"/>
        <v>47095</v>
      </c>
      <c r="Y357" s="383">
        <f t="shared" si="138"/>
        <v>4.7913387621507626</v>
      </c>
      <c r="Z357" s="383">
        <f t="shared" si="139"/>
        <v>5.1349597893037426</v>
      </c>
      <c r="AA357" s="384">
        <f t="shared" si="140"/>
        <v>5.4772812543624703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6.2498427442644118E-2</v>
      </c>
      <c r="AD357" s="230">
        <f>(INDEX(Models!$BJ357:$BT357,,AH357)*(1-AF357)+INDEX(Models!$BJ357:$BT357,,AH357+1)*AF357-ERP_i)*AE357*Ramure*Pc/MaxiM</f>
        <v>1.8365959144212015E-2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'2027'!Wh/'2027'!Env_an*'2028'!Env_an</f>
        <v>12.042679268778121</v>
      </c>
      <c r="C358" s="829"/>
      <c r="D358" s="391">
        <f t="shared" si="127"/>
        <v>12.906592920532134</v>
      </c>
      <c r="E358" s="383">
        <f t="shared" si="125"/>
        <v>13.260094059098265</v>
      </c>
      <c r="F358" s="383">
        <f t="shared" si="128"/>
        <v>13.276732247480673</v>
      </c>
      <c r="G358" s="110">
        <f t="shared" si="126"/>
        <v>0.53755434549689995</v>
      </c>
      <c r="H358" s="412" t="b">
        <f>Wh_hp&gt;='2027'!Maxi_hp</f>
        <v>0</v>
      </c>
      <c r="I358" s="388">
        <f>IF(H358,Wh_hp,'2027'!Maxi_hp)</f>
        <v>21.581579026303849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6.6935841013446518E-2</v>
      </c>
      <c r="M358" s="832"/>
      <c r="N358" s="832"/>
      <c r="O358" s="48">
        <f>IF(t&lt;Tnet,'2027'!Resal+('2027'!Salim-'2027'!Resal)*(1-EXP(('2027'!Tnet-t)/('2027'!Tau_j))),Resal+(Salim-Resal)*(1-EXP((Tnet-t)/(Tau_j))))*Salcycl</f>
        <v>2.6659021948911434E-2</v>
      </c>
      <c r="P358" s="169">
        <f>(INDEX(Models!$BJ358:$BT358,,T358)*(1-R358)+INDEX(Models!$BJ358:$BT358,,T358+1)*R358-ERP_i)*Q358*Ramure*Pc/MaxiM</f>
        <v>3.6725694297148454E-3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22.348450771876077</v>
      </c>
      <c r="W358" s="400">
        <f t="shared" si="136"/>
        <v>12.042679268778121</v>
      </c>
      <c r="X358" s="157">
        <f t="shared" si="137"/>
        <v>47096</v>
      </c>
      <c r="Y358" s="383">
        <f t="shared" si="138"/>
        <v>11.541179057879962</v>
      </c>
      <c r="Z358" s="383">
        <f t="shared" si="139"/>
        <v>12.369116257145061</v>
      </c>
      <c r="AA358" s="384">
        <f t="shared" si="140"/>
        <v>13.193995699646875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6.2519305089957802E-2</v>
      </c>
      <c r="AD358" s="230">
        <f>(INDEX(Models!$BJ358:$BT358,,AH358)*(1-AF358)+INDEX(Models!$BJ358:$BT358,,AH358+1)*AF358-ERP_i)*AE358*Ramure*Pc/MaxiM</f>
        <v>1.8262548139904453E-2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'2027'!Wh/'2027'!Env_an*'2028'!Env_an</f>
        <v>17.230971839150033</v>
      </c>
      <c r="C359" s="829"/>
      <c r="D359" s="391">
        <f t="shared" si="127"/>
        <v>18.467435392480329</v>
      </c>
      <c r="E359" s="383">
        <f t="shared" si="125"/>
        <v>18.97444741637154</v>
      </c>
      <c r="F359" s="383">
        <f t="shared" si="128"/>
        <v>19.022740605781074</v>
      </c>
      <c r="G359" s="110">
        <f t="shared" si="126"/>
        <v>0.77334027974559838</v>
      </c>
      <c r="H359" s="412" t="b">
        <f>Wh_hp&gt;='2027'!Maxi_hp</f>
        <v>0</v>
      </c>
      <c r="I359" s="388">
        <f>IF(H359,Wh_hp,'2027'!Maxi_hp)</f>
        <v>19.041049198929276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6.6953722975187313E-2</v>
      </c>
      <c r="M359" s="832"/>
      <c r="N359" s="832"/>
      <c r="O359" s="48">
        <f>IF(t&lt;Tnet,'2027'!Resal+('2027'!Salim-'2027'!Resal)*(1-EXP(('2027'!Tnet-t)/('2027'!Tau_j))),Resal+(Salim-Resal)*(1-EXP((Tnet-t)/(Tau_j))))*Salcycl</f>
        <v>2.6720779412724761E-2</v>
      </c>
      <c r="P359" s="169">
        <f>(INDEX(Models!$BJ359:$BT359,,T359)*(1-R359)+INDEX(Models!$BJ359:$BT359,,T359+1)*R359-ERP_i)*Q359*Ramure*Pc/MaxiM</f>
        <v>3.7469483162112997E-3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22.254239371570563</v>
      </c>
      <c r="W359" s="400">
        <f t="shared" si="136"/>
        <v>17.230971839150033</v>
      </c>
      <c r="X359" s="157">
        <f t="shared" si="137"/>
        <v>47097</v>
      </c>
      <c r="Y359" s="383">
        <f t="shared" si="138"/>
        <v>16.434336361965364</v>
      </c>
      <c r="Z359" s="383">
        <f t="shared" si="139"/>
        <v>17.613634786014288</v>
      </c>
      <c r="AA359" s="384">
        <f t="shared" si="140"/>
        <v>18.788699210556317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6.2541020608910869E-2</v>
      </c>
      <c r="AD359" s="230">
        <f>(INDEX(Models!$BJ359:$BT359,,AH359)*(1-AF359)+INDEX(Models!$BJ359:$BT359,,AH359+1)*AF359-ERP_i)*AE359*Ramure*Pc/MaxiM</f>
        <v>1.815868909225524E-2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'2027'!Wh/'2027'!Env_an*'2028'!Env_an</f>
        <v>5.2660788972076622</v>
      </c>
      <c r="C360" s="829"/>
      <c r="D360" s="391">
        <f t="shared" si="127"/>
        <v>5.644071416408968</v>
      </c>
      <c r="E360" s="383">
        <f t="shared" si="125"/>
        <v>5.7993955335361438</v>
      </c>
      <c r="F360" s="383">
        <f t="shared" si="128"/>
        <v>5.7993955335361438</v>
      </c>
      <c r="G360" s="110">
        <f t="shared" si="126"/>
        <v>0.23665475828777344</v>
      </c>
      <c r="H360" s="412" t="b">
        <f>Wh_hp&gt;='2027'!Maxi_hp</f>
        <v>0</v>
      </c>
      <c r="I360" s="388">
        <f>IF(H360,Wh_hp,'2027'!Maxi_hp)</f>
        <v>23.902821263615333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6.6971604594224465E-2</v>
      </c>
      <c r="M360" s="832"/>
      <c r="N360" s="832"/>
      <c r="O360" s="48">
        <f>IF(t&lt;Tnet,'2027'!Resal+('2027'!Salim-'2027'!Resal)*(1-EXP(('2027'!Tnet-t)/('2027'!Tau_j))),Resal+(Salim-Resal)*(1-EXP((Tnet-t)/(Tau_j))))*Salcycl</f>
        <v>2.6782811454915116E-2</v>
      </c>
      <c r="P360" s="169">
        <f>(INDEX(Models!$BJ360:$BT360,,T360)*(1-R360)+INDEX(Models!$BJ360:$BT360,,T360+1)*R360-ERP_i)*Q360*Ramure*Pc/MaxiM</f>
        <v>3.8229865937398863E-3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22.167087558843679</v>
      </c>
      <c r="W360" s="400">
        <f t="shared" si="136"/>
        <v>5.2660788972076622</v>
      </c>
      <c r="X360" s="157">
        <f t="shared" si="137"/>
        <v>47098</v>
      </c>
      <c r="Y360" s="383">
        <f t="shared" si="138"/>
        <v>5.0724693534187884</v>
      </c>
      <c r="Z360" s="383">
        <f t="shared" si="139"/>
        <v>5.4365648231024775</v>
      </c>
      <c r="AA360" s="384">
        <f t="shared" si="140"/>
        <v>5.7993955335361438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6.2563539309489505E-2</v>
      </c>
      <c r="AD360" s="230">
        <f>(INDEX(Models!$BJ360:$BT360,,AH360)*(1-AF360)+INDEX(Models!$BJ360:$BT360,,AH360+1)*AF360-ERP_i)*AE360*Ramure*Pc/MaxiM</f>
        <v>1.8055856873065178E-2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'2027'!Wh/'2027'!Env_an*'2028'!Env_an</f>
        <v>5.3314363719474294</v>
      </c>
      <c r="C361" s="829"/>
      <c r="D361" s="391">
        <f t="shared" si="127"/>
        <v>5.7142296803825783</v>
      </c>
      <c r="E361" s="383">
        <f t="shared" ref="E361:E380" si="150">Wh_pvt/(1-Psa)</f>
        <v>5.8718603881702229</v>
      </c>
      <c r="F361" s="383">
        <f t="shared" si="128"/>
        <v>5.8718603881702229</v>
      </c>
      <c r="G361" s="110">
        <f t="shared" ref="G361:G380" si="151">+Wh_hp/MaxiM</f>
        <v>0.24043683805755106</v>
      </c>
      <c r="H361" s="412" t="b">
        <f>Wh_hp&gt;='2027'!Maxi_hp</f>
        <v>0</v>
      </c>
      <c r="I361" s="388">
        <f>IF(H361,Wh_hp,'2027'!Maxi_hp)</f>
        <v>25.0294040728553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6.6989485870564414E-2</v>
      </c>
      <c r="M361" s="832"/>
      <c r="N361" s="832"/>
      <c r="O361" s="48">
        <f>IF(t&lt;Tnet,'2027'!Resal+('2027'!Salim-'2027'!Resal)*(1-EXP(('2027'!Tnet-t)/('2027'!Tau_j))),Resal+(Salim-Resal)*(1-EXP((Tnet-t)/(Tau_j))))*Salcycl</f>
        <v>2.6845104850451915E-2</v>
      </c>
      <c r="P361" s="169">
        <f>(INDEX(Models!$BJ361:$BT361,,T361)*(1-R361)+INDEX(Models!$BJ361:$BT361,,T361+1)*R361-ERP_i)*Q361*Ramure*Pc/MaxiM</f>
        <v>3.8917687394399792E-3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22.087662179568351</v>
      </c>
      <c r="W361" s="400">
        <f t="shared" si="136"/>
        <v>5.3314363719474294</v>
      </c>
      <c r="X361" s="157">
        <f t="shared" si="137"/>
        <v>47099</v>
      </c>
      <c r="Y361" s="383">
        <f t="shared" si="138"/>
        <v>5.1356250895338471</v>
      </c>
      <c r="Z361" s="383">
        <f t="shared" si="139"/>
        <v>5.5043592883042125</v>
      </c>
      <c r="AA361" s="384">
        <f t="shared" si="140"/>
        <v>5.8718603881702229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6.2586825226021797E-2</v>
      </c>
      <c r="AD361" s="230">
        <f>(INDEX(Models!$BJ361:$BT361,,AH361)*(1-AF361)+INDEX(Models!$BJ361:$BT361,,AH361+1)*AF361-ERP_i)*AE361*Ramure*Pc/MaxiM</f>
        <v>1.7960273201517333E-2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'2027'!Wh/'2027'!Env_an*'2028'!Env_an</f>
        <v>17.02351791779035</v>
      </c>
      <c r="C362" s="829"/>
      <c r="D362" s="391">
        <f t="shared" si="127"/>
        <v>18.24614398023656</v>
      </c>
      <c r="E362" s="383">
        <f t="shared" si="150"/>
        <v>18.750680653928157</v>
      </c>
      <c r="F362" s="383">
        <f t="shared" si="128"/>
        <v>18.800924888494311</v>
      </c>
      <c r="G362" s="110">
        <f t="shared" si="151"/>
        <v>0.77222577167352435</v>
      </c>
      <c r="H362" s="412" t="b">
        <f>Wh_hp&gt;='2027'!Maxi_hp</f>
        <v>0</v>
      </c>
      <c r="I362" s="388">
        <f>IF(H362,Wh_hp,'2027'!Maxi_hp)</f>
        <v>24.68921870882129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6.7007366804213819E-2</v>
      </c>
      <c r="M362" s="832"/>
      <c r="N362" s="832"/>
      <c r="O362" s="48">
        <f>IF(t&lt;Tnet,'2027'!Resal+('2027'!Salim-'2027'!Resal)*(1-EXP(('2027'!Tnet-t)/('2027'!Tau_j))),Resal+(Salim-Resal)*(1-EXP((Tnet-t)/(Tau_j))))*Salcycl</f>
        <v>2.6907645807828388E-2</v>
      </c>
      <c r="P362" s="169">
        <f>(INDEX(Models!$BJ362:$BT362,,T362)*(1-R362)+INDEX(Models!$BJ362:$BT362,,T362+1)*R362-ERP_i)*Q362*Ramure*Pc/MaxiM</f>
        <v>3.9531488199266327E-3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22.016433343480202</v>
      </c>
      <c r="W362" s="400">
        <f t="shared" si="136"/>
        <v>17.02351791779035</v>
      </c>
      <c r="X362" s="157">
        <f t="shared" si="137"/>
        <v>47100</v>
      </c>
      <c r="Y362" s="383">
        <f t="shared" si="138"/>
        <v>16.244204837141538</v>
      </c>
      <c r="Z362" s="383">
        <f t="shared" si="139"/>
        <v>17.410860771215471</v>
      </c>
      <c r="AA362" s="384">
        <f t="shared" si="140"/>
        <v>18.573780815584247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6.2610841374473092E-2</v>
      </c>
      <c r="AD362" s="230">
        <f>(INDEX(Models!$BJ362:$BT362,,AH362)*(1-AF362)+INDEX(Models!$BJ362:$BT362,,AH362+1)*AF362-ERP_i)*AE362*Ramure*Pc/MaxiM</f>
        <v>1.7871390250666554E-2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'2027'!Wh/'2027'!Env_an*'2028'!Env_an</f>
        <v>5.817686572230623</v>
      </c>
      <c r="C363" s="829"/>
      <c r="D363" s="391">
        <f t="shared" si="127"/>
        <v>6.2356313029778363</v>
      </c>
      <c r="E363" s="383">
        <f t="shared" si="150"/>
        <v>6.4084704428659176</v>
      </c>
      <c r="F363" s="383">
        <f t="shared" si="128"/>
        <v>6.4084704428659176</v>
      </c>
      <c r="G363" s="110">
        <f t="shared" si="151"/>
        <v>0.26393409901361625</v>
      </c>
      <c r="H363" s="412" t="b">
        <f>Wh_hp&gt;='2027'!Maxi_hp</f>
        <v>0</v>
      </c>
      <c r="I363" s="388">
        <f>IF(H363,Wh_hp,'2027'!Maxi_hp)</f>
        <v>24.850474320764231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6.7025247395179233E-2</v>
      </c>
      <c r="M363" s="832"/>
      <c r="N363" s="832"/>
      <c r="O363" s="48">
        <f>IF(t&lt;Tnet,'2027'!Resal+('2027'!Salim-'2027'!Resal)*(1-EXP(('2027'!Tnet-t)/('2027'!Tau_j))),Resal+(Salim-Resal)*(1-EXP((Tnet-t)/(Tau_j))))*Salcycl</f>
        <v>2.6970420075899761E-2</v>
      </c>
      <c r="P363" s="169">
        <f>(INDEX(Models!$BJ363:$BT363,,T363)*(1-R363)+INDEX(Models!$BJ363:$BT363,,T363+1)*R363-ERP_i)*Q363*Ramure*Pc/MaxiM</f>
        <v>4.0069757403960928E-3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21.953871306986894</v>
      </c>
      <c r="W363" s="400">
        <f t="shared" si="136"/>
        <v>5.817686572230623</v>
      </c>
      <c r="X363" s="157">
        <f t="shared" si="137"/>
        <v>47101</v>
      </c>
      <c r="Y363" s="383">
        <f t="shared" si="138"/>
        <v>5.604446860109686</v>
      </c>
      <c r="Z363" s="383">
        <f t="shared" si="139"/>
        <v>6.0070723719611268</v>
      </c>
      <c r="AA363" s="384">
        <f t="shared" si="140"/>
        <v>6.4084704428659176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6.2635550008916366E-2</v>
      </c>
      <c r="AD363" s="230">
        <f>(INDEX(Models!$BJ363:$BT363,,AH363)*(1-AF363)+INDEX(Models!$BJ363:$BT363,,AH363+1)*AF363-ERP_i)*AE363*Ramure*Pc/MaxiM</f>
        <v>1.7788659124500682E-2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'2027'!Wh/'2027'!Env_an*'2028'!Env_an</f>
        <v>5.1382729880492182</v>
      </c>
      <c r="C364" s="829"/>
      <c r="D364" s="391">
        <f t="shared" si="127"/>
        <v>5.5075139487108125</v>
      </c>
      <c r="E364" s="383">
        <f t="shared" si="150"/>
        <v>5.6605375997341456</v>
      </c>
      <c r="F364" s="383">
        <f t="shared" si="128"/>
        <v>5.6605375997341456</v>
      </c>
      <c r="G364" s="110">
        <f t="shared" si="151"/>
        <v>0.23366861876635886</v>
      </c>
      <c r="H364" s="412" t="b">
        <f>Wh_hp&gt;='2027'!Maxi_hp</f>
        <v>0</v>
      </c>
      <c r="I364" s="388">
        <f>IF(H364,Wh_hp,'2027'!Maxi_hp)</f>
        <v>24.489416018785828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6.7043127643467093E-2</v>
      </c>
      <c r="M364" s="832"/>
      <c r="N364" s="832"/>
      <c r="O364" s="48">
        <f>IF(t&lt;Tnet,'2027'!Resal+('2027'!Salim-'2027'!Resal)*(1-EXP(('2027'!Tnet-t)/('2027'!Tau_j))),Resal+(Salim-Resal)*(1-EXP((Tnet-t)/(Tau_j))))*Salcycl</f>
        <v>2.7033413050823921E-2</v>
      </c>
      <c r="P364" s="169">
        <f>(INDEX(Models!$BJ364:$BT364,,T364)*(1-R364)+INDEX(Models!$BJ364:$BT364,,T364+1)*R364-ERP_i)*Q364*Ramure*Pc/MaxiM</f>
        <v>4.0530963051370501E-3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21.900446451919226</v>
      </c>
      <c r="W364" s="400">
        <f t="shared" si="136"/>
        <v>5.1382729880492182</v>
      </c>
      <c r="X364" s="157">
        <f t="shared" si="137"/>
        <v>47102</v>
      </c>
      <c r="Y364" s="383">
        <f t="shared" si="138"/>
        <v>4.9501228270519508</v>
      </c>
      <c r="Z364" s="383">
        <f t="shared" si="139"/>
        <v>5.3058431463702673</v>
      </c>
      <c r="AA364" s="384">
        <f t="shared" si="140"/>
        <v>5.6605375997341456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6.2660912875225336E-2</v>
      </c>
      <c r="AD364" s="230">
        <f>(INDEX(Models!$BJ364:$BT364,,AH364)*(1-AF364)+INDEX(Models!$BJ364:$BT364,,AH364+1)*AF364-ERP_i)*AE364*Ramure*Pc/MaxiM</f>
        <v>1.7711531194581607E-2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'2027'!Wh/'2027'!Env_an*'2028'!Env_an</f>
        <v>3.4834805888659326</v>
      </c>
      <c r="C365" s="829"/>
      <c r="D365" s="391">
        <f t="shared" si="127"/>
        <v>3.7338782246784556</v>
      </c>
      <c r="E365" s="383">
        <f t="shared" si="150"/>
        <v>3.8378715323692911</v>
      </c>
      <c r="F365" s="383">
        <f t="shared" si="128"/>
        <v>3.8378715323692911</v>
      </c>
      <c r="G365" s="110">
        <f t="shared" si="151"/>
        <v>0.15872659880788834</v>
      </c>
      <c r="H365" s="412" t="b">
        <f>Wh_hp&gt;='2027'!Maxi_hp</f>
        <v>0</v>
      </c>
      <c r="I365" s="388">
        <f>IF(H365,Wh_hp,'2027'!Maxi_hp)</f>
        <v>24.995973707121568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6.7061007549084173E-2</v>
      </c>
      <c r="M365" s="832"/>
      <c r="N365" s="832"/>
      <c r="O365" s="48">
        <f>IF(t&lt;Tnet,'2027'!Resal+('2027'!Salim-'2027'!Resal)*(1-EXP(('2027'!Tnet-t)/('2027'!Tau_j))),Resal+(Salim-Resal)*(1-EXP((Tnet-t)/(Tau_j))))*Salcycl</f>
        <v>2.7096609882258232E-2</v>
      </c>
      <c r="P365" s="169">
        <f>(INDEX(Models!$BJ365:$BT365,,T365)*(1-R365)+INDEX(Models!$BJ365:$BT365,,T365+1)*R365-ERP_i)*Q365*Ramure*Pc/MaxiM</f>
        <v>4.0913584471694723E-3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21.856629242916231</v>
      </c>
      <c r="W365" s="400">
        <f t="shared" si="136"/>
        <v>3.4834805888659326</v>
      </c>
      <c r="X365" s="157">
        <f t="shared" si="137"/>
        <v>47103</v>
      </c>
      <c r="Y365" s="383">
        <f t="shared" si="138"/>
        <v>3.356049585656407</v>
      </c>
      <c r="Z365" s="383">
        <f t="shared" si="139"/>
        <v>3.5972872961818849</v>
      </c>
      <c r="AA365" s="384">
        <f t="shared" si="140"/>
        <v>3.8378715323692911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6.2686891460090821E-2</v>
      </c>
      <c r="AD365" s="230">
        <f>(INDEX(Models!$BJ365:$BT365,,AH365)*(1-AF365)+INDEX(Models!$BJ365:$BT365,,AH365+1)*AF365-ERP_i)*AE365*Ramure*Pc/MaxiM</f>
        <v>1.7639459613581633E-2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'2027'!Wh/'2027'!Env_an*'2028'!Env_an</f>
        <v>20.77873859099827</v>
      </c>
      <c r="C366" s="829"/>
      <c r="D366" s="391">
        <f t="shared" si="127"/>
        <v>22.272771302897549</v>
      </c>
      <c r="E366" s="383">
        <f t="shared" si="150"/>
        <v>22.894588217648636</v>
      </c>
      <c r="F366" s="383">
        <f t="shared" si="128"/>
        <v>22.982759343530525</v>
      </c>
      <c r="G366" s="110">
        <f t="shared" si="151"/>
        <v>0.95188076460880888</v>
      </c>
      <c r="H366" s="412" t="b">
        <f>Wh_hp&gt;='2027'!Maxi_hp</f>
        <v>0</v>
      </c>
      <c r="I366" s="388">
        <f>IF(H366,Wh_hp,'2027'!Maxi_hp)</f>
        <v>25.161787004742354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6.7078887112036911E-2</v>
      </c>
      <c r="M366" s="832"/>
      <c r="N366" s="832"/>
      <c r="O366" s="48">
        <f>IF(t&lt;Tnet,'2027'!Resal+('2027'!Salim-'2027'!Resal)*(1-EXP(('2027'!Tnet-t)/('2027'!Tau_j))),Resal+(Salim-Resal)*(1-EXP((Tnet-t)/(Tau_j))))*Salcycl</f>
        <v>2.7159995577983358E-2</v>
      </c>
      <c r="P366" s="169">
        <f>(INDEX(Models!$BJ366:$BT366,,T366)*(1-R366)+INDEX(Models!$BJ366:$BT366,,T366+1)*R366-ERP_i)*Q366*Ramure*Pc/MaxiM</f>
        <v>4.1178913245400323E-3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21.82297180978701</v>
      </c>
      <c r="W366" s="400">
        <f t="shared" si="136"/>
        <v>20.77873859099827</v>
      </c>
      <c r="X366" s="157">
        <f t="shared" si="137"/>
        <v>47104</v>
      </c>
      <c r="Y366" s="383">
        <f t="shared" si="138"/>
        <v>19.767351167515702</v>
      </c>
      <c r="Z366" s="383">
        <f t="shared" si="139"/>
        <v>21.188663108206036</v>
      </c>
      <c r="AA366" s="384">
        <f t="shared" si="140"/>
        <v>22.606387604373616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6.2713447233528646E-2</v>
      </c>
      <c r="AD366" s="230">
        <f>(INDEX(Models!$BJ366:$BT366,,AH366)*(1-AF366)+INDEX(Models!$BJ366:$BT366,,AH366+1)*AF366-ERP_i)*AE366*Ramure*Pc/MaxiM</f>
        <v>1.7577839728988055E-2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'2027'!Wh/'2027'!Env_an*'2028'!Env_an</f>
        <v>17.681495082505151</v>
      </c>
      <c r="C367" s="829"/>
      <c r="D367" s="391">
        <f t="shared" si="127"/>
        <v>18.953193047676692</v>
      </c>
      <c r="E367" s="383">
        <f t="shared" si="150"/>
        <v>19.483606071223143</v>
      </c>
      <c r="F367" s="383">
        <f t="shared" si="128"/>
        <v>19.542617256929034</v>
      </c>
      <c r="G367" s="110">
        <f t="shared" si="151"/>
        <v>0.8101744043121466</v>
      </c>
      <c r="H367" s="412" t="b">
        <f>Wh_hp&gt;='2027'!Maxi_hp</f>
        <v>0</v>
      </c>
      <c r="I367" s="388">
        <f>IF(H367,Wh_hp,'2027'!Maxi_hp)</f>
        <v>24.884744497458982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6.7096766332331859E-2</v>
      </c>
      <c r="M367" s="832"/>
      <c r="N367" s="832"/>
      <c r="O367" s="48">
        <f>IF(t&lt;Tnet,'2027'!Resal+('2027'!Salim-'2027'!Resal)*(1-EXP(('2027'!Tnet-t)/('2027'!Tau_j))),Resal+(Salim-Resal)*(1-EXP((Tnet-t)/(Tau_j))))*Salcycl</f>
        <v>2.722355510614952E-2</v>
      </c>
      <c r="P367" s="169">
        <f>(INDEX(Models!$BJ367:$BT367,,T367)*(1-R367)+INDEX(Models!$BJ367:$BT367,,T367+1)*R367-ERP_i)*Q367*Ramure*Pc/MaxiM</f>
        <v>4.1357919169441107E-3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21.799873634830437</v>
      </c>
      <c r="W367" s="400">
        <f t="shared" si="136"/>
        <v>17.681495082505151</v>
      </c>
      <c r="X367" s="157">
        <f t="shared" si="137"/>
        <v>47105</v>
      </c>
      <c r="Y367" s="383">
        <f t="shared" si="138"/>
        <v>16.868905458934623</v>
      </c>
      <c r="Z367" s="383">
        <f t="shared" si="139"/>
        <v>18.082159917717576</v>
      </c>
      <c r="AA367" s="384">
        <f t="shared" si="140"/>
        <v>19.292587299196814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6.2740541883131967E-2</v>
      </c>
      <c r="AD367" s="230">
        <f>(INDEX(Models!$BJ367:$BT367,,AH367)*(1-AF367)+INDEX(Models!$BJ367:$BT367,,AH367+1)*AF367-ERP_i)*AE367*Ramure*Pc/MaxiM</f>
        <v>1.7523319787820672E-2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'2027'!Wh/'2027'!Env_an*'2028'!Env_an</f>
        <v>4.5068384194240005</v>
      </c>
      <c r="C368" s="829"/>
      <c r="D368" s="391">
        <f t="shared" si="127"/>
        <v>4.8310742539616873</v>
      </c>
      <c r="E368" s="383">
        <f t="shared" si="150"/>
        <v>4.9665992047999961</v>
      </c>
      <c r="F368" s="383">
        <f t="shared" si="128"/>
        <v>4.9665992047999961</v>
      </c>
      <c r="G368" s="110">
        <f t="shared" si="151"/>
        <v>0.20599403164249708</v>
      </c>
      <c r="H368" s="412" t="b">
        <f>Wh_hp&gt;='2027'!Maxi_hp</f>
        <v>0</v>
      </c>
      <c r="I368" s="388">
        <f>IF(H368,Wh_hp,'2027'!Maxi_hp)</f>
        <v>24.174700505084488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6.7114645209975676E-2</v>
      </c>
      <c r="M368" s="832"/>
      <c r="N368" s="832"/>
      <c r="O368" s="48">
        <f>IF(t&lt;Tnet,'2027'!Resal+('2027'!Salim-'2027'!Resal)*(1-EXP(('2027'!Tnet-t)/('2027'!Tau_j))),Resal+(Salim-Resal)*(1-EXP((Tnet-t)/(Tau_j))))*Salcycl</f>
        <v>2.7287273494372058E-2</v>
      </c>
      <c r="P368" s="169">
        <f>(INDEX(Models!$BJ368:$BT368,,T368)*(1-R368)+INDEX(Models!$BJ368:$BT368,,T368+1)*R368-ERP_i)*Q368*Ramure*Pc/MaxiM</f>
        <v>4.1449374744606986E-3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21.787805307666368</v>
      </c>
      <c r="W368" s="400">
        <f t="shared" si="136"/>
        <v>4.5068384194240005</v>
      </c>
      <c r="X368" s="157">
        <f t="shared" si="137"/>
        <v>47106</v>
      </c>
      <c r="Y368" s="383">
        <f t="shared" si="138"/>
        <v>4.3424460794548123</v>
      </c>
      <c r="Z368" s="383">
        <f t="shared" si="139"/>
        <v>4.6548550228149077</v>
      </c>
      <c r="AA368" s="384">
        <f t="shared" si="140"/>
        <v>4.9665992047999961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6.2768137538418922E-2</v>
      </c>
      <c r="AD368" s="230">
        <f>(INDEX(Models!$BJ368:$BT368,,AH368)*(1-AF368)+INDEX(Models!$BJ368:$BT368,,AH368+1)*AF368-ERP_i)*AE368*Ramure*Pc/MaxiM</f>
        <v>1.7475350104110297E-2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'2027'!Wh/'2027'!Env_an*'2028'!Env_an</f>
        <v>20.634306464367047</v>
      </c>
      <c r="C369" s="829"/>
      <c r="D369" s="391">
        <f t="shared" si="127"/>
        <v>22.119225923925434</v>
      </c>
      <c r="E369" s="383">
        <f t="shared" si="150"/>
        <v>22.741224239191137</v>
      </c>
      <c r="F369" s="383">
        <f t="shared" si="128"/>
        <v>22.82870053836772</v>
      </c>
      <c r="G369" s="110">
        <f t="shared" si="151"/>
        <v>0.94678435432955366</v>
      </c>
      <c r="H369" s="412" t="b">
        <f>Wh_hp&gt;='2027'!Maxi_hp</f>
        <v>0</v>
      </c>
      <c r="I369" s="388">
        <f>IF(H369,Wh_hp,'2027'!Maxi_hp)</f>
        <v>22.834297883487768</v>
      </c>
      <c r="J369" s="85">
        <f>IF(H369,An,'2027'!An_max)</f>
        <v>2026</v>
      </c>
      <c r="K369" s="197">
        <f t="shared" si="129"/>
        <v>47107</v>
      </c>
      <c r="L369" s="147">
        <f>IF(t&lt;Tvie,1-EXP((T0-t)*PertePVj)+'2027'!Pspv,1-EXP((T0-t)*PertePVj)+Pspv)</f>
        <v>6.7132523744974915E-2</v>
      </c>
      <c r="M369" s="832"/>
      <c r="N369" s="832"/>
      <c r="O369" s="48">
        <f>IF(t&lt;Tnet,'2027'!Resal+('2027'!Salim-'2027'!Resal)*(1-EXP(('2027'!Tnet-t)/('2027'!Tau_j))),Resal+(Salim-Resal)*(1-EXP((Tnet-t)/(Tau_j))))*Salcycl</f>
        <v>2.7351135924942056E-2</v>
      </c>
      <c r="P369" s="169">
        <f>(INDEX(Models!$BJ369:$BT369,,T369)*(1-R369)+INDEX(Models!$BJ369:$BT369,,T369+1)*R369-ERP_i)*Q369*Ramure*Pc/MaxiM</f>
        <v>4.1452215182915756E-3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21.787237424221622</v>
      </c>
      <c r="W369" s="400">
        <f t="shared" si="136"/>
        <v>20.634306464367047</v>
      </c>
      <c r="X369" s="157">
        <f t="shared" si="137"/>
        <v>47107</v>
      </c>
      <c r="Y369" s="383">
        <f t="shared" si="138"/>
        <v>19.637188757432575</v>
      </c>
      <c r="Z369" s="383">
        <f t="shared" si="139"/>
        <v>21.050352013841898</v>
      </c>
      <c r="AA369" s="384">
        <f t="shared" si="140"/>
        <v>22.460805159021163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6.2796196983738575E-2</v>
      </c>
      <c r="AD369" s="230">
        <f>(INDEX(Models!$BJ369:$BT369,,AH369)*(1-AF369)+INDEX(Models!$BJ369:$BT369,,AH369+1)*AF369-ERP_i)*AE369*Ramure*Pc/MaxiM</f>
        <v>1.7433383182671701E-2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'2027'!Wh/'2027'!Env_an*'2028'!Env_an</f>
        <v>17.445820817661648</v>
      </c>
      <c r="C370" s="829"/>
      <c r="D370" s="391">
        <f t="shared" si="127"/>
        <v>18.701643709653748</v>
      </c>
      <c r="E370" s="383">
        <f t="shared" si="150"/>
        <v>19.22880382443126</v>
      </c>
      <c r="F370" s="383">
        <f t="shared" si="128"/>
        <v>19.285823452698093</v>
      </c>
      <c r="G370" s="110">
        <f t="shared" si="151"/>
        <v>0.79936974216742784</v>
      </c>
      <c r="H370" s="412" t="b">
        <f>Wh_hp&gt;='2027'!Maxi_hp</f>
        <v>0</v>
      </c>
      <c r="I370" s="388">
        <f>IF(H370,Wh_hp,'2027'!Maxi_hp)</f>
        <v>24.5370383220707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6.7150401937336013E-2</v>
      </c>
      <c r="M370" s="832"/>
      <c r="N370" s="832"/>
      <c r="O370" s="48">
        <f>IF(t&lt;Tnet,'2027'!Resal+('2027'!Salim-'2027'!Resal)*(1-EXP(('2027'!Tnet-t)/('2027'!Tau_j))),Resal+(Salim-Resal)*(1-EXP((Tnet-t)/(Tau_j))))*Salcycl</f>
        <v>2.7415127825461735E-2</v>
      </c>
      <c r="P370" s="169">
        <f>(INDEX(Models!$BJ370:$BT370,,T370)*(1-R370)+INDEX(Models!$BJ370:$BT370,,T370+1)*R370-ERP_i)*Q370*Ramure*Pc/MaxiM</f>
        <v>4.1365573231941198E-3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21.798640569658975</v>
      </c>
      <c r="W370" s="400">
        <f t="shared" si="136"/>
        <v>17.445820817661648</v>
      </c>
      <c r="X370" s="157">
        <f t="shared" si="137"/>
        <v>47108</v>
      </c>
      <c r="Y370" s="383">
        <f t="shared" si="138"/>
        <v>16.650860860316872</v>
      </c>
      <c r="Z370" s="383">
        <f t="shared" si="139"/>
        <v>17.849459221397826</v>
      </c>
      <c r="AA370" s="384">
        <f t="shared" si="140"/>
        <v>19.046019366881644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6.28246838583221E-2</v>
      </c>
      <c r="AD370" s="230">
        <f>(INDEX(Models!$BJ370:$BT370,,AH370)*(1-AF370)+INDEX(Models!$BJ370:$BT370,,AH370+1)*AF370-ERP_i)*AE370*Ramure*Pc/MaxiM</f>
        <v>1.7396875031767536E-2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'2027'!Wh/'2027'!Env_an*'2028'!Env_an</f>
        <v>17.680206798140201</v>
      </c>
      <c r="C371" s="829"/>
      <c r="D371" s="391">
        <f t="shared" si="127"/>
        <v>18.953265004865404</v>
      </c>
      <c r="E371" s="383">
        <f t="shared" si="150"/>
        <v>19.488802384568192</v>
      </c>
      <c r="F371" s="383">
        <f t="shared" si="128"/>
        <v>19.547483191467997</v>
      </c>
      <c r="G371" s="110">
        <f t="shared" si="151"/>
        <v>0.8092753756572626</v>
      </c>
      <c r="H371" s="412" t="b">
        <f>Wh_hp&gt;='2027'!Maxi_hp</f>
        <v>0</v>
      </c>
      <c r="I371" s="388">
        <f>IF(H371,Wh_hp,'2027'!Maxi_hp)</f>
        <v>20.621523847427799</v>
      </c>
      <c r="J371" s="85">
        <f>IF(H371,An,'2027'!An_max)</f>
        <v>2020</v>
      </c>
      <c r="K371" s="197">
        <f t="shared" si="129"/>
        <v>47109</v>
      </c>
      <c r="L371" s="147">
        <f>IF(t&lt;Tvie,1-EXP((T0-t)*PertePVj)+'2027'!Pspv,1-EXP((T0-t)*PertePVj)+Pspv)</f>
        <v>6.7168279787065743E-2</v>
      </c>
      <c r="M371" s="832"/>
      <c r="N371" s="832"/>
      <c r="O371" s="48">
        <f>IF(t&lt;Tnet,'2027'!Resal+('2027'!Salim-'2027'!Resal)*(1-EXP(('2027'!Tnet-t)/('2027'!Tau_j))),Resal+(Salim-Resal)*(1-EXP((Tnet-t)/(Tau_j))))*Salcycl</f>
        <v>2.7479234954264978E-2</v>
      </c>
      <c r="P371" s="169">
        <f>(INDEX(Models!$BJ371:$BT371,,T371)*(1-R371)+INDEX(Models!$BJ371:$BT371,,T371+1)*R371-ERP_i)*Q371*Ramure*Pc/MaxiM</f>
        <v>4.1188624675068189E-3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21.822485700752434</v>
      </c>
      <c r="W371" s="400">
        <f t="shared" si="136"/>
        <v>17.680206798140201</v>
      </c>
      <c r="X371" s="157">
        <f t="shared" si="137"/>
        <v>47109</v>
      </c>
      <c r="Y371" s="383">
        <f t="shared" si="138"/>
        <v>16.872130874897852</v>
      </c>
      <c r="Z371" s="383">
        <f t="shared" si="139"/>
        <v>18.087003807124514</v>
      </c>
      <c r="AA371" s="384">
        <f t="shared" si="140"/>
        <v>19.300082772527244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6.2853562842201449E-2</v>
      </c>
      <c r="AD371" s="230">
        <f>(INDEX(Models!$BJ371:$BT371,,AH371)*(1-AF371)+INDEX(Models!$BJ371:$BT371,,AH371+1)*AF371-ERP_i)*AE371*Ramure*Pc/MaxiM</f>
        <v>1.7365274164693315E-2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'2027'!Wh/'2027'!Env_an*'2028'!Env_an</f>
        <v>21.012621201708981</v>
      </c>
      <c r="C372" s="829"/>
      <c r="D372" s="391">
        <f t="shared" si="127"/>
        <v>22.526060656172621</v>
      </c>
      <c r="E372" s="383">
        <f t="shared" si="150"/>
        <v>23.164079161319588</v>
      </c>
      <c r="F372" s="383">
        <f t="shared" si="128"/>
        <v>23.25397201092931</v>
      </c>
      <c r="G372" s="110">
        <f t="shared" si="151"/>
        <v>0.96105090063862608</v>
      </c>
      <c r="H372" s="412" t="b">
        <f>Wh_hp&gt;='2027'!Maxi_hp</f>
        <v>0</v>
      </c>
      <c r="I372" s="388">
        <f>IF(H372,Wh_hp,'2027'!Maxi_hp)</f>
        <v>23.258098341697242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6.7186157294170545E-2</v>
      </c>
      <c r="M372" s="832"/>
      <c r="N372" s="832"/>
      <c r="O372" s="48">
        <f>IF(t&lt;Tnet,'2027'!Resal+('2027'!Salim-'2027'!Resal)*(1-EXP(('2027'!Tnet-t)/('2027'!Tau_j))),Resal+(Salim-Resal)*(1-EXP((Tnet-t)/(Tau_j))))*Salcycl</f>
        <v>2.7543443480039401E-2</v>
      </c>
      <c r="P372" s="169">
        <f>(INDEX(Models!$BJ372:$BT372,,T372)*(1-R372)+INDEX(Models!$BJ372:$BT372,,T372+1)*R372-ERP_i)*Q372*Ramure*Pc/MaxiM</f>
        <v>4.092113042487429E-3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21.859243008347352</v>
      </c>
      <c r="W372" s="400">
        <f t="shared" si="136"/>
        <v>21.012621201708981</v>
      </c>
      <c r="X372" s="157">
        <f t="shared" si="137"/>
        <v>47110</v>
      </c>
      <c r="Y372" s="383">
        <f t="shared" si="138"/>
        <v>19.99465650465795</v>
      </c>
      <c r="Z372" s="383">
        <f t="shared" si="139"/>
        <v>21.434776789610133</v>
      </c>
      <c r="AA372" s="384">
        <f t="shared" si="140"/>
        <v>22.873101449477129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6.2882799826862845E-2</v>
      </c>
      <c r="AD372" s="230">
        <f>(INDEX(Models!$BJ372:$BT372,,AH372)*(1-AF372)+INDEX(Models!$BJ372:$BT372,,AH372+1)*AF372-ERP_i)*AE372*Ramure*Pc/MaxiM</f>
        <v>1.733803521397528E-2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'2027'!Wh/'2027'!Env_an*'2028'!Env_an</f>
        <v>11.871249751883701</v>
      </c>
      <c r="C373" s="829"/>
      <c r="D373" s="391">
        <f t="shared" si="127"/>
        <v>12.726523473967092</v>
      </c>
      <c r="E373" s="383">
        <f t="shared" si="150"/>
        <v>13.087849418596335</v>
      </c>
      <c r="F373" s="383">
        <f t="shared" si="128"/>
        <v>13.106216108854662</v>
      </c>
      <c r="G373" s="110">
        <f t="shared" si="151"/>
        <v>0.54039581648695356</v>
      </c>
      <c r="H373" s="412" t="b">
        <f>Wh_hp&gt;='2027'!Maxi_hp</f>
        <v>0</v>
      </c>
      <c r="I373" s="388">
        <f>IF(H373,Wh_hp,'2027'!Maxi_hp)</f>
        <v>13.133517425278077</v>
      </c>
      <c r="J373" s="85">
        <f>IF(H373,An,'2027'!An_max)</f>
        <v>2026</v>
      </c>
      <c r="K373" s="197">
        <f t="shared" si="129"/>
        <v>47111</v>
      </c>
      <c r="L373" s="147">
        <f>IF(t&lt;Tvie,1-EXP((T0-t)*PertePVj)+'2027'!Pspv,1-EXP((T0-t)*PertePVj)+Pspv)</f>
        <v>6.7204034458656969E-2</v>
      </c>
      <c r="M373" s="832"/>
      <c r="N373" s="832"/>
      <c r="O373" s="48">
        <f>IF(t&lt;Tnet,'2027'!Resal+('2027'!Salim-'2027'!Resal)*(1-EXP(('2027'!Tnet-t)/('2027'!Tau_j))),Resal+(Salim-Resal)*(1-EXP((Tnet-t)/(Tau_j))))*Salcycl</f>
        <v>2.7607740055126371E-2</v>
      </c>
      <c r="P373" s="169">
        <f>(INDEX(Models!$BJ373:$BT373,,T373)*(1-R373)+INDEX(Models!$BJ373:$BT373,,T373+1)*R373-ERP_i)*Q373*Ramure*Pc/MaxiM</f>
        <v>4.0562993662672546E-3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21.909289192817081</v>
      </c>
      <c r="W373" s="400">
        <f t="shared" si="136"/>
        <v>11.871249751883701</v>
      </c>
      <c r="X373" s="157">
        <f t="shared" si="137"/>
        <v>47111</v>
      </c>
      <c r="Y373" s="383">
        <f t="shared" si="138"/>
        <v>11.387765080605821</v>
      </c>
      <c r="Z373" s="383">
        <f t="shared" si="139"/>
        <v>12.208205761264194</v>
      </c>
      <c r="AA373" s="384">
        <f t="shared" si="140"/>
        <v>13.027816467867703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6.2912362069655073E-2</v>
      </c>
      <c r="AD373" s="230">
        <f>(INDEX(Models!$BJ373:$BT373,,AH373)*(1-AF373)+INDEX(Models!$BJ373:$BT373,,AH373+1)*AF373-ERP_i)*AE373*Ramure*Pc/MaxiM</f>
        <v>1.7314628252459469E-2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'2027'!Wh/'2027'!Env_an*'2028'!Env_an</f>
        <v>20.523298472404111</v>
      </c>
      <c r="C374" s="829"/>
      <c r="D374" s="391">
        <f t="shared" si="127"/>
        <v>22.002337662732621</v>
      </c>
      <c r="E374" s="383">
        <f t="shared" si="150"/>
        <v>22.628516503131884</v>
      </c>
      <c r="F374" s="383">
        <f t="shared" si="128"/>
        <v>22.711039601713015</v>
      </c>
      <c r="G374" s="110">
        <f t="shared" si="151"/>
        <v>0.93369578690823951</v>
      </c>
      <c r="H374" s="412" t="b">
        <f>Wh_hp&gt;='2027'!Maxi_hp</f>
        <v>0</v>
      </c>
      <c r="I374" s="388">
        <f>IF(H374,Wh_hp,'2027'!Maxi_hp)</f>
        <v>22.717792821100165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6.7221911280531566E-2</v>
      </c>
      <c r="M374" s="832"/>
      <c r="N374" s="832"/>
      <c r="O374" s="48">
        <f>IF(t&lt;Tnet,'2027'!Resal+('2027'!Salim-'2027'!Resal)*(1-EXP(('2027'!Tnet-t)/('2027'!Tau_j))),Resal+(Salim-Resal)*(1-EXP((Tnet-t)/(Tau_j))))*Salcycl</f>
        <v>2.7672111882040371E-2</v>
      </c>
      <c r="P374" s="169">
        <f>(INDEX(Models!$BJ374:$BT374,,T374)*(1-R374)+INDEX(Models!$BJ374:$BT374,,T374+1)*R374-ERP_i)*Q374*Ramure*Pc/MaxiM</f>
        <v>4.0115571202941971E-3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21.972374498466394</v>
      </c>
      <c r="W374" s="400">
        <f t="shared" si="136"/>
        <v>20.523298472404111</v>
      </c>
      <c r="X374" s="157">
        <f t="shared" si="137"/>
        <v>47112</v>
      </c>
      <c r="Y374" s="383">
        <f t="shared" si="138"/>
        <v>19.539992383738401</v>
      </c>
      <c r="Z374" s="383">
        <f t="shared" si="139"/>
        <v>20.948168294308019</v>
      </c>
      <c r="AA374" s="384">
        <f t="shared" si="140"/>
        <v>22.355257812383851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6.2942218331132949E-2</v>
      </c>
      <c r="AD374" s="230">
        <f>(INDEX(Models!$BJ374:$BT374,,AH374)*(1-AF374)+INDEX(Models!$BJ374:$BT374,,AH374+1)*AF374-ERP_i)*AE374*Ramure*Pc/MaxiM</f>
        <v>1.7295023996841956E-2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'2027'!Wh/'2027'!Env_an*'2028'!Env_an</f>
        <v>6.9541198289898984</v>
      </c>
      <c r="C375" s="829"/>
      <c r="D375" s="391">
        <f t="shared" si="127"/>
        <v>7.4554207370062153</v>
      </c>
      <c r="E375" s="383">
        <f t="shared" si="150"/>
        <v>7.6681075610317659</v>
      </c>
      <c r="F375" s="383">
        <f t="shared" si="128"/>
        <v>7.6687751027626314</v>
      </c>
      <c r="G375" s="110">
        <f t="shared" si="151"/>
        <v>0.31418669768354274</v>
      </c>
      <c r="H375" s="412" t="b">
        <f>Wh_hp&gt;='2027'!Maxi_hp</f>
        <v>0</v>
      </c>
      <c r="I375" s="388">
        <f>IF(H375,Wh_hp,'2027'!Maxi_hp)</f>
        <v>21.290446008401918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6.7239787759800995E-2</v>
      </c>
      <c r="M375" s="832"/>
      <c r="N375" s="832"/>
      <c r="O375" s="48">
        <f>IF(t&lt;Tnet,'2027'!Resal+('2027'!Salim-'2027'!Resal)*(1-EXP(('2027'!Tnet-t)/('2027'!Tau_j))),Resal+(Salim-Resal)*(1-EXP((Tnet-t)/(Tau_j))))*Salcycl</f>
        <v>2.7736546772817179E-2</v>
      </c>
      <c r="P375" s="169">
        <f>(INDEX(Models!$BJ375:$BT375,,T375)*(1-R375)+INDEX(Models!$BJ375:$BT375,,T375+1)*R375-ERP_i)*Q375*Ramure*Pc/MaxiM</f>
        <v>3.9549327662137508E-3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22.04810004834582</v>
      </c>
      <c r="W375" s="400">
        <f t="shared" si="136"/>
        <v>6.9541198289898984</v>
      </c>
      <c r="X375" s="157">
        <f t="shared" si="137"/>
        <v>47113</v>
      </c>
      <c r="Y375" s="383">
        <f t="shared" si="138"/>
        <v>6.7001295537862067</v>
      </c>
      <c r="Z375" s="383">
        <f t="shared" si="139"/>
        <v>7.1831210914266874</v>
      </c>
      <c r="AA375" s="384">
        <f t="shared" si="140"/>
        <v>7.6658581068141087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6.2972338994681021E-2</v>
      </c>
      <c r="AD375" s="230">
        <f>(INDEX(Models!$BJ375:$BT375,,AH375)*(1-AF375)+INDEX(Models!$BJ375:$BT375,,AH375+1)*AF375-ERP_i)*AE375*Ramure*Pc/MaxiM</f>
        <v>1.7282099863282625E-2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'2027'!Wh/'2027'!Env_an*'2028'!Env_an</f>
        <v>21.588617779989082</v>
      </c>
      <c r="C376" s="829"/>
      <c r="D376" s="391">
        <f t="shared" si="127"/>
        <v>23.145317784302748</v>
      </c>
      <c r="E376" s="383">
        <f t="shared" si="150"/>
        <v>23.80718204269078</v>
      </c>
      <c r="F376" s="383">
        <f t="shared" si="128"/>
        <v>23.89686470624277</v>
      </c>
      <c r="G376" s="110">
        <f t="shared" si="151"/>
        <v>0.97514100946452043</v>
      </c>
      <c r="H376" s="412" t="b">
        <f>Wh_hp&gt;='2027'!Maxi_hp</f>
        <v>0</v>
      </c>
      <c r="I376" s="388">
        <f>IF(H376,Wh_hp,'2027'!Maxi_hp)</f>
        <v>23.899460218766578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6.7257663896471809E-2</v>
      </c>
      <c r="M376" s="832"/>
      <c r="N376" s="832"/>
      <c r="O376" s="48">
        <f>IF(t&lt;Tnet,'2027'!Resal+('2027'!Salim-'2027'!Resal)*(1-EXP(('2027'!Tnet-t)/('2027'!Tau_j))),Resal+(Salim-Resal)*(1-EXP((Tnet-t)/(Tau_j))))*Salcycl</f>
        <v>2.7801033200871191E-2</v>
      </c>
      <c r="P376" s="169">
        <f>(INDEX(Models!$BJ376:$BT376,,T376)*(1-R376)+INDEX(Models!$BJ376:$BT376,,T376+1)*R376-ERP_i)*Q376*Ramure*Pc/MaxiM</f>
        <v>3.8903135327497547E-3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22.13591668884019</v>
      </c>
      <c r="W376" s="400">
        <f t="shared" si="136"/>
        <v>21.588617779989082</v>
      </c>
      <c r="X376" s="157">
        <f t="shared" si="137"/>
        <v>47114</v>
      </c>
      <c r="Y376" s="383">
        <f t="shared" si="138"/>
        <v>20.537358152077275</v>
      </c>
      <c r="Z376" s="383">
        <f t="shared" si="139"/>
        <v>22.018254513750048</v>
      </c>
      <c r="AA376" s="384">
        <f t="shared" si="140"/>
        <v>23.498738388788606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6.3002696167931499E-2</v>
      </c>
      <c r="AD376" s="230">
        <f>(INDEX(Models!$BJ376:$BT376,,AH376)*(1-AF376)+INDEX(Models!$BJ376:$BT376,,AH376+1)*AF376-ERP_i)*AE376*Ramure*Pc/MaxiM</f>
        <v>1.7270185108160398E-2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'2027'!Wh/'2027'!Env_an*'2028'!Env_an</f>
        <v>10.253690174995361</v>
      </c>
      <c r="C377" s="829"/>
      <c r="D377" s="391">
        <f t="shared" si="127"/>
        <v>10.993268227996829</v>
      </c>
      <c r="E377" s="383">
        <f t="shared" si="150"/>
        <v>11.308382647053966</v>
      </c>
      <c r="F377" s="383">
        <f t="shared" si="128"/>
        <v>11.318330419612652</v>
      </c>
      <c r="G377" s="110">
        <f t="shared" si="151"/>
        <v>0.45978700476268491</v>
      </c>
      <c r="H377" s="412" t="b">
        <f>Wh_hp&gt;='2027'!Maxi_hp</f>
        <v>0</v>
      </c>
      <c r="I377" s="388">
        <f>IF(H377,Wh_hp,'2027'!Maxi_hp)</f>
        <v>25.022994124609578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6.7275539690550445E-2</v>
      </c>
      <c r="M377" s="832"/>
      <c r="N377" s="832"/>
      <c r="O377" s="48">
        <f>IF(t&lt;Tnet,'2027'!Resal+('2027'!Salim-'2027'!Resal)*(1-EXP(('2027'!Tnet-t)/('2027'!Tau_j))),Resal+(Salim-Resal)*(1-EXP((Tnet-t)/(Tau_j))))*Salcycl</f>
        <v>2.7865560345115385E-2</v>
      </c>
      <c r="P377" s="169">
        <f>(INDEX(Models!$BJ377:$BT377,,T377)*(1-R377)+INDEX(Models!$BJ377:$BT377,,T377+1)*R377-ERP_i)*Q377*Ramure*Pc/MaxiM</f>
        <v>3.8179364698001546E-3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22.235356095430237</v>
      </c>
      <c r="W377" s="400">
        <f t="shared" si="136"/>
        <v>10.253690174995361</v>
      </c>
      <c r="X377" s="157">
        <f t="shared" si="137"/>
        <v>47115</v>
      </c>
      <c r="Y377" s="383">
        <f t="shared" si="138"/>
        <v>9.8521479460765367</v>
      </c>
      <c r="Z377" s="383">
        <f t="shared" si="139"/>
        <v>10.562763565574226</v>
      </c>
      <c r="AA377" s="384">
        <f t="shared" si="140"/>
        <v>11.273360256123791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6.3033263765660499E-2</v>
      </c>
      <c r="AD377" s="230">
        <f>(INDEX(Models!$BJ377:$BT377,,AH377)*(1-AF377)+INDEX(Models!$BJ377:$BT377,,AH377+1)*AF377-ERP_i)*AE377*Ramure*Pc/MaxiM</f>
        <v>1.7259464490581036E-2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'2027'!Wh/'2027'!Env_an*'2028'!Env_an</f>
        <v>13.892416765878554</v>
      </c>
      <c r="C378" s="829"/>
      <c r="D378" s="391">
        <f t="shared" si="127"/>
        <v>14.894734304887809</v>
      </c>
      <c r="E378" s="383">
        <f t="shared" si="150"/>
        <v>15.322699100784511</v>
      </c>
      <c r="F378" s="383">
        <f t="shared" si="128"/>
        <v>15.349067080732715</v>
      </c>
      <c r="G378" s="110">
        <f t="shared" si="151"/>
        <v>0.62043920493831295</v>
      </c>
      <c r="H378" s="412" t="b">
        <f>Wh_hp&gt;='2027'!Maxi_hp</f>
        <v>0</v>
      </c>
      <c r="I378" s="388">
        <f>IF(H378,Wh_hp,'2027'!Maxi_hp)</f>
        <v>25.027651179472095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6.7293415142043678E-2</v>
      </c>
      <c r="M378" s="832"/>
      <c r="N378" s="832"/>
      <c r="O378" s="48">
        <f>IF(t&lt;Tnet,'2027'!Resal+('2027'!Salim-'2027'!Resal)*(1-EXP(('2027'!Tnet-t)/('2027'!Tau_j))),Resal+(Salim-Resal)*(1-EXP((Tnet-t)/(Tau_j))))*Salcycl</f>
        <v>2.7930118126172118E-2</v>
      </c>
      <c r="P378" s="169">
        <f>(INDEX(Models!$BJ378:$BT378,,T378)*(1-R378)+INDEX(Models!$BJ378:$BT378,,T378+1)*R378-ERP_i)*Q378*Ramure*Pc/MaxiM</f>
        <v>3.7380534165540056E-3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22.345950065363184</v>
      </c>
      <c r="W378" s="400">
        <f t="shared" si="136"/>
        <v>13.892416765878554</v>
      </c>
      <c r="X378" s="157">
        <f t="shared" si="137"/>
        <v>47116</v>
      </c>
      <c r="Y378" s="383">
        <f t="shared" si="138"/>
        <v>13.307004782872532</v>
      </c>
      <c r="Z378" s="383">
        <f t="shared" si="139"/>
        <v>14.267085704020285</v>
      </c>
      <c r="AA378" s="384">
        <f t="shared" si="140"/>
        <v>15.227385831718115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6.3064017574018388E-2</v>
      </c>
      <c r="AD378" s="230">
        <f>(INDEX(Models!$BJ378:$BT378,,AH378)*(1-AF378)+INDEX(Models!$BJ378:$BT378,,AH378+1)*AF378-ERP_i)*AE378*Ramure*Pc/MaxiM</f>
        <v>1.7250127218811525E-2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'2027'!Wh/'2027'!Env_an*'2028'!Env_an</f>
        <v>11.493892164461455</v>
      </c>
      <c r="C379" s="829"/>
      <c r="D379" s="391">
        <f t="shared" si="127"/>
        <v>12.323395838633138</v>
      </c>
      <c r="E379" s="383">
        <f t="shared" si="150"/>
        <v>12.678321613649869</v>
      </c>
      <c r="F379" s="383">
        <f t="shared" si="128"/>
        <v>12.692328154708752</v>
      </c>
      <c r="G379" s="110">
        <f t="shared" si="151"/>
        <v>0.51028009186766177</v>
      </c>
      <c r="H379" s="412" t="b">
        <f>Wh_hp&gt;='2027'!Maxi_hp</f>
        <v>0</v>
      </c>
      <c r="I379" s="388">
        <f>IF(H379,Wh_hp,'2027'!Maxi_hp)</f>
        <v>25.278911318099443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6.7311290250957945E-2</v>
      </c>
      <c r="M379" s="832"/>
      <c r="N379" s="832"/>
      <c r="O379" s="48">
        <f>IF(t&lt;Tnet,'2027'!Resal+('2027'!Salim-'2027'!Resal)*(1-EXP(('2027'!Tnet-t)/('2027'!Tau_j))),Resal+(Salim-Resal)*(1-EXP((Tnet-t)/(Tau_j))))*Salcycl</f>
        <v>2.7994697234577665E-2</v>
      </c>
      <c r="P379" s="169">
        <f>(INDEX(Models!$BJ379:$BT379,,T379)*(1-R379)+INDEX(Models!$BJ379:$BT379,,T379+1)*R379-ERP_i)*Q379*Ramure*Pc/MaxiM</f>
        <v>3.6509283970503803E-3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22.467230521972255</v>
      </c>
      <c r="W379" s="400">
        <f t="shared" si="136"/>
        <v>11.493892164461455</v>
      </c>
      <c r="X379" s="157">
        <f t="shared" si="137"/>
        <v>47117</v>
      </c>
      <c r="Y379" s="383">
        <f t="shared" si="138"/>
        <v>11.033270036512551</v>
      </c>
      <c r="Z379" s="383">
        <f t="shared" si="139"/>
        <v>11.82953103343694</v>
      </c>
      <c r="AA379" s="384">
        <f t="shared" si="140"/>
        <v>12.626178979164543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6.3094935296118843E-2</v>
      </c>
      <c r="AD379" s="230">
        <f>(INDEX(Models!$BJ379:$BT379,,AH379)*(1-AF379)+INDEX(Models!$BJ379:$BT379,,AH379+1)*AF379-ERP_i)*AE379*Ramure*Pc/MaxiM</f>
        <v>1.7242365721883708E-2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15.451236593814818</v>
      </c>
      <c r="C380" s="837"/>
      <c r="D380" s="603">
        <f t="shared" si="127"/>
        <v>16.566655688447057</v>
      </c>
      <c r="E380" s="599">
        <f t="shared" si="150"/>
        <v>17.044924143547007</v>
      </c>
      <c r="F380" s="599">
        <f t="shared" si="128"/>
        <v>17.078222627012245</v>
      </c>
      <c r="G380" s="110">
        <f t="shared" si="151"/>
        <v>0.68262053570305714</v>
      </c>
      <c r="H380" s="600" t="b">
        <f>Wh_hp&gt;='2027'!Maxi_hp</f>
        <v>1</v>
      </c>
      <c r="I380" s="601">
        <f>IF(H380,Wh_hp,'2027'!Maxi_hp)</f>
        <v>17.078222627012245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6.7329165017299797E-2</v>
      </c>
      <c r="M380" s="832"/>
      <c r="N380" s="832"/>
      <c r="O380" s="48">
        <f>IF(t&lt;Tnet,'2027'!Resal+('2027'!Salim-'2027'!Resal)*(1-EXP(('2027'!Tnet-t)/('2027'!Tau_j))),Resal+(Salim-Resal)*(1-EXP((Tnet-t)/(Tau_j))))*Salcycl</f>
        <v>2.8059289150959264E-2</v>
      </c>
      <c r="P380" s="230">
        <f>(INDEX(Models!$BJ380:$BT380,,T380)*(1-R380)+INDEX(Models!$BJ380:$BT380,,T380+1)*R380-ERP_i)*Q380*Ramure*Pc/MaxiM</f>
        <v>3.5568350264609232E-3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22.59872949085095</v>
      </c>
      <c r="W380" s="400">
        <f t="shared" ref="W380" si="154">Wh*(A380&gt;Tmaj)</f>
        <v>15.451236593814818</v>
      </c>
      <c r="X380" s="325">
        <f t="shared" si="137"/>
        <v>47118</v>
      </c>
      <c r="Y380" s="599">
        <f t="shared" si="138"/>
        <v>14.781867481625465</v>
      </c>
      <c r="Z380" s="599">
        <f t="shared" si="139"/>
        <v>15.848965065900929</v>
      </c>
      <c r="AA380" s="602">
        <f t="shared" si="140"/>
        <v>16.9168586256331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6.3125996579179028E-2</v>
      </c>
      <c r="AD380" s="230">
        <f>(INDEX(Models!$BJ380:$BT380,,AH380)*(1-AF380)+INDEX(Models!$BJ380:$BT380,,AH380+1)*AF380-ERP_i)*AE380*Ramure*Pc/MaxiM</f>
        <v>1.7236374524816061E-2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1.7410003113092969</v>
      </c>
      <c r="C381" s="374"/>
      <c r="D381" s="372">
        <f>MIN(D15:D380)</f>
        <v>1.8539899726330016</v>
      </c>
      <c r="E381" s="372">
        <f>MIN(E15:E380)</f>
        <v>1.9493584503470074</v>
      </c>
      <c r="F381" s="373">
        <f>MIN(F15:F380)</f>
        <v>1.9493584503470074</v>
      </c>
      <c r="G381" s="125">
        <f>+MIN(G15:G380)</f>
        <v>7.2857356630853534E-2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7">MIN(L15:L380)</f>
        <v>6.0782065354107573E-2</v>
      </c>
      <c r="M381" s="833"/>
      <c r="N381" s="833"/>
      <c r="O381" s="47">
        <f t="shared" si="157"/>
        <v>1.0115831382539886E-2</v>
      </c>
      <c r="P381" s="168">
        <f t="shared" si="157"/>
        <v>5.3190502715767971E-5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21.787237424221622</v>
      </c>
      <c r="W381" s="793" t="s">
        <v>40</v>
      </c>
      <c r="X381" s="112" t="s">
        <v>7</v>
      </c>
      <c r="Y381" s="372">
        <f>MIN(Y15:Y380)</f>
        <v>1.6954804416173894</v>
      </c>
      <c r="Z381" s="372">
        <f>MIN(Z15:Z380)</f>
        <v>1.8055158963125382</v>
      </c>
      <c r="AA381" s="372">
        <f>MIN(AA15:AA380)</f>
        <v>1.9493584503470074</v>
      </c>
      <c r="AB381" s="200" t="s">
        <v>7</v>
      </c>
      <c r="AC381" s="47">
        <f t="shared" ref="AC381:AH381" si="158">MIN(AC15:AC380)</f>
        <v>5.4458212754267557E-2</v>
      </c>
      <c r="AD381" s="168">
        <f t="shared" si="158"/>
        <v>5.3149840812528448E-4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30.552345064381296</v>
      </c>
      <c r="C382" s="374"/>
      <c r="D382" s="374">
        <f>AVERAGE(D15:D380)</f>
        <v>32.64115417890843</v>
      </c>
      <c r="E382" s="374">
        <f>AVERAGE(E15:E380)</f>
        <v>33.546930910507982</v>
      </c>
      <c r="F382" s="375">
        <f>AVERAGE(F15:F380)</f>
        <v>33.559540995180747</v>
      </c>
      <c r="G382" s="126">
        <f>AVERAGE(G15:G380)</f>
        <v>0.68836197076833894</v>
      </c>
      <c r="H382" s="94"/>
      <c r="I382" s="375">
        <f>AVERAGE(I15:I380)</f>
        <v>43.532107834453704</v>
      </c>
      <c r="J382" s="59">
        <f>AVERAGE(J15:J380)</f>
        <v>2021.7841530054645</v>
      </c>
      <c r="K382" s="200" t="s">
        <v>8</v>
      </c>
      <c r="L382" s="147">
        <f t="shared" ref="L382:V382" si="159">AVERAGE(L15:L380)</f>
        <v>6.4059421253770427E-2</v>
      </c>
      <c r="M382" s="832"/>
      <c r="N382" s="832"/>
      <c r="O382" s="48">
        <f t="shared" si="159"/>
        <v>3.0206108342925853E-2</v>
      </c>
      <c r="P382" s="169">
        <f t="shared" si="159"/>
        <v>9.6063886400127275E-4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42.929100424510722</v>
      </c>
      <c r="X382" s="112" t="s">
        <v>8</v>
      </c>
      <c r="Y382" s="374">
        <f>AVERAGE(Y15:Y380)</f>
        <v>29.320241717826356</v>
      </c>
      <c r="Z382" s="374">
        <f>AVERAGE(Z15:Z380)</f>
        <v>31.324531214542382</v>
      </c>
      <c r="AA382" s="374">
        <f>AVERAGE(AA15:AA380)</f>
        <v>33.462846792255142</v>
      </c>
      <c r="AB382" s="200" t="s">
        <v>8</v>
      </c>
      <c r="AC382" s="48">
        <f t="shared" ref="AC382:AH382" si="160">AVERAGE(AC15:AC380)</f>
        <v>6.5258399508729553E-2</v>
      </c>
      <c r="AD382" s="169">
        <f t="shared" si="160"/>
        <v>6.8083255647555943E-3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60.065422052407513</v>
      </c>
      <c r="C383" s="376"/>
      <c r="D383" s="376">
        <f>MAX(D15:D380)</f>
        <v>64.134246215219875</v>
      </c>
      <c r="E383" s="376">
        <f>MAX(E15:E380)</f>
        <v>64.955347443560655</v>
      </c>
      <c r="F383" s="377">
        <f>MAX(F15:F380)</f>
        <v>64.959236791876066</v>
      </c>
      <c r="G383" s="127">
        <f>+MAX(G15:G380)</f>
        <v>1.0446773289765234</v>
      </c>
      <c r="H383" s="94"/>
      <c r="I383" s="377">
        <f>MAX(I15:I380)</f>
        <v>65.112138934007149</v>
      </c>
      <c r="J383" s="60">
        <f>MAX(J15:J380)</f>
        <v>2028</v>
      </c>
      <c r="K383" s="200" t="s">
        <v>9</v>
      </c>
      <c r="L383" s="148">
        <f t="shared" ref="L383:T383" si="161">MAX(L15:L380)</f>
        <v>6.7329165017299797E-2</v>
      </c>
      <c r="M383" s="834"/>
      <c r="N383" s="834"/>
      <c r="O383" s="49">
        <f t="shared" si="161"/>
        <v>5.4387607163515733E-2</v>
      </c>
      <c r="P383" s="170">
        <f t="shared" si="161"/>
        <v>4.1452215182915756E-3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59.254503267150959</v>
      </c>
      <c r="X383" s="112" t="s">
        <v>9</v>
      </c>
      <c r="Y383" s="376">
        <f>MAX(Y15:Y380)</f>
        <v>57.359401916969539</v>
      </c>
      <c r="Z383" s="376">
        <f>MAX(Z15:Z380)</f>
        <v>61.244920614908615</v>
      </c>
      <c r="AA383" s="376">
        <f>MAX(AA15:AA380)</f>
        <v>64.923008570200494</v>
      </c>
      <c r="AB383" s="200" t="s">
        <v>9</v>
      </c>
      <c r="AC383" s="49">
        <f t="shared" ref="AC383:AH383" si="162">MAX(AC15:AC380)</f>
        <v>7.7120161219234803E-2</v>
      </c>
      <c r="AD383" s="170">
        <f t="shared" si="162"/>
        <v>1.9616070803421794E-2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MdS Escalquens</v>
      </c>
      <c r="B1" s="6"/>
      <c r="C1" s="657"/>
      <c r="D1" s="658"/>
      <c r="E1" s="1017"/>
      <c r="F1" s="1017"/>
      <c r="H1" s="22" t="s">
        <v>279</v>
      </c>
      <c r="I1" s="1238">
        <v>44582</v>
      </c>
      <c r="J1" s="1239"/>
      <c r="K1" s="875"/>
      <c r="M1" s="780" t="s">
        <v>169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49" t="s">
        <v>351</v>
      </c>
      <c r="S2" s="26"/>
      <c r="T2" s="563"/>
      <c r="U2" s="563"/>
      <c r="V2" s="1139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302</v>
      </c>
      <c r="B3" s="660"/>
      <c r="C3" s="660"/>
      <c r="E3" s="1018"/>
      <c r="F3" s="1019" t="s">
        <v>189</v>
      </c>
      <c r="G3" s="20"/>
      <c r="H3" s="22" t="s">
        <v>15</v>
      </c>
      <c r="I3" s="1138">
        <v>0.25</v>
      </c>
      <c r="J3" s="876">
        <f>DEGREES(ATAN(I3))</f>
        <v>14.036243467926479</v>
      </c>
      <c r="K3" s="876"/>
      <c r="L3" s="8"/>
      <c r="M3" s="6"/>
      <c r="P3" s="22" t="s">
        <v>352</v>
      </c>
      <c r="Q3" s="877" t="s">
        <v>353</v>
      </c>
      <c r="R3" s="1150">
        <f>H_pv</f>
        <v>7.693372050943351</v>
      </c>
      <c r="T3" s="1109"/>
      <c r="U3" s="1109"/>
      <c r="V3" s="1110"/>
      <c r="W3" s="1110"/>
      <c r="X3" s="1110"/>
      <c r="Y3" s="1109"/>
      <c r="Z3" s="1109"/>
      <c r="AA3" s="1109"/>
      <c r="AB3" s="1109"/>
      <c r="AC3" s="1109"/>
      <c r="AD3" s="1109"/>
      <c r="AE3" s="1109"/>
      <c r="AF3" s="1109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167</v>
      </c>
      <c r="F4" s="662" t="s">
        <v>188</v>
      </c>
      <c r="I4" s="6"/>
      <c r="J4" s="880"/>
      <c r="K4" s="880"/>
      <c r="L4" s="6"/>
      <c r="O4" s="880"/>
      <c r="Q4" s="1151"/>
      <c r="R4" s="6"/>
      <c r="S4" s="880" t="s">
        <v>280</v>
      </c>
      <c r="T4" s="1110"/>
      <c r="U4" s="1110"/>
      <c r="V4" s="1110"/>
      <c r="W4" s="1110"/>
      <c r="X4" s="1110"/>
      <c r="Y4" s="1110"/>
      <c r="Z4" s="1110"/>
      <c r="AA4" s="1110"/>
      <c r="AB4" s="1110"/>
      <c r="AC4" s="1110"/>
      <c r="AD4" s="1110"/>
      <c r="AE4" s="1110"/>
      <c r="AF4" s="1110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281</v>
      </c>
      <c r="I5" s="877">
        <f>125-90</f>
        <v>35</v>
      </c>
      <c r="J5" s="876"/>
      <c r="K5" s="876"/>
      <c r="L5" s="22" t="s">
        <v>282</v>
      </c>
      <c r="M5" s="877">
        <f>Azi_pvG</f>
        <v>35</v>
      </c>
      <c r="N5" s="884"/>
      <c r="O5" s="885"/>
      <c r="P5" s="22" t="s">
        <v>354</v>
      </c>
      <c r="Q5" s="877" t="s">
        <v>283</v>
      </c>
      <c r="R5" s="884">
        <f>+IF($Q$5="G",Azi_pvG,Azi_pvD)</f>
        <v>35</v>
      </c>
      <c r="S5" s="885">
        <f>90-$J$3-1.2</f>
        <v>74.763756532073515</v>
      </c>
      <c r="T5" s="1147"/>
      <c r="U5" s="1109"/>
      <c r="V5" s="1111"/>
      <c r="W5" s="1134"/>
      <c r="X5" s="1134"/>
      <c r="Y5" s="1109"/>
      <c r="Z5" s="1109"/>
      <c r="AA5" s="1109"/>
      <c r="AB5" s="1109"/>
      <c r="AC5" s="1109"/>
      <c r="AD5" s="1112"/>
      <c r="AE5" s="1112"/>
      <c r="AF5" s="1109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1"/>
      <c r="W6" s="1135"/>
      <c r="X6" s="1136"/>
      <c r="Y6" s="563"/>
      <c r="Z6" s="563"/>
      <c r="AA6" s="563"/>
      <c r="AB6" s="563"/>
      <c r="AC6" s="563"/>
      <c r="AD6" s="1112"/>
      <c r="AE6" s="1112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1"/>
      <c r="W7" s="1137"/>
      <c r="X7" s="1136"/>
      <c r="Y7" s="1113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299</v>
      </c>
      <c r="D8" s="105"/>
      <c r="E8" s="886">
        <v>3.1</v>
      </c>
      <c r="F8" s="668" t="s">
        <v>235</v>
      </c>
      <c r="H8" s="29"/>
      <c r="I8" s="31"/>
      <c r="L8" s="667" t="s">
        <v>170</v>
      </c>
      <c r="M8" s="29"/>
      <c r="O8" s="29"/>
      <c r="P8" s="34"/>
      <c r="R8" s="667" t="s">
        <v>171</v>
      </c>
      <c r="S8" s="29"/>
      <c r="U8" s="29"/>
      <c r="V8" s="29"/>
      <c r="Y8" s="667" t="s">
        <v>172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173</v>
      </c>
      <c r="B9" s="887" t="s">
        <v>174</v>
      </c>
      <c r="C9" s="887" t="s">
        <v>175</v>
      </c>
      <c r="D9" s="887" t="s">
        <v>178</v>
      </c>
      <c r="E9" s="888" t="s">
        <v>179</v>
      </c>
      <c r="F9" s="669" t="s">
        <v>176</v>
      </c>
      <c r="G9" s="669" t="s">
        <v>177</v>
      </c>
      <c r="H9" s="670" t="s">
        <v>147</v>
      </c>
      <c r="I9" s="671" t="s">
        <v>180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345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338</v>
      </c>
      <c r="B10" s="889">
        <v>3.25</v>
      </c>
      <c r="C10" s="890">
        <v>-4.45</v>
      </c>
      <c r="D10" s="889">
        <f>Hrm*B10/(B10-C10)</f>
        <v>1.3084415584415585</v>
      </c>
      <c r="E10" s="890">
        <f t="shared" ref="E10:E12" si="0">+D10*C10/B10</f>
        <v>-1.7915584415584418</v>
      </c>
      <c r="F10" s="891">
        <f>DEGREES(ATAN2(H10,D10))</f>
        <v>1.7047471927910134</v>
      </c>
      <c r="G10" s="891">
        <f>DEGREES(ATAN2(H10,E10))</f>
        <v>-2.3335901434024504</v>
      </c>
      <c r="H10" s="554">
        <f>SQRT(POWER(N10-T$10,2)+POWER(M10-S$10,2))</f>
        <v>43.963149341238065</v>
      </c>
      <c r="I10" s="674">
        <f>(F10-G10)/(B10-C10)</f>
        <v>0.52445939431083943</v>
      </c>
      <c r="J10" s="43"/>
      <c r="K10" s="43"/>
      <c r="L10" s="782" t="str">
        <f>A10</f>
        <v>Lampadaire parc sud</v>
      </c>
      <c r="M10" s="892">
        <v>488.69</v>
      </c>
      <c r="N10" s="893">
        <v>406.19</v>
      </c>
      <c r="O10" s="894">
        <v>167.56</v>
      </c>
      <c r="P10" s="811"/>
      <c r="Q10" s="811"/>
      <c r="R10" s="783" t="s">
        <v>340</v>
      </c>
      <c r="S10" s="892">
        <v>508.73</v>
      </c>
      <c r="T10" s="893">
        <v>445.32</v>
      </c>
      <c r="U10" s="1146">
        <v>167.56</v>
      </c>
      <c r="V10" s="675" t="s">
        <v>181</v>
      </c>
      <c r="W10" s="895">
        <v>1.55</v>
      </c>
      <c r="X10" s="811" t="s">
        <v>85</v>
      </c>
      <c r="Y10" s="613" t="s">
        <v>343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346</v>
      </c>
      <c r="B11" s="896">
        <v>8.7799999999999994</v>
      </c>
      <c r="C11" s="897">
        <v>1.83</v>
      </c>
      <c r="D11" s="896">
        <f>1.89*B11/(B11-C11)</f>
        <v>2.3876546762589927</v>
      </c>
      <c r="E11" s="897">
        <f>+D11*C11/B11</f>
        <v>0.4976546762589929</v>
      </c>
      <c r="F11" s="891">
        <f>DEGREES(ATAN2(H11,D11))</f>
        <v>1.5931048177823508</v>
      </c>
      <c r="G11" s="891">
        <f>DEGREES(ATAN2(H11,E11))</f>
        <v>0.33212991949264148</v>
      </c>
      <c r="H11" s="554">
        <f>SQRT(POWER(N11-T$11,2)+POWER(M11-S$11,2))</f>
        <v>85.849517179772164</v>
      </c>
      <c r="I11" s="674">
        <f>(F11-G11)/(B11-C11)</f>
        <v>0.18143523716398696</v>
      </c>
      <c r="J11" s="117"/>
      <c r="K11" s="43"/>
      <c r="L11" s="782" t="str">
        <f>A11</f>
        <v>Hauteur fenêtre arrière batiment</v>
      </c>
      <c r="M11" s="898">
        <v>504.5</v>
      </c>
      <c r="N11" s="617">
        <v>474.61</v>
      </c>
      <c r="O11" s="899">
        <v>167.91</v>
      </c>
      <c r="P11" s="812"/>
      <c r="Q11" s="812"/>
      <c r="R11" s="784" t="s">
        <v>341</v>
      </c>
      <c r="S11" s="898">
        <v>548.36</v>
      </c>
      <c r="T11" s="617">
        <v>548.41</v>
      </c>
      <c r="U11" s="899">
        <v>169.89</v>
      </c>
      <c r="V11" s="676" t="s">
        <v>182</v>
      </c>
      <c r="W11" s="900">
        <f>+Hobs1+U11-U10</f>
        <v>3.8799999999999955</v>
      </c>
      <c r="X11" s="812" t="s">
        <v>85</v>
      </c>
      <c r="Y11" s="614" t="s">
        <v>344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 t="s">
        <v>339</v>
      </c>
      <c r="B12" s="901">
        <v>-0.77</v>
      </c>
      <c r="C12" s="902">
        <v>-4.05</v>
      </c>
      <c r="D12" s="901">
        <f>2.41*B12/(B12-C12)</f>
        <v>-0.56576219512195125</v>
      </c>
      <c r="E12" s="902">
        <f t="shared" si="0"/>
        <v>-2.9757621951219511</v>
      </c>
      <c r="F12" s="891">
        <f>DEGREES(ATAN2(H12,D12))</f>
        <v>-0.48420313060747844</v>
      </c>
      <c r="G12" s="891">
        <f>DEGREES(ATAN2(H12,E12))</f>
        <v>-2.5451679028715875</v>
      </c>
      <c r="H12" s="554">
        <f>SQRT(POWER(N12-T$12,2)+POWER(M12-S$12,2))</f>
        <v>66.945073754534008</v>
      </c>
      <c r="I12" s="674">
        <f>(F12-G12)/(B12-C12)</f>
        <v>0.628342918373204</v>
      </c>
      <c r="J12" s="117"/>
      <c r="K12" s="43"/>
      <c r="L12" s="782" t="str">
        <f>A12</f>
        <v>Porte entrée MdS</v>
      </c>
      <c r="M12" s="903">
        <v>510.71</v>
      </c>
      <c r="N12" s="904">
        <v>447.92</v>
      </c>
      <c r="O12" s="905">
        <v>167.76</v>
      </c>
      <c r="P12" s="812"/>
      <c r="Q12" s="812"/>
      <c r="R12" s="784" t="s">
        <v>342</v>
      </c>
      <c r="S12" s="903">
        <v>472.98</v>
      </c>
      <c r="T12" s="904">
        <v>392.62</v>
      </c>
      <c r="U12" s="905">
        <v>169.28</v>
      </c>
      <c r="V12" s="676" t="s">
        <v>236</v>
      </c>
      <c r="W12" s="906">
        <f>+Hobs1+U12-U10</f>
        <v>3.2700000000000102</v>
      </c>
      <c r="X12" s="812" t="s">
        <v>85</v>
      </c>
      <c r="Y12" s="614" t="s">
        <v>350</v>
      </c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319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300</v>
      </c>
      <c r="E14" s="71"/>
      <c r="F14" s="82"/>
      <c r="G14" s="879" t="s">
        <v>184</v>
      </c>
      <c r="K14" s="1007" t="s">
        <v>301</v>
      </c>
      <c r="L14" s="1006">
        <f>+CHOOSE(N14,L16,L17,L18,L19)</f>
        <v>7.693372050943351</v>
      </c>
      <c r="M14" s="136" t="s">
        <v>284</v>
      </c>
      <c r="N14" s="907">
        <f>IF(Q5&amp;Q3="DE",4,IF(Q5&amp;Q3="DC",3,IF(Q5&amp;Q3="GC",2,1)))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183</v>
      </c>
      <c r="C15" s="680" t="s">
        <v>145</v>
      </c>
      <c r="D15" s="680" t="s">
        <v>150</v>
      </c>
      <c r="E15" s="680" t="s">
        <v>151</v>
      </c>
      <c r="F15" s="1016" t="s">
        <v>285</v>
      </c>
      <c r="G15" s="1015" t="s">
        <v>185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334</v>
      </c>
      <c r="B16" s="908">
        <v>3</v>
      </c>
      <c r="C16" s="968"/>
      <c r="D16" s="909">
        <v>518.35812499999997</v>
      </c>
      <c r="E16" s="909">
        <v>442.98</v>
      </c>
      <c r="F16" s="981"/>
      <c r="G16" s="985"/>
      <c r="H16" s="985"/>
      <c r="I16" s="985"/>
      <c r="J16" s="992">
        <f>IF(B16="",0,C16*CHOOSE(B16,Rata1,Rata2,Rata3))</f>
        <v>0</v>
      </c>
      <c r="K16" s="987">
        <f>IF(B16="",0,SQRT(+POWER(D16-CHOOSE(B16,$S$10,$S$11,$S$12),2)+POWER(E16-CHOOSE(B16,$T$10,$T$11,$T$12),2)))</f>
        <v>67.788670355123671</v>
      </c>
      <c r="L16" s="1133">
        <f>L17</f>
        <v>7.693372050943351</v>
      </c>
      <c r="M16" s="993"/>
      <c r="N16" s="1002" t="str">
        <f t="shared" ref="N16:N43" si="1">A16</f>
        <v>Centre du champ PV G.E.: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 t="s">
        <v>335</v>
      </c>
      <c r="B17" s="910">
        <v>3</v>
      </c>
      <c r="C17" s="969">
        <v>5.97</v>
      </c>
      <c r="D17" s="911">
        <v>512.30437499999994</v>
      </c>
      <c r="E17" s="911">
        <v>447.44</v>
      </c>
      <c r="F17" s="982"/>
      <c r="G17" s="972"/>
      <c r="H17" s="972"/>
      <c r="I17" s="972"/>
      <c r="J17" s="994">
        <f>IF(B17="",0,C17*CHOOSE(B17,Rata1,Rata2,Rata3))</f>
        <v>3.7512072226880275</v>
      </c>
      <c r="K17" s="989">
        <f>IF(B17="",0,SQRT(+POWER(D17-CHOOSE(B17,$S$10,$S$11,$S$12),2)+POWER(E17-CHOOSE(B17,$T$10,$T$11,$T$12),2)))</f>
        <v>67.465834828753273</v>
      </c>
      <c r="L17" s="988">
        <f>IF(B17="",0,K17*TAN(RADIANS(J17))+CHOOSE(B17,Hobs1,Hobs2,Hobs3))</f>
        <v>7.693372050943351</v>
      </c>
      <c r="M17" s="995"/>
      <c r="N17" s="1003" t="str">
        <f t="shared" si="1"/>
        <v>Centre du champ PV G.C.: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336</v>
      </c>
      <c r="B18" s="910">
        <v>3</v>
      </c>
      <c r="C18" s="969"/>
      <c r="D18" s="911">
        <v>506.25062499999996</v>
      </c>
      <c r="E18" s="911">
        <v>451.90000000000003</v>
      </c>
      <c r="F18" s="983"/>
      <c r="G18" s="973"/>
      <c r="H18" s="973"/>
      <c r="I18" s="973"/>
      <c r="J18" s="994">
        <f>IF(B18="",0,C18*CHOOSE(B18,Rata1,Rata2,Rata3))</f>
        <v>0</v>
      </c>
      <c r="K18" s="989">
        <f>IF(B18="",0,SQRT(+POWER(D18-CHOOSE(B18,$S$10,$S$11,$S$12),2)+POWER(E18-CHOOSE(B18,$T$10,$T$11,$T$12),2)))</f>
        <v>67.978326604077452</v>
      </c>
      <c r="L18" s="1132">
        <f>L17</f>
        <v>7.693372050943351</v>
      </c>
      <c r="M18" s="995"/>
      <c r="N18" s="1003" t="str">
        <f t="shared" si="1"/>
        <v>Centre du champ PV D.C.: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 t="s">
        <v>337</v>
      </c>
      <c r="B19" s="958">
        <v>3</v>
      </c>
      <c r="C19" s="997"/>
      <c r="D19" s="962">
        <v>500.19687499999998</v>
      </c>
      <c r="E19" s="963">
        <v>456.36</v>
      </c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69.307617797509266</v>
      </c>
      <c r="L19" s="1148">
        <f>L17</f>
        <v>7.693372050943351</v>
      </c>
      <c r="M19" s="998"/>
      <c r="N19" s="1004" t="str">
        <f t="shared" si="1"/>
        <v>Centre du champ PV D.E.: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98.494396668640917</v>
      </c>
      <c r="H20" s="975">
        <f>+Azi_pv_sel-180</f>
        <v>-145</v>
      </c>
      <c r="I20" s="976">
        <f>J3</f>
        <v>14.036243467926479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326</v>
      </c>
      <c r="B21" s="910">
        <v>2</v>
      </c>
      <c r="C21" s="969">
        <v>23.28</v>
      </c>
      <c r="D21" s="911">
        <v>531.28</v>
      </c>
      <c r="E21" s="911">
        <v>430.72</v>
      </c>
      <c r="F21" s="971"/>
      <c r="G21" s="999">
        <f t="shared" si="2"/>
        <v>20.938610623547444</v>
      </c>
      <c r="H21" s="977">
        <f t="shared" ref="H21:H31" si="7">DEGREES(ATAN2(CHOOSE($N$14,E$16,E$17,E$18,E$19)-$E21,CHOOSE($N$14,D$16,D$17,D$18,D$19)-$D21))</f>
        <v>-46.505603331359083</v>
      </c>
      <c r="I21" s="978">
        <f t="shared" ref="I21:I31" si="8">DEGREES(ATAN2(M21,$L21-L$14))</f>
        <v>15.588530155134666</v>
      </c>
      <c r="J21" s="994">
        <f t="shared" si="3"/>
        <v>4.2238123211776166</v>
      </c>
      <c r="K21" s="989">
        <f t="shared" si="4"/>
        <v>118.92292672146942</v>
      </c>
      <c r="L21" s="988">
        <f t="shared" si="5"/>
        <v>12.662846662669157</v>
      </c>
      <c r="M21" s="989">
        <f t="shared" si="6"/>
        <v>17.81242413361036</v>
      </c>
      <c r="N21" s="1000" t="str">
        <f t="shared" si="1"/>
        <v>Arbre 1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156</v>
      </c>
      <c r="B22" s="910">
        <v>2</v>
      </c>
      <c r="C22" s="969">
        <v>23.32</v>
      </c>
      <c r="D22" s="911">
        <v>527.07000000000005</v>
      </c>
      <c r="E22" s="911">
        <v>424.77</v>
      </c>
      <c r="F22" s="971"/>
      <c r="G22" s="999">
        <f t="shared" si="2"/>
        <v>10.908758197002676</v>
      </c>
      <c r="H22" s="977">
        <f t="shared" si="7"/>
        <v>-25.566992707811639</v>
      </c>
      <c r="I22" s="978">
        <f t="shared" si="8"/>
        <v>15.15668690214536</v>
      </c>
      <c r="J22" s="994">
        <f t="shared" si="3"/>
        <v>4.231069730664176</v>
      </c>
      <c r="K22" s="989">
        <f t="shared" si="4"/>
        <v>125.45960983519754</v>
      </c>
      <c r="L22" s="988">
        <f t="shared" si="5"/>
        <v>13.161580320520432</v>
      </c>
      <c r="M22" s="989">
        <f t="shared" si="6"/>
        <v>20.186650688403653</v>
      </c>
      <c r="N22" s="1000" t="str">
        <f t="shared" si="1"/>
        <v>Arbre 2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324</v>
      </c>
      <c r="B23" s="910">
        <v>1</v>
      </c>
      <c r="C23" s="969">
        <v>26.25</v>
      </c>
      <c r="D23" s="911">
        <v>524.45000000000005</v>
      </c>
      <c r="E23" s="911">
        <v>419.69</v>
      </c>
      <c r="F23" s="971"/>
      <c r="G23" s="999">
        <f t="shared" si="2"/>
        <v>16.694460526713293</v>
      </c>
      <c r="H23" s="977">
        <f t="shared" si="7"/>
        <v>-14.658234510808963</v>
      </c>
      <c r="I23" s="978">
        <f t="shared" si="8"/>
        <v>2.9092933441902238</v>
      </c>
      <c r="J23" s="994">
        <f t="shared" si="3"/>
        <v>13.767059100659536</v>
      </c>
      <c r="K23" s="989">
        <f t="shared" si="4"/>
        <v>30.066847190884523</v>
      </c>
      <c r="L23" s="988">
        <f t="shared" si="5"/>
        <v>8.9167994426037094</v>
      </c>
      <c r="M23" s="989">
        <f t="shared" si="6"/>
        <v>24.073534036689061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31.12</v>
      </c>
      <c r="D24" s="911">
        <v>515.35</v>
      </c>
      <c r="E24" s="911">
        <v>406.62</v>
      </c>
      <c r="F24" s="971" t="s">
        <v>283</v>
      </c>
      <c r="G24" s="999">
        <f t="shared" si="2"/>
        <v>7.5010000000000003</v>
      </c>
      <c r="H24" s="977">
        <f t="shared" si="7"/>
        <v>4.7294072780479741</v>
      </c>
      <c r="I24" s="978">
        <f t="shared" si="8"/>
        <v>8.3475982790696062</v>
      </c>
      <c r="J24" s="994">
        <f t="shared" si="3"/>
        <v>16.321176350953323</v>
      </c>
      <c r="K24" s="989">
        <f t="shared" si="4"/>
        <v>39.262124242073291</v>
      </c>
      <c r="L24" s="988">
        <f t="shared" si="5"/>
        <v>13.046802306582162</v>
      </c>
      <c r="M24" s="989">
        <f t="shared" si="6"/>
        <v>36.484221466486382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29.32</v>
      </c>
      <c r="D25" s="911">
        <v>511.3</v>
      </c>
      <c r="E25" s="911">
        <v>400.97</v>
      </c>
      <c r="F25" s="971"/>
      <c r="G25" s="999">
        <f t="shared" si="2"/>
        <v>8.191299726060862</v>
      </c>
      <c r="H25" s="977">
        <f t="shared" si="7"/>
        <v>9.5372260159043307</v>
      </c>
      <c r="I25" s="978">
        <f t="shared" si="8"/>
        <v>8.115003282847157</v>
      </c>
      <c r="J25" s="994">
        <f t="shared" si="3"/>
        <v>15.377149441193811</v>
      </c>
      <c r="K25" s="989">
        <f t="shared" si="4"/>
        <v>44.42440095262959</v>
      </c>
      <c r="L25" s="988">
        <f t="shared" si="5"/>
        <v>13.767459346916965</v>
      </c>
      <c r="M25" s="989">
        <f t="shared" si="6"/>
        <v>42.598793744842396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321</v>
      </c>
      <c r="B26" s="910">
        <v>1</v>
      </c>
      <c r="C26" s="969">
        <v>22.08</v>
      </c>
      <c r="D26" s="911">
        <v>504.49</v>
      </c>
      <c r="E26" s="911">
        <v>399.6</v>
      </c>
      <c r="F26" s="971"/>
      <c r="G26" s="999">
        <f t="shared" si="2"/>
        <v>13.040105186758986</v>
      </c>
      <c r="H26" s="977">
        <f t="shared" si="7"/>
        <v>17.728525741965193</v>
      </c>
      <c r="I26" s="978">
        <f t="shared" si="8"/>
        <v>4.1008354462587926</v>
      </c>
      <c r="J26" s="994">
        <f t="shared" si="3"/>
        <v>11.580063426383333</v>
      </c>
      <c r="K26" s="989">
        <f t="shared" si="4"/>
        <v>45.916184510475141</v>
      </c>
      <c r="L26" s="988">
        <f t="shared" si="5"/>
        <v>10.958590125511869</v>
      </c>
      <c r="M26" s="989">
        <f t="shared" si="6"/>
        <v>45.542829194238948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325</v>
      </c>
      <c r="B27" s="910">
        <v>2</v>
      </c>
      <c r="C27" s="969">
        <v>26.53</v>
      </c>
      <c r="D27" s="911">
        <v>492.87</v>
      </c>
      <c r="E27" s="911">
        <v>400.17</v>
      </c>
      <c r="F27" s="971"/>
      <c r="G27" s="999">
        <f t="shared" si="2"/>
        <v>10.402720394426652</v>
      </c>
      <c r="H27" s="977">
        <f>DEGREES(ATAN2(CHOOSE($N$14,E$16,E$17,E$18,E$19)-$E27,CHOOSE($N$14,D$16,D$17,D$18,D$19)-$D27))</f>
        <v>30.768630928724178</v>
      </c>
      <c r="I27" s="978">
        <f t="shared" si="8"/>
        <v>10.812701582405586</v>
      </c>
      <c r="J27" s="994">
        <f t="shared" si="3"/>
        <v>4.8134768419605747</v>
      </c>
      <c r="K27" s="989">
        <f t="shared" si="4"/>
        <v>158.28530475063056</v>
      </c>
      <c r="L27" s="988">
        <f t="shared" si="5"/>
        <v>17.209082795066976</v>
      </c>
      <c r="M27" s="989">
        <f t="shared" si="6"/>
        <v>49.823093199997366</v>
      </c>
      <c r="N27" s="1000" t="str">
        <f t="shared" si="1"/>
        <v>Arbre 9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327</v>
      </c>
      <c r="B28" s="910">
        <v>1</v>
      </c>
      <c r="C28" s="969">
        <v>28.82</v>
      </c>
      <c r="D28" s="911">
        <v>485.16</v>
      </c>
      <c r="E28" s="911">
        <v>398.74</v>
      </c>
      <c r="F28" s="971" t="s">
        <v>283</v>
      </c>
      <c r="G28" s="999">
        <f t="shared" si="2"/>
        <v>7.5009999999999977</v>
      </c>
      <c r="H28" s="977">
        <f t="shared" si="7"/>
        <v>36.884917997337375</v>
      </c>
      <c r="I28" s="978">
        <f t="shared" si="8"/>
        <v>8.1862705280202093</v>
      </c>
      <c r="J28" s="994">
        <f t="shared" si="3"/>
        <v>15.114919744038392</v>
      </c>
      <c r="K28" s="989">
        <f t="shared" si="4"/>
        <v>52.203843728216007</v>
      </c>
      <c r="L28" s="988">
        <f>IF(B28="",0,K28*TAN(RADIANS(J28))+CHOOSE(B28,Hobs1,Hobs2,Hobs3))</f>
        <v>15.650262574533674</v>
      </c>
      <c r="M28" s="989">
        <f t="shared" si="6"/>
        <v>55.310876900620755</v>
      </c>
      <c r="N28" s="1000" t="str">
        <f t="shared" si="1"/>
        <v>Arbre 10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328</v>
      </c>
      <c r="B29" s="910">
        <v>1</v>
      </c>
      <c r="C29" s="969">
        <v>20.39</v>
      </c>
      <c r="D29" s="911">
        <v>478</v>
      </c>
      <c r="E29" s="911">
        <v>407.49</v>
      </c>
      <c r="F29" s="971"/>
      <c r="G29" s="999">
        <f t="shared" si="2"/>
        <v>14.577599891811396</v>
      </c>
      <c r="H29" s="977">
        <f t="shared" si="7"/>
        <v>48.672351323150828</v>
      </c>
      <c r="I29" s="978">
        <f t="shared" si="8"/>
        <v>3.2591223611509572</v>
      </c>
      <c r="J29" s="994">
        <f t="shared" si="3"/>
        <v>10.693727049998015</v>
      </c>
      <c r="K29" s="989">
        <f t="shared" si="4"/>
        <v>48.738504285626163</v>
      </c>
      <c r="L29" s="988">
        <f t="shared" si="5"/>
        <v>10.753709522546185</v>
      </c>
      <c r="M29" s="989">
        <f t="shared" si="6"/>
        <v>53.743077261314532</v>
      </c>
      <c r="N29" s="1000" t="str">
        <f t="shared" si="1"/>
        <v>Arbre 11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330</v>
      </c>
      <c r="B30" s="910">
        <v>2</v>
      </c>
      <c r="C30" s="969">
        <v>33.270000000000003</v>
      </c>
      <c r="D30" s="911">
        <v>473.6</v>
      </c>
      <c r="E30" s="911">
        <v>420.42</v>
      </c>
      <c r="F30" s="971"/>
      <c r="G30" s="999">
        <f t="shared" si="2"/>
        <v>8.3528072547029097</v>
      </c>
      <c r="H30" s="977">
        <f t="shared" si="7"/>
        <v>63.249951214962223</v>
      </c>
      <c r="I30" s="978">
        <f t="shared" si="8"/>
        <v>13.313344592336636</v>
      </c>
      <c r="J30" s="994">
        <f t="shared" si="3"/>
        <v>6.0363503404458472</v>
      </c>
      <c r="K30" s="989">
        <f t="shared" si="4"/>
        <v>148.2244841448267</v>
      </c>
      <c r="L30" s="988">
        <f t="shared" si="5"/>
        <v>19.55410476364262</v>
      </c>
      <c r="M30" s="989">
        <f t="shared" si="6"/>
        <v>50.122284001386255</v>
      </c>
      <c r="N30" s="1000" t="str">
        <f t="shared" si="1"/>
        <v>Arbre 13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331</v>
      </c>
      <c r="B31" s="910">
        <v>1</v>
      </c>
      <c r="C31" s="969">
        <v>21.94</v>
      </c>
      <c r="D31" s="911">
        <v>459.94</v>
      </c>
      <c r="E31" s="911">
        <v>423.55</v>
      </c>
      <c r="F31" s="971" t="s">
        <v>135</v>
      </c>
      <c r="G31" s="999">
        <f t="shared" si="2"/>
        <v>7.5010000000000048</v>
      </c>
      <c r="H31" s="977">
        <f t="shared" si="7"/>
        <v>71.602758469665133</v>
      </c>
      <c r="I31" s="978">
        <f t="shared" si="8"/>
        <v>4.3960141049156878</v>
      </c>
      <c r="J31" s="994">
        <f t="shared" si="3"/>
        <v>11.506639111179817</v>
      </c>
      <c r="K31" s="989">
        <f t="shared" si="4"/>
        <v>53.426557066687359</v>
      </c>
      <c r="L31" s="988">
        <f t="shared" si="5"/>
        <v>12.426203058514156</v>
      </c>
      <c r="M31" s="989">
        <f t="shared" si="6"/>
        <v>61.564618316981566</v>
      </c>
      <c r="N31" s="1000" t="str">
        <f t="shared" si="1"/>
        <v>Arbre 14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332</v>
      </c>
      <c r="B32" s="910">
        <v>1</v>
      </c>
      <c r="C32" s="970">
        <v>20.85</v>
      </c>
      <c r="D32" s="911">
        <v>453.14</v>
      </c>
      <c r="E32" s="911">
        <v>427.02</v>
      </c>
      <c r="F32" s="971"/>
      <c r="G32" s="999">
        <f t="shared" si="2"/>
        <v>9.4252325062500404</v>
      </c>
      <c r="H32" s="977">
        <f t="shared" ref="H32" si="9">DEGREES(ATAN2(CHOOSE($N$14,E$16,E$17,E$18,E$19)-$E32,CHOOSE($N$14,D$16,D$17,D$18,D$19)-$D32))</f>
        <v>76.248983497378035</v>
      </c>
      <c r="I32" s="978">
        <f t="shared" ref="I32" si="10">DEGREES(ATAN2(M32,$L32-L$14))</f>
        <v>4.3978139498266886</v>
      </c>
      <c r="J32" s="994">
        <f t="shared" si="3"/>
        <v>10.934978371381003</v>
      </c>
      <c r="K32" s="989">
        <f t="shared" si="4"/>
        <v>58.524679409630288</v>
      </c>
      <c r="L32" s="988">
        <f t="shared" si="5"/>
        <v>12.857134760638409</v>
      </c>
      <c r="M32" s="989">
        <f t="shared" si="6"/>
        <v>67.142575378932435</v>
      </c>
      <c r="N32" s="1000" t="str">
        <f t="shared" si="1"/>
        <v>Arbre 15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333</v>
      </c>
      <c r="B33" s="910">
        <v>1</v>
      </c>
      <c r="C33" s="970">
        <v>16.05</v>
      </c>
      <c r="D33" s="911">
        <v>443.98</v>
      </c>
      <c r="E33" s="911">
        <v>441.07</v>
      </c>
      <c r="F33" s="971"/>
      <c r="G33" s="999">
        <f t="shared" si="2"/>
        <v>36.471009024084822</v>
      </c>
      <c r="H33" s="977">
        <f t="shared" ref="H33" si="11">DEGREES(ATAN2(CHOOSE($N$14,E$16,E$17,E$18,E$19)-$E33,CHOOSE($N$14,D$16,D$17,D$18,D$19)-$D33))</f>
        <v>88.528990975915178</v>
      </c>
      <c r="I33" s="978">
        <f t="shared" ref="I33" si="12">DEGREES(ATAN2(M33,$L33-L$14))</f>
        <v>2.6617708783365406</v>
      </c>
      <c r="J33" s="994">
        <f t="shared" si="3"/>
        <v>8.4175732786889732</v>
      </c>
      <c r="K33" s="989">
        <f t="shared" si="4"/>
        <v>64.889328860761069</v>
      </c>
      <c r="L33" s="988">
        <f t="shared" si="5"/>
        <v>11.1523596389296</v>
      </c>
      <c r="M33" s="989">
        <f t="shared" si="6"/>
        <v>74.402644969890815</v>
      </c>
      <c r="N33" s="1000" t="str">
        <f t="shared" si="1"/>
        <v>Arbre 16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349</v>
      </c>
      <c r="B34" s="910"/>
      <c r="C34" s="970"/>
      <c r="D34" s="911"/>
      <c r="E34" s="911"/>
      <c r="F34" s="971"/>
      <c r="G34" s="999">
        <f t="shared" si="2"/>
        <v>90</v>
      </c>
      <c r="H34" s="977">
        <f>+Azi_pv_sel+90</f>
        <v>125</v>
      </c>
      <c r="I34" s="978">
        <v>1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 t="str">
        <f t="shared" si="1"/>
        <v>Toiture D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 t="s">
        <v>161</v>
      </c>
      <c r="B35" s="910"/>
      <c r="C35" s="964"/>
      <c r="D35" s="911"/>
      <c r="E35" s="911"/>
      <c r="F35" s="971"/>
      <c r="G35" s="999" t="str">
        <f t="shared" si="2"/>
        <v/>
      </c>
      <c r="H35" s="977">
        <f>+Azi_pv_sel+180</f>
        <v>215</v>
      </c>
      <c r="I35" s="978">
        <v>14.036243467926479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 t="str">
        <f t="shared" si="1"/>
        <v>Arrière PV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v>215</v>
      </c>
      <c r="I36" s="978">
        <v>14.036243467926479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9" si="13">+H36</f>
        <v>215</v>
      </c>
      <c r="I37" s="978">
        <f t="shared" si="13"/>
        <v>14.036243467926479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si="13"/>
        <v>215</v>
      </c>
      <c r="I38" s="978">
        <f t="shared" si="13"/>
        <v>14.036243467926479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9"/>
      <c r="D39" s="911"/>
      <c r="E39" s="911"/>
      <c r="F39" s="971"/>
      <c r="G39" s="999" t="str">
        <f t="shared" si="2"/>
        <v/>
      </c>
      <c r="H39" s="977">
        <f t="shared" si="13"/>
        <v>215</v>
      </c>
      <c r="I39" s="978">
        <f t="shared" si="13"/>
        <v>14.036243467926479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9"/>
      <c r="D40" s="911"/>
      <c r="E40" s="911"/>
      <c r="F40" s="971"/>
      <c r="G40" s="999" t="str">
        <f t="shared" si="2"/>
        <v/>
      </c>
      <c r="H40" s="977">
        <f t="shared" ref="H40:H43" si="14">+H39</f>
        <v>215</v>
      </c>
      <c r="I40" s="978">
        <f t="shared" ref="I40:I43" si="15">+I39</f>
        <v>14.036243467926479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9"/>
      <c r="D41" s="911"/>
      <c r="E41" s="911"/>
      <c r="F41" s="971"/>
      <c r="G41" s="999" t="str">
        <f t="shared" si="2"/>
        <v/>
      </c>
      <c r="H41" s="977">
        <f t="shared" si="14"/>
        <v>215</v>
      </c>
      <c r="I41" s="978">
        <f t="shared" si="15"/>
        <v>14.036243467926479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70"/>
      <c r="D42" s="911"/>
      <c r="E42" s="911"/>
      <c r="F42" s="971"/>
      <c r="G42" s="999" t="str">
        <f t="shared" si="2"/>
        <v/>
      </c>
      <c r="H42" s="977">
        <f t="shared" si="14"/>
        <v>215</v>
      </c>
      <c r="I42" s="978">
        <f t="shared" si="15"/>
        <v>14.036243467926479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215</v>
      </c>
      <c r="I43" s="980">
        <f t="shared" si="15"/>
        <v>14.036243467926479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186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347</v>
      </c>
      <c r="B45" s="910">
        <v>3</v>
      </c>
      <c r="C45" s="969">
        <v>4.42</v>
      </c>
      <c r="D45" s="911">
        <v>510.71</v>
      </c>
      <c r="E45" s="911">
        <v>447.92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348</v>
      </c>
      <c r="B46" s="910">
        <v>3</v>
      </c>
      <c r="C46" s="969">
        <v>1.85</v>
      </c>
      <c r="D46" s="911">
        <v>510.71</v>
      </c>
      <c r="E46" s="911">
        <v>447.92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18.59</v>
      </c>
      <c r="D47" s="911">
        <v>528.21</v>
      </c>
      <c r="E47" s="911">
        <v>348.51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 t="s">
        <v>321</v>
      </c>
      <c r="B48" s="910">
        <v>1</v>
      </c>
      <c r="C48" s="969">
        <v>22.08</v>
      </c>
      <c r="D48" s="911">
        <v>504.49</v>
      </c>
      <c r="E48" s="911">
        <v>399.6</v>
      </c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 t="s">
        <v>322</v>
      </c>
      <c r="B49" s="910">
        <v>1</v>
      </c>
      <c r="C49" s="969">
        <v>24.77</v>
      </c>
      <c r="D49" s="911">
        <v>498.82</v>
      </c>
      <c r="E49" s="911">
        <v>399.47</v>
      </c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 t="s">
        <v>329</v>
      </c>
      <c r="B50" s="910">
        <v>1</v>
      </c>
      <c r="C50" s="969">
        <v>22.23</v>
      </c>
      <c r="D50" s="911">
        <v>481.26</v>
      </c>
      <c r="E50" s="911">
        <v>414.94</v>
      </c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168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197</v>
      </c>
      <c r="C53" s="1094">
        <v>1</v>
      </c>
      <c r="E53" s="684"/>
      <c r="G53" s="686" t="s">
        <v>320</v>
      </c>
      <c r="H53" s="1114">
        <f>I1</f>
        <v>44582</v>
      </c>
      <c r="L53" s="1020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40" t="s">
        <v>314</v>
      </c>
      <c r="AO53" s="1241"/>
      <c r="AP53" s="1232" t="s">
        <v>315</v>
      </c>
      <c r="AQ53" s="1233"/>
      <c r="AR53" s="1232" t="s">
        <v>316</v>
      </c>
      <c r="AS53" s="1233"/>
      <c r="AT53" s="1232" t="s">
        <v>317</v>
      </c>
      <c r="AU53" s="1233"/>
      <c r="AV53" s="1232" t="s">
        <v>318</v>
      </c>
      <c r="AW53" s="1233"/>
    </row>
    <row r="54" spans="1:51" s="4" customFormat="1" x14ac:dyDescent="0.25">
      <c r="A54" s="707" t="str">
        <f>Station</f>
        <v>MdS Escalquens</v>
      </c>
      <c r="B54" s="1237" t="s">
        <v>304</v>
      </c>
      <c r="C54" s="1234" t="str">
        <f>"Hauteur fonction de la croissance vue du champ PV "&amp;ZonePV</f>
        <v>Hauteur fonction de la croissance vue du champ PV 1</v>
      </c>
      <c r="D54" s="1235"/>
      <c r="E54" s="1235"/>
      <c r="F54" s="1235"/>
      <c r="G54" s="1235"/>
      <c r="H54" s="1235"/>
      <c r="I54" s="1235"/>
      <c r="J54" s="1235"/>
      <c r="K54" s="1235"/>
      <c r="L54" s="1235"/>
      <c r="M54" s="1236"/>
      <c r="O54" s="918" t="str">
        <f>Station</f>
        <v>MdS Escalquens</v>
      </c>
      <c r="P54" s="919">
        <f>Azi_pv_sel</f>
        <v>35</v>
      </c>
      <c r="Q54" s="1234" t="str">
        <f>"Elevation vue du champ PV zone: "&amp;ZonePV</f>
        <v>Elevation vue du champ PV zone: 1</v>
      </c>
      <c r="R54" s="1235"/>
      <c r="S54" s="1235"/>
      <c r="T54" s="1235"/>
      <c r="U54" s="1235"/>
      <c r="V54" s="1235"/>
      <c r="W54" s="1235"/>
      <c r="X54" s="1235"/>
      <c r="Y54" s="1235"/>
      <c r="Z54" s="1236"/>
      <c r="AA54" s="920">
        <f>Ram_pv</f>
        <v>0.25</v>
      </c>
      <c r="AB54" s="2"/>
      <c r="AC54" s="2"/>
      <c r="AD54" s="28"/>
      <c r="AG54" s="921"/>
      <c r="AH54" s="922" t="s">
        <v>288</v>
      </c>
      <c r="AJ54" s="1230" t="s">
        <v>311</v>
      </c>
      <c r="AK54" s="1061"/>
      <c r="AL54" s="1061"/>
      <c r="AM54" s="1061"/>
      <c r="AN54" s="1228" t="s">
        <v>305</v>
      </c>
      <c r="AO54" s="1229"/>
      <c r="AP54" s="1226" t="s">
        <v>305</v>
      </c>
      <c r="AQ54" s="1227"/>
      <c r="AR54" s="1226" t="s">
        <v>305</v>
      </c>
      <c r="AS54" s="1227"/>
      <c r="AT54" s="1226" t="s">
        <v>305</v>
      </c>
      <c r="AU54" s="1227"/>
      <c r="AV54" s="1226" t="s">
        <v>305</v>
      </c>
      <c r="AW54" s="1227"/>
    </row>
    <row r="55" spans="1:51" s="19" customFormat="1" ht="13.5" thickBot="1" x14ac:dyDescent="0.25">
      <c r="A55" s="708" t="s">
        <v>303</v>
      </c>
      <c r="B55" s="1237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295</v>
      </c>
      <c r="AC55" s="924" t="s">
        <v>290</v>
      </c>
      <c r="AD55" s="923" t="s">
        <v>289</v>
      </c>
      <c r="AE55" s="924" t="s">
        <v>291</v>
      </c>
      <c r="AF55" s="925" t="s">
        <v>292</v>
      </c>
      <c r="AG55" s="926" t="s">
        <v>293</v>
      </c>
      <c r="AH55" s="927" t="s">
        <v>294</v>
      </c>
      <c r="AJ55" s="1231"/>
      <c r="AK55" s="82" t="s">
        <v>307</v>
      </c>
      <c r="AL55" s="82" t="s">
        <v>309</v>
      </c>
      <c r="AM55" s="82" t="s">
        <v>310</v>
      </c>
      <c r="AN55" s="1070" t="s">
        <v>308</v>
      </c>
      <c r="AO55" s="1071" t="s">
        <v>306</v>
      </c>
      <c r="AP55" s="1072" t="s">
        <v>308</v>
      </c>
      <c r="AQ55" s="1073" t="s">
        <v>306</v>
      </c>
      <c r="AR55" s="1072" t="s">
        <v>308</v>
      </c>
      <c r="AS55" s="1073" t="s">
        <v>306</v>
      </c>
      <c r="AT55" s="1072" t="s">
        <v>308</v>
      </c>
      <c r="AU55" s="1073" t="s">
        <v>306</v>
      </c>
      <c r="AV55" s="1072" t="s">
        <v>308</v>
      </c>
      <c r="AW55" s="1073" t="s">
        <v>306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-145</v>
      </c>
      <c r="Q56" s="1084">
        <f t="shared" ref="Q56:Q79" si="22">MAX(IF($N56=0,$I20,DEGREES(ATAN2($N56,C56-H_pv))),Elev_F+0)</f>
        <v>14.036243467926479</v>
      </c>
      <c r="R56" s="688">
        <f t="shared" ref="R56:R79" si="23">MAX(IF($N56=0,$I20,DEGREES(ATAN2($N56,D56-H_pv))),Elev_F+0)</f>
        <v>14.036243467926479</v>
      </c>
      <c r="S56" s="688">
        <f t="shared" ref="S56:S79" si="24">MAX(IF($N56=0,$I20,DEGREES(ATAN2($N56,E56-H_pv))),Elev_F+0)</f>
        <v>14.036243467926479</v>
      </c>
      <c r="T56" s="688">
        <f t="shared" ref="T56:T79" si="25">MAX(IF($N56=0,$I20,DEGREES(ATAN2($N56,F56-H_pv))),Elev_F+0)</f>
        <v>14.036243467926479</v>
      </c>
      <c r="U56" s="944">
        <f t="shared" ref="U56:U79" si="26">MAX(IF($N56=0,$I20,DEGREES(ATAN2($N56,G56-H_pv))),Elev_F+0)</f>
        <v>14.036243467926479</v>
      </c>
      <c r="V56" s="1085">
        <f t="shared" ref="V56:V79" si="27">MAX(IF($N56=0,$I20,DEGREES(ATAN2($N56,H56-H_pv))),Elev_F+0)</f>
        <v>14.036243467926479</v>
      </c>
      <c r="W56" s="685">
        <f t="shared" ref="W56:W79" si="28">MAX(IF($N56=0,$I20,DEGREES(ATAN2($N56,I56-H_pv))),Elev_F+0)</f>
        <v>14.036243467926479</v>
      </c>
      <c r="X56" s="688">
        <f t="shared" ref="X56:X79" si="29">MAX(IF($N56=0,$I20,DEGREES(ATAN2($N56,J56-H_pv))),Elev_F+0)</f>
        <v>14.036243467926479</v>
      </c>
      <c r="Y56" s="688">
        <f t="shared" ref="Y56:Y79" si="30">MAX(IF($N56=0,$I20,DEGREES(ATAN2($N56,K56-H_pv))),Elev_F+0)</f>
        <v>14.036243467926479</v>
      </c>
      <c r="Z56" s="688">
        <f t="shared" ref="Z56:Z79" si="31">MAX(IF($N56=0,$I20,DEGREES(ATAN2($N56,L56-H_pv))),Elev_F+0)</f>
        <v>14.036243467926479</v>
      </c>
      <c r="AA56" s="944">
        <f t="shared" ref="AA56:AA79" si="32">MAX(IF($N56=0,$I20,DEGREES(ATAN2($N56,M56-H_pv))),Elev_F+0)</f>
        <v>14.036243467926479</v>
      </c>
      <c r="AB56" s="1048">
        <f t="shared" ref="AB56:AB78" si="33">(AA56+AA57)/2</f>
        <v>21.635821015271809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98.494396668640917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-145</v>
      </c>
      <c r="AM56" s="1063">
        <f>INDEX($AO$56:$AO$79,$AK56)</f>
        <v>1</v>
      </c>
      <c r="AN56" s="1074">
        <f t="shared" ref="AN56:AN67" si="36">IF(AND(AX56=0,AX57=0),MAX(AN55,$H$43+1),AX56)</f>
        <v>-145</v>
      </c>
      <c r="AO56" s="1075">
        <f>IF(AND(AY56=0,AY57=0),$I$43,AY56)</f>
        <v>1</v>
      </c>
      <c r="AP56" s="1067">
        <f>$H$20</f>
        <v>-145</v>
      </c>
      <c r="AQ56" s="1068">
        <v>1</v>
      </c>
      <c r="AR56" s="1067">
        <f>$H$20</f>
        <v>-145</v>
      </c>
      <c r="AS56" s="1068">
        <f>AS57</f>
        <v>1</v>
      </c>
      <c r="AT56" s="1067">
        <f>$H$20</f>
        <v>-145</v>
      </c>
      <c r="AU56" s="1068">
        <f>AU57</f>
        <v>1</v>
      </c>
      <c r="AV56" s="1067">
        <f>$H$20</f>
        <v>-145</v>
      </c>
      <c r="AW56" s="1068">
        <f>AW57</f>
        <v>1</v>
      </c>
      <c r="AX56" s="28">
        <f t="shared" ref="AX56:AX79" si="37">CHOOSE(ZonePV,AP56,AR56,AT56,AV56)</f>
        <v>-145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Arbre 1</v>
      </c>
      <c r="B57" s="1025">
        <v>1</v>
      </c>
      <c r="C57" s="1080">
        <f t="shared" ref="C57:M57" si="39">$L21+C$55*Rapous</f>
        <v>7.6628466626691569</v>
      </c>
      <c r="D57" s="1080">
        <f t="shared" si="39"/>
        <v>8.6628466626691569</v>
      </c>
      <c r="E57" s="1080">
        <f t="shared" si="39"/>
        <v>9.6628466626691569</v>
      </c>
      <c r="F57" s="1080">
        <f t="shared" si="39"/>
        <v>10.662846662669157</v>
      </c>
      <c r="G57" s="1081">
        <f t="shared" si="39"/>
        <v>11.662846662669157</v>
      </c>
      <c r="H57" s="1082">
        <f t="shared" si="39"/>
        <v>12.662846662669157</v>
      </c>
      <c r="I57" s="1083">
        <f t="shared" si="39"/>
        <v>13.662846662669157</v>
      </c>
      <c r="J57" s="1080">
        <f t="shared" si="39"/>
        <v>14.662846662669157</v>
      </c>
      <c r="K57" s="1080">
        <f t="shared" si="39"/>
        <v>15.662846662669157</v>
      </c>
      <c r="L57" s="1080">
        <f t="shared" si="39"/>
        <v>16.662846662669157</v>
      </c>
      <c r="M57" s="1081">
        <f t="shared" si="39"/>
        <v>17.662846662669157</v>
      </c>
      <c r="N57" s="688">
        <f t="shared" si="19"/>
        <v>17.81242413361036</v>
      </c>
      <c r="O57" s="928" t="str">
        <f t="shared" si="20"/>
        <v>Arbre 1</v>
      </c>
      <c r="P57" s="678">
        <f t="shared" si="21"/>
        <v>-46.505603331359083</v>
      </c>
      <c r="Q57" s="685">
        <f t="shared" si="22"/>
        <v>1</v>
      </c>
      <c r="R57" s="688">
        <f t="shared" si="23"/>
        <v>3.1153565609650027</v>
      </c>
      <c r="S57" s="688">
        <f t="shared" si="24"/>
        <v>6.3094212410263646</v>
      </c>
      <c r="T57" s="688">
        <f t="shared" si="25"/>
        <v>9.4646295706585235</v>
      </c>
      <c r="U57" s="944">
        <f t="shared" si="26"/>
        <v>12.563005633828151</v>
      </c>
      <c r="V57" s="1085">
        <f t="shared" si="27"/>
        <v>15.588530155134666</v>
      </c>
      <c r="W57" s="685">
        <f t="shared" si="28"/>
        <v>18.52753717732752</v>
      </c>
      <c r="X57" s="688">
        <f t="shared" si="29"/>
        <v>21.368936287867662</v>
      </c>
      <c r="Y57" s="688">
        <f t="shared" si="30"/>
        <v>24.104267544664051</v>
      </c>
      <c r="Z57" s="688">
        <f t="shared" si="31"/>
        <v>26.727612995043803</v>
      </c>
      <c r="AA57" s="944">
        <f t="shared" si="32"/>
        <v>29.235398562617139</v>
      </c>
      <c r="AB57" s="1052">
        <f t="shared" si="33"/>
        <v>28.322668119587476</v>
      </c>
      <c r="AC57" s="1053">
        <f t="shared" ref="AC57:AC79" si="40">INDEX($AH$56:$AH$82,MATCH(AB57,$AG$56:$AG$82)+1)</f>
        <v>8.1200000000000045</v>
      </c>
      <c r="AD57" s="39" t="b">
        <f t="shared" si="34"/>
        <v>0</v>
      </c>
      <c r="AE57" s="1053">
        <f t="shared" si="35"/>
        <v>20.938610623547444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-145</v>
      </c>
      <c r="AM57" s="1063">
        <f t="shared" ref="AM57:AM79" si="45">INDEX($AO$56:$AO$79,$AK57)</f>
        <v>1</v>
      </c>
      <c r="AN57" s="1074">
        <f t="shared" si="36"/>
        <v>215</v>
      </c>
      <c r="AO57" s="1075">
        <f t="shared" ref="AO57:AO79" si="46">IF(AND(AY57=0,AY58=0),$I$43,AY57)</f>
        <v>1</v>
      </c>
      <c r="AP57" s="1067">
        <f>$H$43</f>
        <v>215</v>
      </c>
      <c r="AQ57" s="1068">
        <v>1</v>
      </c>
      <c r="AR57" s="1067">
        <f>$H$43</f>
        <v>215</v>
      </c>
      <c r="AS57" s="1068">
        <v>1</v>
      </c>
      <c r="AT57" s="1067">
        <f>$H$43</f>
        <v>215</v>
      </c>
      <c r="AU57" s="1068">
        <v>1</v>
      </c>
      <c r="AV57" s="1067">
        <f>$H$43</f>
        <v>215</v>
      </c>
      <c r="AW57" s="1068">
        <v>1</v>
      </c>
      <c r="AX57" s="28">
        <f t="shared" si="37"/>
        <v>215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2</v>
      </c>
      <c r="B58" s="1025">
        <v>1</v>
      </c>
      <c r="C58" s="1080">
        <f t="shared" ref="C58:M58" si="47">$L22+C$55*Rapous</f>
        <v>8.1615803205204323</v>
      </c>
      <c r="D58" s="1080">
        <f t="shared" si="47"/>
        <v>9.1615803205204323</v>
      </c>
      <c r="E58" s="1080">
        <f t="shared" si="47"/>
        <v>10.161580320520432</v>
      </c>
      <c r="F58" s="1080">
        <f t="shared" si="47"/>
        <v>11.161580320520432</v>
      </c>
      <c r="G58" s="1081">
        <f t="shared" si="47"/>
        <v>12.161580320520432</v>
      </c>
      <c r="H58" s="1082">
        <f t="shared" si="47"/>
        <v>13.161580320520432</v>
      </c>
      <c r="I58" s="1083">
        <f t="shared" si="47"/>
        <v>14.161580320520432</v>
      </c>
      <c r="J58" s="1080">
        <f t="shared" si="47"/>
        <v>15.161580320520432</v>
      </c>
      <c r="K58" s="1080">
        <f t="shared" si="47"/>
        <v>16.161580320520432</v>
      </c>
      <c r="L58" s="1080">
        <f t="shared" si="47"/>
        <v>17.161580320520432</v>
      </c>
      <c r="M58" s="1081">
        <f t="shared" si="47"/>
        <v>18.161580320520432</v>
      </c>
      <c r="N58" s="688">
        <f t="shared" si="19"/>
        <v>20.186650688403653</v>
      </c>
      <c r="O58" s="928" t="str">
        <f t="shared" si="20"/>
        <v>Arbre 2</v>
      </c>
      <c r="P58" s="678">
        <f t="shared" si="21"/>
        <v>-25.566992707811639</v>
      </c>
      <c r="Q58" s="685">
        <f t="shared" si="22"/>
        <v>1.3286775130524502</v>
      </c>
      <c r="R58" s="688">
        <f t="shared" si="23"/>
        <v>4.159891369684682</v>
      </c>
      <c r="S58" s="688">
        <f t="shared" si="24"/>
        <v>6.970916118876672</v>
      </c>
      <c r="T58" s="688">
        <f t="shared" si="25"/>
        <v>9.7486416115272423</v>
      </c>
      <c r="U58" s="944">
        <f t="shared" si="26"/>
        <v>12.48088688292923</v>
      </c>
      <c r="V58" s="1085">
        <f t="shared" si="27"/>
        <v>15.15668690214536</v>
      </c>
      <c r="W58" s="685">
        <f t="shared" si="28"/>
        <v>17.766502169192133</v>
      </c>
      <c r="X58" s="688">
        <f t="shared" si="29"/>
        <v>20.302345429391476</v>
      </c>
      <c r="Y58" s="688">
        <f t="shared" si="30"/>
        <v>22.757827906674404</v>
      </c>
      <c r="Z58" s="688">
        <f t="shared" si="31"/>
        <v>25.12813399552757</v>
      </c>
      <c r="AA58" s="944">
        <f t="shared" si="32"/>
        <v>27.409937676557814</v>
      </c>
      <c r="AB58" s="1052">
        <f t="shared" si="33"/>
        <v>20.952278587194954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10.908758197002676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-145</v>
      </c>
      <c r="AM58" s="1063">
        <f t="shared" si="45"/>
        <v>1</v>
      </c>
      <c r="AN58" s="1074">
        <f t="shared" si="36"/>
        <v>216</v>
      </c>
      <c r="AO58" s="1075">
        <f t="shared" si="46"/>
        <v>14.036243467926479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3.9167994426037094</v>
      </c>
      <c r="D59" s="1080">
        <f t="shared" si="48"/>
        <v>4.9167994426037094</v>
      </c>
      <c r="E59" s="1080">
        <f t="shared" si="48"/>
        <v>5.9167994426037094</v>
      </c>
      <c r="F59" s="1080">
        <f t="shared" si="48"/>
        <v>6.9167994426037094</v>
      </c>
      <c r="G59" s="1081">
        <f t="shared" si="48"/>
        <v>7.9167994426037094</v>
      </c>
      <c r="H59" s="1082">
        <f t="shared" si="48"/>
        <v>8.9167994426037094</v>
      </c>
      <c r="I59" s="1083">
        <f t="shared" si="48"/>
        <v>9.9167994426037094</v>
      </c>
      <c r="J59" s="1080">
        <f t="shared" si="48"/>
        <v>10.916799442603709</v>
      </c>
      <c r="K59" s="1080">
        <f t="shared" si="48"/>
        <v>11.916799442603709</v>
      </c>
      <c r="L59" s="1080">
        <f t="shared" si="48"/>
        <v>12.916799442603709</v>
      </c>
      <c r="M59" s="1081">
        <f t="shared" si="48"/>
        <v>13.916799442603709</v>
      </c>
      <c r="N59" s="688">
        <f t="shared" si="19"/>
        <v>24.073534036689061</v>
      </c>
      <c r="O59" s="928" t="str">
        <f t="shared" si="20"/>
        <v>Arbre 3</v>
      </c>
      <c r="P59" s="678">
        <f t="shared" si="21"/>
        <v>-14.658234510808963</v>
      </c>
      <c r="Q59" s="685">
        <f t="shared" si="22"/>
        <v>1</v>
      </c>
      <c r="R59" s="688">
        <f t="shared" si="23"/>
        <v>1</v>
      </c>
      <c r="S59" s="688">
        <f t="shared" si="24"/>
        <v>1</v>
      </c>
      <c r="T59" s="688">
        <f t="shared" si="25"/>
        <v>1</v>
      </c>
      <c r="U59" s="944">
        <f t="shared" si="26"/>
        <v>1</v>
      </c>
      <c r="V59" s="1085">
        <f t="shared" si="27"/>
        <v>2.9092933441902238</v>
      </c>
      <c r="W59" s="685">
        <f t="shared" si="28"/>
        <v>5.2768576923973152</v>
      </c>
      <c r="X59" s="688">
        <f t="shared" si="29"/>
        <v>7.6264974923427529</v>
      </c>
      <c r="Y59" s="688">
        <f t="shared" si="30"/>
        <v>9.9506275369114316</v>
      </c>
      <c r="Z59" s="688">
        <f t="shared" si="31"/>
        <v>12.242160093635551</v>
      </c>
      <c r="AA59" s="944">
        <f t="shared" si="32"/>
        <v>14.494619497832094</v>
      </c>
      <c r="AB59" s="1052">
        <f t="shared" si="33"/>
        <v>15.168705352816872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19.387641788856939</v>
      </c>
      <c r="AF59" s="1054">
        <f t="shared" si="41"/>
        <v>0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-145</v>
      </c>
      <c r="AM59" s="1063">
        <f t="shared" si="45"/>
        <v>1</v>
      </c>
      <c r="AN59" s="1074">
        <f t="shared" si="36"/>
        <v>216</v>
      </c>
      <c r="AO59" s="1075">
        <f t="shared" si="46"/>
        <v>14.036243467926479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8.0468023065821619</v>
      </c>
      <c r="D60" s="1080">
        <f t="shared" si="49"/>
        <v>9.0468023065821619</v>
      </c>
      <c r="E60" s="1080">
        <f t="shared" si="49"/>
        <v>10.046802306582162</v>
      </c>
      <c r="F60" s="1080">
        <f t="shared" si="49"/>
        <v>11.046802306582162</v>
      </c>
      <c r="G60" s="1081">
        <f t="shared" si="49"/>
        <v>12.046802306582162</v>
      </c>
      <c r="H60" s="1082">
        <f t="shared" si="49"/>
        <v>13.046802306582162</v>
      </c>
      <c r="I60" s="1083">
        <f t="shared" si="49"/>
        <v>14.046802306582162</v>
      </c>
      <c r="J60" s="1080">
        <f t="shared" si="49"/>
        <v>15.046802306582162</v>
      </c>
      <c r="K60" s="1080">
        <f t="shared" si="49"/>
        <v>16.046802306582162</v>
      </c>
      <c r="L60" s="1080">
        <f t="shared" si="49"/>
        <v>17.046802306582162</v>
      </c>
      <c r="M60" s="1081">
        <f t="shared" si="49"/>
        <v>18.046802306582162</v>
      </c>
      <c r="N60" s="688">
        <f t="shared" si="19"/>
        <v>36.484221466486382</v>
      </c>
      <c r="O60" s="928" t="str">
        <f t="shared" si="20"/>
        <v>Arbre 5</v>
      </c>
      <c r="P60" s="678">
        <f t="shared" si="21"/>
        <v>2.0362260159043304</v>
      </c>
      <c r="Q60" s="685">
        <f t="shared" si="22"/>
        <v>1</v>
      </c>
      <c r="R60" s="688">
        <f t="shared" si="23"/>
        <v>2.1244882448346103</v>
      </c>
      <c r="S60" s="688">
        <f t="shared" si="24"/>
        <v>3.6907753013635962</v>
      </c>
      <c r="T60" s="688">
        <f t="shared" si="25"/>
        <v>5.2515592256561723</v>
      </c>
      <c r="U60" s="944">
        <f t="shared" si="26"/>
        <v>6.8045681320773364</v>
      </c>
      <c r="V60" s="1085">
        <f t="shared" si="27"/>
        <v>8.3475982790696062</v>
      </c>
      <c r="W60" s="685">
        <f t="shared" si="28"/>
        <v>9.87853189000867</v>
      </c>
      <c r="X60" s="688">
        <f t="shared" si="29"/>
        <v>11.395353164829478</v>
      </c>
      <c r="Y60" s="688">
        <f t="shared" si="30"/>
        <v>12.896162213358712</v>
      </c>
      <c r="Z60" s="688">
        <f t="shared" si="31"/>
        <v>14.379186717455978</v>
      </c>
      <c r="AA60" s="944">
        <f t="shared" si="32"/>
        <v>15.842791207801648</v>
      </c>
      <c r="AB60" s="1052">
        <f t="shared" si="33"/>
        <v>15.207496399512593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4.8078187378563566</v>
      </c>
      <c r="AF60" s="1054">
        <f t="shared" si="41"/>
        <v>-2.6931812621436437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-145</v>
      </c>
      <c r="AM60" s="1063">
        <f t="shared" si="45"/>
        <v>1</v>
      </c>
      <c r="AN60" s="1074">
        <f t="shared" si="36"/>
        <v>216</v>
      </c>
      <c r="AO60" s="1075">
        <f t="shared" si="46"/>
        <v>14.036243467926479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8.767459346916965</v>
      </c>
      <c r="D61" s="1080">
        <f t="shared" si="50"/>
        <v>9.767459346916965</v>
      </c>
      <c r="E61" s="1080">
        <f t="shared" si="50"/>
        <v>10.767459346916965</v>
      </c>
      <c r="F61" s="1080">
        <f t="shared" si="50"/>
        <v>11.767459346916965</v>
      </c>
      <c r="G61" s="1081">
        <f t="shared" si="50"/>
        <v>12.767459346916965</v>
      </c>
      <c r="H61" s="1082">
        <f t="shared" si="50"/>
        <v>13.767459346916965</v>
      </c>
      <c r="I61" s="1083">
        <f t="shared" si="50"/>
        <v>14.767459346916965</v>
      </c>
      <c r="J61" s="1080">
        <f t="shared" si="50"/>
        <v>15.767459346916965</v>
      </c>
      <c r="K61" s="1080">
        <f t="shared" si="50"/>
        <v>16.767459346916965</v>
      </c>
      <c r="L61" s="1080">
        <f t="shared" si="50"/>
        <v>17.767459346916965</v>
      </c>
      <c r="M61" s="1081">
        <f t="shared" si="50"/>
        <v>18.767459346916965</v>
      </c>
      <c r="N61" s="688">
        <f t="shared" si="19"/>
        <v>42.598793744842396</v>
      </c>
      <c r="O61" s="928" t="str">
        <f t="shared" si="20"/>
        <v>Arbre 6</v>
      </c>
      <c r="P61" s="678">
        <f t="shared" si="21"/>
        <v>9.5372260159043307</v>
      </c>
      <c r="Q61" s="685">
        <f t="shared" si="22"/>
        <v>1.4443515182571298</v>
      </c>
      <c r="R61" s="688">
        <f t="shared" si="23"/>
        <v>2.7874657117450767</v>
      </c>
      <c r="S61" s="688">
        <f t="shared" si="24"/>
        <v>4.1275215104574192</v>
      </c>
      <c r="T61" s="688">
        <f t="shared" si="25"/>
        <v>5.4630698704110552</v>
      </c>
      <c r="U61" s="944">
        <f t="shared" si="26"/>
        <v>6.7926910298553551</v>
      </c>
      <c r="V61" s="1085">
        <f t="shared" si="27"/>
        <v>8.115003282847157</v>
      </c>
      <c r="W61" s="685">
        <f t="shared" si="28"/>
        <v>9.4286711511033925</v>
      </c>
      <c r="X61" s="688">
        <f t="shared" si="29"/>
        <v>10.732412840874471</v>
      </c>
      <c r="Y61" s="688">
        <f t="shared" si="30"/>
        <v>12.025006891732028</v>
      </c>
      <c r="Z61" s="688">
        <f t="shared" si="31"/>
        <v>13.305297946106647</v>
      </c>
      <c r="AA61" s="944">
        <f t="shared" si="32"/>
        <v>14.572201591223537</v>
      </c>
      <c r="AB61" s="1052">
        <f t="shared" si="33"/>
        <v>12.429209504611723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8.191299726060862</v>
      </c>
      <c r="AF61" s="1054">
        <f t="shared" si="41"/>
        <v>0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-145</v>
      </c>
      <c r="AM61" s="1063">
        <f t="shared" si="45"/>
        <v>1</v>
      </c>
      <c r="AN61" s="1074">
        <f t="shared" si="36"/>
        <v>216</v>
      </c>
      <c r="AO61" s="1075">
        <f t="shared" si="46"/>
        <v>14.036243467926479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5.9585901255118685</v>
      </c>
      <c r="D62" s="1080">
        <f t="shared" si="51"/>
        <v>6.9585901255118685</v>
      </c>
      <c r="E62" s="1080">
        <f t="shared" si="51"/>
        <v>7.9585901255118685</v>
      </c>
      <c r="F62" s="1080">
        <f t="shared" si="51"/>
        <v>8.9585901255118685</v>
      </c>
      <c r="G62" s="1081">
        <f t="shared" si="51"/>
        <v>9.9585901255118685</v>
      </c>
      <c r="H62" s="1082">
        <f t="shared" si="51"/>
        <v>10.958590125511869</v>
      </c>
      <c r="I62" s="1083">
        <f t="shared" si="51"/>
        <v>11.958590125511869</v>
      </c>
      <c r="J62" s="1080">
        <f t="shared" si="51"/>
        <v>12.958590125511869</v>
      </c>
      <c r="K62" s="1080">
        <f t="shared" si="51"/>
        <v>13.958590125511869</v>
      </c>
      <c r="L62" s="1080">
        <f t="shared" si="51"/>
        <v>14.958590125511869</v>
      </c>
      <c r="M62" s="1081">
        <f t="shared" si="51"/>
        <v>15.958590125511869</v>
      </c>
      <c r="N62" s="688">
        <f t="shared" si="19"/>
        <v>45.542829194238948</v>
      </c>
      <c r="O62" s="928" t="str">
        <f t="shared" si="20"/>
        <v>Arbre 7</v>
      </c>
      <c r="P62" s="678">
        <f t="shared" si="21"/>
        <v>17.728525741965193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1.5913156179506658</v>
      </c>
      <c r="U62" s="944">
        <f t="shared" si="26"/>
        <v>2.8474420606450921</v>
      </c>
      <c r="V62" s="1085">
        <f t="shared" si="27"/>
        <v>4.1008354462587926</v>
      </c>
      <c r="W62" s="685">
        <f t="shared" si="28"/>
        <v>5.3503101019173247</v>
      </c>
      <c r="X62" s="688">
        <f t="shared" si="29"/>
        <v>6.5947026379824685</v>
      </c>
      <c r="Y62" s="688">
        <f t="shared" si="30"/>
        <v>7.8328782520511204</v>
      </c>
      <c r="Z62" s="688">
        <f t="shared" si="31"/>
        <v>9.063736636615161</v>
      </c>
      <c r="AA62" s="944">
        <f t="shared" si="32"/>
        <v>10.286217417999911</v>
      </c>
      <c r="AB62" s="1052">
        <f t="shared" si="33"/>
        <v>13.264718596979339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13.040105186758986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-145</v>
      </c>
      <c r="AM62" s="1063">
        <f t="shared" si="45"/>
        <v>1</v>
      </c>
      <c r="AN62" s="1074">
        <f t="shared" si="36"/>
        <v>216</v>
      </c>
      <c r="AO62" s="1075">
        <f t="shared" si="46"/>
        <v>14.036243467926479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9</v>
      </c>
      <c r="B63" s="1025">
        <v>1</v>
      </c>
      <c r="C63" s="1080">
        <f t="shared" ref="C63:M63" si="52">$L27+C$55*Rapous</f>
        <v>12.209082795066976</v>
      </c>
      <c r="D63" s="1080">
        <f t="shared" si="52"/>
        <v>13.209082795066976</v>
      </c>
      <c r="E63" s="1080">
        <f t="shared" si="52"/>
        <v>14.209082795066976</v>
      </c>
      <c r="F63" s="1080">
        <f t="shared" si="52"/>
        <v>15.209082795066976</v>
      </c>
      <c r="G63" s="1081">
        <f t="shared" si="52"/>
        <v>16.209082795066976</v>
      </c>
      <c r="H63" s="1082">
        <f t="shared" si="52"/>
        <v>17.209082795066976</v>
      </c>
      <c r="I63" s="1083">
        <f t="shared" si="52"/>
        <v>18.209082795066976</v>
      </c>
      <c r="J63" s="1080">
        <f t="shared" si="52"/>
        <v>19.209082795066976</v>
      </c>
      <c r="K63" s="1080">
        <f t="shared" si="52"/>
        <v>20.209082795066976</v>
      </c>
      <c r="L63" s="1080">
        <f t="shared" si="52"/>
        <v>21.209082795066976</v>
      </c>
      <c r="M63" s="1081">
        <f t="shared" si="52"/>
        <v>22.209082795066976</v>
      </c>
      <c r="N63" s="688">
        <f t="shared" si="19"/>
        <v>49.823093199997366</v>
      </c>
      <c r="O63" s="928" t="str">
        <f t="shared" si="20"/>
        <v>Arbre 9</v>
      </c>
      <c r="P63" s="678">
        <f t="shared" si="21"/>
        <v>30.768630928724178</v>
      </c>
      <c r="Q63" s="685">
        <f t="shared" si="22"/>
        <v>5.1788469398262409</v>
      </c>
      <c r="R63" s="688">
        <f t="shared" si="23"/>
        <v>6.3172573944711345</v>
      </c>
      <c r="S63" s="688">
        <f t="shared" si="24"/>
        <v>7.4506823012939725</v>
      </c>
      <c r="T63" s="688">
        <f t="shared" si="25"/>
        <v>8.5782737425869211</v>
      </c>
      <c r="U63" s="944">
        <f t="shared" si="26"/>
        <v>9.6992105541247948</v>
      </c>
      <c r="V63" s="1085">
        <f t="shared" si="27"/>
        <v>10.812701582405586</v>
      </c>
      <c r="W63" s="685">
        <f t="shared" si="28"/>
        <v>11.917988614828911</v>
      </c>
      <c r="X63" s="688">
        <f t="shared" si="29"/>
        <v>13.014348961138849</v>
      </c>
      <c r="Y63" s="688">
        <f t="shared" si="30"/>
        <v>14.101097671014408</v>
      </c>
      <c r="Z63" s="688">
        <f t="shared" si="31"/>
        <v>15.177589379210136</v>
      </c>
      <c r="AA63" s="944">
        <f t="shared" si="32"/>
        <v>16.243219775958767</v>
      </c>
      <c r="AB63" s="1052">
        <f t="shared" si="33"/>
        <v>14.713676576409139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6.1162870686131967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-145</v>
      </c>
      <c r="AM63" s="1063">
        <f t="shared" si="45"/>
        <v>1</v>
      </c>
      <c r="AN63" s="1074">
        <f t="shared" si="36"/>
        <v>216</v>
      </c>
      <c r="AO63" s="1075">
        <f t="shared" si="46"/>
        <v>14.036243467926479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10</v>
      </c>
      <c r="B64" s="1025">
        <v>1</v>
      </c>
      <c r="C64" s="1080">
        <f t="shared" ref="C64:M64" si="53">$L28+C$55*Rapous</f>
        <v>10.650262574533674</v>
      </c>
      <c r="D64" s="1080">
        <f t="shared" si="53"/>
        <v>11.650262574533674</v>
      </c>
      <c r="E64" s="1080">
        <f t="shared" si="53"/>
        <v>12.650262574533674</v>
      </c>
      <c r="F64" s="1080">
        <f t="shared" si="53"/>
        <v>13.650262574533674</v>
      </c>
      <c r="G64" s="1081">
        <f t="shared" si="53"/>
        <v>14.650262574533674</v>
      </c>
      <c r="H64" s="1082">
        <f t="shared" si="53"/>
        <v>15.650262574533674</v>
      </c>
      <c r="I64" s="1083">
        <f t="shared" si="53"/>
        <v>16.650262574533674</v>
      </c>
      <c r="J64" s="1080">
        <f t="shared" si="53"/>
        <v>17.650262574533674</v>
      </c>
      <c r="K64" s="1080">
        <f t="shared" si="53"/>
        <v>18.650262574533674</v>
      </c>
      <c r="L64" s="1080">
        <f t="shared" si="53"/>
        <v>19.650262574533674</v>
      </c>
      <c r="M64" s="1081">
        <f t="shared" si="53"/>
        <v>20.650262574533674</v>
      </c>
      <c r="N64" s="688">
        <f t="shared" si="19"/>
        <v>55.310876900620755</v>
      </c>
      <c r="O64" s="928" t="str">
        <f t="shared" si="20"/>
        <v>Arbre 10</v>
      </c>
      <c r="P64" s="678">
        <f t="shared" si="21"/>
        <v>41.17135132315083</v>
      </c>
      <c r="Q64" s="685">
        <f t="shared" si="22"/>
        <v>3.0600894373597263</v>
      </c>
      <c r="R64" s="688">
        <f t="shared" si="23"/>
        <v>4.0919175799302465</v>
      </c>
      <c r="S64" s="688">
        <f t="shared" si="24"/>
        <v>5.1210941635331837</v>
      </c>
      <c r="T64" s="688">
        <f t="shared" si="25"/>
        <v>6.1469682417091773</v>
      </c>
      <c r="U64" s="944">
        <f t="shared" si="26"/>
        <v>7.1689014981018468</v>
      </c>
      <c r="V64" s="1085">
        <f t="shared" si="27"/>
        <v>8.1862705280202093</v>
      </c>
      <c r="W64" s="685">
        <f t="shared" si="28"/>
        <v>9.1984689813794116</v>
      </c>
      <c r="X64" s="688">
        <f t="shared" si="29"/>
        <v>10.20490955001871</v>
      </c>
      <c r="Y64" s="688">
        <f t="shared" si="30"/>
        <v>11.205025784979858</v>
      </c>
      <c r="Z64" s="688">
        <f t="shared" si="31"/>
        <v>12.198273732069719</v>
      </c>
      <c r="AA64" s="944">
        <f t="shared" si="32"/>
        <v>13.18413337685951</v>
      </c>
      <c r="AB64" s="1052">
        <f t="shared" si="33"/>
        <v>10.856863463378181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11.787433325813453</v>
      </c>
      <c r="AF64" s="1054">
        <f t="shared" si="41"/>
        <v>4.2864333258134524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-145</v>
      </c>
      <c r="AM64" s="1063">
        <f t="shared" si="45"/>
        <v>1</v>
      </c>
      <c r="AN64" s="1074">
        <f t="shared" si="36"/>
        <v>216</v>
      </c>
      <c r="AO64" s="1075">
        <f t="shared" si="46"/>
        <v>14.036243467926479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11</v>
      </c>
      <c r="B65" s="1025">
        <v>1</v>
      </c>
      <c r="C65" s="1080">
        <f t="shared" ref="C65:M65" si="54">$L29+C$55*Rapous</f>
        <v>5.7537095225461847</v>
      </c>
      <c r="D65" s="1080">
        <f t="shared" si="54"/>
        <v>6.7537095225461847</v>
      </c>
      <c r="E65" s="1080">
        <f t="shared" si="54"/>
        <v>7.7537095225461847</v>
      </c>
      <c r="F65" s="1080">
        <f t="shared" si="54"/>
        <v>8.7537095225461847</v>
      </c>
      <c r="G65" s="1081">
        <f t="shared" si="54"/>
        <v>9.7537095225461847</v>
      </c>
      <c r="H65" s="1082">
        <f t="shared" si="54"/>
        <v>10.753709522546185</v>
      </c>
      <c r="I65" s="1083">
        <f t="shared" si="54"/>
        <v>11.753709522546185</v>
      </c>
      <c r="J65" s="1080">
        <f t="shared" si="54"/>
        <v>12.753709522546185</v>
      </c>
      <c r="K65" s="1080">
        <f t="shared" si="54"/>
        <v>13.753709522546185</v>
      </c>
      <c r="L65" s="1080">
        <f t="shared" si="54"/>
        <v>14.753709522546185</v>
      </c>
      <c r="M65" s="1081">
        <f t="shared" si="54"/>
        <v>15.753709522546185</v>
      </c>
      <c r="N65" s="688">
        <f t="shared" si="19"/>
        <v>53.743077261314532</v>
      </c>
      <c r="O65" s="928" t="str">
        <f t="shared" si="20"/>
        <v>Arbre 11</v>
      </c>
      <c r="P65" s="678">
        <f t="shared" si="21"/>
        <v>48.672351323150828</v>
      </c>
      <c r="Q65" s="685">
        <f t="shared" si="22"/>
        <v>1</v>
      </c>
      <c r="R65" s="688">
        <f t="shared" si="23"/>
        <v>1</v>
      </c>
      <c r="S65" s="688">
        <f t="shared" si="24"/>
        <v>1</v>
      </c>
      <c r="T65" s="688">
        <f t="shared" si="25"/>
        <v>1.1302847542569425</v>
      </c>
      <c r="U65" s="944">
        <f t="shared" si="26"/>
        <v>2.1954615557595156</v>
      </c>
      <c r="V65" s="1085">
        <f t="shared" si="27"/>
        <v>3.2591223611509572</v>
      </c>
      <c r="W65" s="685">
        <f t="shared" si="28"/>
        <v>4.3205393179722922</v>
      </c>
      <c r="X65" s="688">
        <f t="shared" si="29"/>
        <v>5.378993793432425</v>
      </c>
      <c r="Y65" s="688">
        <f t="shared" si="30"/>
        <v>6.4337792377982321</v>
      </c>
      <c r="Z65" s="688">
        <f t="shared" si="31"/>
        <v>7.4842039257269892</v>
      </c>
      <c r="AA65" s="944">
        <f t="shared" si="32"/>
        <v>8.5295935498968518</v>
      </c>
      <c r="AB65" s="1052">
        <f t="shared" si="33"/>
        <v>13.561059242156944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14.577599891811396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-145</v>
      </c>
      <c r="AM65" s="1063">
        <f t="shared" si="45"/>
        <v>1</v>
      </c>
      <c r="AN65" s="1074">
        <f t="shared" si="36"/>
        <v>216</v>
      </c>
      <c r="AO65" s="1075">
        <f t="shared" si="46"/>
        <v>14.036243467926479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13</v>
      </c>
      <c r="B66" s="1025">
        <v>1</v>
      </c>
      <c r="C66" s="1080">
        <f t="shared" ref="C66:M66" si="55">$L30+C$55*Rapous</f>
        <v>14.55410476364262</v>
      </c>
      <c r="D66" s="1080">
        <f t="shared" si="55"/>
        <v>15.55410476364262</v>
      </c>
      <c r="E66" s="1080">
        <f t="shared" si="55"/>
        <v>16.55410476364262</v>
      </c>
      <c r="F66" s="1080">
        <f t="shared" si="55"/>
        <v>17.55410476364262</v>
      </c>
      <c r="G66" s="1081">
        <f t="shared" si="55"/>
        <v>18.55410476364262</v>
      </c>
      <c r="H66" s="1082">
        <f t="shared" si="55"/>
        <v>19.55410476364262</v>
      </c>
      <c r="I66" s="1083">
        <f t="shared" si="55"/>
        <v>20.55410476364262</v>
      </c>
      <c r="J66" s="1080">
        <f t="shared" si="55"/>
        <v>21.55410476364262</v>
      </c>
      <c r="K66" s="1080">
        <f t="shared" si="55"/>
        <v>22.55410476364262</v>
      </c>
      <c r="L66" s="1080">
        <f t="shared" si="55"/>
        <v>23.55410476364262</v>
      </c>
      <c r="M66" s="1081">
        <f t="shared" si="55"/>
        <v>24.55410476364262</v>
      </c>
      <c r="N66" s="688">
        <f t="shared" si="19"/>
        <v>50.122284001386255</v>
      </c>
      <c r="O66" s="928" t="str">
        <f t="shared" si="20"/>
        <v>Arbre 13</v>
      </c>
      <c r="P66" s="678">
        <f t="shared" si="21"/>
        <v>63.249951214962223</v>
      </c>
      <c r="Q66" s="685">
        <f t="shared" si="22"/>
        <v>7.7942031701176582</v>
      </c>
      <c r="R66" s="688">
        <f t="shared" si="23"/>
        <v>8.9131571129603504</v>
      </c>
      <c r="S66" s="688">
        <f t="shared" si="24"/>
        <v>10.025299329344318</v>
      </c>
      <c r="T66" s="688">
        <f t="shared" si="25"/>
        <v>11.12986200891574</v>
      </c>
      <c r="U66" s="944">
        <f t="shared" si="26"/>
        <v>12.226110275653891</v>
      </c>
      <c r="V66" s="1085">
        <f t="shared" si="27"/>
        <v>13.313344592336636</v>
      </c>
      <c r="W66" s="685">
        <f t="shared" si="28"/>
        <v>14.390902810963546</v>
      </c>
      <c r="X66" s="688">
        <f t="shared" si="29"/>
        <v>15.458161862633416</v>
      </c>
      <c r="Y66" s="688">
        <f t="shared" si="30"/>
        <v>16.514539086304591</v>
      </c>
      <c r="Z66" s="688">
        <f t="shared" si="31"/>
        <v>17.559493201417762</v>
      </c>
      <c r="AA66" s="944">
        <f t="shared" si="32"/>
        <v>18.592524934417035</v>
      </c>
      <c r="AB66" s="1052">
        <f t="shared" si="33"/>
        <v>13.788069965294305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8.3528072547029097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-145</v>
      </c>
      <c r="AM66" s="1063">
        <f t="shared" si="45"/>
        <v>1</v>
      </c>
      <c r="AN66" s="1074">
        <f t="shared" si="36"/>
        <v>216</v>
      </c>
      <c r="AO66" s="1075">
        <f t="shared" si="46"/>
        <v>14.036243467926479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14</v>
      </c>
      <c r="B67" s="1025">
        <v>1</v>
      </c>
      <c r="C67" s="1080">
        <f t="shared" ref="C67:M67" si="56">$L31+C$55*Rapous</f>
        <v>7.4262030585141563</v>
      </c>
      <c r="D67" s="1080">
        <f t="shared" si="56"/>
        <v>8.4262030585141563</v>
      </c>
      <c r="E67" s="1080">
        <f t="shared" si="56"/>
        <v>9.4262030585141563</v>
      </c>
      <c r="F67" s="1080">
        <f t="shared" si="56"/>
        <v>10.426203058514156</v>
      </c>
      <c r="G67" s="1081">
        <f t="shared" si="56"/>
        <v>11.426203058514156</v>
      </c>
      <c r="H67" s="1082">
        <f t="shared" si="56"/>
        <v>12.426203058514156</v>
      </c>
      <c r="I67" s="1083">
        <f t="shared" si="56"/>
        <v>13.426203058514156</v>
      </c>
      <c r="J67" s="1080">
        <f t="shared" si="56"/>
        <v>14.426203058514156</v>
      </c>
      <c r="K67" s="1080">
        <f t="shared" si="56"/>
        <v>15.426203058514156</v>
      </c>
      <c r="L67" s="1080">
        <f t="shared" si="56"/>
        <v>16.426203058514155</v>
      </c>
      <c r="M67" s="1081">
        <f t="shared" si="56"/>
        <v>17.426203058514155</v>
      </c>
      <c r="N67" s="688">
        <f t="shared" si="19"/>
        <v>61.564618316981566</v>
      </c>
      <c r="O67" s="928" t="str">
        <f t="shared" si="20"/>
        <v>Arbre 14</v>
      </c>
      <c r="P67" s="678">
        <f t="shared" si="21"/>
        <v>71.602758469665133</v>
      </c>
      <c r="Q67" s="685">
        <f t="shared" si="22"/>
        <v>1</v>
      </c>
      <c r="R67" s="688">
        <f t="shared" si="23"/>
        <v>1</v>
      </c>
      <c r="S67" s="688">
        <f t="shared" si="24"/>
        <v>1.6122522972635236</v>
      </c>
      <c r="T67" s="688">
        <f t="shared" si="25"/>
        <v>2.5416702797559783</v>
      </c>
      <c r="U67" s="944">
        <f t="shared" si="26"/>
        <v>3.4697518263924239</v>
      </c>
      <c r="V67" s="1085">
        <f t="shared" si="27"/>
        <v>4.3960141049156878</v>
      </c>
      <c r="W67" s="685">
        <f t="shared" si="28"/>
        <v>5.3199799739348199</v>
      </c>
      <c r="X67" s="688">
        <f t="shared" si="29"/>
        <v>6.2411794276542878</v>
      </c>
      <c r="Y67" s="688">
        <f t="shared" si="30"/>
        <v>7.1591509856834037</v>
      </c>
      <c r="Z67" s="688">
        <f t="shared" si="31"/>
        <v>8.0734430180152206</v>
      </c>
      <c r="AA67" s="944">
        <f t="shared" si="32"/>
        <v>8.9836149961715765</v>
      </c>
      <c r="AB67" s="1052">
        <f t="shared" si="33"/>
        <v>8.7957296599767076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4.6462250277129016</v>
      </c>
      <c r="AF67" s="1054">
        <f t="shared" si="41"/>
        <v>0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-145</v>
      </c>
      <c r="AM67" s="1063">
        <f t="shared" si="45"/>
        <v>1</v>
      </c>
      <c r="AN67" s="1074">
        <f t="shared" si="36"/>
        <v>216</v>
      </c>
      <c r="AO67" s="1075">
        <f t="shared" si="46"/>
        <v>14.036243467926479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Arbre 15</v>
      </c>
      <c r="B68" s="1025">
        <v>1</v>
      </c>
      <c r="C68" s="1080">
        <f t="shared" ref="C68:M68" si="57">$L32+C$55*Rapous</f>
        <v>7.8571347606384094</v>
      </c>
      <c r="D68" s="1080">
        <f t="shared" si="57"/>
        <v>8.8571347606384094</v>
      </c>
      <c r="E68" s="1080">
        <f t="shared" si="57"/>
        <v>9.8571347606384094</v>
      </c>
      <c r="F68" s="1080">
        <f t="shared" si="57"/>
        <v>10.857134760638409</v>
      </c>
      <c r="G68" s="1081">
        <f t="shared" si="57"/>
        <v>11.857134760638409</v>
      </c>
      <c r="H68" s="1082">
        <f t="shared" si="57"/>
        <v>12.857134760638409</v>
      </c>
      <c r="I68" s="1083">
        <f t="shared" si="57"/>
        <v>13.857134760638409</v>
      </c>
      <c r="J68" s="1080">
        <f t="shared" si="57"/>
        <v>14.857134760638409</v>
      </c>
      <c r="K68" s="1080">
        <f t="shared" si="57"/>
        <v>15.857134760638409</v>
      </c>
      <c r="L68" s="1080">
        <f t="shared" si="57"/>
        <v>16.857134760638409</v>
      </c>
      <c r="M68" s="1081">
        <f t="shared" si="57"/>
        <v>17.857134760638409</v>
      </c>
      <c r="N68" s="688">
        <f t="shared" si="19"/>
        <v>67.142575378932435</v>
      </c>
      <c r="O68" s="928" t="str">
        <f t="shared" si="20"/>
        <v>Arbre 15</v>
      </c>
      <c r="P68" s="678">
        <f t="shared" si="21"/>
        <v>79.103758469665138</v>
      </c>
      <c r="Q68" s="685">
        <f t="shared" si="22"/>
        <v>1</v>
      </c>
      <c r="R68" s="688">
        <f t="shared" si="23"/>
        <v>1</v>
      </c>
      <c r="S68" s="688">
        <f t="shared" si="24"/>
        <v>1.8457972407247192</v>
      </c>
      <c r="T68" s="688">
        <f t="shared" si="25"/>
        <v>2.6977855690427721</v>
      </c>
      <c r="U68" s="944">
        <f t="shared" si="26"/>
        <v>3.5485817211058195</v>
      </c>
      <c r="V68" s="1085">
        <f t="shared" si="27"/>
        <v>4.3978139498266886</v>
      </c>
      <c r="W68" s="685">
        <f t="shared" si="28"/>
        <v>5.2451146197583292</v>
      </c>
      <c r="X68" s="688">
        <f t="shared" si="29"/>
        <v>6.0901211422970185</v>
      </c>
      <c r="Y68" s="688">
        <f t="shared" si="30"/>
        <v>6.9324768782167627</v>
      </c>
      <c r="Z68" s="688">
        <f t="shared" si="31"/>
        <v>7.7718320021128653</v>
      </c>
      <c r="AA68" s="944">
        <f t="shared" si="32"/>
        <v>8.6078443237818387</v>
      </c>
      <c r="AB68" s="1052">
        <f t="shared" si="33"/>
        <v>7.547033332558394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12.280007478537144</v>
      </c>
      <c r="AF68" s="1054">
        <f t="shared" si="41"/>
        <v>2.8547749722870988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-145</v>
      </c>
      <c r="AM68" s="1063">
        <f t="shared" si="45"/>
        <v>1</v>
      </c>
      <c r="AN68" s="1074">
        <f>IF(AND(AX68=0,AX69=0),MAX(AN67,$H$43+1),AX68)</f>
        <v>216</v>
      </c>
      <c r="AO68" s="1075">
        <f t="shared" si="46"/>
        <v>14.036243467926479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Arbre 16</v>
      </c>
      <c r="B69" s="1025">
        <v>1</v>
      </c>
      <c r="C69" s="1080">
        <f t="shared" ref="C69:M69" si="58">$L33+C$55*Rapous</f>
        <v>6.1523596389295996</v>
      </c>
      <c r="D69" s="1080">
        <f t="shared" si="58"/>
        <v>7.1523596389295996</v>
      </c>
      <c r="E69" s="1080">
        <f t="shared" si="58"/>
        <v>8.1523596389295996</v>
      </c>
      <c r="F69" s="1080">
        <f t="shared" si="58"/>
        <v>9.1523596389295996</v>
      </c>
      <c r="G69" s="1081">
        <f t="shared" si="58"/>
        <v>10.1523596389296</v>
      </c>
      <c r="H69" s="1082">
        <f t="shared" si="58"/>
        <v>11.1523596389296</v>
      </c>
      <c r="I69" s="1083">
        <f t="shared" si="58"/>
        <v>12.1523596389296</v>
      </c>
      <c r="J69" s="1080">
        <f t="shared" si="58"/>
        <v>13.1523596389296</v>
      </c>
      <c r="K69" s="1080">
        <f t="shared" si="58"/>
        <v>14.1523596389296</v>
      </c>
      <c r="L69" s="1080">
        <f t="shared" si="58"/>
        <v>15.1523596389296</v>
      </c>
      <c r="M69" s="1081">
        <f t="shared" si="58"/>
        <v>16.1523596389296</v>
      </c>
      <c r="N69" s="688">
        <f t="shared" si="19"/>
        <v>74.402644969890815</v>
      </c>
      <c r="O69" s="928" t="str">
        <f t="shared" si="20"/>
        <v>Arbre 16</v>
      </c>
      <c r="P69" s="678">
        <f t="shared" si="21"/>
        <v>88.528990975915178</v>
      </c>
      <c r="Q69" s="685">
        <f t="shared" si="22"/>
        <v>1</v>
      </c>
      <c r="R69" s="688">
        <f t="shared" si="23"/>
        <v>1</v>
      </c>
      <c r="S69" s="688">
        <f t="shared" si="24"/>
        <v>1</v>
      </c>
      <c r="T69" s="688">
        <f t="shared" si="25"/>
        <v>1.1233890807709623</v>
      </c>
      <c r="U69" s="944">
        <f t="shared" si="26"/>
        <v>1.8929212411571676</v>
      </c>
      <c r="V69" s="1085">
        <f t="shared" si="27"/>
        <v>2.6617708783365406</v>
      </c>
      <c r="W69" s="685">
        <f t="shared" si="28"/>
        <v>3.4296624763006438</v>
      </c>
      <c r="X69" s="688">
        <f t="shared" si="29"/>
        <v>4.1963225809158153</v>
      </c>
      <c r="Y69" s="688">
        <f t="shared" si="30"/>
        <v>4.9614803771211218</v>
      </c>
      <c r="Z69" s="688">
        <f t="shared" si="31"/>
        <v>5.7248682520681049</v>
      </c>
      <c r="AA69" s="944">
        <f t="shared" si="32"/>
        <v>6.4862223413349502</v>
      </c>
      <c r="AB69" s="1052">
        <f t="shared" si="33"/>
        <v>3.7431111706674751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36.471009024084822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1</v>
      </c>
      <c r="AL69" s="1063">
        <f t="shared" si="44"/>
        <v>-145</v>
      </c>
      <c r="AM69" s="1063">
        <f t="shared" si="45"/>
        <v>1</v>
      </c>
      <c r="AN69" s="1074">
        <f>IF(AND(AX69=0,AX70=0),MAX(AN68,$H$43+1),AX69)</f>
        <v>216</v>
      </c>
      <c r="AO69" s="1075">
        <f t="shared" si="46"/>
        <v>14.036243467926479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 t="str">
        <f t="shared" si="17"/>
        <v>Toiture D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 t="str">
        <f t="shared" si="20"/>
        <v>Toiture D</v>
      </c>
      <c r="P70" s="678">
        <f t="shared" si="21"/>
        <v>125</v>
      </c>
      <c r="Q70" s="685">
        <f t="shared" si="22"/>
        <v>1</v>
      </c>
      <c r="R70" s="688">
        <f t="shared" si="23"/>
        <v>1</v>
      </c>
      <c r="S70" s="688">
        <f t="shared" si="24"/>
        <v>1</v>
      </c>
      <c r="T70" s="688">
        <f t="shared" si="25"/>
        <v>1</v>
      </c>
      <c r="U70" s="944">
        <f t="shared" si="26"/>
        <v>1</v>
      </c>
      <c r="V70" s="1085">
        <f t="shared" si="27"/>
        <v>1</v>
      </c>
      <c r="W70" s="685">
        <f t="shared" si="28"/>
        <v>1</v>
      </c>
      <c r="X70" s="688">
        <f t="shared" si="29"/>
        <v>1</v>
      </c>
      <c r="Y70" s="688">
        <f t="shared" si="30"/>
        <v>1</v>
      </c>
      <c r="Z70" s="688">
        <f t="shared" si="31"/>
        <v>1</v>
      </c>
      <c r="AA70" s="944">
        <f t="shared" si="32"/>
        <v>1</v>
      </c>
      <c r="AB70" s="1052">
        <f t="shared" si="33"/>
        <v>7.5181217339632394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90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1</v>
      </c>
      <c r="AL70" s="1063">
        <f t="shared" si="44"/>
        <v>-145</v>
      </c>
      <c r="AM70" s="1063">
        <f t="shared" si="45"/>
        <v>1</v>
      </c>
      <c r="AN70" s="1074">
        <f t="shared" ref="AN70:AN79" si="60">IF(AND(AX70=0,AX71=0),MAX(AN69,$H$43+1),AX70)</f>
        <v>216</v>
      </c>
      <c r="AO70" s="1075">
        <f t="shared" si="46"/>
        <v>14.036243467926479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 t="str">
        <f t="shared" si="17"/>
        <v>Arrière PV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 t="str">
        <f t="shared" si="20"/>
        <v>Arrière PV</v>
      </c>
      <c r="P71" s="678">
        <f t="shared" si="21"/>
        <v>215</v>
      </c>
      <c r="Q71" s="685">
        <f t="shared" si="22"/>
        <v>14.036243467926479</v>
      </c>
      <c r="R71" s="688">
        <f t="shared" si="23"/>
        <v>14.036243467926479</v>
      </c>
      <c r="S71" s="688">
        <f t="shared" si="24"/>
        <v>14.036243467926479</v>
      </c>
      <c r="T71" s="688">
        <f t="shared" si="25"/>
        <v>14.036243467926479</v>
      </c>
      <c r="U71" s="944">
        <f t="shared" si="26"/>
        <v>14.036243467926479</v>
      </c>
      <c r="V71" s="1085">
        <f t="shared" si="27"/>
        <v>14.036243467926479</v>
      </c>
      <c r="W71" s="685">
        <f t="shared" si="28"/>
        <v>14.036243467926479</v>
      </c>
      <c r="X71" s="688">
        <f t="shared" si="29"/>
        <v>14.036243467926479</v>
      </c>
      <c r="Y71" s="688">
        <f t="shared" si="30"/>
        <v>14.036243467926479</v>
      </c>
      <c r="Z71" s="688">
        <f t="shared" si="31"/>
        <v>14.036243467926479</v>
      </c>
      <c r="AA71" s="944">
        <f t="shared" si="32"/>
        <v>14.036243467926479</v>
      </c>
      <c r="AB71" s="1052">
        <f t="shared" si="33"/>
        <v>14.036243467926479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215</v>
      </c>
      <c r="AM71" s="1063">
        <f t="shared" si="45"/>
        <v>1</v>
      </c>
      <c r="AN71" s="1074">
        <f t="shared" si="60"/>
        <v>216</v>
      </c>
      <c r="AO71" s="1075">
        <f t="shared" si="46"/>
        <v>14.036243467926479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215</v>
      </c>
      <c r="Q72" s="685">
        <f t="shared" si="22"/>
        <v>14.036243467926479</v>
      </c>
      <c r="R72" s="688">
        <f t="shared" si="23"/>
        <v>14.036243467926479</v>
      </c>
      <c r="S72" s="688">
        <f t="shared" si="24"/>
        <v>14.036243467926479</v>
      </c>
      <c r="T72" s="688">
        <f t="shared" si="25"/>
        <v>14.036243467926479</v>
      </c>
      <c r="U72" s="944">
        <f t="shared" si="26"/>
        <v>14.036243467926479</v>
      </c>
      <c r="V72" s="1085">
        <f t="shared" si="27"/>
        <v>14.036243467926479</v>
      </c>
      <c r="W72" s="685">
        <f t="shared" si="28"/>
        <v>14.036243467926479</v>
      </c>
      <c r="X72" s="688">
        <f t="shared" si="29"/>
        <v>14.036243467926479</v>
      </c>
      <c r="Y72" s="688">
        <f t="shared" si="30"/>
        <v>14.036243467926479</v>
      </c>
      <c r="Z72" s="688">
        <f t="shared" si="31"/>
        <v>14.036243467926479</v>
      </c>
      <c r="AA72" s="944">
        <f t="shared" si="32"/>
        <v>14.036243467926479</v>
      </c>
      <c r="AB72" s="1052">
        <f t="shared" si="33"/>
        <v>14.036243467926479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215</v>
      </c>
      <c r="AM72" s="1063">
        <f t="shared" si="45"/>
        <v>1</v>
      </c>
      <c r="AN72" s="1074">
        <f t="shared" si="60"/>
        <v>216</v>
      </c>
      <c r="AO72" s="1075">
        <f t="shared" si="46"/>
        <v>14.036243467926479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215</v>
      </c>
      <c r="Q73" s="685">
        <f t="shared" si="22"/>
        <v>14.036243467926479</v>
      </c>
      <c r="R73" s="688">
        <f t="shared" si="23"/>
        <v>14.036243467926479</v>
      </c>
      <c r="S73" s="688">
        <f t="shared" si="24"/>
        <v>14.036243467926479</v>
      </c>
      <c r="T73" s="688">
        <f t="shared" si="25"/>
        <v>14.036243467926479</v>
      </c>
      <c r="U73" s="944">
        <f t="shared" si="26"/>
        <v>14.036243467926479</v>
      </c>
      <c r="V73" s="1085">
        <f t="shared" si="27"/>
        <v>14.036243467926479</v>
      </c>
      <c r="W73" s="685">
        <f t="shared" si="28"/>
        <v>14.036243467926479</v>
      </c>
      <c r="X73" s="688">
        <f t="shared" si="29"/>
        <v>14.036243467926479</v>
      </c>
      <c r="Y73" s="688">
        <f t="shared" si="30"/>
        <v>14.036243467926479</v>
      </c>
      <c r="Z73" s="688">
        <f t="shared" si="31"/>
        <v>14.036243467926479</v>
      </c>
      <c r="AA73" s="944">
        <f t="shared" si="32"/>
        <v>14.036243467926479</v>
      </c>
      <c r="AB73" s="1052">
        <f t="shared" si="33"/>
        <v>14.036243467926479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215</v>
      </c>
      <c r="AM73" s="1063">
        <f t="shared" si="45"/>
        <v>1</v>
      </c>
      <c r="AN73" s="1074">
        <f t="shared" si="60"/>
        <v>216</v>
      </c>
      <c r="AO73" s="1075">
        <f t="shared" si="46"/>
        <v>14.036243467926479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215</v>
      </c>
      <c r="Q74" s="685">
        <f t="shared" si="22"/>
        <v>14.036243467926479</v>
      </c>
      <c r="R74" s="688">
        <f t="shared" si="23"/>
        <v>14.036243467926479</v>
      </c>
      <c r="S74" s="688">
        <f t="shared" si="24"/>
        <v>14.036243467926479</v>
      </c>
      <c r="T74" s="688">
        <f t="shared" si="25"/>
        <v>14.036243467926479</v>
      </c>
      <c r="U74" s="944">
        <f t="shared" si="26"/>
        <v>14.036243467926479</v>
      </c>
      <c r="V74" s="1085">
        <f t="shared" si="27"/>
        <v>14.036243467926479</v>
      </c>
      <c r="W74" s="685">
        <f t="shared" si="28"/>
        <v>14.036243467926479</v>
      </c>
      <c r="X74" s="688">
        <f t="shared" si="29"/>
        <v>14.036243467926479</v>
      </c>
      <c r="Y74" s="688">
        <f t="shared" si="30"/>
        <v>14.036243467926479</v>
      </c>
      <c r="Z74" s="688">
        <f t="shared" si="31"/>
        <v>14.036243467926479</v>
      </c>
      <c r="AA74" s="944">
        <f t="shared" si="32"/>
        <v>14.036243467926479</v>
      </c>
      <c r="AB74" s="1052">
        <f t="shared" si="33"/>
        <v>14.036243467926479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215</v>
      </c>
      <c r="AM74" s="1063">
        <f t="shared" si="45"/>
        <v>1</v>
      </c>
      <c r="AN74" s="1074">
        <f t="shared" si="60"/>
        <v>216</v>
      </c>
      <c r="AO74" s="1075">
        <f t="shared" si="46"/>
        <v>14.036243467926479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215</v>
      </c>
      <c r="Q75" s="685">
        <f t="shared" si="22"/>
        <v>14.036243467926479</v>
      </c>
      <c r="R75" s="688">
        <f t="shared" si="23"/>
        <v>14.036243467926479</v>
      </c>
      <c r="S75" s="688">
        <f t="shared" si="24"/>
        <v>14.036243467926479</v>
      </c>
      <c r="T75" s="688">
        <f t="shared" si="25"/>
        <v>14.036243467926479</v>
      </c>
      <c r="U75" s="944">
        <f t="shared" si="26"/>
        <v>14.036243467926479</v>
      </c>
      <c r="V75" s="1085">
        <f t="shared" si="27"/>
        <v>14.036243467926479</v>
      </c>
      <c r="W75" s="685">
        <f t="shared" si="28"/>
        <v>14.036243467926479</v>
      </c>
      <c r="X75" s="688">
        <f t="shared" si="29"/>
        <v>14.036243467926479</v>
      </c>
      <c r="Y75" s="688">
        <f t="shared" si="30"/>
        <v>14.036243467926479</v>
      </c>
      <c r="Z75" s="688">
        <f t="shared" si="31"/>
        <v>14.036243467926479</v>
      </c>
      <c r="AA75" s="944">
        <f t="shared" si="32"/>
        <v>14.036243467926479</v>
      </c>
      <c r="AB75" s="1052">
        <f t="shared" si="33"/>
        <v>14.036243467926479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215</v>
      </c>
      <c r="AM75" s="1063">
        <f t="shared" si="45"/>
        <v>1</v>
      </c>
      <c r="AN75" s="1074">
        <f t="shared" si="60"/>
        <v>216</v>
      </c>
      <c r="AO75" s="1075">
        <f t="shared" si="46"/>
        <v>14.036243467926479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215</v>
      </c>
      <c r="Q76" s="685">
        <f t="shared" si="22"/>
        <v>14.036243467926479</v>
      </c>
      <c r="R76" s="688">
        <f t="shared" si="23"/>
        <v>14.036243467926479</v>
      </c>
      <c r="S76" s="688">
        <f t="shared" si="24"/>
        <v>14.036243467926479</v>
      </c>
      <c r="T76" s="688">
        <f t="shared" si="25"/>
        <v>14.036243467926479</v>
      </c>
      <c r="U76" s="944">
        <f t="shared" si="26"/>
        <v>14.036243467926479</v>
      </c>
      <c r="V76" s="1085">
        <f t="shared" si="27"/>
        <v>14.036243467926479</v>
      </c>
      <c r="W76" s="685">
        <f t="shared" si="28"/>
        <v>14.036243467926479</v>
      </c>
      <c r="X76" s="688">
        <f t="shared" si="29"/>
        <v>14.036243467926479</v>
      </c>
      <c r="Y76" s="688">
        <f t="shared" si="30"/>
        <v>14.036243467926479</v>
      </c>
      <c r="Z76" s="688">
        <f t="shared" si="31"/>
        <v>14.036243467926479</v>
      </c>
      <c r="AA76" s="944">
        <f t="shared" si="32"/>
        <v>14.036243467926479</v>
      </c>
      <c r="AB76" s="1052">
        <f t="shared" si="33"/>
        <v>14.036243467926479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215</v>
      </c>
      <c r="AM76" s="1063">
        <f t="shared" si="45"/>
        <v>1</v>
      </c>
      <c r="AN76" s="1074">
        <f t="shared" si="60"/>
        <v>216</v>
      </c>
      <c r="AO76" s="1075">
        <f t="shared" si="46"/>
        <v>14.036243467926479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215</v>
      </c>
      <c r="Q77" s="685">
        <f t="shared" si="22"/>
        <v>14.036243467926479</v>
      </c>
      <c r="R77" s="688">
        <f t="shared" si="23"/>
        <v>14.036243467926479</v>
      </c>
      <c r="S77" s="688">
        <f t="shared" si="24"/>
        <v>14.036243467926479</v>
      </c>
      <c r="T77" s="688">
        <f t="shared" si="25"/>
        <v>14.036243467926479</v>
      </c>
      <c r="U77" s="944">
        <f t="shared" si="26"/>
        <v>14.036243467926479</v>
      </c>
      <c r="V77" s="1085">
        <f t="shared" si="27"/>
        <v>14.036243467926479</v>
      </c>
      <c r="W77" s="685">
        <f t="shared" si="28"/>
        <v>14.036243467926479</v>
      </c>
      <c r="X77" s="688">
        <f t="shared" si="29"/>
        <v>14.036243467926479</v>
      </c>
      <c r="Y77" s="688">
        <f t="shared" si="30"/>
        <v>14.036243467926479</v>
      </c>
      <c r="Z77" s="688">
        <f t="shared" si="31"/>
        <v>14.036243467926479</v>
      </c>
      <c r="AA77" s="944">
        <f t="shared" si="32"/>
        <v>14.036243467926479</v>
      </c>
      <c r="AB77" s="1052">
        <f t="shared" si="33"/>
        <v>14.036243467926479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215</v>
      </c>
      <c r="AM77" s="1063">
        <f t="shared" si="45"/>
        <v>1</v>
      </c>
      <c r="AN77" s="1074">
        <f t="shared" si="60"/>
        <v>216</v>
      </c>
      <c r="AO77" s="1075">
        <f t="shared" si="46"/>
        <v>14.036243467926479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215</v>
      </c>
      <c r="Q78" s="685">
        <f t="shared" si="22"/>
        <v>14.036243467926479</v>
      </c>
      <c r="R78" s="688">
        <f t="shared" si="23"/>
        <v>14.036243467926479</v>
      </c>
      <c r="S78" s="688">
        <f t="shared" si="24"/>
        <v>14.036243467926479</v>
      </c>
      <c r="T78" s="688">
        <f t="shared" si="25"/>
        <v>14.036243467926479</v>
      </c>
      <c r="U78" s="944">
        <f t="shared" si="26"/>
        <v>14.036243467926479</v>
      </c>
      <c r="V78" s="1085">
        <f t="shared" si="27"/>
        <v>14.036243467926479</v>
      </c>
      <c r="W78" s="685">
        <f t="shared" si="28"/>
        <v>14.036243467926479</v>
      </c>
      <c r="X78" s="688">
        <f t="shared" si="29"/>
        <v>14.036243467926479</v>
      </c>
      <c r="Y78" s="688">
        <f t="shared" si="30"/>
        <v>14.036243467926479</v>
      </c>
      <c r="Z78" s="688">
        <f t="shared" si="31"/>
        <v>14.036243467926479</v>
      </c>
      <c r="AA78" s="944">
        <f t="shared" si="32"/>
        <v>14.036243467926479</v>
      </c>
      <c r="AB78" s="1052">
        <f t="shared" si="33"/>
        <v>14.036243467926479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215</v>
      </c>
      <c r="AM78" s="1063">
        <f t="shared" si="45"/>
        <v>1</v>
      </c>
      <c r="AN78" s="1074">
        <f t="shared" si="60"/>
        <v>216</v>
      </c>
      <c r="AO78" s="1075">
        <f t="shared" si="46"/>
        <v>14.036243467926479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215</v>
      </c>
      <c r="Q79" s="949">
        <f t="shared" si="22"/>
        <v>14.036243467926479</v>
      </c>
      <c r="R79" s="697">
        <f t="shared" si="23"/>
        <v>14.036243467926479</v>
      </c>
      <c r="S79" s="697">
        <f t="shared" si="24"/>
        <v>14.036243467926479</v>
      </c>
      <c r="T79" s="697">
        <f t="shared" si="25"/>
        <v>14.036243467926479</v>
      </c>
      <c r="U79" s="950">
        <f t="shared" si="26"/>
        <v>14.036243467926479</v>
      </c>
      <c r="V79" s="1092">
        <f t="shared" si="27"/>
        <v>14.036243467926479</v>
      </c>
      <c r="W79" s="949">
        <f t="shared" si="28"/>
        <v>14.036243467926479</v>
      </c>
      <c r="X79" s="697">
        <f t="shared" si="29"/>
        <v>14.036243467926479</v>
      </c>
      <c r="Y79" s="697">
        <f t="shared" si="30"/>
        <v>14.036243467926479</v>
      </c>
      <c r="Z79" s="697">
        <f t="shared" si="31"/>
        <v>14.036243467926479</v>
      </c>
      <c r="AA79" s="950">
        <f t="shared" si="32"/>
        <v>14.036243467926479</v>
      </c>
      <c r="AB79" s="1055">
        <f>(AA79+Z80)/2</f>
        <v>7.0181217339632394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-215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215</v>
      </c>
      <c r="AM79" s="1066">
        <f t="shared" si="45"/>
        <v>1</v>
      </c>
      <c r="AN79" s="1076">
        <f t="shared" si="60"/>
        <v>216</v>
      </c>
      <c r="AO79" s="1077">
        <f t="shared" si="46"/>
        <v>14.036243467926479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195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MdS Escalquens</v>
      </c>
      <c r="B82" s="934" t="str">
        <v>zone 1</v>
      </c>
      <c r="C82" s="935" t="str">
        <v>Arrière PV</v>
      </c>
      <c r="D82" s="935" t="str">
        <v>Arbre 1</v>
      </c>
      <c r="E82" s="935" t="str">
        <v>Arbre 2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9</v>
      </c>
      <c r="K82" s="935" t="str">
        <v>Arbre 10</v>
      </c>
      <c r="L82" s="935" t="str">
        <v>Arbre 11</v>
      </c>
      <c r="M82" s="935" t="str">
        <v>Arbre 13</v>
      </c>
      <c r="N82" s="935" t="str">
        <v>Arbre 14</v>
      </c>
      <c r="O82" s="935" t="str">
        <v>Arbre 15</v>
      </c>
      <c r="P82" s="935" t="str">
        <v>Arbre 16</v>
      </c>
      <c r="Q82" s="935" t="str">
        <v>Toiture D</v>
      </c>
      <c r="R82" s="935" t="str">
        <v>Arrière PV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35</v>
      </c>
      <c r="B83" s="937" t="str">
        <v>Azi.S / PV</v>
      </c>
      <c r="C83" s="938">
        <v>-145</v>
      </c>
      <c r="D83" s="695">
        <v>-46.505603331359083</v>
      </c>
      <c r="E83" s="695">
        <v>-25.566992707811639</v>
      </c>
      <c r="F83" s="695">
        <v>-14.658234510808963</v>
      </c>
      <c r="G83" s="695">
        <v>2.0362260159043304</v>
      </c>
      <c r="H83" s="695">
        <v>9.5372260159043307</v>
      </c>
      <c r="I83" s="695">
        <v>17.728525741965193</v>
      </c>
      <c r="J83" s="695">
        <v>30.768630928724178</v>
      </c>
      <c r="K83" s="695">
        <v>41.17135132315083</v>
      </c>
      <c r="L83" s="695">
        <v>48.672351323150828</v>
      </c>
      <c r="M83" s="695">
        <v>63.249951214962223</v>
      </c>
      <c r="N83" s="695">
        <v>71.602758469665133</v>
      </c>
      <c r="O83" s="695">
        <v>79.103758469665138</v>
      </c>
      <c r="P83" s="695">
        <v>88.528990975915178</v>
      </c>
      <c r="Q83" s="695">
        <v>125</v>
      </c>
      <c r="R83" s="695">
        <v>215</v>
      </c>
      <c r="S83" s="695">
        <v>215</v>
      </c>
      <c r="T83" s="695">
        <v>215</v>
      </c>
      <c r="U83" s="695">
        <v>215</v>
      </c>
      <c r="V83" s="695">
        <v>215</v>
      </c>
      <c r="W83" s="695">
        <v>215</v>
      </c>
      <c r="X83" s="695">
        <v>215</v>
      </c>
      <c r="Y83" s="695">
        <v>215</v>
      </c>
      <c r="Z83" s="939">
        <v>215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14.036243467926479</v>
      </c>
      <c r="D84" s="696">
        <v>1</v>
      </c>
      <c r="E84" s="696">
        <v>1.3286775130524502</v>
      </c>
      <c r="F84" s="696">
        <v>1</v>
      </c>
      <c r="G84" s="696">
        <v>1</v>
      </c>
      <c r="H84" s="696">
        <v>1.4443515182571298</v>
      </c>
      <c r="I84" s="696">
        <v>1</v>
      </c>
      <c r="J84" s="696">
        <v>5.1788469398262409</v>
      </c>
      <c r="K84" s="696">
        <v>3.0600894373597263</v>
      </c>
      <c r="L84" s="696">
        <v>1</v>
      </c>
      <c r="M84" s="696">
        <v>7.7942031701176582</v>
      </c>
      <c r="N84" s="696">
        <v>1</v>
      </c>
      <c r="O84" s="696">
        <v>1</v>
      </c>
      <c r="P84" s="696">
        <v>1</v>
      </c>
      <c r="Q84" s="696">
        <v>1</v>
      </c>
      <c r="R84" s="696">
        <v>14.036243467926479</v>
      </c>
      <c r="S84" s="696">
        <v>14.036243467926479</v>
      </c>
      <c r="T84" s="696">
        <v>14.036243467926479</v>
      </c>
      <c r="U84" s="696">
        <v>14.036243467926479</v>
      </c>
      <c r="V84" s="696">
        <v>14.036243467926479</v>
      </c>
      <c r="W84" s="696">
        <v>14.036243467926479</v>
      </c>
      <c r="X84" s="696">
        <v>14.036243467926479</v>
      </c>
      <c r="Y84" s="696">
        <v>14.036243467926479</v>
      </c>
      <c r="Z84" s="942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14.036243467926479</v>
      </c>
      <c r="D85" s="688">
        <v>3.1153565609650027</v>
      </c>
      <c r="E85" s="688">
        <v>4.159891369684682</v>
      </c>
      <c r="F85" s="688">
        <v>1</v>
      </c>
      <c r="G85" s="688">
        <v>2.1244882448346103</v>
      </c>
      <c r="H85" s="688">
        <v>2.7874657117450767</v>
      </c>
      <c r="I85" s="688">
        <v>1</v>
      </c>
      <c r="J85" s="688">
        <v>6.3172573944711345</v>
      </c>
      <c r="K85" s="688">
        <v>4.0919175799302465</v>
      </c>
      <c r="L85" s="688">
        <v>1</v>
      </c>
      <c r="M85" s="688">
        <v>8.9131571129603504</v>
      </c>
      <c r="N85" s="688">
        <v>1</v>
      </c>
      <c r="O85" s="688">
        <v>1</v>
      </c>
      <c r="P85" s="688">
        <v>1</v>
      </c>
      <c r="Q85" s="688">
        <v>1</v>
      </c>
      <c r="R85" s="688">
        <v>14.036243467926479</v>
      </c>
      <c r="S85" s="688">
        <v>14.036243467926479</v>
      </c>
      <c r="T85" s="688">
        <v>14.036243467926479</v>
      </c>
      <c r="U85" s="688">
        <v>14.036243467926479</v>
      </c>
      <c r="V85" s="688">
        <v>14.036243467926479</v>
      </c>
      <c r="W85" s="688">
        <v>14.036243467926479</v>
      </c>
      <c r="X85" s="688">
        <v>14.036243467926479</v>
      </c>
      <c r="Y85" s="688">
        <v>14.036243467926479</v>
      </c>
      <c r="Z85" s="944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14.036243467926479</v>
      </c>
      <c r="D86" s="688">
        <v>6.3094212410263646</v>
      </c>
      <c r="E86" s="688">
        <v>6.970916118876672</v>
      </c>
      <c r="F86" s="688">
        <v>1</v>
      </c>
      <c r="G86" s="688">
        <v>3.6907753013635962</v>
      </c>
      <c r="H86" s="688">
        <v>4.1275215104574192</v>
      </c>
      <c r="I86" s="688">
        <v>1</v>
      </c>
      <c r="J86" s="688">
        <v>7.4506823012939725</v>
      </c>
      <c r="K86" s="688">
        <v>5.1210941635331837</v>
      </c>
      <c r="L86" s="688">
        <v>1</v>
      </c>
      <c r="M86" s="688">
        <v>10.025299329344318</v>
      </c>
      <c r="N86" s="688">
        <v>1.6122522972635236</v>
      </c>
      <c r="O86" s="688">
        <v>1.8457972407247192</v>
      </c>
      <c r="P86" s="688">
        <v>1</v>
      </c>
      <c r="Q86" s="688">
        <v>1</v>
      </c>
      <c r="R86" s="688">
        <v>14.036243467926479</v>
      </c>
      <c r="S86" s="688">
        <v>14.036243467926479</v>
      </c>
      <c r="T86" s="688">
        <v>14.036243467926479</v>
      </c>
      <c r="U86" s="688">
        <v>14.036243467926479</v>
      </c>
      <c r="V86" s="688">
        <v>14.036243467926479</v>
      </c>
      <c r="W86" s="688">
        <v>14.036243467926479</v>
      </c>
      <c r="X86" s="688">
        <v>14.036243467926479</v>
      </c>
      <c r="Y86" s="688">
        <v>14.036243467926479</v>
      </c>
      <c r="Z86" s="944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14.036243467926479</v>
      </c>
      <c r="D87" s="688">
        <v>9.4646295706585235</v>
      </c>
      <c r="E87" s="688">
        <v>9.7486416115272423</v>
      </c>
      <c r="F87" s="688">
        <v>1</v>
      </c>
      <c r="G87" s="688">
        <v>5.2515592256561723</v>
      </c>
      <c r="H87" s="688">
        <v>5.4630698704110552</v>
      </c>
      <c r="I87" s="688">
        <v>1.5913156179506658</v>
      </c>
      <c r="J87" s="688">
        <v>8.5782737425869211</v>
      </c>
      <c r="K87" s="688">
        <v>6.1469682417091773</v>
      </c>
      <c r="L87" s="688">
        <v>1.1302847542569425</v>
      </c>
      <c r="M87" s="688">
        <v>11.12986200891574</v>
      </c>
      <c r="N87" s="688">
        <v>2.5416702797559783</v>
      </c>
      <c r="O87" s="688">
        <v>2.6977855690427721</v>
      </c>
      <c r="P87" s="688">
        <v>1.1233890807709623</v>
      </c>
      <c r="Q87" s="688">
        <v>1</v>
      </c>
      <c r="R87" s="688">
        <v>14.036243467926479</v>
      </c>
      <c r="S87" s="688">
        <v>14.036243467926479</v>
      </c>
      <c r="T87" s="688">
        <v>14.036243467926479</v>
      </c>
      <c r="U87" s="688">
        <v>14.036243467926479</v>
      </c>
      <c r="V87" s="688">
        <v>14.036243467926479</v>
      </c>
      <c r="W87" s="688">
        <v>14.036243467926479</v>
      </c>
      <c r="X87" s="688">
        <v>14.036243467926479</v>
      </c>
      <c r="Y87" s="688">
        <v>14.036243467926479</v>
      </c>
      <c r="Z87" s="944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14.036243467926479</v>
      </c>
      <c r="D88" s="688">
        <v>12.563005633828151</v>
      </c>
      <c r="E88" s="688">
        <v>12.48088688292923</v>
      </c>
      <c r="F88" s="688">
        <v>1</v>
      </c>
      <c r="G88" s="688">
        <v>6.8045681320773364</v>
      </c>
      <c r="H88" s="688">
        <v>6.7926910298553551</v>
      </c>
      <c r="I88" s="688">
        <v>2.8474420606450921</v>
      </c>
      <c r="J88" s="688">
        <v>9.6992105541247948</v>
      </c>
      <c r="K88" s="688">
        <v>7.1689014981018468</v>
      </c>
      <c r="L88" s="688">
        <v>2.1954615557595156</v>
      </c>
      <c r="M88" s="688">
        <v>12.226110275653891</v>
      </c>
      <c r="N88" s="688">
        <v>3.4697518263924239</v>
      </c>
      <c r="O88" s="688">
        <v>3.5485817211058195</v>
      </c>
      <c r="P88" s="688">
        <v>1.8929212411571676</v>
      </c>
      <c r="Q88" s="688">
        <v>1</v>
      </c>
      <c r="R88" s="688">
        <v>14.036243467926479</v>
      </c>
      <c r="S88" s="688">
        <v>14.036243467926479</v>
      </c>
      <c r="T88" s="688">
        <v>14.036243467926479</v>
      </c>
      <c r="U88" s="688">
        <v>14.036243467926479</v>
      </c>
      <c r="V88" s="688">
        <v>14.036243467926479</v>
      </c>
      <c r="W88" s="688">
        <v>14.036243467926479</v>
      </c>
      <c r="X88" s="688">
        <v>14.036243467926479</v>
      </c>
      <c r="Y88" s="688">
        <v>14.036243467926479</v>
      </c>
      <c r="Z88" s="944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14.036243467926479</v>
      </c>
      <c r="D89" s="677">
        <v>15.588530155134666</v>
      </c>
      <c r="E89" s="677">
        <v>15.15668690214536</v>
      </c>
      <c r="F89" s="677">
        <v>2.9092933441902238</v>
      </c>
      <c r="G89" s="677">
        <v>8.3475982790696062</v>
      </c>
      <c r="H89" s="677">
        <v>8.115003282847157</v>
      </c>
      <c r="I89" s="677">
        <v>4.1008354462587926</v>
      </c>
      <c r="J89" s="677">
        <v>10.812701582405586</v>
      </c>
      <c r="K89" s="677">
        <v>8.1862705280202093</v>
      </c>
      <c r="L89" s="677">
        <v>3.2591223611509572</v>
      </c>
      <c r="M89" s="677">
        <v>13.313344592336636</v>
      </c>
      <c r="N89" s="677">
        <v>4.3960141049156878</v>
      </c>
      <c r="O89" s="677">
        <v>4.3978139498266886</v>
      </c>
      <c r="P89" s="677">
        <v>2.6617708783365406</v>
      </c>
      <c r="Q89" s="677">
        <v>1</v>
      </c>
      <c r="R89" s="677">
        <v>14.036243467926479</v>
      </c>
      <c r="S89" s="677">
        <v>14.036243467926479</v>
      </c>
      <c r="T89" s="677">
        <v>14.036243467926479</v>
      </c>
      <c r="U89" s="677">
        <v>14.036243467926479</v>
      </c>
      <c r="V89" s="677">
        <v>14.036243467926479</v>
      </c>
      <c r="W89" s="677">
        <v>14.036243467926479</v>
      </c>
      <c r="X89" s="677">
        <v>14.036243467926479</v>
      </c>
      <c r="Y89" s="677">
        <v>14.036243467926479</v>
      </c>
      <c r="Z89" s="687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14.036243467926479</v>
      </c>
      <c r="D90" s="688">
        <v>18.52753717732752</v>
      </c>
      <c r="E90" s="688">
        <v>17.766502169192133</v>
      </c>
      <c r="F90" s="688">
        <v>5.2768576923973152</v>
      </c>
      <c r="G90" s="688">
        <v>9.87853189000867</v>
      </c>
      <c r="H90" s="688">
        <v>9.4286711511033925</v>
      </c>
      <c r="I90" s="688">
        <v>5.3503101019173247</v>
      </c>
      <c r="J90" s="688">
        <v>11.917988614828911</v>
      </c>
      <c r="K90" s="688">
        <v>9.1984689813794116</v>
      </c>
      <c r="L90" s="688">
        <v>4.3205393179722922</v>
      </c>
      <c r="M90" s="688">
        <v>14.390902810963546</v>
      </c>
      <c r="N90" s="688">
        <v>5.3199799739348199</v>
      </c>
      <c r="O90" s="688">
        <v>5.2451146197583292</v>
      </c>
      <c r="P90" s="688">
        <v>3.4296624763006438</v>
      </c>
      <c r="Q90" s="688">
        <v>1</v>
      </c>
      <c r="R90" s="688">
        <v>14.036243467926479</v>
      </c>
      <c r="S90" s="688">
        <v>14.036243467926479</v>
      </c>
      <c r="T90" s="688">
        <v>14.036243467926479</v>
      </c>
      <c r="U90" s="688">
        <v>14.036243467926479</v>
      </c>
      <c r="V90" s="688">
        <v>14.036243467926479</v>
      </c>
      <c r="W90" s="688">
        <v>14.036243467926479</v>
      </c>
      <c r="X90" s="688">
        <v>14.036243467926479</v>
      </c>
      <c r="Y90" s="688">
        <v>14.036243467926479</v>
      </c>
      <c r="Z90" s="944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14.036243467926479</v>
      </c>
      <c r="D91" s="688">
        <v>21.368936287867662</v>
      </c>
      <c r="E91" s="688">
        <v>20.302345429391476</v>
      </c>
      <c r="F91" s="688">
        <v>7.6264974923427529</v>
      </c>
      <c r="G91" s="688">
        <v>11.395353164829478</v>
      </c>
      <c r="H91" s="688">
        <v>10.732412840874471</v>
      </c>
      <c r="I91" s="688">
        <v>6.5947026379824685</v>
      </c>
      <c r="J91" s="688">
        <v>13.014348961138849</v>
      </c>
      <c r="K91" s="688">
        <v>10.20490955001871</v>
      </c>
      <c r="L91" s="688">
        <v>5.378993793432425</v>
      </c>
      <c r="M91" s="688">
        <v>15.458161862633416</v>
      </c>
      <c r="N91" s="688">
        <v>6.2411794276542878</v>
      </c>
      <c r="O91" s="688">
        <v>6.0901211422970185</v>
      </c>
      <c r="P91" s="688">
        <v>4.1963225809158153</v>
      </c>
      <c r="Q91" s="688">
        <v>1</v>
      </c>
      <c r="R91" s="688">
        <v>14.036243467926479</v>
      </c>
      <c r="S91" s="688">
        <v>14.036243467926479</v>
      </c>
      <c r="T91" s="688">
        <v>14.036243467926479</v>
      </c>
      <c r="U91" s="688">
        <v>14.036243467926479</v>
      </c>
      <c r="V91" s="688">
        <v>14.036243467926479</v>
      </c>
      <c r="W91" s="688">
        <v>14.036243467926479</v>
      </c>
      <c r="X91" s="688">
        <v>14.036243467926479</v>
      </c>
      <c r="Y91" s="688">
        <v>14.036243467926479</v>
      </c>
      <c r="Z91" s="944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14.036243467926479</v>
      </c>
      <c r="D92" s="688">
        <v>24.104267544664051</v>
      </c>
      <c r="E92" s="688">
        <v>22.757827906674404</v>
      </c>
      <c r="F92" s="688">
        <v>9.9506275369114316</v>
      </c>
      <c r="G92" s="688">
        <v>12.896162213358712</v>
      </c>
      <c r="H92" s="688">
        <v>12.025006891732028</v>
      </c>
      <c r="I92" s="688">
        <v>7.8328782520511204</v>
      </c>
      <c r="J92" s="688">
        <v>14.101097671014408</v>
      </c>
      <c r="K92" s="688">
        <v>11.205025784979858</v>
      </c>
      <c r="L92" s="688">
        <v>6.4337792377982321</v>
      </c>
      <c r="M92" s="688">
        <v>16.514539086304591</v>
      </c>
      <c r="N92" s="688">
        <v>7.1591509856834037</v>
      </c>
      <c r="O92" s="688">
        <v>6.9324768782167627</v>
      </c>
      <c r="P92" s="688">
        <v>4.9614803771211218</v>
      </c>
      <c r="Q92" s="688">
        <v>1</v>
      </c>
      <c r="R92" s="688">
        <v>14.036243467926479</v>
      </c>
      <c r="S92" s="688">
        <v>14.036243467926479</v>
      </c>
      <c r="T92" s="688">
        <v>14.036243467926479</v>
      </c>
      <c r="U92" s="688">
        <v>14.036243467926479</v>
      </c>
      <c r="V92" s="688">
        <v>14.036243467926479</v>
      </c>
      <c r="W92" s="688">
        <v>14.036243467926479</v>
      </c>
      <c r="X92" s="688">
        <v>14.036243467926479</v>
      </c>
      <c r="Y92" s="688">
        <v>14.036243467926479</v>
      </c>
      <c r="Z92" s="944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14.036243467926479</v>
      </c>
      <c r="D93" s="688">
        <v>26.727612995043803</v>
      </c>
      <c r="E93" s="688">
        <v>25.12813399552757</v>
      </c>
      <c r="F93" s="688">
        <v>12.242160093635551</v>
      </c>
      <c r="G93" s="688">
        <v>14.379186717455978</v>
      </c>
      <c r="H93" s="688">
        <v>13.305297946106647</v>
      </c>
      <c r="I93" s="688">
        <v>9.063736636615161</v>
      </c>
      <c r="J93" s="688">
        <v>15.177589379210136</v>
      </c>
      <c r="K93" s="688">
        <v>12.198273732069719</v>
      </c>
      <c r="L93" s="688">
        <v>7.4842039257269892</v>
      </c>
      <c r="M93" s="688">
        <v>17.559493201417762</v>
      </c>
      <c r="N93" s="688">
        <v>8.0734430180152206</v>
      </c>
      <c r="O93" s="688">
        <v>7.7718320021128653</v>
      </c>
      <c r="P93" s="688">
        <v>5.7248682520681049</v>
      </c>
      <c r="Q93" s="688">
        <v>1</v>
      </c>
      <c r="R93" s="688">
        <v>14.036243467926479</v>
      </c>
      <c r="S93" s="688">
        <v>14.036243467926479</v>
      </c>
      <c r="T93" s="688">
        <v>14.036243467926479</v>
      </c>
      <c r="U93" s="688">
        <v>14.036243467926479</v>
      </c>
      <c r="V93" s="688">
        <v>14.036243467926479</v>
      </c>
      <c r="W93" s="688">
        <v>14.036243467926479</v>
      </c>
      <c r="X93" s="688">
        <v>14.036243467926479</v>
      </c>
      <c r="Y93" s="688">
        <v>14.036243467926479</v>
      </c>
      <c r="Z93" s="944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0.25</v>
      </c>
      <c r="B94" s="941">
        <v>5</v>
      </c>
      <c r="C94" s="949">
        <v>14.036243467926479</v>
      </c>
      <c r="D94" s="697">
        <v>29.235398562617139</v>
      </c>
      <c r="E94" s="697">
        <v>27.409937676557814</v>
      </c>
      <c r="F94" s="697">
        <v>14.494619497832094</v>
      </c>
      <c r="G94" s="697">
        <v>15.842791207801648</v>
      </c>
      <c r="H94" s="697">
        <v>14.572201591223537</v>
      </c>
      <c r="I94" s="697">
        <v>10.286217417999911</v>
      </c>
      <c r="J94" s="697">
        <v>16.243219775958767</v>
      </c>
      <c r="K94" s="697">
        <v>13.18413337685951</v>
      </c>
      <c r="L94" s="697">
        <v>8.5295935498968518</v>
      </c>
      <c r="M94" s="697">
        <v>18.592524934417035</v>
      </c>
      <c r="N94" s="697">
        <v>8.9836149961715765</v>
      </c>
      <c r="O94" s="697">
        <v>8.6078443237818387</v>
      </c>
      <c r="P94" s="697">
        <v>6.4862223413349502</v>
      </c>
      <c r="Q94" s="697">
        <v>1</v>
      </c>
      <c r="R94" s="697">
        <v>14.036243467926479</v>
      </c>
      <c r="S94" s="697">
        <v>14.036243467926479</v>
      </c>
      <c r="T94" s="697">
        <v>14.036243467926479</v>
      </c>
      <c r="U94" s="697">
        <v>14.036243467926479</v>
      </c>
      <c r="V94" s="697">
        <v>14.036243467926479</v>
      </c>
      <c r="W94" s="697">
        <v>14.036243467926479</v>
      </c>
      <c r="X94" s="697">
        <v>14.036243467926479</v>
      </c>
      <c r="Y94" s="697">
        <v>14.036243467926479</v>
      </c>
      <c r="Z94" s="950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0"/>
      <c r="G96" s="1141"/>
      <c r="H96" s="1142"/>
      <c r="I96" s="1093"/>
      <c r="J96" s="1093"/>
      <c r="K96" s="1093"/>
      <c r="L96" s="1093"/>
      <c r="M96" s="1093"/>
      <c r="N96" s="1140"/>
      <c r="O96" s="1093"/>
      <c r="P96" s="1093"/>
      <c r="Q96" s="1093"/>
      <c r="R96" s="1093"/>
      <c r="S96" s="1093"/>
      <c r="T96" s="1093"/>
      <c r="U96" s="1093"/>
      <c r="V96" s="1140"/>
      <c r="W96" s="1141"/>
      <c r="X96" s="1142"/>
      <c r="Y96" s="1093"/>
      <c r="Z96" s="1093"/>
      <c r="AA96" s="1093"/>
      <c r="AB96" s="1093"/>
      <c r="AC96" s="1093"/>
      <c r="AD96" s="1140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3"/>
      <c r="H97" s="1144"/>
      <c r="I97" s="1008" t="s">
        <v>161</v>
      </c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3"/>
      <c r="X97" s="1145"/>
      <c r="Y97" s="1008" t="s">
        <v>161</v>
      </c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326</v>
      </c>
      <c r="B98" s="910">
        <v>2</v>
      </c>
      <c r="C98" s="969">
        <v>23.28</v>
      </c>
      <c r="D98" s="911">
        <v>531.28</v>
      </c>
      <c r="E98" s="911">
        <v>430.72</v>
      </c>
      <c r="F98" s="971"/>
      <c r="G98" s="1143"/>
      <c r="H98" s="1144"/>
      <c r="I98" s="912" t="s">
        <v>326</v>
      </c>
      <c r="J98" s="910">
        <v>2</v>
      </c>
      <c r="K98" s="969">
        <v>23.28</v>
      </c>
      <c r="L98" s="911">
        <v>531.28</v>
      </c>
      <c r="M98" s="911">
        <v>430.72</v>
      </c>
      <c r="N98" s="971"/>
      <c r="O98" s="558"/>
      <c r="P98" s="558"/>
      <c r="Q98" s="912" t="s">
        <v>326</v>
      </c>
      <c r="R98" s="910">
        <v>2</v>
      </c>
      <c r="S98" s="969">
        <v>23.28</v>
      </c>
      <c r="T98" s="911">
        <v>531.28</v>
      </c>
      <c r="U98" s="911">
        <v>430.72</v>
      </c>
      <c r="V98" s="971"/>
      <c r="W98" s="1143"/>
      <c r="X98" s="1145"/>
      <c r="Y98" s="912" t="s">
        <v>326</v>
      </c>
      <c r="Z98" s="910">
        <v>2</v>
      </c>
      <c r="AA98" s="969">
        <v>23.28</v>
      </c>
      <c r="AB98" s="911">
        <v>531.28</v>
      </c>
      <c r="AC98" s="911">
        <v>430.72</v>
      </c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156</v>
      </c>
      <c r="B99" s="910">
        <v>2</v>
      </c>
      <c r="C99" s="969">
        <v>23.32</v>
      </c>
      <c r="D99" s="911">
        <v>527.07000000000005</v>
      </c>
      <c r="E99" s="911">
        <v>424.77</v>
      </c>
      <c r="F99" s="971"/>
      <c r="G99" s="1143"/>
      <c r="H99" s="1144"/>
      <c r="I99" s="912" t="s">
        <v>156</v>
      </c>
      <c r="J99" s="910">
        <v>2</v>
      </c>
      <c r="K99" s="969">
        <v>23.32</v>
      </c>
      <c r="L99" s="911">
        <v>527.07000000000005</v>
      </c>
      <c r="M99" s="911">
        <v>424.77</v>
      </c>
      <c r="N99" s="971"/>
      <c r="O99" s="558"/>
      <c r="P99" s="558"/>
      <c r="Q99" s="912" t="s">
        <v>156</v>
      </c>
      <c r="R99" s="910">
        <v>2</v>
      </c>
      <c r="S99" s="969">
        <v>23.32</v>
      </c>
      <c r="T99" s="911">
        <v>527.07000000000005</v>
      </c>
      <c r="U99" s="911">
        <v>424.77</v>
      </c>
      <c r="V99" s="971"/>
      <c r="W99" s="1143"/>
      <c r="X99" s="1145"/>
      <c r="Y99" s="912" t="s">
        <v>156</v>
      </c>
      <c r="Z99" s="910">
        <v>2</v>
      </c>
      <c r="AA99" s="969">
        <v>23.32</v>
      </c>
      <c r="AB99" s="911">
        <v>527.07000000000005</v>
      </c>
      <c r="AC99" s="911">
        <v>424.77</v>
      </c>
      <c r="AD99" s="971" t="s">
        <v>283</v>
      </c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324</v>
      </c>
      <c r="B100" s="910">
        <v>1</v>
      </c>
      <c r="C100" s="969">
        <v>26.25</v>
      </c>
      <c r="D100" s="911">
        <v>524.45000000000005</v>
      </c>
      <c r="E100" s="911">
        <v>419.69</v>
      </c>
      <c r="F100" s="971"/>
      <c r="G100" s="1143"/>
      <c r="H100" s="1144"/>
      <c r="I100" s="912" t="s">
        <v>324</v>
      </c>
      <c r="J100" s="910">
        <v>1</v>
      </c>
      <c r="K100" s="969">
        <v>26.25</v>
      </c>
      <c r="L100" s="911">
        <v>524.45000000000005</v>
      </c>
      <c r="M100" s="911">
        <v>419.69</v>
      </c>
      <c r="N100" s="971"/>
      <c r="O100" s="558"/>
      <c r="P100" s="558"/>
      <c r="Q100" s="912" t="s">
        <v>324</v>
      </c>
      <c r="R100" s="910">
        <v>1</v>
      </c>
      <c r="S100" s="969">
        <v>26.25</v>
      </c>
      <c r="T100" s="911">
        <v>524.45000000000005</v>
      </c>
      <c r="U100" s="911">
        <v>419.69</v>
      </c>
      <c r="V100" s="971"/>
      <c r="W100" s="1143"/>
      <c r="X100" s="1145"/>
      <c r="Y100" s="912" t="s">
        <v>324</v>
      </c>
      <c r="Z100" s="910">
        <v>1</v>
      </c>
      <c r="AA100" s="969">
        <v>26.25</v>
      </c>
      <c r="AB100" s="911">
        <v>524.45000000000005</v>
      </c>
      <c r="AC100" s="911">
        <v>419.69</v>
      </c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31.12</v>
      </c>
      <c r="D101" s="911">
        <v>515.35</v>
      </c>
      <c r="E101" s="911">
        <v>406.62</v>
      </c>
      <c r="F101" s="971" t="s">
        <v>283</v>
      </c>
      <c r="G101" s="1143"/>
      <c r="H101" s="1144"/>
      <c r="I101" s="912" t="s">
        <v>158</v>
      </c>
      <c r="J101" s="910">
        <v>1</v>
      </c>
      <c r="K101" s="969">
        <v>31.12</v>
      </c>
      <c r="L101" s="911">
        <v>515.35</v>
      </c>
      <c r="M101" s="911">
        <v>406.62</v>
      </c>
      <c r="N101" s="971" t="s">
        <v>283</v>
      </c>
      <c r="O101" s="558"/>
      <c r="P101" s="558"/>
      <c r="Q101" s="912" t="s">
        <v>158</v>
      </c>
      <c r="R101" s="910">
        <v>1</v>
      </c>
      <c r="S101" s="969">
        <v>31.12</v>
      </c>
      <c r="T101" s="911">
        <v>515.35</v>
      </c>
      <c r="U101" s="911">
        <v>406.62</v>
      </c>
      <c r="V101" s="971" t="s">
        <v>283</v>
      </c>
      <c r="W101" s="1143"/>
      <c r="X101" s="1145"/>
      <c r="Y101" s="912" t="s">
        <v>158</v>
      </c>
      <c r="Z101" s="910">
        <v>1</v>
      </c>
      <c r="AA101" s="969">
        <v>31.12</v>
      </c>
      <c r="AB101" s="911">
        <v>515.35</v>
      </c>
      <c r="AC101" s="911">
        <v>406.62</v>
      </c>
      <c r="AD101" s="971" t="s">
        <v>283</v>
      </c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29.32</v>
      </c>
      <c r="D102" s="911">
        <v>511.3</v>
      </c>
      <c r="E102" s="911">
        <v>400.97</v>
      </c>
      <c r="F102" s="971"/>
      <c r="G102" s="1143"/>
      <c r="H102" s="1144"/>
      <c r="I102" s="912" t="s">
        <v>159</v>
      </c>
      <c r="J102" s="910">
        <v>1</v>
      </c>
      <c r="K102" s="969">
        <v>29.32</v>
      </c>
      <c r="L102" s="911">
        <v>511.3</v>
      </c>
      <c r="M102" s="911">
        <v>400.97</v>
      </c>
      <c r="N102" s="971"/>
      <c r="O102" s="558"/>
      <c r="P102" s="558"/>
      <c r="Q102" s="912" t="s">
        <v>159</v>
      </c>
      <c r="R102" s="910">
        <v>1</v>
      </c>
      <c r="S102" s="969">
        <v>29.32</v>
      </c>
      <c r="T102" s="911">
        <v>511.3</v>
      </c>
      <c r="U102" s="911">
        <v>400.97</v>
      </c>
      <c r="V102" s="971"/>
      <c r="W102" s="1143"/>
      <c r="X102" s="1145"/>
      <c r="Y102" s="912" t="s">
        <v>159</v>
      </c>
      <c r="Z102" s="910">
        <v>1</v>
      </c>
      <c r="AA102" s="969">
        <v>29.32</v>
      </c>
      <c r="AB102" s="911">
        <v>511.3</v>
      </c>
      <c r="AC102" s="911">
        <v>400.97</v>
      </c>
      <c r="AD102" s="971" t="s">
        <v>135</v>
      </c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321</v>
      </c>
      <c r="B103" s="910">
        <v>1</v>
      </c>
      <c r="C103" s="969">
        <v>22.08</v>
      </c>
      <c r="D103" s="911">
        <v>504.49</v>
      </c>
      <c r="E103" s="911">
        <v>399.6</v>
      </c>
      <c r="F103" s="971"/>
      <c r="G103" s="1143"/>
      <c r="H103" s="1144"/>
      <c r="I103" s="912" t="s">
        <v>321</v>
      </c>
      <c r="J103" s="910">
        <v>1</v>
      </c>
      <c r="K103" s="969">
        <v>22.08</v>
      </c>
      <c r="L103" s="911">
        <v>504.49</v>
      </c>
      <c r="M103" s="911">
        <v>399.6</v>
      </c>
      <c r="N103" s="971"/>
      <c r="O103" s="558"/>
      <c r="P103" s="558"/>
      <c r="Q103" s="912" t="s">
        <v>321</v>
      </c>
      <c r="R103" s="910">
        <v>1</v>
      </c>
      <c r="S103" s="969">
        <v>22.08</v>
      </c>
      <c r="T103" s="911">
        <v>504.49</v>
      </c>
      <c r="U103" s="911">
        <v>399.6</v>
      </c>
      <c r="V103" s="971"/>
      <c r="W103" s="1143"/>
      <c r="X103" s="1145"/>
      <c r="Y103" s="912" t="s">
        <v>321</v>
      </c>
      <c r="Z103" s="910">
        <v>1</v>
      </c>
      <c r="AA103" s="969">
        <v>22.08</v>
      </c>
      <c r="AB103" s="911">
        <v>504.49</v>
      </c>
      <c r="AC103" s="911">
        <v>399.6</v>
      </c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325</v>
      </c>
      <c r="B104" s="910">
        <v>2</v>
      </c>
      <c r="C104" s="969">
        <v>26.53</v>
      </c>
      <c r="D104" s="911">
        <v>492.87</v>
      </c>
      <c r="E104" s="911">
        <v>400.17</v>
      </c>
      <c r="F104" s="971"/>
      <c r="G104" s="1143"/>
      <c r="H104" s="1144"/>
      <c r="I104" s="912" t="s">
        <v>325</v>
      </c>
      <c r="J104" s="910">
        <v>2</v>
      </c>
      <c r="K104" s="969">
        <v>26.53</v>
      </c>
      <c r="L104" s="911">
        <v>492.87</v>
      </c>
      <c r="M104" s="911">
        <v>400.17</v>
      </c>
      <c r="N104" s="971" t="s">
        <v>283</v>
      </c>
      <c r="O104" s="558"/>
      <c r="P104" s="558"/>
      <c r="Q104" s="912" t="s">
        <v>325</v>
      </c>
      <c r="R104" s="910">
        <v>2</v>
      </c>
      <c r="S104" s="969">
        <v>26.53</v>
      </c>
      <c r="T104" s="911">
        <v>492.87</v>
      </c>
      <c r="U104" s="911">
        <v>400.17</v>
      </c>
      <c r="V104" s="971" t="s">
        <v>283</v>
      </c>
      <c r="W104" s="1143"/>
      <c r="X104" s="1145"/>
      <c r="Y104" s="912" t="s">
        <v>325</v>
      </c>
      <c r="Z104" s="910">
        <v>2</v>
      </c>
      <c r="AA104" s="969">
        <v>26.53</v>
      </c>
      <c r="AB104" s="911">
        <v>492.87</v>
      </c>
      <c r="AC104" s="911">
        <v>400.17</v>
      </c>
      <c r="AD104" s="971" t="s">
        <v>283</v>
      </c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327</v>
      </c>
      <c r="B105" s="910">
        <v>1</v>
      </c>
      <c r="C105" s="969">
        <v>28.82</v>
      </c>
      <c r="D105" s="911">
        <v>485.16</v>
      </c>
      <c r="E105" s="911">
        <v>398.74</v>
      </c>
      <c r="F105" s="971" t="s">
        <v>283</v>
      </c>
      <c r="G105" s="1143"/>
      <c r="H105" s="1144"/>
      <c r="I105" s="912" t="s">
        <v>327</v>
      </c>
      <c r="J105" s="910">
        <v>1</v>
      </c>
      <c r="K105" s="969">
        <v>28.82</v>
      </c>
      <c r="L105" s="911">
        <v>485.16</v>
      </c>
      <c r="M105" s="911">
        <v>398.74</v>
      </c>
      <c r="N105" s="971"/>
      <c r="O105" s="558"/>
      <c r="P105" s="558"/>
      <c r="Q105" s="912" t="s">
        <v>327</v>
      </c>
      <c r="R105" s="910">
        <v>1</v>
      </c>
      <c r="S105" s="969">
        <v>28.82</v>
      </c>
      <c r="T105" s="911">
        <v>485.16</v>
      </c>
      <c r="U105" s="911">
        <v>398.74</v>
      </c>
      <c r="V105" s="971"/>
      <c r="W105" s="1143"/>
      <c r="X105" s="1145"/>
      <c r="Y105" s="912" t="s">
        <v>327</v>
      </c>
      <c r="Z105" s="910">
        <v>1</v>
      </c>
      <c r="AA105" s="969">
        <v>28.82</v>
      </c>
      <c r="AB105" s="911">
        <v>485.16</v>
      </c>
      <c r="AC105" s="911">
        <v>398.74</v>
      </c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328</v>
      </c>
      <c r="B106" s="910">
        <v>1</v>
      </c>
      <c r="C106" s="969">
        <v>20.39</v>
      </c>
      <c r="D106" s="911">
        <v>478</v>
      </c>
      <c r="E106" s="911">
        <v>407.49</v>
      </c>
      <c r="F106" s="971"/>
      <c r="G106" s="1143"/>
      <c r="H106" s="1144"/>
      <c r="I106" s="912" t="s">
        <v>328</v>
      </c>
      <c r="J106" s="910">
        <v>1</v>
      </c>
      <c r="K106" s="969">
        <v>20.39</v>
      </c>
      <c r="L106" s="911">
        <v>478</v>
      </c>
      <c r="M106" s="911">
        <v>407.49</v>
      </c>
      <c r="N106" s="971"/>
      <c r="O106" s="558"/>
      <c r="P106" s="558"/>
      <c r="Q106" s="912" t="s">
        <v>328</v>
      </c>
      <c r="R106" s="910">
        <v>1</v>
      </c>
      <c r="S106" s="969">
        <v>20.39</v>
      </c>
      <c r="T106" s="911">
        <v>478</v>
      </c>
      <c r="U106" s="911">
        <v>407.49</v>
      </c>
      <c r="V106" s="971"/>
      <c r="W106" s="1143"/>
      <c r="X106" s="1145"/>
      <c r="Y106" s="912" t="s">
        <v>328</v>
      </c>
      <c r="Z106" s="910">
        <v>1</v>
      </c>
      <c r="AA106" s="969">
        <v>20.39</v>
      </c>
      <c r="AB106" s="911">
        <v>478</v>
      </c>
      <c r="AC106" s="911">
        <v>407.49</v>
      </c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330</v>
      </c>
      <c r="B107" s="910">
        <v>2</v>
      </c>
      <c r="C107" s="969">
        <v>33.270000000000003</v>
      </c>
      <c r="D107" s="911">
        <v>473.6</v>
      </c>
      <c r="E107" s="911">
        <v>420.42</v>
      </c>
      <c r="F107" s="971"/>
      <c r="G107" s="1143"/>
      <c r="H107" s="1144"/>
      <c r="I107" s="912" t="s">
        <v>330</v>
      </c>
      <c r="J107" s="910">
        <v>2</v>
      </c>
      <c r="K107" s="969">
        <v>33.270000000000003</v>
      </c>
      <c r="L107" s="911">
        <v>473.6</v>
      </c>
      <c r="M107" s="911">
        <v>420.42</v>
      </c>
      <c r="N107" s="971"/>
      <c r="O107" s="558"/>
      <c r="P107" s="558"/>
      <c r="Q107" s="912" t="s">
        <v>330</v>
      </c>
      <c r="R107" s="910">
        <v>2</v>
      </c>
      <c r="S107" s="969">
        <v>33.270000000000003</v>
      </c>
      <c r="T107" s="911">
        <v>473.6</v>
      </c>
      <c r="U107" s="911">
        <v>420.42</v>
      </c>
      <c r="V107" s="971"/>
      <c r="W107" s="1143"/>
      <c r="X107" s="1145"/>
      <c r="Y107" s="912" t="s">
        <v>330</v>
      </c>
      <c r="Z107" s="910">
        <v>2</v>
      </c>
      <c r="AA107" s="969">
        <v>33.270000000000003</v>
      </c>
      <c r="AB107" s="911">
        <v>473.6</v>
      </c>
      <c r="AC107" s="911">
        <v>420.42</v>
      </c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331</v>
      </c>
      <c r="B108" s="910">
        <v>1</v>
      </c>
      <c r="C108" s="969">
        <v>21.94</v>
      </c>
      <c r="D108" s="911">
        <v>459.94</v>
      </c>
      <c r="E108" s="911">
        <v>423.55</v>
      </c>
      <c r="F108" s="971" t="s">
        <v>135</v>
      </c>
      <c r="G108" s="1143"/>
      <c r="H108" s="1144"/>
      <c r="I108" s="912" t="s">
        <v>331</v>
      </c>
      <c r="J108" s="910">
        <v>1</v>
      </c>
      <c r="K108" s="969">
        <v>21.94</v>
      </c>
      <c r="L108" s="911">
        <v>459.94</v>
      </c>
      <c r="M108" s="911">
        <v>423.55</v>
      </c>
      <c r="N108" s="971" t="s">
        <v>135</v>
      </c>
      <c r="O108" s="558"/>
      <c r="P108" s="558"/>
      <c r="Q108" s="912" t="s">
        <v>331</v>
      </c>
      <c r="R108" s="910">
        <v>1</v>
      </c>
      <c r="S108" s="969">
        <v>21.94</v>
      </c>
      <c r="T108" s="911">
        <v>459.94</v>
      </c>
      <c r="U108" s="911">
        <v>423.55</v>
      </c>
      <c r="V108" s="971" t="s">
        <v>283</v>
      </c>
      <c r="W108" s="1143"/>
      <c r="X108" s="1145"/>
      <c r="Y108" s="912" t="s">
        <v>331</v>
      </c>
      <c r="Z108" s="910">
        <v>1</v>
      </c>
      <c r="AA108" s="969">
        <v>21.94</v>
      </c>
      <c r="AB108" s="911">
        <v>459.94</v>
      </c>
      <c r="AC108" s="911">
        <v>423.55</v>
      </c>
      <c r="AD108" s="971" t="s">
        <v>283</v>
      </c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332</v>
      </c>
      <c r="B109" s="910">
        <v>1</v>
      </c>
      <c r="C109" s="970">
        <v>20.85</v>
      </c>
      <c r="D109" s="911">
        <v>453.14</v>
      </c>
      <c r="E109" s="911">
        <v>427.02</v>
      </c>
      <c r="F109" s="971"/>
      <c r="G109" s="1143"/>
      <c r="H109" s="1144"/>
      <c r="I109" s="912" t="s">
        <v>332</v>
      </c>
      <c r="J109" s="910">
        <v>1</v>
      </c>
      <c r="K109" s="970">
        <v>20.85</v>
      </c>
      <c r="L109" s="911">
        <v>453.14</v>
      </c>
      <c r="M109" s="911">
        <v>427.02</v>
      </c>
      <c r="N109" s="971"/>
      <c r="O109" s="558"/>
      <c r="P109" s="558"/>
      <c r="Q109" s="912" t="s">
        <v>332</v>
      </c>
      <c r="R109" s="910">
        <v>1</v>
      </c>
      <c r="S109" s="970">
        <v>20.85</v>
      </c>
      <c r="T109" s="911">
        <v>453.14</v>
      </c>
      <c r="U109" s="911">
        <v>427.02</v>
      </c>
      <c r="V109" s="971"/>
      <c r="W109" s="1143"/>
      <c r="X109" s="1145"/>
      <c r="Y109" s="912" t="s">
        <v>332</v>
      </c>
      <c r="Z109" s="910">
        <v>1</v>
      </c>
      <c r="AA109" s="970">
        <v>20.85</v>
      </c>
      <c r="AB109" s="911">
        <v>453.14</v>
      </c>
      <c r="AC109" s="911">
        <v>427.02</v>
      </c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333</v>
      </c>
      <c r="B110" s="910">
        <v>1</v>
      </c>
      <c r="C110" s="970">
        <v>16.05</v>
      </c>
      <c r="D110" s="911">
        <v>443.98</v>
      </c>
      <c r="E110" s="911">
        <v>441.07</v>
      </c>
      <c r="F110" s="971"/>
      <c r="G110" s="1143"/>
      <c r="H110" s="1144"/>
      <c r="I110" s="912" t="s">
        <v>333</v>
      </c>
      <c r="J110" s="910">
        <v>1</v>
      </c>
      <c r="K110" s="970">
        <v>16.05</v>
      </c>
      <c r="L110" s="911">
        <v>443.98</v>
      </c>
      <c r="M110" s="911">
        <v>441.07</v>
      </c>
      <c r="N110" s="971"/>
      <c r="O110" s="558"/>
      <c r="P110" s="558"/>
      <c r="Q110" s="912" t="s">
        <v>333</v>
      </c>
      <c r="R110" s="910">
        <v>1</v>
      </c>
      <c r="S110" s="970">
        <v>16.05</v>
      </c>
      <c r="T110" s="911">
        <v>443.98</v>
      </c>
      <c r="U110" s="911">
        <v>441.07</v>
      </c>
      <c r="V110" s="971"/>
      <c r="W110" s="1143"/>
      <c r="X110" s="1145"/>
      <c r="Y110" s="912" t="s">
        <v>333</v>
      </c>
      <c r="Z110" s="910">
        <v>1</v>
      </c>
      <c r="AA110" s="970">
        <v>16.05</v>
      </c>
      <c r="AB110" s="911">
        <v>443.98</v>
      </c>
      <c r="AC110" s="911">
        <v>441.07</v>
      </c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349</v>
      </c>
      <c r="B111" s="910"/>
      <c r="C111" s="970"/>
      <c r="D111" s="911"/>
      <c r="E111" s="911"/>
      <c r="F111" s="971"/>
      <c r="G111" s="1143"/>
      <c r="H111" s="1144"/>
      <c r="I111" s="912" t="s">
        <v>349</v>
      </c>
      <c r="J111" s="910"/>
      <c r="K111" s="970"/>
      <c r="L111" s="911"/>
      <c r="M111" s="911"/>
      <c r="N111" s="971"/>
      <c r="O111" s="558"/>
      <c r="P111" s="558"/>
      <c r="Q111" s="912" t="s">
        <v>349</v>
      </c>
      <c r="R111" s="910"/>
      <c r="S111" s="970"/>
      <c r="T111" s="911"/>
      <c r="U111" s="911"/>
      <c r="V111" s="971"/>
      <c r="W111" s="1143"/>
      <c r="X111" s="1145"/>
      <c r="Y111" s="912" t="s">
        <v>349</v>
      </c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 t="s">
        <v>161</v>
      </c>
      <c r="B112" s="910"/>
      <c r="C112" s="964"/>
      <c r="D112" s="911"/>
      <c r="E112" s="911"/>
      <c r="F112" s="971"/>
      <c r="G112" s="1143"/>
      <c r="H112" s="1144"/>
      <c r="I112" s="912" t="s">
        <v>161</v>
      </c>
      <c r="J112" s="910"/>
      <c r="K112" s="964"/>
      <c r="L112" s="911"/>
      <c r="M112" s="911"/>
      <c r="N112" s="971"/>
      <c r="O112" s="558"/>
      <c r="P112" s="558"/>
      <c r="Q112" s="912" t="s">
        <v>161</v>
      </c>
      <c r="R112" s="910"/>
      <c r="S112" s="964"/>
      <c r="T112" s="911"/>
      <c r="U112" s="911"/>
      <c r="V112" s="971"/>
      <c r="W112" s="1143"/>
      <c r="X112" s="1145"/>
      <c r="Y112" s="912" t="s">
        <v>161</v>
      </c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3"/>
      <c r="H113" s="1144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3"/>
      <c r="X113" s="1145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3"/>
      <c r="H114" s="1144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3"/>
      <c r="X114" s="1145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3"/>
      <c r="H115" s="1144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3"/>
      <c r="X115" s="1145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3"/>
      <c r="H116" s="1144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3"/>
      <c r="X116" s="1145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3"/>
      <c r="H117" s="1144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3"/>
      <c r="X117" s="1145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3"/>
      <c r="H118" s="1144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3"/>
      <c r="X118" s="1145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3"/>
      <c r="H119" s="1144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3"/>
      <c r="X119" s="1145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3"/>
      <c r="H120" s="1144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3"/>
      <c r="X120" s="1145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0"/>
      <c r="G121" s="1141"/>
      <c r="H121" s="1142"/>
      <c r="I121" s="1093"/>
      <c r="J121" s="1093"/>
      <c r="K121" s="1093"/>
      <c r="L121" s="1093"/>
      <c r="M121" s="1093"/>
      <c r="N121" s="1140"/>
      <c r="O121" s="1093"/>
      <c r="P121" s="1093"/>
      <c r="Q121" s="1093"/>
      <c r="R121" s="1093"/>
      <c r="S121" s="1093"/>
      <c r="T121" s="1093"/>
      <c r="U121" s="1093"/>
      <c r="V121" s="1140"/>
      <c r="W121" s="1141"/>
      <c r="X121" s="1142"/>
      <c r="Y121" s="1093"/>
      <c r="Z121" s="1093"/>
      <c r="AA121" s="1093"/>
      <c r="AB121" s="1093"/>
      <c r="AC121" s="1093"/>
      <c r="AD121" s="1140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3"/>
      <c r="H122" s="1144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3"/>
      <c r="X122" s="1145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3"/>
      <c r="H123" s="1144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3"/>
      <c r="X123" s="1145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3"/>
      <c r="H124" s="1144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3"/>
      <c r="X124" s="1145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3"/>
      <c r="H125" s="1144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3"/>
      <c r="X125" s="1145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3"/>
      <c r="H126" s="1144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3"/>
      <c r="X126" s="1145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3"/>
      <c r="H127" s="1144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3"/>
      <c r="X127" s="1145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3"/>
      <c r="H128" s="1144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3"/>
      <c r="X128" s="1145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3"/>
      <c r="H129" s="1144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3"/>
      <c r="X129" s="1145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3"/>
      <c r="H130" s="1144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3"/>
      <c r="X130" s="1145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3"/>
      <c r="H131" s="1144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3"/>
      <c r="X131" s="1145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3"/>
      <c r="H132" s="1144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3"/>
      <c r="X132" s="1145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3"/>
      <c r="H133" s="1144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3"/>
      <c r="X133" s="1145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3"/>
      <c r="H134" s="1144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3"/>
      <c r="X134" s="1145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3"/>
      <c r="H135" s="1144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3"/>
      <c r="X135" s="1145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3"/>
      <c r="H136" s="1144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3"/>
      <c r="X136" s="1145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3"/>
      <c r="H137" s="1144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3"/>
      <c r="X137" s="1145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3"/>
      <c r="H138" s="1144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3"/>
      <c r="X138" s="1145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3"/>
      <c r="H139" s="1144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3"/>
      <c r="X139" s="1145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3"/>
      <c r="H140" s="1144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3"/>
      <c r="X140" s="1145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3"/>
      <c r="H141" s="1144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3"/>
      <c r="X141" s="1145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3"/>
      <c r="H142" s="1144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3"/>
      <c r="X142" s="1145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3"/>
      <c r="H143" s="1144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3"/>
      <c r="X143" s="1145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3"/>
      <c r="H144" s="1144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3"/>
      <c r="X144" s="1145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3"/>
      <c r="H145" s="1144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3"/>
      <c r="X145" s="1145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Q54:Z54"/>
    <mergeCell ref="B54:B55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4" priority="2090" stopIfTrue="1">
      <formula>C$82=0</formula>
    </cfRule>
  </conditionalFormatting>
  <conditionalFormatting sqref="A16:N43">
    <cfRule type="expression" dxfId="43" priority="17" stopIfTrue="1">
      <formula>$B16=""</formula>
    </cfRule>
  </conditionalFormatting>
  <conditionalFormatting sqref="A56:A79 C56:AA79">
    <cfRule type="expression" dxfId="42" priority="2098" stopIfTrue="1">
      <formula>$N56=0</formula>
    </cfRule>
  </conditionalFormatting>
  <conditionalFormatting sqref="F20:G43">
    <cfRule type="expression" dxfId="41" priority="2099" stopIfTrue="1">
      <formula>$AD56=TRUE</formula>
    </cfRule>
  </conditionalFormatting>
  <conditionalFormatting sqref="A45:E45">
    <cfRule type="expression" dxfId="40" priority="4" stopIfTrue="1">
      <formula>$B45=""</formula>
    </cfRule>
  </conditionalFormatting>
  <conditionalFormatting sqref="V2">
    <cfRule type="expression" dxfId="39" priority="3" stopIfTrue="1">
      <formula>$B4=""</formula>
    </cfRule>
  </conditionalFormatting>
  <conditionalFormatting sqref="A50:A51">
    <cfRule type="expression" dxfId="38" priority="2" stopIfTrue="1">
      <formula>$B50=""</formula>
    </cfRule>
  </conditionalFormatting>
  <conditionalFormatting sqref="A47:E47">
    <cfRule type="expression" dxfId="37" priority="1" stopIfTrue="1">
      <formula>$B47=""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7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194</v>
      </c>
      <c r="B1" s="90"/>
      <c r="K1" s="4"/>
      <c r="L1" s="4"/>
      <c r="M1" s="4"/>
      <c r="N1" s="272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1.004</v>
      </c>
      <c r="Z1" s="668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51" t="s">
        <v>207</v>
      </c>
      <c r="BD1" s="1251"/>
      <c r="BE1" s="1251"/>
      <c r="BF1" s="797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2" t="str">
        <f>'Réglage perte'!B2</f>
        <v>MdS Escalquens</v>
      </c>
      <c r="B2" s="1243"/>
      <c r="C2" s="1243"/>
      <c r="D2" s="1244"/>
      <c r="I2" s="1197" t="s">
        <v>368</v>
      </c>
      <c r="J2" s="1198">
        <f>AVERAGEIF($BW$15:$CF$380,"&gt;0,97")</f>
        <v>0.99961371623142425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51"/>
      <c r="BD2" s="1251"/>
      <c r="BE2" s="1251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5"/>
      <c r="B3" s="1246"/>
      <c r="C3" s="1246"/>
      <c r="D3" s="1247"/>
      <c r="E3" s="3"/>
      <c r="L3" s="746">
        <f>AL3</f>
        <v>246</v>
      </c>
      <c r="M3" s="750">
        <f>+AM3</f>
        <v>241</v>
      </c>
      <c r="N3" s="171">
        <v>262</v>
      </c>
      <c r="O3" s="171">
        <v>301</v>
      </c>
      <c r="P3" s="171">
        <v>351</v>
      </c>
      <c r="Q3" s="171">
        <v>403</v>
      </c>
      <c r="R3" s="171">
        <v>456</v>
      </c>
      <c r="S3" s="171">
        <v>510</v>
      </c>
      <c r="T3" s="171">
        <v>560</v>
      </c>
      <c r="U3" s="171">
        <v>598</v>
      </c>
      <c r="V3" s="171">
        <v>623</v>
      </c>
      <c r="W3" s="171">
        <v>635</v>
      </c>
      <c r="X3" s="171">
        <v>638</v>
      </c>
      <c r="Y3" s="171">
        <v>634</v>
      </c>
      <c r="Z3" s="171">
        <v>627</v>
      </c>
      <c r="AA3" s="171">
        <v>617</v>
      </c>
      <c r="AB3" s="171">
        <v>604</v>
      </c>
      <c r="AC3" s="171">
        <v>586</v>
      </c>
      <c r="AD3" s="171">
        <v>563</v>
      </c>
      <c r="AE3" s="171">
        <v>533</v>
      </c>
      <c r="AF3" s="171">
        <v>496</v>
      </c>
      <c r="AG3" s="171">
        <v>452</v>
      </c>
      <c r="AH3" s="171">
        <v>402</v>
      </c>
      <c r="AI3" s="171">
        <v>352</v>
      </c>
      <c r="AJ3" s="171">
        <v>307</v>
      </c>
      <c r="AK3" s="171">
        <v>270</v>
      </c>
      <c r="AL3" s="171">
        <v>246</v>
      </c>
      <c r="AM3" s="171">
        <v>241</v>
      </c>
      <c r="AN3" s="746">
        <f>+N3</f>
        <v>262</v>
      </c>
      <c r="AO3" s="747">
        <f>+O3</f>
        <v>301</v>
      </c>
      <c r="BC3" s="1251"/>
      <c r="BD3" s="1251"/>
      <c r="BE3" s="1251"/>
      <c r="BF3" s="797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191</v>
      </c>
      <c r="N4" s="752">
        <f>MAX($BA15:$BA28)-1</f>
        <v>4.1428771929483243E-2</v>
      </c>
      <c r="O4" s="642">
        <f>MAX($BA29:$BA42)-1</f>
        <v>4.3054646973989863E-2</v>
      </c>
      <c r="P4" s="642">
        <f>MAX($BA43:$BA56)-1</f>
        <v>4.1265590460616952E-2</v>
      </c>
      <c r="Q4" s="642">
        <f>MAX(BA57:BA70)-1</f>
        <v>1.5426597349023075E-2</v>
      </c>
      <c r="R4" s="642">
        <f>MAX(BA71:BA84)-1</f>
        <v>8.6296254599769195E-3</v>
      </c>
      <c r="S4" s="642">
        <f>MAX(BA85:BA98)-1</f>
        <v>1.2559881410290741E-2</v>
      </c>
      <c r="T4" s="642">
        <f>MAX(BA99:BA112)-1</f>
        <v>3.9000752785045778E-2</v>
      </c>
      <c r="U4" s="642">
        <f>MAX(BA113:BA126)-1</f>
        <v>9.8867890589628971E-3</v>
      </c>
      <c r="V4" s="642">
        <f>MAX(BA127:BA140)-1</f>
        <v>1.1952963453878418E-2</v>
      </c>
      <c r="W4" s="642">
        <f>MAX(BA141:BA154)-1</f>
        <v>1.8548390139661919E-2</v>
      </c>
      <c r="X4" s="642">
        <f>MAX(BA155:BA168)-1</f>
        <v>1.4213625833665144E-2</v>
      </c>
      <c r="Y4" s="642">
        <f>MAX(BA169:BA182)-1</f>
        <v>1.1128598156534109E-2</v>
      </c>
      <c r="Z4" s="642">
        <f>MAX(BA183:BA196)-1</f>
        <v>1.3131058548050634E-2</v>
      </c>
      <c r="AA4" s="642">
        <f>MAX(BA197:BA210)-1</f>
        <v>1.8551754447262869E-2</v>
      </c>
      <c r="AB4" s="642">
        <f>MAX(BA211:BA224)-1</f>
        <v>2.9064159293400227E-2</v>
      </c>
      <c r="AC4" s="642">
        <f>MAX(BA225:BA238)-1</f>
        <v>-7.1570016703499384E-3</v>
      </c>
      <c r="AD4" s="642">
        <f>MAX(BA239:BA252)-1</f>
        <v>8.2005621178333765E-3</v>
      </c>
      <c r="AE4" s="642">
        <f>MAX(BA253:BA266)-1</f>
        <v>3.1291800185761387E-2</v>
      </c>
      <c r="AF4" s="642">
        <f>MAX(BA267:BA280)-1</f>
        <v>3.6589537779205372E-2</v>
      </c>
      <c r="AG4" s="642">
        <f>MAX(BA281:BA294)-1</f>
        <v>4.4677328976523656E-2</v>
      </c>
      <c r="AH4" s="642">
        <f>MAX(BA295:BA308)-1</f>
        <v>3.9587847517770447E-2</v>
      </c>
      <c r="AI4" s="642">
        <f>MAX(BA309:BA322)-1</f>
        <v>3.5682540017186293E-2</v>
      </c>
      <c r="AJ4" s="642">
        <f>MAX(BA323:BA336)-1</f>
        <v>1.003902129593337E-3</v>
      </c>
      <c r="AK4" s="642">
        <f>MAX(BA337:BA350)-1</f>
        <v>4.690149922644915E-2</v>
      </c>
      <c r="AL4" s="642">
        <f>MAX(BA351:BA364)-1</f>
        <v>2.4886556544549077E-2</v>
      </c>
      <c r="AM4" s="642">
        <f>MAX(BA365:BA380)-1</f>
        <v>4.212991551600509E-2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8" t="s">
        <v>190</v>
      </c>
      <c r="B5" s="1249"/>
      <c r="C5" s="1249"/>
      <c r="D5" s="1249"/>
      <c r="E5" s="1249"/>
      <c r="F5" s="1249"/>
      <c r="G5" s="1249"/>
      <c r="H5" s="1249"/>
      <c r="I5" s="1249"/>
      <c r="J5" s="1250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3.1291800185761387E-2</v>
      </c>
      <c r="B7" s="268">
        <f>'2020'!Dépas_env</f>
        <v>4.690149922644915E-2</v>
      </c>
      <c r="C7" s="268">
        <f>'2021'!Dépas_env</f>
        <v>4.212991551600509E-2</v>
      </c>
      <c r="D7" s="268">
        <f>'2022'!Dépas_env</f>
        <v>4.4677328976523656E-2</v>
      </c>
      <c r="E7" s="268">
        <f>'2023'!Dépas_env</f>
        <v>4.4677328976523656E-2</v>
      </c>
      <c r="F7" s="598">
        <f>'2024'!Dépas_env</f>
        <v>4.4677328976523656E-2</v>
      </c>
      <c r="G7" s="598">
        <f>'2025'!Dépas_env</f>
        <v>4.4677328976523656E-2</v>
      </c>
      <c r="H7" s="598">
        <f>'2026'!Dépas_env</f>
        <v>4.4677328976523656E-2</v>
      </c>
      <c r="I7" s="598">
        <f>'2027'!Dépas_env</f>
        <v>4.4677328976523656E-2</v>
      </c>
      <c r="J7" s="598">
        <f>'2028'!Dépas_env</f>
        <v>4.4677328976523434E-2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296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312</v>
      </c>
      <c r="D11" s="1069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229</v>
      </c>
      <c r="AT11" s="27"/>
      <c r="AU11" s="679" t="s">
        <v>230</v>
      </c>
      <c r="AY11" s="27"/>
      <c r="AZ11" s="760" t="s">
        <v>233</v>
      </c>
      <c r="BA11" s="631"/>
      <c r="BB11" s="19"/>
      <c r="BC11" s="15"/>
      <c r="BD11" s="1252" t="s">
        <v>249</v>
      </c>
      <c r="BE11" s="1253"/>
      <c r="BF11" s="1256" t="s">
        <v>244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9.0351524420219071</v>
      </c>
      <c r="C12" s="12">
        <f>+MIN(C15:C379)</f>
        <v>2018</v>
      </c>
      <c r="D12" s="1042">
        <f>+MIN(D15:D379)</f>
        <v>0.97005904941195453</v>
      </c>
      <c r="E12" s="12">
        <f t="shared" ref="E12:J12" si="1">+MIN(E15:E379)</f>
        <v>24.196400000000001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24.110403418966701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24.341469395366211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24.114886481527769</v>
      </c>
      <c r="AZ12" s="389">
        <f t="shared" si="3"/>
        <v>24.233172441380368</v>
      </c>
      <c r="BA12" s="629"/>
      <c r="BC12" s="15"/>
      <c r="BD12" s="1254"/>
      <c r="BE12" s="1255"/>
      <c r="BF12" s="1257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65.112138934007149</v>
      </c>
      <c r="C13" s="12">
        <f>+MAX(C15:C379)</f>
        <v>2022</v>
      </c>
      <c r="D13" s="1042">
        <f>+MAX(D15:D379)</f>
        <v>1.0469014992264492</v>
      </c>
      <c r="E13" s="12">
        <f t="shared" ref="E13:J13" si="4">+MAX(E15:E379)</f>
        <v>64.055199999999999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64.057468513133273</v>
      </c>
      <c r="K13" s="6"/>
      <c r="L13" s="763">
        <f>AL13</f>
        <v>246.98400000000001</v>
      </c>
      <c r="M13" s="763">
        <f>+AM13</f>
        <v>241.964</v>
      </c>
      <c r="N13" s="762">
        <f t="shared" ref="N13:AM13" si="5">Ajust_M*N3</f>
        <v>263.048</v>
      </c>
      <c r="O13" s="753">
        <f t="shared" si="5"/>
        <v>302.20400000000001</v>
      </c>
      <c r="P13" s="753">
        <f t="shared" si="5"/>
        <v>352.404</v>
      </c>
      <c r="Q13" s="753">
        <f t="shared" si="5"/>
        <v>404.61200000000002</v>
      </c>
      <c r="R13" s="753">
        <f t="shared" si="5"/>
        <v>457.82400000000001</v>
      </c>
      <c r="S13" s="753">
        <f t="shared" si="5"/>
        <v>512.04</v>
      </c>
      <c r="T13" s="753">
        <f t="shared" si="5"/>
        <v>562.24</v>
      </c>
      <c r="U13" s="753">
        <f t="shared" si="5"/>
        <v>600.39200000000005</v>
      </c>
      <c r="V13" s="753">
        <f t="shared" si="5"/>
        <v>625.49199999999996</v>
      </c>
      <c r="W13" s="753">
        <f t="shared" si="5"/>
        <v>637.54</v>
      </c>
      <c r="X13" s="753">
        <f t="shared" si="5"/>
        <v>640.55200000000002</v>
      </c>
      <c r="Y13" s="753">
        <f t="shared" si="5"/>
        <v>636.53600000000006</v>
      </c>
      <c r="Z13" s="753">
        <f t="shared" si="5"/>
        <v>629.50800000000004</v>
      </c>
      <c r="AA13" s="753">
        <f t="shared" si="5"/>
        <v>619.46799999999996</v>
      </c>
      <c r="AB13" s="753">
        <f t="shared" si="5"/>
        <v>606.41600000000005</v>
      </c>
      <c r="AC13" s="753">
        <f t="shared" si="5"/>
        <v>588.34400000000005</v>
      </c>
      <c r="AD13" s="753">
        <f t="shared" si="5"/>
        <v>565.25199999999995</v>
      </c>
      <c r="AE13" s="753">
        <f t="shared" si="5"/>
        <v>535.13199999999995</v>
      </c>
      <c r="AF13" s="753">
        <f t="shared" si="5"/>
        <v>497.98399999999998</v>
      </c>
      <c r="AG13" s="753">
        <f t="shared" si="5"/>
        <v>453.80799999999999</v>
      </c>
      <c r="AH13" s="753">
        <f t="shared" si="5"/>
        <v>403.608</v>
      </c>
      <c r="AI13" s="753">
        <f t="shared" si="5"/>
        <v>353.40800000000002</v>
      </c>
      <c r="AJ13" s="753">
        <f t="shared" si="5"/>
        <v>308.22800000000001</v>
      </c>
      <c r="AK13" s="753">
        <f t="shared" si="5"/>
        <v>271.08</v>
      </c>
      <c r="AL13" s="753">
        <f t="shared" si="5"/>
        <v>246.98400000000001</v>
      </c>
      <c r="AM13" s="753">
        <f t="shared" si="5"/>
        <v>241.964</v>
      </c>
      <c r="AN13" s="763">
        <f>+N13</f>
        <v>263.048</v>
      </c>
      <c r="AO13" s="763">
        <f>+O13</f>
        <v>302.20400000000001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64.059842218977536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64.066071483652507</v>
      </c>
      <c r="AZ13" s="389">
        <f t="shared" si="6"/>
        <v>64.051019715624193</v>
      </c>
      <c r="BA13" s="629"/>
      <c r="BC13" s="37"/>
      <c r="BD13" s="284" t="s">
        <v>49</v>
      </c>
      <c r="BE13" s="284" t="s">
        <v>48</v>
      </c>
      <c r="BF13" s="284" t="s">
        <v>247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367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313</v>
      </c>
      <c r="E14" s="174" t="s">
        <v>223</v>
      </c>
      <c r="F14" s="174" t="s">
        <v>219</v>
      </c>
      <c r="G14" s="174" t="s">
        <v>220</v>
      </c>
      <c r="H14" s="174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219</v>
      </c>
      <c r="AQ14" s="174" t="s">
        <v>220</v>
      </c>
      <c r="AR14" s="174" t="s">
        <v>221</v>
      </c>
      <c r="AS14" s="733" t="s">
        <v>222</v>
      </c>
      <c r="AT14" s="756" t="s">
        <v>231</v>
      </c>
      <c r="AU14" s="174" t="s">
        <v>219</v>
      </c>
      <c r="AV14" s="174" t="s">
        <v>220</v>
      </c>
      <c r="AW14" s="174" t="s">
        <v>221</v>
      </c>
      <c r="AX14" s="733" t="s">
        <v>222</v>
      </c>
      <c r="AY14" s="756" t="s">
        <v>232</v>
      </c>
      <c r="AZ14" s="78" t="s">
        <v>234</v>
      </c>
      <c r="BA14" s="632" t="s">
        <v>192</v>
      </c>
      <c r="BB14" s="72"/>
      <c r="BC14" s="355" t="s">
        <v>114</v>
      </c>
      <c r="BD14" s="285" t="s">
        <v>19</v>
      </c>
      <c r="BE14" s="286" t="s">
        <v>21</v>
      </c>
      <c r="BF14" s="802" t="s">
        <v>248</v>
      </c>
      <c r="BH14" s="1034" t="s">
        <v>90</v>
      </c>
      <c r="BI14" s="1029" t="s">
        <v>297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198</v>
      </c>
      <c r="BW14" s="1189">
        <v>2019</v>
      </c>
      <c r="BX14" s="1189">
        <v>2020</v>
      </c>
      <c r="BY14" s="1189">
        <v>2021</v>
      </c>
      <c r="BZ14" s="1189">
        <v>2022</v>
      </c>
      <c r="CA14" s="1189">
        <v>2023</v>
      </c>
      <c r="CB14" s="1189">
        <v>2024</v>
      </c>
      <c r="CC14" s="1189">
        <v>2025</v>
      </c>
      <c r="CD14" s="1189">
        <v>2026</v>
      </c>
      <c r="CE14" s="1189">
        <v>2027</v>
      </c>
      <c r="CF14" s="1189">
        <v>2028</v>
      </c>
    </row>
    <row r="15" spans="1:84" s="6" customFormat="1" ht="11.25" x14ac:dyDescent="0.2">
      <c r="A15" s="11">
        <v>43101</v>
      </c>
      <c r="B15" s="378">
        <f>'2022'!Maxi_hp</f>
        <v>25.454097031999808</v>
      </c>
      <c r="C15" s="739">
        <f>'2022'!An_max</f>
        <v>2022</v>
      </c>
      <c r="D15" s="1044">
        <f t="shared" ref="D15:D78" si="7">IF($BA15&gt;$D$11,BA15,"")</f>
        <v>1.017406186422448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25.01861829787493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25.197726477990891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25.064430539875197</v>
      </c>
      <c r="AZ15" s="734">
        <f>(AY15+AT15)/2</f>
        <v>25.131078508933044</v>
      </c>
      <c r="BA15" s="633">
        <f t="shared" ref="BA15:BA78" si="21">+B15/J15</f>
        <v>1.017406186422448</v>
      </c>
      <c r="BC15" s="11">
        <v>43101</v>
      </c>
      <c r="BD15" s="287">
        <f>[2]!FeuilCaduc*(1-Persistant)+Persistant</f>
        <v>0.50572287428576723</v>
      </c>
      <c r="BE15" s="288">
        <f>[2]!CroissVégét</f>
        <v>2.3909964587625958E-6</v>
      </c>
      <c r="BF15" s="803">
        <f>1+[2]!Salcycl*Ksac</f>
        <v>1.0005722874285767</v>
      </c>
      <c r="BH15" s="1035">
        <f t="shared" ref="BH15:BH78" si="22">INDEX($BJ15:$BT15,,$BH$10)*(1-Ratini)+INDEX($BJ15:$BT15,,$BH$10+1)*Ratini</f>
        <v>2.142652602499313E-2</v>
      </c>
      <c r="BI15" s="11">
        <v>44197</v>
      </c>
      <c r="BJ15" s="809">
        <v>2.1816213513607811E-3</v>
      </c>
      <c r="BK15" s="713">
        <v>4.8995464731651159E-3</v>
      </c>
      <c r="BL15" s="713">
        <v>8.3861086155112702E-3</v>
      </c>
      <c r="BM15" s="713">
        <v>1.4344351466631365E-2</v>
      </c>
      <c r="BN15" s="713">
        <v>2.8533885933822417E-2</v>
      </c>
      <c r="BO15" s="714">
        <v>5.4688520359780314E-2</v>
      </c>
      <c r="BP15" s="713">
        <v>9.2116916468655663E-2</v>
      </c>
      <c r="BQ15" s="713">
        <v>0.12914029908778735</v>
      </c>
      <c r="BR15" s="713">
        <v>0.16322266407705069</v>
      </c>
      <c r="BS15" s="713">
        <v>0.19550282615128889</v>
      </c>
      <c r="BT15" s="713">
        <v>0.2314746598494026</v>
      </c>
      <c r="BW15" s="1190">
        <f>'2019'!R\Max</f>
        <v>0</v>
      </c>
      <c r="BX15" s="1190">
        <f>'2020'!R\Max</f>
        <v>0.61388072202835986</v>
      </c>
      <c r="BY15" s="1190">
        <f>'2021'!R\Max</f>
        <v>0.30951284498120296</v>
      </c>
      <c r="BZ15" s="1190">
        <f>'2022'!R\Max</f>
        <v>1.017406186422448</v>
      </c>
      <c r="CA15" s="1190">
        <f>'2023'!R\Max</f>
        <v>1.017406186422448</v>
      </c>
      <c r="CB15" s="1190">
        <f>'2024'!R\Max</f>
        <v>1.0174061864224482</v>
      </c>
      <c r="CC15" s="1190">
        <f>'2025'!R\Max</f>
        <v>1.0174061864224477</v>
      </c>
      <c r="CD15" s="1190">
        <f>'2026'!R\Max</f>
        <v>1.017406186422448</v>
      </c>
      <c r="CE15" s="1191">
        <f>'2027'!R\Max</f>
        <v>1.0174061864224477</v>
      </c>
      <c r="CF15" s="1192">
        <f>'2028'!R\Max</f>
        <v>1.0174061864224482</v>
      </c>
    </row>
    <row r="16" spans="1:84" s="6" customFormat="1" ht="11.25" x14ac:dyDescent="0.2">
      <c r="A16" s="11">
        <v>43102</v>
      </c>
      <c r="B16" s="379">
        <f>'2022'!Maxi_hp</f>
        <v>24.084283353934023</v>
      </c>
      <c r="C16" s="13">
        <f>'2022'!An_max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25.174602641761304</v>
      </c>
      <c r="L16" s="744" t="s">
        <v>209</v>
      </c>
      <c r="M16" s="730">
        <f t="shared" ref="M16:AN16" si="25">L13</f>
        <v>246.98400000000001</v>
      </c>
      <c r="N16" s="769">
        <f t="shared" si="25"/>
        <v>241.964</v>
      </c>
      <c r="O16" s="731">
        <f t="shared" si="25"/>
        <v>263.048</v>
      </c>
      <c r="P16" s="731">
        <f t="shared" si="25"/>
        <v>302.20400000000001</v>
      </c>
      <c r="Q16" s="731">
        <f t="shared" si="25"/>
        <v>352.404</v>
      </c>
      <c r="R16" s="731">
        <f t="shared" si="25"/>
        <v>404.61200000000002</v>
      </c>
      <c r="S16" s="731">
        <f t="shared" si="25"/>
        <v>457.82400000000001</v>
      </c>
      <c r="T16" s="731">
        <f t="shared" si="25"/>
        <v>512.04</v>
      </c>
      <c r="U16" s="731">
        <f t="shared" si="25"/>
        <v>562.24</v>
      </c>
      <c r="V16" s="731">
        <f t="shared" si="25"/>
        <v>600.39200000000005</v>
      </c>
      <c r="W16" s="731">
        <f t="shared" si="25"/>
        <v>625.49199999999996</v>
      </c>
      <c r="X16" s="731">
        <f t="shared" si="25"/>
        <v>637.54</v>
      </c>
      <c r="Y16" s="731">
        <f t="shared" si="25"/>
        <v>640.55200000000002</v>
      </c>
      <c r="Z16" s="731">
        <f t="shared" si="25"/>
        <v>636.53600000000006</v>
      </c>
      <c r="AA16" s="731">
        <f t="shared" si="25"/>
        <v>629.50800000000004</v>
      </c>
      <c r="AB16" s="731">
        <f t="shared" si="25"/>
        <v>619.46799999999996</v>
      </c>
      <c r="AC16" s="731">
        <f t="shared" si="25"/>
        <v>606.41600000000005</v>
      </c>
      <c r="AD16" s="731">
        <f t="shared" si="25"/>
        <v>588.34400000000005</v>
      </c>
      <c r="AE16" s="731">
        <f t="shared" si="25"/>
        <v>565.25199999999995</v>
      </c>
      <c r="AF16" s="731">
        <f t="shared" si="25"/>
        <v>535.13199999999995</v>
      </c>
      <c r="AG16" s="731">
        <f t="shared" si="25"/>
        <v>497.98399999999998</v>
      </c>
      <c r="AH16" s="731">
        <f t="shared" si="25"/>
        <v>453.80799999999999</v>
      </c>
      <c r="AI16" s="731">
        <f t="shared" si="25"/>
        <v>403.608</v>
      </c>
      <c r="AJ16" s="731">
        <f t="shared" si="25"/>
        <v>353.40800000000002</v>
      </c>
      <c r="AK16" s="731">
        <f t="shared" si="25"/>
        <v>308.22800000000001</v>
      </c>
      <c r="AL16" s="731">
        <f t="shared" si="25"/>
        <v>271.08</v>
      </c>
      <c r="AM16" s="731">
        <f t="shared" si="25"/>
        <v>246.98400000000001</v>
      </c>
      <c r="AN16" s="767">
        <f t="shared" si="25"/>
        <v>241.964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25.328721402893809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25.232193230272369</v>
      </c>
      <c r="AZ16" s="735">
        <f t="shared" ref="AZ16:AZ79" si="26">(AY16+AT16)/2</f>
        <v>25.280457316583089</v>
      </c>
      <c r="BA16" s="633">
        <f>+B16/J16</f>
        <v>0.95668971211412146</v>
      </c>
      <c r="BC16" s="11">
        <v>43102</v>
      </c>
      <c r="BD16" s="289">
        <f>[2]!FeuilCaduc*(1-Persistant)+Persistant</f>
        <v>0.50532281581379923</v>
      </c>
      <c r="BE16" s="290">
        <f>[2]!CroissVégét</f>
        <v>6.0820224447240291E-5</v>
      </c>
      <c r="BF16" s="804">
        <f>1+[2]!Salcycl*Ksac</f>
        <v>1.00053228158138</v>
      </c>
      <c r="BH16" s="1036">
        <f t="shared" si="22"/>
        <v>2.1368854738898633E-2</v>
      </c>
      <c r="BI16" s="11">
        <v>44198</v>
      </c>
      <c r="BJ16" s="715">
        <v>2.0481784304246286E-3</v>
      </c>
      <c r="BK16" s="715">
        <v>4.799491295343147E-3</v>
      </c>
      <c r="BL16" s="715">
        <v>8.3848945825296776E-3</v>
      </c>
      <c r="BM16" s="715">
        <v>1.4456424154434369E-2</v>
      </c>
      <c r="BN16" s="715">
        <v>2.8305867036990187E-2</v>
      </c>
      <c r="BO16" s="716">
        <v>5.3994519121528591E-2</v>
      </c>
      <c r="BP16" s="715">
        <v>9.1377718671103614E-2</v>
      </c>
      <c r="BQ16" s="715">
        <v>0.1292120664191091</v>
      </c>
      <c r="BR16" s="715">
        <v>0.16407065652031322</v>
      </c>
      <c r="BS16" s="715">
        <v>0.19656844863568221</v>
      </c>
      <c r="BT16" s="715">
        <v>0.23216601060689981</v>
      </c>
      <c r="BW16" s="1190">
        <f>'2019'!R\Max</f>
        <v>0</v>
      </c>
      <c r="BX16" s="1190">
        <f>'2020'!R\Max</f>
        <v>0.95668971211412146</v>
      </c>
      <c r="BY16" s="1190">
        <f>'2021'!R\Max</f>
        <v>0.16842767315179211</v>
      </c>
      <c r="BZ16" s="1190">
        <f>'2022'!R\Max</f>
        <v>0.69624884661171682</v>
      </c>
      <c r="CA16" s="1190">
        <f>'2023'!R\Max</f>
        <v>0.69563511496339081</v>
      </c>
      <c r="CB16" s="1190">
        <f>'2024'!R\Max</f>
        <v>0.69501963592801275</v>
      </c>
      <c r="CC16" s="1190">
        <f>'2025'!R\Max</f>
        <v>0.69439529273232548</v>
      </c>
      <c r="CD16" s="1190">
        <f>'2026'!R\Max</f>
        <v>0.69376947377415332</v>
      </c>
      <c r="CE16" s="1191">
        <f>'2027'!R\Max</f>
        <v>0.69710145984062244</v>
      </c>
      <c r="CF16" s="1193">
        <f>'2028'!R\Max</f>
        <v>0.69669102190610555</v>
      </c>
    </row>
    <row r="17" spans="1:84" s="6" customFormat="1" ht="11.25" x14ac:dyDescent="0.2">
      <c r="A17" s="11">
        <v>43103</v>
      </c>
      <c r="B17" s="379">
        <f>'2022'!Maxi_hp</f>
        <v>25.872417420672249</v>
      </c>
      <c r="C17" s="13">
        <f>'2022'!An_max</f>
        <v>2021</v>
      </c>
      <c r="D17" s="1045">
        <f t="shared" si="7"/>
        <v>1.0209828961047416</v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25.340696224570273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25.468831969078245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25.411265013032949</v>
      </c>
      <c r="AZ17" s="735">
        <f t="shared" si="26"/>
        <v>25.440048491055599</v>
      </c>
      <c r="BA17" s="633">
        <f t="shared" si="21"/>
        <v>1.0209828961047416</v>
      </c>
      <c r="BC17" s="11">
        <v>43103</v>
      </c>
      <c r="BD17" s="289">
        <f>[2]!FeuilCaduc*(1-Persistant)+Persistant</f>
        <v>0.50494526823035868</v>
      </c>
      <c r="BE17" s="290">
        <f>[2]!CroissVégét</f>
        <v>1.216934154264056E-4</v>
      </c>
      <c r="BF17" s="804">
        <f>1+[2]!Salcycl*Ksac</f>
        <v>1.0004945268230359</v>
      </c>
      <c r="BH17" s="1036">
        <f t="shared" si="22"/>
        <v>2.1318572251886971E-2</v>
      </c>
      <c r="BI17" s="11">
        <v>44199</v>
      </c>
      <c r="BJ17" s="715">
        <v>1.9313346128055509E-3</v>
      </c>
      <c r="BK17" s="715">
        <v>4.6950814604287986E-3</v>
      </c>
      <c r="BL17" s="715">
        <v>8.3702328658795348E-3</v>
      </c>
      <c r="BM17" s="715">
        <v>1.4554801716448866E-2</v>
      </c>
      <c r="BN17" s="715">
        <v>2.8106395841936069E-2</v>
      </c>
      <c r="BO17" s="716">
        <v>5.3323156796465265E-2</v>
      </c>
      <c r="BP17" s="715">
        <v>9.062408093576485E-2</v>
      </c>
      <c r="BQ17" s="715">
        <v>0.12922480944512119</v>
      </c>
      <c r="BR17" s="715">
        <v>0.16489943336533844</v>
      </c>
      <c r="BS17" s="715">
        <v>0.1977064276546838</v>
      </c>
      <c r="BT17" s="715">
        <v>0.23302155752247505</v>
      </c>
      <c r="BW17" s="1190">
        <f>'2019'!R\Max</f>
        <v>0</v>
      </c>
      <c r="BX17" s="1190">
        <f>'2020'!R\Max</f>
        <v>0.32953034580841278</v>
      </c>
      <c r="BY17" s="1190">
        <f>'2021'!R\Max</f>
        <v>1.0209828961047416</v>
      </c>
      <c r="BZ17" s="1190">
        <f>'2022'!R\Max</f>
        <v>0.74705305299308977</v>
      </c>
      <c r="CA17" s="1190">
        <f>'2023'!R\Max</f>
        <v>0.746509833490271</v>
      </c>
      <c r="CB17" s="1190">
        <f>'2024'!R\Max</f>
        <v>0.74596492041435492</v>
      </c>
      <c r="CC17" s="1190">
        <f>'2025'!R\Max</f>
        <v>0.74539956785547734</v>
      </c>
      <c r="CD17" s="1190">
        <f>'2026'!R\Max</f>
        <v>0.74483266973361795</v>
      </c>
      <c r="CE17" s="1191">
        <f>'2027'!R\Max</f>
        <v>0.74779523944475623</v>
      </c>
      <c r="CF17" s="1193">
        <f>'2028'!R\Max</f>
        <v>0.74743800056724874</v>
      </c>
    </row>
    <row r="18" spans="1:84" s="6" customFormat="1" ht="11.25" x14ac:dyDescent="0.2">
      <c r="A18" s="11">
        <v>43104</v>
      </c>
      <c r="B18" s="379">
        <f>'2022'!Maxi_hp</f>
        <v>21.824345162432092</v>
      </c>
      <c r="C18" s="13">
        <f>'2022'!An_max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25.516384682456653</v>
      </c>
      <c r="L18" s="744" t="s">
        <v>211</v>
      </c>
      <c r="M18" s="769">
        <f t="shared" ref="M18:AN18" si="29">M13</f>
        <v>241.964</v>
      </c>
      <c r="N18" s="732">
        <f t="shared" si="29"/>
        <v>263.048</v>
      </c>
      <c r="O18" s="732">
        <f t="shared" si="29"/>
        <v>302.20400000000001</v>
      </c>
      <c r="P18" s="732">
        <f t="shared" si="29"/>
        <v>352.404</v>
      </c>
      <c r="Q18" s="732">
        <f t="shared" si="29"/>
        <v>404.61200000000002</v>
      </c>
      <c r="R18" s="732">
        <f t="shared" si="29"/>
        <v>457.82400000000001</v>
      </c>
      <c r="S18" s="732">
        <f t="shared" si="29"/>
        <v>512.04</v>
      </c>
      <c r="T18" s="732">
        <f t="shared" si="29"/>
        <v>562.24</v>
      </c>
      <c r="U18" s="732">
        <f t="shared" si="29"/>
        <v>600.39200000000005</v>
      </c>
      <c r="V18" s="732">
        <f t="shared" si="29"/>
        <v>625.49199999999996</v>
      </c>
      <c r="W18" s="732">
        <f t="shared" si="29"/>
        <v>637.54</v>
      </c>
      <c r="X18" s="732">
        <f t="shared" si="29"/>
        <v>640.55200000000002</v>
      </c>
      <c r="Y18" s="732">
        <f t="shared" si="29"/>
        <v>636.53600000000006</v>
      </c>
      <c r="Z18" s="732">
        <f t="shared" si="29"/>
        <v>629.50800000000004</v>
      </c>
      <c r="AA18" s="732">
        <f t="shared" si="29"/>
        <v>619.46799999999996</v>
      </c>
      <c r="AB18" s="732">
        <f t="shared" si="29"/>
        <v>606.41600000000005</v>
      </c>
      <c r="AC18" s="732">
        <f t="shared" si="29"/>
        <v>588.34400000000005</v>
      </c>
      <c r="AD18" s="732">
        <f t="shared" si="29"/>
        <v>565.25199999999995</v>
      </c>
      <c r="AE18" s="732">
        <f t="shared" si="29"/>
        <v>535.13199999999995</v>
      </c>
      <c r="AF18" s="732">
        <f t="shared" si="29"/>
        <v>497.98399999999998</v>
      </c>
      <c r="AG18" s="732">
        <f t="shared" si="29"/>
        <v>453.80799999999999</v>
      </c>
      <c r="AH18" s="732">
        <f t="shared" si="29"/>
        <v>403.608</v>
      </c>
      <c r="AI18" s="732">
        <f t="shared" si="29"/>
        <v>353.40800000000002</v>
      </c>
      <c r="AJ18" s="732">
        <f t="shared" si="29"/>
        <v>308.22800000000001</v>
      </c>
      <c r="AK18" s="732">
        <f t="shared" si="29"/>
        <v>271.08</v>
      </c>
      <c r="AL18" s="732">
        <f t="shared" si="29"/>
        <v>246.98400000000001</v>
      </c>
      <c r="AM18" s="767">
        <f t="shared" si="29"/>
        <v>241.964</v>
      </c>
      <c r="AN18" s="765">
        <f t="shared" si="29"/>
        <v>263.048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25.61802048354313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25.601088033102712</v>
      </c>
      <c r="AZ18" s="735">
        <f t="shared" si="26"/>
        <v>25.609554258322923</v>
      </c>
      <c r="BA18" s="633">
        <f t="shared" si="21"/>
        <v>0.85530710694438783</v>
      </c>
      <c r="BC18" s="11">
        <v>43104</v>
      </c>
      <c r="BD18" s="289">
        <f>[2]!FeuilCaduc*(1-Persistant)+Persistant</f>
        <v>0.50458789025208151</v>
      </c>
      <c r="BE18" s="290">
        <f>[2]!CroissVégét</f>
        <v>1.8511247801664469E-4</v>
      </c>
      <c r="BF18" s="804">
        <f>1+[2]!Salcycl*Ksac</f>
        <v>1.0004587890252081</v>
      </c>
      <c r="BH18" s="1036">
        <f t="shared" si="22"/>
        <v>2.1275633716397339E-2</v>
      </c>
      <c r="BI18" s="11">
        <v>44200</v>
      </c>
      <c r="BJ18" s="715">
        <v>1.8311070502717473E-3</v>
      </c>
      <c r="BK18" s="715">
        <v>4.5862972119483343E-3</v>
      </c>
      <c r="BL18" s="715">
        <v>8.3420825293156944E-3</v>
      </c>
      <c r="BM18" s="715">
        <v>1.463942858569646E-2</v>
      </c>
      <c r="BN18" s="715">
        <v>2.7935438258636827E-2</v>
      </c>
      <c r="BO18" s="716">
        <v>5.267431945777909E-2</v>
      </c>
      <c r="BP18" s="715">
        <v>8.9855739372856069E-2</v>
      </c>
      <c r="BQ18" s="715">
        <v>0.12917811221564748</v>
      </c>
      <c r="BR18" s="715">
        <v>0.16570855560257652</v>
      </c>
      <c r="BS18" s="715">
        <v>0.19891637543184984</v>
      </c>
      <c r="BT18" s="715">
        <v>0.234040949646177</v>
      </c>
      <c r="BW18" s="1190">
        <f>'2019'!R\Max</f>
        <v>0</v>
      </c>
      <c r="BX18" s="1190">
        <f>'2020'!R\Max</f>
        <v>0.25396013140494905</v>
      </c>
      <c r="BY18" s="1190">
        <f>'2021'!R\Max</f>
        <v>0.85530710694438783</v>
      </c>
      <c r="BZ18" s="1190">
        <f>'2022'!R\Max</f>
        <v>0.78853768771935029</v>
      </c>
      <c r="CA18" s="1190">
        <f>'2023'!R\Max</f>
        <v>0.78806347605820026</v>
      </c>
      <c r="CB18" s="1190">
        <f>'2024'!R\Max</f>
        <v>0.78758768858709183</v>
      </c>
      <c r="CC18" s="1190">
        <f>'2025'!R\Max</f>
        <v>0.78708310210569465</v>
      </c>
      <c r="CD18" s="1190">
        <f>'2026'!R\Max</f>
        <v>0.78657697869674936</v>
      </c>
      <c r="CE18" s="1191">
        <f>'2027'!R\Max</f>
        <v>0.78917522526974526</v>
      </c>
      <c r="CF18" s="1193">
        <f>'2028'!R\Max</f>
        <v>0.78886836999345844</v>
      </c>
    </row>
    <row r="19" spans="1:84" s="6" customFormat="1" ht="11.25" x14ac:dyDescent="0.2">
      <c r="A19" s="11">
        <v>43105</v>
      </c>
      <c r="B19" s="379">
        <f>'2022'!Maxi_hp</f>
        <v>15.89891096179743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25.701153655350208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25.776249243010732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25.801104421040112</v>
      </c>
      <c r="AZ19" s="735">
        <f t="shared" si="26"/>
        <v>25.788676832025423</v>
      </c>
      <c r="BA19" s="633">
        <f t="shared" si="21"/>
        <v>0.6186068989353618</v>
      </c>
      <c r="BC19" s="11">
        <v>43105</v>
      </c>
      <c r="BD19" s="289">
        <f>[2]!FeuilCaduc*(1-Persistant)+Persistant</f>
        <v>0.5042486426105478</v>
      </c>
      <c r="BE19" s="290">
        <f>[2]!CroissVégét</f>
        <v>2.5118354313997834E-4</v>
      </c>
      <c r="BF19" s="804">
        <f>1+[2]!Salcycl*Ksac</f>
        <v>1.0004248642610547</v>
      </c>
      <c r="BH19" s="1036">
        <f t="shared" si="22"/>
        <v>2.1239995016501007E-2</v>
      </c>
      <c r="BI19" s="11">
        <v>44201</v>
      </c>
      <c r="BJ19" s="715">
        <v>1.7475143578902183E-3</v>
      </c>
      <c r="BK19" s="715">
        <v>4.4731198153421282E-3</v>
      </c>
      <c r="BL19" s="715">
        <v>8.3004026163909332E-3</v>
      </c>
      <c r="BM19" s="715">
        <v>1.4710248045011391E-2</v>
      </c>
      <c r="BN19" s="715">
        <v>2.7792962817212774E-2</v>
      </c>
      <c r="BO19" s="716">
        <v>5.2047900651836676E-2</v>
      </c>
      <c r="BP19" s="715">
        <v>8.9072438006023949E-2</v>
      </c>
      <c r="BQ19" s="715">
        <v>0.12907155834636308</v>
      </c>
      <c r="BR19" s="715">
        <v>0.16649757623807551</v>
      </c>
      <c r="BS19" s="715">
        <v>0.20019789463326967</v>
      </c>
      <c r="BT19" s="715">
        <v>0.23522383096264049</v>
      </c>
      <c r="BW19" s="1190">
        <f>'2019'!R\Max</f>
        <v>0</v>
      </c>
      <c r="BX19" s="1190">
        <f>'2020'!R\Max</f>
        <v>0.54952928755210517</v>
      </c>
      <c r="BY19" s="1190">
        <f>'2021'!R\Max</f>
        <v>0.13008706434021422</v>
      </c>
      <c r="BZ19" s="1190">
        <f>'2022'!R\Max</f>
        <v>0.6186068989353618</v>
      </c>
      <c r="CA19" s="1190">
        <f>'2023'!R\Max</f>
        <v>0.6179443644392445</v>
      </c>
      <c r="CB19" s="1190">
        <f>'2024'!R\Max</f>
        <v>0.61728029028596898</v>
      </c>
      <c r="CC19" s="1190">
        <f>'2025'!R\Max</f>
        <v>0.61656160277329142</v>
      </c>
      <c r="CD19" s="1190">
        <f>'2026'!R\Max</f>
        <v>0.61584143538906622</v>
      </c>
      <c r="CE19" s="1191">
        <f>'2027'!R\Max</f>
        <v>0.6194849806154844</v>
      </c>
      <c r="CF19" s="1193">
        <f>'2028'!R\Max</f>
        <v>0.61906216928007674</v>
      </c>
    </row>
    <row r="20" spans="1:84" s="6" customFormat="1" ht="11.25" x14ac:dyDescent="0.2">
      <c r="A20" s="11">
        <v>43106</v>
      </c>
      <c r="B20" s="379">
        <f>'2022'!Maxi_hp</f>
        <v>25.97684931198668</v>
      </c>
      <c r="C20" s="13">
        <f>'2022'!An_max</f>
        <v>2020</v>
      </c>
      <c r="D20" s="1045">
        <f t="shared" si="7"/>
        <v>1.0031806202652456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25.894488776226837</v>
      </c>
      <c r="L20" s="744" t="s">
        <v>213</v>
      </c>
      <c r="M20" s="772">
        <f>N13</f>
        <v>263.048</v>
      </c>
      <c r="N20" s="732">
        <f t="shared" ref="N20:AN20" si="31">O13</f>
        <v>302.20400000000001</v>
      </c>
      <c r="O20" s="732">
        <f t="shared" si="31"/>
        <v>352.404</v>
      </c>
      <c r="P20" s="732">
        <f t="shared" si="31"/>
        <v>404.61200000000002</v>
      </c>
      <c r="Q20" s="732">
        <f t="shared" si="31"/>
        <v>457.82400000000001</v>
      </c>
      <c r="R20" s="732">
        <f t="shared" si="31"/>
        <v>512.04</v>
      </c>
      <c r="S20" s="732">
        <f t="shared" si="31"/>
        <v>562.24</v>
      </c>
      <c r="T20" s="732">
        <f t="shared" si="31"/>
        <v>600.39200000000005</v>
      </c>
      <c r="U20" s="732">
        <f t="shared" si="31"/>
        <v>625.49199999999996</v>
      </c>
      <c r="V20" s="732">
        <f t="shared" si="31"/>
        <v>637.54</v>
      </c>
      <c r="W20" s="732">
        <f t="shared" si="31"/>
        <v>640.55200000000002</v>
      </c>
      <c r="X20" s="732">
        <f t="shared" si="31"/>
        <v>636.53600000000006</v>
      </c>
      <c r="Y20" s="732">
        <f t="shared" si="31"/>
        <v>629.50800000000004</v>
      </c>
      <c r="Z20" s="732">
        <f t="shared" si="31"/>
        <v>619.46799999999996</v>
      </c>
      <c r="AA20" s="732">
        <f t="shared" si="31"/>
        <v>606.41600000000005</v>
      </c>
      <c r="AB20" s="732">
        <f t="shared" si="31"/>
        <v>588.34400000000005</v>
      </c>
      <c r="AC20" s="732">
        <f t="shared" si="31"/>
        <v>565.25199999999995</v>
      </c>
      <c r="AD20" s="732">
        <f t="shared" si="31"/>
        <v>535.13199999999995</v>
      </c>
      <c r="AE20" s="732">
        <f t="shared" si="31"/>
        <v>497.98399999999998</v>
      </c>
      <c r="AF20" s="732">
        <f t="shared" si="31"/>
        <v>453.80799999999999</v>
      </c>
      <c r="AG20" s="732">
        <f t="shared" si="31"/>
        <v>403.608</v>
      </c>
      <c r="AH20" s="732">
        <f t="shared" si="31"/>
        <v>353.40800000000002</v>
      </c>
      <c r="AI20" s="732">
        <f t="shared" si="31"/>
        <v>308.22800000000001</v>
      </c>
      <c r="AJ20" s="732">
        <f t="shared" si="31"/>
        <v>271.08</v>
      </c>
      <c r="AK20" s="732">
        <f t="shared" si="31"/>
        <v>246.98400000000001</v>
      </c>
      <c r="AL20" s="767">
        <f t="shared" si="31"/>
        <v>241.964</v>
      </c>
      <c r="AM20" s="765">
        <f t="shared" si="31"/>
        <v>263.048</v>
      </c>
      <c r="AN20" s="765">
        <f t="shared" si="31"/>
        <v>302.20400000000001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25.94348054893058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26.010756319915423</v>
      </c>
      <c r="AZ20" s="735">
        <f t="shared" si="26"/>
        <v>25.977118434423002</v>
      </c>
      <c r="BA20" s="633">
        <f t="shared" si="21"/>
        <v>1.0031806202652456</v>
      </c>
      <c r="BC20" s="11">
        <v>43106</v>
      </c>
      <c r="BD20" s="289">
        <f>[2]!FeuilCaduc*(1-Persistant)+Persistant</f>
        <v>0.50392577826410012</v>
      </c>
      <c r="BE20" s="290">
        <f>[2]!CroissVégét</f>
        <v>3.2001713664140156E-4</v>
      </c>
      <c r="BF20" s="804">
        <f>1+[2]!Salcycl*Ksac</f>
        <v>1.00039257782641</v>
      </c>
      <c r="BH20" s="1036">
        <f t="shared" si="22"/>
        <v>2.1211612580989078E-2</v>
      </c>
      <c r="BI20" s="11">
        <v>44202</v>
      </c>
      <c r="BJ20" s="715">
        <v>1.6805761876168999E-3</v>
      </c>
      <c r="BK20" s="715">
        <v>4.3555316673038547E-3</v>
      </c>
      <c r="BL20" s="715">
        <v>8.2451524946637669E-3</v>
      </c>
      <c r="BM20" s="715">
        <v>1.4767202581152002E-2</v>
      </c>
      <c r="BN20" s="715">
        <v>2.7678939938067887E-2</v>
      </c>
      <c r="BO20" s="716">
        <v>5.1443800811362135E-2</v>
      </c>
      <c r="BP20" s="715">
        <v>8.8273929135574483E-2</v>
      </c>
      <c r="BQ20" s="715">
        <v>0.12890473254434756</v>
      </c>
      <c r="BR20" s="715">
        <v>0.16726604082712884</v>
      </c>
      <c r="BS20" s="715">
        <v>0.20155057657489997</v>
      </c>
      <c r="BT20" s="715">
        <v>0.23656983625138056</v>
      </c>
      <c r="BW20" s="1190">
        <f>'2019'!R\Max</f>
        <v>0</v>
      </c>
      <c r="BX20" s="1190">
        <f>'2020'!R\Max</f>
        <v>1.0031806202652456</v>
      </c>
      <c r="BY20" s="1190">
        <f>'2021'!R\Max</f>
        <v>0.30130642854724998</v>
      </c>
      <c r="BZ20" s="1190">
        <f>'2022'!R\Max</f>
        <v>0.88215343572801219</v>
      </c>
      <c r="CA20" s="1190">
        <f>'2023'!R\Max</f>
        <v>0.88186519385891671</v>
      </c>
      <c r="CB20" s="1190">
        <f>'2024'!R\Max</f>
        <v>0.88157586883304495</v>
      </c>
      <c r="CC20" s="1190">
        <f>'2025'!R\Max</f>
        <v>0.88125564108226095</v>
      </c>
      <c r="CD20" s="1190">
        <f>'2026'!R\Max</f>
        <v>0.88093422078256189</v>
      </c>
      <c r="CE20" s="1191">
        <f>'2027'!R\Max</f>
        <v>0.88252913445918812</v>
      </c>
      <c r="CF20" s="1193">
        <f>'2028'!R\Max</f>
        <v>0.8823482928790255</v>
      </c>
    </row>
    <row r="21" spans="1:84" s="6" customFormat="1" ht="11.25" x14ac:dyDescent="0.2">
      <c r="A21" s="11">
        <v>43107</v>
      </c>
      <c r="B21" s="379">
        <f>'2022'!Maxi_hp</f>
        <v>15.082360291680677</v>
      </c>
      <c r="C21" s="13">
        <f>'2022'!An_max</f>
        <v>2021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26.09587567895651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26.119676699823344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26.229485862933359</v>
      </c>
      <c r="AZ21" s="735">
        <f t="shared" si="26"/>
        <v>26.174581281378352</v>
      </c>
      <c r="BA21" s="633">
        <f t="shared" si="21"/>
        <v>0.57795953955448076</v>
      </c>
      <c r="BC21" s="11">
        <v>43107</v>
      </c>
      <c r="BD21" s="289">
        <f>[2]!FeuilCaduc*(1-Persistant)+Persistant</f>
        <v>0.50361783040899966</v>
      </c>
      <c r="BE21" s="290">
        <f>[2]!CroissVégét</f>
        <v>3.9172835876776901E-4</v>
      </c>
      <c r="BF21" s="804">
        <f>1+[2]!Salcycl*Ksac</f>
        <v>1.0003617830409</v>
      </c>
      <c r="BH21" s="1036">
        <f t="shared" si="22"/>
        <v>2.1190443196731273E-2</v>
      </c>
      <c r="BI21" s="11">
        <v>44203</v>
      </c>
      <c r="BJ21" s="715">
        <v>1.6303128019081014E-3</v>
      </c>
      <c r="BK21" s="715">
        <v>4.2335164051754927E-3</v>
      </c>
      <c r="BL21" s="715">
        <v>8.1762922000118803E-3</v>
      </c>
      <c r="BM21" s="715">
        <v>1.481023423910096E-2</v>
      </c>
      <c r="BN21" s="715">
        <v>2.7593341202383454E-2</v>
      </c>
      <c r="BO21" s="716">
        <v>5.0861926669274297E-2</v>
      </c>
      <c r="BP21" s="715">
        <v>8.745997370283122E-2</v>
      </c>
      <c r="BQ21" s="715">
        <v>0.12867722213528612</v>
      </c>
      <c r="BR21" s="715">
        <v>0.16801348801006064</v>
      </c>
      <c r="BS21" s="715">
        <v>0.20297399943247355</v>
      </c>
      <c r="BT21" s="715">
        <v>0.23807858695010742</v>
      </c>
      <c r="BW21" s="1190">
        <f>'2019'!R\Max</f>
        <v>0</v>
      </c>
      <c r="BX21" s="1190">
        <f>'2020'!R\Max</f>
        <v>0.28025147425738683</v>
      </c>
      <c r="BY21" s="1190">
        <f>'2021'!R\Max</f>
        <v>0.57795953955448076</v>
      </c>
      <c r="BZ21" s="1190">
        <f>'2022'!R\Max</f>
        <v>0.42838197685005025</v>
      </c>
      <c r="CA21" s="1190">
        <f>'2023'!R\Max</f>
        <v>0.42771379663808667</v>
      </c>
      <c r="CB21" s="1190">
        <f>'2024'!R\Max</f>
        <v>0.42704480747591955</v>
      </c>
      <c r="CC21" s="1190">
        <f>'2025'!R\Max</f>
        <v>0.42629093327411077</v>
      </c>
      <c r="CD21" s="1190">
        <f>'2026'!R\Max</f>
        <v>0.42553634193962031</v>
      </c>
      <c r="CE21" s="1191">
        <f>'2027'!R\Max</f>
        <v>0.42924275595777295</v>
      </c>
      <c r="CF21" s="1193">
        <f>'2028'!R\Max</f>
        <v>0.42882799091209056</v>
      </c>
    </row>
    <row r="22" spans="1:84" s="6" customFormat="1" ht="11.25" x14ac:dyDescent="0.2">
      <c r="A22" s="11">
        <v>43108</v>
      </c>
      <c r="B22" s="379">
        <f>'2022'!Maxi_hp</f>
        <v>20.347217475948305</v>
      </c>
      <c r="C22" s="13">
        <f>'2022'!An_max</f>
        <v>2021</v>
      </c>
      <c r="D22" s="1045" t="str">
        <f t="shared" si="7"/>
        <v/>
      </c>
      <c r="E22" s="1040">
        <f>N$13/10</f>
        <v>26.3048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26.304799999296666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26.304799997806548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26.456735190158259</v>
      </c>
      <c r="AZ22" s="735">
        <f t="shared" si="26"/>
        <v>26.380767593982405</v>
      </c>
      <c r="BA22" s="633">
        <f t="shared" si="21"/>
        <v>0.7735172849248938</v>
      </c>
      <c r="BC22" s="11">
        <v>43108</v>
      </c>
      <c r="BD22" s="289">
        <f>[2]!FeuilCaduc*(1-Persistant)+Persistant</f>
        <v>0.50332359848109409</v>
      </c>
      <c r="BE22" s="290">
        <f>[2]!CroissVégét</f>
        <v>4.664370707620742E-4</v>
      </c>
      <c r="BF22" s="804">
        <f>1+[2]!Salcycl*Ksac</f>
        <v>1.0003323598481093</v>
      </c>
      <c r="BH22" s="1036">
        <f t="shared" si="22"/>
        <v>2.1176443821556836E-2</v>
      </c>
      <c r="BI22" s="11">
        <v>44204</v>
      </c>
      <c r="BJ22" s="715">
        <v>1.5967446472931171E-3</v>
      </c>
      <c r="BK22" s="715">
        <v>4.1070590162420881E-3</v>
      </c>
      <c r="BL22" s="715">
        <v>8.0937827807587726E-3</v>
      </c>
      <c r="BM22" s="715">
        <v>1.4839284976034026E-2</v>
      </c>
      <c r="BN22" s="715">
        <v>2.7536138621986946E-2</v>
      </c>
      <c r="BO22" s="716">
        <v>5.0302190671355336E-2</v>
      </c>
      <c r="BP22" s="715">
        <v>8.6630341652492018E-2</v>
      </c>
      <c r="BQ22" s="715">
        <v>0.12838861858776546</v>
      </c>
      <c r="BR22" s="715">
        <v>0.16873945004425872</v>
      </c>
      <c r="BS22" s="715">
        <v>0.20446772644689612</v>
      </c>
      <c r="BT22" s="715">
        <v>0.23974968701274241</v>
      </c>
      <c r="BW22" s="1190">
        <f>'2019'!R\Max</f>
        <v>0</v>
      </c>
      <c r="BX22" s="1190">
        <f>'2020'!R\Max</f>
        <v>0.50942454916415558</v>
      </c>
      <c r="BY22" s="1190">
        <f>'2021'!R\Max</f>
        <v>0.7735172849248938</v>
      </c>
      <c r="BZ22" s="1190">
        <f>'2022'!R\Max</f>
        <v>0.30230245380880449</v>
      </c>
      <c r="CA22" s="1190">
        <f>'2023'!R\Max</f>
        <v>0.30173625316444058</v>
      </c>
      <c r="CB22" s="1190">
        <f>'2024'!R\Max</f>
        <v>0.30116976595508566</v>
      </c>
      <c r="CC22" s="1190">
        <f>'2025'!R\Max</f>
        <v>0.30051870226840305</v>
      </c>
      <c r="CD22" s="1190">
        <f>'2026'!R\Max</f>
        <v>0.29986751483260188</v>
      </c>
      <c r="CE22" s="1191">
        <f>'2027'!R\Max</f>
        <v>0.30302212678262064</v>
      </c>
      <c r="CF22" s="1193">
        <f>'2028'!R\Max</f>
        <v>0.30267518894527129</v>
      </c>
    </row>
    <row r="23" spans="1:84" s="6" customFormat="1" ht="11.25" x14ac:dyDescent="0.2">
      <c r="A23" s="11">
        <v>43109</v>
      </c>
      <c r="B23" s="379">
        <f>'2022'!Maxi_hp</f>
        <v>25.649292652260151</v>
      </c>
      <c r="C23" s="13">
        <f>'2022'!An_max</f>
        <v>2020</v>
      </c>
      <c r="D23" s="1045" t="str">
        <f t="shared" si="7"/>
        <v/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26.523957671757255</v>
      </c>
      <c r="L23" s="745" t="s">
        <v>216</v>
      </c>
      <c r="M23" s="729">
        <f t="shared" ref="M23:AM23" si="34">(y.1m-y.2m-b.m*(x.1m-x.2m))/D2x12</f>
        <v>6.0833497536926268E-2</v>
      </c>
      <c r="N23" s="729">
        <f>(y.1m-y.2m-b.m*(x.1m-x.2m))/D2x12</f>
        <v>4.7974384236439002E-2</v>
      </c>
      <c r="O23" s="729">
        <f t="shared" si="34"/>
        <v>2.8173469387757298E-2</v>
      </c>
      <c r="P23" s="729">
        <f t="shared" si="34"/>
        <v>5.122448979593186E-3</v>
      </c>
      <c r="Q23" s="729">
        <f t="shared" si="34"/>
        <v>2.5612244897961806E-3</v>
      </c>
      <c r="R23" s="729">
        <f t="shared" si="34"/>
        <v>2.5612244897955249E-3</v>
      </c>
      <c r="S23" s="729">
        <f t="shared" si="34"/>
        <v>-1.0244897959181916E-2</v>
      </c>
      <c r="T23" s="729">
        <f t="shared" si="34"/>
        <v>-3.0734693877551893E-2</v>
      </c>
      <c r="U23" s="729">
        <f t="shared" si="34"/>
        <v>-3.3295918367345835E-2</v>
      </c>
      <c r="V23" s="729">
        <f t="shared" si="34"/>
        <v>-3.3295918367351324E-2</v>
      </c>
      <c r="W23" s="729">
        <f t="shared" si="34"/>
        <v>-2.3051020408162381E-2</v>
      </c>
      <c r="X23" s="729">
        <f t="shared" si="34"/>
        <v>-1.7928571428567675E-2</v>
      </c>
      <c r="Y23" s="729">
        <f t="shared" si="34"/>
        <v>-7.6836734693894937E-3</v>
      </c>
      <c r="Z23" s="729">
        <f t="shared" si="34"/>
        <v>-7.6836734693882143E-3</v>
      </c>
      <c r="AA23" s="729">
        <f t="shared" si="34"/>
        <v>-7.6836734693853052E-3</v>
      </c>
      <c r="AB23" s="729">
        <f t="shared" si="34"/>
        <v>-1.2806122448979973E-2</v>
      </c>
      <c r="AC23" s="729">
        <f t="shared" si="34"/>
        <v>-1.2806122448976984E-2</v>
      </c>
      <c r="AD23" s="729">
        <f t="shared" si="34"/>
        <v>-1.7928571428576116E-2</v>
      </c>
      <c r="AE23" s="729">
        <f t="shared" si="34"/>
        <v>-1.7928571428575936E-2</v>
      </c>
      <c r="AF23" s="729">
        <f t="shared" si="34"/>
        <v>-1.7928571428573493E-2</v>
      </c>
      <c r="AG23" s="729">
        <f t="shared" si="34"/>
        <v>-1.5367346938772489E-2</v>
      </c>
      <c r="AH23" s="729">
        <f t="shared" si="34"/>
        <v>1.2927807812750656E-17</v>
      </c>
      <c r="AI23" s="729">
        <f t="shared" si="34"/>
        <v>1.2806122448977603E-2</v>
      </c>
      <c r="AJ23" s="729">
        <f t="shared" si="34"/>
        <v>2.0489795918368515E-2</v>
      </c>
      <c r="AK23" s="729">
        <f t="shared" si="34"/>
        <v>3.3295918367340742E-2</v>
      </c>
      <c r="AL23" s="729">
        <f t="shared" si="34"/>
        <v>4.8663265306106776E-2</v>
      </c>
      <c r="AM23" s="729">
        <f t="shared" si="34"/>
        <v>6.0833497536949138E-2</v>
      </c>
      <c r="AN23" s="729">
        <f>(y.1m-y.2m-b.m*(x.1m-x.2m))/D2x12</f>
        <v>4.7974384236455274E-2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26.502475033101756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26.691946438622885</v>
      </c>
      <c r="AZ23" s="735">
        <f t="shared" si="26"/>
        <v>26.597210735862319</v>
      </c>
      <c r="BA23" s="633">
        <f t="shared" si="21"/>
        <v>0.9670235856080992</v>
      </c>
      <c r="BC23" s="11">
        <v>43109</v>
      </c>
      <c r="BD23" s="289">
        <f>[2]!FeuilCaduc*(1-Persistant)+Persistant</f>
        <v>0.50304213235334938</v>
      </c>
      <c r="BE23" s="290">
        <f>[2]!CroissVégét</f>
        <v>5.4426808883230738E-4</v>
      </c>
      <c r="BF23" s="804">
        <f>1+[2]!Salcycl*Ksac</f>
        <v>1.000304213235335</v>
      </c>
      <c r="BH23" s="1036">
        <f t="shared" si="22"/>
        <v>2.1169571397432956E-2</v>
      </c>
      <c r="BI23" s="11">
        <v>44205</v>
      </c>
      <c r="BJ23" s="715">
        <v>1.5798919279720342E-3</v>
      </c>
      <c r="BK23" s="715">
        <v>3.976145947091096E-3</v>
      </c>
      <c r="BL23" s="715">
        <v>7.9975866419177248E-3</v>
      </c>
      <c r="BM23" s="715">
        <v>1.4854297015493947E-2</v>
      </c>
      <c r="BN23" s="715">
        <v>2.750730390961106E-2</v>
      </c>
      <c r="BO23" s="716">
        <v>4.9764510389657041E-2</v>
      </c>
      <c r="BP23" s="715">
        <v>8.5784812296245169E-2</v>
      </c>
      <c r="BQ23" s="715">
        <v>0.12803851903937991</v>
      </c>
      <c r="BR23" s="715">
        <v>0.16944345333852687</v>
      </c>
      <c r="BS23" s="715">
        <v>0.20603130413242224</v>
      </c>
      <c r="BT23" s="715">
        <v>0.24158271877070125</v>
      </c>
      <c r="BW23" s="1190">
        <f>'2019'!R\Max</f>
        <v>0</v>
      </c>
      <c r="BX23" s="1190">
        <f>'2020'!R\Max</f>
        <v>0.9670235856080992</v>
      </c>
      <c r="BY23" s="1190">
        <f>'2021'!R\Max</f>
        <v>0.24036382355590261</v>
      </c>
      <c r="BZ23" s="1190">
        <f>'2022'!R\Max</f>
        <v>8.9509967067670795E-2</v>
      </c>
      <c r="CA23" s="1190">
        <f>'2023'!R\Max</f>
        <v>8.9344459737401197E-2</v>
      </c>
      <c r="CB23" s="1190">
        <f>'2024'!R\Max</f>
        <v>8.9178874515404807E-2</v>
      </c>
      <c r="CC23" s="1190">
        <f>'2025'!R\Max</f>
        <v>8.8984669636305844E-2</v>
      </c>
      <c r="CD23" s="1190">
        <f>'2026'!R\Max</f>
        <v>8.8790429470596607E-2</v>
      </c>
      <c r="CE23" s="1191">
        <f>'2027'!R\Max</f>
        <v>8.9717452261240102E-2</v>
      </c>
      <c r="CF23" s="1193">
        <f>'2028'!R\Max</f>
        <v>8.9617396763616408E-2</v>
      </c>
    </row>
    <row r="24" spans="1:84" s="6" customFormat="1" ht="11.25" x14ac:dyDescent="0.2">
      <c r="A24" s="11">
        <v>43110</v>
      </c>
      <c r="B24" s="379">
        <f>'2022'!Maxi_hp</f>
        <v>9.0351524420219071</v>
      </c>
      <c r="C24" s="13">
        <f>'2022'!An_max</f>
        <v>2020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26.755821793313537</v>
      </c>
      <c r="L24" s="745" t="s">
        <v>217</v>
      </c>
      <c r="M24" s="729">
        <f t="shared" ref="M24:AM24" si="35">(y.2m-y.3m-(y.1m-y.2m)*D2x23/D2x12)/(x.2m-x.3m)/(1-(x.2m+x.3m)/(x.1m+x.2m))</f>
        <v>-5242.5027211805818</v>
      </c>
      <c r="N24" s="729">
        <f>(y.2m-y.3m-(y.1m-y.2m)*D2x23/D2x12)/(x.2m-x.3m)/(1-(x.2m+x.3m)/(x.1m+x.2m))</f>
        <v>-4134.0342955652777</v>
      </c>
      <c r="O24" s="729">
        <f t="shared" si="35"/>
        <v>-2426.6014081634544</v>
      </c>
      <c r="P24" s="729">
        <f t="shared" si="35"/>
        <v>-438.26648979603476</v>
      </c>
      <c r="Q24" s="729">
        <f t="shared" si="35"/>
        <v>-217.26867346941034</v>
      </c>
      <c r="R24" s="729">
        <f t="shared" si="35"/>
        <v>-217.26867346935381</v>
      </c>
      <c r="S24" s="729">
        <f t="shared" si="35"/>
        <v>888.43755102025636</v>
      </c>
      <c r="T24" s="729">
        <f t="shared" si="35"/>
        <v>2658.1412244898711</v>
      </c>
      <c r="U24" s="729">
        <f t="shared" si="35"/>
        <v>2879.4258979590886</v>
      </c>
      <c r="V24" s="729">
        <f t="shared" si="35"/>
        <v>2879.4258979595625</v>
      </c>
      <c r="W24" s="729">
        <f t="shared" si="35"/>
        <v>1993.713489795842</v>
      </c>
      <c r="X24" s="729">
        <f t="shared" si="35"/>
        <v>1550.7138571425326</v>
      </c>
      <c r="Y24" s="729">
        <f t="shared" si="35"/>
        <v>664.427734694028</v>
      </c>
      <c r="Z24" s="729">
        <f t="shared" si="35"/>
        <v>664.42773469391727</v>
      </c>
      <c r="AA24" s="729">
        <f t="shared" si="35"/>
        <v>664.42773469366534</v>
      </c>
      <c r="AB24" s="729">
        <f t="shared" si="35"/>
        <v>1108.001081632686</v>
      </c>
      <c r="AC24" s="729">
        <f t="shared" si="35"/>
        <v>1108.001081632427</v>
      </c>
      <c r="AD24" s="729">
        <f t="shared" si="35"/>
        <v>1551.8612857146918</v>
      </c>
      <c r="AE24" s="729">
        <f t="shared" si="35"/>
        <v>1551.8612857146766</v>
      </c>
      <c r="AF24" s="729">
        <f t="shared" si="35"/>
        <v>1551.8612857144647</v>
      </c>
      <c r="AG24" s="729">
        <f t="shared" si="35"/>
        <v>1329.7160408160644</v>
      </c>
      <c r="AH24" s="729">
        <f t="shared" si="35"/>
        <v>-3.5857142857154063</v>
      </c>
      <c r="AI24" s="729">
        <f t="shared" si="35"/>
        <v>-1115.0290816324805</v>
      </c>
      <c r="AJ24" s="729">
        <f t="shared" si="35"/>
        <v>-1782.1102448980605</v>
      </c>
      <c r="AK24" s="729">
        <f t="shared" si="35"/>
        <v>-2894.2707551015023</v>
      </c>
      <c r="AL24" s="729">
        <f t="shared" si="35"/>
        <v>-4229.2936530598627</v>
      </c>
      <c r="AM24" s="729">
        <f t="shared" si="35"/>
        <v>-5286.911174384526</v>
      </c>
      <c r="AN24" s="729">
        <f>(y.2m-y.3m-(y.1m-y.2m)*D2x23/D2x12)/(x.2m-x.3m)/(1-(x.2m+x.3m)/(x.1m+x.2m))</f>
        <v>-4169.0555960592928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26.715836887513952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26.934561744640614</v>
      </c>
      <c r="AZ24" s="735">
        <f t="shared" si="26"/>
        <v>26.825199316077281</v>
      </c>
      <c r="BA24" s="633">
        <f t="shared" si="21"/>
        <v>0.33768921440042832</v>
      </c>
      <c r="BC24" s="11">
        <v>43110</v>
      </c>
      <c r="BD24" s="289">
        <f>[2]!FeuilCaduc*(1-Persistant)+Persistant</f>
        <v>0.50277271494657316</v>
      </c>
      <c r="BE24" s="290">
        <f>[2]!CroissVégét</f>
        <v>6.2535138577142317E-4</v>
      </c>
      <c r="BF24" s="804">
        <f>1+[2]!Salcycl*Ksac</f>
        <v>1.0002772714946573</v>
      </c>
      <c r="BH24" s="1036">
        <f t="shared" si="22"/>
        <v>2.1150573597329927E-2</v>
      </c>
      <c r="BI24" s="1038">
        <v>44206</v>
      </c>
      <c r="BJ24" s="715">
        <v>1.5835359634533352E-3</v>
      </c>
      <c r="BK24" s="715">
        <v>3.8540069369215981E-3</v>
      </c>
      <c r="BL24" s="715">
        <v>7.8906725191928151E-3</v>
      </c>
      <c r="BM24" s="715">
        <v>1.484232641181771E-2</v>
      </c>
      <c r="BN24" s="715">
        <v>2.7481253923241838E-2</v>
      </c>
      <c r="BO24" s="716">
        <v>4.9255584955280103E-2</v>
      </c>
      <c r="BP24" s="715">
        <v>8.4956815205179823E-2</v>
      </c>
      <c r="BQ24" s="715">
        <v>0.12761744540735623</v>
      </c>
      <c r="BR24" s="715">
        <v>0.17007089041870813</v>
      </c>
      <c r="BS24" s="715">
        <v>0.20758097383926874</v>
      </c>
      <c r="BT24" s="715">
        <v>0.24353844327164931</v>
      </c>
      <c r="BW24" s="1190">
        <f>'2019'!R\Max</f>
        <v>0</v>
      </c>
      <c r="BX24" s="1190">
        <f>'2020'!R\Max</f>
        <v>0.33768921440042832</v>
      </c>
      <c r="BY24" s="1190">
        <f>'2021'!R\Max</f>
        <v>0.21424234202872772</v>
      </c>
      <c r="BZ24" s="1190">
        <f>'2022'!R\Max</f>
        <v>7.2772702206217454E-2</v>
      </c>
      <c r="CA24" s="1190">
        <f>'2023'!R\Max</f>
        <v>7.2640568481251E-2</v>
      </c>
      <c r="CB24" s="1190">
        <f>'2024'!R\Max</f>
        <v>7.2508375451170587E-2</v>
      </c>
      <c r="CC24" s="1190">
        <f>'2025'!R\Max</f>
        <v>7.2350443087785432E-2</v>
      </c>
      <c r="CD24" s="1190">
        <f>'2026'!R\Max</f>
        <v>7.2192481081095702E-2</v>
      </c>
      <c r="CE24" s="1191">
        <f>'2027'!R\Max</f>
        <v>7.2936252321565129E-2</v>
      </c>
      <c r="CF24" s="1193">
        <f>'2028'!R\Max</f>
        <v>7.2857356630853534E-2</v>
      </c>
    </row>
    <row r="25" spans="1:84" s="6" customFormat="1" ht="11.25" x14ac:dyDescent="0.2">
      <c r="A25" s="11">
        <v>43111</v>
      </c>
      <c r="B25" s="379">
        <f>'2022'!Maxi_hp</f>
        <v>27.372177107233075</v>
      </c>
      <c r="C25" s="13">
        <f>'2022'!An_max</f>
        <v>2022</v>
      </c>
      <c r="D25" s="1045">
        <f t="shared" si="7"/>
        <v>1.0138014686256271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26.999543751244033</v>
      </c>
      <c r="L25" s="745" t="s">
        <v>218</v>
      </c>
      <c r="M25" s="729">
        <f t="shared" ref="M25:AM25" si="36">(y.1m+y.2m+y.3m-a.m*(x.3m*x.3m+x.2m*x.2m+x.1m*x.1m)-b.m*(x.3m+x.2m+x.1m))/3</f>
        <v>112947202.31983759</v>
      </c>
      <c r="N25" s="729">
        <f>(y.1m+y.2m+y.3m-a.m*(x.3m*x.3m+x.2m*x.2m+x.1m*x.1m)-b.m*(x.3m+x.2m+x.1m))/3</f>
        <v>89059431.354046509</v>
      </c>
      <c r="O25" s="729">
        <f t="shared" si="36"/>
        <v>52251447.854126513</v>
      </c>
      <c r="P25" s="729">
        <f t="shared" si="36"/>
        <v>9374000.6364923045</v>
      </c>
      <c r="Q25" s="729">
        <f t="shared" si="36"/>
        <v>4606746.3671025271</v>
      </c>
      <c r="R25" s="729">
        <f t="shared" si="36"/>
        <v>4606746.3671013089</v>
      </c>
      <c r="S25" s="729">
        <f t="shared" si="36"/>
        <v>-19260474.71411917</v>
      </c>
      <c r="T25" s="729">
        <f t="shared" si="36"/>
        <v>-57472800.279511817</v>
      </c>
      <c r="U25" s="729">
        <f t="shared" si="36"/>
        <v>-62252438.458610199</v>
      </c>
      <c r="V25" s="729">
        <f t="shared" si="36"/>
        <v>-62252438.458620429</v>
      </c>
      <c r="W25" s="729">
        <f t="shared" si="36"/>
        <v>-43109093.82677386</v>
      </c>
      <c r="X25" s="729">
        <f t="shared" si="36"/>
        <v>-33531220.519992981</v>
      </c>
      <c r="Y25" s="729">
        <f t="shared" si="36"/>
        <v>-14363067.908737948</v>
      </c>
      <c r="Z25" s="729">
        <f t="shared" si="36"/>
        <v>-14363067.908735553</v>
      </c>
      <c r="AA25" s="729">
        <f t="shared" si="36"/>
        <v>-14363067.908730099</v>
      </c>
      <c r="AB25" s="729">
        <f t="shared" si="36"/>
        <v>-23965765.258939486</v>
      </c>
      <c r="AC25" s="729">
        <f t="shared" si="36"/>
        <v>-23965765.258933883</v>
      </c>
      <c r="AD25" s="729">
        <f t="shared" si="36"/>
        <v>-33580886.678865939</v>
      </c>
      <c r="AE25" s="729">
        <f t="shared" si="36"/>
        <v>-33580886.678865619</v>
      </c>
      <c r="AF25" s="729">
        <f t="shared" si="36"/>
        <v>-33580886.678861022</v>
      </c>
      <c r="AG25" s="729">
        <f t="shared" si="36"/>
        <v>-28764000.386606559</v>
      </c>
      <c r="AH25" s="729">
        <f t="shared" si="36"/>
        <v>155980.57942859569</v>
      </c>
      <c r="AI25" s="729">
        <f t="shared" si="36"/>
        <v>24271522.414935034</v>
      </c>
      <c r="AJ25" s="729">
        <f t="shared" si="36"/>
        <v>38750185.146532811</v>
      </c>
      <c r="AK25" s="729">
        <f t="shared" si="36"/>
        <v>62896857.436314829</v>
      </c>
      <c r="AL25" s="729">
        <f t="shared" si="36"/>
        <v>91891551.492623493</v>
      </c>
      <c r="AM25" s="729">
        <f t="shared" si="36"/>
        <v>114868820.35582107</v>
      </c>
      <c r="AN25" s="729">
        <f>(y.1m+y.2m+y.3m-a.m*(x.3m*x.3m+x.2m*x.2m+x.1m*x.1m)-b.m*(x.3m+x.2m+x.1m))/3</f>
        <v>90574745.259298488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26.944113605216678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27.184023246580161</v>
      </c>
      <c r="AZ25" s="735">
        <f t="shared" si="26"/>
        <v>27.064068425898419</v>
      </c>
      <c r="BA25" s="633">
        <f t="shared" si="21"/>
        <v>1.0138014686256271</v>
      </c>
      <c r="BC25" s="11">
        <v>43111</v>
      </c>
      <c r="BD25" s="289">
        <f>[2]!FeuilCaduc*(1-Persistant)+Persistant</f>
        <v>0.50251484348034037</v>
      </c>
      <c r="BE25" s="290">
        <f>[2]!CroissVégét</f>
        <v>7.0982230050345072E-4</v>
      </c>
      <c r="BF25" s="804">
        <f>1+[2]!Salcycl*Ksac</f>
        <v>1.0002514843480341</v>
      </c>
      <c r="BH25" s="1036">
        <f t="shared" si="22"/>
        <v>2.1110137101679201E-2</v>
      </c>
      <c r="BI25" s="11">
        <v>44207</v>
      </c>
      <c r="BJ25" s="715">
        <v>1.6005949803159392E-3</v>
      </c>
      <c r="BK25" s="715">
        <v>3.7466011549163801E-3</v>
      </c>
      <c r="BL25" s="715">
        <v>7.7782658406590549E-3</v>
      </c>
      <c r="BM25" s="715">
        <v>1.480144433327682E-2</v>
      </c>
      <c r="BN25" s="715">
        <v>2.744126459504562E-2</v>
      </c>
      <c r="BO25" s="716">
        <v>4.8795301113735416E-2</v>
      </c>
      <c r="BP25" s="715">
        <v>8.4190591768373249E-2</v>
      </c>
      <c r="BQ25" s="715">
        <v>0.12716285331568261</v>
      </c>
      <c r="BR25" s="715">
        <v>0.17060858932816492</v>
      </c>
      <c r="BS25" s="715">
        <v>0.20906122953133729</v>
      </c>
      <c r="BT25" s="715">
        <v>0.24555247640874972</v>
      </c>
      <c r="BW25" s="1190">
        <f>'2019'!R\Max</f>
        <v>0</v>
      </c>
      <c r="BX25" s="1190">
        <f>'2020'!R\Max</f>
        <v>1.0100648455091663</v>
      </c>
      <c r="BY25" s="1190">
        <f>'2021'!R\Max</f>
        <v>0.1954314799022929</v>
      </c>
      <c r="BZ25" s="1190">
        <f>'2022'!R\Max</f>
        <v>1.0138014686256271</v>
      </c>
      <c r="CA25" s="1190">
        <f>'2023'!R\Max</f>
        <v>1.0138014686256271</v>
      </c>
      <c r="CB25" s="1190">
        <f>'2024'!R\Max</f>
        <v>1.0138014686256271</v>
      </c>
      <c r="CC25" s="1190">
        <f>'2025'!R\Max</f>
        <v>1.0138014686256271</v>
      </c>
      <c r="CD25" s="1190">
        <f>'2026'!R\Max</f>
        <v>1.0138014686256271</v>
      </c>
      <c r="CE25" s="1191">
        <f>'2027'!R\Max</f>
        <v>1.0138014686256271</v>
      </c>
      <c r="CF25" s="1193">
        <f>'2028'!R\Max</f>
        <v>1.0138014686256271</v>
      </c>
    </row>
    <row r="26" spans="1:84" s="6" customFormat="1" ht="11.25" x14ac:dyDescent="0.2">
      <c r="A26" s="11">
        <v>43112</v>
      </c>
      <c r="B26" s="379">
        <f>'2022'!Maxi_hp</f>
        <v>27.37093962937724</v>
      </c>
      <c r="C26" s="13">
        <f>'2022'!An_max</f>
        <v>2020</v>
      </c>
      <c r="D26" s="1045">
        <f t="shared" si="7"/>
        <v>1.0042806015305528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27.254274938361981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27.186533238313029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27.439773082579006</v>
      </c>
      <c r="AZ26" s="735">
        <f t="shared" si="26"/>
        <v>27.313153160446017</v>
      </c>
      <c r="BA26" s="633">
        <f t="shared" si="21"/>
        <v>1.0042806015305528</v>
      </c>
      <c r="BC26" s="11">
        <v>43112</v>
      </c>
      <c r="BD26" s="289">
        <f>[2]!FeuilCaduc*(1-Persistant)+Persistant</f>
        <v>0.5022682095984794</v>
      </c>
      <c r="BE26" s="290">
        <f>[2]!CroissVégét</f>
        <v>7.9782175584567966E-4</v>
      </c>
      <c r="BF26" s="804">
        <f>1+[2]!Salcycl*Ksac</f>
        <v>1.0002268209598479</v>
      </c>
      <c r="BH26" s="1036">
        <f t="shared" si="22"/>
        <v>2.104818320730396E-2</v>
      </c>
      <c r="BI26" s="11">
        <v>44208</v>
      </c>
      <c r="BJ26" s="715">
        <v>1.6310815444466726E-3</v>
      </c>
      <c r="BK26" s="715">
        <v>3.6539433242501807E-3</v>
      </c>
      <c r="BL26" s="715">
        <v>7.6603452842328732E-3</v>
      </c>
      <c r="BM26" s="715">
        <v>1.4731578211426906E-2</v>
      </c>
      <c r="BN26" s="715">
        <v>2.7387251065297036E-2</v>
      </c>
      <c r="BO26" s="716">
        <v>4.8383621247938276E-2</v>
      </c>
      <c r="BP26" s="715">
        <v>8.3486047092747429E-2</v>
      </c>
      <c r="BQ26" s="715">
        <v>0.1266744023573512</v>
      </c>
      <c r="BR26" s="715">
        <v>0.17105598171597949</v>
      </c>
      <c r="BS26" s="715">
        <v>0.2104713888466021</v>
      </c>
      <c r="BT26" s="715">
        <v>0.24762418489807558</v>
      </c>
      <c r="BW26" s="1190">
        <f>'2019'!R\Max</f>
        <v>0</v>
      </c>
      <c r="BX26" s="1190">
        <f>'2020'!R\Max</f>
        <v>1.0042806015305528</v>
      </c>
      <c r="BY26" s="1190">
        <f>'2021'!R\Max</f>
        <v>0.440729966146156</v>
      </c>
      <c r="BZ26" s="1190">
        <f>'2022'!R\Max</f>
        <v>0.87259803742746667</v>
      </c>
      <c r="CA26" s="1190">
        <f>'2023'!R\Max</f>
        <v>0.87231992342741838</v>
      </c>
      <c r="CB26" s="1190">
        <f>'2024'!R\Max</f>
        <v>0.872040900603132</v>
      </c>
      <c r="CC26" s="1190">
        <f>'2025'!R\Max</f>
        <v>0.87169656503927795</v>
      </c>
      <c r="CD26" s="1190">
        <f>'2026'!R\Max</f>
        <v>0.87135094429989535</v>
      </c>
      <c r="CE26" s="1191">
        <f>'2027'!R\Max</f>
        <v>0.87293475245629049</v>
      </c>
      <c r="CF26" s="1193">
        <f>'2028'!R\Max</f>
        <v>0.87277236529490776</v>
      </c>
    </row>
    <row r="27" spans="1:84" s="6" customFormat="1" ht="11.25" x14ac:dyDescent="0.2">
      <c r="A27" s="11">
        <v>43113</v>
      </c>
      <c r="B27" s="379">
        <f>'2022'!Maxi_hp</f>
        <v>16.17097757884445</v>
      </c>
      <c r="C27" s="13">
        <f>'2022'!An_max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27.519166741307295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27.442323831082991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27.701253387434729</v>
      </c>
      <c r="AZ27" s="735">
        <f t="shared" si="26"/>
        <v>27.57178860925886</v>
      </c>
      <c r="BA27" s="633">
        <f t="shared" si="21"/>
        <v>0.58762598921904163</v>
      </c>
      <c r="BC27" s="11">
        <v>43113</v>
      </c>
      <c r="BD27" s="289">
        <f>[2]!FeuilCaduc*(1-Persistant)+Persistant</f>
        <v>0.50203267860843537</v>
      </c>
      <c r="BE27" s="290">
        <f>[2]!CroissVégét</f>
        <v>8.8949648478391823E-4</v>
      </c>
      <c r="BF27" s="804">
        <f>1+[2]!Salcycl*Ksac</f>
        <v>1.0002032678608435</v>
      </c>
      <c r="BH27" s="1036">
        <f t="shared" si="22"/>
        <v>2.0964635962096904E-2</v>
      </c>
      <c r="BI27" s="11">
        <v>44209</v>
      </c>
      <c r="BJ27" s="715">
        <v>1.6750066251920712E-3</v>
      </c>
      <c r="BK27" s="715">
        <v>3.5760476912618674E-3</v>
      </c>
      <c r="BL27" s="715">
        <v>7.5368912675496972E-3</v>
      </c>
      <c r="BM27" s="715">
        <v>1.4632659011678586E-2</v>
      </c>
      <c r="BN27" s="715">
        <v>2.7319130439771067E-2</v>
      </c>
      <c r="BO27" s="716">
        <v>4.8020507334313033E-2</v>
      </c>
      <c r="BP27" s="715">
        <v>8.2843087662286721E-2</v>
      </c>
      <c r="BQ27" s="715">
        <v>0.12615176063594594</v>
      </c>
      <c r="BR27" s="715">
        <v>0.17141250385588513</v>
      </c>
      <c r="BS27" s="715">
        <v>0.21181076249406791</v>
      </c>
      <c r="BT27" s="715">
        <v>0.24975290964453137</v>
      </c>
      <c r="BW27" s="1190">
        <f>'2019'!R\Max</f>
        <v>0</v>
      </c>
      <c r="BX27" s="1190">
        <f>'2020'!R\Max</f>
        <v>0.58762598921904163</v>
      </c>
      <c r="BY27" s="1190">
        <f>'2021'!R\Max</f>
        <v>0.36149585323969941</v>
      </c>
      <c r="BZ27" s="1190">
        <f>'2022'!R\Max</f>
        <v>0.22104973710765777</v>
      </c>
      <c r="CA27" s="1190">
        <f>'2023'!R\Max</f>
        <v>0.22066971050227294</v>
      </c>
      <c r="CB27" s="1190">
        <f>'2024'!R\Max</f>
        <v>0.22028954732472109</v>
      </c>
      <c r="CC27" s="1190">
        <f>'2025'!R\Max</f>
        <v>0.21981682234002881</v>
      </c>
      <c r="CD27" s="1190">
        <f>'2026'!R\Max</f>
        <v>0.21934401525399005</v>
      </c>
      <c r="CE27" s="1191">
        <f>'2027'!R\Max</f>
        <v>0.22150858121819922</v>
      </c>
      <c r="CF27" s="1193">
        <f>'2028'!R\Max</f>
        <v>0.22128703167642025</v>
      </c>
    </row>
    <row r="28" spans="1:84" s="6" customFormat="1" ht="11.25" x14ac:dyDescent="0.2">
      <c r="A28" s="11">
        <v>43114</v>
      </c>
      <c r="B28" s="379">
        <f>'2022'!Maxi_hp</f>
        <v>28.944815761904703</v>
      </c>
      <c r="C28" s="13">
        <f>'2022'!An_max</f>
        <v>2022</v>
      </c>
      <c r="D28" s="1045">
        <f t="shared" si="7"/>
        <v>1.0414287719294832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27.79337055214814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27.710713427939584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27.967906302059522</v>
      </c>
      <c r="AZ28" s="735">
        <f t="shared" si="26"/>
        <v>27.839309864999553</v>
      </c>
      <c r="BA28" s="633">
        <f t="shared" si="21"/>
        <v>1.0414287719294832</v>
      </c>
      <c r="BC28" s="11">
        <v>43114</v>
      </c>
      <c r="BD28" s="289">
        <f>[2]!FeuilCaduc*(1-Persistant)+Persistant</f>
        <v>0.50180826807640544</v>
      </c>
      <c r="BE28" s="290">
        <f>[2]!CroissVégét</f>
        <v>9.849992655628797E-4</v>
      </c>
      <c r="BF28" s="804">
        <f>1+[2]!Salcycl*Ksac</f>
        <v>1.0001808268076406</v>
      </c>
      <c r="BH28" s="1036">
        <f t="shared" si="22"/>
        <v>2.0859422701596485E-2</v>
      </c>
      <c r="BI28" s="11">
        <v>44210</v>
      </c>
      <c r="BJ28" s="715">
        <v>1.7323792538887217E-3</v>
      </c>
      <c r="BK28" s="715">
        <v>3.5129276468200076E-3</v>
      </c>
      <c r="BL28" s="715">
        <v>7.4078860822296422E-3</v>
      </c>
      <c r="BM28" s="715">
        <v>1.4504621962315833E-2</v>
      </c>
      <c r="BN28" s="715">
        <v>2.723682213319277E-2</v>
      </c>
      <c r="BO28" s="716">
        <v>4.7705919676739601E-2</v>
      </c>
      <c r="BP28" s="715">
        <v>8.2261619717757958E-2</v>
      </c>
      <c r="BQ28" s="715">
        <v>0.12559460556052079</v>
      </c>
      <c r="BR28" s="715">
        <v>0.17167759887764622</v>
      </c>
      <c r="BS28" s="715">
        <v>0.21307865597520689</v>
      </c>
      <c r="BT28" s="715">
        <v>0.25193796421270354</v>
      </c>
      <c r="BW28" s="1190">
        <f>'2019'!R\Max</f>
        <v>0</v>
      </c>
      <c r="BX28" s="1190">
        <f>'2020'!R\Max</f>
        <v>0.9763980685377337</v>
      </c>
      <c r="BY28" s="1190">
        <f>'2021'!R\Max</f>
        <v>0.43422696102202296</v>
      </c>
      <c r="BZ28" s="1190">
        <f>'2022'!R\Max</f>
        <v>1.0414287719294832</v>
      </c>
      <c r="CA28" s="1190">
        <f>'2023'!R\Max</f>
        <v>1.0414287719294832</v>
      </c>
      <c r="CB28" s="1190">
        <f>'2024'!R\Max</f>
        <v>1.0414287719294832</v>
      </c>
      <c r="CC28" s="1190">
        <f>'2025'!R\Max</f>
        <v>1.0414287719294832</v>
      </c>
      <c r="CD28" s="1190">
        <f>'2026'!R\Max</f>
        <v>1.0414287719294832</v>
      </c>
      <c r="CE28" s="1191">
        <f>'2027'!R\Max</f>
        <v>1.041428771929483</v>
      </c>
      <c r="CF28" s="1193">
        <f>'2028'!R\Max</f>
        <v>1.0414287719294832</v>
      </c>
    </row>
    <row r="29" spans="1:84" s="6" customFormat="1" ht="11.25" x14ac:dyDescent="0.2">
      <c r="A29" s="11">
        <v>43115</v>
      </c>
      <c r="B29" s="379">
        <f>'2022'!Maxi_hp</f>
        <v>29.284841653101807</v>
      </c>
      <c r="C29" s="13">
        <f>'2022'!An_max</f>
        <v>2022</v>
      </c>
      <c r="D29" s="1045">
        <f t="shared" si="7"/>
        <v>1.0430546469739899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28.07603775896132</v>
      </c>
      <c r="L29" s="763">
        <f>AJ13</f>
        <v>308.22800000000001</v>
      </c>
      <c r="M29" s="763">
        <f>L13</f>
        <v>246.98400000000001</v>
      </c>
      <c r="N29" s="753">
        <f>N13</f>
        <v>263.048</v>
      </c>
      <c r="O29" s="753">
        <f>P13</f>
        <v>352.404</v>
      </c>
      <c r="P29" s="753">
        <f>R13</f>
        <v>457.82400000000001</v>
      </c>
      <c r="Q29" s="753">
        <f>T13</f>
        <v>562.24</v>
      </c>
      <c r="R29" s="753">
        <f>V13</f>
        <v>625.49199999999996</v>
      </c>
      <c r="S29" s="753">
        <f>X13</f>
        <v>640.55200000000002</v>
      </c>
      <c r="T29" s="753">
        <f>Z13</f>
        <v>629.50800000000004</v>
      </c>
      <c r="U29" s="753">
        <f>AB13</f>
        <v>606.41600000000005</v>
      </c>
      <c r="V29" s="753">
        <f>AD13</f>
        <v>565.25199999999995</v>
      </c>
      <c r="W29" s="753">
        <f>AF13</f>
        <v>497.98399999999998</v>
      </c>
      <c r="X29" s="753">
        <f>AH13</f>
        <v>403.608</v>
      </c>
      <c r="Y29" s="753">
        <f>AJ13</f>
        <v>308.22800000000001</v>
      </c>
      <c r="Z29" s="753">
        <f>AL13</f>
        <v>246.98400000000001</v>
      </c>
      <c r="AA29" s="761">
        <f>AN13</f>
        <v>263.048</v>
      </c>
      <c r="AB29" s="761">
        <f>P13</f>
        <v>352.404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27.990930080320688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28.239173961250948</v>
      </c>
      <c r="AZ29" s="735">
        <f t="shared" si="26"/>
        <v>28.115052020785818</v>
      </c>
      <c r="BA29" s="633">
        <f t="shared" si="21"/>
        <v>1.0430546469739899</v>
      </c>
      <c r="BC29" s="11">
        <v>43115</v>
      </c>
      <c r="BD29" s="289">
        <f>[2]!FeuilCaduc*(1-Persistant)+Persistant</f>
        <v>0.5015951260203303</v>
      </c>
      <c r="BE29" s="290">
        <f>[2]!CroissVégét</f>
        <v>1.0844891659074879E-3</v>
      </c>
      <c r="BF29" s="804">
        <f>1+[2]!Salcycl*Ksac</f>
        <v>1.0001595126020331</v>
      </c>
      <c r="BH29" s="1036">
        <f t="shared" si="22"/>
        <v>2.0732474585206558E-2</v>
      </c>
      <c r="BI29" s="11">
        <v>44211</v>
      </c>
      <c r="BJ29" s="715">
        <v>1.8032061823636599E-3</v>
      </c>
      <c r="BK29" s="715">
        <v>3.4645953476288419E-3</v>
      </c>
      <c r="BL29" s="715">
        <v>7.273314028017233E-3</v>
      </c>
      <c r="BM29" s="715">
        <v>1.4347407283266757E-2</v>
      </c>
      <c r="BN29" s="715">
        <v>2.714024821222108E-2</v>
      </c>
      <c r="BO29" s="716">
        <v>4.74398156396863E-2</v>
      </c>
      <c r="BP29" s="715">
        <v>8.1741547635026862E-2</v>
      </c>
      <c r="BQ29" s="715">
        <v>0.12500262463833259</v>
      </c>
      <c r="BR29" s="715">
        <v>0.17185071899549928</v>
      </c>
      <c r="BS29" s="715">
        <v>0.21427437130173987</v>
      </c>
      <c r="BT29" s="715">
        <v>0.25417863329338508</v>
      </c>
      <c r="BW29" s="1190">
        <f>'2019'!R\Max</f>
        <v>0</v>
      </c>
      <c r="BX29" s="1190">
        <f>'2020'!R\Max</f>
        <v>0.83450760975965943</v>
      </c>
      <c r="BY29" s="1190">
        <f>'2021'!R\Max</f>
        <v>0.70899337365086568</v>
      </c>
      <c r="BZ29" s="1190">
        <f>'2022'!R\Max</f>
        <v>1.0430546469739899</v>
      </c>
      <c r="CA29" s="1190">
        <f>'2023'!R\Max</f>
        <v>1.0430546469739896</v>
      </c>
      <c r="CB29" s="1190">
        <f>'2024'!R\Max</f>
        <v>1.0430546469739899</v>
      </c>
      <c r="CC29" s="1190">
        <f>'2025'!R\Max</f>
        <v>1.0430546469739899</v>
      </c>
      <c r="CD29" s="1190">
        <f>'2026'!R\Max</f>
        <v>1.0430546469739896</v>
      </c>
      <c r="CE29" s="1191">
        <f>'2027'!R\Max</f>
        <v>1.0430546469739896</v>
      </c>
      <c r="CF29" s="1193">
        <f>'2028'!R\Max</f>
        <v>1.0430546469739896</v>
      </c>
    </row>
    <row r="30" spans="1:84" s="6" customFormat="1" ht="11.25" x14ac:dyDescent="0.2">
      <c r="A30" s="11">
        <v>43116</v>
      </c>
      <c r="B30" s="379">
        <f>'2022'!Maxi_hp</f>
        <v>28.651235386050466</v>
      </c>
      <c r="C30" s="13">
        <f>'2022'!An_max</f>
        <v>2022</v>
      </c>
      <c r="D30" s="1045">
        <f t="shared" si="7"/>
        <v>1.010044152286218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28.366319750675132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28.282201832958627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28.514498504688</v>
      </c>
      <c r="AZ30" s="735">
        <f t="shared" si="26"/>
        <v>28.398350168823313</v>
      </c>
      <c r="BA30" s="633">
        <f t="shared" si="21"/>
        <v>1.010044152286218</v>
      </c>
      <c r="BC30" s="11">
        <v>43116</v>
      </c>
      <c r="BD30" s="289">
        <f>[2]!FeuilCaduc*(1-Persistant)+Persistant</f>
        <v>0.50139350894068246</v>
      </c>
      <c r="BE30" s="290">
        <f>[2]!CroissVégét</f>
        <v>1.1881317966940647E-3</v>
      </c>
      <c r="BF30" s="804">
        <f>1+[2]!Salcycl*Ksac</f>
        <v>1.0001393508940681</v>
      </c>
      <c r="BH30" s="1036">
        <f t="shared" si="22"/>
        <v>2.0588336570217091E-2</v>
      </c>
      <c r="BI30" s="11">
        <v>44212</v>
      </c>
      <c r="BJ30" s="715">
        <v>1.8813832955790937E-3</v>
      </c>
      <c r="BK30" s="715">
        <v>3.4287944223707462E-3</v>
      </c>
      <c r="BL30" s="715">
        <v>7.1428482338595804E-3</v>
      </c>
      <c r="BM30" s="715">
        <v>1.4174742757457691E-2</v>
      </c>
      <c r="BN30" s="715">
        <v>2.7024738152906413E-2</v>
      </c>
      <c r="BO30" s="716">
        <v>4.7190780238837486E-2</v>
      </c>
      <c r="BP30" s="715">
        <v>8.1227493327885494E-2</v>
      </c>
      <c r="BQ30" s="715">
        <v>0.12432541535002038</v>
      </c>
      <c r="BR30" s="715">
        <v>0.17185653390971167</v>
      </c>
      <c r="BS30" s="715">
        <v>0.21529790069194168</v>
      </c>
      <c r="BT30" s="715">
        <v>0.25633326217044194</v>
      </c>
      <c r="BW30" s="1190">
        <f>'2019'!R\Max</f>
        <v>0</v>
      </c>
      <c r="BX30" s="1190">
        <f>'2020'!R\Max</f>
        <v>0.87142757172433738</v>
      </c>
      <c r="BY30" s="1190">
        <f>'2021'!R\Max</f>
        <v>0.67827420559889018</v>
      </c>
      <c r="BZ30" s="1190">
        <f>'2022'!R\Max</f>
        <v>1.010044152286218</v>
      </c>
      <c r="CA30" s="1190">
        <f>'2023'!R\Max</f>
        <v>1.010044152286218</v>
      </c>
      <c r="CB30" s="1190">
        <f>'2024'!R\Max</f>
        <v>1.0100441522862178</v>
      </c>
      <c r="CC30" s="1190">
        <f>'2025'!R\Max</f>
        <v>1.0100441522862182</v>
      </c>
      <c r="CD30" s="1190">
        <f>'2026'!R\Max</f>
        <v>1.010044152286218</v>
      </c>
      <c r="CE30" s="1191">
        <f>'2027'!R\Max</f>
        <v>1.010044152286218</v>
      </c>
      <c r="CF30" s="1193">
        <f>'2028'!R\Max</f>
        <v>1.010044152286218</v>
      </c>
    </row>
    <row r="31" spans="1:84" s="6" customFormat="1" ht="11.25" x14ac:dyDescent="0.2">
      <c r="A31" s="11">
        <v>43117</v>
      </c>
      <c r="B31" s="379">
        <f>'2022'!Maxi_hp</f>
        <v>13.20492175837156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28.663367918133737</v>
      </c>
      <c r="L31" s="744" t="s">
        <v>209</v>
      </c>
      <c r="M31" s="765">
        <f t="shared" ref="M31:AA31" si="38">L29</f>
        <v>308.22800000000001</v>
      </c>
      <c r="N31" s="769">
        <f t="shared" si="38"/>
        <v>246.98400000000001</v>
      </c>
      <c r="O31" s="731">
        <f t="shared" si="38"/>
        <v>263.048</v>
      </c>
      <c r="P31" s="731">
        <f t="shared" si="38"/>
        <v>352.404</v>
      </c>
      <c r="Q31" s="731">
        <f t="shared" si="38"/>
        <v>457.82400000000001</v>
      </c>
      <c r="R31" s="731">
        <f t="shared" si="38"/>
        <v>562.24</v>
      </c>
      <c r="S31" s="731">
        <f t="shared" si="38"/>
        <v>625.49199999999996</v>
      </c>
      <c r="T31" s="731">
        <f t="shared" si="38"/>
        <v>640.55200000000002</v>
      </c>
      <c r="U31" s="731">
        <f t="shared" si="38"/>
        <v>629.50800000000004</v>
      </c>
      <c r="V31" s="731">
        <f t="shared" si="38"/>
        <v>606.41600000000005</v>
      </c>
      <c r="W31" s="731">
        <f t="shared" si="38"/>
        <v>565.25199999999995</v>
      </c>
      <c r="X31" s="731">
        <f t="shared" si="38"/>
        <v>497.98399999999998</v>
      </c>
      <c r="Y31" s="731">
        <f t="shared" si="38"/>
        <v>403.608</v>
      </c>
      <c r="Z31" s="731">
        <f t="shared" si="38"/>
        <v>308.22800000000001</v>
      </c>
      <c r="AA31" s="767">
        <f t="shared" si="38"/>
        <v>246.98400000000001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28.583756733419637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28.793322067990385</v>
      </c>
      <c r="AZ31" s="735">
        <f t="shared" si="26"/>
        <v>28.688539400705011</v>
      </c>
      <c r="BA31" s="633">
        <f t="shared" si="21"/>
        <v>0.46068981831048306</v>
      </c>
      <c r="BC31" s="11">
        <v>43117</v>
      </c>
      <c r="BD31" s="289">
        <f>[2]!FeuilCaduc*(1-Persistant)+Persistant</f>
        <v>0.50120375992456212</v>
      </c>
      <c r="BE31" s="290">
        <f>[2]!CroissVégét</f>
        <v>1.2960995754023115E-3</v>
      </c>
      <c r="BF31" s="804">
        <f>1+[2]!Salcycl*Ksac</f>
        <v>1.0001203759924562</v>
      </c>
      <c r="BH31" s="1036">
        <f t="shared" si="22"/>
        <v>2.0428849820359085E-2</v>
      </c>
      <c r="BI31" s="11">
        <v>44213</v>
      </c>
      <c r="BJ31" s="715">
        <v>1.9572139035004808E-3</v>
      </c>
      <c r="BK31" s="715">
        <v>3.4038778706684705E-3</v>
      </c>
      <c r="BL31" s="715">
        <v>7.024791801634807E-3</v>
      </c>
      <c r="BM31" s="715">
        <v>1.4002416435865963E-2</v>
      </c>
      <c r="BN31" s="715">
        <v>2.6878136634361866E-2</v>
      </c>
      <c r="BO31" s="716">
        <v>4.6915605541636089E-2</v>
      </c>
      <c r="BP31" s="715">
        <v>8.0689139710330038E-2</v>
      </c>
      <c r="BQ31" s="715">
        <v>0.12358487101544698</v>
      </c>
      <c r="BR31" s="715">
        <v>0.17172815669607</v>
      </c>
      <c r="BS31" s="715">
        <v>0.21613281582732047</v>
      </c>
      <c r="BT31" s="715">
        <v>0.2583017434103414</v>
      </c>
      <c r="BW31" s="1190">
        <f>'2019'!R\Max</f>
        <v>0</v>
      </c>
      <c r="BX31" s="1190">
        <f>'2020'!R\Max</f>
        <v>0.1652912319824944</v>
      </c>
      <c r="BY31" s="1190">
        <f>'2021'!R\Max</f>
        <v>0.26978871751475036</v>
      </c>
      <c r="BZ31" s="1190">
        <f>'2022'!R\Max</f>
        <v>0.46068981831048306</v>
      </c>
      <c r="CA31" s="1190">
        <f>'2023'!R\Max</f>
        <v>0.46012296076862114</v>
      </c>
      <c r="CB31" s="1190">
        <f>'2024'!R\Max</f>
        <v>0.45955557484824072</v>
      </c>
      <c r="CC31" s="1190">
        <f>'2025'!R\Max</f>
        <v>0.4588344089845644</v>
      </c>
      <c r="CD31" s="1190">
        <f>'2026'!R\Max</f>
        <v>0.45811249376685298</v>
      </c>
      <c r="CE31" s="1191">
        <f>'2027'!R\Max</f>
        <v>0.46137276010537387</v>
      </c>
      <c r="CF31" s="1193">
        <f>'2028'!R\Max</f>
        <v>0.46104279405270526</v>
      </c>
    </row>
    <row r="32" spans="1:84" s="6" customFormat="1" ht="11.25" x14ac:dyDescent="0.2">
      <c r="A32" s="11">
        <v>43118</v>
      </c>
      <c r="B32" s="379">
        <f>'2022'!Maxi_hp</f>
        <v>29.066008249734857</v>
      </c>
      <c r="C32" s="13">
        <f>'2022'!An_max</f>
        <v>2021</v>
      </c>
      <c r="D32" s="1045">
        <f t="shared" si="7"/>
        <v>1.0034410499833828</v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28.966333647817372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28.894822825464821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29.07508678883314</v>
      </c>
      <c r="AZ32" s="735">
        <f t="shared" si="26"/>
        <v>28.984954807148981</v>
      </c>
      <c r="BA32" s="633">
        <f t="shared" si="21"/>
        <v>1.0034410499833828</v>
      </c>
      <c r="BC32" s="11">
        <v>43118</v>
      </c>
      <c r="BD32" s="289">
        <f>[2]!FeuilCaduc*(1-Persistant)+Persistant</f>
        <v>0.50102628705197882</v>
      </c>
      <c r="BE32" s="290">
        <f>[2]!CroissVégét</f>
        <v>1.4085719996856784E-3</v>
      </c>
      <c r="BF32" s="804">
        <f>1+[2]!Salcycl*Ksac</f>
        <v>1.0001026287051979</v>
      </c>
      <c r="BH32" s="1036">
        <f t="shared" si="22"/>
        <v>2.0253964816952845E-2</v>
      </c>
      <c r="BI32" s="11">
        <v>44214</v>
      </c>
      <c r="BJ32" s="715">
        <v>2.0306841380529801E-3</v>
      </c>
      <c r="BK32" s="715">
        <v>3.3898490361277019E-3</v>
      </c>
      <c r="BL32" s="715">
        <v>6.9191489592750934E-3</v>
      </c>
      <c r="BM32" s="715">
        <v>1.3830409646796172E-2</v>
      </c>
      <c r="BN32" s="715">
        <v>2.6700363181226618E-2</v>
      </c>
      <c r="BO32" s="716">
        <v>4.6614177430626902E-2</v>
      </c>
      <c r="BP32" s="715">
        <v>8.0126314536970319E-2</v>
      </c>
      <c r="BQ32" s="715">
        <v>0.12278069729009787</v>
      </c>
      <c r="BR32" s="715">
        <v>0.17146505536205225</v>
      </c>
      <c r="BS32" s="715">
        <v>0.21677833850294928</v>
      </c>
      <c r="BT32" s="715">
        <v>0.26008309224157244</v>
      </c>
      <c r="BW32" s="1190">
        <f>'2019'!R\Max</f>
        <v>0</v>
      </c>
      <c r="BX32" s="1190">
        <f>'2020'!R\Max</f>
        <v>0.65275045521038466</v>
      </c>
      <c r="BY32" s="1190">
        <f>'2021'!R\Max</f>
        <v>1.0034410499833828</v>
      </c>
      <c r="BZ32" s="1190">
        <f>'2022'!R\Max</f>
        <v>0.14474449148214782</v>
      </c>
      <c r="CA32" s="1190">
        <f>'2023'!R\Max</f>
        <v>0.14451743146918167</v>
      </c>
      <c r="CB32" s="1190">
        <f>'2024'!R\Max</f>
        <v>0.14429033765449906</v>
      </c>
      <c r="CC32" s="1190">
        <f>'2025'!R\Max</f>
        <v>0.14400131447909972</v>
      </c>
      <c r="CD32" s="1190">
        <f>'2026'!R\Max</f>
        <v>0.1437122685593602</v>
      </c>
      <c r="CE32" s="1191">
        <f>'2027'!R\Max</f>
        <v>0.14501872307301789</v>
      </c>
      <c r="CF32" s="1193">
        <f>'2028'!R\Max</f>
        <v>0.14488618079658108</v>
      </c>
    </row>
    <row r="33" spans="1:84" s="6" customFormat="1" ht="11.25" x14ac:dyDescent="0.2">
      <c r="A33" s="11">
        <v>43119</v>
      </c>
      <c r="B33" s="379">
        <f>'2022'!Maxi_hp</f>
        <v>30.468754573897851</v>
      </c>
      <c r="C33" s="13">
        <f>'2022'!An_max</f>
        <v>2021</v>
      </c>
      <c r="D33" s="1045">
        <f t="shared" si="7"/>
        <v>1.0407997272110978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29.274368331687789</v>
      </c>
      <c r="L33" s="744" t="s">
        <v>211</v>
      </c>
      <c r="M33" s="769">
        <f t="shared" ref="M33:AA33" si="40">M29</f>
        <v>246.98400000000001</v>
      </c>
      <c r="N33" s="732">
        <f t="shared" si="40"/>
        <v>263.048</v>
      </c>
      <c r="O33" s="732">
        <f t="shared" si="40"/>
        <v>352.404</v>
      </c>
      <c r="P33" s="732">
        <f t="shared" si="40"/>
        <v>457.82400000000001</v>
      </c>
      <c r="Q33" s="732">
        <f t="shared" si="40"/>
        <v>562.24</v>
      </c>
      <c r="R33" s="732">
        <f t="shared" si="40"/>
        <v>625.49199999999996</v>
      </c>
      <c r="S33" s="732">
        <f t="shared" si="40"/>
        <v>640.55200000000002</v>
      </c>
      <c r="T33" s="732">
        <f t="shared" si="40"/>
        <v>629.50800000000004</v>
      </c>
      <c r="U33" s="732">
        <f t="shared" si="40"/>
        <v>606.41600000000005</v>
      </c>
      <c r="V33" s="732">
        <f t="shared" si="40"/>
        <v>565.25199999999995</v>
      </c>
      <c r="W33" s="732">
        <f t="shared" si="40"/>
        <v>497.98399999999998</v>
      </c>
      <c r="X33" s="732">
        <f t="shared" si="40"/>
        <v>403.608</v>
      </c>
      <c r="Y33" s="732">
        <f t="shared" si="40"/>
        <v>308.22800000000001</v>
      </c>
      <c r="Z33" s="767">
        <f t="shared" si="40"/>
        <v>246.98400000000001</v>
      </c>
      <c r="AA33" s="765">
        <f t="shared" si="40"/>
        <v>263.048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29.214628158922174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29.359234805353754</v>
      </c>
      <c r="AZ33" s="735">
        <f t="shared" si="26"/>
        <v>29.286931482137966</v>
      </c>
      <c r="BA33" s="633">
        <f t="shared" si="21"/>
        <v>1.0407997272110978</v>
      </c>
      <c r="BC33" s="11">
        <v>43119</v>
      </c>
      <c r="BD33" s="289">
        <f>[2]!FeuilCaduc*(1-Persistant)+Persistant</f>
        <v>0.50086154232446534</v>
      </c>
      <c r="BE33" s="290">
        <f>[2]!CroissVégét</f>
        <v>1.5257359314074395E-3</v>
      </c>
      <c r="BF33" s="804">
        <f>1+[2]!Salcycl*Ksac</f>
        <v>1.0000861542324466</v>
      </c>
      <c r="BH33" s="1036">
        <f t="shared" si="22"/>
        <v>2.0063636613165896E-2</v>
      </c>
      <c r="BI33" s="11">
        <v>44215</v>
      </c>
      <c r="BJ33" s="715">
        <v>2.1017798293220757E-3</v>
      </c>
      <c r="BK33" s="715">
        <v>3.3867093508979811E-3</v>
      </c>
      <c r="BL33" s="715">
        <v>6.8259226445784816E-3</v>
      </c>
      <c r="BM33" s="715">
        <v>1.3658705337533038E-2</v>
      </c>
      <c r="BN33" s="715">
        <v>2.6491344853355036E-2</v>
      </c>
      <c r="BO33" s="716">
        <v>4.6286389574552951E-2</v>
      </c>
      <c r="BP33" s="715">
        <v>7.9538855523301893E-2</v>
      </c>
      <c r="BQ33" s="715">
        <v>0.12191261940579845</v>
      </c>
      <c r="BR33" s="715">
        <v>0.17106672522032171</v>
      </c>
      <c r="BS33" s="715">
        <v>0.21723371879220824</v>
      </c>
      <c r="BT33" s="715">
        <v>0.26167634020095043</v>
      </c>
      <c r="BW33" s="1190">
        <f>'2019'!R\Max</f>
        <v>0</v>
      </c>
      <c r="BX33" s="1190">
        <f>'2020'!R\Max</f>
        <v>0.96939273977953755</v>
      </c>
      <c r="BY33" s="1190">
        <f>'2021'!R\Max</f>
        <v>1.0407997272110978</v>
      </c>
      <c r="BZ33" s="1190">
        <f>'2022'!R\Max</f>
        <v>0.3909245241121711</v>
      </c>
      <c r="CA33" s="1190">
        <f>'2023'!R\Max</f>
        <v>0.39040124912315999</v>
      </c>
      <c r="CB33" s="1190">
        <f>'2024'!R\Max</f>
        <v>0.38987771038779184</v>
      </c>
      <c r="CC33" s="1190">
        <f>'2025'!R\Max</f>
        <v>0.38921029280688513</v>
      </c>
      <c r="CD33" s="1190">
        <f>'2026'!R\Max</f>
        <v>0.38854249640939731</v>
      </c>
      <c r="CE33" s="1191">
        <f>'2027'!R\Max</f>
        <v>0.39155737779019256</v>
      </c>
      <c r="CF33" s="1193">
        <f>'2028'!R\Max</f>
        <v>0.39125152115084078</v>
      </c>
    </row>
    <row r="34" spans="1:84" s="6" customFormat="1" ht="11.25" x14ac:dyDescent="0.2">
      <c r="A34" s="11">
        <v>43120</v>
      </c>
      <c r="B34" s="379">
        <f>'2022'!Maxi_hp</f>
        <v>12.26188245483894</v>
      </c>
      <c r="C34" s="13">
        <f>'2022'!An_max</f>
        <v>2020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29.586623360216617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29.542400780745915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29.645208253069171</v>
      </c>
      <c r="AZ34" s="735">
        <f t="shared" si="26"/>
        <v>29.593804516907543</v>
      </c>
      <c r="BA34" s="633">
        <f t="shared" si="21"/>
        <v>0.41444007670462213</v>
      </c>
      <c r="BC34" s="11">
        <v>43120</v>
      </c>
      <c r="BD34" s="289">
        <f>[2]!FeuilCaduc*(1-Persistant)+Persistant</f>
        <v>0.50071000132545829</v>
      </c>
      <c r="BE34" s="290">
        <f>[2]!CroissVégét</f>
        <v>1.6477858914927391E-3</v>
      </c>
      <c r="BF34" s="804">
        <f>1+[2]!Salcycl*Ksac</f>
        <v>1.0000710001325459</v>
      </c>
      <c r="BH34" s="1036">
        <f t="shared" si="22"/>
        <v>1.9857935970710616E-2</v>
      </c>
      <c r="BI34" s="11">
        <v>44216</v>
      </c>
      <c r="BJ34" s="715">
        <v>2.1704986716390173E-3</v>
      </c>
      <c r="BK34" s="715">
        <v>3.3944769904658174E-3</v>
      </c>
      <c r="BL34" s="715">
        <v>6.7451518067189629E-3</v>
      </c>
      <c r="BM34" s="715">
        <v>1.3487363283290527E-2</v>
      </c>
      <c r="BN34" s="715">
        <v>2.6251163438027664E-2</v>
      </c>
      <c r="BO34" s="716">
        <v>4.5932400257266102E-2</v>
      </c>
      <c r="BP34" s="715">
        <v>7.8927051138373477E-2</v>
      </c>
      <c r="BQ34" s="715">
        <v>0.12098105849058095</v>
      </c>
      <c r="BR34" s="715">
        <v>0.17053364337878088</v>
      </c>
      <c r="BS34" s="715">
        <v>0.21749945286974726</v>
      </c>
      <c r="BT34" s="715">
        <v>0.26308200713460628</v>
      </c>
      <c r="BW34" s="1190">
        <f>'2019'!R\Max</f>
        <v>0</v>
      </c>
      <c r="BX34" s="1190">
        <f>'2020'!R\Max</f>
        <v>0.41444007670462213</v>
      </c>
      <c r="BY34" s="1190">
        <f>'2021'!R\Max</f>
        <v>0.23754327229967254</v>
      </c>
      <c r="BZ34" s="1190">
        <f>'2022'!R\Max</f>
        <v>0.2421667415431612</v>
      </c>
      <c r="CA34" s="1190">
        <f>'2023'!R\Max</f>
        <v>0.24180078772284705</v>
      </c>
      <c r="CB34" s="1190">
        <f>'2024'!R\Max</f>
        <v>0.24143481505919259</v>
      </c>
      <c r="CC34" s="1190">
        <f>'2025'!R\Max</f>
        <v>0.24096836996638027</v>
      </c>
      <c r="CD34" s="1190">
        <f>'2026'!R\Max</f>
        <v>0.24050191202010623</v>
      </c>
      <c r="CE34" s="1191">
        <f>'2027'!R\Max</f>
        <v>0.24261041091753355</v>
      </c>
      <c r="CF34" s="1193">
        <f>'2028'!R\Max</f>
        <v>0.24239595333825212</v>
      </c>
    </row>
    <row r="35" spans="1:84" s="6" customFormat="1" ht="11.25" x14ac:dyDescent="0.2">
      <c r="A35" s="11">
        <v>43121</v>
      </c>
      <c r="B35" s="379">
        <f>'2022'!Maxi_hp</f>
        <v>22.880726638611495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29.902250118127892</v>
      </c>
      <c r="L35" s="744" t="s">
        <v>213</v>
      </c>
      <c r="M35" s="772">
        <f t="shared" ref="M35:AA35" si="42">N29</f>
        <v>263.048</v>
      </c>
      <c r="N35" s="732">
        <f t="shared" si="42"/>
        <v>352.404</v>
      </c>
      <c r="O35" s="732">
        <f t="shared" si="42"/>
        <v>457.82400000000001</v>
      </c>
      <c r="P35" s="732">
        <f t="shared" si="42"/>
        <v>562.24</v>
      </c>
      <c r="Q35" s="732">
        <f t="shared" si="42"/>
        <v>625.49199999999996</v>
      </c>
      <c r="R35" s="732">
        <f t="shared" si="42"/>
        <v>640.55200000000002</v>
      </c>
      <c r="S35" s="732">
        <f t="shared" si="42"/>
        <v>629.50800000000004</v>
      </c>
      <c r="T35" s="732">
        <f t="shared" si="42"/>
        <v>606.41600000000005</v>
      </c>
      <c r="U35" s="732">
        <f t="shared" si="42"/>
        <v>565.25199999999995</v>
      </c>
      <c r="V35" s="732">
        <f t="shared" si="42"/>
        <v>497.98399999999998</v>
      </c>
      <c r="W35" s="732">
        <f t="shared" si="42"/>
        <v>403.608</v>
      </c>
      <c r="X35" s="732">
        <f t="shared" si="42"/>
        <v>308.22800000000001</v>
      </c>
      <c r="Y35" s="732">
        <f t="shared" si="42"/>
        <v>246.98400000000001</v>
      </c>
      <c r="Z35" s="778">
        <f t="shared" si="42"/>
        <v>263.048</v>
      </c>
      <c r="AA35" s="765">
        <f t="shared" si="42"/>
        <v>352.404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29.877368736679536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29.932449272634653</v>
      </c>
      <c r="AZ35" s="735">
        <f t="shared" si="26"/>
        <v>29.904909004657092</v>
      </c>
      <c r="BA35" s="633">
        <f t="shared" si="21"/>
        <v>0.76518410983193275</v>
      </c>
      <c r="BC35" s="11">
        <v>43121</v>
      </c>
      <c r="BD35" s="289">
        <f>[2]!FeuilCaduc*(1-Persistant)+Persistant</f>
        <v>0.50057214380933035</v>
      </c>
      <c r="BE35" s="290">
        <f>[2]!CroissVégét</f>
        <v>1.7749243659651206E-3</v>
      </c>
      <c r="BF35" s="804">
        <f>1+[2]!Salcycl*Ksac</f>
        <v>1.000057214380933</v>
      </c>
      <c r="BH35" s="1036">
        <f t="shared" si="22"/>
        <v>1.9636983512144799E-2</v>
      </c>
      <c r="BI35" s="11">
        <v>44217</v>
      </c>
      <c r="BJ35" s="715">
        <v>2.2368452921726588E-3</v>
      </c>
      <c r="BK35" s="715">
        <v>3.4131766772564731E-3</v>
      </c>
      <c r="BL35" s="715">
        <v>6.6768887599544845E-3</v>
      </c>
      <c r="BM35" s="715">
        <v>1.331647457269639E-2</v>
      </c>
      <c r="BN35" s="715">
        <v>2.5979969196759725E-2</v>
      </c>
      <c r="BO35" s="716">
        <v>4.5552483089625485E-2</v>
      </c>
      <c r="BP35" s="715">
        <v>7.8291383980146179E-2</v>
      </c>
      <c r="BQ35" s="715">
        <v>0.11998673837698261</v>
      </c>
      <c r="BR35" s="715">
        <v>0.16986673390095311</v>
      </c>
      <c r="BS35" s="715">
        <v>0.2175766243730409</v>
      </c>
      <c r="BT35" s="715">
        <v>0.26430133143648438</v>
      </c>
      <c r="BW35" s="1190">
        <f>'2019'!R\Max</f>
        <v>0</v>
      </c>
      <c r="BX35" s="1190">
        <f>'2020'!R\Max</f>
        <v>0.12045947068360394</v>
      </c>
      <c r="BY35" s="1190">
        <f>'2021'!R\Max</f>
        <v>0.45578133025533624</v>
      </c>
      <c r="BZ35" s="1190">
        <f>'2022'!R\Max</f>
        <v>0.76518410983193275</v>
      </c>
      <c r="CA35" s="1190">
        <f>'2023'!R\Max</f>
        <v>0.76480339727342117</v>
      </c>
      <c r="CB35" s="1190">
        <f>'2024'!R\Max</f>
        <v>0.76442193225796407</v>
      </c>
      <c r="CC35" s="1190">
        <f>'2025'!R\Max</f>
        <v>0.76393501627950589</v>
      </c>
      <c r="CD35" s="1190">
        <f>'2026'!R\Max</f>
        <v>0.763446871606144</v>
      </c>
      <c r="CE35" s="1191">
        <f>'2027'!R\Max</f>
        <v>0.76564566803741463</v>
      </c>
      <c r="CF35" s="1193">
        <f>'2028'!R\Max</f>
        <v>0.76542270519512257</v>
      </c>
    </row>
    <row r="36" spans="1:84" s="6" customFormat="1" ht="11.25" x14ac:dyDescent="0.2">
      <c r="A36" s="11">
        <v>43122</v>
      </c>
      <c r="B36" s="379">
        <f>'2022'!Maxi_hp</f>
        <v>30.566788013971934</v>
      </c>
      <c r="C36" s="13">
        <f>'2022'!An_max</f>
        <v>2022</v>
      </c>
      <c r="D36" s="1045">
        <f t="shared" si="7"/>
        <v>1.011462059241816</v>
      </c>
      <c r="E36" s="1040">
        <f>O$13/10</f>
        <v>30.220400000000001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30.220399998873472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30.218760071694852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30.220399999618529</v>
      </c>
      <c r="AZ36" s="735">
        <f t="shared" si="26"/>
        <v>30.219580035656691</v>
      </c>
      <c r="BA36" s="633">
        <f t="shared" si="21"/>
        <v>1.011462059241816</v>
      </c>
      <c r="BC36" s="11">
        <v>43122</v>
      </c>
      <c r="BD36" s="289">
        <f>[2]!FeuilCaduc*(1-Persistant)+Persistant</f>
        <v>0.5004484354017199</v>
      </c>
      <c r="BE36" s="290">
        <f>[2]!CroissVégét</f>
        <v>1.9073621235293117E-3</v>
      </c>
      <c r="BF36" s="804">
        <f>1+[2]!Salcycl*Ksac</f>
        <v>1.0000448435401721</v>
      </c>
      <c r="BH36" s="1036">
        <f t="shared" si="22"/>
        <v>1.9400813605425289E-2</v>
      </c>
      <c r="BI36" s="11">
        <v>44218</v>
      </c>
      <c r="BJ36" s="715">
        <v>2.3008162505959405E-3</v>
      </c>
      <c r="BK36" s="715">
        <v>3.4428168430577538E-3</v>
      </c>
      <c r="BL36" s="715">
        <v>6.6211535826210012E-3</v>
      </c>
      <c r="BM36" s="715">
        <v>1.3146069573162123E-2</v>
      </c>
      <c r="BN36" s="715">
        <v>2.5677800512280014E-2</v>
      </c>
      <c r="BO36" s="716">
        <v>4.5146712365456865E-2</v>
      </c>
      <c r="BP36" s="715">
        <v>7.7631990843944371E-2</v>
      </c>
      <c r="BQ36" s="715">
        <v>0.11892985705665264</v>
      </c>
      <c r="BR36" s="715">
        <v>0.16906619746494037</v>
      </c>
      <c r="BS36" s="715">
        <v>0.21746541009968748</v>
      </c>
      <c r="BT36" s="715">
        <v>0.26533446287884638</v>
      </c>
      <c r="BW36" s="1190">
        <f>'2019'!R\Max</f>
        <v>0</v>
      </c>
      <c r="BX36" s="1190">
        <f>'2020'!R\Max</f>
        <v>3.9562286454627983E-2</v>
      </c>
      <c r="BY36" s="1190">
        <f>'2021'!R\Max</f>
        <v>0.21731922497728376</v>
      </c>
      <c r="BZ36" s="1190">
        <f>'2022'!R\Max</f>
        <v>1.011462059241816</v>
      </c>
      <c r="CA36" s="1190">
        <f>'2023'!R\Max</f>
        <v>1.011462059241816</v>
      </c>
      <c r="CB36" s="1190">
        <f>'2024'!R\Max</f>
        <v>1.011462059241816</v>
      </c>
      <c r="CC36" s="1190">
        <f>'2025'!R\Max</f>
        <v>1.011462059241816</v>
      </c>
      <c r="CD36" s="1190">
        <f>'2026'!R\Max</f>
        <v>1.011462059241816</v>
      </c>
      <c r="CE36" s="1191">
        <f>'2027'!R\Max</f>
        <v>1.011462059241816</v>
      </c>
      <c r="CF36" s="1193">
        <f>'2028'!R\Max</f>
        <v>1.011462059241816</v>
      </c>
    </row>
    <row r="37" spans="1:84" s="6" customFormat="1" ht="11.25" x14ac:dyDescent="0.2">
      <c r="A37" s="11">
        <v>43123</v>
      </c>
      <c r="B37" s="379">
        <f>'2022'!Maxi_hp</f>
        <v>30.702667936607366</v>
      </c>
      <c r="C37" s="13">
        <f>'2022'!An_max</f>
        <v>2022</v>
      </c>
      <c r="D37" s="1045">
        <f t="shared" si="7"/>
        <v>1.0051787273423882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30.544486369884442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30.565802835540048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30.513656414616189</v>
      </c>
      <c r="AZ37" s="735">
        <f t="shared" si="26"/>
        <v>30.539729625078117</v>
      </c>
      <c r="BA37" s="633">
        <f t="shared" si="21"/>
        <v>1.0051787273423882</v>
      </c>
      <c r="BC37" s="11">
        <v>43123</v>
      </c>
      <c r="BD37" s="289">
        <f>[2]!FeuilCaduc*(1-Persistant)+Persistant</f>
        <v>0.50033931057805758</v>
      </c>
      <c r="BE37" s="290">
        <f>[2]!CroissVégét</f>
        <v>2.045318545083899E-3</v>
      </c>
      <c r="BF37" s="804">
        <f>1+[2]!Salcycl*Ksac</f>
        <v>1.0000339310578057</v>
      </c>
      <c r="BH37" s="1036">
        <f t="shared" si="22"/>
        <v>1.9149461634684187E-2</v>
      </c>
      <c r="BI37" s="11">
        <v>44219</v>
      </c>
      <c r="BJ37" s="715">
        <v>2.362408778067134E-3</v>
      </c>
      <c r="BK37" s="715">
        <v>3.4834044037884708E-3</v>
      </c>
      <c r="BL37" s="715">
        <v>6.5779641521822585E-3</v>
      </c>
      <c r="BM37" s="715">
        <v>1.2976177659738596E-2</v>
      </c>
      <c r="BN37" s="715">
        <v>2.5344698799171114E-2</v>
      </c>
      <c r="BO37" s="716">
        <v>4.4715164028151115E-2</v>
      </c>
      <c r="BP37" s="715">
        <v>7.6949008428125229E-2</v>
      </c>
      <c r="BQ37" s="715">
        <v>0.11781061609107983</v>
      </c>
      <c r="BR37" s="715">
        <v>0.16813225011278457</v>
      </c>
      <c r="BS37" s="715">
        <v>0.21716601374120437</v>
      </c>
      <c r="BT37" s="715">
        <v>0.26618158336835523</v>
      </c>
      <c r="BW37" s="1190">
        <f>'2019'!R\Max</f>
        <v>0</v>
      </c>
      <c r="BX37" s="1190">
        <f>'2020'!R\Max</f>
        <v>0.46281564817968263</v>
      </c>
      <c r="BY37" s="1190">
        <f>'2021'!R\Max</f>
        <v>0.29050413385128526</v>
      </c>
      <c r="BZ37" s="1190">
        <f>'2022'!R\Max</f>
        <v>1.0051787273423882</v>
      </c>
      <c r="CA37" s="1190">
        <f>'2023'!R\Max</f>
        <v>1.0051787273423884</v>
      </c>
      <c r="CB37" s="1190">
        <f>'2024'!R\Max</f>
        <v>1.0051787273423884</v>
      </c>
      <c r="CC37" s="1190">
        <f>'2025'!R\Max</f>
        <v>1.0051787273423884</v>
      </c>
      <c r="CD37" s="1190">
        <f>'2026'!R\Max</f>
        <v>1.0051787273423884</v>
      </c>
      <c r="CE37" s="1191">
        <f>'2027'!R\Max</f>
        <v>1.0051787273423884</v>
      </c>
      <c r="CF37" s="1193">
        <f>'2028'!R\Max</f>
        <v>1.0051787273423884</v>
      </c>
    </row>
    <row r="38" spans="1:84" s="6" customFormat="1" ht="11.25" x14ac:dyDescent="0.2">
      <c r="A38" s="11">
        <v>43124</v>
      </c>
      <c r="B38" s="379">
        <f>'2022'!Maxi_hp</f>
        <v>31.29840811546141</v>
      </c>
      <c r="C38" s="13">
        <f>'2022'!An_max</f>
        <v>2022</v>
      </c>
      <c r="D38" s="1045">
        <f t="shared" si="7"/>
        <v>1.0136207234082972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30.877829737163019</v>
      </c>
      <c r="L38" s="745" t="s">
        <v>216</v>
      </c>
      <c r="M38" s="729">
        <f t="shared" ref="M38:AA38" si="45">(y.1lg-y.2lg-b.lg*(x.1lg-x.2lg))/D2x12Lg</f>
        <v>4.809152190821489E-2</v>
      </c>
      <c r="N38" s="729">
        <f t="shared" si="45"/>
        <v>4.626938034742456E-2</v>
      </c>
      <c r="O38" s="729">
        <f t="shared" si="45"/>
        <v>1.0244897959182193E-2</v>
      </c>
      <c r="P38" s="729">
        <f t="shared" si="45"/>
        <v>-6.403061224489944E-4</v>
      </c>
      <c r="Q38" s="729">
        <f t="shared" si="45"/>
        <v>-2.6252551020411342E-2</v>
      </c>
      <c r="R38" s="729">
        <f t="shared" si="45"/>
        <v>-3.073469387754886E-2</v>
      </c>
      <c r="S38" s="729">
        <f t="shared" si="45"/>
        <v>-1.6647959183673802E-2</v>
      </c>
      <c r="T38" s="729">
        <f t="shared" si="45"/>
        <v>-7.6836734693881128E-3</v>
      </c>
      <c r="U38" s="729">
        <f t="shared" si="45"/>
        <v>-1.1525510204083243E-2</v>
      </c>
      <c r="V38" s="729">
        <f t="shared" si="45"/>
        <v>-1.6647959183675835E-2</v>
      </c>
      <c r="W38" s="729">
        <f t="shared" si="45"/>
        <v>-1.7288265306123093E-2</v>
      </c>
      <c r="X38" s="729">
        <f t="shared" si="45"/>
        <v>-6.4030612244909166E-4</v>
      </c>
      <c r="Y38" s="729">
        <f t="shared" si="45"/>
        <v>2.17704081632633E-2</v>
      </c>
      <c r="Z38" s="729">
        <f t="shared" si="45"/>
        <v>4.8091521908223703E-2</v>
      </c>
      <c r="AA38" s="729">
        <f t="shared" si="45"/>
        <v>4.6269380347416234E-2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30.917725075355598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30.816836105287074</v>
      </c>
      <c r="AZ38" s="735">
        <f t="shared" si="26"/>
        <v>30.867280590321336</v>
      </c>
      <c r="BA38" s="633">
        <f t="shared" si="21"/>
        <v>1.0136207234082972</v>
      </c>
      <c r="BC38" s="11">
        <v>43124</v>
      </c>
      <c r="BD38" s="289">
        <f>[2]!FeuilCaduc*(1-Persistant)+Persistant</f>
        <v>0.50024515707010664</v>
      </c>
      <c r="BE38" s="290">
        <f>[2]!CroissVégét</f>
        <v>2.1890219655428525E-3</v>
      </c>
      <c r="BF38" s="804">
        <f>1+[2]!Salcycl*Ksac</f>
        <v>1.0000245157070107</v>
      </c>
      <c r="BH38" s="1036">
        <f t="shared" si="22"/>
        <v>1.8885882938949727E-2</v>
      </c>
      <c r="BI38" s="11">
        <v>44220</v>
      </c>
      <c r="BJ38" s="715">
        <v>2.4134462260325131E-3</v>
      </c>
      <c r="BK38" s="715">
        <v>3.5232440002128471E-3</v>
      </c>
      <c r="BL38" s="715">
        <v>6.5407165656227034E-3</v>
      </c>
      <c r="BM38" s="715">
        <v>1.2806427708869526E-2</v>
      </c>
      <c r="BN38" s="715">
        <v>2.4986957688481113E-2</v>
      </c>
      <c r="BO38" s="716">
        <v>4.426196447951835E-2</v>
      </c>
      <c r="BP38" s="715">
        <v>7.6225866259871697E-2</v>
      </c>
      <c r="BQ38" s="715">
        <v>0.11661095684941351</v>
      </c>
      <c r="BR38" s="715">
        <v>0.16700626657908557</v>
      </c>
      <c r="BS38" s="715">
        <v>0.21661293450570776</v>
      </c>
      <c r="BT38" s="715">
        <v>0.26676696898717295</v>
      </c>
      <c r="BW38" s="1190">
        <f>'2019'!R\Max</f>
        <v>0</v>
      </c>
      <c r="BX38" s="1190">
        <f>'2020'!R\Max</f>
        <v>0.54526380894016457</v>
      </c>
      <c r="BY38" s="1190">
        <f>'2021'!R\Max</f>
        <v>0.55059069356081036</v>
      </c>
      <c r="BZ38" s="1190">
        <f>'2022'!R\Max</f>
        <v>1.0136207234082972</v>
      </c>
      <c r="CA38" s="1190">
        <f>'2023'!R\Max</f>
        <v>1.013620723408297</v>
      </c>
      <c r="CB38" s="1190">
        <f>'2024'!R\Max</f>
        <v>1.013620723408297</v>
      </c>
      <c r="CC38" s="1190">
        <f>'2025'!R\Max</f>
        <v>1.013620723408297</v>
      </c>
      <c r="CD38" s="1190">
        <f>'2026'!R\Max</f>
        <v>1.013620723408297</v>
      </c>
      <c r="CE38" s="1191">
        <f>'2027'!R\Max</f>
        <v>1.013620723408297</v>
      </c>
      <c r="CF38" s="1193">
        <f>'2028'!R\Max</f>
        <v>1.013620723408297</v>
      </c>
    </row>
    <row r="39" spans="1:84" s="6" customFormat="1" ht="11.25" x14ac:dyDescent="0.2">
      <c r="A39" s="11">
        <v>43125</v>
      </c>
      <c r="B39" s="379">
        <f>'2022'!Maxi_hp</f>
        <v>30.261651120262506</v>
      </c>
      <c r="C39" s="13">
        <f>'2022'!An_max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31.2194422006474</v>
      </c>
      <c r="L39" s="745" t="s">
        <v>217</v>
      </c>
      <c r="M39" s="729">
        <f t="shared" ref="M39:AA39" si="46">(y.2lg-y.3lg-(y.1lg-y.2lg)*D2x23Lg/D2x12Lg)/(x.2lg-x.3lg)/(1-(x.2lg+x.3lg)/(x.1lg+x.2lg))</f>
        <v>-4144.3100676688346</v>
      </c>
      <c r="N39" s="729">
        <f t="shared" si="46"/>
        <v>-3987.2651529689979</v>
      </c>
      <c r="O39" s="729">
        <f t="shared" si="46"/>
        <v>-880.3696938774234</v>
      </c>
      <c r="P39" s="729">
        <f t="shared" si="46"/>
        <v>59.023418367348221</v>
      </c>
      <c r="Q39" s="729">
        <f t="shared" si="46"/>
        <v>2270.7944387757848</v>
      </c>
      <c r="R39" s="729">
        <f t="shared" si="46"/>
        <v>2658.1053673467518</v>
      </c>
      <c r="S39" s="729">
        <f t="shared" si="46"/>
        <v>1440.0535918367634</v>
      </c>
      <c r="T39" s="729">
        <f t="shared" si="46"/>
        <v>664.42773469390852</v>
      </c>
      <c r="U39" s="729">
        <f t="shared" si="46"/>
        <v>997.05395918381294</v>
      </c>
      <c r="V39" s="729">
        <f t="shared" si="46"/>
        <v>1440.8424489797969</v>
      </c>
      <c r="W39" s="729">
        <f t="shared" si="46"/>
        <v>1496.3518673469948</v>
      </c>
      <c r="X39" s="729">
        <f t="shared" si="46"/>
        <v>52.174704081642368</v>
      </c>
      <c r="Y39" s="729">
        <f t="shared" si="46"/>
        <v>-1893.1649387753362</v>
      </c>
      <c r="Z39" s="729">
        <f t="shared" si="46"/>
        <v>-4179.4168786625969</v>
      </c>
      <c r="AA39" s="729">
        <f t="shared" si="46"/>
        <v>-4021.0418006218938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31.273754835900455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31.129413621184153</v>
      </c>
      <c r="AZ39" s="735">
        <f t="shared" si="26"/>
        <v>31.201584228542302</v>
      </c>
      <c r="BA39" s="633">
        <f t="shared" si="21"/>
        <v>0.96932068567307617</v>
      </c>
      <c r="BC39" s="11">
        <v>43125</v>
      </c>
      <c r="BD39" s="289">
        <f>[2]!FeuilCaduc*(1-Persistant)+Persistant</f>
        <v>0.50016630183211808</v>
      </c>
      <c r="BE39" s="290">
        <f>[2]!CroissVégét</f>
        <v>2.3387100283593187E-3</v>
      </c>
      <c r="BF39" s="804">
        <f>1+[2]!Salcycl*Ksac</f>
        <v>1.0000166301832119</v>
      </c>
      <c r="BH39" s="1036">
        <f t="shared" si="22"/>
        <v>1.862939841294832E-2</v>
      </c>
      <c r="BI39" s="11">
        <v>44221</v>
      </c>
      <c r="BJ39" s="715">
        <v>2.4501488790861239E-3</v>
      </c>
      <c r="BK39" s="715">
        <v>3.5490443163783279E-3</v>
      </c>
      <c r="BL39" s="715">
        <v>6.5064070118107525E-3</v>
      </c>
      <c r="BM39" s="715">
        <v>1.2649783684170588E-2</v>
      </c>
      <c r="BN39" s="715">
        <v>2.4630277612315413E-2</v>
      </c>
      <c r="BO39" s="716">
        <v>4.3780389730538723E-2</v>
      </c>
      <c r="BP39" s="715">
        <v>7.5428925569949054E-2</v>
      </c>
      <c r="BQ39" s="715">
        <v>0.11534019917361628</v>
      </c>
      <c r="BR39" s="715">
        <v>0.16574281325379928</v>
      </c>
      <c r="BS39" s="715">
        <v>0.21589001675381433</v>
      </c>
      <c r="BT39" s="715">
        <v>0.26712978736589205</v>
      </c>
      <c r="BW39" s="1190">
        <f>'2019'!R\Max</f>
        <v>0</v>
      </c>
      <c r="BX39" s="1190">
        <f>'2020'!R\Max</f>
        <v>0.54256303155492536</v>
      </c>
      <c r="BY39" s="1190">
        <f>'2021'!R\Max</f>
        <v>0.2775158932115166</v>
      </c>
      <c r="BZ39" s="1190">
        <f>'2022'!R\Max</f>
        <v>0.96932068567307617</v>
      </c>
      <c r="CA39" s="1190">
        <f>'2023'!R\Max</f>
        <v>0.96926237699013951</v>
      </c>
      <c r="CB39" s="1190">
        <f>'2024'!R\Max</f>
        <v>0.96920390630731146</v>
      </c>
      <c r="CC39" s="1190">
        <f>'2025'!R\Max</f>
        <v>0.96912996140061713</v>
      </c>
      <c r="CD39" s="1190">
        <f>'2026'!R\Max</f>
        <v>0.96905575936732447</v>
      </c>
      <c r="CE39" s="1191">
        <f>'2027'!R\Max</f>
        <v>0.9693921634922078</v>
      </c>
      <c r="CF39" s="1193">
        <f>'2028'!R\Max</f>
        <v>0.96935766426289371</v>
      </c>
    </row>
    <row r="40" spans="1:84" s="6" customFormat="1" ht="11.25" x14ac:dyDescent="0.2">
      <c r="A40" s="11">
        <v>43126</v>
      </c>
      <c r="B40" s="379">
        <f>'2022'!Maxi_hp</f>
        <v>30.999537323642969</v>
      </c>
      <c r="C40" s="13">
        <f>'2022'!An_max</f>
        <v>2022</v>
      </c>
      <c r="D40" s="1045">
        <f t="shared" si="7"/>
        <v>0.98198199174056688</v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31.568335859903264</v>
      </c>
      <c r="L40" s="745" t="s">
        <v>218</v>
      </c>
      <c r="M40" s="729">
        <f t="shared" ref="M40:AA40" si="47">(y.1lg+y.2lg+y.3lg-a.lg*(x.3lg*x.3lg+x.2lg*x.2lg+x.1lg*x.1lg)-b.lg*(x.3lg+x.2lg+x.1lg))/3</f>
        <v>89284722.441783741</v>
      </c>
      <c r="N40" s="729">
        <f t="shared" si="47"/>
        <v>85900915.309080288</v>
      </c>
      <c r="O40" s="729">
        <f t="shared" si="47"/>
        <v>18913149.37640541</v>
      </c>
      <c r="P40" s="729">
        <f t="shared" si="47"/>
        <v>-1354254.8867755381</v>
      </c>
      <c r="Q40" s="729">
        <f t="shared" si="47"/>
        <v>-49104174.426373281</v>
      </c>
      <c r="R40" s="729">
        <f t="shared" si="47"/>
        <v>-57471251.537791871</v>
      </c>
      <c r="S40" s="729">
        <f t="shared" si="47"/>
        <v>-31140629.067592457</v>
      </c>
      <c r="T40" s="729">
        <f t="shared" si="47"/>
        <v>-14363067.908735359</v>
      </c>
      <c r="U40" s="729">
        <f t="shared" si="47"/>
        <v>-21562761.784819346</v>
      </c>
      <c r="V40" s="729">
        <f t="shared" si="47"/>
        <v>-31174775.681310564</v>
      </c>
      <c r="W40" s="729">
        <f t="shared" si="47"/>
        <v>-32377831.180082854</v>
      </c>
      <c r="X40" s="729">
        <f t="shared" si="47"/>
        <v>-1057964.3033471494</v>
      </c>
      <c r="Y40" s="729">
        <f t="shared" si="47"/>
        <v>41157846.893792145</v>
      </c>
      <c r="Z40" s="729">
        <f t="shared" si="47"/>
        <v>90803802.609505698</v>
      </c>
      <c r="AA40" s="729">
        <f t="shared" si="47"/>
        <v>87362431.328095019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31.633120163157582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31.45086350985137</v>
      </c>
      <c r="AZ40" s="735">
        <f t="shared" si="26"/>
        <v>31.541991836504476</v>
      </c>
      <c r="BA40" s="633">
        <f t="shared" si="21"/>
        <v>0.98198199174056688</v>
      </c>
      <c r="BC40" s="11">
        <v>43126</v>
      </c>
      <c r="BD40" s="289">
        <f>[2]!FeuilCaduc*(1-Persistant)+Persistant</f>
        <v>0.50010299867905028</v>
      </c>
      <c r="BE40" s="290">
        <f>[2]!CroissVégét</f>
        <v>2.4946300531446561E-3</v>
      </c>
      <c r="BF40" s="804">
        <f>1+[2]!Salcycl*Ksac</f>
        <v>1.000010299867905</v>
      </c>
      <c r="BH40" s="1036">
        <f t="shared" si="22"/>
        <v>1.8380048975067051E-2</v>
      </c>
      <c r="BI40" s="11">
        <v>44222</v>
      </c>
      <c r="BJ40" s="715">
        <v>2.4725142663558591E-3</v>
      </c>
      <c r="BK40" s="715">
        <v>3.5608050061107163E-3</v>
      </c>
      <c r="BL40" s="715">
        <v>6.4750464785831184E-3</v>
      </c>
      <c r="BM40" s="715">
        <v>1.2506274194424927E-2</v>
      </c>
      <c r="BN40" s="715">
        <v>2.427471184243998E-2</v>
      </c>
      <c r="BO40" s="716">
        <v>4.3270518117411061E-2</v>
      </c>
      <c r="BP40" s="715">
        <v>7.4558313578696689E-2</v>
      </c>
      <c r="BQ40" s="715">
        <v>0.11399855040780148</v>
      </c>
      <c r="BR40" s="715">
        <v>0.16434214527606814</v>
      </c>
      <c r="BS40" s="715">
        <v>0.21499753802210289</v>
      </c>
      <c r="BT40" s="715">
        <v>0.26727030150975212</v>
      </c>
      <c r="BW40" s="1190">
        <f>'2019'!R\Max</f>
        <v>0</v>
      </c>
      <c r="BX40" s="1190">
        <f>'2020'!R\Max</f>
        <v>0.22159870085292735</v>
      </c>
      <c r="BY40" s="1190">
        <f>'2021'!R\Max</f>
        <v>0.61224865652444882</v>
      </c>
      <c r="BZ40" s="1190">
        <f>'2022'!R\Max</f>
        <v>0.98198199174056688</v>
      </c>
      <c r="CA40" s="1190">
        <f>'2023'!R\Max</f>
        <v>0.98194807950934826</v>
      </c>
      <c r="CB40" s="1190">
        <f>'2024'!R\Max</f>
        <v>0.9819140720457159</v>
      </c>
      <c r="CC40" s="1190">
        <f>'2025'!R\Max</f>
        <v>0.98187108437304593</v>
      </c>
      <c r="CD40" s="1190">
        <f>'2026'!R\Max</f>
        <v>0.98182794566537535</v>
      </c>
      <c r="CE40" s="1191">
        <f>'2027'!R\Max</f>
        <v>0.98202370091968549</v>
      </c>
      <c r="CF40" s="1193">
        <f>'2028'!R\Max</f>
        <v>0.98200357323253684</v>
      </c>
    </row>
    <row r="41" spans="1:84" s="6" customFormat="1" ht="11.25" x14ac:dyDescent="0.2">
      <c r="A41" s="11">
        <v>43127</v>
      </c>
      <c r="B41" s="379">
        <f>'2022'!Maxi_hp</f>
        <v>29.617485688648788</v>
      </c>
      <c r="C41" s="13">
        <f>'2022'!An_max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31.923522812540511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31.995049107354134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31.78066031963764</v>
      </c>
      <c r="AZ41" s="735">
        <f t="shared" si="26"/>
        <v>31.887854713495887</v>
      </c>
      <c r="BA41" s="633">
        <f t="shared" si="21"/>
        <v>0.92776370147389109</v>
      </c>
      <c r="BC41" s="11">
        <v>43127</v>
      </c>
      <c r="BD41" s="289">
        <f>[2]!FeuilCaduc*(1-Persistant)+Persistant</f>
        <v>0.50005541768942652</v>
      </c>
      <c r="BE41" s="290">
        <f>[2]!CroissVégét</f>
        <v>2.6570394167881404E-3</v>
      </c>
      <c r="BF41" s="804">
        <f>1+[2]!Salcycl*Ksac</f>
        <v>1.0000055417689426</v>
      </c>
      <c r="BH41" s="1036">
        <f t="shared" si="22"/>
        <v>1.8137873381545565E-2</v>
      </c>
      <c r="BI41" s="11">
        <v>44223</v>
      </c>
      <c r="BJ41" s="715">
        <v>2.4805417541164799E-3</v>
      </c>
      <c r="BK41" s="715">
        <v>3.5585274683143614E-3</v>
      </c>
      <c r="BL41" s="715">
        <v>6.4466454230041013E-3</v>
      </c>
      <c r="BM41" s="715">
        <v>1.2375925508613016E-2</v>
      </c>
      <c r="BN41" s="715">
        <v>2.3920311666760317E-2</v>
      </c>
      <c r="BO41" s="716">
        <v>4.2732428719313903E-2</v>
      </c>
      <c r="BP41" s="715">
        <v>7.3614161835228453E-2</v>
      </c>
      <c r="BQ41" s="715">
        <v>0.11258621941988507</v>
      </c>
      <c r="BR41" s="715">
        <v>0.16280452688838368</v>
      </c>
      <c r="BS41" s="715">
        <v>0.21393579127298198</v>
      </c>
      <c r="BT41" s="715">
        <v>0.26718880126548711</v>
      </c>
      <c r="BW41" s="1190">
        <f>'2019'!R\Max</f>
        <v>0</v>
      </c>
      <c r="BX41" s="1190">
        <f>'2020'!R\Max</f>
        <v>0.35876887548096664</v>
      </c>
      <c r="BY41" s="1190">
        <f>'2021'!R\Max</f>
        <v>0.18309077702421564</v>
      </c>
      <c r="BZ41" s="1190">
        <f>'2022'!R\Max</f>
        <v>0.92776370147389109</v>
      </c>
      <c r="CA41" s="1190">
        <f>'2023'!R\Max</f>
        <v>0.92763835985590348</v>
      </c>
      <c r="CB41" s="1190">
        <f>'2024'!R\Max</f>
        <v>0.92751269423313543</v>
      </c>
      <c r="CC41" s="1190">
        <f>'2025'!R\Max</f>
        <v>0.92735372097525137</v>
      </c>
      <c r="CD41" s="1190">
        <f>'2026'!R\Max</f>
        <v>0.92719423359876474</v>
      </c>
      <c r="CE41" s="1191">
        <f>'2027'!R\Max</f>
        <v>0.92791841334353942</v>
      </c>
      <c r="CF41" s="1193">
        <f>'2028'!R\Max</f>
        <v>0.92784376015645764</v>
      </c>
    </row>
    <row r="42" spans="1:84" s="6" customFormat="1" ht="11.25" x14ac:dyDescent="0.2">
      <c r="A42" s="11">
        <v>43128</v>
      </c>
      <c r="B42" s="379">
        <f>'2022'!Maxi_hp</f>
        <v>18.471919028830147</v>
      </c>
      <c r="C42" s="13">
        <f>'2022'!An_max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32.284015160160401</v>
      </c>
      <c r="M42" s="6" t="s">
        <v>228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32.358769713342191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32.118278602557254</v>
      </c>
      <c r="AZ42" s="735">
        <f t="shared" si="26"/>
        <v>32.238524157949726</v>
      </c>
      <c r="BA42" s="633">
        <f t="shared" si="21"/>
        <v>0.57216919695989787</v>
      </c>
      <c r="BC42" s="11">
        <v>43128</v>
      </c>
      <c r="BD42" s="289">
        <f>[2]!FeuilCaduc*(1-Persistant)+Persistant</f>
        <v>0.50002363644501702</v>
      </c>
      <c r="BE42" s="290">
        <f>[2]!CroissVégét</f>
        <v>2.826205948480045E-3</v>
      </c>
      <c r="BF42" s="804">
        <f>1+[2]!Salcycl*Ksac</f>
        <v>1.0000023636445017</v>
      </c>
      <c r="BH42" s="1036">
        <f t="shared" si="22"/>
        <v>1.7902908320508629E-2</v>
      </c>
      <c r="BI42" s="11">
        <v>44224</v>
      </c>
      <c r="BJ42" s="715">
        <v>2.4742323670643666E-3</v>
      </c>
      <c r="BK42" s="715">
        <v>3.5422146722458602E-3</v>
      </c>
      <c r="BL42" s="715">
        <v>6.4212138098289273E-3</v>
      </c>
      <c r="BM42" s="715">
        <v>1.2258761723370143E-2</v>
      </c>
      <c r="BN42" s="715">
        <v>2.356712640966804E-2</v>
      </c>
      <c r="BO42" s="716">
        <v>4.2166201015790682E-2</v>
      </c>
      <c r="BP42" s="715">
        <v>7.2596605315556381E-2</v>
      </c>
      <c r="BQ42" s="715">
        <v>0.1111034157446899</v>
      </c>
      <c r="BR42" s="715">
        <v>0.16113022976242039</v>
      </c>
      <c r="BS42" s="715">
        <v>0.21270508282708347</v>
      </c>
      <c r="BT42" s="715">
        <v>0.26688560060462901</v>
      </c>
      <c r="BW42" s="1190">
        <f>'2019'!R\Max</f>
        <v>0</v>
      </c>
      <c r="BX42" s="1190">
        <f>'2020'!R\Max</f>
        <v>0.56652696426070193</v>
      </c>
      <c r="BY42" s="1190">
        <f>'2021'!R\Max</f>
        <v>0.57216919695989787</v>
      </c>
      <c r="BZ42" s="1190">
        <f>'2022'!R\Max</f>
        <v>0.14471864807665361</v>
      </c>
      <c r="CA42" s="1190">
        <f>'2023'!R\Max</f>
        <v>0.14453411182310366</v>
      </c>
      <c r="CB42" s="1190">
        <f>'2024'!R\Max</f>
        <v>0.14434952411890975</v>
      </c>
      <c r="CC42" s="1190">
        <f>'2025'!R\Max</f>
        <v>0.14411601087134487</v>
      </c>
      <c r="CD42" s="1190">
        <f>'2026'!R\Max</f>
        <v>0.14388242425740869</v>
      </c>
      <c r="CE42" s="1191">
        <f>'2027'!R\Max</f>
        <v>0.14494777438140274</v>
      </c>
      <c r="CF42" s="1193">
        <f>'2028'!R\Max</f>
        <v>0.14483714884810159</v>
      </c>
    </row>
    <row r="43" spans="1:84" s="6" customFormat="1" ht="11.25" x14ac:dyDescent="0.2">
      <c r="A43" s="11">
        <v>43129</v>
      </c>
      <c r="B43" s="379">
        <f>'2022'!Maxi_hp</f>
        <v>19.775703807846384</v>
      </c>
      <c r="C43" s="13">
        <f>'2022'!An_max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32.648824999947102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32.72351002600044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32.463192904973404</v>
      </c>
      <c r="AZ43" s="735">
        <f t="shared" si="26"/>
        <v>32.593351465486919</v>
      </c>
      <c r="BA43" s="633">
        <f t="shared" si="21"/>
        <v>0.60570951046104793</v>
      </c>
      <c r="BC43" s="11">
        <v>43129</v>
      </c>
      <c r="BD43" s="289">
        <f>[2]!FeuilCaduc*(1-Persistant)+Persistant</f>
        <v>0.50000763315884711</v>
      </c>
      <c r="BE43" s="290">
        <f>[2]!CroissVégét</f>
        <v>3.0024083390505912E-3</v>
      </c>
      <c r="BF43" s="804">
        <f>1+[2]!Salcycl*Ksac</f>
        <v>1.0000007633158847</v>
      </c>
      <c r="BH43" s="1036">
        <f t="shared" si="22"/>
        <v>1.7675188506394542E-2</v>
      </c>
      <c r="BI43" s="11">
        <v>44225</v>
      </c>
      <c r="BJ43" s="715">
        <v>2.4535886096455073E-3</v>
      </c>
      <c r="BK43" s="715">
        <v>3.5118709828644394E-3</v>
      </c>
      <c r="BL43" s="715">
        <v>6.398761150106673E-3</v>
      </c>
      <c r="BM43" s="715">
        <v>1.2154804930713442E-2</v>
      </c>
      <c r="BN43" s="715">
        <v>2.3215203452909977E-2</v>
      </c>
      <c r="BO43" s="716">
        <v>4.157191454506616E-2</v>
      </c>
      <c r="BP43" s="715">
        <v>7.1505781522318845E-2</v>
      </c>
      <c r="BQ43" s="715">
        <v>0.10955034872950332</v>
      </c>
      <c r="BR43" s="715">
        <v>0.15931953132840712</v>
      </c>
      <c r="BS43" s="715">
        <v>0.21130573030029021</v>
      </c>
      <c r="BT43" s="715">
        <v>0.2663610349125749</v>
      </c>
      <c r="BW43" s="1190">
        <f>'2019'!R\Max</f>
        <v>0</v>
      </c>
      <c r="BX43" s="1190">
        <f>'2020'!R\Max</f>
        <v>0.60570951046104793</v>
      </c>
      <c r="BY43" s="1190">
        <f>'2021'!R\Max</f>
        <v>0.50818827243542608</v>
      </c>
      <c r="BZ43" s="1190">
        <f>'2022'!R\Max</f>
        <v>0.30205726217124096</v>
      </c>
      <c r="CA43" s="1190">
        <f>'2023'!R\Max</f>
        <v>0.30168406314937363</v>
      </c>
      <c r="CB43" s="1190">
        <f>'2024'!R\Max</f>
        <v>0.30131073657901691</v>
      </c>
      <c r="CC43" s="1190">
        <f>'2025'!R\Max</f>
        <v>0.30083640829190944</v>
      </c>
      <c r="CD43" s="1190">
        <f>'2026'!R\Max</f>
        <v>0.30036189507042493</v>
      </c>
      <c r="CE43" s="1191">
        <f>'2027'!R\Max</f>
        <v>0.3025221602884306</v>
      </c>
      <c r="CF43" s="1193">
        <f>'2028'!R\Max</f>
        <v>0.30229773644709079</v>
      </c>
    </row>
    <row r="44" spans="1:84" s="6" customFormat="1" ht="11.25" x14ac:dyDescent="0.2">
      <c r="A44" s="11">
        <v>43130</v>
      </c>
      <c r="B44" s="379">
        <f>'2022'!Maxi_hp</f>
        <v>11.80160840972839</v>
      </c>
      <c r="C44" s="13">
        <f>'2022'!An_max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33.01696443089417</v>
      </c>
      <c r="L44" s="763">
        <f>AK13</f>
        <v>271.08</v>
      </c>
      <c r="M44" s="763">
        <f>M13</f>
        <v>241.964</v>
      </c>
      <c r="N44" s="753">
        <f>O13</f>
        <v>302.20400000000001</v>
      </c>
      <c r="O44" s="753">
        <f>Q13</f>
        <v>404.61200000000002</v>
      </c>
      <c r="P44" s="753">
        <f>S13</f>
        <v>512.04</v>
      </c>
      <c r="Q44" s="753">
        <f>U13</f>
        <v>600.39200000000005</v>
      </c>
      <c r="R44" s="753">
        <f>W13</f>
        <v>637.54</v>
      </c>
      <c r="S44" s="753">
        <f>Y13</f>
        <v>636.53600000000006</v>
      </c>
      <c r="T44" s="753">
        <f>AA13</f>
        <v>619.46799999999996</v>
      </c>
      <c r="U44" s="753">
        <f>AC13</f>
        <v>588.34400000000005</v>
      </c>
      <c r="V44" s="753">
        <f>AE13</f>
        <v>535.13199999999995</v>
      </c>
      <c r="W44" s="753">
        <f>AG13</f>
        <v>453.80799999999999</v>
      </c>
      <c r="X44" s="753">
        <f>AI13</f>
        <v>353.40800000000002</v>
      </c>
      <c r="Y44" s="753">
        <f>AK13</f>
        <v>271.08</v>
      </c>
      <c r="Z44" s="753">
        <f>AM13</f>
        <v>241.964</v>
      </c>
      <c r="AA44" s="761">
        <f>AO13</f>
        <v>302.20400000000001</v>
      </c>
      <c r="AB44" s="761">
        <f>Q13</f>
        <v>404.61200000000002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33.088498096194648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32.814877776402447</v>
      </c>
      <c r="AZ44" s="735">
        <f t="shared" si="26"/>
        <v>32.951687936298548</v>
      </c>
      <c r="BA44" s="633">
        <f t="shared" si="21"/>
        <v>0.35744074639052992</v>
      </c>
      <c r="BC44" s="11">
        <v>43130</v>
      </c>
      <c r="BD44" s="289">
        <f>[2]!FeuilCaduc*(1-Persistant)+Persistant</f>
        <v>0.50000728172226783</v>
      </c>
      <c r="BE44" s="290">
        <f>[2]!CroissVégét</f>
        <v>3.1859365650375344E-3</v>
      </c>
      <c r="BF44" s="804">
        <f>1+[2]!Salcycl*Ksac</f>
        <v>1.0000007281722267</v>
      </c>
      <c r="BH44" s="1036">
        <f t="shared" si="22"/>
        <v>1.7437591412213641E-2</v>
      </c>
      <c r="BI44" s="11">
        <v>44226</v>
      </c>
      <c r="BJ44" s="715">
        <v>2.4187375329779016E-3</v>
      </c>
      <c r="BK44" s="715">
        <v>3.4677294784745544E-3</v>
      </c>
      <c r="BL44" s="715">
        <v>6.3672279496683219E-3</v>
      </c>
      <c r="BM44" s="715">
        <v>1.2046152354050899E-2</v>
      </c>
      <c r="BN44" s="715">
        <v>2.2848203293791728E-2</v>
      </c>
      <c r="BO44" s="716">
        <v>4.0945236145118413E-2</v>
      </c>
      <c r="BP44" s="715">
        <v>7.0359116706215419E-2</v>
      </c>
      <c r="BQ44" s="715">
        <v>0.10794482945465511</v>
      </c>
      <c r="BR44" s="715">
        <v>0.15737977915714577</v>
      </c>
      <c r="BS44" s="715">
        <v>0.20970097334135651</v>
      </c>
      <c r="BT44" s="715">
        <v>0.26553081632206144</v>
      </c>
      <c r="BW44" s="1190">
        <f>'2019'!R\Max</f>
        <v>0</v>
      </c>
      <c r="BX44" s="1190">
        <f>'2020'!R\Max</f>
        <v>0.35744074639052992</v>
      </c>
      <c r="BY44" s="1190">
        <f>'2021'!R\Max</f>
        <v>0.28161944691704666</v>
      </c>
      <c r="BZ44" s="1190">
        <f>'2022'!R\Max</f>
        <v>0.15426050213068826</v>
      </c>
      <c r="CA44" s="1190">
        <f>'2023'!R\Max</f>
        <v>0.1540746162619345</v>
      </c>
      <c r="CB44" s="1190">
        <f>'2024'!R\Max</f>
        <v>0.15388865756396941</v>
      </c>
      <c r="CC44" s="1190">
        <f>'2025'!R\Max</f>
        <v>0.15365112845411738</v>
      </c>
      <c r="CD44" s="1190">
        <f>'2026'!R\Max</f>
        <v>0.15341349376441851</v>
      </c>
      <c r="CE44" s="1191">
        <f>'2027'!R\Max</f>
        <v>0.15449281406531815</v>
      </c>
      <c r="CF44" s="1193">
        <f>'2028'!R\Max</f>
        <v>0.15438068583480519</v>
      </c>
    </row>
    <row r="45" spans="1:84" s="6" customFormat="1" ht="11.25" x14ac:dyDescent="0.2">
      <c r="A45" s="11">
        <v>43131</v>
      </c>
      <c r="B45" s="379">
        <f>'2022'!Maxi_hp</f>
        <v>23.12427848668732</v>
      </c>
      <c r="C45" s="13">
        <f>'2022'!An_max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33.387445553950968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33.452961968377764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33.172807765821929</v>
      </c>
      <c r="AZ45" s="735">
        <f t="shared" si="26"/>
        <v>33.312884867099847</v>
      </c>
      <c r="BA45" s="633">
        <f t="shared" si="21"/>
        <v>0.69260400438004943</v>
      </c>
      <c r="BC45" s="11">
        <v>43131</v>
      </c>
      <c r="BD45" s="289">
        <f>[2]!FeuilCaduc*(1-Persistant)+Persistant</f>
        <v>0.50002234868118989</v>
      </c>
      <c r="BE45" s="290">
        <f>[2]!CroissVégét</f>
        <v>3.3770923278976551E-3</v>
      </c>
      <c r="BF45" s="804">
        <f>1+[2]!Salcycl*Ksac</f>
        <v>1.000002234868119</v>
      </c>
      <c r="BH45" s="1036">
        <f t="shared" si="22"/>
        <v>1.718553219115309E-2</v>
      </c>
      <c r="BI45" s="11">
        <v>44227</v>
      </c>
      <c r="BJ45" s="715">
        <v>2.3758024536699673E-3</v>
      </c>
      <c r="BK45" s="715">
        <v>3.4120674581723178E-3</v>
      </c>
      <c r="BL45" s="715">
        <v>6.3169209874199212E-3</v>
      </c>
      <c r="BM45" s="715">
        <v>1.1919019087222961E-2</v>
      </c>
      <c r="BN45" s="715">
        <v>2.2470773861736192E-2</v>
      </c>
      <c r="BO45" s="716">
        <v>4.031766502973403E-2</v>
      </c>
      <c r="BP45" s="715">
        <v>6.9212120357457843E-2</v>
      </c>
      <c r="BQ45" s="715">
        <v>0.10633724727857942</v>
      </c>
      <c r="BR45" s="715">
        <v>0.15538617481828668</v>
      </c>
      <c r="BS45" s="715">
        <v>0.20799062162833101</v>
      </c>
      <c r="BT45" s="715">
        <v>0.26453646401902231</v>
      </c>
      <c r="BW45" s="1190">
        <f>'2019'!R\Max</f>
        <v>0</v>
      </c>
      <c r="BX45" s="1190">
        <f>'2020'!R\Max</f>
        <v>0.69260400438004943</v>
      </c>
      <c r="BY45" s="1190">
        <f>'2021'!R\Max</f>
        <v>0.27462156733551452</v>
      </c>
      <c r="BZ45" s="1190">
        <f>'2022'!R\Max</f>
        <v>0.25297534208314532</v>
      </c>
      <c r="CA45" s="1190">
        <f>'2023'!R\Max</f>
        <v>0.25267921600480608</v>
      </c>
      <c r="CB45" s="1190">
        <f>'2024'!R\Max</f>
        <v>0.25238295484514661</v>
      </c>
      <c r="CC45" s="1190">
        <f>'2025'!R\Max</f>
        <v>0.25200247637208639</v>
      </c>
      <c r="CD45" s="1190">
        <f>'2026'!R\Max</f>
        <v>0.25162180224418074</v>
      </c>
      <c r="CE45" s="1191">
        <f>'2027'!R\Max</f>
        <v>0.2533468569149212</v>
      </c>
      <c r="CF45" s="1193">
        <f>'2028'!R\Max</f>
        <v>0.25316756895180192</v>
      </c>
    </row>
    <row r="46" spans="1:84" s="6" customFormat="1" ht="11.25" x14ac:dyDescent="0.2">
      <c r="A46" s="11">
        <v>43132</v>
      </c>
      <c r="B46" s="379">
        <f>'2022'!Maxi_hp</f>
        <v>14.021130827306354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33.759280465889191</v>
      </c>
      <c r="L46" s="744" t="s">
        <v>209</v>
      </c>
      <c r="M46" s="765">
        <f t="shared" ref="M46:AA46" si="49">L44</f>
        <v>271.08</v>
      </c>
      <c r="N46" s="769">
        <f t="shared" si="49"/>
        <v>241.964</v>
      </c>
      <c r="O46" s="731">
        <f t="shared" si="49"/>
        <v>302.20400000000001</v>
      </c>
      <c r="P46" s="731">
        <f t="shared" si="49"/>
        <v>404.61200000000002</v>
      </c>
      <c r="Q46" s="731">
        <f t="shared" si="49"/>
        <v>512.04</v>
      </c>
      <c r="R46" s="731">
        <f t="shared" si="49"/>
        <v>600.39200000000005</v>
      </c>
      <c r="S46" s="731">
        <f t="shared" si="49"/>
        <v>637.54</v>
      </c>
      <c r="T46" s="731">
        <f t="shared" si="49"/>
        <v>636.53600000000006</v>
      </c>
      <c r="U46" s="731">
        <f t="shared" si="49"/>
        <v>619.46799999999996</v>
      </c>
      <c r="V46" s="731">
        <f t="shared" si="49"/>
        <v>588.34400000000005</v>
      </c>
      <c r="W46" s="731">
        <f t="shared" si="49"/>
        <v>535.13199999999995</v>
      </c>
      <c r="X46" s="731">
        <f t="shared" si="49"/>
        <v>453.80799999999999</v>
      </c>
      <c r="Y46" s="731">
        <f t="shared" si="49"/>
        <v>353.40800000000002</v>
      </c>
      <c r="Z46" s="731">
        <f t="shared" si="49"/>
        <v>271.08</v>
      </c>
      <c r="AA46" s="767">
        <f t="shared" si="49"/>
        <v>241.964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33.816129689344336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33.536457422495417</v>
      </c>
      <c r="AZ46" s="735">
        <f t="shared" si="26"/>
        <v>33.676293555919877</v>
      </c>
      <c r="BA46" s="633">
        <f t="shared" si="21"/>
        <v>0.4153267082061623</v>
      </c>
      <c r="BC46" s="11">
        <v>43132</v>
      </c>
      <c r="BD46" s="289">
        <f>[2]!FeuilCaduc*(1-Persistant)+Persistant</f>
        <v>0.50005249213128744</v>
      </c>
      <c r="BE46" s="290">
        <f>[2]!CroissVégét</f>
        <v>3.5761895087786043E-3</v>
      </c>
      <c r="BF46" s="804">
        <f>1+[2]!Salcycl*Ksac</f>
        <v>1.0000052492131288</v>
      </c>
      <c r="BH46" s="1036">
        <f t="shared" si="22"/>
        <v>1.6919043151559204E-2</v>
      </c>
      <c r="BI46" s="11">
        <v>44228</v>
      </c>
      <c r="BJ46" s="715">
        <v>2.3247885730536934E-3</v>
      </c>
      <c r="BK46" s="715">
        <v>3.3448921510859583E-3</v>
      </c>
      <c r="BL46" s="715">
        <v>6.2478514079495522E-3</v>
      </c>
      <c r="BM46" s="715">
        <v>1.1773426253391688E-2</v>
      </c>
      <c r="BN46" s="715">
        <v>2.2082958690050256E-2</v>
      </c>
      <c r="BO46" s="716">
        <v>3.968927614083282E-2</v>
      </c>
      <c r="BP46" s="715">
        <v>6.806492376933039E-2</v>
      </c>
      <c r="BQ46" s="715">
        <v>0.10472779797619175</v>
      </c>
      <c r="BR46" s="715">
        <v>0.15333899397833514</v>
      </c>
      <c r="BS46" s="715">
        <v>0.20617500897169216</v>
      </c>
      <c r="BT46" s="715">
        <v>0.26337835841581453</v>
      </c>
      <c r="BW46" s="1190">
        <f>'2019'!R\Max</f>
        <v>0</v>
      </c>
      <c r="BX46" s="1190">
        <f>'2020'!R\Max</f>
        <v>0.36756564012456916</v>
      </c>
      <c r="BY46" s="1190">
        <f>'2021'!R\Max</f>
        <v>0.24456015244475887</v>
      </c>
      <c r="BZ46" s="1190">
        <f>'2022'!R\Max</f>
        <v>0.4153267082061623</v>
      </c>
      <c r="CA46" s="1190">
        <f>'2023'!R\Max</f>
        <v>0.41493254870542712</v>
      </c>
      <c r="CB46" s="1190">
        <f>'2024'!R\Max</f>
        <v>0.4145380335238445</v>
      </c>
      <c r="CC46" s="1190">
        <f>'2025'!R\Max</f>
        <v>0.41402834665506871</v>
      </c>
      <c r="CD46" s="1190">
        <f>'2026'!R\Max</f>
        <v>0.41351811265733018</v>
      </c>
      <c r="CE46" s="1191">
        <f>'2027'!R\Max</f>
        <v>0.415823236525517</v>
      </c>
      <c r="CF46" s="1193">
        <f>'2028'!R\Max</f>
        <v>0.41558368543655272</v>
      </c>
    </row>
    <row r="47" spans="1:84" s="6" customFormat="1" ht="11.25" x14ac:dyDescent="0.2">
      <c r="A47" s="11">
        <v>43133</v>
      </c>
      <c r="B47" s="379">
        <f>'2022'!Maxi_hp</f>
        <v>29.977059055663016</v>
      </c>
      <c r="C47" s="13">
        <f>'2022'!An_max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34.131481268004116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34.177229305569611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33.905301294425904</v>
      </c>
      <c r="AZ47" s="735">
        <f t="shared" si="26"/>
        <v>34.041265299997761</v>
      </c>
      <c r="BA47" s="633">
        <f t="shared" si="21"/>
        <v>0.87828180735198325</v>
      </c>
      <c r="BC47" s="11">
        <v>43133</v>
      </c>
      <c r="BD47" s="289">
        <f>[2]!FeuilCaduc*(1-Persistant)+Persistant</f>
        <v>0.50009726250221709</v>
      </c>
      <c r="BE47" s="290">
        <f>[2]!CroissVégét</f>
        <v>3.7835546392683654E-3</v>
      </c>
      <c r="BF47" s="804">
        <f>1+[2]!Salcycl*Ksac</f>
        <v>1.0000097262502217</v>
      </c>
      <c r="BH47" s="1036">
        <f t="shared" si="22"/>
        <v>1.663815635037489E-2</v>
      </c>
      <c r="BI47" s="11">
        <v>44229</v>
      </c>
      <c r="BJ47" s="715">
        <v>2.2657014476869658E-3</v>
      </c>
      <c r="BK47" s="715">
        <v>3.2662113201732648E-3</v>
      </c>
      <c r="BL47" s="715">
        <v>6.1600314270999976E-3</v>
      </c>
      <c r="BM47" s="715">
        <v>1.1609395637499471E-2</v>
      </c>
      <c r="BN47" s="715">
        <v>2.1684800144206217E-2</v>
      </c>
      <c r="BO47" s="716">
        <v>3.9060141312506597E-2</v>
      </c>
      <c r="BP47" s="715">
        <v>6.6917652466791183E-2</v>
      </c>
      <c r="BQ47" s="715">
        <v>0.10311666934302222</v>
      </c>
      <c r="BR47" s="715">
        <v>0.15123850601714692</v>
      </c>
      <c r="BS47" s="715">
        <v>0.20425446792750671</v>
      </c>
      <c r="BT47" s="715">
        <v>0.26205688634343877</v>
      </c>
      <c r="BW47" s="1190">
        <f>'2019'!R\Max</f>
        <v>0</v>
      </c>
      <c r="BX47" s="1190">
        <f>'2020'!R\Max</f>
        <v>0.87248637006037688</v>
      </c>
      <c r="BY47" s="1190">
        <f>'2021'!R\Max</f>
        <v>0.87828180735198325</v>
      </c>
      <c r="BZ47" s="1190">
        <f>'2022'!R\Max</f>
        <v>0.17337714634251239</v>
      </c>
      <c r="CA47" s="1190">
        <f>'2023'!R\Max</f>
        <v>0.17318573427661155</v>
      </c>
      <c r="CB47" s="1190">
        <f>'2024'!R\Max</f>
        <v>0.17299420712965421</v>
      </c>
      <c r="CC47" s="1190">
        <f>'2025'!R\Max</f>
        <v>0.17274547964766626</v>
      </c>
      <c r="CD47" s="1190">
        <f>'2026'!R\Max</f>
        <v>0.17249658770151569</v>
      </c>
      <c r="CE47" s="1191">
        <f>'2027'!R\Max</f>
        <v>0.17361962735080144</v>
      </c>
      <c r="CF47" s="1193">
        <f>'2028'!R\Max</f>
        <v>0.17350264544287641</v>
      </c>
    </row>
    <row r="48" spans="1:84" s="6" customFormat="1" ht="11.25" x14ac:dyDescent="0.2">
      <c r="A48" s="11">
        <v>43134</v>
      </c>
      <c r="B48" s="379">
        <f>'2022'!Maxi_hp</f>
        <v>27.588451395254136</v>
      </c>
      <c r="C48" s="13">
        <f>'2022'!An_max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34.503060058185035</v>
      </c>
      <c r="L48" s="744" t="s">
        <v>211</v>
      </c>
      <c r="M48" s="769">
        <f t="shared" ref="M48:AA48" si="51">M44</f>
        <v>241.964</v>
      </c>
      <c r="N48" s="732">
        <f t="shared" si="51"/>
        <v>302.20400000000001</v>
      </c>
      <c r="O48" s="732">
        <f t="shared" si="51"/>
        <v>404.61200000000002</v>
      </c>
      <c r="P48" s="732">
        <f t="shared" si="51"/>
        <v>512.04</v>
      </c>
      <c r="Q48" s="732">
        <f t="shared" si="51"/>
        <v>600.39200000000005</v>
      </c>
      <c r="R48" s="732">
        <f t="shared" si="51"/>
        <v>637.54</v>
      </c>
      <c r="S48" s="732">
        <f t="shared" si="51"/>
        <v>636.53600000000006</v>
      </c>
      <c r="T48" s="732">
        <f t="shared" si="51"/>
        <v>619.46799999999996</v>
      </c>
      <c r="U48" s="732">
        <f t="shared" si="51"/>
        <v>588.34400000000005</v>
      </c>
      <c r="V48" s="732">
        <f t="shared" si="51"/>
        <v>535.13199999999995</v>
      </c>
      <c r="W48" s="732">
        <f t="shared" si="51"/>
        <v>453.80799999999999</v>
      </c>
      <c r="X48" s="732">
        <f t="shared" si="51"/>
        <v>353.40800000000002</v>
      </c>
      <c r="Y48" s="732">
        <f t="shared" si="51"/>
        <v>271.08</v>
      </c>
      <c r="Z48" s="767">
        <f t="shared" si="51"/>
        <v>241.964</v>
      </c>
      <c r="AA48" s="765">
        <f t="shared" si="51"/>
        <v>302.20400000000001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34.535488865391486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34.278813930481135</v>
      </c>
      <c r="AZ48" s="735">
        <f t="shared" si="26"/>
        <v>34.40715139793631</v>
      </c>
      <c r="BA48" s="633">
        <f t="shared" si="21"/>
        <v>0.79959433594381812</v>
      </c>
      <c r="BC48" s="11">
        <v>43134</v>
      </c>
      <c r="BD48" s="289">
        <f>[2]!FeuilCaduc*(1-Persistant)+Persistant</f>
        <v>0.50015610518187903</v>
      </c>
      <c r="BE48" s="290">
        <f>[2]!CroissVégét</f>
        <v>3.9995273885343324E-3</v>
      </c>
      <c r="BF48" s="804">
        <f>1+[2]!Salcycl*Ksac</f>
        <v>1.0000156105181879</v>
      </c>
      <c r="BH48" s="1036">
        <f t="shared" si="22"/>
        <v>1.6342903415142475E-2</v>
      </c>
      <c r="BI48" s="11">
        <v>44230</v>
      </c>
      <c r="BJ48" s="715">
        <v>2.1985468886790253E-3</v>
      </c>
      <c r="BK48" s="715">
        <v>3.1760331187559638E-3</v>
      </c>
      <c r="BL48" s="715">
        <v>6.0534740983134473E-3</v>
      </c>
      <c r="BM48" s="715">
        <v>1.1426949457190026E-2</v>
      </c>
      <c r="BN48" s="715">
        <v>2.1276339295108138E-2</v>
      </c>
      <c r="BO48" s="716">
        <v>3.8430329266409026E-2</v>
      </c>
      <c r="BP48" s="715">
        <v>6.5770426213554958E-2</v>
      </c>
      <c r="BQ48" s="715">
        <v>0.10150404118671391</v>
      </c>
      <c r="BR48" s="715">
        <v>0.1490849733800616</v>
      </c>
      <c r="BS48" s="715">
        <v>0.20222932851153363</v>
      </c>
      <c r="BT48" s="715">
        <v>0.26057243904340899</v>
      </c>
      <c r="BW48" s="1190">
        <f>'2019'!R\Max</f>
        <v>0</v>
      </c>
      <c r="BX48" s="1190">
        <f>'2020'!R\Max</f>
        <v>0.79959433594381812</v>
      </c>
      <c r="BY48" s="1190">
        <f>'2021'!R\Max</f>
        <v>0.65219769851587939</v>
      </c>
      <c r="BZ48" s="1190">
        <f>'2022'!R\Max</f>
        <v>0.33665160931346699</v>
      </c>
      <c r="CA48" s="1190">
        <f>'2023'!R\Max</f>
        <v>0.33630987295957793</v>
      </c>
      <c r="CB48" s="1190">
        <f>'2024'!R\Max</f>
        <v>0.33596786437489401</v>
      </c>
      <c r="CC48" s="1190">
        <f>'2025'!R\Max</f>
        <v>0.33552110413017172</v>
      </c>
      <c r="CD48" s="1190">
        <f>'2026'!R\Max</f>
        <v>0.33507394801936247</v>
      </c>
      <c r="CE48" s="1191">
        <f>'2027'!R\Max</f>
        <v>0.33708702304379518</v>
      </c>
      <c r="CF48" s="1193">
        <f>'2028'!R\Max</f>
        <v>0.33687700244741509</v>
      </c>
    </row>
    <row r="49" spans="1:84" s="6" customFormat="1" ht="11.25" x14ac:dyDescent="0.2">
      <c r="A49" s="11">
        <v>43135</v>
      </c>
      <c r="B49" s="379">
        <f>'2022'!Maxi_hp</f>
        <v>19.347515119040757</v>
      </c>
      <c r="C49" s="13">
        <f>'2022'!An_max</f>
        <v>2020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34.873028935718217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34.890136414633261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34.656469880589952</v>
      </c>
      <c r="AZ49" s="735">
        <f t="shared" si="26"/>
        <v>34.773303147611607</v>
      </c>
      <c r="BA49" s="633">
        <f t="shared" si="21"/>
        <v>0.5547988147144951</v>
      </c>
      <c r="BC49" s="11">
        <v>43135</v>
      </c>
      <c r="BD49" s="289">
        <f>[2]!FeuilCaduc*(1-Persistant)+Persistant</f>
        <v>0.50022836491362632</v>
      </c>
      <c r="BE49" s="290">
        <f>[2]!CroissVégét</f>
        <v>4.2244610672662677E-3</v>
      </c>
      <c r="BF49" s="804">
        <f>1+[2]!Salcycl*Ksac</f>
        <v>1.0000228364913626</v>
      </c>
      <c r="BH49" s="1036">
        <f t="shared" si="22"/>
        <v>1.6033315366083229E-2</v>
      </c>
      <c r="BI49" s="11">
        <v>44231</v>
      </c>
      <c r="BJ49" s="715">
        <v>2.1233308610265102E-3</v>
      </c>
      <c r="BK49" s="715">
        <v>3.0743659470693035E-3</v>
      </c>
      <c r="BL49" s="715">
        <v>5.928193079004729E-3</v>
      </c>
      <c r="BM49" s="715">
        <v>1.1226110133782963E-2</v>
      </c>
      <c r="BN49" s="715">
        <v>2.0857615792458012E-2</v>
      </c>
      <c r="BO49" s="716">
        <v>3.779990560732506E-2</v>
      </c>
      <c r="BP49" s="715">
        <v>6.4623359019483378E-2</v>
      </c>
      <c r="BQ49" s="715">
        <v>9.9890085318994307E-2</v>
      </c>
      <c r="BR49" s="715">
        <v>0.14687865093073021</v>
      </c>
      <c r="BS49" s="715">
        <v>0.20009991691426268</v>
      </c>
      <c r="BT49" s="715">
        <v>0.25892541016081971</v>
      </c>
      <c r="BW49" s="1190">
        <f>'2019'!R\Max</f>
        <v>0</v>
      </c>
      <c r="BX49" s="1190">
        <f>'2020'!R\Max</f>
        <v>0.5547988147144951</v>
      </c>
      <c r="BY49" s="1190">
        <f>'2021'!R\Max</f>
        <v>0.50692741565077071</v>
      </c>
      <c r="BZ49" s="1190">
        <f>'2022'!R\Max</f>
        <v>0.32807564436446934</v>
      </c>
      <c r="CA49" s="1190">
        <f>'2023'!R\Max</f>
        <v>0.3277481592323781</v>
      </c>
      <c r="CB49" s="1190">
        <f>'2024'!R\Max</f>
        <v>0.32742039382997101</v>
      </c>
      <c r="CC49" s="1190">
        <f>'2025'!R\Max</f>
        <v>0.32698974661575897</v>
      </c>
      <c r="CD49" s="1190">
        <f>'2026'!R\Max</f>
        <v>0.32655870078772031</v>
      </c>
      <c r="CE49" s="1191">
        <f>'2027'!R\Max</f>
        <v>0.32849568822683883</v>
      </c>
      <c r="CF49" s="1193">
        <f>'2028'!R\Max</f>
        <v>0.32829310877114132</v>
      </c>
    </row>
    <row r="50" spans="1:84" s="6" customFormat="1" ht="11.25" x14ac:dyDescent="0.2">
      <c r="A50" s="11">
        <v>43136</v>
      </c>
      <c r="B50" s="379">
        <f>'2022'!Maxi_hp</f>
        <v>35.681802082367859</v>
      </c>
      <c r="C50" s="13">
        <f>'2022'!An_max</f>
        <v>2020</v>
      </c>
      <c r="D50" s="1045">
        <f t="shared" si="7"/>
        <v>1.0125254560803041</v>
      </c>
      <c r="E50" s="1040">
        <f>P$13/10</f>
        <v>35.240400000000001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35.240399999916555</v>
      </c>
      <c r="L50" s="744" t="s">
        <v>213</v>
      </c>
      <c r="M50" s="772">
        <f t="shared" ref="M50:AA50" si="53">N44</f>
        <v>302.20400000000001</v>
      </c>
      <c r="N50" s="732">
        <f t="shared" si="53"/>
        <v>404.61200000000002</v>
      </c>
      <c r="O50" s="732">
        <f t="shared" si="53"/>
        <v>512.04</v>
      </c>
      <c r="P50" s="732">
        <f t="shared" si="53"/>
        <v>600.39200000000005</v>
      </c>
      <c r="Q50" s="732">
        <f t="shared" si="53"/>
        <v>637.54</v>
      </c>
      <c r="R50" s="732">
        <f t="shared" si="53"/>
        <v>636.53600000000006</v>
      </c>
      <c r="S50" s="732">
        <f t="shared" si="53"/>
        <v>619.46799999999996</v>
      </c>
      <c r="T50" s="732">
        <f t="shared" si="53"/>
        <v>588.34400000000005</v>
      </c>
      <c r="U50" s="732">
        <f t="shared" si="53"/>
        <v>535.13199999999995</v>
      </c>
      <c r="V50" s="732">
        <f t="shared" si="53"/>
        <v>453.80799999999999</v>
      </c>
      <c r="W50" s="732">
        <f t="shared" si="53"/>
        <v>353.40800000000002</v>
      </c>
      <c r="X50" s="732">
        <f t="shared" si="53"/>
        <v>271.08</v>
      </c>
      <c r="Y50" s="732">
        <f t="shared" si="53"/>
        <v>241.964</v>
      </c>
      <c r="Z50" s="778">
        <f t="shared" si="53"/>
        <v>302.20400000000001</v>
      </c>
      <c r="AA50" s="765">
        <f t="shared" si="53"/>
        <v>404.61200000000002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35.240399999544024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35.037743693357335</v>
      </c>
      <c r="AZ50" s="735">
        <f t="shared" si="26"/>
        <v>35.139071846450676</v>
      </c>
      <c r="BA50" s="633">
        <f t="shared" si="21"/>
        <v>1.0125254560803041</v>
      </c>
      <c r="BC50" s="11">
        <v>43136</v>
      </c>
      <c r="BD50" s="289">
        <f>[2]!FeuilCaduc*(1-Persistant)+Persistant</f>
        <v>0.50031329188230567</v>
      </c>
      <c r="BE50" s="290">
        <f>[2]!CroissVégét</f>
        <v>4.4587231488279668E-3</v>
      </c>
      <c r="BF50" s="804">
        <f>1+[2]!Salcycl*Ksac</f>
        <v>1.0000313291882306</v>
      </c>
      <c r="BH50" s="1036">
        <f t="shared" si="22"/>
        <v>1.5709422438159669E-2</v>
      </c>
      <c r="BI50" s="11">
        <v>44232</v>
      </c>
      <c r="BJ50" s="715">
        <v>2.0400593829468633E-3</v>
      </c>
      <c r="BK50" s="715">
        <v>2.9612183088079465E-3</v>
      </c>
      <c r="BL50" s="715">
        <v>5.784202396928298E-3</v>
      </c>
      <c r="BM50" s="715">
        <v>1.1006900063236664E-2</v>
      </c>
      <c r="BN50" s="715">
        <v>2.0428667738099249E-2</v>
      </c>
      <c r="BO50" s="716">
        <v>3.7168932818700449E-2</v>
      </c>
      <c r="BP50" s="715">
        <v>6.3476559147906439E-2</v>
      </c>
      <c r="BQ50" s="715">
        <v>9.8274965547542517E-2</v>
      </c>
      <c r="BR50" s="715">
        <v>0.14461978530379244</v>
      </c>
      <c r="BS50" s="715">
        <v>0.19786655421576127</v>
      </c>
      <c r="BT50" s="715">
        <v>0.25711619373718114</v>
      </c>
      <c r="BW50" s="1190">
        <f>'2019'!R\Max</f>
        <v>0</v>
      </c>
      <c r="BX50" s="1190">
        <f>'2020'!R\Max</f>
        <v>1.0125254560803041</v>
      </c>
      <c r="BY50" s="1190">
        <f>'2021'!R\Max</f>
        <v>0.44104448335167623</v>
      </c>
      <c r="BZ50" s="1190">
        <f>'2022'!R\Max</f>
        <v>0.28527599676691467</v>
      </c>
      <c r="CA50" s="1190">
        <f>'2023'!R\Max</f>
        <v>0.28498784050284448</v>
      </c>
      <c r="CB50" s="1190">
        <f>'2024'!R\Max</f>
        <v>0.28469943471121406</v>
      </c>
      <c r="CC50" s="1190">
        <f>'2025'!R\Max</f>
        <v>0.28431827608222049</v>
      </c>
      <c r="CD50" s="1190">
        <f>'2026'!R\Max</f>
        <v>0.28393677816575552</v>
      </c>
      <c r="CE50" s="1191">
        <f>'2027'!R\Max</f>
        <v>0.28564837411562127</v>
      </c>
      <c r="CF50" s="1193">
        <f>'2028'!R\Max</f>
        <v>0.28546880343761122</v>
      </c>
    </row>
    <row r="51" spans="1:84" s="6" customFormat="1" ht="11.25" x14ac:dyDescent="0.2">
      <c r="A51" s="11">
        <v>43137</v>
      </c>
      <c r="B51" s="379">
        <f>'2022'!Maxi_hp</f>
        <v>37.076232391062831</v>
      </c>
      <c r="C51" s="13">
        <f>'2022'!An_max</f>
        <v>2020</v>
      </c>
      <c r="D51" s="1045">
        <f t="shared" si="7"/>
        <v>1.041265590460617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35.606892929844818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35.590288419840263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35.422109917029076</v>
      </c>
      <c r="AZ51" s="735">
        <f t="shared" si="26"/>
        <v>35.506199168434669</v>
      </c>
      <c r="BA51" s="633">
        <f t="shared" si="21"/>
        <v>1.041265590460617</v>
      </c>
      <c r="BC51" s="11">
        <v>43137</v>
      </c>
      <c r="BD51" s="289">
        <f>[2]!FeuilCaduc*(1-Persistant)+Persistant</f>
        <v>0.5004100493892133</v>
      </c>
      <c r="BE51" s="290">
        <f>[2]!CroissVégét</f>
        <v>4.7026958080162657E-3</v>
      </c>
      <c r="BF51" s="804">
        <f>1+[2]!Salcycl*Ksac</f>
        <v>1.0000410049389212</v>
      </c>
      <c r="BH51" s="1036">
        <f t="shared" si="22"/>
        <v>1.5371253903102879E-2</v>
      </c>
      <c r="BI51" s="11">
        <v>44233</v>
      </c>
      <c r="BJ51" s="715">
        <v>1.948738425206791E-3</v>
      </c>
      <c r="BK51" s="715">
        <v>2.8365986676647248E-3</v>
      </c>
      <c r="BL51" s="715">
        <v>5.6215162165319894E-3</v>
      </c>
      <c r="BM51" s="715">
        <v>1.0769341387086601E-2</v>
      </c>
      <c r="BN51" s="715">
        <v>1.9989531559314679E-2</v>
      </c>
      <c r="BO51" s="716">
        <v>3.6537470258090156E-2</v>
      </c>
      <c r="BP51" s="715">
        <v>6.2330129122804341E-2</v>
      </c>
      <c r="BQ51" s="715">
        <v>9.6658837667641995E-2</v>
      </c>
      <c r="BR51" s="715">
        <v>0.14230861425723887</v>
      </c>
      <c r="BS51" s="715">
        <v>0.19552955510009698</v>
      </c>
      <c r="BT51" s="715">
        <v>0.25514518220271104</v>
      </c>
      <c r="BW51" s="1190">
        <f>'2019'!R\Max</f>
        <v>0</v>
      </c>
      <c r="BX51" s="1190">
        <f>'2020'!R\Max</f>
        <v>1.041265590460617</v>
      </c>
      <c r="BY51" s="1190">
        <f>'2021'!R\Max</f>
        <v>0.29317998235220483</v>
      </c>
      <c r="BZ51" s="1190">
        <f>'2022'!R\Max</f>
        <v>0.65835647388341834</v>
      </c>
      <c r="CA51" s="1190">
        <f>'2023'!R\Max</f>
        <v>0.65804154957887318</v>
      </c>
      <c r="CB51" s="1190">
        <f>'2024'!R\Max</f>
        <v>0.65772600314005725</v>
      </c>
      <c r="CC51" s="1190">
        <f>'2025'!R\Max</f>
        <v>0.65730594126424791</v>
      </c>
      <c r="CD51" s="1190">
        <f>'2026'!R\Max</f>
        <v>0.65688491031081564</v>
      </c>
      <c r="CE51" s="1191">
        <f>'2027'!R\Max</f>
        <v>0.65876631367507832</v>
      </c>
      <c r="CF51" s="1193">
        <f>'2028'!R\Max</f>
        <v>0.65856877098909861</v>
      </c>
    </row>
    <row r="52" spans="1:84" s="6" customFormat="1" ht="11.25" x14ac:dyDescent="0.2">
      <c r="A52" s="11">
        <v>43138</v>
      </c>
      <c r="B52" s="379">
        <f>'2022'!Maxi_hp</f>
        <v>24.451684563184926</v>
      </c>
      <c r="C52" s="13">
        <f>'2022'!An_max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35.97481282777818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35.944169606265078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35.809043101008442</v>
      </c>
      <c r="AZ52" s="735">
        <f t="shared" si="26"/>
        <v>35.87660635363676</v>
      </c>
      <c r="BA52" s="633">
        <f t="shared" si="21"/>
        <v>0.679689000196949</v>
      </c>
      <c r="BC52" s="11">
        <v>43138</v>
      </c>
      <c r="BD52" s="289">
        <f>[2]!FeuilCaduc*(1-Persistant)+Persistant</f>
        <v>0.50051772300163511</v>
      </c>
      <c r="BE52" s="290">
        <f>[2]!CroissVégét</f>
        <v>4.9567764778191995E-3</v>
      </c>
      <c r="BF52" s="804">
        <f>1+[2]!Salcycl*Ksac</f>
        <v>1.0000517723001634</v>
      </c>
      <c r="BH52" s="1036">
        <f t="shared" si="22"/>
        <v>1.5017608082826322E-2</v>
      </c>
      <c r="BI52" s="11">
        <v>44234</v>
      </c>
      <c r="BJ52" s="715">
        <v>1.8483389857101068E-3</v>
      </c>
      <c r="BK52" s="715">
        <v>2.6996079353593127E-3</v>
      </c>
      <c r="BL52" s="715">
        <v>5.4391385615450809E-3</v>
      </c>
      <c r="BM52" s="715">
        <v>1.0512363310040643E-2</v>
      </c>
      <c r="BN52" s="715">
        <v>1.9538874229783103E-2</v>
      </c>
      <c r="BO52" s="716">
        <v>3.5887319808403276E-2</v>
      </c>
      <c r="BP52" s="715">
        <v>6.1163476473807148E-2</v>
      </c>
      <c r="BQ52" s="715">
        <v>9.5021575778193756E-2</v>
      </c>
      <c r="BR52" s="715">
        <v>0.13994993230729894</v>
      </c>
      <c r="BS52" s="715">
        <v>0.19307597714044275</v>
      </c>
      <c r="BT52" s="715">
        <v>0.25295076754241314</v>
      </c>
      <c r="BW52" s="1190">
        <f>'2019'!R\Max</f>
        <v>0</v>
      </c>
      <c r="BX52" s="1190">
        <f>'2020'!R\Max</f>
        <v>0.679689000196949</v>
      </c>
      <c r="BY52" s="1190">
        <f>'2021'!R\Max</f>
        <v>0.57913456467555213</v>
      </c>
      <c r="BZ52" s="1190">
        <f>'2022'!R\Max</f>
        <v>0.27441288907125566</v>
      </c>
      <c r="CA52" s="1190">
        <f>'2023'!R\Max</f>
        <v>0.27415192365507079</v>
      </c>
      <c r="CB52" s="1190">
        <f>'2024'!R\Max</f>
        <v>0.27389067637999492</v>
      </c>
      <c r="CC52" s="1190">
        <f>'2025'!R\Max</f>
        <v>0.27354110610737942</v>
      </c>
      <c r="CD52" s="1190">
        <f>'2026'!R\Max</f>
        <v>0.27319117228698298</v>
      </c>
      <c r="CE52" s="1191">
        <f>'2027'!R\Max</f>
        <v>0.27475566166323356</v>
      </c>
      <c r="CF52" s="1193">
        <f>'2028'!R\Max</f>
        <v>0.27459040848421096</v>
      </c>
    </row>
    <row r="53" spans="1:84" s="6" customFormat="1" ht="11.25" x14ac:dyDescent="0.2">
      <c r="A53" s="11">
        <v>43139</v>
      </c>
      <c r="B53" s="379">
        <f>'2022'!Maxi_hp</f>
        <v>36.669864928426442</v>
      </c>
      <c r="C53" s="13">
        <f>'2022'!An_max</f>
        <v>2022</v>
      </c>
      <c r="D53" s="1045">
        <f t="shared" si="7"/>
        <v>1.0089647411935272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36.34404992690709</v>
      </c>
      <c r="L53" s="745" t="s">
        <v>216</v>
      </c>
      <c r="M53" s="729">
        <f t="shared" ref="M53:AA53" si="56">(y.1ld-y.2ld-b.ld*(x.1ld-x.2ld))/D2x12Ld</f>
        <v>5.4685938985391418E-2</v>
      </c>
      <c r="N53" s="729">
        <f t="shared" si="56"/>
        <v>2.7722582317860317E-2</v>
      </c>
      <c r="O53" s="729">
        <f t="shared" si="56"/>
        <v>3.2015306122444879E-3</v>
      </c>
      <c r="P53" s="729">
        <f t="shared" si="56"/>
        <v>-1.216581632653228E-2</v>
      </c>
      <c r="Q53" s="729">
        <f t="shared" si="56"/>
        <v>-3.2655612244899414E-2</v>
      </c>
      <c r="R53" s="729">
        <f t="shared" si="56"/>
        <v>-2.4331632653063106E-2</v>
      </c>
      <c r="S53" s="729">
        <f t="shared" si="56"/>
        <v>-1.0244897959182507E-2</v>
      </c>
      <c r="T53" s="729">
        <f t="shared" si="56"/>
        <v>-8.9642857142870989E-3</v>
      </c>
      <c r="U53" s="729">
        <f t="shared" si="56"/>
        <v>-1.4086734693879093E-2</v>
      </c>
      <c r="V53" s="729">
        <f t="shared" si="56"/>
        <v>-1.792857142857E-2</v>
      </c>
      <c r="W53" s="729">
        <f t="shared" si="56"/>
        <v>-1.2165816326530274E-2</v>
      </c>
      <c r="X53" s="729">
        <f t="shared" si="56"/>
        <v>1.1525510204080876E-2</v>
      </c>
      <c r="Y53" s="729">
        <f t="shared" si="56"/>
        <v>3.3936224489793186E-2</v>
      </c>
      <c r="Z53" s="729">
        <f t="shared" si="56"/>
        <v>5.4685938985387442E-2</v>
      </c>
      <c r="AA53" s="729">
        <f t="shared" si="56"/>
        <v>2.7722582317866794E-2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36.301810304435534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36.198017794223105</v>
      </c>
      <c r="AZ53" s="735">
        <f t="shared" si="26"/>
        <v>36.24991404932932</v>
      </c>
      <c r="BA53" s="633">
        <f t="shared" si="21"/>
        <v>1.0089647411935272</v>
      </c>
      <c r="BC53" s="11">
        <v>43139</v>
      </c>
      <c r="BD53" s="289">
        <f>[2]!FeuilCaduc*(1-Persistant)+Persistant</f>
        <v>0.50063533104971769</v>
      </c>
      <c r="BE53" s="290">
        <f>[2]!CroissVégét</f>
        <v>5.2213784245517241E-3</v>
      </c>
      <c r="BF53" s="804">
        <f>1+[2]!Salcycl*Ksac</f>
        <v>1.0000635331049719</v>
      </c>
      <c r="BH53" s="1036">
        <f t="shared" si="22"/>
        <v>1.4645594029055464E-2</v>
      </c>
      <c r="BI53" s="11">
        <v>44235</v>
      </c>
      <c r="BJ53" s="715">
        <v>1.7470384988443224E-3</v>
      </c>
      <c r="BK53" s="715">
        <v>2.5619510047102203E-3</v>
      </c>
      <c r="BL53" s="715">
        <v>5.243700796526328E-3</v>
      </c>
      <c r="BM53" s="715">
        <v>1.023638643306961E-2</v>
      </c>
      <c r="BN53" s="715">
        <v>1.9070481475583528E-2</v>
      </c>
      <c r="BO53" s="716">
        <v>3.5214491605288722E-2</v>
      </c>
      <c r="BP53" s="715">
        <v>5.9993398423948276E-2</v>
      </c>
      <c r="BQ53" s="715">
        <v>9.3381581331322475E-2</v>
      </c>
      <c r="BR53" s="715">
        <v>0.13760279030324832</v>
      </c>
      <c r="BS53" s="715">
        <v>0.19057182732641806</v>
      </c>
      <c r="BT53" s="715">
        <v>0.25060925743698359</v>
      </c>
      <c r="BW53" s="1190">
        <f>'2019'!R\Max</f>
        <v>0</v>
      </c>
      <c r="BX53" s="1190">
        <f>'2020'!R\Max</f>
        <v>0.81495026522283853</v>
      </c>
      <c r="BY53" s="1190">
        <f>'2021'!R\Max</f>
        <v>0.13226014026488769</v>
      </c>
      <c r="BZ53" s="1190">
        <f>'2022'!R\Max</f>
        <v>1.0089647411935272</v>
      </c>
      <c r="CA53" s="1190">
        <f>'2023'!R\Max</f>
        <v>1.0089647411935272</v>
      </c>
      <c r="CB53" s="1190">
        <f>'2024'!R\Max</f>
        <v>1.0089647411935272</v>
      </c>
      <c r="CC53" s="1190">
        <f>'2025'!R\Max</f>
        <v>1.008964741193527</v>
      </c>
      <c r="CD53" s="1190">
        <f>'2026'!R\Max</f>
        <v>1.008964741193527</v>
      </c>
      <c r="CE53" s="1191">
        <f>'2027'!R\Max</f>
        <v>1.0089647411935272</v>
      </c>
      <c r="CF53" s="1193">
        <f>'2028'!R\Max</f>
        <v>1.0089647411935272</v>
      </c>
    </row>
    <row r="54" spans="1:84" s="6" customFormat="1" ht="11.25" x14ac:dyDescent="0.2">
      <c r="A54" s="11">
        <v>43140</v>
      </c>
      <c r="B54" s="379">
        <f>'2022'!Maxi_hp</f>
        <v>36.984153600859251</v>
      </c>
      <c r="C54" s="13">
        <f>'2022'!An_max</f>
        <v>2022</v>
      </c>
      <c r="D54" s="1045">
        <f t="shared" si="7"/>
        <v>1.0073447597282734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36.71449446050184</v>
      </c>
      <c r="L54" s="745" t="s">
        <v>217</v>
      </c>
      <c r="M54" s="729">
        <f t="shared" ref="M54:AA54" si="57">(y.2ld-y.3ld-(y.1ld-y.2ld)*D2x23Ld/D2x12Ld)/(x.2ld-x.3ld)/(1-(x.2ld+x.3ld)/(x.1ld+x.2ld))</f>
        <v>-4712.670988246211</v>
      </c>
      <c r="N54" s="729">
        <f t="shared" si="57"/>
        <v>-2388.0251931550165</v>
      </c>
      <c r="O54" s="729">
        <f t="shared" si="57"/>
        <v>-272.54502040812787</v>
      </c>
      <c r="P54" s="729">
        <f t="shared" si="57"/>
        <v>1054.087306122593</v>
      </c>
      <c r="Q54" s="729">
        <f t="shared" si="57"/>
        <v>2824.0778367348198</v>
      </c>
      <c r="R54" s="729">
        <f t="shared" si="57"/>
        <v>2104.5530408164891</v>
      </c>
      <c r="S54" s="729">
        <f t="shared" si="57"/>
        <v>886.106836734593</v>
      </c>
      <c r="T54" s="729">
        <f t="shared" si="57"/>
        <v>775.26728571440572</v>
      </c>
      <c r="U54" s="729">
        <f t="shared" si="57"/>
        <v>1218.912346938909</v>
      </c>
      <c r="V54" s="729">
        <f t="shared" si="57"/>
        <v>1551.8612857141618</v>
      </c>
      <c r="W54" s="729">
        <f t="shared" si="57"/>
        <v>1052.1151632652768</v>
      </c>
      <c r="X54" s="729">
        <f t="shared" si="57"/>
        <v>-1003.7233877550366</v>
      </c>
      <c r="Y54" s="729">
        <f t="shared" si="57"/>
        <v>-2949.690530612007</v>
      </c>
      <c r="Z54" s="729">
        <f t="shared" si="57"/>
        <v>-4752.5917237052017</v>
      </c>
      <c r="AA54" s="729">
        <f t="shared" si="57"/>
        <v>-2408.2626782476182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36.662977259004094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36.588508545228152</v>
      </c>
      <c r="AZ54" s="735">
        <f t="shared" si="26"/>
        <v>36.625742902116123</v>
      </c>
      <c r="BA54" s="633">
        <f t="shared" si="21"/>
        <v>1.0073447597282734</v>
      </c>
      <c r="BC54" s="11">
        <v>43140</v>
      </c>
      <c r="BD54" s="289">
        <f>[2]!FeuilCaduc*(1-Persistant)+Persistant</f>
        <v>0.50076183633210347</v>
      </c>
      <c r="BE54" s="290">
        <f>[2]!CroissVégét</f>
        <v>5.4969313417339892E-3</v>
      </c>
      <c r="BF54" s="804">
        <f>1+[2]!Salcycl*Ksac</f>
        <v>1.0000761836332104</v>
      </c>
      <c r="BH54" s="1036">
        <f t="shared" si="22"/>
        <v>1.4255238162112521E-2</v>
      </c>
      <c r="BI54" s="11">
        <v>44236</v>
      </c>
      <c r="BJ54" s="715">
        <v>1.6448403065454475E-3</v>
      </c>
      <c r="BK54" s="715">
        <v>2.4236325084235266E-3</v>
      </c>
      <c r="BL54" s="715">
        <v>5.0352146163844926E-3</v>
      </c>
      <c r="BM54" s="715">
        <v>9.9414309507258689E-3</v>
      </c>
      <c r="BN54" s="715">
        <v>1.8584385964947856E-2</v>
      </c>
      <c r="BO54" s="716">
        <v>3.4519041625522343E-2</v>
      </c>
      <c r="BP54" s="715">
        <v>5.8819981514414449E-2</v>
      </c>
      <c r="BQ54" s="715">
        <v>9.1738986702530279E-2</v>
      </c>
      <c r="BR54" s="715">
        <v>0.13526737867323022</v>
      </c>
      <c r="BS54" s="715">
        <v>0.18801737964105544</v>
      </c>
      <c r="BT54" s="715">
        <v>0.24812102416190779</v>
      </c>
      <c r="BW54" s="1190">
        <f>'2019'!R\Max</f>
        <v>0</v>
      </c>
      <c r="BX54" s="1190">
        <f>'2020'!R\Max</f>
        <v>0.82416624250162418</v>
      </c>
      <c r="BY54" s="1190">
        <f>'2021'!R\Max</f>
        <v>0.37155764892116411</v>
      </c>
      <c r="BZ54" s="1190">
        <f>'2022'!R\Max</f>
        <v>1.0073447597282734</v>
      </c>
      <c r="CA54" s="1190">
        <f>'2023'!R\Max</f>
        <v>1.0073447597282734</v>
      </c>
      <c r="CB54" s="1190">
        <f>'2024'!R\Max</f>
        <v>1.0073447597282732</v>
      </c>
      <c r="CC54" s="1190">
        <f>'2025'!R\Max</f>
        <v>1.0073447597282734</v>
      </c>
      <c r="CD54" s="1190">
        <f>'2026'!R\Max</f>
        <v>1.0073447597282734</v>
      </c>
      <c r="CE54" s="1191">
        <f>'2027'!R\Max</f>
        <v>1.0073447597282732</v>
      </c>
      <c r="CF54" s="1193">
        <f>'2028'!R\Max</f>
        <v>1.0073447597282732</v>
      </c>
    </row>
    <row r="55" spans="1:84" s="6" customFormat="1" ht="11.25" x14ac:dyDescent="0.2">
      <c r="A55" s="11">
        <v>43141</v>
      </c>
      <c r="B55" s="379">
        <f>'2022'!Maxi_hp</f>
        <v>34.485478690767295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37.086036661626508</v>
      </c>
      <c r="L55" s="745" t="s">
        <v>218</v>
      </c>
      <c r="M55" s="729">
        <f t="shared" ref="M55:AA55" si="58">(y.1ld+y.2ld+y.3ld-a.ld*(x.3ld*x.3ld+x.2ld*x.2ld+x.1ld*x.1ld)-b.ld*(x.3ld+x.2ld+x.1ld))/3</f>
        <v>101531220.55781381</v>
      </c>
      <c r="N55" s="729">
        <f t="shared" si="58"/>
        <v>51426391.920912683</v>
      </c>
      <c r="O55" s="729">
        <f t="shared" si="58"/>
        <v>5799720.3612339282</v>
      </c>
      <c r="P55" s="729">
        <f t="shared" si="58"/>
        <v>-22831655.497952089</v>
      </c>
      <c r="Q55" s="729">
        <f t="shared" si="58"/>
        <v>-61056366.981053747</v>
      </c>
      <c r="R55" s="729">
        <f t="shared" si="58"/>
        <v>-45507437.772758611</v>
      </c>
      <c r="S55" s="729">
        <f t="shared" si="58"/>
        <v>-19159759.816691697</v>
      </c>
      <c r="T55" s="729">
        <f t="shared" si="58"/>
        <v>-16761413.862716885</v>
      </c>
      <c r="U55" s="729">
        <f t="shared" si="58"/>
        <v>-26367215.724349827</v>
      </c>
      <c r="V55" s="729">
        <f t="shared" si="58"/>
        <v>-33580886.678854458</v>
      </c>
      <c r="W55" s="729">
        <f t="shared" si="58"/>
        <v>-22746391.873662625</v>
      </c>
      <c r="X55" s="729">
        <f t="shared" si="58"/>
        <v>21852965.008672051</v>
      </c>
      <c r="Y55" s="729">
        <f t="shared" si="58"/>
        <v>64096015.353311144</v>
      </c>
      <c r="Z55" s="729">
        <f t="shared" si="58"/>
        <v>103258631.00273754</v>
      </c>
      <c r="AA55" s="729">
        <f t="shared" si="58"/>
        <v>52301714.457455814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37.027437217240887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36.979989902944574</v>
      </c>
      <c r="AZ55" s="735">
        <f t="shared" si="26"/>
        <v>37.003713560092734</v>
      </c>
      <c r="BA55" s="633">
        <f t="shared" si="21"/>
        <v>0.92987770587116814</v>
      </c>
      <c r="BC55" s="11">
        <v>43141</v>
      </c>
      <c r="BD55" s="289">
        <f>[2]!FeuilCaduc*(1-Persistant)+Persistant</f>
        <v>0.50089615888213179</v>
      </c>
      <c r="BE55" s="290">
        <f>[2]!CroissVégét</f>
        <v>5.7838819630590035E-3</v>
      </c>
      <c r="BF55" s="804">
        <f>1+[2]!Salcycl*Ksac</f>
        <v>1.0000896158882131</v>
      </c>
      <c r="BH55" s="1036">
        <f t="shared" si="22"/>
        <v>1.3846565244794726E-2</v>
      </c>
      <c r="BI55" s="11">
        <v>44237</v>
      </c>
      <c r="BJ55" s="715">
        <v>1.5417472544990423E-3</v>
      </c>
      <c r="BK55" s="715">
        <v>2.2846563989315327E-3</v>
      </c>
      <c r="BL55" s="715">
        <v>4.8136908809090426E-3</v>
      </c>
      <c r="BM55" s="715">
        <v>9.6275158853732241E-3</v>
      </c>
      <c r="BN55" s="715">
        <v>1.8080618221520652E-2</v>
      </c>
      <c r="BO55" s="716">
        <v>3.3801022738261542E-2</v>
      </c>
      <c r="BP55" s="715">
        <v>5.7643306494959336E-2</v>
      </c>
      <c r="BQ55" s="715">
        <v>9.0093916131393045E-2</v>
      </c>
      <c r="BR55" s="715">
        <v>0.13294387603698668</v>
      </c>
      <c r="BS55" s="715">
        <v>0.18541289616131185</v>
      </c>
      <c r="BT55" s="715">
        <v>0.24548642995971465</v>
      </c>
      <c r="BW55" s="1190">
        <f>'2019'!R\Max</f>
        <v>0</v>
      </c>
      <c r="BX55" s="1190">
        <f>'2020'!R\Max</f>
        <v>0.25644977070233993</v>
      </c>
      <c r="BY55" s="1190">
        <f>'2021'!R\Max</f>
        <v>0.41801490456621093</v>
      </c>
      <c r="BZ55" s="1190">
        <f>'2022'!R\Max</f>
        <v>0.92987770587116814</v>
      </c>
      <c r="CA55" s="1190">
        <f>'2023'!R\Max</f>
        <v>0.92979658441195734</v>
      </c>
      <c r="CB55" s="1190">
        <f>'2024'!R\Max</f>
        <v>0.9297152179535455</v>
      </c>
      <c r="CC55" s="1190">
        <f>'2025'!R\Max</f>
        <v>0.92960442868308457</v>
      </c>
      <c r="CD55" s="1190">
        <f>'2026'!R\Max</f>
        <v>0.92949325947496653</v>
      </c>
      <c r="CE55" s="1191">
        <f>'2027'!R\Max</f>
        <v>0.92998612909591893</v>
      </c>
      <c r="CF55" s="1193">
        <f>'2028'!R\Max</f>
        <v>0.92993390252109698</v>
      </c>
    </row>
    <row r="56" spans="1:84" s="6" customFormat="1" ht="11.25" x14ac:dyDescent="0.2">
      <c r="A56" s="11">
        <v>43142</v>
      </c>
      <c r="B56" s="379">
        <f>'2022'!Maxi_hp</f>
        <v>31.561088268066062</v>
      </c>
      <c r="C56" s="13">
        <f>'2022'!An_max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37.458566763637847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37.394956924092753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37.371936416572758</v>
      </c>
      <c r="AZ56" s="735">
        <f t="shared" si="26"/>
        <v>37.383446670332759</v>
      </c>
      <c r="BA56" s="633">
        <f t="shared" si="21"/>
        <v>0.84255995343375911</v>
      </c>
      <c r="BC56" s="11">
        <v>43142</v>
      </c>
      <c r="BD56" s="289">
        <f>[2]!FeuilCaduc*(1-Persistant)+Persistant</f>
        <v>0.50103718963853894</v>
      </c>
      <c r="BE56" s="290">
        <f>[2]!CroissVégét</f>
        <v>6.0826946947814143E-3</v>
      </c>
      <c r="BF56" s="804">
        <f>1+[2]!Salcycl*Ksac</f>
        <v>1.000103718963854</v>
      </c>
      <c r="BH56" s="1036">
        <f t="shared" si="22"/>
        <v>1.341959815261776E-2</v>
      </c>
      <c r="BI56" s="11">
        <v>44238</v>
      </c>
      <c r="BJ56" s="715">
        <v>1.4377616807489061E-3</v>
      </c>
      <c r="BK56" s="715">
        <v>2.1450259399036476E-3</v>
      </c>
      <c r="BL56" s="715">
        <v>4.5791394512966948E-3</v>
      </c>
      <c r="BM56" s="715">
        <v>9.294658849524946E-3</v>
      </c>
      <c r="BN56" s="715">
        <v>1.7559206402536092E-2</v>
      </c>
      <c r="BO56" s="716">
        <v>3.3060484421789403E-2</v>
      </c>
      <c r="BP56" s="715">
        <v>5.6463448281614342E-2</v>
      </c>
      <c r="BQ56" s="715">
        <v>8.8446485688615309E-2</v>
      </c>
      <c r="BR56" s="715">
        <v>0.13063244935212978</v>
      </c>
      <c r="BS56" s="715">
        <v>0.18275862642986648</v>
      </c>
      <c r="BT56" s="715">
        <v>0.24270582520795891</v>
      </c>
      <c r="BW56" s="1190">
        <f>'2019'!R\Max</f>
        <v>0</v>
      </c>
      <c r="BX56" s="1190">
        <f>'2020'!R\Max</f>
        <v>0.2335397137532193</v>
      </c>
      <c r="BY56" s="1190">
        <f>'2021'!R\Max</f>
        <v>0.84255995343375911</v>
      </c>
      <c r="BZ56" s="1190">
        <f>'2022'!R\Max</f>
        <v>0.50956478996182131</v>
      </c>
      <c r="CA56" s="1190">
        <f>'2023'!R\Max</f>
        <v>0.50926272518759219</v>
      </c>
      <c r="CB56" s="1190">
        <f>'2024'!R\Max</f>
        <v>0.50896002969860077</v>
      </c>
      <c r="CC56" s="1190">
        <f>'2025'!R\Max</f>
        <v>0.5085467627328053</v>
      </c>
      <c r="CD56" s="1190">
        <f>'2026'!R\Max</f>
        <v>0.50813264042306139</v>
      </c>
      <c r="CE56" s="1191">
        <f>'2027'!R\Max</f>
        <v>0.50997087452224388</v>
      </c>
      <c r="CF56" s="1193">
        <f>'2028'!R\Max</f>
        <v>0.50977521450388075</v>
      </c>
    </row>
    <row r="57" spans="1:84" s="6" customFormat="1" ht="11.25" x14ac:dyDescent="0.2">
      <c r="A57" s="11">
        <v>43143</v>
      </c>
      <c r="B57" s="379">
        <f>'2022'!Maxi_hp</f>
        <v>29.265897627745993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37.831974999886008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37.765303124615457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37.763822634937242</v>
      </c>
      <c r="AZ57" s="735">
        <f t="shared" si="26"/>
        <v>37.764562879776349</v>
      </c>
      <c r="BA57" s="633">
        <f t="shared" si="21"/>
        <v>0.77357572867486235</v>
      </c>
      <c r="BC57" s="11">
        <v>43143</v>
      </c>
      <c r="BD57" s="289">
        <f>[2]!FeuilCaduc*(1-Persistant)+Persistant</f>
        <v>0.50118380485851821</v>
      </c>
      <c r="BE57" s="290">
        <f>[2]!CroissVégét</f>
        <v>6.3938522678270975E-3</v>
      </c>
      <c r="BF57" s="804">
        <f>1+[2]!Salcycl*Ksac</f>
        <v>1.0001183804858518</v>
      </c>
      <c r="BH57" s="1036">
        <f t="shared" si="22"/>
        <v>1.2974357643954364E-2</v>
      </c>
      <c r="BI57" s="11">
        <v>44239</v>
      </c>
      <c r="BJ57" s="715">
        <v>1.332885404292816E-3</v>
      </c>
      <c r="BK57" s="715">
        <v>2.0047436977383916E-3</v>
      </c>
      <c r="BL57" s="715">
        <v>4.3315690266397706E-3</v>
      </c>
      <c r="BM57" s="715">
        <v>8.9428758081082863E-3</v>
      </c>
      <c r="BN57" s="715">
        <v>1.7020176076858667E-2</v>
      </c>
      <c r="BO57" s="716">
        <v>3.2297472480009005E-2</v>
      </c>
      <c r="BP57" s="715">
        <v>5.528047591397417E-2</v>
      </c>
      <c r="BQ57" s="715">
        <v>8.6796803242424989E-2</v>
      </c>
      <c r="BR57" s="715">
        <v>0.12833325405944093</v>
      </c>
      <c r="BS57" s="715">
        <v>0.18005480682557795</v>
      </c>
      <c r="BT57" s="715">
        <v>0.23977954658544678</v>
      </c>
      <c r="BW57" s="1190">
        <f>'2019'!R\Max</f>
        <v>0</v>
      </c>
      <c r="BX57" s="1190">
        <f>'2020'!R\Max</f>
        <v>0.55026830259131687</v>
      </c>
      <c r="BY57" s="1190">
        <f>'2021'!R\Max</f>
        <v>0.14493673086495998</v>
      </c>
      <c r="BZ57" s="1190">
        <f>'2022'!R\Max</f>
        <v>0.77357572867486235</v>
      </c>
      <c r="CA57" s="1190">
        <f>'2023'!R\Max</f>
        <v>0.77336974976244399</v>
      </c>
      <c r="CB57" s="1190">
        <f>'2024'!R\Max</f>
        <v>0.77316318731962796</v>
      </c>
      <c r="CC57" s="1190">
        <f>'2025'!R\Max</f>
        <v>0.77288004096398588</v>
      </c>
      <c r="CD57" s="1190">
        <f>'2026'!R\Max</f>
        <v>0.77259604418967021</v>
      </c>
      <c r="CE57" s="1191">
        <f>'2027'!R\Max</f>
        <v>0.77385343692990871</v>
      </c>
      <c r="CF57" s="1193">
        <f>'2028'!R\Max</f>
        <v>0.77371967255574969</v>
      </c>
    </row>
    <row r="58" spans="1:84" s="6" customFormat="1" ht="11.25" x14ac:dyDescent="0.2">
      <c r="A58" s="11">
        <v>43144</v>
      </c>
      <c r="B58" s="379">
        <f>'2022'!Maxi_hp</f>
        <v>35.818160403759038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38.206151603295332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38.138242565308303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38.155123106589805</v>
      </c>
      <c r="AZ58" s="735">
        <f t="shared" si="26"/>
        <v>38.146682835949051</v>
      </c>
      <c r="BA58" s="633">
        <f t="shared" si="21"/>
        <v>0.93749720661919989</v>
      </c>
      <c r="BC58" s="11">
        <v>43144</v>
      </c>
      <c r="BD58" s="289">
        <f>[2]!FeuilCaduc*(1-Persistant)+Persistant</f>
        <v>0.50133488110675972</v>
      </c>
      <c r="BE58" s="290">
        <f>[2]!CroissVégét</f>
        <v>6.7178564099054624E-3</v>
      </c>
      <c r="BF58" s="804">
        <f>1+[2]!Salcycl*Ksac</f>
        <v>1.000133488110676</v>
      </c>
      <c r="BH58" s="1036">
        <f t="shared" si="22"/>
        <v>1.2512538440973636E-2</v>
      </c>
      <c r="BI58" s="11">
        <v>44240</v>
      </c>
      <c r="BJ58" s="715">
        <v>1.2299566980778843E-3</v>
      </c>
      <c r="BK58" s="715">
        <v>1.8672174919536185E-3</v>
      </c>
      <c r="BL58" s="715">
        <v>4.0778502663634825E-3</v>
      </c>
      <c r="BM58" s="715">
        <v>8.5756619305276446E-3</v>
      </c>
      <c r="BN58" s="715">
        <v>1.6463415116742562E-2</v>
      </c>
      <c r="BO58" s="716">
        <v>3.1505174892227358E-2</v>
      </c>
      <c r="BP58" s="715">
        <v>5.4081845093843679E-2</v>
      </c>
      <c r="BQ58" s="715">
        <v>8.5125686064377273E-2</v>
      </c>
      <c r="BR58" s="715">
        <v>0.12601371647162146</v>
      </c>
      <c r="BS58" s="715">
        <v>0.17724600071040972</v>
      </c>
      <c r="BT58" s="715">
        <v>0.23661519104836964</v>
      </c>
      <c r="BW58" s="1190">
        <f>'2019'!R\Max</f>
        <v>0</v>
      </c>
      <c r="BX58" s="1190">
        <f>'2020'!R\Max</f>
        <v>0.46095778947456056</v>
      </c>
      <c r="BY58" s="1190">
        <f>'2021'!R\Max</f>
        <v>0.21972646938171986</v>
      </c>
      <c r="BZ58" s="1190">
        <f>'2022'!R\Max</f>
        <v>0.93749720661919989</v>
      </c>
      <c r="CA58" s="1190">
        <f>'2023'!R\Max</f>
        <v>0.93743014995668328</v>
      </c>
      <c r="CB58" s="1190">
        <f>'2024'!R\Max</f>
        <v>0.93736287075616731</v>
      </c>
      <c r="CC58" s="1190">
        <f>'2025'!R\Max</f>
        <v>0.93727036976665745</v>
      </c>
      <c r="CD58" s="1190">
        <f>'2026'!R\Max</f>
        <v>0.93717753716871655</v>
      </c>
      <c r="CE58" s="1191">
        <f>'2027'!R\Max</f>
        <v>0.93758779081269517</v>
      </c>
      <c r="CF58" s="1193">
        <f>'2028'!R\Max</f>
        <v>0.93754416834096144</v>
      </c>
    </row>
    <row r="59" spans="1:84" s="6" customFormat="1" ht="11.25" x14ac:dyDescent="0.2">
      <c r="A59" s="11">
        <v>43145</v>
      </c>
      <c r="B59" s="379">
        <f>'2022'!Maxi_hp</f>
        <v>38.116109222133424</v>
      </c>
      <c r="C59" s="13">
        <f>'2022'!An_max</f>
        <v>2021</v>
      </c>
      <c r="D59" s="1045">
        <f t="shared" si="7"/>
        <v>0.98795060406929569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38.580986807575179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38.513541991488147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38.545312380727509</v>
      </c>
      <c r="AZ59" s="735">
        <f t="shared" si="26"/>
        <v>38.529427186107824</v>
      </c>
      <c r="BA59" s="633">
        <f t="shared" si="21"/>
        <v>0.98795060406929569</v>
      </c>
      <c r="BC59" s="11">
        <v>43145</v>
      </c>
      <c r="BD59" s="289">
        <f>[2]!FeuilCaduc*(1-Persistant)+Persistant</f>
        <v>0.50148931065168578</v>
      </c>
      <c r="BE59" s="290">
        <f>[2]!CroissVégét</f>
        <v>7.0552285378688686E-3</v>
      </c>
      <c r="BF59" s="804">
        <f>1+[2]!Salcycl*Ksac</f>
        <v>1.0001489310651686</v>
      </c>
      <c r="BH59" s="1036">
        <f t="shared" si="22"/>
        <v>1.2051293099349148E-2</v>
      </c>
      <c r="BI59" s="11">
        <v>44241</v>
      </c>
      <c r="BJ59" s="715">
        <v>1.1288525086155536E-3</v>
      </c>
      <c r="BK59" s="715">
        <v>1.7322203953009574E-3</v>
      </c>
      <c r="BL59" s="715">
        <v>3.8300431578408597E-3</v>
      </c>
      <c r="BM59" s="715">
        <v>8.2109323120563432E-3</v>
      </c>
      <c r="BN59" s="715">
        <v>1.5905310826548287E-2</v>
      </c>
      <c r="BO59" s="716">
        <v>3.0688038645337312E-2</v>
      </c>
      <c r="BP59" s="715">
        <v>5.2850347278585515E-2</v>
      </c>
      <c r="BQ59" s="715">
        <v>8.3415646110030606E-2</v>
      </c>
      <c r="BR59" s="715">
        <v>0.12366691879248511</v>
      </c>
      <c r="BS59" s="715">
        <v>0.17436947746899514</v>
      </c>
      <c r="BT59" s="715">
        <v>0.23329763676126755</v>
      </c>
      <c r="BW59" s="1190">
        <f>'2019'!R\Max</f>
        <v>0</v>
      </c>
      <c r="BX59" s="1190">
        <f>'2020'!R\Max</f>
        <v>0.82848061874930357</v>
      </c>
      <c r="BY59" s="1190">
        <f>'2021'!R\Max</f>
        <v>0.98795060406929569</v>
      </c>
      <c r="BZ59" s="1190">
        <f>'2022'!R\Max</f>
        <v>0.43545581385275373</v>
      </c>
      <c r="CA59" s="1190">
        <f>'2023'!R\Max</f>
        <v>0.43518241118618284</v>
      </c>
      <c r="CB59" s="1190">
        <f>'2024'!R\Max</f>
        <v>0.43490837835611296</v>
      </c>
      <c r="CC59" s="1190">
        <f>'2025'!R\Max</f>
        <v>0.43453106339780573</v>
      </c>
      <c r="CD59" s="1190">
        <f>'2026'!R\Max</f>
        <v>0.43415295948272292</v>
      </c>
      <c r="CE59" s="1191">
        <f>'2027'!R\Max</f>
        <v>0.43582609898142188</v>
      </c>
      <c r="CF59" s="1193">
        <f>'2028'!R\Max</f>
        <v>0.43564772444657107</v>
      </c>
    </row>
    <row r="60" spans="1:84" s="6" customFormat="1" ht="11.25" x14ac:dyDescent="0.2">
      <c r="A60" s="11">
        <v>43146</v>
      </c>
      <c r="B60" s="379">
        <f>'2022'!Maxi_hp</f>
        <v>37.957548920378891</v>
      </c>
      <c r="C60" s="13">
        <f>'2022'!An_max</f>
        <v>2020</v>
      </c>
      <c r="D60" s="1045">
        <f t="shared" si="7"/>
        <v>0.97436049859415608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38.95637084543705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38.890968148769545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38.933865006347851</v>
      </c>
      <c r="AZ60" s="735">
        <f t="shared" si="26"/>
        <v>38.912416577558702</v>
      </c>
      <c r="BA60" s="633">
        <f t="shared" si="21"/>
        <v>0.97436049859415608</v>
      </c>
      <c r="BC60" s="11">
        <v>43146</v>
      </c>
      <c r="BD60" s="289">
        <f>[2]!FeuilCaduc*(1-Persistant)+Persistant</f>
        <v>0.50164601709951107</v>
      </c>
      <c r="BE60" s="290">
        <f>[2]!CroissVégét</f>
        <v>7.4065104705297478E-3</v>
      </c>
      <c r="BF60" s="804">
        <f>1+[2]!Salcycl*Ksac</f>
        <v>1.000164601709951</v>
      </c>
      <c r="BH60" s="1036">
        <f t="shared" si="22"/>
        <v>1.1590630426233272E-2</v>
      </c>
      <c r="BI60" s="11">
        <v>44242</v>
      </c>
      <c r="BJ60" s="715">
        <v>1.0295724618243299E-3</v>
      </c>
      <c r="BK60" s="715">
        <v>1.5997521679208526E-3</v>
      </c>
      <c r="BL60" s="715">
        <v>3.5881477708681604E-3</v>
      </c>
      <c r="BM60" s="715">
        <v>7.8486917759726417E-3</v>
      </c>
      <c r="BN60" s="715">
        <v>1.5345876011469617E-2</v>
      </c>
      <c r="BO60" s="716">
        <v>2.9846097262282083E-2</v>
      </c>
      <c r="BP60" s="715">
        <v>5.1586040166514975E-2</v>
      </c>
      <c r="BQ60" s="715">
        <v>8.1666774454801971E-2</v>
      </c>
      <c r="BR60" s="715">
        <v>0.12129299124350669</v>
      </c>
      <c r="BS60" s="715">
        <v>0.1714254335275065</v>
      </c>
      <c r="BT60" s="715">
        <v>0.22982716867331049</v>
      </c>
      <c r="BW60" s="1190">
        <f>'2019'!R\Max</f>
        <v>0</v>
      </c>
      <c r="BX60" s="1190">
        <f>'2020'!R\Max</f>
        <v>0.97436049859415608</v>
      </c>
      <c r="BY60" s="1190">
        <f>'2021'!R\Max</f>
        <v>0.92017943872236452</v>
      </c>
      <c r="BZ60" s="1190">
        <f>'2022'!R\Max</f>
        <v>0.52025232934948262</v>
      </c>
      <c r="CA60" s="1190">
        <f>'2023'!R\Max</f>
        <v>0.51998256168066392</v>
      </c>
      <c r="CB60" s="1190">
        <f>'2024'!R\Max</f>
        <v>0.51971208211314823</v>
      </c>
      <c r="CC60" s="1190">
        <f>'2025'!R\Max</f>
        <v>0.5193384239685026</v>
      </c>
      <c r="CD60" s="1190">
        <f>'2026'!R\Max</f>
        <v>0.51896385073013196</v>
      </c>
      <c r="CE60" s="1191">
        <f>'2027'!R\Max</f>
        <v>0.52061763092714708</v>
      </c>
      <c r="CF60" s="1193">
        <f>'2028'!R\Max</f>
        <v>0.52044168169874783</v>
      </c>
    </row>
    <row r="61" spans="1:84" s="6" customFormat="1" ht="11.25" x14ac:dyDescent="0.2">
      <c r="A61" s="11">
        <v>43147</v>
      </c>
      <c r="B61" s="379">
        <f>'2022'!Maxi_hp</f>
        <v>33.411514000889703</v>
      </c>
      <c r="C61" s="13">
        <f>'2022'!An_max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39.332193950450574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39.270287782088516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39.320255532178898</v>
      </c>
      <c r="AZ61" s="735">
        <f t="shared" si="26"/>
        <v>39.295271657133711</v>
      </c>
      <c r="BA61" s="633">
        <f t="shared" si="21"/>
        <v>0.84946987811004004</v>
      </c>
      <c r="BC61" s="11">
        <v>43147</v>
      </c>
      <c r="BD61" s="289">
        <f>[2]!FeuilCaduc*(1-Persistant)+Persistant</f>
        <v>0.50180397109796426</v>
      </c>
      <c r="BE61" s="290">
        <f>[2]!CroissVégét</f>
        <v>7.7722651621059055E-3</v>
      </c>
      <c r="BF61" s="804">
        <f>1+[2]!Salcycl*Ksac</f>
        <v>1.0001803971097964</v>
      </c>
      <c r="BH61" s="1036">
        <f t="shared" si="22"/>
        <v>1.1130556940208199E-2</v>
      </c>
      <c r="BI61" s="11">
        <v>44243</v>
      </c>
      <c r="BJ61" s="715">
        <v>9.3211573984749681E-4</v>
      </c>
      <c r="BK61" s="715">
        <v>1.4698119806604746E-3</v>
      </c>
      <c r="BL61" s="715">
        <v>3.3521631372096638E-3</v>
      </c>
      <c r="BM61" s="715">
        <v>7.4889434051745975E-3</v>
      </c>
      <c r="BN61" s="715">
        <v>1.4785120637990729E-2</v>
      </c>
      <c r="BO61" s="716">
        <v>2.8979379327143284E-2</v>
      </c>
      <c r="BP61" s="715">
        <v>5.0288974171024355E-2</v>
      </c>
      <c r="BQ61" s="715">
        <v>7.9879152291358099E-2</v>
      </c>
      <c r="BR61" s="715">
        <v>0.11889205138304428</v>
      </c>
      <c r="BS61" s="715">
        <v>0.16841404861989287</v>
      </c>
      <c r="BT61" s="715">
        <v>0.2262040499145043</v>
      </c>
      <c r="BW61" s="1190">
        <f>'2019'!R\Max</f>
        <v>0</v>
      </c>
      <c r="BX61" s="1190">
        <f>'2020'!R\Max</f>
        <v>0.5707296919384941</v>
      </c>
      <c r="BY61" s="1190">
        <f>'2021'!R\Max</f>
        <v>0.84946987811004004</v>
      </c>
      <c r="BZ61" s="1190">
        <f>'2022'!R\Max</f>
        <v>0.25336724458791027</v>
      </c>
      <c r="CA61" s="1190">
        <f>'2023'!R\Max</f>
        <v>0.25318103091678901</v>
      </c>
      <c r="CB61" s="1190">
        <f>'2024'!R\Max</f>
        <v>0.25299438333538538</v>
      </c>
      <c r="CC61" s="1190">
        <f>'2025'!R\Max</f>
        <v>0.25273580987412125</v>
      </c>
      <c r="CD61" s="1190">
        <f>'2026'!R\Max</f>
        <v>0.25247674267903286</v>
      </c>
      <c r="CE61" s="1191">
        <f>'2027'!R\Max</f>
        <v>0.25361923808484199</v>
      </c>
      <c r="CF61" s="1193">
        <f>'2028'!R\Max</f>
        <v>0.25349785270837544</v>
      </c>
    </row>
    <row r="62" spans="1:84" s="6" customFormat="1" ht="11.25" x14ac:dyDescent="0.2">
      <c r="A62" s="11">
        <v>43148</v>
      </c>
      <c r="B62" s="379">
        <f>'2022'!Maxi_hp</f>
        <v>36.826584894030596</v>
      </c>
      <c r="C62" s="13">
        <f>'2022'!An_max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39.708346355600021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39.651267638253714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39.703958507055155</v>
      </c>
      <c r="AZ62" s="735">
        <f t="shared" si="26"/>
        <v>39.677613072654438</v>
      </c>
      <c r="BA62" s="633">
        <f t="shared" si="21"/>
        <v>0.92742680755923712</v>
      </c>
      <c r="BC62" s="11">
        <v>43148</v>
      </c>
      <c r="BD62" s="289">
        <f>[2]!FeuilCaduc*(1-Persistant)+Persistant</f>
        <v>0.5019622059444524</v>
      </c>
      <c r="BE62" s="290">
        <f>[2]!CroissVégét</f>
        <v>8.1530774564185747E-3</v>
      </c>
      <c r="BF62" s="804">
        <f>1+[2]!Salcycl*Ksac</f>
        <v>1.0001962205944452</v>
      </c>
      <c r="BH62" s="1036">
        <f t="shared" si="22"/>
        <v>1.0671076876968402E-2</v>
      </c>
      <c r="BI62" s="11">
        <v>44244</v>
      </c>
      <c r="BJ62" s="715">
        <v>8.3648110361926088E-4</v>
      </c>
      <c r="BK62" s="715">
        <v>1.3423984463581645E-3</v>
      </c>
      <c r="BL62" s="715">
        <v>3.1220873238764026E-3</v>
      </c>
      <c r="BM62" s="715">
        <v>7.1316885721366477E-3</v>
      </c>
      <c r="BN62" s="715">
        <v>1.4223051815208195E-2</v>
      </c>
      <c r="BO62" s="716">
        <v>2.8087908171291007E-2</v>
      </c>
      <c r="BP62" s="715">
        <v>4.8959192004443763E-2</v>
      </c>
      <c r="BQ62" s="715">
        <v>7.8052850435369844E-2</v>
      </c>
      <c r="BR62" s="715">
        <v>0.11646420375493673</v>
      </c>
      <c r="BS62" s="715">
        <v>0.16533548492694974</v>
      </c>
      <c r="BT62" s="715">
        <v>0.22242851986169498</v>
      </c>
      <c r="BW62" s="1190">
        <f>'2019'!R\Max</f>
        <v>0</v>
      </c>
      <c r="BX62" s="1190">
        <f>'2020'!R\Max</f>
        <v>0.15098640650973319</v>
      </c>
      <c r="BY62" s="1190">
        <f>'2021'!R\Max</f>
        <v>0.92742680755923712</v>
      </c>
      <c r="BZ62" s="1190">
        <f>'2022'!R\Max</f>
        <v>0.31270219365719959</v>
      </c>
      <c r="CA62" s="1190">
        <f>'2023'!R\Max</f>
        <v>0.31248332566880921</v>
      </c>
      <c r="CB62" s="1190">
        <f>'2024'!R\Max</f>
        <v>0.31226390195056369</v>
      </c>
      <c r="CC62" s="1190">
        <f>'2025'!R\Max</f>
        <v>0.31195879167965973</v>
      </c>
      <c r="CD62" s="1190">
        <f>'2026'!R\Max</f>
        <v>0.311653046916608</v>
      </c>
      <c r="CE62" s="1191">
        <f>'2027'!R\Max</f>
        <v>0.31299761180101449</v>
      </c>
      <c r="CF62" s="1193">
        <f>'2028'!R\Max</f>
        <v>0.31285531972228475</v>
      </c>
    </row>
    <row r="63" spans="1:84" s="6" customFormat="1" ht="11.25" x14ac:dyDescent="0.2">
      <c r="A63" s="11">
        <v>43149</v>
      </c>
      <c r="B63" s="379">
        <f>'2022'!Maxi_hp</f>
        <v>32.083253619797951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40.08471829447496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40.033674462370776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40.084448480053936</v>
      </c>
      <c r="AZ63" s="735">
        <f t="shared" si="26"/>
        <v>40.05906147121236</v>
      </c>
      <c r="BA63" s="633">
        <f t="shared" si="21"/>
        <v>0.80038615674193514</v>
      </c>
      <c r="BC63" s="11">
        <v>43149</v>
      </c>
      <c r="BD63" s="289">
        <f>[2]!FeuilCaduc*(1-Persistant)+Persistant</f>
        <v>0.50211983293805695</v>
      </c>
      <c r="BE63" s="290">
        <f>[2]!CroissVégét</f>
        <v>8.5495548619151183E-3</v>
      </c>
      <c r="BF63" s="804">
        <f>1+[2]!Salcycl*Ksac</f>
        <v>1.0002119832938057</v>
      </c>
      <c r="BH63" s="1036">
        <f t="shared" si="22"/>
        <v>1.0212192194849288E-2</v>
      </c>
      <c r="BI63" s="11">
        <v>44245</v>
      </c>
      <c r="BJ63" s="715">
        <v>7.4266691541694299E-4</v>
      </c>
      <c r="BK63" s="715">
        <v>1.2175096511063065E-3</v>
      </c>
      <c r="BL63" s="715">
        <v>2.8979175063567984E-3</v>
      </c>
      <c r="BM63" s="715">
        <v>6.776926968761865E-3</v>
      </c>
      <c r="BN63" s="715">
        <v>1.3659673775949559E-2</v>
      </c>
      <c r="BO63" s="716">
        <v>2.7171701559139599E-2</v>
      </c>
      <c r="BP63" s="715">
        <v>4.759672826122141E-2</v>
      </c>
      <c r="BQ63" s="715">
        <v>7.6187928830191029E-2</v>
      </c>
      <c r="BR63" s="715">
        <v>0.1140095395355034</v>
      </c>
      <c r="BS63" s="715">
        <v>0.16218988621313143</v>
      </c>
      <c r="BT63" s="715">
        <v>0.21850079220155075</v>
      </c>
      <c r="BW63" s="1190">
        <f>'2019'!R\Max</f>
        <v>0</v>
      </c>
      <c r="BX63" s="1190">
        <f>'2020'!R\Max</f>
        <v>0.74719047317004905</v>
      </c>
      <c r="BY63" s="1190">
        <f>'2021'!R\Max</f>
        <v>0.4360666791101046</v>
      </c>
      <c r="BZ63" s="1190">
        <f>'2022'!R\Max</f>
        <v>0.80038615674193514</v>
      </c>
      <c r="CA63" s="1190">
        <f>'2023'!R\Max</f>
        <v>0.80022830548071722</v>
      </c>
      <c r="CB63" s="1190">
        <f>'2024'!R\Max</f>
        <v>0.80006986981717099</v>
      </c>
      <c r="CC63" s="1190">
        <f>'2025'!R\Max</f>
        <v>0.79984842546310364</v>
      </c>
      <c r="CD63" s="1190">
        <f>'2026'!R\Max</f>
        <v>0.79962618856265111</v>
      </c>
      <c r="CE63" s="1191">
        <f>'2027'!R\Max</f>
        <v>0.8005981289298586</v>
      </c>
      <c r="CF63" s="1193">
        <f>'2028'!R\Max</f>
        <v>0.80049607052403249</v>
      </c>
    </row>
    <row r="64" spans="1:84" s="6" customFormat="1" ht="11.25" x14ac:dyDescent="0.2">
      <c r="A64" s="11">
        <v>43150</v>
      </c>
      <c r="B64" s="379">
        <f>'2022'!Maxi_hp</f>
        <v>39.436937045771522</v>
      </c>
      <c r="C64" s="13">
        <f>'2022'!An_max</f>
        <v>2021</v>
      </c>
      <c r="D64" s="1045">
        <f t="shared" si="7"/>
        <v>0.97468530458309854</v>
      </c>
      <c r="E64" s="1040">
        <f>Q$13/10</f>
        <v>40.461200000000005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40.461199999973175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40.417274999734943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40.461199999786913</v>
      </c>
      <c r="AZ64" s="735">
        <f t="shared" si="26"/>
        <v>40.439237499760928</v>
      </c>
      <c r="BA64" s="633">
        <f t="shared" si="21"/>
        <v>0.97468530458309854</v>
      </c>
      <c r="BC64" s="11">
        <v>43150</v>
      </c>
      <c r="BD64" s="289">
        <f>[2]!FeuilCaduc*(1-Persistant)+Persistant</f>
        <v>0.50227605632094996</v>
      </c>
      <c r="BE64" s="290">
        <f>[2]!CroissVégét</f>
        <v>8.9623283475330478E-3</v>
      </c>
      <c r="BF64" s="804">
        <f>1+[2]!Salcycl*Ksac</f>
        <v>1.0002276056320949</v>
      </c>
      <c r="BH64" s="1036">
        <f t="shared" si="22"/>
        <v>9.7539025804599076E-3</v>
      </c>
      <c r="BI64" s="11">
        <v>44246</v>
      </c>
      <c r="BJ64" s="715">
        <v>6.5067116142231054E-4</v>
      </c>
      <c r="BK64" s="715">
        <v>1.095143185528449E-3</v>
      </c>
      <c r="BL64" s="715">
        <v>2.6796500418793524E-3</v>
      </c>
      <c r="BM64" s="715">
        <v>6.424656636304509E-3</v>
      </c>
      <c r="BN64" s="715">
        <v>1.3094987858029804E-2</v>
      </c>
      <c r="BO64" s="716">
        <v>2.6230771374171662E-2</v>
      </c>
      <c r="BP64" s="715">
        <v>4.6201609001568202E-2</v>
      </c>
      <c r="BQ64" s="715">
        <v>7.4284436052272196E-2</v>
      </c>
      <c r="BR64" s="715">
        <v>0.11152813618163732</v>
      </c>
      <c r="BS64" s="715">
        <v>0.15897737696491046</v>
      </c>
      <c r="BT64" s="715">
        <v>0.21442105299561706</v>
      </c>
      <c r="BW64" s="1190">
        <f>'2019'!R\Max</f>
        <v>0</v>
      </c>
      <c r="BX64" s="1190">
        <f>'2020'!R\Max</f>
        <v>0.69067059374688689</v>
      </c>
      <c r="BY64" s="1190">
        <f>'2021'!R\Max</f>
        <v>0.97468530458309854</v>
      </c>
      <c r="BZ64" s="1190">
        <f>'2022'!R\Max</f>
        <v>0.5378217372408296</v>
      </c>
      <c r="CA64" s="1190">
        <f>'2023'!R\Max</f>
        <v>0.53758384070699072</v>
      </c>
      <c r="CB64" s="1190">
        <f>'2024'!R\Max</f>
        <v>0.5373451407704174</v>
      </c>
      <c r="CC64" s="1190">
        <f>'2025'!R\Max</f>
        <v>0.53701027599711959</v>
      </c>
      <c r="CD64" s="1190">
        <f>'2026'!R\Max</f>
        <v>0.53667441062044496</v>
      </c>
      <c r="CE64" s="1191">
        <f>'2027'!R\Max</f>
        <v>0.53813962970463325</v>
      </c>
      <c r="CF64" s="1193">
        <f>'2028'!R\Max</f>
        <v>0.53798655491210101</v>
      </c>
    </row>
    <row r="65" spans="1:84" s="6" customFormat="1" ht="11.25" x14ac:dyDescent="0.2">
      <c r="A65" s="11">
        <v>43151</v>
      </c>
      <c r="B65" s="379">
        <f>'2022'!Maxi_hp</f>
        <v>41.467946828147284</v>
      </c>
      <c r="C65" s="13">
        <f>'2022'!An_max</f>
        <v>2020</v>
      </c>
      <c r="D65" s="1045">
        <f t="shared" si="7"/>
        <v>1.0154265973490231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40.837956122488585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40.801835996517084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40.837709146947603</v>
      </c>
      <c r="AZ65" s="735">
        <f t="shared" si="26"/>
        <v>40.819772571732344</v>
      </c>
      <c r="BA65" s="633">
        <f t="shared" si="21"/>
        <v>1.0154265973490231</v>
      </c>
      <c r="BC65" s="11">
        <v>43151</v>
      </c>
      <c r="BD65" s="289">
        <f>[2]!FeuilCaduc*(1-Persistant)+Persistant</f>
        <v>0.50243018766248881</v>
      </c>
      <c r="BE65" s="290">
        <f>[2]!CroissVégét</f>
        <v>9.3920531593536197E-3</v>
      </c>
      <c r="BF65" s="804">
        <f>1+[2]!Salcycl*Ksac</f>
        <v>1.0002430187662488</v>
      </c>
      <c r="BH65" s="1036">
        <f t="shared" si="22"/>
        <v>9.2962054542495148E-3</v>
      </c>
      <c r="BI65" s="11">
        <v>44247</v>
      </c>
      <c r="BJ65" s="715">
        <v>5.6049147427761673E-4</v>
      </c>
      <c r="BK65" s="715">
        <v>9.7529617604796826E-4</v>
      </c>
      <c r="BL65" s="715">
        <v>2.4672805426557815E-3</v>
      </c>
      <c r="BM65" s="715">
        <v>6.0748739952483505E-3</v>
      </c>
      <c r="BN65" s="715">
        <v>1.2528992485419714E-2</v>
      </c>
      <c r="BO65" s="716">
        <v>2.5265123304788917E-2</v>
      </c>
      <c r="BP65" s="715">
        <v>4.4773851334800524E-2</v>
      </c>
      <c r="BQ65" s="715">
        <v>7.2342408816094203E-2</v>
      </c>
      <c r="BR65" s="715">
        <v>0.10902005707818101</v>
      </c>
      <c r="BS65" s="715">
        <v>0.15569806152811858</v>
      </c>
      <c r="BT65" s="715">
        <v>0.21018945874400422</v>
      </c>
      <c r="BW65" s="1190">
        <f>'2019'!R\Max</f>
        <v>0</v>
      </c>
      <c r="BX65" s="1190">
        <f>'2020'!R\Max</f>
        <v>1.0154265973490231</v>
      </c>
      <c r="BY65" s="1190">
        <f>'2021'!R\Max</f>
        <v>0.79437935287773687</v>
      </c>
      <c r="BZ65" s="1190">
        <f>'2022'!R\Max</f>
        <v>0.52965479399190185</v>
      </c>
      <c r="CA65" s="1190">
        <f>'2023'!R\Max</f>
        <v>0.52942397406446196</v>
      </c>
      <c r="CB65" s="1190">
        <f>'2024'!R\Max</f>
        <v>0.52919232898254109</v>
      </c>
      <c r="CC65" s="1190">
        <f>'2025'!R\Max</f>
        <v>0.52886584083591559</v>
      </c>
      <c r="CD65" s="1190">
        <f>'2026'!R\Max</f>
        <v>0.52853833357078739</v>
      </c>
      <c r="CE65" s="1191">
        <f>'2027'!R\Max</f>
        <v>0.52996101314030919</v>
      </c>
      <c r="CF65" s="1193">
        <f>'2028'!R\Max</f>
        <v>0.52981356718929218</v>
      </c>
    </row>
    <row r="66" spans="1:84" s="6" customFormat="1" ht="11.25" x14ac:dyDescent="0.2">
      <c r="A66" s="11">
        <v>43152</v>
      </c>
      <c r="B66" s="379">
        <f>'2022'!Maxi_hp</f>
        <v>23.950887388071926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41.215224489769234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41.187124198156276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41.217602769445094</v>
      </c>
      <c r="AZ66" s="735">
        <f t="shared" si="26"/>
        <v>41.202363483800681</v>
      </c>
      <c r="BA66" s="633">
        <f t="shared" si="21"/>
        <v>0.58111747987730122</v>
      </c>
      <c r="BC66" s="11">
        <v>43152</v>
      </c>
      <c r="BD66" s="289">
        <f>[2]!FeuilCaduc*(1-Persistant)+Persistant</f>
        <v>0.50258165954828615</v>
      </c>
      <c r="BE66" s="290">
        <f>[2]!CroissVégét</f>
        <v>9.8394096579268626E-3</v>
      </c>
      <c r="BF66" s="804">
        <f>1+[2]!Salcycl*Ksac</f>
        <v>1.0002581659548286</v>
      </c>
      <c r="BH66" s="1036">
        <f t="shared" si="22"/>
        <v>8.8489924184000177E-3</v>
      </c>
      <c r="BI66" s="11">
        <v>44248</v>
      </c>
      <c r="BJ66" s="715">
        <v>4.7686757123503986E-4</v>
      </c>
      <c r="BK66" s="715">
        <v>8.6378903796258089E-4</v>
      </c>
      <c r="BL66" s="715">
        <v>2.2678563153152049E-3</v>
      </c>
      <c r="BM66" s="715">
        <v>5.7360854784975291E-3</v>
      </c>
      <c r="BN66" s="715">
        <v>1.1972969355463428E-2</v>
      </c>
      <c r="BO66" s="716">
        <v>2.4292158576002493E-2</v>
      </c>
      <c r="BP66" s="715">
        <v>4.3324823769602942E-2</v>
      </c>
      <c r="BQ66" s="715">
        <v>7.035633111041735E-2</v>
      </c>
      <c r="BR66" s="715">
        <v>0.10645770156688539</v>
      </c>
      <c r="BS66" s="715">
        <v>0.15231559901933978</v>
      </c>
      <c r="BT66" s="715">
        <v>0.2057722258161308</v>
      </c>
      <c r="BW66" s="1190">
        <f>'2019'!R\Max</f>
        <v>0</v>
      </c>
      <c r="BX66" s="1190">
        <f>'2020'!R\Max</f>
        <v>0.34882403013484914</v>
      </c>
      <c r="BY66" s="1190">
        <f>'2021'!R\Max</f>
        <v>0.31885867883468078</v>
      </c>
      <c r="BZ66" s="1190">
        <f>'2022'!R\Max</f>
        <v>0.58111747987730122</v>
      </c>
      <c r="CA66" s="1190">
        <f>'2023'!R\Max</f>
        <v>0.58089939086690723</v>
      </c>
      <c r="CB66" s="1190">
        <f>'2024'!R\Max</f>
        <v>0.58068045220347164</v>
      </c>
      <c r="CC66" s="1190">
        <f>'2025'!R\Max</f>
        <v>0.58037036111140561</v>
      </c>
      <c r="CD66" s="1190">
        <f>'2026'!R\Max</f>
        <v>0.58005920785704457</v>
      </c>
      <c r="CE66" s="1191">
        <f>'2027'!R\Max</f>
        <v>0.58140438934485761</v>
      </c>
      <c r="CF66" s="1193">
        <f>'2028'!R\Max</f>
        <v>0.58126625334185833</v>
      </c>
    </row>
    <row r="67" spans="1:84" s="6" customFormat="1" ht="11.25" x14ac:dyDescent="0.2">
      <c r="A67" s="11">
        <v>43153</v>
      </c>
      <c r="B67" s="379">
        <f>'2022'!Maxi_hp</f>
        <v>39.949310572645629</v>
      </c>
      <c r="C67" s="13">
        <f>'2022'!An_max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41.593005101961481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41.572906350269577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41.600551566800902</v>
      </c>
      <c r="AZ67" s="735">
        <f t="shared" si="26"/>
        <v>41.58672895853524</v>
      </c>
      <c r="BA67" s="633">
        <f t="shared" si="21"/>
        <v>0.96048146736965789</v>
      </c>
      <c r="BC67" s="11">
        <v>43153</v>
      </c>
      <c r="BD67" s="289">
        <f>[2]!FeuilCaduc*(1-Persistant)+Persistant</f>
        <v>0.50273003844682362</v>
      </c>
      <c r="BE67" s="290">
        <f>[2]!CroissVégét</f>
        <v>1.0305104176065441E-2</v>
      </c>
      <c r="BF67" s="804">
        <f>1+[2]!Salcycl*Ksac</f>
        <v>1.0002730038446823</v>
      </c>
      <c r="BH67" s="1036">
        <f t="shared" si="22"/>
        <v>8.4134386725941389E-3</v>
      </c>
      <c r="BI67" s="11">
        <v>44249</v>
      </c>
      <c r="BJ67" s="715">
        <v>4.0082803643436371E-4</v>
      </c>
      <c r="BK67" s="715">
        <v>7.6152032640593636E-4</v>
      </c>
      <c r="BL67" s="715">
        <v>2.0823692701868435E-3</v>
      </c>
      <c r="BM67" s="715">
        <v>5.4093459517951274E-3</v>
      </c>
      <c r="BN67" s="715">
        <v>1.142821442971014E-2</v>
      </c>
      <c r="BO67" s="716">
        <v>2.332997808167965E-2</v>
      </c>
      <c r="BP67" s="715">
        <v>4.1874963511944113E-2</v>
      </c>
      <c r="BQ67" s="715">
        <v>6.8346093141977246E-2</v>
      </c>
      <c r="BR67" s="715">
        <v>0.10383597136216249</v>
      </c>
      <c r="BS67" s="715">
        <v>0.14884246985683586</v>
      </c>
      <c r="BT67" s="715">
        <v>0.20123027765749141</v>
      </c>
      <c r="BW67" s="1190">
        <f>'2019'!R\Max</f>
        <v>0</v>
      </c>
      <c r="BX67" s="1190">
        <f>'2020'!R\Max</f>
        <v>0.96048146736965789</v>
      </c>
      <c r="BY67" s="1190">
        <f>'2021'!R\Max</f>
        <v>0.23766462213562178</v>
      </c>
      <c r="BZ67" s="1190">
        <f>'2022'!R\Max</f>
        <v>0.88037274821140632</v>
      </c>
      <c r="CA67" s="1190">
        <f>'2023'!R\Max</f>
        <v>0.88028159651513305</v>
      </c>
      <c r="CB67" s="1190">
        <f>'2024'!R\Max</f>
        <v>0.88019002035961413</v>
      </c>
      <c r="CC67" s="1190">
        <f>'2025'!R\Max</f>
        <v>0.88005961994120607</v>
      </c>
      <c r="CD67" s="1190">
        <f>'2026'!R\Max</f>
        <v>0.879928652324239</v>
      </c>
      <c r="CE67" s="1191">
        <f>'2027'!R\Max</f>
        <v>0.88049161244123197</v>
      </c>
      <c r="CF67" s="1193">
        <f>'2028'!R\Max</f>
        <v>0.88043439749299524</v>
      </c>
    </row>
    <row r="68" spans="1:84" s="6" customFormat="1" ht="11.25" x14ac:dyDescent="0.2">
      <c r="A68" s="11">
        <v>43154</v>
      </c>
      <c r="B68" s="379">
        <f>'2022'!Maxi_hp</f>
        <v>41.571938803017574</v>
      </c>
      <c r="C68" s="13">
        <f>'2022'!An_max</f>
        <v>2020</v>
      </c>
      <c r="D68" s="1045">
        <f t="shared" si="7"/>
        <v>0.99048494624725036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41.971297959171764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41.958949198044969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41.986226238815917</v>
      </c>
      <c r="AZ68" s="735">
        <f t="shared" si="26"/>
        <v>41.972587718430447</v>
      </c>
      <c r="BA68" s="633">
        <f t="shared" si="21"/>
        <v>0.99048494624725036</v>
      </c>
      <c r="BC68" s="11">
        <v>43154</v>
      </c>
      <c r="BD68" s="289">
        <f>[2]!FeuilCaduc*(1-Persistant)+Persistant</f>
        <v>0.50287503663753919</v>
      </c>
      <c r="BE68" s="290">
        <f>[2]!CroissVégét</f>
        <v>1.0789869896821172E-2</v>
      </c>
      <c r="BF68" s="804">
        <f>1+[2]!Salcycl*Ksac</f>
        <v>1.000287503663754</v>
      </c>
      <c r="BH68" s="1036">
        <f t="shared" si="22"/>
        <v>7.9894901676661433E-3</v>
      </c>
      <c r="BI68" s="11">
        <v>44250</v>
      </c>
      <c r="BJ68" s="715">
        <v>3.3236894926335253E-4</v>
      </c>
      <c r="BK68" s="715">
        <v>6.6848361368556503E-4</v>
      </c>
      <c r="BL68" s="715">
        <v>1.9108041025096443E-3</v>
      </c>
      <c r="BM68" s="715">
        <v>5.0946195711408038E-3</v>
      </c>
      <c r="BN68" s="715">
        <v>1.0894655389088228E-2</v>
      </c>
      <c r="BO68" s="716">
        <v>2.2378437622398245E-2</v>
      </c>
      <c r="BP68" s="715">
        <v>4.0424018015305006E-2</v>
      </c>
      <c r="BQ68" s="715">
        <v>6.6311290685769242E-2</v>
      </c>
      <c r="BR68" s="715">
        <v>0.10115426185527315</v>
      </c>
      <c r="BS68" s="715">
        <v>0.14527781335148218</v>
      </c>
      <c r="BT68" s="715">
        <v>0.19656245384082302</v>
      </c>
      <c r="BW68" s="1190">
        <f>'2019'!R\Max</f>
        <v>0</v>
      </c>
      <c r="BX68" s="1190">
        <f>'2020'!R\Max</f>
        <v>0.99048494624725036</v>
      </c>
      <c r="BY68" s="1190">
        <f>'2021'!R\Max</f>
        <v>0.77942319974689378</v>
      </c>
      <c r="BZ68" s="1190">
        <f>'2022'!R\Max</f>
        <v>0.91683519527886048</v>
      </c>
      <c r="CA68" s="1190">
        <f>'2023'!R\Max</f>
        <v>0.91677154045955433</v>
      </c>
      <c r="CB68" s="1190">
        <f>'2024'!R\Max</f>
        <v>0.91670757028924554</v>
      </c>
      <c r="CC68" s="1190">
        <f>'2025'!R\Max</f>
        <v>0.91661604501608096</v>
      </c>
      <c r="CD68" s="1190">
        <f>'2026'!R\Max</f>
        <v>0.91652409814381097</v>
      </c>
      <c r="CE68" s="1191">
        <f>'2027'!R\Max</f>
        <v>0.91691752666178106</v>
      </c>
      <c r="CF68" s="1193">
        <f>'2028'!R\Max</f>
        <v>0.91687790004344782</v>
      </c>
    </row>
    <row r="69" spans="1:84" s="6" customFormat="1" ht="11.25" x14ac:dyDescent="0.2">
      <c r="A69" s="11">
        <v>43155</v>
      </c>
      <c r="B69" s="379">
        <f>'2022'!Maxi_hp</f>
        <v>41.52507944394246</v>
      </c>
      <c r="C69" s="13">
        <f>'2022'!An_max</f>
        <v>2020</v>
      </c>
      <c r="D69" s="1045">
        <f t="shared" si="7"/>
        <v>0.980518970259736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42.350103061180562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42.345019487844546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42.374297485237804</v>
      </c>
      <c r="AZ69" s="735">
        <f t="shared" si="26"/>
        <v>42.359658486541178</v>
      </c>
      <c r="BA69" s="633">
        <f t="shared" si="21"/>
        <v>0.980518970259736</v>
      </c>
      <c r="BC69" s="11">
        <v>43155</v>
      </c>
      <c r="BD69" s="289">
        <f>[2]!FeuilCaduc*(1-Persistant)+Persistant</f>
        <v>0.50301652309662848</v>
      </c>
      <c r="BE69" s="290">
        <f>[2]!CroissVégét</f>
        <v>1.1294467751257744E-2</v>
      </c>
      <c r="BF69" s="804">
        <f>1+[2]!Salcycl*Ksac</f>
        <v>1.0003016523096628</v>
      </c>
      <c r="BH69" s="1036">
        <f t="shared" si="22"/>
        <v>7.5771397906357289E-3</v>
      </c>
      <c r="BI69" s="11">
        <v>44251</v>
      </c>
      <c r="BJ69" s="715">
        <v>2.7148942144306358E-4</v>
      </c>
      <c r="BK69" s="715">
        <v>5.8467763004686985E-4</v>
      </c>
      <c r="BL69" s="715">
        <v>1.7531582710479466E-3</v>
      </c>
      <c r="BM69" s="715">
        <v>4.7919013095543694E-3</v>
      </c>
      <c r="BN69" s="715">
        <v>1.0372283027199123E-2</v>
      </c>
      <c r="BO69" s="716">
        <v>2.1437519842367771E-2</v>
      </c>
      <c r="BP69" s="715">
        <v>3.8971958769487933E-2</v>
      </c>
      <c r="BQ69" s="715">
        <v>6.4251880580076456E-2</v>
      </c>
      <c r="BR69" s="715">
        <v>9.8412511527094085E-2</v>
      </c>
      <c r="BS69" s="715">
        <v>0.14162154392191462</v>
      </c>
      <c r="BT69" s="715">
        <v>0.19176864005935604</v>
      </c>
      <c r="BW69" s="1190">
        <f>'2019'!R\Max</f>
        <v>0</v>
      </c>
      <c r="BX69" s="1190">
        <f>'2020'!R\Max</f>
        <v>0.980518970259736</v>
      </c>
      <c r="BY69" s="1190">
        <f>'2021'!R\Max</f>
        <v>0.95720728510903241</v>
      </c>
      <c r="BZ69" s="1190">
        <f>'2022'!R\Max</f>
        <v>0.56536782504041938</v>
      </c>
      <c r="CA69" s="1190">
        <f>'2023'!R\Max</f>
        <v>0.56517028590140683</v>
      </c>
      <c r="CB69" s="1190">
        <f>'2024'!R\Max</f>
        <v>0.56497183124729788</v>
      </c>
      <c r="CC69" s="1190">
        <f>'2025'!R\Max</f>
        <v>0.56468676238745141</v>
      </c>
      <c r="CD69" s="1190">
        <f>'2026'!R\Max</f>
        <v>0.56440056376013237</v>
      </c>
      <c r="CE69" s="1191">
        <f>'2027'!R\Max</f>
        <v>0.56562144221559629</v>
      </c>
      <c r="CF69" s="1193">
        <f>'2028'!R\Max</f>
        <v>0.56549936048935001</v>
      </c>
    </row>
    <row r="70" spans="1:84" s="6" customFormat="1" ht="11.25" x14ac:dyDescent="0.2">
      <c r="A70" s="11">
        <v>43156</v>
      </c>
      <c r="B70" s="379">
        <f>'2022'!Maxi_hp</f>
        <v>36.519009293012743</v>
      </c>
      <c r="C70" s="13">
        <f>'2022'!An_max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42.729420408180786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42.73088396497603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42.76443600568787</v>
      </c>
      <c r="AZ70" s="735">
        <f t="shared" si="26"/>
        <v>42.74765998533195</v>
      </c>
      <c r="BA70" s="633">
        <f t="shared" si="21"/>
        <v>0.85465725825808236</v>
      </c>
      <c r="BC70" s="11">
        <v>43156</v>
      </c>
      <c r="BD70" s="289">
        <f>[2]!FeuilCaduc*(1-Persistant)+Persistant</f>
        <v>0.5031545332498869</v>
      </c>
      <c r="BE70" s="290">
        <f>[2]!CroissVégét</f>
        <v>1.1819687335529849E-2</v>
      </c>
      <c r="BF70" s="804">
        <f>1+[2]!Salcycl*Ksac</f>
        <v>1.0003154533249887</v>
      </c>
      <c r="BH70" s="1036">
        <f t="shared" si="22"/>
        <v>7.1763812467200592E-3</v>
      </c>
      <c r="BI70" s="11">
        <v>44252</v>
      </c>
      <c r="BJ70" s="715">
        <v>2.1818879100410886E-4</v>
      </c>
      <c r="BK70" s="715">
        <v>5.1010139563085046E-4</v>
      </c>
      <c r="BL70" s="715">
        <v>1.6094297179333049E-3</v>
      </c>
      <c r="BM70" s="715">
        <v>4.5011868035584003E-3</v>
      </c>
      <c r="BN70" s="715">
        <v>9.8610891110865427E-3</v>
      </c>
      <c r="BO70" s="716">
        <v>2.0507208967795464E-2</v>
      </c>
      <c r="BP70" s="715">
        <v>3.7518759390675865E-2</v>
      </c>
      <c r="BQ70" s="715">
        <v>6.216782226453265E-2</v>
      </c>
      <c r="BR70" s="715">
        <v>9.5610661830681162E-2</v>
      </c>
      <c r="BS70" s="715">
        <v>0.13787357974222553</v>
      </c>
      <c r="BT70" s="715">
        <v>0.18684872682425396</v>
      </c>
      <c r="BW70" s="1190">
        <f>'2019'!R\Max</f>
        <v>0</v>
      </c>
      <c r="BX70" s="1190">
        <f>'2020'!R\Max</f>
        <v>0.39126879558616007</v>
      </c>
      <c r="BY70" s="1190">
        <f>'2021'!R\Max</f>
        <v>0.85465725825808236</v>
      </c>
      <c r="BZ70" s="1190">
        <f>'2022'!R\Max</f>
        <v>0.80269667223338459</v>
      </c>
      <c r="CA70" s="1190">
        <f>'2023'!R\Max</f>
        <v>0.8025741963448616</v>
      </c>
      <c r="CB70" s="1190">
        <f>'2024'!R\Max</f>
        <v>0.8024510722128293</v>
      </c>
      <c r="CC70" s="1190">
        <f>'2025'!R\Max</f>
        <v>0.80227330144590214</v>
      </c>
      <c r="CD70" s="1190">
        <f>'2026'!R\Max</f>
        <v>0.802094691937836</v>
      </c>
      <c r="CE70" s="1191">
        <f>'2027'!R\Max</f>
        <v>0.80285260045452855</v>
      </c>
      <c r="CF70" s="1193">
        <f>'2028'!R\Max</f>
        <v>0.80277755835984121</v>
      </c>
    </row>
    <row r="71" spans="1:84" s="6" customFormat="1" ht="11.25" x14ac:dyDescent="0.2">
      <c r="A71" s="11">
        <v>43157</v>
      </c>
      <c r="B71" s="379">
        <f>'2022'!Maxi_hp</f>
        <v>43.481266681339839</v>
      </c>
      <c r="C71" s="13">
        <f>'2022'!An_max</f>
        <v>2022</v>
      </c>
      <c r="D71" s="1045">
        <f t="shared" si="7"/>
        <v>1.0086296254599769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43.109249999979511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43.116309375071431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43.156312499963676</v>
      </c>
      <c r="AZ71" s="735">
        <f t="shared" si="26"/>
        <v>43.13631093751755</v>
      </c>
      <c r="BA71" s="633">
        <f t="shared" si="21"/>
        <v>1.0086296254599769</v>
      </c>
      <c r="BC71" s="11">
        <v>43157</v>
      </c>
      <c r="BD71" s="289">
        <f>[2]!FeuilCaduc*(1-Persistant)+Persistant</f>
        <v>0.50328927751563424</v>
      </c>
      <c r="BE71" s="290">
        <f>[2]!CroissVégét</f>
        <v>1.236634784666045E-2</v>
      </c>
      <c r="BF71" s="804">
        <f>1+[2]!Salcycl*Ksac</f>
        <v>1.0003289277515635</v>
      </c>
      <c r="BH71" s="1036">
        <f t="shared" si="22"/>
        <v>6.7872090165194705E-3</v>
      </c>
      <c r="BI71" s="11">
        <v>44253</v>
      </c>
      <c r="BJ71" s="715">
        <v>1.7246659425045548E-4</v>
      </c>
      <c r="BK71" s="715">
        <v>4.4475418633334985E-4</v>
      </c>
      <c r="BL71" s="715">
        <v>1.4796168171926597E-3</v>
      </c>
      <c r="BM71" s="715">
        <v>4.2224723088141666E-3</v>
      </c>
      <c r="BN71" s="715">
        <v>9.3610663399774901E-3</v>
      </c>
      <c r="BO71" s="716">
        <v>1.9587490767844291E-2</v>
      </c>
      <c r="BP71" s="715">
        <v>3.6064395626011068E-2</v>
      </c>
      <c r="BQ71" s="715">
        <v>6.0059077871903205E-2</v>
      </c>
      <c r="BR71" s="715">
        <v>9.274865741451678E-2</v>
      </c>
      <c r="BS71" s="715">
        <v>0.13403384308249597</v>
      </c>
      <c r="BT71" s="715">
        <v>0.18180260993288733</v>
      </c>
      <c r="BW71" s="1190">
        <f>'2019'!R\Max</f>
        <v>0</v>
      </c>
      <c r="BX71" s="1190">
        <f>'2020'!R\Max</f>
        <v>0.47652743258737884</v>
      </c>
      <c r="BY71" s="1190">
        <f>'2021'!R\Max</f>
        <v>0.20675959541985051</v>
      </c>
      <c r="BZ71" s="1190">
        <f>'2022'!R\Max</f>
        <v>1.0086296254599769</v>
      </c>
      <c r="CA71" s="1190">
        <f>'2023'!R\Max</f>
        <v>1.0086296254599769</v>
      </c>
      <c r="CB71" s="1190">
        <f>'2024'!R\Max</f>
        <v>1.0086296254599769</v>
      </c>
      <c r="CC71" s="1190">
        <f>'2025'!R\Max</f>
        <v>1.0086296254599769</v>
      </c>
      <c r="CD71" s="1190">
        <f>'2026'!R\Max</f>
        <v>1.0086296254599769</v>
      </c>
      <c r="CE71" s="1191">
        <f>'2027'!R\Max</f>
        <v>1.0086296254599767</v>
      </c>
      <c r="CF71" s="1193">
        <f>'2028'!R\Max</f>
        <v>1.0086296254599769</v>
      </c>
    </row>
    <row r="72" spans="1:84" s="6" customFormat="1" ht="11.25" x14ac:dyDescent="0.2">
      <c r="A72" s="11">
        <v>43158</v>
      </c>
      <c r="B72" s="379">
        <f>'2022'!Maxi_hp</f>
        <v>42.979805880549684</v>
      </c>
      <c r="C72" s="13">
        <f>'2022'!An_max</f>
        <v>2021</v>
      </c>
      <c r="D72" s="1045">
        <f t="shared" si="7"/>
        <v>0.9882779779112556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43.48959183668984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43.501062463471733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43.549597667330616</v>
      </c>
      <c r="AZ72" s="735">
        <f t="shared" si="26"/>
        <v>43.525330065401178</v>
      </c>
      <c r="BA72" s="633">
        <f t="shared" si="21"/>
        <v>0.9882779779112556</v>
      </c>
      <c r="BC72" s="11">
        <v>43158</v>
      </c>
      <c r="BD72" s="289">
        <f>[2]!FeuilCaduc*(1-Persistant)+Persistant</f>
        <v>0.50342114857492537</v>
      </c>
      <c r="BE72" s="290">
        <f>[2]!CroissVégét</f>
        <v>1.2935299036280712E-2</v>
      </c>
      <c r="BF72" s="804">
        <f>1+[2]!Salcycl*Ksac</f>
        <v>1.0003421148574925</v>
      </c>
      <c r="BH72" s="1036">
        <f t="shared" si="22"/>
        <v>6.423976088638466E-3</v>
      </c>
      <c r="BI72" s="11">
        <v>44254</v>
      </c>
      <c r="BJ72" s="715">
        <v>1.3434132525875762E-4</v>
      </c>
      <c r="BK72" s="715">
        <v>3.8890237140489192E-4</v>
      </c>
      <c r="BL72" s="715">
        <v>1.3665658945937343E-3</v>
      </c>
      <c r="BM72" s="715">
        <v>3.9657688296134913E-3</v>
      </c>
      <c r="BN72" s="715">
        <v>8.8909251275828948E-3</v>
      </c>
      <c r="BO72" s="716">
        <v>1.8705677377258652E-2</v>
      </c>
      <c r="BP72" s="715">
        <v>3.4644716469282431E-2</v>
      </c>
      <c r="BQ72" s="715">
        <v>5.7968994779919993E-2</v>
      </c>
      <c r="BR72" s="715">
        <v>8.9874610342871739E-2</v>
      </c>
      <c r="BS72" s="715">
        <v>0.13016240033655388</v>
      </c>
      <c r="BT72" s="715">
        <v>0.17671331307575081</v>
      </c>
      <c r="BW72" s="1190">
        <f>'2019'!R\Max</f>
        <v>0</v>
      </c>
      <c r="BX72" s="1190">
        <f>'2020'!R\Max</f>
        <v>0.19322359749902174</v>
      </c>
      <c r="BY72" s="1190">
        <f>'2021'!R\Max</f>
        <v>0.9882779779112556</v>
      </c>
      <c r="BZ72" s="1190">
        <f>'2022'!R\Max</f>
        <v>0.71446828033327237</v>
      </c>
      <c r="CA72" s="1190">
        <f>'2023'!R\Max</f>
        <v>0.71432299173517799</v>
      </c>
      <c r="CB72" s="1190">
        <f>'2024'!R\Max</f>
        <v>0.71417686537752212</v>
      </c>
      <c r="CC72" s="1190">
        <f>'2025'!R\Max</f>
        <v>0.71396397719647431</v>
      </c>
      <c r="CD72" s="1190">
        <f>'2026'!R\Max</f>
        <v>0.71375002960154743</v>
      </c>
      <c r="CE72" s="1191">
        <f>'2027'!R\Max</f>
        <v>0.71465045124551563</v>
      </c>
      <c r="CF72" s="1193">
        <f>'2028'!R\Max</f>
        <v>0.71456279241466114</v>
      </c>
    </row>
    <row r="73" spans="1:84" s="6" customFormat="1" ht="11.25" x14ac:dyDescent="0.2">
      <c r="A73" s="11">
        <v>43159</v>
      </c>
      <c r="B73" s="379">
        <f>'2022'!Maxi_hp</f>
        <v>37.518611340462861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43.870445918351678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43.884909976279594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43.943962208238169</v>
      </c>
      <c r="AZ73" s="735">
        <f t="shared" si="26"/>
        <v>43.914436092258882</v>
      </c>
      <c r="BA73" s="633">
        <f t="shared" si="21"/>
        <v>0.85521381319646572</v>
      </c>
      <c r="BC73" s="11">
        <v>43159</v>
      </c>
      <c r="BD73" s="289">
        <f>[2]!FeuilCaduc*(1-Persistant)+Persistant</f>
        <v>0.50355072732069706</v>
      </c>
      <c r="BE73" s="290">
        <f>[2]!CroissVégét</f>
        <v>1.352742218145603E-2</v>
      </c>
      <c r="BF73" s="804">
        <f>1+[2]!Salcycl*Ksac</f>
        <v>1.0003550727320698</v>
      </c>
      <c r="BH73" s="1036">
        <f t="shared" si="22"/>
        <v>6.0850030059373325E-3</v>
      </c>
      <c r="BI73" s="11">
        <v>44255</v>
      </c>
      <c r="BJ73" s="715">
        <v>1.0097707137500104E-4</v>
      </c>
      <c r="BK73" s="715">
        <v>3.3914114909867362E-4</v>
      </c>
      <c r="BL73" s="715">
        <v>1.2634157508560741E-3</v>
      </c>
      <c r="BM73" s="715">
        <v>3.7275942965243176E-3</v>
      </c>
      <c r="BN73" s="715">
        <v>8.4507950394342845E-3</v>
      </c>
      <c r="BO73" s="716">
        <v>1.786860888116058E-2</v>
      </c>
      <c r="BP73" s="715">
        <v>3.3272304498508022E-2</v>
      </c>
      <c r="BQ73" s="715">
        <v>5.5916815522661534E-2</v>
      </c>
      <c r="BR73" s="715">
        <v>8.7021176745916237E-2</v>
      </c>
      <c r="BS73" s="715">
        <v>0.12631481917890761</v>
      </c>
      <c r="BT73" s="715">
        <v>0.17167342957556728</v>
      </c>
      <c r="BW73" s="1190">
        <f>'2019'!R\Max</f>
        <v>0</v>
      </c>
      <c r="BX73" s="1190">
        <f>'2020'!R\Max</f>
        <v>0.43129420019547743</v>
      </c>
      <c r="BY73" s="1190">
        <f>'2021'!R\Max</f>
        <v>0.8121822930228626</v>
      </c>
      <c r="BZ73" s="1190">
        <f>'2022'!R\Max</f>
        <v>0.85521381319646572</v>
      </c>
      <c r="CA73" s="1190">
        <f>'2023'!R\Max</f>
        <v>0.85512930263389109</v>
      </c>
      <c r="CB73" s="1190">
        <f>'2024'!R\Max</f>
        <v>0.85504426059298499</v>
      </c>
      <c r="CC73" s="1190">
        <f>'2025'!R\Max</f>
        <v>0.85491981286863417</v>
      </c>
      <c r="CD73" s="1190">
        <f>'2026'!R\Max</f>
        <v>0.85479467895605143</v>
      </c>
      <c r="CE73" s="1191">
        <f>'2027'!R\Max</f>
        <v>0.85531904673324488</v>
      </c>
      <c r="CF73" s="1193">
        <f>'2028'!R\Max</f>
        <v>0.85526841704534828</v>
      </c>
    </row>
    <row r="74" spans="1:84" s="6" customFormat="1" ht="11.25" x14ac:dyDescent="0.2">
      <c r="A74" s="11">
        <v>43160</v>
      </c>
      <c r="B74" s="379">
        <f>'2022'!Maxi_hp</f>
        <v>43.537458266027507</v>
      </c>
      <c r="C74" s="13">
        <f>'2022'!An_max</f>
        <v>2022</v>
      </c>
      <c r="D74" s="1045">
        <f t="shared" si="7"/>
        <v>0.98385706838615938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44.251812244885201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44.267618658872586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44.33907682199164</v>
      </c>
      <c r="AZ74" s="735">
        <f t="shared" si="26"/>
        <v>44.303347740432116</v>
      </c>
      <c r="BA74" s="633">
        <f t="shared" si="21"/>
        <v>0.98385706838615938</v>
      </c>
      <c r="BC74" s="11">
        <v>43160</v>
      </c>
      <c r="BD74" s="289">
        <f>[2]!FeuilCaduc*(1-Persistant)+Persistant</f>
        <v>0.50367878745206141</v>
      </c>
      <c r="BE74" s="290">
        <f>[2]!CroissVégét</f>
        <v>1.4143631071573595E-2</v>
      </c>
      <c r="BF74" s="804">
        <f>1+[2]!Salcycl*Ksac</f>
        <v>1.0003678787452062</v>
      </c>
      <c r="BH74" s="1036">
        <f t="shared" si="22"/>
        <v>5.7702866029243913E-3</v>
      </c>
      <c r="BI74" s="11">
        <v>44256</v>
      </c>
      <c r="BJ74" s="715">
        <v>7.2373742129453112E-5</v>
      </c>
      <c r="BK74" s="715">
        <v>2.9547029903382325E-4</v>
      </c>
      <c r="BL74" s="715">
        <v>1.1701656794865592E-3</v>
      </c>
      <c r="BM74" s="715">
        <v>3.507946711134404E-3</v>
      </c>
      <c r="BN74" s="715">
        <v>8.0406717388102206E-3</v>
      </c>
      <c r="BO74" s="716">
        <v>1.7076276175511183E-2</v>
      </c>
      <c r="BP74" s="715">
        <v>3.1947142910844162E-2</v>
      </c>
      <c r="BQ74" s="715">
        <v>5.3902512184805788E-2</v>
      </c>
      <c r="BR74" s="715">
        <v>8.4188313879955748E-2</v>
      </c>
      <c r="BS74" s="715">
        <v>0.1224910385918878</v>
      </c>
      <c r="BT74" s="715">
        <v>0.16668287748846805</v>
      </c>
      <c r="BW74" s="1190">
        <f>'2019'!R\Max</f>
        <v>0</v>
      </c>
      <c r="BX74" s="1190">
        <f>'2020'!R\Max</f>
        <v>0.3666950880110153</v>
      </c>
      <c r="BY74" s="1190">
        <f>'2021'!R\Max</f>
        <v>0.89437515808208767</v>
      </c>
      <c r="BZ74" s="1190">
        <f>'2022'!R\Max</f>
        <v>0.98385706838615938</v>
      </c>
      <c r="CA74" s="1190">
        <f>'2023'!R\Max</f>
        <v>0.98384669054506402</v>
      </c>
      <c r="CB74" s="1190">
        <f>'2024'!R\Max</f>
        <v>0.98383624219286525</v>
      </c>
      <c r="CC74" s="1190">
        <f>'2025'!R\Max</f>
        <v>0.98382088955498737</v>
      </c>
      <c r="CD74" s="1190">
        <f>'2026'!R\Max</f>
        <v>0.9838054444310752</v>
      </c>
      <c r="CE74" s="1191">
        <f>'2027'!R\Max</f>
        <v>0.98386991409350399</v>
      </c>
      <c r="CF74" s="1193">
        <f>'2028'!R\Max</f>
        <v>0.98386373461062082</v>
      </c>
    </row>
    <row r="75" spans="1:84" s="6" customFormat="1" ht="11.25" x14ac:dyDescent="0.2">
      <c r="A75" s="11">
        <v>43161</v>
      </c>
      <c r="B75" s="379">
        <f>'2022'!Maxi_hp</f>
        <v>30.966593074683484</v>
      </c>
      <c r="C75" s="13">
        <f>'2022'!An_max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44.633690816330322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44.648955256866095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44.734612208352033</v>
      </c>
      <c r="AZ75" s="735">
        <f t="shared" si="26"/>
        <v>44.691783732609068</v>
      </c>
      <c r="BA75" s="633">
        <f t="shared" si="21"/>
        <v>0.69379413864993666</v>
      </c>
      <c r="BC75" s="11">
        <v>43161</v>
      </c>
      <c r="BD75" s="289">
        <f>[2]!FeuilCaduc*(1-Persistant)+Persistant</f>
        <v>0.50380629869445648</v>
      </c>
      <c r="BE75" s="290">
        <f>[2]!CroissVégét</f>
        <v>1.47848730100967E-2</v>
      </c>
      <c r="BF75" s="804">
        <f>1+[2]!Salcycl*Ksac</f>
        <v>1.0003806298694458</v>
      </c>
      <c r="BH75" s="1036">
        <f t="shared" si="22"/>
        <v>5.4798243466704973E-3</v>
      </c>
      <c r="BI75" s="11">
        <v>44257</v>
      </c>
      <c r="BJ75" s="715">
        <v>4.8531322120571848E-5</v>
      </c>
      <c r="BK75" s="715">
        <v>2.5788970733848252E-4</v>
      </c>
      <c r="BL75" s="715">
        <v>1.0868151800726966E-3</v>
      </c>
      <c r="BM75" s="715">
        <v>3.3068245274958676E-3</v>
      </c>
      <c r="BN75" s="715">
        <v>7.6605517022904348E-3</v>
      </c>
      <c r="BO75" s="716">
        <v>1.632867163651127E-2</v>
      </c>
      <c r="BP75" s="715">
        <v>3.0669217189552411E-2</v>
      </c>
      <c r="BQ75" s="715">
        <v>5.1926060092594373E-2</v>
      </c>
      <c r="BR75" s="715">
        <v>8.137598333533011E-2</v>
      </c>
      <c r="BS75" s="715">
        <v>0.11869100338062882</v>
      </c>
      <c r="BT75" s="715">
        <v>0.16174158259576801</v>
      </c>
      <c r="BW75" s="1190">
        <f>'2019'!R\Max</f>
        <v>0</v>
      </c>
      <c r="BX75" s="1190">
        <f>'2020'!R\Max</f>
        <v>0.69379413864993666</v>
      </c>
      <c r="BY75" s="1190">
        <f>'2021'!R\Max</f>
        <v>0.39736449693422593</v>
      </c>
      <c r="BZ75" s="1190">
        <f>'2022'!R\Max</f>
        <v>0.28404412849096522</v>
      </c>
      <c r="CA75" s="1190">
        <f>'2023'!R\Max</f>
        <v>0.28391990442782727</v>
      </c>
      <c r="CB75" s="1190">
        <f>'2024'!R\Max</f>
        <v>0.2837949009591671</v>
      </c>
      <c r="CC75" s="1190">
        <f>'2025'!R\Max</f>
        <v>0.28361076491042791</v>
      </c>
      <c r="CD75" s="1190">
        <f>'2026'!R\Max</f>
        <v>0.28342570559603153</v>
      </c>
      <c r="CE75" s="1191">
        <f>'2027'!R\Max</f>
        <v>0.2841973128275655</v>
      </c>
      <c r="CF75" s="1193">
        <f>'2028'!R\Max</f>
        <v>0.2841236073423738</v>
      </c>
    </row>
    <row r="76" spans="1:84" s="6" customFormat="1" ht="11.25" x14ac:dyDescent="0.2">
      <c r="A76" s="11">
        <v>43162</v>
      </c>
      <c r="B76" s="379">
        <f>'2022'!Maxi_hp</f>
        <v>38.923472241989082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45.016081632567307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45.028686516008541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45.130239066907336</v>
      </c>
      <c r="AZ76" s="735">
        <f t="shared" si="26"/>
        <v>45.079462791457942</v>
      </c>
      <c r="BA76" s="633">
        <f t="shared" si="21"/>
        <v>0.86465704766781681</v>
      </c>
      <c r="BC76" s="11">
        <v>43162</v>
      </c>
      <c r="BD76" s="289">
        <f>[2]!FeuilCaduc*(1-Persistant)+Persistant</f>
        <v>0.50393442864065063</v>
      </c>
      <c r="BE76" s="290">
        <f>[2]!CroissVégét</f>
        <v>1.5452129829812465E-2</v>
      </c>
      <c r="BF76" s="804">
        <f>1+[2]!Salcycl*Ksac</f>
        <v>1.0003934428640651</v>
      </c>
      <c r="BH76" s="1036">
        <f t="shared" si="22"/>
        <v>5.2136142470798974E-3</v>
      </c>
      <c r="BI76" s="11">
        <v>44258</v>
      </c>
      <c r="BJ76" s="715">
        <v>2.9449853400569381E-5</v>
      </c>
      <c r="BK76" s="715">
        <v>2.2639934411724282E-4</v>
      </c>
      <c r="BL76" s="715">
        <v>1.0133639216572561E-3</v>
      </c>
      <c r="BM76" s="715">
        <v>3.1242265835883035E-3</v>
      </c>
      <c r="BN76" s="715">
        <v>7.3104321087590551E-3</v>
      </c>
      <c r="BO76" s="716">
        <v>1.5625788955134962E-2</v>
      </c>
      <c r="BP76" s="715">
        <v>2.9438514929270312E-2</v>
      </c>
      <c r="BQ76" s="715">
        <v>4.9987437673848278E-2</v>
      </c>
      <c r="BR76" s="715">
        <v>7.8584150960543817E-2</v>
      </c>
      <c r="BS76" s="715">
        <v>0.11491466408536843</v>
      </c>
      <c r="BT76" s="715">
        <v>0.15684947822194731</v>
      </c>
      <c r="BW76" s="1190">
        <f>'2019'!R\Max</f>
        <v>0</v>
      </c>
      <c r="BX76" s="1190">
        <f>'2020'!R\Max</f>
        <v>0.53789960793849623</v>
      </c>
      <c r="BY76" s="1190">
        <f>'2021'!R\Max</f>
        <v>0.36653299361920066</v>
      </c>
      <c r="BZ76" s="1190">
        <f>'2022'!R\Max</f>
        <v>0.86465704766781681</v>
      </c>
      <c r="CA76" s="1190">
        <f>'2023'!R\Max</f>
        <v>0.86458720271415612</v>
      </c>
      <c r="CB76" s="1190">
        <f>'2024'!R\Max</f>
        <v>0.8645168443327429</v>
      </c>
      <c r="CC76" s="1190">
        <f>'2025'!R\Max</f>
        <v>0.86441277953471152</v>
      </c>
      <c r="CD76" s="1190">
        <f>'2026'!R\Max</f>
        <v>0.86430805198780025</v>
      </c>
      <c r="CE76" s="1191">
        <f>'2027'!R\Max</f>
        <v>0.86474280116981694</v>
      </c>
      <c r="CF76" s="1193">
        <f>'2028'!R\Max</f>
        <v>0.86470155178707753</v>
      </c>
    </row>
    <row r="77" spans="1:84" s="6" customFormat="1" ht="11.25" x14ac:dyDescent="0.2">
      <c r="A77" s="11">
        <v>43163</v>
      </c>
      <c r="B77" s="379">
        <f>'2022'!Maxi_hp</f>
        <v>32.038386239307918</v>
      </c>
      <c r="C77" s="13">
        <f>'2022'!An_max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45.398984693915452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45.406579181841309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45.525628097578213</v>
      </c>
      <c r="AZ77" s="735">
        <f t="shared" si="26"/>
        <v>45.466103639709758</v>
      </c>
      <c r="BA77" s="633">
        <f t="shared" si="21"/>
        <v>0.70570710898743572</v>
      </c>
      <c r="BC77" s="11">
        <v>43163</v>
      </c>
      <c r="BD77" s="289">
        <f>[2]!FeuilCaduc*(1-Persistant)+Persistant</f>
        <v>0.50406454322149952</v>
      </c>
      <c r="BE77" s="290">
        <f>[2]!CroissVégét</f>
        <v>1.6146418920009037E-2</v>
      </c>
      <c r="BF77" s="804">
        <f>1+[2]!Salcycl*Ksac</f>
        <v>1.00040645432215</v>
      </c>
      <c r="BH77" s="1036">
        <f t="shared" si="22"/>
        <v>4.9716547671531195E-3</v>
      </c>
      <c r="BI77" s="11">
        <v>44259</v>
      </c>
      <c r="BJ77" s="715">
        <v>1.5129417860922779E-5</v>
      </c>
      <c r="BK77" s="715">
        <v>2.0099924091822869E-4</v>
      </c>
      <c r="BL77" s="715">
        <v>9.4981170611135705E-4</v>
      </c>
      <c r="BM77" s="715">
        <v>2.960152032777118E-3</v>
      </c>
      <c r="BN77" s="715">
        <v>6.9903107283966837E-3</v>
      </c>
      <c r="BO77" s="716">
        <v>1.4967622971639482E-2</v>
      </c>
      <c r="BP77" s="715">
        <v>2.8255025661237162E-2</v>
      </c>
      <c r="BQ77" s="715">
        <v>4.8086626317907603E-2</v>
      </c>
      <c r="BR77" s="715">
        <v>7.581278678627755E-2</v>
      </c>
      <c r="BS77" s="715">
        <v>0.11116197689357393</v>
      </c>
      <c r="BT77" s="715">
        <v>0.1520065050523946</v>
      </c>
      <c r="BW77" s="1190">
        <f>'2019'!R\Max</f>
        <v>0</v>
      </c>
      <c r="BX77" s="1190">
        <f>'2020'!R\Max</f>
        <v>0.12312922626852597</v>
      </c>
      <c r="BY77" s="1190">
        <f>'2021'!R\Max</f>
        <v>0.70570710898743572</v>
      </c>
      <c r="BZ77" s="1190">
        <f>'2022'!R\Max</f>
        <v>9.208930060136207E-2</v>
      </c>
      <c r="CA77" s="1190">
        <f>'2023'!R\Max</f>
        <v>9.2052596396145464E-2</v>
      </c>
      <c r="CB77" s="1190">
        <f>'2024'!R\Max</f>
        <v>9.2015632407929843E-2</v>
      </c>
      <c r="CC77" s="1190">
        <f>'2025'!R\Max</f>
        <v>9.1960850961376212E-2</v>
      </c>
      <c r="CD77" s="1190">
        <f>'2026'!R\Max</f>
        <v>9.1905756133691507E-2</v>
      </c>
      <c r="CE77" s="1191">
        <f>'2027'!R\Max</f>
        <v>9.2134296416424621E-2</v>
      </c>
      <c r="CF77" s="1193">
        <f>'2028'!R\Max</f>
        <v>9.211264865133606E-2</v>
      </c>
    </row>
    <row r="78" spans="1:84" s="6" customFormat="1" ht="11.25" x14ac:dyDescent="0.2">
      <c r="A78" s="11">
        <v>43164</v>
      </c>
      <c r="B78" s="379">
        <f>'2022'!Maxi_hp</f>
        <v>38.035034481034316</v>
      </c>
      <c r="C78" s="13">
        <f>'2022'!An_max</f>
        <v>2021</v>
      </c>
      <c r="D78" s="1045" t="str">
        <f t="shared" si="7"/>
        <v/>
      </c>
      <c r="E78" s="1040">
        <f>R$13/10</f>
        <v>45.782400000000003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45.782399999909103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45.782400000002234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45.920449999812988</v>
      </c>
      <c r="AZ78" s="735">
        <f t="shared" si="26"/>
        <v>45.851424999907607</v>
      </c>
      <c r="BA78" s="633">
        <f t="shared" si="21"/>
        <v>0.83077851928054958</v>
      </c>
      <c r="BC78" s="11">
        <v>43164</v>
      </c>
      <c r="BD78" s="289">
        <f>[2]!FeuilCaduc*(1-Persistant)+Persistant</f>
        <v>0.50419820582872832</v>
      </c>
      <c r="BE78" s="290">
        <f>[2]!CroissVégét</f>
        <v>1.6868794263800321E-2</v>
      </c>
      <c r="BF78" s="804">
        <f>1+[2]!Salcycl*Ksac</f>
        <v>1.0004198205828729</v>
      </c>
      <c r="BH78" s="1036">
        <f t="shared" si="22"/>
        <v>4.753944733265774E-3</v>
      </c>
      <c r="BI78" s="11">
        <v>44260</v>
      </c>
      <c r="BJ78" s="715">
        <v>5.5701196179925097E-6</v>
      </c>
      <c r="BK78" s="715">
        <v>1.8168946820089102E-4</v>
      </c>
      <c r="BL78" s="715">
        <v>8.9615843151066648E-4</v>
      </c>
      <c r="BM78" s="715">
        <v>2.8146002752814235E-3</v>
      </c>
      <c r="BN78" s="715">
        <v>6.7001858116947461E-3</v>
      </c>
      <c r="BO78" s="716">
        <v>1.4354169510122548E-2</v>
      </c>
      <c r="BP78" s="715">
        <v>2.7118740678609528E-2</v>
      </c>
      <c r="BQ78" s="715">
        <v>4.6223610235723071E-2</v>
      </c>
      <c r="BR78" s="715">
        <v>7.3061864949637637E-2</v>
      </c>
      <c r="BS78" s="715">
        <v>0.10743290355241558</v>
      </c>
      <c r="BT78" s="715">
        <v>0.14721261095162624</v>
      </c>
      <c r="BW78" s="1190">
        <f>'2019'!R\Max</f>
        <v>0</v>
      </c>
      <c r="BX78" s="1190">
        <f>'2020'!R\Max</f>
        <v>0.19855108203745525</v>
      </c>
      <c r="BY78" s="1190">
        <f>'2021'!R\Max</f>
        <v>0.83077851928054958</v>
      </c>
      <c r="BZ78" s="1190">
        <f>'2022'!R\Max</f>
        <v>0.31445844399429806</v>
      </c>
      <c r="CA78" s="1190">
        <f>'2023'!R\Max</f>
        <v>0.31434151605060556</v>
      </c>
      <c r="CB78" s="1190">
        <f>'2024'!R\Max</f>
        <v>0.31422370963274482</v>
      </c>
      <c r="CC78" s="1190">
        <f>'2025'!R\Max</f>
        <v>0.31404869606826769</v>
      </c>
      <c r="CD78" s="1190">
        <f>'2026'!R\Max</f>
        <v>0.31387260908872833</v>
      </c>
      <c r="CE78" s="1191">
        <f>'2027'!R\Max</f>
        <v>0.31460167425661945</v>
      </c>
      <c r="CF78" s="1193">
        <f>'2028'!R\Max</f>
        <v>0.31453276678776398</v>
      </c>
    </row>
    <row r="79" spans="1:84" s="6" customFormat="1" ht="11.25" x14ac:dyDescent="0.2">
      <c r="A79" s="11">
        <v>43165</v>
      </c>
      <c r="B79" s="379">
        <f>'2022'!Maxi_hp</f>
        <v>17.358899888574093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46.167516691058083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46.159512864472347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46.314375473472424</v>
      </c>
      <c r="AZ79" s="735">
        <f t="shared" si="26"/>
        <v>46.236944168972386</v>
      </c>
      <c r="BA79" s="633">
        <f t="shared" ref="BA79:BA142" si="74">+B79/J79</f>
        <v>0.3759981288301833</v>
      </c>
      <c r="BC79" s="11">
        <v>43165</v>
      </c>
      <c r="BD79" s="289">
        <f>[2]!FeuilCaduc*(1-Persistant)+Persistant</f>
        <v>0.50433717512471332</v>
      </c>
      <c r="BE79" s="290">
        <f>[2]!CroissVégét</f>
        <v>1.7620347483596571E-2</v>
      </c>
      <c r="BF79" s="804">
        <f>1+[2]!Salcycl*Ksac</f>
        <v>1.0004337175124713</v>
      </c>
      <c r="BH79" s="1036">
        <f t="shared" ref="BH79:BH142" si="75">INDEX($BJ79:$BT79,,$BH$10)*(1-Ratini)+INDEX($BJ79:$BT79,,$BH$10+1)*Ratini</f>
        <v>4.560483245426729E-3</v>
      </c>
      <c r="BI79" s="11">
        <v>44261</v>
      </c>
      <c r="BJ79" s="715">
        <v>7.7206739852696237E-7</v>
      </c>
      <c r="BK79" s="715">
        <v>1.6847011280290869E-4</v>
      </c>
      <c r="BL79" s="715">
        <v>8.5240405550758905E-4</v>
      </c>
      <c r="BM79" s="715">
        <v>2.6875708896295816E-3</v>
      </c>
      <c r="BN79" s="715">
        <v>6.4400559784409291E-3</v>
      </c>
      <c r="BO79" s="716">
        <v>1.3785425213017876E-2</v>
      </c>
      <c r="BP79" s="715">
        <v>2.6029652861660067E-2</v>
      </c>
      <c r="BQ79" s="715">
        <v>4.4398376319749772E-2</v>
      </c>
      <c r="BR79" s="715">
        <v>7.033136361809475E-2</v>
      </c>
      <c r="BS79" s="715">
        <v>0.10372741128078578</v>
      </c>
      <c r="BT79" s="715">
        <v>0.14246775078088361</v>
      </c>
      <c r="BW79" s="1190">
        <f>'2019'!R\Max</f>
        <v>0</v>
      </c>
      <c r="BX79" s="1190">
        <f>'2020'!R\Max</f>
        <v>0.24797087617757202</v>
      </c>
      <c r="BY79" s="1190">
        <f>'2021'!R\Max</f>
        <v>0.26060179036575737</v>
      </c>
      <c r="BZ79" s="1190">
        <f>'2022'!R\Max</f>
        <v>0.3759981288301833</v>
      </c>
      <c r="CA79" s="1190">
        <f>'2023'!R\Max</f>
        <v>0.37587703926732713</v>
      </c>
      <c r="CB79" s="1190">
        <f>'2024'!R\Max</f>
        <v>0.37575498038693977</v>
      </c>
      <c r="CC79" s="1190">
        <f>'2025'!R\Max</f>
        <v>0.37557329023498898</v>
      </c>
      <c r="CD79" s="1190">
        <f>'2026'!R\Max</f>
        <v>0.37539039296381349</v>
      </c>
      <c r="CE79" s="1191">
        <f>'2027'!R\Max</f>
        <v>0.37614658551726016</v>
      </c>
      <c r="CF79" s="1193">
        <f>'2028'!R\Max</f>
        <v>0.37607516409798963</v>
      </c>
    </row>
    <row r="80" spans="1:84" s="6" customFormat="1" ht="11.25" x14ac:dyDescent="0.2">
      <c r="A80" s="11">
        <v>43166</v>
      </c>
      <c r="B80" s="379">
        <f>'2022'!Maxi_hp</f>
        <v>42.780921418940942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46.555158017549132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46.541071282696379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46.70707521829754</v>
      </c>
      <c r="AZ80" s="735">
        <f t="shared" ref="AZ80:AZ143" si="77">(AY80+AT80)/2</f>
        <v>46.624073250496963</v>
      </c>
      <c r="BA80" s="633">
        <f t="shared" si="74"/>
        <v>0.91892978653008806</v>
      </c>
      <c r="BC80" s="11">
        <v>43166</v>
      </c>
      <c r="BD80" s="289">
        <f>[2]!FeuilCaduc*(1-Persistant)+Persistant</f>
        <v>0.50448340158613203</v>
      </c>
      <c r="BE80" s="290">
        <f>[2]!CroissVégét</f>
        <v>1.8402208892467707E-2</v>
      </c>
      <c r="BF80" s="804">
        <f>1+[2]!Salcycl*Ksac</f>
        <v>1.0004483401586133</v>
      </c>
      <c r="BH80" s="1036">
        <f t="shared" si="75"/>
        <v>4.3930767050854198E-3</v>
      </c>
      <c r="BI80" s="11">
        <v>44262</v>
      </c>
      <c r="BJ80" s="715">
        <v>7.3458444601994343E-7</v>
      </c>
      <c r="BK80" s="715">
        <v>1.6179065986652349E-4</v>
      </c>
      <c r="BL80" s="715">
        <v>8.1942587507214542E-4</v>
      </c>
      <c r="BM80" s="715">
        <v>2.5806240979517887E-3</v>
      </c>
      <c r="BN80" s="715">
        <v>6.2119746848571114E-3</v>
      </c>
      <c r="BO80" s="716">
        <v>1.327107971078415E-2</v>
      </c>
      <c r="BP80" s="715">
        <v>2.5013780271902503E-2</v>
      </c>
      <c r="BQ80" s="715">
        <v>4.2660234726833814E-2</v>
      </c>
      <c r="BR80" s="715">
        <v>6.7687843926433566E-2</v>
      </c>
      <c r="BS80" s="715">
        <v>0.10011573565606707</v>
      </c>
      <c r="BT80" s="715">
        <v>0.13783407701412959</v>
      </c>
      <c r="BW80" s="1190">
        <f>'2019'!R\Max</f>
        <v>0</v>
      </c>
      <c r="BX80" s="1190">
        <f>'2020'!R\Max</f>
        <v>0.47342210647840954</v>
      </c>
      <c r="BY80" s="1190">
        <f>'2021'!R\Max</f>
        <v>0.25343702795295892</v>
      </c>
      <c r="BZ80" s="1190">
        <f>'2022'!R\Max</f>
        <v>0.91892978653008806</v>
      </c>
      <c r="CA80" s="1190">
        <f>'2023'!R\Max</f>
        <v>0.91889320020405907</v>
      </c>
      <c r="CB80" s="1190">
        <f>'2024'!R\Max</f>
        <v>0.91885628551408383</v>
      </c>
      <c r="CC80" s="1190">
        <f>'2025'!R\Max</f>
        <v>0.91880122945008491</v>
      </c>
      <c r="CD80" s="1190">
        <f>'2026'!R\Max</f>
        <v>0.91874573960599426</v>
      </c>
      <c r="CE80" s="1191">
        <f>'2027'!R\Max</f>
        <v>0.91897472932318747</v>
      </c>
      <c r="CF80" s="1193">
        <f>'2028'!R\Max</f>
        <v>0.91895311051984641</v>
      </c>
    </row>
    <row r="81" spans="1:84" s="6" customFormat="1" ht="11.25" x14ac:dyDescent="0.2">
      <c r="A81" s="11">
        <v>43167</v>
      </c>
      <c r="B81" s="379">
        <f>'2022'!Maxi_hp</f>
        <v>34.863147641201927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46.94477514588673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46.926526421223699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47.098219934322074</v>
      </c>
      <c r="AZ81" s="735">
        <f t="shared" si="77"/>
        <v>47.012373177772886</v>
      </c>
      <c r="BA81" s="633">
        <f t="shared" si="74"/>
        <v>0.74264170044185662</v>
      </c>
      <c r="BC81" s="11">
        <v>43167</v>
      </c>
      <c r="BD81" s="289">
        <f>[2]!FeuilCaduc*(1-Persistant)+Persistant</f>
        <v>0.5046390228393236</v>
      </c>
      <c r="BE81" s="290">
        <f>[2]!CroissVégét</f>
        <v>1.9215548548887868E-2</v>
      </c>
      <c r="BF81" s="804">
        <f>1+[2]!Salcycl*Ksac</f>
        <v>1.0004639022839323</v>
      </c>
      <c r="BH81" s="1036">
        <f t="shared" si="75"/>
        <v>4.2418276389615695E-3</v>
      </c>
      <c r="BI81" s="11">
        <v>44263</v>
      </c>
      <c r="BJ81" s="715">
        <v>7.1511610730572026E-7</v>
      </c>
      <c r="BK81" s="715">
        <v>1.5582719308897752E-4</v>
      </c>
      <c r="BL81" s="715">
        <v>7.901711955768647E-4</v>
      </c>
      <c r="BM81" s="715">
        <v>2.4852476747126177E-3</v>
      </c>
      <c r="BN81" s="715">
        <v>6.004654283754649E-3</v>
      </c>
      <c r="BO81" s="716">
        <v>1.2793728082124631E-2</v>
      </c>
      <c r="BP81" s="715">
        <v>2.4059757427802319E-2</v>
      </c>
      <c r="BQ81" s="715">
        <v>4.1014718362308758E-2</v>
      </c>
      <c r="BR81" s="715">
        <v>6.5158943308572928E-2</v>
      </c>
      <c r="BS81" s="715">
        <v>9.6634281030966732E-2</v>
      </c>
      <c r="BT81" s="715">
        <v>0.13334546863694791</v>
      </c>
      <c r="BW81" s="1190">
        <f>'2019'!R\Max</f>
        <v>0</v>
      </c>
      <c r="BX81" s="1190">
        <f>'2020'!R\Max</f>
        <v>0.6115906948595603</v>
      </c>
      <c r="BY81" s="1190">
        <f>'2021'!R\Max</f>
        <v>0.52051095042586026</v>
      </c>
      <c r="BZ81" s="1190">
        <f>'2022'!R\Max</f>
        <v>0.74264170044185662</v>
      </c>
      <c r="CA81" s="1190">
        <f>'2023'!R\Max</f>
        <v>0.74255237767809035</v>
      </c>
      <c r="CB81" s="1190">
        <f>'2024'!R\Max</f>
        <v>0.74246223082818041</v>
      </c>
      <c r="CC81" s="1190">
        <f>'2025'!R\Max</f>
        <v>0.74232767745683115</v>
      </c>
      <c r="CD81" s="1190">
        <f>'2026'!R\Max</f>
        <v>0.74219204428623642</v>
      </c>
      <c r="CE81" s="1191">
        <f>'2027'!R\Max</f>
        <v>0.74275176967236722</v>
      </c>
      <c r="CF81" s="1193">
        <f>'2028'!R\Max</f>
        <v>0.74269881739194643</v>
      </c>
    </row>
    <row r="82" spans="1:84" s="6" customFormat="1" ht="11.25" x14ac:dyDescent="0.2">
      <c r="A82" s="11">
        <v>43168</v>
      </c>
      <c r="B82" s="379">
        <f>'2022'!Maxi_hp</f>
        <v>45.223150143497143</v>
      </c>
      <c r="C82" s="13">
        <f>'2022'!An_max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47.3358192421762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47.315329446064844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47.487480320522032</v>
      </c>
      <c r="AZ82" s="735">
        <f t="shared" si="77"/>
        <v>47.401404883293438</v>
      </c>
      <c r="BA82" s="633">
        <f t="shared" si="74"/>
        <v>0.95536848981380529</v>
      </c>
      <c r="BC82" s="11">
        <v>43168</v>
      </c>
      <c r="BD82" s="289">
        <f>[2]!FeuilCaduc*(1-Persistant)+Persistant</f>
        <v>0.50480635785513883</v>
      </c>
      <c r="BE82" s="290">
        <f>[2]!CroissVégét</f>
        <v>2.0061577312061717E-2</v>
      </c>
      <c r="BF82" s="804">
        <f>1+[2]!Salcycl*Ksac</f>
        <v>1.0004806357855138</v>
      </c>
      <c r="BH82" s="1036">
        <f t="shared" si="75"/>
        <v>4.1067353903052068E-3</v>
      </c>
      <c r="BI82" s="11">
        <v>44264</v>
      </c>
      <c r="BJ82" s="715">
        <v>7.1366237869103864E-7</v>
      </c>
      <c r="BK82" s="715">
        <v>1.5057969151058357E-4</v>
      </c>
      <c r="BL82" s="715">
        <v>7.6463990658015362E-4</v>
      </c>
      <c r="BM82" s="715">
        <v>2.4014412883449519E-3</v>
      </c>
      <c r="BN82" s="715">
        <v>5.8180937920443146E-3</v>
      </c>
      <c r="BO82" s="716">
        <v>1.2353368347939693E-2</v>
      </c>
      <c r="BP82" s="715">
        <v>2.3167580823593058E-2</v>
      </c>
      <c r="BQ82" s="715">
        <v>3.9461821231922441E-2</v>
      </c>
      <c r="BR82" s="715">
        <v>6.2744651516382741E-2</v>
      </c>
      <c r="BS82" s="715">
        <v>9.3283030484825946E-2</v>
      </c>
      <c r="BT82" s="715">
        <v>0.12900190038938864</v>
      </c>
      <c r="BW82" s="1190">
        <f>'2019'!R\Max</f>
        <v>0</v>
      </c>
      <c r="BX82" s="1190">
        <f>'2020'!R\Max</f>
        <v>0.70523650491552958</v>
      </c>
      <c r="BY82" s="1190">
        <f>'2021'!R\Max</f>
        <v>0.95536848981380529</v>
      </c>
      <c r="BZ82" s="1190">
        <f>'2022'!R\Max</f>
        <v>0.71809199529253953</v>
      </c>
      <c r="CA82" s="1190">
        <f>'2023'!R\Max</f>
        <v>0.71800190393671404</v>
      </c>
      <c r="CB82" s="1190">
        <f>'2024'!R\Max</f>
        <v>0.71791094376091846</v>
      </c>
      <c r="CC82" s="1190">
        <f>'2025'!R\Max</f>
        <v>0.71777508482946761</v>
      </c>
      <c r="CD82" s="1190">
        <f>'2026'!R\Max</f>
        <v>0.71763808324104938</v>
      </c>
      <c r="CE82" s="1191">
        <f>'2027'!R\Max</f>
        <v>0.71820338687049246</v>
      </c>
      <c r="CF82" s="1193">
        <f>'2028'!R\Max</f>
        <v>0.71814979465356477</v>
      </c>
    </row>
    <row r="83" spans="1:84" s="6" customFormat="1" ht="11.25" x14ac:dyDescent="0.2">
      <c r="A83" s="11">
        <v>43169</v>
      </c>
      <c r="B83" s="379">
        <f>'2022'!Maxi_hp</f>
        <v>44.941946667610743</v>
      </c>
      <c r="C83" s="13">
        <f>'2022'!An_max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47.727741472389816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47.706931523340089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47.874527077107423</v>
      </c>
      <c r="AZ83" s="735">
        <f t="shared" si="77"/>
        <v>47.790729300223759</v>
      </c>
      <c r="BA83" s="633">
        <f t="shared" si="74"/>
        <v>0.94163153925080156</v>
      </c>
      <c r="BC83" s="11">
        <v>43169</v>
      </c>
      <c r="BD83" s="289">
        <f>[2]!FeuilCaduc*(1-Persistant)+Persistant</f>
        <v>0.50498790007987349</v>
      </c>
      <c r="BE83" s="290">
        <f>[2]!CroissVégét</f>
        <v>2.0941547894735235E-2</v>
      </c>
      <c r="BF83" s="804">
        <f>1+[2]!Salcycl*Ksac</f>
        <v>1.0004987900079874</v>
      </c>
      <c r="BH83" s="1036">
        <f t="shared" si="75"/>
        <v>3.9877993263843061E-3</v>
      </c>
      <c r="BI83" s="11">
        <v>44265</v>
      </c>
      <c r="BJ83" s="715">
        <v>7.3022306259899822E-7</v>
      </c>
      <c r="BK83" s="715">
        <v>1.4604813414315144E-4</v>
      </c>
      <c r="BL83" s="715">
        <v>7.4283189489053917E-4</v>
      </c>
      <c r="BM83" s="715">
        <v>2.3292046053514964E-3</v>
      </c>
      <c r="BN83" s="715">
        <v>5.652292276695222E-3</v>
      </c>
      <c r="BO83" s="716">
        <v>1.1949998777996936E-2</v>
      </c>
      <c r="BP83" s="715">
        <v>2.2337247600294735E-2</v>
      </c>
      <c r="BQ83" s="715">
        <v>3.8001538630746214E-2</v>
      </c>
      <c r="BR83" s="715">
        <v>6.0444960625984895E-2</v>
      </c>
      <c r="BS83" s="715">
        <v>9.0061970637431751E-2</v>
      </c>
      <c r="BT83" s="715">
        <v>0.12480335185822776</v>
      </c>
      <c r="BW83" s="1190">
        <f>'2019'!R\Max</f>
        <v>0</v>
      </c>
      <c r="BX83" s="1190">
        <f>'2020'!R\Max</f>
        <v>0.57809498699560935</v>
      </c>
      <c r="BY83" s="1190">
        <f>'2021'!R\Max</f>
        <v>0.94163153925080156</v>
      </c>
      <c r="BZ83" s="1190">
        <f>'2022'!R\Max</f>
        <v>0.56692185814483353</v>
      </c>
      <c r="CA83" s="1190">
        <f>'2023'!R\Max</f>
        <v>0.56681773931163382</v>
      </c>
      <c r="CB83" s="1190">
        <f>'2024'!R\Max</f>
        <v>0.56671258275797365</v>
      </c>
      <c r="CC83" s="1190">
        <f>'2025'!R\Max</f>
        <v>0.5665554878153084</v>
      </c>
      <c r="CD83" s="1190">
        <f>'2026'!R\Max</f>
        <v>0.5663970355118092</v>
      </c>
      <c r="CE83" s="1191">
        <f>'2027'!R\Max</f>
        <v>0.56705110001969161</v>
      </c>
      <c r="CF83" s="1193">
        <f>'2028'!R\Max</f>
        <v>0.56698891256860406</v>
      </c>
    </row>
    <row r="84" spans="1:84" s="6" customFormat="1" ht="11.25" x14ac:dyDescent="0.2">
      <c r="A84" s="11">
        <v>43170</v>
      </c>
      <c r="B84" s="379">
        <f>'2022'!Maxi_hp</f>
        <v>33.644561072825525</v>
      </c>
      <c r="C84" s="13">
        <f>'2022'!An_max</f>
        <v>2020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48.119993002925597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48.100783819031705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48.259030903716173</v>
      </c>
      <c r="AZ84" s="735">
        <f t="shared" si="77"/>
        <v>48.179907361373935</v>
      </c>
      <c r="BA84" s="633">
        <f t="shared" si="74"/>
        <v>0.6991805063392259</v>
      </c>
      <c r="BC84" s="11">
        <v>43170</v>
      </c>
      <c r="BD84" s="289">
        <f>[2]!FeuilCaduc*(1-Persistant)+Persistant</f>
        <v>0.50518630958649502</v>
      </c>
      <c r="BE84" s="290">
        <f>[2]!CroissVégét</f>
        <v>2.1856755910064932E-2</v>
      </c>
      <c r="BF84" s="804">
        <f>1+[2]!Salcycl*Ksac</f>
        <v>1.0005186309586496</v>
      </c>
      <c r="BH84" s="1036">
        <f t="shared" si="75"/>
        <v>3.885018778667558E-3</v>
      </c>
      <c r="BI84" s="11">
        <v>44266</v>
      </c>
      <c r="BJ84" s="715">
        <v>7.6479770091781874E-7</v>
      </c>
      <c r="BK84" s="715">
        <v>1.4223249731962391E-4</v>
      </c>
      <c r="BL84" s="715">
        <v>7.2474703078363679E-4</v>
      </c>
      <c r="BM84" s="715">
        <v>2.2685372474751026E-3</v>
      </c>
      <c r="BN84" s="715">
        <v>5.507248777869643E-3</v>
      </c>
      <c r="BO84" s="716">
        <v>1.1583617753942413E-2</v>
      </c>
      <c r="BP84" s="715">
        <v>2.1568755316654118E-2</v>
      </c>
      <c r="BQ84" s="715">
        <v>3.6633866800085874E-2</v>
      </c>
      <c r="BR84" s="715">
        <v>5.8259864613051097E-2</v>
      </c>
      <c r="BS84" s="715">
        <v>8.6971091166279615E-2</v>
      </c>
      <c r="BT84" s="715">
        <v>0.1207498069389481</v>
      </c>
      <c r="BW84" s="1190">
        <f>'2019'!R\Max</f>
        <v>0.21821203722196406</v>
      </c>
      <c r="BX84" s="1190">
        <f>'2020'!R\Max</f>
        <v>0.6991805063392259</v>
      </c>
      <c r="BY84" s="1190">
        <f>'2021'!R\Max</f>
        <v>0.68408894560429523</v>
      </c>
      <c r="BZ84" s="1190">
        <f>'2022'!R\Max</f>
        <v>0.34870361764780178</v>
      </c>
      <c r="CA84" s="1190">
        <f>'2023'!R\Max</f>
        <v>0.34861176341028194</v>
      </c>
      <c r="CB84" s="1190">
        <f>'2024'!R\Max</f>
        <v>0.34851896707698732</v>
      </c>
      <c r="CC84" s="1190">
        <f>'2025'!R\Max</f>
        <v>0.34838036927394084</v>
      </c>
      <c r="CD84" s="1190">
        <f>'2026'!R\Max</f>
        <v>0.34824055103453677</v>
      </c>
      <c r="CE84" s="1191">
        <f>'2027'!R\Max</f>
        <v>0.34881814199748129</v>
      </c>
      <c r="CF84" s="1193">
        <f>'2028'!R\Max</f>
        <v>0.34876302841063461</v>
      </c>
    </row>
    <row r="85" spans="1:84" s="6" customFormat="1" ht="11.25" x14ac:dyDescent="0.2">
      <c r="A85" s="11">
        <v>43171</v>
      </c>
      <c r="B85" s="379">
        <f>'2022'!Maxi_hp</f>
        <v>43.401527185164618</v>
      </c>
      <c r="C85" s="13">
        <f>'2022'!An_max</f>
        <v>2020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48.51202500006184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48.496337499760557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48.640662499656898</v>
      </c>
      <c r="AZ85" s="735">
        <f t="shared" si="77"/>
        <v>48.568499999708727</v>
      </c>
      <c r="BA85" s="633">
        <f t="shared" si="74"/>
        <v>0.89465503006954028</v>
      </c>
      <c r="BC85" s="11">
        <v>43171</v>
      </c>
      <c r="BD85" s="289">
        <f>[2]!FeuilCaduc*(1-Persistant)+Persistant</f>
        <v>0.50540440433671407</v>
      </c>
      <c r="BE85" s="290">
        <f>[2]!CroissVégét</f>
        <v>2.2808540908775418E-2</v>
      </c>
      <c r="BF85" s="804">
        <f>1+[2]!Salcycl*Ksac</f>
        <v>1.0005404404336715</v>
      </c>
      <c r="BH85" s="1036">
        <f t="shared" si="75"/>
        <v>3.7983929830270836E-3</v>
      </c>
      <c r="BI85" s="11">
        <v>44267</v>
      </c>
      <c r="BJ85" s="715">
        <v>8.173855083529536E-7</v>
      </c>
      <c r="BK85" s="715">
        <v>1.3913275204444273E-4</v>
      </c>
      <c r="BL85" s="715">
        <v>7.103851542228256E-4</v>
      </c>
      <c r="BM85" s="715">
        <v>2.2194387488807463E-3</v>
      </c>
      <c r="BN85" s="715">
        <v>5.3829622320860646E-3</v>
      </c>
      <c r="BO85" s="716">
        <v>1.1254223632371876E-2</v>
      </c>
      <c r="BP85" s="715">
        <v>2.0862101720197646E-2</v>
      </c>
      <c r="BQ85" s="715">
        <v>3.5358802584585243E-2</v>
      </c>
      <c r="BR85" s="715">
        <v>5.6189358928406208E-2</v>
      </c>
      <c r="BS85" s="715">
        <v>8.4010384324289478E-2</v>
      </c>
      <c r="BT85" s="715">
        <v>0.1168412532983454</v>
      </c>
      <c r="BW85" s="1190">
        <f>'2019'!R\Max</f>
        <v>0.84929876791191117</v>
      </c>
      <c r="BX85" s="1190">
        <f>'2020'!R\Max</f>
        <v>0.89465503006954028</v>
      </c>
      <c r="BY85" s="1190">
        <f>'2021'!R\Max</f>
        <v>0.70561817515089265</v>
      </c>
      <c r="BZ85" s="1190">
        <f>'2022'!R\Max</f>
        <v>0.36002879487308392</v>
      </c>
      <c r="CA85" s="1190">
        <f>'2023'!R\Max</f>
        <v>0.35993981412138087</v>
      </c>
      <c r="CB85" s="1190">
        <f>'2024'!R\Max</f>
        <v>0.3598498768749821</v>
      </c>
      <c r="CC85" s="1190">
        <f>'2025'!R\Max</f>
        <v>0.35971560548894616</v>
      </c>
      <c r="CD85" s="1190">
        <f>'2026'!R\Max</f>
        <v>0.35958009067551894</v>
      </c>
      <c r="CE85" s="1191">
        <f>'2027'!R\Max</f>
        <v>0.36014025875426214</v>
      </c>
      <c r="CF85" s="1193">
        <f>'2028'!R\Max</f>
        <v>0.36008661307689505</v>
      </c>
    </row>
    <row r="86" spans="1:84" s="6" customFormat="1" ht="11.25" x14ac:dyDescent="0.2">
      <c r="A86" s="11">
        <v>43172</v>
      </c>
      <c r="B86" s="379">
        <f>'2022'!Maxi_hp</f>
        <v>43.4645843753053</v>
      </c>
      <c r="C86" s="13">
        <f>'2022'!An_max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48.903288629863937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48.893043731631977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49.019092565801529</v>
      </c>
      <c r="AZ86" s="735">
        <f t="shared" si="77"/>
        <v>48.956068148716753</v>
      </c>
      <c r="BA86" s="633">
        <f t="shared" si="74"/>
        <v>0.88878653344312375</v>
      </c>
      <c r="BC86" s="11">
        <v>43172</v>
      </c>
      <c r="BD86" s="289">
        <f>[2]!FeuilCaduc*(1-Persistant)+Persistant</f>
        <v>0.50564515064949966</v>
      </c>
      <c r="BE86" s="290">
        <f>[2]!CroissVégét</f>
        <v>2.3798287402466985E-2</v>
      </c>
      <c r="BF86" s="804">
        <f>1+[2]!Salcycl*Ksac</f>
        <v>1.00056451506495</v>
      </c>
      <c r="BH86" s="1036">
        <f t="shared" si="75"/>
        <v>3.7272733623925393E-3</v>
      </c>
      <c r="BI86" s="11">
        <v>44268</v>
      </c>
      <c r="BJ86" s="715">
        <v>8.8280671021464422E-7</v>
      </c>
      <c r="BK86" s="715">
        <v>1.3667374969069987E-4</v>
      </c>
      <c r="BL86" s="715">
        <v>6.9939773769584672E-4</v>
      </c>
      <c r="BM86" s="715">
        <v>2.1812646345138642E-3</v>
      </c>
      <c r="BN86" s="715">
        <v>5.2787799456709373E-3</v>
      </c>
      <c r="BO86" s="716">
        <v>1.0962017886442778E-2</v>
      </c>
      <c r="BP86" s="715">
        <v>2.021994314477071E-2</v>
      </c>
      <c r="BQ86" s="715">
        <v>3.4182792428340471E-2</v>
      </c>
      <c r="BR86" s="715">
        <v>5.4253649180445528E-2</v>
      </c>
      <c r="BS86" s="715">
        <v>8.1213562381239182E-2</v>
      </c>
      <c r="BT86" s="715">
        <v>0.11312470680133714</v>
      </c>
      <c r="BW86" s="1190">
        <f>'2019'!R\Max</f>
        <v>0.57201513253990144</v>
      </c>
      <c r="BX86" s="1190">
        <f>'2020'!R\Max</f>
        <v>0.35533979947681105</v>
      </c>
      <c r="BY86" s="1190">
        <f>'2021'!R\Max</f>
        <v>0.88878653344312375</v>
      </c>
      <c r="BZ86" s="1190">
        <f>'2022'!R\Max</f>
        <v>0.20027492696438573</v>
      </c>
      <c r="CA86" s="1190">
        <f>'2023'!R\Max</f>
        <v>0.20022314367064706</v>
      </c>
      <c r="CB86" s="1190">
        <f>'2024'!R\Max</f>
        <v>0.20017078081874168</v>
      </c>
      <c r="CC86" s="1190">
        <f>'2025'!R\Max</f>
        <v>0.20009268099554106</v>
      </c>
      <c r="CD86" s="1190">
        <f>'2026'!R\Max</f>
        <v>0.2000138287912738</v>
      </c>
      <c r="CE86" s="1191">
        <f>'2027'!R\Max</f>
        <v>0.20034012896079276</v>
      </c>
      <c r="CF86" s="1193">
        <f>'2028'!R\Max</f>
        <v>0.20030874461276557</v>
      </c>
    </row>
    <row r="87" spans="1:84" s="6" customFormat="1" ht="11.25" x14ac:dyDescent="0.2">
      <c r="A87" s="11">
        <v>43173</v>
      </c>
      <c r="B87" s="379">
        <f>'2022'!Maxi_hp</f>
        <v>41.9627960937136</v>
      </c>
      <c r="C87" s="13">
        <f>'2022'!An_max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49.293235058550323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49.290353680609925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49.393991799888731</v>
      </c>
      <c r="AZ87" s="735">
        <f t="shared" si="77"/>
        <v>49.342172740249325</v>
      </c>
      <c r="BA87" s="633">
        <f t="shared" si="74"/>
        <v>0.85128914837645253</v>
      </c>
      <c r="BC87" s="11">
        <v>43173</v>
      </c>
      <c r="BD87" s="289">
        <f>[2]!FeuilCaduc*(1-Persistant)+Persistant</f>
        <v>0.50591165297533158</v>
      </c>
      <c r="BE87" s="290">
        <f>[2]!CroissVégét</f>
        <v>2.4827425868542252E-2</v>
      </c>
      <c r="BF87" s="804">
        <f>1+[2]!Salcycl*Ksac</f>
        <v>1.0005911652975332</v>
      </c>
      <c r="BH87" s="1036">
        <f t="shared" si="75"/>
        <v>3.6573007674407742E-3</v>
      </c>
      <c r="BI87" s="11">
        <v>44269</v>
      </c>
      <c r="BJ87" s="715">
        <v>9.4227200120254647E-7</v>
      </c>
      <c r="BK87" s="715">
        <v>1.3458856912889627E-4</v>
      </c>
      <c r="BL87" s="715">
        <v>6.88936909717474E-4</v>
      </c>
      <c r="BM87" s="715">
        <v>2.1439998023550146E-3</v>
      </c>
      <c r="BN87" s="715">
        <v>5.175983273867325E-3</v>
      </c>
      <c r="BO87" s="716">
        <v>1.0679673034487141E-2</v>
      </c>
      <c r="BP87" s="715">
        <v>1.9606405139687016E-2</v>
      </c>
      <c r="BQ87" s="715">
        <v>3.3062449816903212E-2</v>
      </c>
      <c r="BR87" s="715">
        <v>5.2404566754285453E-2</v>
      </c>
      <c r="BS87" s="715">
        <v>7.8520479069459651E-2</v>
      </c>
      <c r="BT87" s="715">
        <v>0.10951703538173162</v>
      </c>
      <c r="BW87" s="1190">
        <f>'2019'!R\Max</f>
        <v>0.47173387502200764</v>
      </c>
      <c r="BX87" s="1190">
        <f>'2020'!R\Max</f>
        <v>0.85128914837645253</v>
      </c>
      <c r="BY87" s="1190">
        <f>'2021'!R\Max</f>
        <v>0.60097049626001786</v>
      </c>
      <c r="BZ87" s="1190">
        <f>'2022'!R\Max</f>
        <v>0.32016382023824647</v>
      </c>
      <c r="CA87" s="1190">
        <f>'2023'!R\Max</f>
        <v>0.32008688537242108</v>
      </c>
      <c r="CB87" s="1190">
        <f>'2024'!R\Max</f>
        <v>0.32000904954153547</v>
      </c>
      <c r="CC87" s="1190">
        <f>'2025'!R\Max</f>
        <v>0.31989307511702586</v>
      </c>
      <c r="CD87" s="1190">
        <f>'2026'!R\Max</f>
        <v>0.31977592873441602</v>
      </c>
      <c r="CE87" s="1191">
        <f>'2027'!R\Max</f>
        <v>0.32026116261277898</v>
      </c>
      <c r="CF87" s="1193">
        <f>'2028'!R\Max</f>
        <v>0.32021430369368109</v>
      </c>
    </row>
    <row r="88" spans="1:84" s="6" customFormat="1" ht="11.25" x14ac:dyDescent="0.2">
      <c r="A88" s="11">
        <v>43174</v>
      </c>
      <c r="B88" s="379">
        <f>'2022'!Maxi_hp</f>
        <v>33.906662518762403</v>
      </c>
      <c r="C88" s="13">
        <f>'2022'!An_max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49.68131545239261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49.687718512851276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49.765030903927979</v>
      </c>
      <c r="AZ88" s="735">
        <f t="shared" si="77"/>
        <v>49.726374708389628</v>
      </c>
      <c r="BA88" s="633">
        <f t="shared" si="74"/>
        <v>0.68248318729107815</v>
      </c>
      <c r="BC88" s="11">
        <v>43174</v>
      </c>
      <c r="BD88" s="289">
        <f>[2]!FeuilCaduc*(1-Persistant)+Persistant</f>
        <v>0.50620714307783987</v>
      </c>
      <c r="BE88" s="290">
        <f>[2]!CroissVégét</f>
        <v>2.5897433731805454E-2</v>
      </c>
      <c r="BF88" s="804">
        <f>1+[2]!Salcycl*Ksac</f>
        <v>1.0006207143077839</v>
      </c>
      <c r="BH88" s="1036">
        <f t="shared" si="75"/>
        <v>3.5884746160148727E-3</v>
      </c>
      <c r="BI88" s="11">
        <v>44270</v>
      </c>
      <c r="BJ88" s="715">
        <v>9.9578058803715886E-7</v>
      </c>
      <c r="BK88" s="715">
        <v>1.3287716909233884E-4</v>
      </c>
      <c r="BL88" s="715">
        <v>6.7900251551505279E-4</v>
      </c>
      <c r="BM88" s="715">
        <v>2.1076438570127531E-3</v>
      </c>
      <c r="BN88" s="715">
        <v>5.0745714470886725E-3</v>
      </c>
      <c r="BO88" s="716">
        <v>1.0407188014945596E-2</v>
      </c>
      <c r="BP88" s="715">
        <v>1.9021486425628946E-2</v>
      </c>
      <c r="BQ88" s="715">
        <v>3.1997773283828086E-2</v>
      </c>
      <c r="BR88" s="715">
        <v>5.0642110253984109E-2</v>
      </c>
      <c r="BS88" s="715">
        <v>7.5931132496137865E-2</v>
      </c>
      <c r="BT88" s="715">
        <v>0.10601823617975725</v>
      </c>
      <c r="BW88" s="1190">
        <f>'2019'!R\Max</f>
        <v>0.25738332045498141</v>
      </c>
      <c r="BX88" s="1190">
        <f>'2020'!R\Max</f>
        <v>0.68248318729107815</v>
      </c>
      <c r="BY88" s="1190">
        <f>'2021'!R\Max</f>
        <v>0.38770478105434281</v>
      </c>
      <c r="BZ88" s="1190">
        <f>'2022'!R\Max</f>
        <v>0.30238308860666813</v>
      </c>
      <c r="CA88" s="1190">
        <f>'2023'!R\Max</f>
        <v>0.30231165703928553</v>
      </c>
      <c r="CB88" s="1190">
        <f>'2024'!R\Max</f>
        <v>0.30223935285301706</v>
      </c>
      <c r="CC88" s="1190">
        <f>'2025'!R\Max</f>
        <v>0.30213175035117668</v>
      </c>
      <c r="CD88" s="1190">
        <f>'2026'!R\Max</f>
        <v>0.30202301384350333</v>
      </c>
      <c r="CE88" s="1191">
        <f>'2027'!R\Max</f>
        <v>0.30247388593636398</v>
      </c>
      <c r="CF88" s="1193">
        <f>'2028'!R\Max</f>
        <v>0.30243017404062</v>
      </c>
    </row>
    <row r="89" spans="1:84" s="6" customFormat="1" ht="11.25" x14ac:dyDescent="0.2">
      <c r="A89" s="11">
        <v>43175</v>
      </c>
      <c r="B89" s="379">
        <f>'2022'!Maxi_hp</f>
        <v>50.695816320188271</v>
      </c>
      <c r="C89" s="13">
        <f>'2022'!An_max</f>
        <v>2020</v>
      </c>
      <c r="D89" s="1045">
        <f t="shared" si="59"/>
        <v>1.0125598814102907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50.066980976551505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50.084589394759881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50.131880575864173</v>
      </c>
      <c r="AZ89" s="735">
        <f t="shared" si="77"/>
        <v>50.108234985312023</v>
      </c>
      <c r="BA89" s="633">
        <f t="shared" si="74"/>
        <v>1.0125598814102907</v>
      </c>
      <c r="BC89" s="11">
        <v>43175</v>
      </c>
      <c r="BD89" s="289">
        <f>[2]!FeuilCaduc*(1-Persistant)+Persistant</f>
        <v>0.5065349687254842</v>
      </c>
      <c r="BE89" s="290">
        <f>[2]!CroissVégét</f>
        <v>2.7009836317349309E-2</v>
      </c>
      <c r="BF89" s="804">
        <f>1+[2]!Salcycl*Ksac</f>
        <v>1.0006534968725485</v>
      </c>
      <c r="BH89" s="1036">
        <f t="shared" si="75"/>
        <v>3.5207943996511202E-3</v>
      </c>
      <c r="BI89" s="11">
        <v>44271</v>
      </c>
      <c r="BJ89" s="715">
        <v>1.043331742242205E-6</v>
      </c>
      <c r="BK89" s="715">
        <v>1.3153950178564818E-4</v>
      </c>
      <c r="BL89" s="715">
        <v>6.6959440219716872E-4</v>
      </c>
      <c r="BM89" s="715">
        <v>2.0721964346554649E-3</v>
      </c>
      <c r="BN89" s="715">
        <v>4.9745438117248311E-3</v>
      </c>
      <c r="BO89" s="716">
        <v>1.0144561929732889E-2</v>
      </c>
      <c r="BP89" s="715">
        <v>1.8465185894232881E-2</v>
      </c>
      <c r="BQ89" s="715">
        <v>3.0988761587716587E-2</v>
      </c>
      <c r="BR89" s="715">
        <v>4.8966278790099078E-2</v>
      </c>
      <c r="BS89" s="715">
        <v>7.3445522081850095E-2</v>
      </c>
      <c r="BT89" s="715">
        <v>0.10262830886733934</v>
      </c>
      <c r="BW89" s="1190">
        <f>'2019'!R\Max</f>
        <v>0.9616908282641915</v>
      </c>
      <c r="BX89" s="1190">
        <f>'2020'!R\Max</f>
        <v>1.0125598814102907</v>
      </c>
      <c r="BY89" s="1190">
        <f>'2021'!R\Max</f>
        <v>0.67043296321501589</v>
      </c>
      <c r="BZ89" s="1190">
        <f>'2022'!R\Max</f>
        <v>0.29948003188844108</v>
      </c>
      <c r="CA89" s="1190">
        <f>'2023'!R\Max</f>
        <v>0.299411938464757</v>
      </c>
      <c r="CB89" s="1190">
        <f>'2024'!R\Max</f>
        <v>0.29934297709609581</v>
      </c>
      <c r="CC89" s="1190">
        <f>'2025'!R\Max</f>
        <v>0.29924048801001585</v>
      </c>
      <c r="CD89" s="1190">
        <f>'2026'!R\Max</f>
        <v>0.29913687265286243</v>
      </c>
      <c r="CE89" s="1191">
        <f>'2027'!R\Max</f>
        <v>0.29956695753064422</v>
      </c>
      <c r="CF89" s="1193">
        <f>'2028'!R\Max</f>
        <v>0.29952510684489225</v>
      </c>
    </row>
    <row r="90" spans="1:84" s="6" customFormat="1" ht="11.25" x14ac:dyDescent="0.2">
      <c r="A90" s="11">
        <v>43176</v>
      </c>
      <c r="B90" s="379">
        <f>'2022'!Maxi_hp</f>
        <v>27.308423529990701</v>
      </c>
      <c r="C90" s="13">
        <f>'2022'!An_max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50.449682798795408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50.480417492586589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50.494211515272035</v>
      </c>
      <c r="AZ90" s="735">
        <f t="shared" si="77"/>
        <v>50.487314503929312</v>
      </c>
      <c r="BA90" s="633">
        <f t="shared" si="74"/>
        <v>0.54130020279617586</v>
      </c>
      <c r="BC90" s="11">
        <v>43176</v>
      </c>
      <c r="BD90" s="289">
        <f>[2]!FeuilCaduc*(1-Persistant)+Persistant</f>
        <v>0.50689858199561411</v>
      </c>
      <c r="BE90" s="290">
        <f>[2]!CroissVégét</f>
        <v>2.8166207768877807E-2</v>
      </c>
      <c r="BF90" s="804">
        <f>1+[2]!Salcycl*Ksac</f>
        <v>1.0006898581995614</v>
      </c>
      <c r="BH90" s="1036">
        <f t="shared" si="75"/>
        <v>3.4542596792951309E-3</v>
      </c>
      <c r="BI90" s="11">
        <v>44272</v>
      </c>
      <c r="BJ90" s="715">
        <v>1.0849248221620247E-6</v>
      </c>
      <c r="BK90" s="715">
        <v>1.3057551150029396E-4</v>
      </c>
      <c r="BL90" s="715">
        <v>6.6071241679772181E-4</v>
      </c>
      <c r="BM90" s="715">
        <v>2.037657199623494E-3</v>
      </c>
      <c r="BN90" s="715">
        <v>4.8758998249589973E-3</v>
      </c>
      <c r="BO90" s="716">
        <v>9.8917940076454752E-3</v>
      </c>
      <c r="BP90" s="715">
        <v>1.7937502502009369E-2</v>
      </c>
      <c r="BQ90" s="715">
        <v>3.003541350594786E-2</v>
      </c>
      <c r="BR90" s="715">
        <v>4.737707165869659E-2</v>
      </c>
      <c r="BS90" s="715">
        <v>7.1063648176005134E-2</v>
      </c>
      <c r="BT90" s="715">
        <v>9.9347255244221916E-2</v>
      </c>
      <c r="BW90" s="1190">
        <f>'2019'!R\Max</f>
        <v>0.31450740470575872</v>
      </c>
      <c r="BX90" s="1190">
        <f>'2020'!R\Max</f>
        <v>0.19461218211181844</v>
      </c>
      <c r="BY90" s="1190">
        <f>'2021'!R\Max</f>
        <v>0.54130020279617586</v>
      </c>
      <c r="BZ90" s="1190">
        <f>'2022'!R\Max</f>
        <v>0.24962715166144575</v>
      </c>
      <c r="CA90" s="1190">
        <f>'2023'!R\Max</f>
        <v>0.2495726466207587</v>
      </c>
      <c r="CB90" s="1190">
        <f>'2024'!R\Max</f>
        <v>0.24951741712520584</v>
      </c>
      <c r="CC90" s="1190">
        <f>'2025'!R\Max</f>
        <v>0.24943546074660239</v>
      </c>
      <c r="CD90" s="1190">
        <f>'2026'!R\Max</f>
        <v>0.24935256689918223</v>
      </c>
      <c r="CE90" s="1191">
        <f>'2027'!R\Max</f>
        <v>0.24969700317406782</v>
      </c>
      <c r="CF90" s="1193">
        <f>'2028'!R\Max</f>
        <v>0.2496633713153576</v>
      </c>
    </row>
    <row r="91" spans="1:84" s="6" customFormat="1" ht="11.25" x14ac:dyDescent="0.2">
      <c r="A91" s="11">
        <v>43177</v>
      </c>
      <c r="B91" s="379">
        <f>'2022'!Maxi_hp</f>
        <v>34.112652515484889</v>
      </c>
      <c r="C91" s="13">
        <f>'2022'!An_max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50.828872084890364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50.874653972538155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50.851694423961455</v>
      </c>
      <c r="AZ91" s="735">
        <f t="shared" si="77"/>
        <v>50.863174198249808</v>
      </c>
      <c r="BA91" s="633">
        <f t="shared" si="74"/>
        <v>0.67112747374194404</v>
      </c>
      <c r="BC91" s="11">
        <v>43177</v>
      </c>
      <c r="BD91" s="289">
        <f>[2]!FeuilCaduc*(1-Persistant)+Persistant</f>
        <v>0.50730152729164557</v>
      </c>
      <c r="BE91" s="290">
        <f>[2]!CroissVégét</f>
        <v>2.9368171926128662E-2</v>
      </c>
      <c r="BF91" s="804">
        <f>1+[2]!Salcycl*Ksac</f>
        <v>1.0007301527291645</v>
      </c>
      <c r="BH91" s="1036">
        <f t="shared" si="75"/>
        <v>3.3888700810068527E-3</v>
      </c>
      <c r="BI91" s="11">
        <v>44273</v>
      </c>
      <c r="BJ91" s="715">
        <v>1.1205592949758661E-6</v>
      </c>
      <c r="BK91" s="715">
        <v>1.2998513322971678E-4</v>
      </c>
      <c r="BL91" s="715">
        <v>6.5235640431789707E-4</v>
      </c>
      <c r="BM91" s="715">
        <v>2.004025841034734E-3</v>
      </c>
      <c r="BN91" s="715">
        <v>4.7786390495689274E-3</v>
      </c>
      <c r="BO91" s="716">
        <v>9.648883567736917E-3</v>
      </c>
      <c r="BP91" s="715">
        <v>1.7438435164204416E-2</v>
      </c>
      <c r="BQ91" s="715">
        <v>2.9137727628310277E-2</v>
      </c>
      <c r="BR91" s="715">
        <v>4.5874488020203469E-2</v>
      </c>
      <c r="BS91" s="715">
        <v>6.8785511672052255E-2</v>
      </c>
      <c r="BT91" s="715">
        <v>9.6175078833761293E-2</v>
      </c>
      <c r="BW91" s="1190">
        <f>'2019'!R\Max</f>
        <v>0.67112747374194404</v>
      </c>
      <c r="BX91" s="1190">
        <f>'2020'!R\Max</f>
        <v>0.26856170377020722</v>
      </c>
      <c r="BY91" s="1190">
        <f>'2021'!R\Max</f>
        <v>0.44779784905283276</v>
      </c>
      <c r="BZ91" s="1190">
        <f>'2022'!R\Max</f>
        <v>0.32033027249533524</v>
      </c>
      <c r="CA91" s="1190">
        <f>'2023'!R\Max</f>
        <v>0.32026497183399238</v>
      </c>
      <c r="CB91" s="1190">
        <f>'2024'!R\Max</f>
        <v>0.32019876599048031</v>
      </c>
      <c r="CC91" s="1190">
        <f>'2025'!R\Max</f>
        <v>0.32010068682199849</v>
      </c>
      <c r="CD91" s="1190">
        <f>'2026'!R\Max</f>
        <v>0.32000144057591057</v>
      </c>
      <c r="CE91" s="1191">
        <f>'2027'!R\Max</f>
        <v>0.32041424937058183</v>
      </c>
      <c r="CF91" s="1193">
        <f>'2028'!R\Max</f>
        <v>0.32037381553557837</v>
      </c>
    </row>
    <row r="92" spans="1:84" s="6" customFormat="1" ht="11.25" x14ac:dyDescent="0.2">
      <c r="A92" s="11">
        <v>43178</v>
      </c>
      <c r="B92" s="379">
        <f>'2022'!Maxi_hp</f>
        <v>46.811989092410982</v>
      </c>
      <c r="C92" s="13">
        <f>'2022'!An_max</f>
        <v>2020</v>
      </c>
      <c r="D92" s="1045" t="str">
        <f t="shared" si="59"/>
        <v/>
      </c>
      <c r="E92" s="1040">
        <f>S$13/10</f>
        <v>51.203999999999994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51.204000000283123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51.266749999357856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51.203999999910593</v>
      </c>
      <c r="AZ92" s="735">
        <f t="shared" si="77"/>
        <v>51.235374999634224</v>
      </c>
      <c r="BA92" s="633">
        <f t="shared" si="74"/>
        <v>0.91422523810936929</v>
      </c>
      <c r="BC92" s="11">
        <v>43178</v>
      </c>
      <c r="BD92" s="289">
        <f>[2]!FeuilCaduc*(1-Persistant)+Persistant</f>
        <v>0.50774742917125781</v>
      </c>
      <c r="BE92" s="290">
        <f>[2]!CroissVégét</f>
        <v>3.0617403154541836E-2</v>
      </c>
      <c r="BF92" s="804">
        <f>1+[2]!Salcycl*Ksac</f>
        <v>1.0007747429171259</v>
      </c>
      <c r="BH92" s="1036">
        <f t="shared" si="75"/>
        <v>3.3246252916769902E-3</v>
      </c>
      <c r="BI92" s="11">
        <v>44274</v>
      </c>
      <c r="BJ92" s="715">
        <v>1.1502347587155602E-6</v>
      </c>
      <c r="BK92" s="715">
        <v>1.2976829128487905E-4</v>
      </c>
      <c r="BL92" s="715">
        <v>6.4452620577030452E-4</v>
      </c>
      <c r="BM92" s="715">
        <v>1.9713020693969412E-3</v>
      </c>
      <c r="BN92" s="715">
        <v>4.6827611487442909E-3</v>
      </c>
      <c r="BO92" s="716">
        <v>9.4158299827261805E-3</v>
      </c>
      <c r="BP92" s="715">
        <v>1.6967982648720632E-2</v>
      </c>
      <c r="BQ92" s="715">
        <v>2.8295702150733681E-2</v>
      </c>
      <c r="BR92" s="715">
        <v>4.4458526578418617E-2</v>
      </c>
      <c r="BS92" s="715">
        <v>6.6611113622927501E-2</v>
      </c>
      <c r="BT92" s="715">
        <v>9.3111784479052939E-2</v>
      </c>
      <c r="BW92" s="1190">
        <f>'2019'!R\Max</f>
        <v>0.24185314286565754</v>
      </c>
      <c r="BX92" s="1190">
        <f>'2020'!R\Max</f>
        <v>0.91422523810936929</v>
      </c>
      <c r="BY92" s="1190">
        <f>'2021'!R\Max</f>
        <v>0.2081006206684255</v>
      </c>
      <c r="BZ92" s="1190">
        <f>'2022'!R\Max</f>
        <v>0.60765794612064927</v>
      </c>
      <c r="CA92" s="1190">
        <f>'2023'!R\Max</f>
        <v>0.60758906101306465</v>
      </c>
      <c r="CB92" s="1190">
        <f>'2024'!R\Max</f>
        <v>0.60751917013924628</v>
      </c>
      <c r="CC92" s="1190">
        <f>'2025'!R\Max</f>
        <v>0.60741580550513719</v>
      </c>
      <c r="CD92" s="1190">
        <f>'2026'!R\Max</f>
        <v>0.6073111402945941</v>
      </c>
      <c r="CE92" s="1191">
        <f>'2027'!R\Max</f>
        <v>0.60774678056490894</v>
      </c>
      <c r="CF92" s="1193">
        <f>'2028'!R\Max</f>
        <v>0.6077040099926726</v>
      </c>
    </row>
    <row r="93" spans="1:84" s="6" customFormat="1" ht="11.25" x14ac:dyDescent="0.2">
      <c r="A93" s="11">
        <v>43179</v>
      </c>
      <c r="B93" s="379">
        <f>'2022'!Maxi_hp</f>
        <v>50.974512464979433</v>
      </c>
      <c r="C93" s="13">
        <f>'2022'!An_max</f>
        <v>2018</v>
      </c>
      <c r="D93" s="1045">
        <f t="shared" si="59"/>
        <v>0.98830349406252582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51.577792420264871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51.656156741728772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51.554366363358817</v>
      </c>
      <c r="AZ93" s="735">
        <f t="shared" si="77"/>
        <v>51.605261552543794</v>
      </c>
      <c r="BA93" s="633">
        <f t="shared" si="74"/>
        <v>0.98830349406252582</v>
      </c>
      <c r="BC93" s="11">
        <v>43179</v>
      </c>
      <c r="BD93" s="289">
        <f>[2]!FeuilCaduc*(1-Persistant)+Persistant</f>
        <v>0.5082399800795161</v>
      </c>
      <c r="BE93" s="290">
        <f>[2]!CroissVégét</f>
        <v>3.1915627119784788E-2</v>
      </c>
      <c r="BF93" s="804">
        <f>1+[2]!Salcycl*Ksac</f>
        <v>1.0008239980079516</v>
      </c>
      <c r="BH93" s="1036">
        <f t="shared" si="75"/>
        <v>3.261525163017906E-3</v>
      </c>
      <c r="BI93" s="11">
        <v>44275</v>
      </c>
      <c r="BJ93" s="715">
        <v>1.1739510032559589E-6</v>
      </c>
      <c r="BK93" s="715">
        <v>1.299249022230181E-4</v>
      </c>
      <c r="BL93" s="715">
        <v>6.3722167737733282E-4</v>
      </c>
      <c r="BM93" s="715">
        <v>1.9394856776061727E-3</v>
      </c>
      <c r="BN93" s="715">
        <v>4.5882660332229137E-3</v>
      </c>
      <c r="BO93" s="716">
        <v>9.1926329475778244E-3</v>
      </c>
      <c r="BP93" s="715">
        <v>1.6526144018663577E-2</v>
      </c>
      <c r="BQ93" s="715">
        <v>2.7509335582259608E-2</v>
      </c>
      <c r="BR93" s="715">
        <v>4.3129186691299275E-2</v>
      </c>
      <c r="BS93" s="715">
        <v>6.4540456999072571E-2</v>
      </c>
      <c r="BT93" s="715">
        <v>9.0157380932044229E-2</v>
      </c>
      <c r="BW93" s="1190">
        <f>'2019'!R\Max</f>
        <v>0.98830349406252582</v>
      </c>
      <c r="BX93" s="1190">
        <f>'2020'!R\Max</f>
        <v>0.94289221612954421</v>
      </c>
      <c r="BY93" s="1190">
        <f>'2021'!R\Max</f>
        <v>0.85693028773037105</v>
      </c>
      <c r="BZ93" s="1190">
        <f>'2022'!R\Max</f>
        <v>0.66991092837147204</v>
      </c>
      <c r="CA93" s="1190">
        <f>'2023'!R\Max</f>
        <v>0.66984927504683156</v>
      </c>
      <c r="CB93" s="1190">
        <f>'2024'!R\Max</f>
        <v>0.66978668392577234</v>
      </c>
      <c r="CC93" s="1190">
        <f>'2025'!R\Max</f>
        <v>0.66969430434793431</v>
      </c>
      <c r="CD93" s="1190">
        <f>'2026'!R\Max</f>
        <v>0.66960072025231987</v>
      </c>
      <c r="CE93" s="1191">
        <f>'2027'!R\Max</f>
        <v>0.6699906279362926</v>
      </c>
      <c r="CF93" s="1193">
        <f>'2028'!R\Max</f>
        <v>0.66995225655596657</v>
      </c>
    </row>
    <row r="94" spans="1:84" s="6" customFormat="1" ht="11.25" x14ac:dyDescent="0.2">
      <c r="A94" s="11">
        <v>43180</v>
      </c>
      <c r="B94" s="379">
        <f>'2022'!Maxi_hp</f>
        <v>52.150714918937091</v>
      </c>
      <c r="C94" s="13">
        <f>'2022'!An_max</f>
        <v>2020</v>
      </c>
      <c r="D94" s="1045">
        <f t="shared" si="59"/>
        <v>1.0038103702350845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51.952755685044188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52.042325363983402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51.905958454576989</v>
      </c>
      <c r="AZ94" s="735">
        <f t="shared" si="77"/>
        <v>51.974141909280192</v>
      </c>
      <c r="BA94" s="633">
        <f t="shared" si="74"/>
        <v>1.0038103702350845</v>
      </c>
      <c r="BC94" s="11">
        <v>43180</v>
      </c>
      <c r="BD94" s="289">
        <f>[2]!FeuilCaduc*(1-Persistant)+Persistant</f>
        <v>0.50878292807574432</v>
      </c>
      <c r="BE94" s="290">
        <f>[2]!CroissVégét</f>
        <v>3.3264621499185201E-2</v>
      </c>
      <c r="BF94" s="804">
        <f>1+[2]!Salcycl*Ksac</f>
        <v>1.0008782928075743</v>
      </c>
      <c r="BH94" s="1036">
        <f t="shared" si="75"/>
        <v>3.1997165366364605E-3</v>
      </c>
      <c r="BI94" s="11">
        <v>44276</v>
      </c>
      <c r="BJ94" s="715">
        <v>1.1854504106742412E-6</v>
      </c>
      <c r="BK94" s="715">
        <v>1.3016742409099324E-4</v>
      </c>
      <c r="BL94" s="715">
        <v>6.3006719328116245E-4</v>
      </c>
      <c r="BM94" s="715">
        <v>1.9082875413308428E-3</v>
      </c>
      <c r="BN94" s="715">
        <v>4.4957380609150178E-3</v>
      </c>
      <c r="BO94" s="716">
        <v>8.9816072061913842E-3</v>
      </c>
      <c r="BP94" s="715">
        <v>1.611777459883516E-2</v>
      </c>
      <c r="BQ94" s="715">
        <v>2.67874978669977E-2</v>
      </c>
      <c r="BR94" s="715">
        <v>4.1901344552744385E-2</v>
      </c>
      <c r="BS94" s="715">
        <v>6.2598770826960123E-2</v>
      </c>
      <c r="BT94" s="715">
        <v>8.7350783363294229E-2</v>
      </c>
      <c r="BW94" s="1190">
        <f>'2019'!R\Max</f>
        <v>0.9859652184737282</v>
      </c>
      <c r="BX94" s="1190">
        <f>'2020'!R\Max</f>
        <v>1.0038103702350845</v>
      </c>
      <c r="BY94" s="1190">
        <f>'2021'!R\Max</f>
        <v>0.82677217685533477</v>
      </c>
      <c r="BZ94" s="1190">
        <f>'2022'!R\Max</f>
        <v>0.94164121172747595</v>
      </c>
      <c r="CA94" s="1190">
        <f>'2023'!R\Max</f>
        <v>0.94162639341057841</v>
      </c>
      <c r="CB94" s="1190">
        <f>'2024'!R\Max</f>
        <v>0.94161133879489967</v>
      </c>
      <c r="CC94" s="1190">
        <f>'2025'!R\Max</f>
        <v>0.94158916565407369</v>
      </c>
      <c r="CD94" s="1190">
        <f>'2026'!R\Max</f>
        <v>0.94156668999160098</v>
      </c>
      <c r="CE94" s="1191">
        <f>'2027'!R\Max</f>
        <v>0.94166039994913175</v>
      </c>
      <c r="CF94" s="1193">
        <f>'2028'!R\Max</f>
        <v>0.94165116262000004</v>
      </c>
    </row>
    <row r="95" spans="1:84" s="6" customFormat="1" ht="11.25" x14ac:dyDescent="0.2">
      <c r="A95" s="11">
        <v>43181</v>
      </c>
      <c r="B95" s="379">
        <f>'2022'!Maxi_hp</f>
        <v>50.892769880316351</v>
      </c>
      <c r="C95" s="13">
        <f>'2022'!An_max</f>
        <v>2020</v>
      </c>
      <c r="D95" s="1045">
        <f t="shared" si="59"/>
        <v>0.97257220873211914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52.32801166163491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52.424707033540891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52.258337208562139</v>
      </c>
      <c r="AZ95" s="735">
        <f t="shared" si="77"/>
        <v>52.341522121051511</v>
      </c>
      <c r="BA95" s="633">
        <f t="shared" si="74"/>
        <v>0.97257220873211914</v>
      </c>
      <c r="BC95" s="11">
        <v>43181</v>
      </c>
      <c r="BD95" s="289">
        <f>[2]!FeuilCaduc*(1-Persistant)+Persistant</f>
        <v>0.50938006463690155</v>
      </c>
      <c r="BE95" s="290">
        <f>[2]!CroissVégét</f>
        <v>3.4666216621534622E-2</v>
      </c>
      <c r="BF95" s="804">
        <f>1+[2]!Salcycl*Ksac</f>
        <v>1.0009380064636901</v>
      </c>
      <c r="BH95" s="1036">
        <f t="shared" si="75"/>
        <v>3.1374005366271883E-3</v>
      </c>
      <c r="BI95" s="11">
        <v>44277</v>
      </c>
      <c r="BJ95" s="715">
        <v>1.1855096550887639E-6</v>
      </c>
      <c r="BK95" s="715">
        <v>1.3004688615642415E-4</v>
      </c>
      <c r="BL95" s="715">
        <v>6.2218721158358275E-4</v>
      </c>
      <c r="BM95" s="715">
        <v>1.8761521850029484E-3</v>
      </c>
      <c r="BN95" s="715">
        <v>4.4031340900069727E-3</v>
      </c>
      <c r="BO95" s="716">
        <v>8.7730839914054864E-3</v>
      </c>
      <c r="BP95" s="715">
        <v>1.5716894126524262E-2</v>
      </c>
      <c r="BQ95" s="715">
        <v>2.6080941449995548E-2</v>
      </c>
      <c r="BR95" s="715">
        <v>4.070853272840453E-2</v>
      </c>
      <c r="BS95" s="715">
        <v>6.0715953431355968E-2</v>
      </c>
      <c r="BT95" s="715">
        <v>8.4630019860632621E-2</v>
      </c>
      <c r="BW95" s="1190">
        <f>'2019'!R\Max</f>
        <v>0.95575042786737663</v>
      </c>
      <c r="BX95" s="1190">
        <f>'2020'!R\Max</f>
        <v>0.97257220873211914</v>
      </c>
      <c r="BY95" s="1190">
        <f>'2021'!R\Max</f>
        <v>0.81503571367625838</v>
      </c>
      <c r="BZ95" s="1190">
        <f>'2022'!R\Max</f>
        <v>0.88762897148895248</v>
      </c>
      <c r="CA95" s="1190">
        <f>'2023'!R\Max</f>
        <v>0.88760295799876909</v>
      </c>
      <c r="CB95" s="1190">
        <f>'2024'!R\Max</f>
        <v>0.88757651490556522</v>
      </c>
      <c r="CC95" s="1190">
        <f>'2025'!R\Max</f>
        <v>0.88753766129117106</v>
      </c>
      <c r="CD95" s="1190">
        <f>'2026'!R\Max</f>
        <v>0.8874982638236496</v>
      </c>
      <c r="CE95" s="1191">
        <f>'2027'!R\Max</f>
        <v>0.88766271910797989</v>
      </c>
      <c r="CF95" s="1193">
        <f>'2028'!R\Max</f>
        <v>0.88764647338932012</v>
      </c>
    </row>
    <row r="96" spans="1:84" s="6" customFormat="1" ht="11.25" x14ac:dyDescent="0.2">
      <c r="A96" s="11">
        <v>43182</v>
      </c>
      <c r="B96" s="379">
        <f>'2022'!Maxi_hp</f>
        <v>53.286062169656844</v>
      </c>
      <c r="C96" s="13">
        <f>'2022'!An_max</f>
        <v>2021</v>
      </c>
      <c r="D96" s="1045">
        <f t="shared" si="59"/>
        <v>1.0110692649673609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52.702682215720415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52.802752915274219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52.611063557118179</v>
      </c>
      <c r="AZ96" s="735">
        <f t="shared" si="77"/>
        <v>52.706908236196199</v>
      </c>
      <c r="BA96" s="633">
        <f t="shared" si="74"/>
        <v>1.0110692649673609</v>
      </c>
      <c r="BC96" s="11">
        <v>43182</v>
      </c>
      <c r="BD96" s="289">
        <f>[2]!FeuilCaduc*(1-Persistant)+Persistant</f>
        <v>0.51003521261326679</v>
      </c>
      <c r="BE96" s="290">
        <f>[2]!CroissVégét</f>
        <v>3.6122296026123907E-2</v>
      </c>
      <c r="BF96" s="804">
        <f>1+[2]!Salcycl*Ksac</f>
        <v>1.0010035212613266</v>
      </c>
      <c r="BH96" s="1036">
        <f t="shared" si="75"/>
        <v>3.0745762604487501E-3</v>
      </c>
      <c r="BI96" s="11">
        <v>44278</v>
      </c>
      <c r="BJ96" s="715">
        <v>1.1741299727963941E-6</v>
      </c>
      <c r="BK96" s="715">
        <v>1.2956329810353829E-4</v>
      </c>
      <c r="BL96" s="715">
        <v>6.1358163935082042E-4</v>
      </c>
      <c r="BM96" s="715">
        <v>1.8430791558970889E-3</v>
      </c>
      <c r="BN96" s="715">
        <v>4.310452766541884E-3</v>
      </c>
      <c r="BO96" s="716">
        <v>8.5670602425162272E-3</v>
      </c>
      <c r="BP96" s="715">
        <v>1.5323496707464057E-2</v>
      </c>
      <c r="BQ96" s="715">
        <v>2.5389656167531392E-2</v>
      </c>
      <c r="BR96" s="715">
        <v>3.9550733819720921E-2</v>
      </c>
      <c r="BS96" s="715">
        <v>5.8891977978748435E-2</v>
      </c>
      <c r="BT96" s="715">
        <v>8.1995052535729945E-2</v>
      </c>
      <c r="BW96" s="1190">
        <f>'2019'!R\Max</f>
        <v>0.88939402354310892</v>
      </c>
      <c r="BX96" s="1190">
        <f>'2020'!R\Max</f>
        <v>0.89661067933021499</v>
      </c>
      <c r="BY96" s="1190">
        <f>'2021'!R\Max</f>
        <v>1.0110692649673609</v>
      </c>
      <c r="BZ96" s="1190">
        <f>'2022'!R\Max</f>
        <v>1.0046718730909368</v>
      </c>
      <c r="CA96" s="1190">
        <f>'2023'!R\Max</f>
        <v>1.0046718730909368</v>
      </c>
      <c r="CB96" s="1190">
        <f>'2024'!R\Max</f>
        <v>1.0046718730909365</v>
      </c>
      <c r="CC96" s="1190">
        <f>'2025'!R\Max</f>
        <v>1.0046718730909368</v>
      </c>
      <c r="CD96" s="1190">
        <f>'2026'!R\Max</f>
        <v>1.0046718730909368</v>
      </c>
      <c r="CE96" s="1191">
        <f>'2027'!R\Max</f>
        <v>1.0046718730909368</v>
      </c>
      <c r="CF96" s="1193">
        <f>'2028'!R\Max</f>
        <v>1.0046718730909368</v>
      </c>
    </row>
    <row r="97" spans="1:84" s="6" customFormat="1" ht="11.25" x14ac:dyDescent="0.2">
      <c r="A97" s="11">
        <v>43183</v>
      </c>
      <c r="B97" s="379">
        <f>'2022'!Maxi_hp</f>
        <v>52.432685420203406</v>
      </c>
      <c r="C97" s="13">
        <f>'2022'!An_max</f>
        <v>2021</v>
      </c>
      <c r="D97" s="1045">
        <f t="shared" si="59"/>
        <v>0.98788143161955166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53.075889212984052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53.175914175741084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52.963698432567924</v>
      </c>
      <c r="AZ97" s="735">
        <f t="shared" si="77"/>
        <v>53.069806304154504</v>
      </c>
      <c r="BA97" s="633">
        <f t="shared" si="74"/>
        <v>0.98788143161955166</v>
      </c>
      <c r="BC97" s="11">
        <v>43183</v>
      </c>
      <c r="BD97" s="289">
        <f>[2]!FeuilCaduc*(1-Persistant)+Persistant</f>
        <v>0.51075221440451068</v>
      </c>
      <c r="BE97" s="290">
        <f>[2]!CroissVégét</f>
        <v>3.7634796931243539E-2</v>
      </c>
      <c r="BF97" s="804">
        <f>1+[2]!Salcycl*Ksac</f>
        <v>1.001075221440451</v>
      </c>
      <c r="BH97" s="1036">
        <f t="shared" si="75"/>
        <v>3.0112428867025203E-3</v>
      </c>
      <c r="BI97" s="11">
        <v>44279</v>
      </c>
      <c r="BJ97" s="715">
        <v>1.1513126329950972E-6</v>
      </c>
      <c r="BK97" s="715">
        <v>1.2871667081204168E-4</v>
      </c>
      <c r="BL97" s="715">
        <v>6.0425039580669262E-4</v>
      </c>
      <c r="BM97" s="715">
        <v>1.8090680450679455E-3</v>
      </c>
      <c r="BN97" s="715">
        <v>4.2176928552010683E-3</v>
      </c>
      <c r="BO97" s="716">
        <v>8.3635331583110876E-3</v>
      </c>
      <c r="BP97" s="715">
        <v>1.4937576938586203E-2</v>
      </c>
      <c r="BQ97" s="715">
        <v>2.4713632715709508E-2</v>
      </c>
      <c r="BR97" s="715">
        <v>3.8427931853226141E-2</v>
      </c>
      <c r="BS97" s="715">
        <v>5.7126819874976309E-2</v>
      </c>
      <c r="BT97" s="715">
        <v>7.9445846734202213E-2</v>
      </c>
      <c r="BW97" s="1190">
        <f>'2019'!R\Max</f>
        <v>0.96721163506250185</v>
      </c>
      <c r="BX97" s="1190">
        <f>'2020'!R\Max</f>
        <v>0.68739175976765954</v>
      </c>
      <c r="BY97" s="1190">
        <f>'2021'!R\Max</f>
        <v>0.98788143161955166</v>
      </c>
      <c r="BZ97" s="1190">
        <f>'2022'!R\Max</f>
        <v>0.98128410854983295</v>
      </c>
      <c r="CA97" s="1190">
        <f>'2023'!R\Max</f>
        <v>0.98127962564726823</v>
      </c>
      <c r="CB97" s="1190">
        <f>'2024'!R\Max</f>
        <v>0.98127506291627076</v>
      </c>
      <c r="CC97" s="1190">
        <f>'2025'!R\Max</f>
        <v>0.98126839151531309</v>
      </c>
      <c r="CD97" s="1190">
        <f>'2026'!R\Max</f>
        <v>0.98126162036808928</v>
      </c>
      <c r="CE97" s="1191">
        <f>'2027'!R\Max</f>
        <v>0.98128994443152295</v>
      </c>
      <c r="CF97" s="1193">
        <f>'2028'!R\Max</f>
        <v>0.98128713545778756</v>
      </c>
    </row>
    <row r="98" spans="1:84" s="6" customFormat="1" ht="11.25" x14ac:dyDescent="0.2">
      <c r="A98" s="11">
        <v>43184</v>
      </c>
      <c r="B98" s="379">
        <f>'2022'!Maxi_hp</f>
        <v>46.350209045253081</v>
      </c>
      <c r="C98" s="13">
        <f>'2022'!An_max</f>
        <v>2022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53.446754519109206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53.543641982666614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53.315802769549194</v>
      </c>
      <c r="AZ98" s="735">
        <f t="shared" si="77"/>
        <v>53.429722376107904</v>
      </c>
      <c r="BA98" s="633">
        <f t="shared" si="74"/>
        <v>0.86722214402524955</v>
      </c>
      <c r="BC98" s="11">
        <v>43184</v>
      </c>
      <c r="BD98" s="289">
        <f>[2]!FeuilCaduc*(1-Persistant)+Persistant</f>
        <v>0.51153492041587412</v>
      </c>
      <c r="BE98" s="290">
        <f>[2]!CroissVégét</f>
        <v>3.9205710601738018E-2</v>
      </c>
      <c r="BF98" s="804">
        <f>1+[2]!Salcycl*Ksac</f>
        <v>1.0011534920415874</v>
      </c>
      <c r="BH98" s="1036">
        <f t="shared" si="75"/>
        <v>2.9473996767733651E-3</v>
      </c>
      <c r="BI98" s="11">
        <v>44280</v>
      </c>
      <c r="BJ98" s="715">
        <v>1.1170589744280704E-6</v>
      </c>
      <c r="BK98" s="715">
        <v>1.2750701751998195E-4</v>
      </c>
      <c r="BL98" s="715">
        <v>5.9419341465826684E-4</v>
      </c>
      <c r="BM98" s="715">
        <v>1.7741184903601482E-3</v>
      </c>
      <c r="BN98" s="715">
        <v>4.1248532395708774E-3</v>
      </c>
      <c r="BO98" s="716">
        <v>8.1625001891065651E-3</v>
      </c>
      <c r="BP98" s="715">
        <v>1.455912988413678E-2</v>
      </c>
      <c r="BQ98" s="715">
        <v>2.4052862601696853E-2</v>
      </c>
      <c r="BR98" s="715">
        <v>3.734011216865183E-2</v>
      </c>
      <c r="BS98" s="715">
        <v>5.5420456577163789E-2</v>
      </c>
      <c r="BT98" s="715">
        <v>7.6982370761398189E-2</v>
      </c>
      <c r="BW98" s="1190">
        <f>'2019'!R\Max</f>
        <v>0.83788067458202176</v>
      </c>
      <c r="BX98" s="1190">
        <f>'2020'!R\Max</f>
        <v>0.82959902025745591</v>
      </c>
      <c r="BY98" s="1190">
        <f>'2021'!R\Max</f>
        <v>0.71087120654710978</v>
      </c>
      <c r="BZ98" s="1190">
        <f>'2022'!R\Max</f>
        <v>0.86722214402524955</v>
      </c>
      <c r="CA98" s="1190">
        <f>'2023'!R\Max</f>
        <v>0.86719494499235039</v>
      </c>
      <c r="CB98" s="1190">
        <f>'2024'!R\Max</f>
        <v>0.86716724554789359</v>
      </c>
      <c r="CC98" s="1190">
        <f>'2025'!R\Max</f>
        <v>0.86712685289744107</v>
      </c>
      <c r="CD98" s="1190">
        <f>'2026'!R\Max</f>
        <v>0.86708583968820985</v>
      </c>
      <c r="CE98" s="1191">
        <f>'2027'!R\Max</f>
        <v>0.86725761340690632</v>
      </c>
      <c r="CF98" s="1193">
        <f>'2028'!R\Max</f>
        <v>0.86724054178449606</v>
      </c>
    </row>
    <row r="99" spans="1:84" s="6" customFormat="1" ht="11.25" x14ac:dyDescent="0.2">
      <c r="A99" s="11">
        <v>43185</v>
      </c>
      <c r="B99" s="379">
        <f>'2022'!Maxi_hp</f>
        <v>54.664172365947202</v>
      </c>
      <c r="C99" s="13">
        <f>'2022'!An_max</f>
        <v>2018</v>
      </c>
      <c r="D99" s="1045">
        <f t="shared" si="59"/>
        <v>1.0157907988534678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53.814400000125168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53.905387500231157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53.666937499679626</v>
      </c>
      <c r="AZ99" s="735">
        <f t="shared" si="77"/>
        <v>53.786162499955395</v>
      </c>
      <c r="BA99" s="633">
        <f t="shared" si="74"/>
        <v>1.0157907988534678</v>
      </c>
      <c r="BC99" s="11">
        <v>43185</v>
      </c>
      <c r="BD99" s="289">
        <f>[2]!FeuilCaduc*(1-Persistant)+Persistant</f>
        <v>0.51238717784529242</v>
      </c>
      <c r="BE99" s="290">
        <f>[2]!CroissVégét</f>
        <v>4.0837082604545251E-2</v>
      </c>
      <c r="BF99" s="804">
        <f>1+[2]!Salcycl*Ksac</f>
        <v>1.0012387177845292</v>
      </c>
      <c r="BH99" s="1036">
        <f t="shared" si="75"/>
        <v>2.8830459764803747E-3</v>
      </c>
      <c r="BI99" s="11">
        <v>44281</v>
      </c>
      <c r="BJ99" s="715">
        <v>1.0713704420316337E-6</v>
      </c>
      <c r="BK99" s="715">
        <v>1.2593435498703805E-4</v>
      </c>
      <c r="BL99" s="715">
        <v>5.8341064642352617E-4</v>
      </c>
      <c r="BM99" s="715">
        <v>1.7382301794241423E-3</v>
      </c>
      <c r="BN99" s="715">
        <v>4.0319329224234382E-3</v>
      </c>
      <c r="BO99" s="716">
        <v>7.9639590288134738E-3</v>
      </c>
      <c r="BP99" s="715">
        <v>1.4188151051841439E-2</v>
      </c>
      <c r="BQ99" s="715">
        <v>2.3407338095041346E-2</v>
      </c>
      <c r="BR99" s="715">
        <v>3.6287261307163178E-2</v>
      </c>
      <c r="BS99" s="715">
        <v>5.3772867405844187E-2</v>
      </c>
      <c r="BT99" s="715">
        <v>7.4604595608448412E-2</v>
      </c>
      <c r="BW99" s="1190">
        <f>'2019'!R\Max</f>
        <v>1.0157907988534678</v>
      </c>
      <c r="BX99" s="1190">
        <f>'2020'!R\Max</f>
        <v>1.0100380259419393</v>
      </c>
      <c r="BY99" s="1190">
        <f>'2021'!R\Max</f>
        <v>0.78225993765034019</v>
      </c>
      <c r="BZ99" s="1190">
        <f>'2022'!R\Max</f>
        <v>0.95353608254080313</v>
      </c>
      <c r="CA99" s="1190">
        <f>'2023'!R\Max</f>
        <v>0.95352595199960799</v>
      </c>
      <c r="CB99" s="1190">
        <f>'2024'!R\Max</f>
        <v>0.95351562793234534</v>
      </c>
      <c r="CC99" s="1190">
        <f>'2025'!R\Max</f>
        <v>0.95350061257687058</v>
      </c>
      <c r="CD99" s="1190">
        <f>'2026'!R\Max</f>
        <v>0.95348535752147834</v>
      </c>
      <c r="CE99" s="1191">
        <f>'2027'!R\Max</f>
        <v>0.95354931403309262</v>
      </c>
      <c r="CF99" s="1193">
        <f>'2028'!R\Max</f>
        <v>0.95354294618165047</v>
      </c>
    </row>
    <row r="100" spans="1:84" s="6" customFormat="1" ht="11.25" x14ac:dyDescent="0.2">
      <c r="A100" s="11">
        <v>43186</v>
      </c>
      <c r="B100" s="379">
        <f>'2022'!Maxi_hp</f>
        <v>53.82661692337178</v>
      </c>
      <c r="C100" s="13">
        <f>'2022'!An_max</f>
        <v>2018</v>
      </c>
      <c r="D100" s="1045">
        <f t="shared" si="59"/>
        <v>0.99351524717267803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54.177947521741899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54.260601895645117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54.016663557024934</v>
      </c>
      <c r="AZ100" s="735">
        <f t="shared" si="77"/>
        <v>54.138632726335025</v>
      </c>
      <c r="BA100" s="633">
        <f t="shared" si="74"/>
        <v>0.99351524717267803</v>
      </c>
      <c r="BC100" s="11">
        <v>43186</v>
      </c>
      <c r="BD100" s="289">
        <f>[2]!FeuilCaduc*(1-Persistant)+Persistant</f>
        <v>0.51331281984304977</v>
      </c>
      <c r="BE100" s="290">
        <f>[2]!CroissVégét</f>
        <v>4.2531012940474407E-2</v>
      </c>
      <c r="BF100" s="804">
        <f>1+[2]!Salcycl*Ksac</f>
        <v>1.001331281984305</v>
      </c>
      <c r="BH100" s="1036">
        <f t="shared" si="75"/>
        <v>2.8189033335184435E-3</v>
      </c>
      <c r="BI100" s="11">
        <v>44282</v>
      </c>
      <c r="BJ100" s="715">
        <v>1.0168365248920012E-6</v>
      </c>
      <c r="BK100" s="715">
        <v>1.2389030938777967E-4</v>
      </c>
      <c r="BL100" s="715">
        <v>5.718215394273676E-4</v>
      </c>
      <c r="BM100" s="715">
        <v>1.7016624910311804E-3</v>
      </c>
      <c r="BN100" s="715">
        <v>3.9401172639242261E-3</v>
      </c>
      <c r="BO100" s="716">
        <v>7.7708729805529642E-3</v>
      </c>
      <c r="BP100" s="715">
        <v>1.3829724350933327E-2</v>
      </c>
      <c r="BQ100" s="715">
        <v>2.2786127640312973E-2</v>
      </c>
      <c r="BR100" s="715">
        <v>3.5283774239188277E-2</v>
      </c>
      <c r="BS100" s="715">
        <v>5.2207037811567443E-2</v>
      </c>
      <c r="BT100" s="715">
        <v>7.2345718976683709E-2</v>
      </c>
      <c r="BW100" s="1190">
        <f>'2019'!R\Max</f>
        <v>0.99351524717267803</v>
      </c>
      <c r="BX100" s="1190">
        <f>'2020'!R\Max</f>
        <v>0.51832647775036222</v>
      </c>
      <c r="BY100" s="1190">
        <f>'2021'!R\Max</f>
        <v>0.90365224010076239</v>
      </c>
      <c r="BZ100" s="1190">
        <f>'2022'!R\Max</f>
        <v>0.91574622151092089</v>
      </c>
      <c r="CA100" s="1190">
        <f>'2023'!R\Max</f>
        <v>0.91572913301923575</v>
      </c>
      <c r="CB100" s="1190">
        <f>'2024'!R\Max</f>
        <v>0.91571170666319923</v>
      </c>
      <c r="CC100" s="1190">
        <f>'2025'!R\Max</f>
        <v>0.91568643029477037</v>
      </c>
      <c r="CD100" s="1190">
        <f>'2026'!R\Max</f>
        <v>0.91566073617720045</v>
      </c>
      <c r="CE100" s="1191">
        <f>'2027'!R\Max</f>
        <v>0.91576857780038312</v>
      </c>
      <c r="CF100" s="1193">
        <f>'2028'!R\Max</f>
        <v>0.91575781926108357</v>
      </c>
    </row>
    <row r="101" spans="1:84" s="6" customFormat="1" ht="11.25" x14ac:dyDescent="0.2">
      <c r="A101" s="11">
        <v>43187</v>
      </c>
      <c r="B101" s="379">
        <f>'2022'!Maxi_hp</f>
        <v>53.283033319082513</v>
      </c>
      <c r="C101" s="13">
        <f>'2022'!An_max</f>
        <v>2021</v>
      </c>
      <c r="D101" s="1045">
        <f t="shared" si="59"/>
        <v>0.97701566480300006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54.536518951132891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54.608736333294232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54.364541872830259</v>
      </c>
      <c r="AZ101" s="735">
        <f t="shared" si="77"/>
        <v>54.486639103062245</v>
      </c>
      <c r="BA101" s="633">
        <f t="shared" si="74"/>
        <v>0.97701566480300006</v>
      </c>
      <c r="BC101" s="11">
        <v>43187</v>
      </c>
      <c r="BD101" s="289">
        <f>[2]!FeuilCaduc*(1-Persistant)+Persistant</f>
        <v>0.51431565507605703</v>
      </c>
      <c r="BE101" s="290">
        <f>[2]!CroissVégét</f>
        <v>4.4289656039802887E-2</v>
      </c>
      <c r="BF101" s="804">
        <f>1+[2]!Salcycl*Ksac</f>
        <v>1.0014315655076058</v>
      </c>
      <c r="BH101" s="1036">
        <f t="shared" si="75"/>
        <v>2.7556184236396148E-3</v>
      </c>
      <c r="BI101" s="11">
        <v>44283</v>
      </c>
      <c r="BJ101" s="715">
        <v>9.5863409345510204E-7</v>
      </c>
      <c r="BK101" s="715">
        <v>1.2144999267656044E-4</v>
      </c>
      <c r="BL101" s="715">
        <v>5.5977421454761348E-4</v>
      </c>
      <c r="BM101" s="715">
        <v>1.6650586761371761E-3</v>
      </c>
      <c r="BN101" s="715">
        <v>3.8500563768005393E-3</v>
      </c>
      <c r="BO101" s="716">
        <v>7.583036562679845E-3</v>
      </c>
      <c r="BP101" s="715">
        <v>1.3481188230259754E-2</v>
      </c>
      <c r="BQ101" s="715">
        <v>2.2182777901337991E-2</v>
      </c>
      <c r="BR101" s="715">
        <v>3.4309440120672892E-2</v>
      </c>
      <c r="BS101" s="715">
        <v>5.0689248629328838E-2</v>
      </c>
      <c r="BT101" s="715">
        <v>7.0158713955771709E-2</v>
      </c>
      <c r="BW101" s="1190">
        <f>'2019'!R\Max</f>
        <v>0.96831448198304848</v>
      </c>
      <c r="BX101" s="1190">
        <f>'2020'!R\Max</f>
        <v>0.93824299708396197</v>
      </c>
      <c r="BY101" s="1190">
        <f>'2021'!R\Max</f>
        <v>0.97701566480300006</v>
      </c>
      <c r="BZ101" s="1190">
        <f>'2022'!R\Max</f>
        <v>0.29290058622318194</v>
      </c>
      <c r="CA101" s="1190">
        <f>'2023'!R\Max</f>
        <v>0.29285658631630918</v>
      </c>
      <c r="CB101" s="1190">
        <f>'2024'!R\Max</f>
        <v>0.29281169729355688</v>
      </c>
      <c r="CC101" s="1190">
        <f>'2025'!R\Max</f>
        <v>0.29274678388394137</v>
      </c>
      <c r="CD101" s="1190">
        <f>'2026'!R\Max</f>
        <v>0.29268078421375182</v>
      </c>
      <c r="CE101" s="1191">
        <f>'2027'!R\Max</f>
        <v>0.29295827415927578</v>
      </c>
      <c r="CF101" s="1193">
        <f>'2028'!R\Max</f>
        <v>0.29293051248592894</v>
      </c>
    </row>
    <row r="102" spans="1:84" s="6" customFormat="1" ht="11.25" x14ac:dyDescent="0.2">
      <c r="A102" s="11">
        <v>43188</v>
      </c>
      <c r="B102" s="379">
        <f>'2022'!Maxi_hp</f>
        <v>55.473113479022246</v>
      </c>
      <c r="C102" s="13">
        <f>'2022'!An_max</f>
        <v>2021</v>
      </c>
      <c r="D102" s="1045">
        <f t="shared" si="59"/>
        <v>1.010637373882314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54.889236151959224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54.949241982353854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54.71013338185314</v>
      </c>
      <c r="AZ102" s="735">
        <f t="shared" si="77"/>
        <v>54.829687682103497</v>
      </c>
      <c r="BA102" s="633">
        <f t="shared" si="74"/>
        <v>1.010637373882314</v>
      </c>
      <c r="BC102" s="11">
        <v>43188</v>
      </c>
      <c r="BD102" s="289">
        <f>[2]!FeuilCaduc*(1-Persistant)+Persistant</f>
        <v>0.51539945771925288</v>
      </c>
      <c r="BE102" s="290">
        <f>[2]!CroissVégét</f>
        <v>4.6115220608575654E-2</v>
      </c>
      <c r="BF102" s="804">
        <f>1+[2]!Salcycl*Ksac</f>
        <v>1.0015399457719254</v>
      </c>
      <c r="BH102" s="1036">
        <f t="shared" si="75"/>
        <v>2.6931906193197442E-3</v>
      </c>
      <c r="BI102" s="11">
        <v>44284</v>
      </c>
      <c r="BJ102" s="715">
        <v>8.9676380076707993E-7</v>
      </c>
      <c r="BK102" s="715">
        <v>1.1861344553559485E-4</v>
      </c>
      <c r="BL102" s="715">
        <v>5.4726864200125181E-4</v>
      </c>
      <c r="BM102" s="715">
        <v>1.6284184353909346E-3</v>
      </c>
      <c r="BN102" s="715">
        <v>3.7617493041882479E-3</v>
      </c>
      <c r="BO102" s="716">
        <v>7.4004476646965149E-3</v>
      </c>
      <c r="BP102" s="715">
        <v>1.3142538938650547E-2</v>
      </c>
      <c r="BQ102" s="715">
        <v>2.1597282635089424E-2</v>
      </c>
      <c r="BR102" s="715">
        <v>3.3364249305347073E-2</v>
      </c>
      <c r="BS102" s="715">
        <v>4.9219485290954122E-2</v>
      </c>
      <c r="BT102" s="715">
        <v>6.8043560048589399E-2</v>
      </c>
      <c r="BW102" s="1190">
        <f>'2019'!R\Max</f>
        <v>0.97062178631443585</v>
      </c>
      <c r="BX102" s="1190">
        <f>'2020'!R\Max</f>
        <v>0.94891791460187469</v>
      </c>
      <c r="BY102" s="1190">
        <f>'2021'!R\Max</f>
        <v>1.010637373882314</v>
      </c>
      <c r="BZ102" s="1190">
        <f>'2022'!R\Max</f>
        <v>0.55864609489777506</v>
      </c>
      <c r="CA102" s="1190">
        <f>'2023'!R\Max</f>
        <v>0.55859480870258216</v>
      </c>
      <c r="CB102" s="1190">
        <f>'2024'!R\Max</f>
        <v>0.55854244253712904</v>
      </c>
      <c r="CC102" s="1190">
        <f>'2025'!R\Max</f>
        <v>0.55846690960447964</v>
      </c>
      <c r="CD102" s="1190">
        <f>'2026'!R\Max</f>
        <v>0.55839005235608608</v>
      </c>
      <c r="CE102" s="1191">
        <f>'2027'!R\Max</f>
        <v>0.55871346689562984</v>
      </c>
      <c r="CF102" s="1193">
        <f>'2028'!R\Max</f>
        <v>0.55868104841831445</v>
      </c>
    </row>
    <row r="103" spans="1:84" s="6" customFormat="1" ht="11.25" x14ac:dyDescent="0.2">
      <c r="A103" s="11">
        <v>43189</v>
      </c>
      <c r="B103" s="379">
        <f>'2022'!Maxi_hp</f>
        <v>54.228775027955102</v>
      </c>
      <c r="C103" s="13">
        <f>'2022'!An_max</f>
        <v>2018</v>
      </c>
      <c r="D103" s="1045">
        <f t="shared" si="59"/>
        <v>0.9817789094325583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55.235220992166013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55.281570007212167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55.052999016230125</v>
      </c>
      <c r="AZ103" s="735">
        <f t="shared" si="77"/>
        <v>55.167284511721149</v>
      </c>
      <c r="BA103" s="633">
        <f t="shared" si="74"/>
        <v>0.9817789094325583</v>
      </c>
      <c r="BC103" s="11">
        <v>43189</v>
      </c>
      <c r="BD103" s="289">
        <f>[2]!FeuilCaduc*(1-Persistant)+Persistant</f>
        <v>0.51656795788708476</v>
      </c>
      <c r="BE103" s="290">
        <f>[2]!CroissVégét</f>
        <v>4.8009969311812332E-2</v>
      </c>
      <c r="BF103" s="804">
        <f>1+[2]!Salcycl*Ksac</f>
        <v>1.0016567957887086</v>
      </c>
      <c r="BH103" s="1036">
        <f t="shared" si="75"/>
        <v>2.631619361600617E-3</v>
      </c>
      <c r="BI103" s="11">
        <v>44285</v>
      </c>
      <c r="BJ103" s="715">
        <v>8.3122642738344813E-7</v>
      </c>
      <c r="BK103" s="715">
        <v>1.153807174826813E-4</v>
      </c>
      <c r="BL103" s="715">
        <v>5.343048140193415E-4</v>
      </c>
      <c r="BM103" s="715">
        <v>1.591741516769886E-3</v>
      </c>
      <c r="BN103" s="715">
        <v>3.6751951791019811E-3</v>
      </c>
      <c r="BO103" s="716">
        <v>7.2231043406740273E-3</v>
      </c>
      <c r="BP103" s="715">
        <v>1.2813773028195667E-2</v>
      </c>
      <c r="BQ103" s="715">
        <v>2.102963611296409E-2</v>
      </c>
      <c r="BR103" s="715">
        <v>3.2448192973345641E-2</v>
      </c>
      <c r="BS103" s="715">
        <v>4.7797734477998545E-2</v>
      </c>
      <c r="BT103" s="715">
        <v>6.6000238520832907E-2</v>
      </c>
      <c r="BW103" s="1190">
        <f>'2019'!R\Max</f>
        <v>0.9817789094325583</v>
      </c>
      <c r="BX103" s="1190">
        <f>'2020'!R\Max</f>
        <v>0.55290750202981243</v>
      </c>
      <c r="BY103" s="1190">
        <f>'2021'!R\Max</f>
        <v>0.9376950448356669</v>
      </c>
      <c r="BZ103" s="1190">
        <f>'2022'!R\Max</f>
        <v>0.15565604317875781</v>
      </c>
      <c r="CA103" s="1190">
        <f>'2023'!R\Max</f>
        <v>0.15563406415709277</v>
      </c>
      <c r="CB103" s="1190">
        <f>'2024'!R\Max</f>
        <v>0.15561160796871676</v>
      </c>
      <c r="CC103" s="1190">
        <f>'2025'!R\Max</f>
        <v>0.15557930832035094</v>
      </c>
      <c r="CD103" s="1190">
        <f>'2026'!R\Max</f>
        <v>0.15554642654038936</v>
      </c>
      <c r="CE103" s="1191">
        <f>'2027'!R\Max</f>
        <v>0.15568498634977637</v>
      </c>
      <c r="CF103" s="1193">
        <f>'2028'!R\Max</f>
        <v>0.15567105972428594</v>
      </c>
    </row>
    <row r="104" spans="1:84" s="6" customFormat="1" ht="11.25" x14ac:dyDescent="0.2">
      <c r="A104" s="11">
        <v>43190</v>
      </c>
      <c r="B104" s="379">
        <f>'2022'!Maxi_hp</f>
        <v>49.948595361830613</v>
      </c>
      <c r="C104" s="13">
        <f>'2022'!An_max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55.573595335866727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55.605171574698758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55.392699708150964</v>
      </c>
      <c r="AZ104" s="735">
        <f t="shared" si="77"/>
        <v>55.498935641424865</v>
      </c>
      <c r="BA104" s="633">
        <f t="shared" si="74"/>
        <v>0.89878286729442913</v>
      </c>
      <c r="BC104" s="11">
        <v>43190</v>
      </c>
      <c r="BD104" s="289">
        <f>[2]!FeuilCaduc*(1-Persistant)+Persistant</f>
        <v>0.51782483250866063</v>
      </c>
      <c r="BE104" s="290">
        <f>[2]!CroissVégét</f>
        <v>4.9976218279140845E-2</v>
      </c>
      <c r="BF104" s="804">
        <f>1+[2]!Salcycl*Ksac</f>
        <v>1.0017824832508662</v>
      </c>
      <c r="BH104" s="1036">
        <f t="shared" si="75"/>
        <v>2.5709041573466207E-3</v>
      </c>
      <c r="BI104" s="11">
        <v>44286</v>
      </c>
      <c r="BJ104" s="715">
        <v>7.6202289313732448E-7</v>
      </c>
      <c r="BK104" s="715">
        <v>1.117518681410129E-4</v>
      </c>
      <c r="BL104" s="715">
        <v>5.2088274631594748E-4</v>
      </c>
      <c r="BM104" s="715">
        <v>1.5550277156982943E-3</v>
      </c>
      <c r="BN104" s="715">
        <v>3.590393218820083E-3</v>
      </c>
      <c r="BO104" s="716">
        <v>7.0510047924498007E-3</v>
      </c>
      <c r="BP104" s="715">
        <v>1.2494887322591691E-2</v>
      </c>
      <c r="BQ104" s="715">
        <v>2.0479833063625705E-2</v>
      </c>
      <c r="BR104" s="715">
        <v>3.1561263037922248E-2</v>
      </c>
      <c r="BS104" s="715">
        <v>4.6423983968028021E-2</v>
      </c>
      <c r="BT104" s="715">
        <v>6.4028732171049471E-2</v>
      </c>
      <c r="BW104" s="1190">
        <f>'2019'!R\Max</f>
        <v>0.82609847244485823</v>
      </c>
      <c r="BX104" s="1190">
        <f>'2020'!R\Max</f>
        <v>0.35107862343420193</v>
      </c>
      <c r="BY104" s="1190">
        <f>'2021'!R\Max</f>
        <v>0.89878286729442913</v>
      </c>
      <c r="BZ104" s="1190">
        <f>'2022'!R\Max</f>
        <v>0.55114772544713386</v>
      </c>
      <c r="CA104" s="1190">
        <f>'2023'!R\Max</f>
        <v>0.55109931499094944</v>
      </c>
      <c r="CB104" s="1190">
        <f>'2024'!R\Max</f>
        <v>0.55104981043787393</v>
      </c>
      <c r="CC104" s="1190">
        <f>'2025'!R\Max</f>
        <v>0.55097878748419038</v>
      </c>
      <c r="CD104" s="1190">
        <f>'2026'!R\Max</f>
        <v>0.55122972781578738</v>
      </c>
      <c r="CE104" s="1191">
        <f>'2027'!R\Max</f>
        <v>0.55121163162617892</v>
      </c>
      <c r="CF104" s="1193">
        <f>'2028'!R\Max</f>
        <v>0.55118088471353754</v>
      </c>
    </row>
    <row r="105" spans="1:84" s="6" customFormat="1" ht="11.25" x14ac:dyDescent="0.2">
      <c r="A105" s="11">
        <v>43191</v>
      </c>
      <c r="B105" s="379">
        <f>'2022'!Maxi_hp</f>
        <v>50.703405728850484</v>
      </c>
      <c r="C105" s="13">
        <f>'2022'!An_max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55.903481050101774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55.919497848880056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55.728796391867625</v>
      </c>
      <c r="AZ105" s="735">
        <f t="shared" si="77"/>
        <v>55.824147120373837</v>
      </c>
      <c r="BA105" s="633">
        <f t="shared" si="74"/>
        <v>0.90698118930034277</v>
      </c>
      <c r="BC105" s="11">
        <v>43191</v>
      </c>
      <c r="BD105" s="289">
        <f>[2]!FeuilCaduc*(1-Persistant)+Persistant</f>
        <v>0.51917369664111657</v>
      </c>
      <c r="BE105" s="290">
        <f>[2]!CroissVégét</f>
        <v>5.201633641771132E-2</v>
      </c>
      <c r="BF105" s="804">
        <f>1+[2]!Salcycl*Ksac</f>
        <v>1.0019173696641117</v>
      </c>
      <c r="BH105" s="1036">
        <f t="shared" si="75"/>
        <v>2.5110445764960189E-3</v>
      </c>
      <c r="BI105" s="11">
        <v>44287</v>
      </c>
      <c r="BJ105" s="715">
        <v>6.891542689060303E-7</v>
      </c>
      <c r="BK105" s="715">
        <v>1.0772696850875437E-4</v>
      </c>
      <c r="BL105" s="715">
        <v>5.0700247955598368E-4</v>
      </c>
      <c r="BM105" s="715">
        <v>1.518276875162209E-3</v>
      </c>
      <c r="BN105" s="715">
        <v>3.5073427192620315E-3</v>
      </c>
      <c r="BO105" s="716">
        <v>6.8841473528104928E-3</v>
      </c>
      <c r="BP105" s="715">
        <v>1.2185878885462053E-2</v>
      </c>
      <c r="BQ105" s="715">
        <v>1.9947868615804918E-2</v>
      </c>
      <c r="BR105" s="715">
        <v>3.0703452052096802E-2</v>
      </c>
      <c r="BS105" s="715">
        <v>4.5098222480802565E-2</v>
      </c>
      <c r="BT105" s="715">
        <v>6.2129025100534363E-2</v>
      </c>
      <c r="BW105" s="1190">
        <f>'2019'!R\Max</f>
        <v>0.7148055821498458</v>
      </c>
      <c r="BX105" s="1190">
        <f>'2020'!R\Max</f>
        <v>0.84203526508350646</v>
      </c>
      <c r="BY105" s="1190">
        <f>'2021'!R\Max</f>
        <v>0.90698118930034277</v>
      </c>
      <c r="BZ105" s="1190">
        <f>'2022'!R\Max</f>
        <v>0.64166211815704821</v>
      </c>
      <c r="CA105" s="1190">
        <f>'2023'!R\Max</f>
        <v>0.64161844238127808</v>
      </c>
      <c r="CB105" s="1190">
        <f>'2024'!R\Max</f>
        <v>0.64157374247489074</v>
      </c>
      <c r="CC105" s="1190">
        <f>'2025'!R\Max</f>
        <v>0.64150978031438366</v>
      </c>
      <c r="CD105" s="1190">
        <f>'2026'!R\Max</f>
        <v>0.64173631747639159</v>
      </c>
      <c r="CE105" s="1191">
        <f>'2027'!R\Max</f>
        <v>0.64171993275915418</v>
      </c>
      <c r="CF105" s="1193">
        <f>'2028'!R\Max</f>
        <v>0.64169212000758458</v>
      </c>
    </row>
    <row r="106" spans="1:84" s="6" customFormat="1" ht="11.25" x14ac:dyDescent="0.2">
      <c r="A106" s="11">
        <v>43192</v>
      </c>
      <c r="B106" s="379">
        <f>'2022'!Maxi_hp</f>
        <v>45.942881049826532</v>
      </c>
      <c r="C106" s="13">
        <f>'2022'!An_max</f>
        <v>2021</v>
      </c>
      <c r="D106" s="1045" t="str">
        <f t="shared" si="59"/>
        <v/>
      </c>
      <c r="E106" s="1040">
        <f>T$13/10</f>
        <v>56.224000000000004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56.224000000208619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56.223999998718497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56.060849999450149</v>
      </c>
      <c r="AZ106" s="735">
        <f t="shared" si="77"/>
        <v>56.142424999084326</v>
      </c>
      <c r="BA106" s="633">
        <f t="shared" si="74"/>
        <v>0.8171400300522208</v>
      </c>
      <c r="BC106" s="11">
        <v>43192</v>
      </c>
      <c r="BD106" s="289">
        <f>[2]!FeuilCaduc*(1-Persistant)+Persistant</f>
        <v>0.52061809520715085</v>
      </c>
      <c r="BE106" s="290">
        <f>[2]!CroissVégét</f>
        <v>5.4132744516590045E-2</v>
      </c>
      <c r="BF106" s="804">
        <f>1+[2]!Salcycl*Ksac</f>
        <v>1.002061809520715</v>
      </c>
      <c r="BH106" s="1036">
        <f t="shared" si="75"/>
        <v>2.4520402493221146E-3</v>
      </c>
      <c r="BI106" s="11">
        <v>44288</v>
      </c>
      <c r="BJ106" s="715">
        <v>6.1262178838073137E-7</v>
      </c>
      <c r="BK106" s="715">
        <v>1.033061022290519E-4</v>
      </c>
      <c r="BL106" s="715">
        <v>4.9266408082505994E-4</v>
      </c>
      <c r="BM106" s="715">
        <v>1.4814888858303938E-3</v>
      </c>
      <c r="BN106" s="715">
        <v>3.4260430493796581E-3</v>
      </c>
      <c r="BO106" s="716">
        <v>6.7225304687019731E-3</v>
      </c>
      <c r="BP106" s="715">
        <v>1.1886744988725308E-2</v>
      </c>
      <c r="BQ106" s="715">
        <v>1.9433738241178132E-2</v>
      </c>
      <c r="BR106" s="715">
        <v>2.9874753115424414E-2</v>
      </c>
      <c r="BS106" s="715">
        <v>4.3820439524638516E-2</v>
      </c>
      <c r="BT106" s="715">
        <v>6.0301102483474554E-2</v>
      </c>
      <c r="BW106" s="1190">
        <f>'2019'!R\Max</f>
        <v>0.3027887965915288</v>
      </c>
      <c r="BX106" s="1190">
        <f>'2020'!R\Max</f>
        <v>0.78551970937202154</v>
      </c>
      <c r="BY106" s="1190">
        <f>'2021'!R\Max</f>
        <v>0.8171400300522208</v>
      </c>
      <c r="BZ106" s="1190">
        <f>'2022'!R\Max</f>
        <v>0.39828947418207672</v>
      </c>
      <c r="CA106" s="1190">
        <f>'2023'!R\Max</f>
        <v>0.3982452645958065</v>
      </c>
      <c r="CB106" s="1190">
        <f>'2024'!R\Max</f>
        <v>0.39819998534705681</v>
      </c>
      <c r="CC106" s="1190">
        <f>'2025'!R\Max</f>
        <v>0.39813537208402933</v>
      </c>
      <c r="CD106" s="1190">
        <f>'2026'!R\Max</f>
        <v>0.39836483325875133</v>
      </c>
      <c r="CE106" s="1191">
        <f>'2027'!R\Max</f>
        <v>0.39834816006078921</v>
      </c>
      <c r="CF106" s="1193">
        <f>'2028'!R\Max</f>
        <v>0.39831994117715308</v>
      </c>
    </row>
    <row r="107" spans="1:84" s="6" customFormat="1" ht="11.25" x14ac:dyDescent="0.2">
      <c r="A107" s="11">
        <v>43193</v>
      </c>
      <c r="B107" s="379">
        <f>'2022'!Maxi_hp</f>
        <v>55.561785950469968</v>
      </c>
      <c r="C107" s="13">
        <f>'2022'!An_max</f>
        <v>2021</v>
      </c>
      <c r="D107" s="1045">
        <f t="shared" si="59"/>
        <v>0.98275595956137141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56.536707215969045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56.521214093959756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56.388421465150486</v>
      </c>
      <c r="AZ107" s="735">
        <f t="shared" si="77"/>
        <v>56.454817779555121</v>
      </c>
      <c r="BA107" s="633">
        <f t="shared" si="74"/>
        <v>0.98275595956137141</v>
      </c>
      <c r="BC107" s="11">
        <v>43193</v>
      </c>
      <c r="BD107" s="289">
        <f>[2]!FeuilCaduc*(1-Persistant)+Persistant</f>
        <v>0.52216149513464727</v>
      </c>
      <c r="BE107" s="290">
        <f>[2]!CroissVégét</f>
        <v>5.6327914126217182E-2</v>
      </c>
      <c r="BF107" s="804">
        <f>1+[2]!Salcycl*Ksac</f>
        <v>1.0022161495134647</v>
      </c>
      <c r="BH107" s="1036">
        <f t="shared" si="75"/>
        <v>2.3938908636872216E-3</v>
      </c>
      <c r="BI107" s="11">
        <v>44289</v>
      </c>
      <c r="BJ107" s="715">
        <v>5.3242685983366391E-7</v>
      </c>
      <c r="BK107" s="715">
        <v>9.8489366859723682E-5</v>
      </c>
      <c r="BL107" s="715">
        <v>4.7786764509786866E-4</v>
      </c>
      <c r="BM107" s="715">
        <v>1.444663686170909E-3</v>
      </c>
      <c r="BN107" s="715">
        <v>3.3464936455383384E-3</v>
      </c>
      <c r="BO107" s="716">
        <v>6.5661526844195788E-3</v>
      </c>
      <c r="BP107" s="715">
        <v>1.159748308092841E-2</v>
      </c>
      <c r="BQ107" s="715">
        <v>1.8937437697188756E-2</v>
      </c>
      <c r="BR107" s="715">
        <v>2.9075159780675663E-2</v>
      </c>
      <c r="BS107" s="715">
        <v>4.2590625242639728E-2</v>
      </c>
      <c r="BT107" s="715">
        <v>5.8544950336911199E-2</v>
      </c>
      <c r="BW107" s="1190">
        <f>'2019'!R\Max</f>
        <v>0.27410797247267282</v>
      </c>
      <c r="BX107" s="1190">
        <f>'2020'!R\Max</f>
        <v>0.50242659290240377</v>
      </c>
      <c r="BY107" s="1190">
        <f>'2021'!R\Max</f>
        <v>0.98275595956137141</v>
      </c>
      <c r="BZ107" s="1190">
        <f>'2022'!R\Max</f>
        <v>0.44069580489923771</v>
      </c>
      <c r="CA107" s="1190">
        <f>'2023'!R\Max</f>
        <v>0.4406516199735942</v>
      </c>
      <c r="CB107" s="1190">
        <f>'2024'!R\Max</f>
        <v>0.44060632672889621</v>
      </c>
      <c r="CC107" s="1190">
        <f>'2025'!R\Max</f>
        <v>0.44054186023108294</v>
      </c>
      <c r="CD107" s="1190">
        <f>'2026'!R\Max</f>
        <v>0.44077138530120835</v>
      </c>
      <c r="CE107" s="1191">
        <f>'2027'!R\Max</f>
        <v>0.44075463225588757</v>
      </c>
      <c r="CF107" s="1193">
        <f>'2028'!R\Max</f>
        <v>0.44072635950629208</v>
      </c>
    </row>
    <row r="108" spans="1:84" s="6" customFormat="1" ht="11.25" x14ac:dyDescent="0.2">
      <c r="A108" s="11">
        <v>43194</v>
      </c>
      <c r="B108" s="379">
        <f>'2022'!Maxi_hp</f>
        <v>57.558924699627966</v>
      </c>
      <c r="C108" s="13">
        <f>'2022'!An_max</f>
        <v>2020</v>
      </c>
      <c r="D108" s="1045">
        <f t="shared" si="59"/>
        <v>1.0125828386719014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56.843669970865754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56.813978061984685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56.711071720293582</v>
      </c>
      <c r="AZ108" s="735">
        <f t="shared" si="77"/>
        <v>56.762524891139137</v>
      </c>
      <c r="BA108" s="633">
        <f t="shared" si="74"/>
        <v>1.0125828386719014</v>
      </c>
      <c r="BC108" s="11">
        <v>43194</v>
      </c>
      <c r="BD108" s="289">
        <f>[2]!FeuilCaduc*(1-Persistant)+Persistant</f>
        <v>0.52380727786897496</v>
      </c>
      <c r="BE108" s="290">
        <f>[2]!CroissVégét</f>
        <v>5.8604366195922526E-2</v>
      </c>
      <c r="BF108" s="804">
        <f>1+[2]!Salcycl*Ksac</f>
        <v>1.0023807277868975</v>
      </c>
      <c r="BH108" s="1036">
        <f t="shared" si="75"/>
        <v>2.3359656304276265E-3</v>
      </c>
      <c r="BI108" s="11">
        <v>44290</v>
      </c>
      <c r="BJ108" s="715">
        <v>4.5312410608945884E-7</v>
      </c>
      <c r="BK108" s="715">
        <v>9.3358396328612178E-5</v>
      </c>
      <c r="BL108" s="715">
        <v>4.624117564193193E-4</v>
      </c>
      <c r="BM108" s="715">
        <v>1.4072838399489509E-3</v>
      </c>
      <c r="BN108" s="715">
        <v>3.2679499625442223E-3</v>
      </c>
      <c r="BO108" s="716">
        <v>6.4145989197892392E-3</v>
      </c>
      <c r="BP108" s="715">
        <v>1.1319153052656161E-2</v>
      </c>
      <c r="BQ108" s="715">
        <v>1.846241955737004E-2</v>
      </c>
      <c r="BR108" s="715">
        <v>2.8312068629002804E-2</v>
      </c>
      <c r="BS108" s="715">
        <v>4.1421831475055688E-2</v>
      </c>
      <c r="BT108" s="715">
        <v>5.6881042122910321E-2</v>
      </c>
      <c r="BW108" s="1190">
        <f>'2019'!R\Max</f>
        <v>0.72664222028680781</v>
      </c>
      <c r="BX108" s="1190">
        <f>'2020'!R\Max</f>
        <v>1.0125828386719014</v>
      </c>
      <c r="BY108" s="1190">
        <f>'2021'!R\Max</f>
        <v>0.97106540326986712</v>
      </c>
      <c r="BZ108" s="1190">
        <f>'2022'!R\Max</f>
        <v>0.88252731384048588</v>
      </c>
      <c r="CA108" s="1190">
        <f>'2023'!R\Max</f>
        <v>0.88250923727677488</v>
      </c>
      <c r="CB108" s="1190">
        <f>'2024'!R\Max</f>
        <v>0.8824906879939538</v>
      </c>
      <c r="CC108" s="1190">
        <f>'2025'!R\Max</f>
        <v>0.88246434821646447</v>
      </c>
      <c r="CD108" s="1190">
        <f>'2026'!R\Max</f>
        <v>0.88255833837142772</v>
      </c>
      <c r="CE108" s="1191">
        <f>'2027'!R\Max</f>
        <v>0.88255145092554543</v>
      </c>
      <c r="CF108" s="1193">
        <f>'2028'!R\Max</f>
        <v>0.8825398569868057</v>
      </c>
    </row>
    <row r="109" spans="1:84" s="6" customFormat="1" ht="11.25" x14ac:dyDescent="0.2">
      <c r="A109" s="11">
        <v>43195</v>
      </c>
      <c r="B109" s="379">
        <f>'2022'!Maxi_hp</f>
        <v>59.132284614261103</v>
      </c>
      <c r="C109" s="13">
        <f>'2022'!An_max</f>
        <v>2020</v>
      </c>
      <c r="D109" s="1045">
        <f t="shared" si="59"/>
        <v>1.0347801875868516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57.144778498475048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57.102195854059289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57.028361698133608</v>
      </c>
      <c r="AZ109" s="735">
        <f t="shared" si="77"/>
        <v>57.065278776096449</v>
      </c>
      <c r="BA109" s="633">
        <f t="shared" si="74"/>
        <v>1.0347801875868516</v>
      </c>
      <c r="BC109" s="11">
        <v>43195</v>
      </c>
      <c r="BD109" s="289">
        <f>[2]!FeuilCaduc*(1-Persistant)+Persistant</f>
        <v>0.52555873222200544</v>
      </c>
      <c r="BE109" s="290">
        <f>[2]!CroissVégét</f>
        <v>6.0964669451959982E-2</v>
      </c>
      <c r="BF109" s="804">
        <f>1+[2]!Salcycl*Ksac</f>
        <v>1.0025558732222006</v>
      </c>
      <c r="BH109" s="1036">
        <f t="shared" si="75"/>
        <v>2.2781301337164309E-3</v>
      </c>
      <c r="BI109" s="11">
        <v>44291</v>
      </c>
      <c r="BJ109" s="715">
        <v>3.8097086122024524E-7</v>
      </c>
      <c r="BK109" s="715">
        <v>8.8200996887438147E-5</v>
      </c>
      <c r="BL109" s="715">
        <v>4.4667421157238097E-4</v>
      </c>
      <c r="BM109" s="715">
        <v>1.3696456054299521E-3</v>
      </c>
      <c r="BN109" s="715">
        <v>3.1898453789318232E-3</v>
      </c>
      <c r="BO109" s="716">
        <v>6.2655898687050187E-3</v>
      </c>
      <c r="BP109" s="715">
        <v>1.1046962696678158E-2</v>
      </c>
      <c r="BQ109" s="715">
        <v>1.7999918894298039E-2</v>
      </c>
      <c r="BR109" s="715">
        <v>2.7570770162623343E-2</v>
      </c>
      <c r="BS109" s="715">
        <v>4.0289084994574238E-2</v>
      </c>
      <c r="BT109" s="715">
        <v>5.5270827939928241E-2</v>
      </c>
      <c r="BW109" s="1190">
        <f>'2019'!R\Max</f>
        <v>0.91607807674078257</v>
      </c>
      <c r="BX109" s="1190">
        <f>'2020'!R\Max</f>
        <v>1.0347801875868516</v>
      </c>
      <c r="BY109" s="1190">
        <f>'2021'!R\Max</f>
        <v>0.92362575882789555</v>
      </c>
      <c r="BZ109" s="1190">
        <f>'2022'!R\Max</f>
        <v>1.007482097951178</v>
      </c>
      <c r="CA109" s="1190">
        <f>'2023'!R\Max</f>
        <v>1.007482097951178</v>
      </c>
      <c r="CB109" s="1190">
        <f>'2024'!R\Max</f>
        <v>1.007482097951178</v>
      </c>
      <c r="CC109" s="1190">
        <f>'2025'!R\Max</f>
        <v>1.007482097951178</v>
      </c>
      <c r="CD109" s="1190">
        <f>'2026'!R\Max</f>
        <v>1.007482097951178</v>
      </c>
      <c r="CE109" s="1191">
        <f>'2027'!R\Max</f>
        <v>1.0074820979511778</v>
      </c>
      <c r="CF109" s="1193">
        <f>'2028'!R\Max</f>
        <v>1.007482097951178</v>
      </c>
    </row>
    <row r="110" spans="1:84" s="6" customFormat="1" ht="11.25" x14ac:dyDescent="0.2">
      <c r="A110" s="11">
        <v>43196</v>
      </c>
      <c r="B110" s="379">
        <f>'2022'!Maxi_hp</f>
        <v>59.680123270108488</v>
      </c>
      <c r="C110" s="13">
        <f>'2022'!An_max</f>
        <v>2020</v>
      </c>
      <c r="D110" s="1045">
        <f t="shared" si="59"/>
        <v>1.0390007527850458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57.439923031947444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57.385771428474357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57.339852332909189</v>
      </c>
      <c r="AZ110" s="735">
        <f t="shared" si="77"/>
        <v>57.362811880691773</v>
      </c>
      <c r="BA110" s="633">
        <f t="shared" si="74"/>
        <v>1.0390007527850458</v>
      </c>
      <c r="BC110" s="11">
        <v>43196</v>
      </c>
      <c r="BD110" s="289">
        <f>[2]!FeuilCaduc*(1-Persistant)+Persistant</f>
        <v>0.5274190475162287</v>
      </c>
      <c r="BE110" s="290">
        <f>[2]!CroissVégét</f>
        <v>6.3411438498040387E-2</v>
      </c>
      <c r="BF110" s="804">
        <f>1+[2]!Salcycl*Ksac</f>
        <v>1.0027419047516228</v>
      </c>
      <c r="BH110" s="1036">
        <f t="shared" si="75"/>
        <v>2.2203844249748033E-3</v>
      </c>
      <c r="BI110" s="11">
        <v>44292</v>
      </c>
      <c r="BJ110" s="715">
        <v>3.159662623046051E-7</v>
      </c>
      <c r="BK110" s="715">
        <v>8.3017218658364467E-5</v>
      </c>
      <c r="BL110" s="715">
        <v>4.3065515535791431E-4</v>
      </c>
      <c r="BM110" s="715">
        <v>1.3317491300359899E-3</v>
      </c>
      <c r="BN110" s="715">
        <v>3.1121798497800034E-3</v>
      </c>
      <c r="BO110" s="716">
        <v>6.119124969756134E-3</v>
      </c>
      <c r="BP110" s="715">
        <v>1.0780910751206478E-2</v>
      </c>
      <c r="BQ110" s="715">
        <v>1.7549933302758704E-2</v>
      </c>
      <c r="BR110" s="715">
        <v>2.685126051645173E-2</v>
      </c>
      <c r="BS110" s="715">
        <v>3.9192379817415191E-2</v>
      </c>
      <c r="BT110" s="715">
        <v>5.3714299327940862E-2</v>
      </c>
      <c r="BW110" s="1190">
        <f>'2019'!R\Max</f>
        <v>0.36035429868764596</v>
      </c>
      <c r="BX110" s="1190">
        <f>'2020'!R\Max</f>
        <v>1.0390007527850458</v>
      </c>
      <c r="BY110" s="1190">
        <f>'2021'!R\Max</f>
        <v>0.62746058357910417</v>
      </c>
      <c r="BZ110" s="1190">
        <f>'2022'!R\Max</f>
        <v>0.21693033150955227</v>
      </c>
      <c r="CA110" s="1190">
        <f>'2023'!R\Max</f>
        <v>0.21690525510269762</v>
      </c>
      <c r="CB110" s="1190">
        <f>'2024'!R\Max</f>
        <v>0.21687948004690458</v>
      </c>
      <c r="CC110" s="1190">
        <f>'2025'!R\Max</f>
        <v>0.21684306851461446</v>
      </c>
      <c r="CD110" s="1190">
        <f>'2026'!R\Max</f>
        <v>0.21697369221189022</v>
      </c>
      <c r="CE110" s="1191">
        <f>'2027'!R\Max</f>
        <v>0.21696403809365003</v>
      </c>
      <c r="CF110" s="1193">
        <f>'2028'!R\Max</f>
        <v>0.2169478633094036</v>
      </c>
    </row>
    <row r="111" spans="1:84" s="6" customFormat="1" ht="11.25" x14ac:dyDescent="0.2">
      <c r="A111" s="11">
        <v>43197</v>
      </c>
      <c r="B111" s="379">
        <f>'2022'!Maxi_hp</f>
        <v>57.850737846912956</v>
      </c>
      <c r="C111" s="13">
        <f>'2022'!An_max</f>
        <v>2021</v>
      </c>
      <c r="D111" s="1045">
        <f t="shared" si="59"/>
        <v>1.0021088890352954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57.728993804859257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57.664608737320769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57.645104554920863</v>
      </c>
      <c r="AZ111" s="735">
        <f t="shared" si="77"/>
        <v>57.65485664612082</v>
      </c>
      <c r="BA111" s="633">
        <f t="shared" si="74"/>
        <v>1.0021088890352954</v>
      </c>
      <c r="BC111" s="11">
        <v>43197</v>
      </c>
      <c r="BD111" s="289">
        <f>[2]!FeuilCaduc*(1-Persistant)+Persistant</f>
        <v>0.5293913069776609</v>
      </c>
      <c r="BE111" s="290">
        <f>[2]!CroissVégét</f>
        <v>6.5947331619938404E-2</v>
      </c>
      <c r="BF111" s="804">
        <f>1+[2]!Salcycl*Ksac</f>
        <v>1.0029391306977662</v>
      </c>
      <c r="BH111" s="1036">
        <f t="shared" si="75"/>
        <v>2.1627286268257875E-3</v>
      </c>
      <c r="BI111" s="11">
        <v>44293</v>
      </c>
      <c r="BJ111" s="715">
        <v>2.5810932599586634E-7</v>
      </c>
      <c r="BK111" s="715">
        <v>7.7807119167574228E-5</v>
      </c>
      <c r="BL111" s="715">
        <v>4.1435476112045775E-4</v>
      </c>
      <c r="BM111" s="715">
        <v>1.2935946169997466E-3</v>
      </c>
      <c r="BN111" s="715">
        <v>3.0349534168155096E-3</v>
      </c>
      <c r="BO111" s="716">
        <v>5.9752037758951659E-3</v>
      </c>
      <c r="BP111" s="715">
        <v>1.0520996118984554E-2</v>
      </c>
      <c r="BQ111" s="715">
        <v>1.7112460595119696E-2</v>
      </c>
      <c r="BR111" s="715">
        <v>2.6153536122879833E-2</v>
      </c>
      <c r="BS111" s="715">
        <v>3.8131710332901678E-2</v>
      </c>
      <c r="BT111" s="715">
        <v>5.2211448284656292E-2</v>
      </c>
      <c r="BW111" s="1190">
        <f>'2019'!R\Max</f>
        <v>0.57535588186074604</v>
      </c>
      <c r="BX111" s="1190">
        <f>'2020'!R\Max</f>
        <v>0.58050085734163015</v>
      </c>
      <c r="BY111" s="1190">
        <f>'2021'!R\Max</f>
        <v>1.0021088890352954</v>
      </c>
      <c r="BZ111" s="1190">
        <f>'2022'!R\Max</f>
        <v>0.72472433562004412</v>
      </c>
      <c r="CA111" s="1190">
        <f>'2023'!R\Max</f>
        <v>0.72469225246626423</v>
      </c>
      <c r="CB111" s="1190">
        <f>'2024'!R\Max</f>
        <v>0.72465923823446754</v>
      </c>
      <c r="CC111" s="1190">
        <f>'2025'!R\Max</f>
        <v>0.72461270287010104</v>
      </c>
      <c r="CD111" s="1190">
        <f>'2026'!R\Max</f>
        <v>0.72478000291834332</v>
      </c>
      <c r="CE111" s="1191">
        <f>'2027'!R\Max</f>
        <v>0.72476759615137731</v>
      </c>
      <c r="CF111" s="1193">
        <f>'2028'!R\Max</f>
        <v>0.72474684886602703</v>
      </c>
    </row>
    <row r="112" spans="1:84" s="6" customFormat="1" ht="11.25" x14ac:dyDescent="0.2">
      <c r="A112" s="11">
        <v>43198</v>
      </c>
      <c r="B112" s="379">
        <f>'2022'!Maxi_hp</f>
        <v>57.096062387011123</v>
      </c>
      <c r="C112" s="13">
        <f>'2022'!An_max</f>
        <v>2021</v>
      </c>
      <c r="D112" s="1045">
        <f t="shared" si="59"/>
        <v>0.98421325688484529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58.011881050786805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57.93861173460526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57.943679299418406</v>
      </c>
      <c r="AZ112" s="735">
        <f t="shared" si="77"/>
        <v>57.941145517011833</v>
      </c>
      <c r="BA112" s="633">
        <f t="shared" si="74"/>
        <v>0.98421325688484529</v>
      </c>
      <c r="BC112" s="11">
        <v>43198</v>
      </c>
      <c r="BD112" s="289">
        <f>[2]!FeuilCaduc*(1-Persistant)+Persistant</f>
        <v>0.53147848132757958</v>
      </c>
      <c r="BE112" s="290">
        <f>[2]!CroissVégét</f>
        <v>6.8575048275425571E-2</v>
      </c>
      <c r="BF112" s="804">
        <f>1+[2]!Salcycl*Ksac</f>
        <v>1.003147848132758</v>
      </c>
      <c r="BH112" s="1036">
        <f t="shared" si="75"/>
        <v>2.1051629328147632E-3</v>
      </c>
      <c r="BI112" s="11">
        <v>44294</v>
      </c>
      <c r="BJ112" s="715">
        <v>2.0739892563497066E-7</v>
      </c>
      <c r="BK112" s="715">
        <v>7.2570763431744435E-5</v>
      </c>
      <c r="BL112" s="715">
        <v>3.9777323165489207E-4</v>
      </c>
      <c r="BM112" s="715">
        <v>1.2551823261991208E-3</v>
      </c>
      <c r="BN112" s="715">
        <v>2.9581662070153124E-3</v>
      </c>
      <c r="BO112" s="716">
        <v>5.8338259462978404E-3</v>
      </c>
      <c r="BP112" s="715">
        <v>1.0267217847640491E-2</v>
      </c>
      <c r="BQ112" s="715">
        <v>1.6687498761269872E-2</v>
      </c>
      <c r="BR112" s="715">
        <v>2.547759364203454E-2</v>
      </c>
      <c r="BS112" s="715">
        <v>3.7107071188100721E-2</v>
      </c>
      <c r="BT112" s="715">
        <v>5.076226709368644E-2</v>
      </c>
      <c r="BW112" s="1190">
        <f>'2019'!R\Max</f>
        <v>0.60488861376644643</v>
      </c>
      <c r="BX112" s="1190">
        <f>'2020'!R\Max</f>
        <v>0.63353313213851747</v>
      </c>
      <c r="BY112" s="1190">
        <f>'2021'!R\Max</f>
        <v>0.98421325688484529</v>
      </c>
      <c r="BZ112" s="1190">
        <f>'2022'!R\Max</f>
        <v>0.58594593678343654</v>
      </c>
      <c r="CA112" s="1190">
        <f>'2023'!R\Max</f>
        <v>0.58590792202951114</v>
      </c>
      <c r="CB112" s="1190">
        <f>'2024'!R\Max</f>
        <v>0.58586876566212287</v>
      </c>
      <c r="CC112" s="1190">
        <f>'2025'!R\Max</f>
        <v>0.58581370292069701</v>
      </c>
      <c r="CD112" s="1190">
        <f>'2026'!R\Max</f>
        <v>0.5860121403532923</v>
      </c>
      <c r="CE112" s="1191">
        <f>'2027'!R\Max</f>
        <v>0.58599737141682828</v>
      </c>
      <c r="CF112" s="1193">
        <f>'2028'!R\Max</f>
        <v>0.5859727170387925</v>
      </c>
    </row>
    <row r="113" spans="1:84" s="6" customFormat="1" ht="11.25" x14ac:dyDescent="0.2">
      <c r="A113" s="11">
        <v>43199</v>
      </c>
      <c r="B113" s="379">
        <f>'2022'!Maxi_hp</f>
        <v>45.048186570983958</v>
      </c>
      <c r="C113" s="13">
        <f>'2022'!An_max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58.288475000485775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58.207684374414384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58.235137499775739</v>
      </c>
      <c r="AZ113" s="735">
        <f t="shared" si="77"/>
        <v>58.221410937095058</v>
      </c>
      <c r="BA113" s="633">
        <f t="shared" si="74"/>
        <v>0.77284894776554935</v>
      </c>
      <c r="BC113" s="11">
        <v>43199</v>
      </c>
      <c r="BD113" s="289">
        <f>[2]!FeuilCaduc*(1-Persistant)+Persistant</f>
        <v>0.53368342252056578</v>
      </c>
      <c r="BE113" s="290">
        <f>[2]!CroissVégét</f>
        <v>7.1297326250557638E-2</v>
      </c>
      <c r="BF113" s="804">
        <f>1+[2]!Salcycl*Ksac</f>
        <v>1.0033683422520565</v>
      </c>
      <c r="BH113" s="1036">
        <f t="shared" si="75"/>
        <v>2.0476876071097321E-3</v>
      </c>
      <c r="BI113" s="11">
        <v>44295</v>
      </c>
      <c r="BJ113" s="715">
        <v>1.6383376836005633E-7</v>
      </c>
      <c r="BK113" s="715">
        <v>6.7308224043743803E-5</v>
      </c>
      <c r="BL113" s="715">
        <v>3.809108001091573E-4</v>
      </c>
      <c r="BM113" s="715">
        <v>1.2165125749797221E-3</v>
      </c>
      <c r="BN113" s="715">
        <v>2.8818184311806979E-3</v>
      </c>
      <c r="BO113" s="716">
        <v>5.6949912381673495E-3</v>
      </c>
      <c r="BP113" s="715">
        <v>1.0019575109942594E-2</v>
      </c>
      <c r="BQ113" s="715">
        <v>1.6275045928399512E-2</v>
      </c>
      <c r="BR113" s="715">
        <v>2.4823429891791534E-2</v>
      </c>
      <c r="BS113" s="715">
        <v>3.6118457172107543E-2</v>
      </c>
      <c r="BT113" s="715">
        <v>4.9366748152229661E-2</v>
      </c>
      <c r="BW113" s="1190">
        <f>'2019'!R\Max</f>
        <v>0.71330047699587851</v>
      </c>
      <c r="BX113" s="1190">
        <f>'2020'!R\Max</f>
        <v>0.77284894776554935</v>
      </c>
      <c r="BY113" s="1190">
        <f>'2021'!R\Max</f>
        <v>0.58423215074861468</v>
      </c>
      <c r="BZ113" s="1190">
        <f>'2022'!R\Max</f>
        <v>0.68424630374724404</v>
      </c>
      <c r="CA113" s="1190">
        <f>'2023'!R\Max</f>
        <v>0.68421330146280079</v>
      </c>
      <c r="CB113" s="1190">
        <f>'2024'!R\Max</f>
        <v>0.68417927070481932</v>
      </c>
      <c r="CC113" s="1190">
        <f>'2025'!R\Max</f>
        <v>0.68413152056713444</v>
      </c>
      <c r="CD113" s="1190">
        <f>'2026'!R\Max</f>
        <v>0.68430398535888415</v>
      </c>
      <c r="CE113" s="1191">
        <f>'2027'!R\Max</f>
        <v>0.68429110876214716</v>
      </c>
      <c r="CF113" s="1193">
        <f>'2028'!R\Max</f>
        <v>0.6842696444017351</v>
      </c>
    </row>
    <row r="114" spans="1:84" s="6" customFormat="1" ht="11.25" x14ac:dyDescent="0.2">
      <c r="A114" s="11">
        <v>43200</v>
      </c>
      <c r="B114" s="379">
        <f>'2022'!Maxi_hp</f>
        <v>58.33024090130305</v>
      </c>
      <c r="C114" s="13">
        <f>'2022'!An_max</f>
        <v>2022</v>
      </c>
      <c r="D114" s="1045">
        <f t="shared" si="59"/>
        <v>0.99609921119737344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58.558665889501569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58.471730611579758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58.519040087477435</v>
      </c>
      <c r="AZ114" s="735">
        <f t="shared" si="77"/>
        <v>58.495385349528597</v>
      </c>
      <c r="BA114" s="633">
        <f t="shared" si="74"/>
        <v>0.99609921119737344</v>
      </c>
      <c r="BC114" s="11">
        <v>43200</v>
      </c>
      <c r="BD114" s="289">
        <f>[2]!FeuilCaduc*(1-Persistant)+Persistant</f>
        <v>0.53600885757489669</v>
      </c>
      <c r="BE114" s="290">
        <f>[2]!CroissVégét</f>
        <v>7.4116938463242688E-2</v>
      </c>
      <c r="BF114" s="804">
        <f>1+[2]!Salcycl*Ksac</f>
        <v>1.0036008857574896</v>
      </c>
      <c r="BH114" s="1036">
        <f t="shared" si="75"/>
        <v>1.9914055170770616E-3</v>
      </c>
      <c r="BI114" s="11">
        <v>44296</v>
      </c>
      <c r="BJ114" s="715">
        <v>1.2741237221703406E-7</v>
      </c>
      <c r="BK114" s="715">
        <v>6.2214891389543962E-5</v>
      </c>
      <c r="BL114" s="715">
        <v>3.6439055124459627E-4</v>
      </c>
      <c r="BM114" s="715">
        <v>1.178531018549023E-3</v>
      </c>
      <c r="BN114" s="715">
        <v>2.8071707279086213E-3</v>
      </c>
      <c r="BO114" s="716">
        <v>5.5600425583576555E-3</v>
      </c>
      <c r="BP114" s="715">
        <v>9.7801752811360367E-3</v>
      </c>
      <c r="BQ114" s="715">
        <v>1.5878300398250386E-2</v>
      </c>
      <c r="BR114" s="715">
        <v>2.4196531070015476E-2</v>
      </c>
      <c r="BS114" s="715">
        <v>3.5174622475303889E-2</v>
      </c>
      <c r="BT114" s="715">
        <v>4.8037956536424863E-2</v>
      </c>
      <c r="BW114" s="1190">
        <f>'2019'!R\Max</f>
        <v>0.58341108353049131</v>
      </c>
      <c r="BX114" s="1190">
        <f>'2020'!R\Max</f>
        <v>0.99343142002008156</v>
      </c>
      <c r="BY114" s="1190">
        <f>'2021'!R\Max</f>
        <v>0.62206324625200127</v>
      </c>
      <c r="BZ114" s="1190">
        <f>'2022'!R\Max</f>
        <v>0.99609921119737344</v>
      </c>
      <c r="CA114" s="1190">
        <f>'2023'!R\Max</f>
        <v>0.99609863214439209</v>
      </c>
      <c r="CB114" s="1190">
        <f>'2024'!R\Max</f>
        <v>0.99609803432426336</v>
      </c>
      <c r="CC114" s="1190">
        <f>'2025'!R\Max</f>
        <v>0.99609719719656242</v>
      </c>
      <c r="CD114" s="1190">
        <f>'2026'!R\Max</f>
        <v>0.99610022672211185</v>
      </c>
      <c r="CE114" s="1191">
        <f>'2027'!R\Max</f>
        <v>0.99609999989994435</v>
      </c>
      <c r="CF114" s="1193">
        <f>'2028'!R\Max</f>
        <v>0.99609962229317706</v>
      </c>
    </row>
    <row r="115" spans="1:84" s="6" customFormat="1" ht="11.25" x14ac:dyDescent="0.2">
      <c r="A115" s="11">
        <v>43201</v>
      </c>
      <c r="B115" s="379">
        <f>'2022'!Maxi_hp</f>
        <v>59.403908056990687</v>
      </c>
      <c r="C115" s="13">
        <f>'2022'!An_max</f>
        <v>2020</v>
      </c>
      <c r="D115" s="1045">
        <f t="shared" si="59"/>
        <v>1.0098867890589629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58.822343950399329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58.730654399975073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58.794947995538152</v>
      </c>
      <c r="AZ115" s="735">
        <f t="shared" si="77"/>
        <v>58.762801197756616</v>
      </c>
      <c r="BA115" s="633">
        <f t="shared" si="74"/>
        <v>1.0098867890589629</v>
      </c>
      <c r="BC115" s="11">
        <v>43201</v>
      </c>
      <c r="BD115" s="289">
        <f>[2]!FeuilCaduc*(1-Persistant)+Persistant</f>
        <v>0.5384573824410599</v>
      </c>
      <c r="BE115" s="290">
        <f>[2]!CroissVégét</f>
        <v>7.7036689395036897E-2</v>
      </c>
      <c r="BF115" s="804">
        <f>1+[2]!Salcycl*Ksac</f>
        <v>1.0038457382441059</v>
      </c>
      <c r="BH115" s="1036">
        <f t="shared" si="75"/>
        <v>1.9355954343943571E-3</v>
      </c>
      <c r="BI115" s="11">
        <v>44297</v>
      </c>
      <c r="BJ115" s="715">
        <v>9.5548241845898655E-8</v>
      </c>
      <c r="BK115" s="715">
        <v>5.739905122541397E-5</v>
      </c>
      <c r="BL115" s="715">
        <v>3.4829299069392538E-4</v>
      </c>
      <c r="BM115" s="715">
        <v>1.1409784368219919E-3</v>
      </c>
      <c r="BN115" s="715">
        <v>2.733038217663812E-3</v>
      </c>
      <c r="BO115" s="716">
        <v>5.4260175486802453E-3</v>
      </c>
      <c r="BP115" s="715">
        <v>9.5439351073390594E-3</v>
      </c>
      <c r="BQ115" s="715">
        <v>1.5488194752809888E-2</v>
      </c>
      <c r="BR115" s="715">
        <v>2.3582502116246584E-2</v>
      </c>
      <c r="BS115" s="715">
        <v>3.42525818898365E-2</v>
      </c>
      <c r="BT115" s="715">
        <v>4.6742695323126568E-2</v>
      </c>
      <c r="BW115" s="1190">
        <f>'2019'!R\Max</f>
        <v>0.16784393568214034</v>
      </c>
      <c r="BX115" s="1190">
        <f>'2020'!R\Max</f>
        <v>1.0098867890589629</v>
      </c>
      <c r="BY115" s="1190">
        <f>'2021'!R\Max</f>
        <v>0.15310834195518619</v>
      </c>
      <c r="BZ115" s="1190">
        <f>'2022'!R\Max</f>
        <v>0.82190988071679649</v>
      </c>
      <c r="CA115" s="1190">
        <f>'2023'!R\Max</f>
        <v>0.8218885947180925</v>
      </c>
      <c r="CB115" s="1190">
        <f>'2024'!R\Max</f>
        <v>0.82186659481686808</v>
      </c>
      <c r="CC115" s="1190">
        <f>'2025'!R\Max</f>
        <v>0.82183585772011425</v>
      </c>
      <c r="CD115" s="1190">
        <f>'2026'!R\Max</f>
        <v>0.82194733699444544</v>
      </c>
      <c r="CE115" s="1191">
        <f>'2027'!R\Max</f>
        <v>0.821938966179246</v>
      </c>
      <c r="CF115" s="1193">
        <f>'2028'!R\Max</f>
        <v>0.82192504910634978</v>
      </c>
    </row>
    <row r="116" spans="1:84" s="6" customFormat="1" ht="11.25" x14ac:dyDescent="0.2">
      <c r="A116" s="11">
        <v>43202</v>
      </c>
      <c r="B116" s="379">
        <f>'2022'!Maxi_hp</f>
        <v>58.857771528976158</v>
      </c>
      <c r="C116" s="13">
        <f>'2022'!An_max</f>
        <v>2018</v>
      </c>
      <c r="D116" s="1045">
        <f t="shared" si="59"/>
        <v>0.99624864350391995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59.079399417766503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58.984359693261126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59.062422157770825</v>
      </c>
      <c r="AZ116" s="735">
        <f t="shared" si="77"/>
        <v>59.023390925515976</v>
      </c>
      <c r="BA116" s="633">
        <f t="shared" si="74"/>
        <v>0.99624864350391995</v>
      </c>
      <c r="BC116" s="11">
        <v>43202</v>
      </c>
      <c r="BD116" s="289">
        <f>[2]!FeuilCaduc*(1-Persistant)+Persistant</f>
        <v>0.54103145585505263</v>
      </c>
      <c r="BE116" s="290">
        <f>[2]!CroissVégét</f>
        <v>8.0059411132293548E-2</v>
      </c>
      <c r="BF116" s="804">
        <f>1+[2]!Salcycl*Ksac</f>
        <v>1.0041031455855052</v>
      </c>
      <c r="BH116" s="1036">
        <f t="shared" si="75"/>
        <v>1.8802576710312091E-3</v>
      </c>
      <c r="BI116" s="11">
        <v>44298</v>
      </c>
      <c r="BJ116" s="715">
        <v>6.8240396861432443E-8</v>
      </c>
      <c r="BK116" s="715">
        <v>5.2860684029735718E-5</v>
      </c>
      <c r="BL116" s="715">
        <v>3.3261817739202925E-4</v>
      </c>
      <c r="BM116" s="715">
        <v>1.1038550536024325E-3</v>
      </c>
      <c r="BN116" s="715">
        <v>2.6594213008951785E-3</v>
      </c>
      <c r="BO116" s="716">
        <v>5.2929167780301567E-3</v>
      </c>
      <c r="BP116" s="715">
        <v>9.3108550667921532E-3</v>
      </c>
      <c r="BQ116" s="715">
        <v>1.5104729376984425E-2</v>
      </c>
      <c r="BR116" s="715">
        <v>2.2981343056553073E-2</v>
      </c>
      <c r="BS116" s="715">
        <v>3.3352334976061188E-2</v>
      </c>
      <c r="BT116" s="715">
        <v>4.5480963331202148E-2</v>
      </c>
      <c r="BW116" s="1190">
        <f>'2019'!R\Max</f>
        <v>0.99624864350391995</v>
      </c>
      <c r="BX116" s="1190">
        <f>'2020'!R\Max</f>
        <v>0.9844101299975605</v>
      </c>
      <c r="BY116" s="1190">
        <f>'2021'!R\Max</f>
        <v>0.80435084378382726</v>
      </c>
      <c r="BZ116" s="1190">
        <f>'2022'!R\Max</f>
        <v>0.69896314275300042</v>
      </c>
      <c r="CA116" s="1190">
        <f>'2023'!R\Max</f>
        <v>0.69893327533180294</v>
      </c>
      <c r="CB116" s="1190">
        <f>'2024'!R\Max</f>
        <v>0.69890237089045104</v>
      </c>
      <c r="CC116" s="1190">
        <f>'2025'!R\Max</f>
        <v>0.69885929100850197</v>
      </c>
      <c r="CD116" s="1190">
        <f>'2026'!R\Max</f>
        <v>0.69901586091767154</v>
      </c>
      <c r="CE116" s="1191">
        <f>'2027'!R\Max</f>
        <v>0.6990040735200399</v>
      </c>
      <c r="CF116" s="1193">
        <f>'2028'!R\Max</f>
        <v>0.69898450080185359</v>
      </c>
    </row>
    <row r="117" spans="1:84" s="6" customFormat="1" ht="11.25" x14ac:dyDescent="0.2">
      <c r="A117" s="11">
        <v>43203</v>
      </c>
      <c r="B117" s="379">
        <f>'2022'!Maxi_hp</f>
        <v>58.816606841862637</v>
      </c>
      <c r="C117" s="13">
        <f>'2022'!An_max</f>
        <v>2018</v>
      </c>
      <c r="D117" s="1045">
        <f t="shared" si="59"/>
        <v>0.99135145660029855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59.329722521986277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59.232750444965703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59.321023506285357</v>
      </c>
      <c r="AZ117" s="735">
        <f t="shared" si="77"/>
        <v>59.27688697562553</v>
      </c>
      <c r="BA117" s="633">
        <f t="shared" si="74"/>
        <v>0.99135145660029855</v>
      </c>
      <c r="BC117" s="11">
        <v>43203</v>
      </c>
      <c r="BD117" s="289">
        <f>[2]!FeuilCaduc*(1-Persistant)+Persistant</f>
        <v>0.54373339312516933</v>
      </c>
      <c r="BE117" s="290">
        <f>[2]!CroissVégét</f>
        <v>8.3187958998136649E-2</v>
      </c>
      <c r="BF117" s="804">
        <f>1+[2]!Salcycl*Ksac</f>
        <v>1.0043733393125169</v>
      </c>
      <c r="BH117" s="1036">
        <f t="shared" si="75"/>
        <v>1.8253925907376139E-3</v>
      </c>
      <c r="BI117" s="11">
        <v>44299</v>
      </c>
      <c r="BJ117" s="715">
        <v>4.54877094238087E-8</v>
      </c>
      <c r="BK117" s="715">
        <v>4.8599764996707291E-5</v>
      </c>
      <c r="BL117" s="715">
        <v>3.1736617343823119E-4</v>
      </c>
      <c r="BM117" s="715">
        <v>1.067161122993096E-3</v>
      </c>
      <c r="BN117" s="715">
        <v>2.5863204513898869E-3</v>
      </c>
      <c r="BO117" s="716">
        <v>5.1607409480116289E-3</v>
      </c>
      <c r="BP117" s="715">
        <v>9.0809358082871525E-3</v>
      </c>
      <c r="BQ117" s="715">
        <v>1.4727904878568008E-2</v>
      </c>
      <c r="BR117" s="715">
        <v>2.2393054168071441E-2</v>
      </c>
      <c r="BS117" s="715">
        <v>3.2473881569676642E-2</v>
      </c>
      <c r="BT117" s="715">
        <v>4.4252759646274363E-2</v>
      </c>
      <c r="BW117" s="1190">
        <f>'2019'!R\Max</f>
        <v>0.99135145660029855</v>
      </c>
      <c r="BX117" s="1190">
        <f>'2020'!R\Max</f>
        <v>0.78261595077716473</v>
      </c>
      <c r="BY117" s="1190">
        <f>'2021'!R\Max</f>
        <v>0.89417625920586485</v>
      </c>
      <c r="BZ117" s="1190">
        <f>'2022'!R\Max</f>
        <v>0.14873737370859255</v>
      </c>
      <c r="CA117" s="1190">
        <f>'2023'!R\Max</f>
        <v>0.14872294324540888</v>
      </c>
      <c r="CB117" s="1190">
        <f>'2024'!R\Max</f>
        <v>0.14870799529689349</v>
      </c>
      <c r="CC117" s="1190">
        <f>'2025'!R\Max</f>
        <v>0.14868720847833666</v>
      </c>
      <c r="CD117" s="1190">
        <f>'2026'!R\Max</f>
        <v>0.14876291802883948</v>
      </c>
      <c r="CE117" s="1191">
        <f>'2027'!R\Max</f>
        <v>0.14875720380079743</v>
      </c>
      <c r="CF117" s="1193">
        <f>'2028'!R\Max</f>
        <v>0.14874772721059726</v>
      </c>
    </row>
    <row r="118" spans="1:84" s="6" customFormat="1" ht="11.25" x14ac:dyDescent="0.2">
      <c r="A118" s="11">
        <v>43204</v>
      </c>
      <c r="B118" s="379">
        <f>'2022'!Maxi_hp</f>
        <v>59.036177217934771</v>
      </c>
      <c r="C118" s="13">
        <f>'2022'!An_max</f>
        <v>2021</v>
      </c>
      <c r="D118" s="1045">
        <f t="shared" si="59"/>
        <v>0.99098543893944468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59.573203498444386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59.475730611703227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59.570312973617447</v>
      </c>
      <c r="AZ118" s="735">
        <f t="shared" si="77"/>
        <v>59.523021792660337</v>
      </c>
      <c r="BA118" s="633">
        <f t="shared" si="74"/>
        <v>0.99098543893944468</v>
      </c>
      <c r="BC118" s="11">
        <v>43204</v>
      </c>
      <c r="BD118" s="289">
        <f>[2]!FeuilCaduc*(1-Persistant)+Persistant</f>
        <v>0.54656535980417187</v>
      </c>
      <c r="BE118" s="290">
        <f>[2]!CroissVégét</f>
        <v>8.6425206757263798E-2</v>
      </c>
      <c r="BF118" s="804">
        <f>1+[2]!Salcycl*Ksac</f>
        <v>1.0046565359804172</v>
      </c>
      <c r="BH118" s="1036">
        <f t="shared" si="75"/>
        <v>1.7710006075100694E-3</v>
      </c>
      <c r="BI118" s="11">
        <v>44300</v>
      </c>
      <c r="BJ118" s="715">
        <v>2.7288889641176414E-8</v>
      </c>
      <c r="BK118" s="715">
        <v>4.4616263147964093E-5</v>
      </c>
      <c r="BL118" s="715">
        <v>3.0253704274126953E-4</v>
      </c>
      <c r="BM118" s="715">
        <v>1.0308969280113146E-3</v>
      </c>
      <c r="BN118" s="715">
        <v>2.5137362145893822E-3</v>
      </c>
      <c r="BO118" s="716">
        <v>5.0294908899034966E-3</v>
      </c>
      <c r="BP118" s="715">
        <v>8.8541781409065771E-3</v>
      </c>
      <c r="BQ118" s="715">
        <v>1.4357722066745059E-2</v>
      </c>
      <c r="BR118" s="715">
        <v>2.1817635937436672E-2</v>
      </c>
      <c r="BS118" s="715">
        <v>3.161722171142077E-2</v>
      </c>
      <c r="BT118" s="715">
        <v>4.3058083512654492E-2</v>
      </c>
      <c r="BW118" s="1190">
        <f>'2019'!R\Max</f>
        <v>0.49019363869382071</v>
      </c>
      <c r="BX118" s="1190">
        <f>'2020'!R\Max</f>
        <v>0.30337598258073373</v>
      </c>
      <c r="BY118" s="1190">
        <f>'2021'!R\Max</f>
        <v>0.99098543893944468</v>
      </c>
      <c r="BZ118" s="1190">
        <f>'2022'!R\Max</f>
        <v>0.74990213422853091</v>
      </c>
      <c r="CA118" s="1190">
        <f>'2023'!R\Max</f>
        <v>0.74987674579986952</v>
      </c>
      <c r="CB118" s="1190">
        <f>'2024'!R\Max</f>
        <v>0.74985041074245551</v>
      </c>
      <c r="CC118" s="1190">
        <f>'2025'!R\Max</f>
        <v>0.74981386795052396</v>
      </c>
      <c r="CD118" s="1190">
        <f>'2026'!R\Max</f>
        <v>0.74994717695734336</v>
      </c>
      <c r="CE118" s="1191">
        <f>'2027'!R\Max</f>
        <v>0.74993709861608415</v>
      </c>
      <c r="CF118" s="1193">
        <f>'2028'!R\Max</f>
        <v>0.74992040208445176</v>
      </c>
    </row>
    <row r="119" spans="1:84" s="6" customFormat="1" ht="11.25" x14ac:dyDescent="0.2">
      <c r="A119" s="11">
        <v>43205</v>
      </c>
      <c r="B119" s="379">
        <f>'2022'!Maxi_hp</f>
        <v>59.816550107721071</v>
      </c>
      <c r="C119" s="13">
        <f>'2022'!An_max</f>
        <v>2021</v>
      </c>
      <c r="D119" s="1045">
        <f t="shared" si="59"/>
        <v>1.0001139869407007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59.809732579280229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59.713204144979159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59.809851493526779</v>
      </c>
      <c r="AZ119" s="735">
        <f t="shared" si="77"/>
        <v>59.761527819252969</v>
      </c>
      <c r="BA119" s="633">
        <f t="shared" si="74"/>
        <v>1.0001139869407007</v>
      </c>
      <c r="BC119" s="11">
        <v>43205</v>
      </c>
      <c r="BD119" s="289">
        <f>[2]!FeuilCaduc*(1-Persistant)+Persistant</f>
        <v>0.54952936520300688</v>
      </c>
      <c r="BE119" s="290">
        <f>[2]!CroissVégét</f>
        <v>8.9774041376326802E-2</v>
      </c>
      <c r="BF119" s="804">
        <f>1+[2]!Salcycl*Ksac</f>
        <v>1.0049529365203007</v>
      </c>
      <c r="BH119" s="1036">
        <f t="shared" si="75"/>
        <v>1.7170821841010595E-3</v>
      </c>
      <c r="BI119" s="11">
        <v>44301</v>
      </c>
      <c r="BJ119" s="715">
        <v>1.36424709736016E-8</v>
      </c>
      <c r="BK119" s="715">
        <v>4.0910140445391902E-5</v>
      </c>
      <c r="BL119" s="715">
        <v>2.8813084967189826E-4</v>
      </c>
      <c r="BM119" s="715">
        <v>9.950627792300762E-4</v>
      </c>
      <c r="BN119" s="715">
        <v>2.44166920596682E-3</v>
      </c>
      <c r="BO119" s="716">
        <v>4.8991675617469557E-3</v>
      </c>
      <c r="BP119" s="715">
        <v>8.6305830239781986E-3</v>
      </c>
      <c r="BQ119" s="715">
        <v>1.3994181930942423E-2</v>
      </c>
      <c r="BR119" s="715">
        <v>2.1255089019743545E-2</v>
      </c>
      <c r="BS119" s="715">
        <v>3.0782355577537567E-2</v>
      </c>
      <c r="BT119" s="715">
        <v>4.1896934226326177E-2</v>
      </c>
      <c r="BW119" s="1190">
        <f>'2019'!R\Max</f>
        <v>0.66484583342314574</v>
      </c>
      <c r="BX119" s="1190">
        <f>'2020'!R\Max</f>
        <v>0.9535327949475777</v>
      </c>
      <c r="BY119" s="1190">
        <f>'2021'!R\Max</f>
        <v>1.0001139869407007</v>
      </c>
      <c r="BZ119" s="1190">
        <f>'2022'!R\Max</f>
        <v>0.8151513479285134</v>
      </c>
      <c r="CA119" s="1190">
        <f>'2023'!R\Max</f>
        <v>0.81513141901382169</v>
      </c>
      <c r="CB119" s="1190">
        <f>'2024'!R\Max</f>
        <v>0.81511072012137098</v>
      </c>
      <c r="CC119" s="1190">
        <f>'2025'!R\Max</f>
        <v>0.81508206515281734</v>
      </c>
      <c r="CD119" s="1190">
        <f>'2026'!R\Max</f>
        <v>0.81518677751744872</v>
      </c>
      <c r="CE119" s="1191">
        <f>'2027'!R\Max</f>
        <v>0.8151788483768444</v>
      </c>
      <c r="CF119" s="1193">
        <f>'2028'!R\Max</f>
        <v>0.81516572603050663</v>
      </c>
    </row>
    <row r="120" spans="1:84" s="6" customFormat="1" ht="11.25" x14ac:dyDescent="0.2">
      <c r="A120" s="11">
        <v>43206</v>
      </c>
      <c r="B120" s="379">
        <f>'2022'!Maxi_hp</f>
        <v>51.884062779817704</v>
      </c>
      <c r="C120" s="13">
        <f>'2022'!An_max</f>
        <v>2021</v>
      </c>
      <c r="D120" s="1045" t="str">
        <f t="shared" si="59"/>
        <v/>
      </c>
      <c r="E120" s="1040">
        <f>U$13/10</f>
        <v>60.039200000000008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60.039199999719855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59.945074999704957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60.039199999719855</v>
      </c>
      <c r="AZ120" s="735">
        <f t="shared" si="77"/>
        <v>59.992137499712406</v>
      </c>
      <c r="BA120" s="633">
        <f t="shared" si="74"/>
        <v>0.86416978873902039</v>
      </c>
      <c r="BC120" s="11">
        <v>43206</v>
      </c>
      <c r="BD120" s="289">
        <f>[2]!FeuilCaduc*(1-Persistant)+Persistant</f>
        <v>0.55262725570755977</v>
      </c>
      <c r="BE120" s="290">
        <f>[2]!CroissVégét</f>
        <v>9.3237357323611589E-2</v>
      </c>
      <c r="BF120" s="804">
        <f>1+[2]!Salcycl*Ksac</f>
        <v>1.005262725570756</v>
      </c>
      <c r="BH120" s="1036">
        <f t="shared" si="75"/>
        <v>1.6636378304882751E-3</v>
      </c>
      <c r="BI120" s="11">
        <v>44302</v>
      </c>
      <c r="BJ120" s="715">
        <v>4.5467956357114859E-9</v>
      </c>
      <c r="BK120" s="715">
        <v>3.748135090282761E-5</v>
      </c>
      <c r="BL120" s="715">
        <v>2.7414765770840063E-4</v>
      </c>
      <c r="BM120" s="715">
        <v>9.5965901339547816E-4</v>
      </c>
      <c r="BN120" s="715">
        <v>2.3701201093475235E-3</v>
      </c>
      <c r="BO120" s="716">
        <v>4.7697720453198141E-3</v>
      </c>
      <c r="BP120" s="715">
        <v>8.4101515568299635E-3</v>
      </c>
      <c r="BQ120" s="715">
        <v>1.3637285619357483E-2</v>
      </c>
      <c r="BR120" s="715">
        <v>2.0705414197015323E-2</v>
      </c>
      <c r="BS120" s="715">
        <v>2.9969283409529132E-2</v>
      </c>
      <c r="BT120" s="715">
        <v>4.0769311026954455E-2</v>
      </c>
      <c r="BW120" s="1190">
        <f>'2019'!R\Max</f>
        <v>0.59621355029501344</v>
      </c>
      <c r="BX120" s="1190">
        <f>'2020'!R\Max</f>
        <v>0.85738477593196449</v>
      </c>
      <c r="BY120" s="1190">
        <f>'2021'!R\Max</f>
        <v>0.86416978873902039</v>
      </c>
      <c r="BZ120" s="1190">
        <f>'2022'!R\Max</f>
        <v>0.84262399953746203</v>
      </c>
      <c r="CA120" s="1190">
        <f>'2023'!R\Max</f>
        <v>0.84260685787698131</v>
      </c>
      <c r="CB120" s="1190">
        <f>'2024'!R\Max</f>
        <v>0.84258903029691568</v>
      </c>
      <c r="CC120" s="1190">
        <f>'2025'!R\Max</f>
        <v>0.84256440919751741</v>
      </c>
      <c r="CD120" s="1190">
        <f>'2026'!R\Max</f>
        <v>0.84265452613593705</v>
      </c>
      <c r="CE120" s="1191">
        <f>'2027'!R\Max</f>
        <v>0.8426476933776853</v>
      </c>
      <c r="CF120" s="1193">
        <f>'2028'!R\Max</f>
        <v>0.84263639646242272</v>
      </c>
    </row>
    <row r="121" spans="1:84" s="6" customFormat="1" ht="11.25" x14ac:dyDescent="0.2">
      <c r="A121" s="11">
        <v>43207</v>
      </c>
      <c r="B121" s="379">
        <f>'2022'!Maxi_hp</f>
        <v>59.386411049175642</v>
      </c>
      <c r="C121" s="13">
        <f>'2022'!An_max</f>
        <v>2022</v>
      </c>
      <c r="D121" s="1045">
        <f t="shared" si="59"/>
        <v>0.98547405173400704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60.261770408547349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60.171247129940561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60.259238912378045</v>
      </c>
      <c r="AZ121" s="735">
        <f t="shared" si="77"/>
        <v>60.215243021159303</v>
      </c>
      <c r="BA121" s="633">
        <f t="shared" si="74"/>
        <v>0.98547405173400704</v>
      </c>
      <c r="BC121" s="11">
        <v>43207</v>
      </c>
      <c r="BD121" s="289">
        <f>[2]!FeuilCaduc*(1-Persistant)+Persistant</f>
        <v>0.55586070786623254</v>
      </c>
      <c r="BE121" s="290">
        <f>[2]!CroissVégét</f>
        <v>9.6818050392965163E-2</v>
      </c>
      <c r="BF121" s="804">
        <f>1+[2]!Salcycl*Ksac</f>
        <v>1.0055860707866233</v>
      </c>
      <c r="BH121" s="1036">
        <f t="shared" si="75"/>
        <v>1.6106681023658367E-3</v>
      </c>
      <c r="BI121" s="11">
        <v>44303</v>
      </c>
      <c r="BJ121" s="715">
        <v>0</v>
      </c>
      <c r="BK121" s="715">
        <v>3.4329839698355983E-5</v>
      </c>
      <c r="BL121" s="715">
        <v>2.605875280859465E-4</v>
      </c>
      <c r="BM121" s="715">
        <v>9.2468599205706721E-4</v>
      </c>
      <c r="BN121" s="715">
        <v>2.2990896752605968E-3</v>
      </c>
      <c r="BO121" s="716">
        <v>4.6413055431729138E-3</v>
      </c>
      <c r="BP121" s="715">
        <v>8.1928849686542949E-3</v>
      </c>
      <c r="BQ121" s="715">
        <v>1.3287034417663724E-2</v>
      </c>
      <c r="BR121" s="715">
        <v>2.016861233694224E-2</v>
      </c>
      <c r="BS121" s="715">
        <v>2.9178005444299271E-2</v>
      </c>
      <c r="BT121" s="715">
        <v>3.9675212990428609E-2</v>
      </c>
      <c r="BW121" s="1190">
        <f>'2019'!R\Max</f>
        <v>0.63682391232540292</v>
      </c>
      <c r="BX121" s="1190">
        <f>'2020'!R\Max</f>
        <v>0.77237226941248283</v>
      </c>
      <c r="BY121" s="1190">
        <f>'2021'!R\Max</f>
        <v>0.90610940168593768</v>
      </c>
      <c r="BZ121" s="1190">
        <f>'2022'!R\Max</f>
        <v>0.98547405173400704</v>
      </c>
      <c r="CA121" s="1190">
        <f>'2023'!R\Max</f>
        <v>0.98547224256914268</v>
      </c>
      <c r="CB121" s="1190">
        <f>'2024'!R\Max</f>
        <v>0.98547035838860308</v>
      </c>
      <c r="CC121" s="1190">
        <f>'2025'!R\Max</f>
        <v>0.98546776242702505</v>
      </c>
      <c r="CD121" s="1190">
        <f>'2026'!R\Max</f>
        <v>0.98547727770645877</v>
      </c>
      <c r="CE121" s="1191">
        <f>'2027'!R\Max</f>
        <v>0.98547655563177339</v>
      </c>
      <c r="CF121" s="1193">
        <f>'2028'!R\Max</f>
        <v>0.98547536283471304</v>
      </c>
    </row>
    <row r="122" spans="1:84" s="6" customFormat="1" ht="11.25" x14ac:dyDescent="0.2">
      <c r="A122" s="11">
        <v>43208</v>
      </c>
      <c r="B122" s="379">
        <f>'2022'!Maxi_hp</f>
        <v>43.933124779978819</v>
      </c>
      <c r="C122" s="13">
        <f>'2022'!An_max</f>
        <v>2022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60.477681633085012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60.391624489533044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60.471260277075416</v>
      </c>
      <c r="AZ122" s="735">
        <f t="shared" si="77"/>
        <v>60.43144238330423</v>
      </c>
      <c r="BA122" s="633">
        <f t="shared" si="74"/>
        <v>0.72643533273181382</v>
      </c>
      <c r="BC122" s="11">
        <v>43208</v>
      </c>
      <c r="BD122" s="289">
        <f>[2]!FeuilCaduc*(1-Persistant)+Persistant</f>
        <v>0.55923122122331848</v>
      </c>
      <c r="BE122" s="290">
        <f>[2]!CroissVégét</f>
        <v>0.10051901103841099</v>
      </c>
      <c r="BF122" s="804">
        <f>1+[2]!Salcycl*Ksac</f>
        <v>1.0059231221223319</v>
      </c>
      <c r="BH122" s="1036">
        <f t="shared" si="75"/>
        <v>1.5598357118601948E-3</v>
      </c>
      <c r="BI122" s="11">
        <v>44304</v>
      </c>
      <c r="BJ122" s="715">
        <v>0</v>
      </c>
      <c r="BK122" s="715">
        <v>3.1573942904805135E-5</v>
      </c>
      <c r="BL122" s="715">
        <v>2.4809664337394901E-4</v>
      </c>
      <c r="BM122" s="715">
        <v>8.914660083540381E-4</v>
      </c>
      <c r="BN122" s="715">
        <v>2.2305822454043518E-3</v>
      </c>
      <c r="BO122" s="716">
        <v>4.5164867938115036E-3</v>
      </c>
      <c r="BP122" s="715">
        <v>7.9822509208222325E-3</v>
      </c>
      <c r="BQ122" s="715">
        <v>1.2948054875960227E-2</v>
      </c>
      <c r="BR122" s="715">
        <v>1.9651019049975699E-2</v>
      </c>
      <c r="BS122" s="715">
        <v>2.8417755143190355E-2</v>
      </c>
      <c r="BT122" s="715">
        <v>3.8627608755616417E-2</v>
      </c>
      <c r="BW122" s="1190">
        <f>'2019'!R\Max</f>
        <v>0.47704051578242007</v>
      </c>
      <c r="BX122" s="1190">
        <f>'2020'!R\Max</f>
        <v>0.58961835039839228</v>
      </c>
      <c r="BY122" s="1190">
        <f>'2021'!R\Max</f>
        <v>0.69952435968395832</v>
      </c>
      <c r="BZ122" s="1190">
        <f>'2022'!R\Max</f>
        <v>0.72643533273181382</v>
      </c>
      <c r="CA122" s="1190">
        <f>'2023'!R\Max</f>
        <v>0.72641076417981676</v>
      </c>
      <c r="CB122" s="1190">
        <f>'2024'!R\Max</f>
        <v>0.72638514286405731</v>
      </c>
      <c r="CC122" s="1190">
        <f>'2025'!R\Max</f>
        <v>0.72634993225032429</v>
      </c>
      <c r="CD122" s="1190">
        <f>'2026'!R\Max</f>
        <v>0.72647919146022599</v>
      </c>
      <c r="CE122" s="1191">
        <f>'2027'!R\Max</f>
        <v>0.72646937340609741</v>
      </c>
      <c r="CF122" s="1193">
        <f>'2028'!R\Max</f>
        <v>0.72645317145196564</v>
      </c>
    </row>
    <row r="123" spans="1:84" s="6" customFormat="1" ht="11.25" x14ac:dyDescent="0.2">
      <c r="A123" s="11">
        <v>43209</v>
      </c>
      <c r="B123" s="379">
        <f>'2022'!Maxi_hp</f>
        <v>59.533076172726751</v>
      </c>
      <c r="C123" s="13">
        <f>'2022'!An_max</f>
        <v>2021</v>
      </c>
      <c r="D123" s="1045">
        <f t="shared" si="59"/>
        <v>0.98098672266652187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60.686933673173186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60.606111032702032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60.67544246552778</v>
      </c>
      <c r="AZ123" s="735">
        <f t="shared" si="77"/>
        <v>60.640776749114906</v>
      </c>
      <c r="BA123" s="633">
        <f t="shared" si="74"/>
        <v>0.98098672266652187</v>
      </c>
      <c r="BC123" s="11">
        <v>43209</v>
      </c>
      <c r="BD123" s="289">
        <f>[2]!FeuilCaduc*(1-Persistant)+Persistant</f>
        <v>0.56274011088114417</v>
      </c>
      <c r="BE123" s="290">
        <f>[2]!CroissVégét</f>
        <v>0.1043431172076847</v>
      </c>
      <c r="BF123" s="804">
        <f>1+[2]!Salcycl*Ksac</f>
        <v>1.0062740110881143</v>
      </c>
      <c r="BH123" s="1036">
        <f t="shared" si="75"/>
        <v>1.5117697565113673E-3</v>
      </c>
      <c r="BI123" s="11">
        <v>44305</v>
      </c>
      <c r="BJ123" s="715">
        <v>0</v>
      </c>
      <c r="BK123" s="715">
        <v>2.913215370992366E-5</v>
      </c>
      <c r="BL123" s="715">
        <v>2.3687587101816289E-4</v>
      </c>
      <c r="BM123" s="715">
        <v>8.6051521018100418E-4</v>
      </c>
      <c r="BN123" s="715">
        <v>2.1653402686312956E-3</v>
      </c>
      <c r="BO123" s="716">
        <v>4.3957287009929631E-3</v>
      </c>
      <c r="BP123" s="715">
        <v>7.7771887083645545E-3</v>
      </c>
      <c r="BQ123" s="715">
        <v>1.2616895911720107E-2</v>
      </c>
      <c r="BR123" s="715">
        <v>1.9145243084594154E-2</v>
      </c>
      <c r="BS123" s="715">
        <v>2.7675490881255611E-2</v>
      </c>
      <c r="BT123" s="715">
        <v>3.7606041429587657E-2</v>
      </c>
      <c r="BW123" s="1190">
        <f>'2019'!R\Max</f>
        <v>0.8538614622921098</v>
      </c>
      <c r="BX123" s="1190">
        <f>'2020'!R\Max</f>
        <v>0.75741146522184177</v>
      </c>
      <c r="BY123" s="1190">
        <f>'2021'!R\Max</f>
        <v>0.98098672266652187</v>
      </c>
      <c r="BZ123" s="1190">
        <f>'2022'!R\Max</f>
        <v>0.1692228599849972</v>
      </c>
      <c r="CA123" s="1190">
        <f>'2023'!R\Max</f>
        <v>0.16920853130602295</v>
      </c>
      <c r="CB123" s="1190">
        <f>'2024'!R\Max</f>
        <v>0.16919356884120396</v>
      </c>
      <c r="CC123" s="1190">
        <f>'2025'!R\Max</f>
        <v>0.16917306095091539</v>
      </c>
      <c r="CD123" s="1190">
        <f>'2026'!R\Max</f>
        <v>0.16924847016146993</v>
      </c>
      <c r="CE123" s="1191">
        <f>'2027'!R\Max</f>
        <v>0.16924273479939581</v>
      </c>
      <c r="CF123" s="1193">
        <f>'2028'!R\Max</f>
        <v>0.16923328369846147</v>
      </c>
    </row>
    <row r="124" spans="1:84" s="6" customFormat="1" ht="11.25" x14ac:dyDescent="0.2">
      <c r="A124" s="11">
        <v>43210</v>
      </c>
      <c r="B124" s="379">
        <f>'2022'!Maxi_hp</f>
        <v>52.580415314681325</v>
      </c>
      <c r="C124" s="13">
        <f>'2022'!An_max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60.889526530355212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60.814610714465381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60.871963849237986</v>
      </c>
      <c r="AZ124" s="735">
        <f t="shared" si="77"/>
        <v>60.843287281851687</v>
      </c>
      <c r="BA124" s="633">
        <f t="shared" si="74"/>
        <v>0.86353792369314031</v>
      </c>
      <c r="BC124" s="11">
        <v>43210</v>
      </c>
      <c r="BD124" s="289">
        <f>[2]!FeuilCaduc*(1-Persistant)+Persistant</f>
        <v>0.56638849978262629</v>
      </c>
      <c r="BE124" s="290">
        <f>[2]!CroissVégét</f>
        <v>0.10829322666502313</v>
      </c>
      <c r="BF124" s="804">
        <f>1+[2]!Salcycl*Ksac</f>
        <v>1.0066388499782626</v>
      </c>
      <c r="BH124" s="1036">
        <f t="shared" si="75"/>
        <v>1.4664695782860718E-3</v>
      </c>
      <c r="BI124" s="11">
        <v>44306</v>
      </c>
      <c r="BJ124" s="715">
        <v>0</v>
      </c>
      <c r="BK124" s="715">
        <v>2.7004361209289771E-5</v>
      </c>
      <c r="BL124" s="715">
        <v>2.2692476039647507E-4</v>
      </c>
      <c r="BM124" s="715">
        <v>8.3183294911527825E-4</v>
      </c>
      <c r="BN124" s="715">
        <v>2.1033630772633741E-3</v>
      </c>
      <c r="BO124" s="716">
        <v>4.2790309661642307E-3</v>
      </c>
      <c r="BP124" s="715">
        <v>7.5776984319586259E-3</v>
      </c>
      <c r="BQ124" s="715">
        <v>1.2293558301169646E-2</v>
      </c>
      <c r="BR124" s="715">
        <v>1.8651285735724485E-2</v>
      </c>
      <c r="BS124" s="715">
        <v>2.6951214352860908E-2</v>
      </c>
      <c r="BT124" s="715">
        <v>3.6610512814948863E-2</v>
      </c>
      <c r="BW124" s="1190">
        <f>'2019'!R\Max</f>
        <v>0.86353792369314031</v>
      </c>
      <c r="BX124" s="1190">
        <f>'2020'!R\Max</f>
        <v>0.31733585797146552</v>
      </c>
      <c r="BY124" s="1190">
        <f>'2021'!R\Max</f>
        <v>0.67575193495924146</v>
      </c>
      <c r="BZ124" s="1190">
        <f>'2022'!R\Max</f>
        <v>0.17598348013363771</v>
      </c>
      <c r="CA124" s="1190">
        <f>'2023'!R\Max</f>
        <v>0.17596889833294324</v>
      </c>
      <c r="CB124" s="1190">
        <f>'2024'!R\Max</f>
        <v>0.17595364923001525</v>
      </c>
      <c r="CC124" s="1190">
        <f>'2025'!R\Max</f>
        <v>0.1759328027126173</v>
      </c>
      <c r="CD124" s="1190">
        <f>'2026'!R\Max</f>
        <v>0.17600957149587304</v>
      </c>
      <c r="CE124" s="1191">
        <f>'2027'!R\Max</f>
        <v>0.17600372469695807</v>
      </c>
      <c r="CF124" s="1193">
        <f>'2028'!R\Max</f>
        <v>0.17599410712990649</v>
      </c>
    </row>
    <row r="125" spans="1:84" s="6" customFormat="1" ht="11.25" x14ac:dyDescent="0.2">
      <c r="A125" s="11">
        <v>43211</v>
      </c>
      <c r="B125" s="379">
        <f>'2022'!Maxi_hp</f>
        <v>55.246951602065522</v>
      </c>
      <c r="C125" s="13">
        <f>'2022'!An_max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61.08546020463109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61.017027487233278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61.061002796835126</v>
      </c>
      <c r="AZ125" s="735">
        <f t="shared" si="77"/>
        <v>61.039015142034202</v>
      </c>
      <c r="BA125" s="633">
        <f t="shared" si="74"/>
        <v>0.90442064964384228</v>
      </c>
      <c r="BC125" s="11">
        <v>43211</v>
      </c>
      <c r="BD125" s="289">
        <f>[2]!FeuilCaduc*(1-Persistant)+Persistant</f>
        <v>0.57017731071516031</v>
      </c>
      <c r="BE125" s="290">
        <f>[2]!CroissVégét</f>
        <v>0.11237216879596926</v>
      </c>
      <c r="BF125" s="804">
        <f>1+[2]!Salcycl*Ksac</f>
        <v>1.007017731071516</v>
      </c>
      <c r="BH125" s="1036">
        <f t="shared" si="75"/>
        <v>1.4239384788828672E-3</v>
      </c>
      <c r="BI125" s="11">
        <v>44307</v>
      </c>
      <c r="BJ125" s="715">
        <v>0</v>
      </c>
      <c r="BK125" s="715">
        <v>2.5190511550665452E-5</v>
      </c>
      <c r="BL125" s="715">
        <v>2.1824342471450295E-4</v>
      </c>
      <c r="BM125" s="715">
        <v>8.0542078133839822E-4</v>
      </c>
      <c r="BN125" s="715">
        <v>2.0446557247235063E-3</v>
      </c>
      <c r="BO125" s="716">
        <v>4.1664050802145188E-3</v>
      </c>
      <c r="BP125" s="715">
        <v>7.3838011664884018E-3</v>
      </c>
      <c r="BQ125" s="715">
        <v>1.1978076912390655E-2</v>
      </c>
      <c r="BR125" s="715">
        <v>1.8169200018326913E-2</v>
      </c>
      <c r="BS125" s="715">
        <v>2.624500192394286E-2</v>
      </c>
      <c r="BT125" s="715">
        <v>3.5641126045541191E-2</v>
      </c>
      <c r="BW125" s="1190">
        <f>'2019'!R\Max</f>
        <v>0.31787467631758964</v>
      </c>
      <c r="BX125" s="1190">
        <f>'2020'!R\Max</f>
        <v>0.25014622207635495</v>
      </c>
      <c r="BY125" s="1190">
        <f>'2021'!R\Max</f>
        <v>0.90442064964384228</v>
      </c>
      <c r="BZ125" s="1190">
        <f>'2022'!R\Max</f>
        <v>0.168872538774792</v>
      </c>
      <c r="CA125" s="1190">
        <f>'2023'!R\Max</f>
        <v>0.16885884373582888</v>
      </c>
      <c r="CB125" s="1190">
        <f>'2024'!R\Max</f>
        <v>0.16884450051622421</v>
      </c>
      <c r="CC125" s="1190">
        <f>'2025'!R\Max</f>
        <v>0.16882494470660039</v>
      </c>
      <c r="CD125" s="1190">
        <f>'2026'!R\Max</f>
        <v>0.16889707122117298</v>
      </c>
      <c r="CE125" s="1191">
        <f>'2027'!R\Max</f>
        <v>0.16889156862263693</v>
      </c>
      <c r="CF125" s="1193">
        <f>'2028'!R\Max</f>
        <v>0.1688825372695445</v>
      </c>
    </row>
    <row r="126" spans="1:84" s="6" customFormat="1" ht="11.25" x14ac:dyDescent="0.2">
      <c r="A126" s="11">
        <v>43212</v>
      </c>
      <c r="B126" s="379">
        <f>'2022'!Maxi_hp</f>
        <v>61.484611749803321</v>
      </c>
      <c r="C126" s="13">
        <f>'2022'!An_max</f>
        <v>2021</v>
      </c>
      <c r="D126" s="1045">
        <f t="shared" si="59"/>
        <v>1.0034251809712271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61.274734694510698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61.213265305651092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61.242737681791183</v>
      </c>
      <c r="AZ126" s="735">
        <f t="shared" si="77"/>
        <v>61.228001493721138</v>
      </c>
      <c r="BA126" s="633">
        <f t="shared" si="74"/>
        <v>1.0034251809712271</v>
      </c>
      <c r="BC126" s="11">
        <v>43212</v>
      </c>
      <c r="BD126" s="289">
        <f>[2]!FeuilCaduc*(1-Persistant)+Persistant</f>
        <v>0.57410725804646978</v>
      </c>
      <c r="BE126" s="290">
        <f>[2]!CroissVégét</f>
        <v>0.11658273588973417</v>
      </c>
      <c r="BF126" s="804">
        <f>1+[2]!Salcycl*Ksac</f>
        <v>1.007410725804647</v>
      </c>
      <c r="BH126" s="1036">
        <f t="shared" si="75"/>
        <v>1.3841793005303119E-3</v>
      </c>
      <c r="BI126" s="11">
        <v>44308</v>
      </c>
      <c r="BJ126" s="715">
        <v>0</v>
      </c>
      <c r="BK126" s="715">
        <v>2.3690519773665947E-5</v>
      </c>
      <c r="BL126" s="715">
        <v>2.108318458672842E-4</v>
      </c>
      <c r="BM126" s="715">
        <v>7.8127994681432764E-4</v>
      </c>
      <c r="BN126" s="715">
        <v>1.9892226612027546E-3</v>
      </c>
      <c r="BO126" s="716">
        <v>4.0578614952472662E-3</v>
      </c>
      <c r="BP126" s="715">
        <v>7.1955162785165465E-3</v>
      </c>
      <c r="BQ126" s="715">
        <v>1.1670483888696964E-2</v>
      </c>
      <c r="BR126" s="715">
        <v>1.7699034780359359E-2</v>
      </c>
      <c r="BS126" s="715">
        <v>2.5556923799088142E-2</v>
      </c>
      <c r="BT126" s="715">
        <v>3.4697975708835337E-2</v>
      </c>
      <c r="BW126" s="1190">
        <f>'2019'!R\Max</f>
        <v>0.54942845266719453</v>
      </c>
      <c r="BX126" s="1190">
        <f>'2020'!R\Max</f>
        <v>0.2610972316817447</v>
      </c>
      <c r="BY126" s="1190">
        <f>'2021'!R\Max</f>
        <v>1.0034251809712271</v>
      </c>
      <c r="BZ126" s="1190">
        <f>'2022'!R\Max</f>
        <v>0.48937406393285748</v>
      </c>
      <c r="CA126" s="1190">
        <f>'2023'!R\Max</f>
        <v>0.48934572578910912</v>
      </c>
      <c r="CB126" s="1190">
        <f>'2024'!R\Max</f>
        <v>0.48931599968398531</v>
      </c>
      <c r="CC126" s="1190">
        <f>'2025'!R\Max</f>
        <v>0.48927557949483652</v>
      </c>
      <c r="CD126" s="1190">
        <f>'2026'!R\Max</f>
        <v>0.48942488308972487</v>
      </c>
      <c r="CE126" s="1191">
        <f>'2027'!R\Max</f>
        <v>0.48941347045457712</v>
      </c>
      <c r="CF126" s="1193">
        <f>'2028'!R\Max</f>
        <v>0.48939478852249418</v>
      </c>
    </row>
    <row r="127" spans="1:84" s="6" customFormat="1" ht="11.25" x14ac:dyDescent="0.2">
      <c r="A127" s="11">
        <v>43213</v>
      </c>
      <c r="B127" s="379">
        <f>'2022'!Maxi_hp</f>
        <v>61.411826255045938</v>
      </c>
      <c r="C127" s="13">
        <f>'2022'!An_max</f>
        <v>2021</v>
      </c>
      <c r="D127" s="1045">
        <f t="shared" si="59"/>
        <v>0.99925926281273347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61.457349999621513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61.403228125162421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61.417346875183284</v>
      </c>
      <c r="AZ127" s="735">
        <f t="shared" si="77"/>
        <v>61.410287500172856</v>
      </c>
      <c r="BA127" s="633">
        <f t="shared" si="74"/>
        <v>0.99925926281273347</v>
      </c>
      <c r="BC127" s="11">
        <v>43213</v>
      </c>
      <c r="BD127" s="289">
        <f>[2]!FeuilCaduc*(1-Persistant)+Persistant</f>
        <v>0.57817883921308411</v>
      </c>
      <c r="BE127" s="290">
        <f>[2]!CroissVégét</f>
        <v>0.12092767389780094</v>
      </c>
      <c r="BF127" s="804">
        <f>1+[2]!Salcycl*Ksac</f>
        <v>1.0078178839213083</v>
      </c>
      <c r="BH127" s="1036">
        <f t="shared" si="75"/>
        <v>1.347190598590565E-3</v>
      </c>
      <c r="BI127" s="11">
        <v>44309</v>
      </c>
      <c r="BJ127" s="715">
        <v>0</v>
      </c>
      <c r="BK127" s="715">
        <v>2.2504212430797762E-5</v>
      </c>
      <c r="BL127" s="715">
        <v>2.0468931415753376E-4</v>
      </c>
      <c r="BM127" s="715">
        <v>7.5940922933142533E-4</v>
      </c>
      <c r="BN127" s="715">
        <v>1.9370622128247587E-3</v>
      </c>
      <c r="BO127" s="716">
        <v>3.9533982920092635E-3</v>
      </c>
      <c r="BP127" s="715">
        <v>7.0128412834885639E-3</v>
      </c>
      <c r="BQ127" s="715">
        <v>1.1370775956823112E-2</v>
      </c>
      <c r="BR127" s="715">
        <v>1.7240785131900027E-2</v>
      </c>
      <c r="BS127" s="715">
        <v>2.4886972486688613E-2</v>
      </c>
      <c r="BT127" s="715">
        <v>3.3781050784325306E-2</v>
      </c>
      <c r="BW127" s="1190">
        <f>'2019'!R\Max</f>
        <v>0.60906941385712143</v>
      </c>
      <c r="BX127" s="1190">
        <f>'2020'!R\Max</f>
        <v>0.16400686954930094</v>
      </c>
      <c r="BY127" s="1190">
        <f>'2021'!R\Max</f>
        <v>0.99925926281273347</v>
      </c>
      <c r="BZ127" s="1190">
        <f>'2022'!R\Max</f>
        <v>0.16250810566226226</v>
      </c>
      <c r="CA127" s="1190">
        <f>'2023'!R\Max</f>
        <v>0.1624954748587388</v>
      </c>
      <c r="CB127" s="1190">
        <f>'2024'!R\Max</f>
        <v>0.16248220530788798</v>
      </c>
      <c r="CC127" s="1190">
        <f>'2025'!R\Max</f>
        <v>0.16246421372681247</v>
      </c>
      <c r="CD127" s="1190">
        <f>'2026'!R\Max</f>
        <v>0.16253078497089996</v>
      </c>
      <c r="CE127" s="1191">
        <f>'2027'!R\Max</f>
        <v>0.16252568355026148</v>
      </c>
      <c r="CF127" s="1193">
        <f>'2028'!R\Max</f>
        <v>0.16251735917718946</v>
      </c>
    </row>
    <row r="128" spans="1:84" s="6" customFormat="1" ht="11.25" x14ac:dyDescent="0.2">
      <c r="A128" s="11">
        <v>43214</v>
      </c>
      <c r="B128" s="379">
        <f>'2022'!Maxi_hp</f>
        <v>58.10105142457774</v>
      </c>
      <c r="C128" s="13">
        <f>'2022'!An_max</f>
        <v>2021</v>
      </c>
      <c r="D128" s="1045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61.633306121719741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61.586819898550004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61.585008745853386</v>
      </c>
      <c r="AZ128" s="735">
        <f t="shared" si="77"/>
        <v>61.585914322201695</v>
      </c>
      <c r="BA128" s="633">
        <f t="shared" si="74"/>
        <v>0.94268918999467355</v>
      </c>
      <c r="BC128" s="11">
        <v>43214</v>
      </c>
      <c r="BD128" s="289">
        <f>[2]!FeuilCaduc*(1-Persistant)+Persistant</f>
        <v>0.5823923259923296</v>
      </c>
      <c r="BE128" s="290">
        <f>[2]!CroissVégét</f>
        <v>0.12540967267096395</v>
      </c>
      <c r="BF128" s="804">
        <f>1+[2]!Salcycl*Ksac</f>
        <v>1.0082392325992329</v>
      </c>
      <c r="BH128" s="1036">
        <f t="shared" si="75"/>
        <v>1.3126277277999527E-3</v>
      </c>
      <c r="BI128" s="11">
        <v>44310</v>
      </c>
      <c r="BJ128" s="715">
        <v>0</v>
      </c>
      <c r="BK128" s="715">
        <v>2.1576055208912472E-5</v>
      </c>
      <c r="BL128" s="715">
        <v>1.9945583191718043E-4</v>
      </c>
      <c r="BM128" s="715">
        <v>7.3934820403789197E-4</v>
      </c>
      <c r="BN128" s="715">
        <v>1.8879459256447859E-3</v>
      </c>
      <c r="BO128" s="716">
        <v>3.8536118426757086E-3</v>
      </c>
      <c r="BP128" s="715">
        <v>6.8376585165756225E-3</v>
      </c>
      <c r="BQ128" s="715">
        <v>1.1082858369620696E-2</v>
      </c>
      <c r="BR128" s="715">
        <v>1.6801061322052505E-2</v>
      </c>
      <c r="BS128" s="715">
        <v>2.4245056704572759E-2</v>
      </c>
      <c r="BT128" s="715">
        <v>3.2903803285622639E-2</v>
      </c>
      <c r="BW128" s="1190">
        <f>'2019'!R\Max</f>
        <v>0.85022107126179514</v>
      </c>
      <c r="BX128" s="1190">
        <f>'2020'!R\Max</f>
        <v>0.27794422913676137</v>
      </c>
      <c r="BY128" s="1190">
        <f>'2021'!R\Max</f>
        <v>0.94268918999467355</v>
      </c>
      <c r="BZ128" s="1190">
        <f>'2022'!R\Max</f>
        <v>0.56002589819160975</v>
      </c>
      <c r="CA128" s="1190">
        <f>'2023'!R\Max</f>
        <v>0.55999909703879236</v>
      </c>
      <c r="CB128" s="1190">
        <f>'2024'!R\Max</f>
        <v>0.55997089384388765</v>
      </c>
      <c r="CC128" s="1190">
        <f>'2025'!R\Max</f>
        <v>0.55993276078689258</v>
      </c>
      <c r="CD128" s="1190">
        <f>'2026'!R\Max</f>
        <v>0.56007407333967318</v>
      </c>
      <c r="CE128" s="1191">
        <f>'2027'!R\Max</f>
        <v>0.56006321797932923</v>
      </c>
      <c r="CF128" s="1193">
        <f>'2028'!R\Max</f>
        <v>0.5600455649532402</v>
      </c>
    </row>
    <row r="129" spans="1:84" s="6" customFormat="1" ht="11.25" x14ac:dyDescent="0.2">
      <c r="A129" s="11">
        <v>43215</v>
      </c>
      <c r="B129" s="379">
        <f>'2022'!Maxi_hp</f>
        <v>57.415722541484826</v>
      </c>
      <c r="C129" s="13">
        <f>'2022'!An_max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61.802603061231117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61.763944579554462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61.745901666954161</v>
      </c>
      <c r="AZ129" s="735">
        <f t="shared" si="77"/>
        <v>61.754923123254315</v>
      </c>
      <c r="BA129" s="633">
        <f t="shared" si="74"/>
        <v>0.92901786814060283</v>
      </c>
      <c r="BC129" s="11">
        <v>43215</v>
      </c>
      <c r="BD129" s="289">
        <f>[2]!FeuilCaduc*(1-Persistant)+Persistant</f>
        <v>0.58674775559897863</v>
      </c>
      <c r="BE129" s="290">
        <f>[2]!CroissVégét</f>
        <v>0.13003135568089563</v>
      </c>
      <c r="BF129" s="804">
        <f>1+[2]!Salcycl*Ksac</f>
        <v>1.0086747755598979</v>
      </c>
      <c r="BH129" s="1036">
        <f t="shared" si="75"/>
        <v>1.2793896201543054E-3</v>
      </c>
      <c r="BI129" s="11">
        <v>44311</v>
      </c>
      <c r="BJ129" s="715">
        <v>0</v>
      </c>
      <c r="BK129" s="715">
        <v>2.0711076814668465E-5</v>
      </c>
      <c r="BL129" s="715">
        <v>1.9450960923800571E-4</v>
      </c>
      <c r="BM129" s="715">
        <v>7.2015296406488603E-4</v>
      </c>
      <c r="BN129" s="715">
        <v>1.840615011633093E-3</v>
      </c>
      <c r="BO129" s="716">
        <v>3.7571601256114174E-3</v>
      </c>
      <c r="BP129" s="715">
        <v>6.6678615079937475E-3</v>
      </c>
      <c r="BQ129" s="715">
        <v>1.0803533420302021E-2</v>
      </c>
      <c r="BR129" s="715">
        <v>1.637437889836987E-2</v>
      </c>
      <c r="BS129" s="715">
        <v>2.3622425464119686E-2</v>
      </c>
      <c r="BT129" s="715">
        <v>3.2053173908877068E-2</v>
      </c>
      <c r="BW129" s="1190">
        <f>'2019'!R\Max</f>
        <v>0.58311459567107538</v>
      </c>
      <c r="BX129" s="1190">
        <f>'2020'!R\Max</f>
        <v>0.92901786814060283</v>
      </c>
      <c r="BY129" s="1190">
        <f>'2021'!R\Max</f>
        <v>0.45219769538075466</v>
      </c>
      <c r="BZ129" s="1190">
        <f>'2022'!R\Max</f>
        <v>0.84537910081480661</v>
      </c>
      <c r="CA129" s="1190">
        <f>'2023'!R\Max</f>
        <v>0.84536516646096493</v>
      </c>
      <c r="CB129" s="1190">
        <f>'2024'!R\Max</f>
        <v>0.8453504782256781</v>
      </c>
      <c r="CC129" s="1190">
        <f>'2025'!R\Max</f>
        <v>0.84533067437590392</v>
      </c>
      <c r="CD129" s="1190">
        <f>'2026'!R\Max</f>
        <v>0.84540417806847612</v>
      </c>
      <c r="CE129" s="1191">
        <f>'2027'!R\Max</f>
        <v>0.84539851714763137</v>
      </c>
      <c r="CF129" s="1193">
        <f>'2028'!R\Max</f>
        <v>0.84538934377089847</v>
      </c>
    </row>
    <row r="130" spans="1:84" s="6" customFormat="1" ht="11.25" x14ac:dyDescent="0.2">
      <c r="A130" s="11">
        <v>43216</v>
      </c>
      <c r="B130" s="379">
        <f>'2022'!Maxi_hp</f>
        <v>59.909404473598052</v>
      </c>
      <c r="C130" s="13">
        <f>'2022'!An_max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61.96524081645267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61.93450612287436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61.900204008924106</v>
      </c>
      <c r="AZ130" s="735">
        <f t="shared" si="77"/>
        <v>61.91735506589923</v>
      </c>
      <c r="BA130" s="633">
        <f t="shared" si="74"/>
        <v>0.96682274908050125</v>
      </c>
      <c r="BC130" s="11">
        <v>43216</v>
      </c>
      <c r="BD130" s="289">
        <f>[2]!FeuilCaduc*(1-Persistant)+Persistant</f>
        <v>0.59124492165785514</v>
      </c>
      <c r="BE130" s="290">
        <f>[2]!CroissVégét</f>
        <v>0.13479526923661356</v>
      </c>
      <c r="BF130" s="804">
        <f>1+[2]!Salcycl*Ksac</f>
        <v>1.0091244921657856</v>
      </c>
      <c r="BH130" s="1036">
        <f t="shared" si="75"/>
        <v>1.2474756436630847E-3</v>
      </c>
      <c r="BI130" s="11">
        <v>44312</v>
      </c>
      <c r="BJ130" s="715">
        <v>0</v>
      </c>
      <c r="BK130" s="715">
        <v>1.9909245222645092E-5</v>
      </c>
      <c r="BL130" s="715">
        <v>1.898504933404131E-4</v>
      </c>
      <c r="BM130" s="715">
        <v>7.018230840361195E-4</v>
      </c>
      <c r="BN130" s="715">
        <v>1.795068631450138E-3</v>
      </c>
      <c r="BO130" s="716">
        <v>3.6640416236635859E-3</v>
      </c>
      <c r="BP130" s="715">
        <v>6.5034478857981535E-3</v>
      </c>
      <c r="BQ130" s="715">
        <v>1.0532797415532126E-2</v>
      </c>
      <c r="BR130" s="715">
        <v>1.596073230209968E-2</v>
      </c>
      <c r="BS130" s="715">
        <v>2.3019070551985366E-2</v>
      </c>
      <c r="BT130" s="715">
        <v>3.1229151308147893E-2</v>
      </c>
      <c r="BW130" s="1190">
        <f>'2019'!R\Max</f>
        <v>0.47137255164800457</v>
      </c>
      <c r="BX130" s="1190">
        <f>'2020'!R\Max</f>
        <v>0.79026972618268976</v>
      </c>
      <c r="BY130" s="1190">
        <f>'2021'!R\Max</f>
        <v>0.12702405438647632</v>
      </c>
      <c r="BZ130" s="1190">
        <f>'2022'!R\Max</f>
        <v>0.96682274908050125</v>
      </c>
      <c r="CA130" s="1190">
        <f>'2023'!R\Max</f>
        <v>0.96681939662270289</v>
      </c>
      <c r="CB130" s="1190">
        <f>'2024'!R\Max</f>
        <v>0.96681585677137671</v>
      </c>
      <c r="CC130" s="1190">
        <f>'2025'!R\Max</f>
        <v>0.96681109785724928</v>
      </c>
      <c r="CD130" s="1190">
        <f>'2026'!R\Max</f>
        <v>0.96682879079105033</v>
      </c>
      <c r="CE130" s="1191">
        <f>'2027'!R\Max</f>
        <v>0.96682742434758406</v>
      </c>
      <c r="CF130" s="1193">
        <f>'2028'!R\Max</f>
        <v>0.96682521815188549</v>
      </c>
    </row>
    <row r="131" spans="1:84" s="6" customFormat="1" ht="11.25" x14ac:dyDescent="0.2">
      <c r="A131" s="11">
        <v>43217</v>
      </c>
      <c r="B131" s="379">
        <f>'2022'!Maxi_hp</f>
        <v>43.491010827693984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62.121219387650491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62.098408482569667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62.048094141057561</v>
      </c>
      <c r="AZ131" s="735">
        <f t="shared" si="77"/>
        <v>62.073251311813614</v>
      </c>
      <c r="BA131" s="633">
        <f t="shared" si="74"/>
        <v>0.70009911679775982</v>
      </c>
      <c r="BC131" s="11">
        <v>43217</v>
      </c>
      <c r="BD131" s="289">
        <f>[2]!FeuilCaduc*(1-Persistant)+Persistant</f>
        <v>0.59588336511359419</v>
      </c>
      <c r="BE131" s="290">
        <f>[2]!CroissVégét</f>
        <v>0.13970387121088346</v>
      </c>
      <c r="BF131" s="804">
        <f>1+[2]!Salcycl*Ksac</f>
        <v>1.0095883365113594</v>
      </c>
      <c r="BH131" s="1036">
        <f t="shared" si="75"/>
        <v>1.2168851540612518E-3</v>
      </c>
      <c r="BI131" s="11">
        <v>44313</v>
      </c>
      <c r="BJ131" s="715">
        <v>0</v>
      </c>
      <c r="BK131" s="715">
        <v>1.9170527196835813E-5</v>
      </c>
      <c r="BL131" s="715">
        <v>1.8547832680512231E-4</v>
      </c>
      <c r="BM131" s="715">
        <v>6.8435812835063463E-4</v>
      </c>
      <c r="BN131" s="715">
        <v>1.7513059314247584E-3</v>
      </c>
      <c r="BO131" s="716">
        <v>3.5742547999419697E-3</v>
      </c>
      <c r="BP131" s="715">
        <v>6.3444152584050603E-3</v>
      </c>
      <c r="BQ131" s="715">
        <v>1.0270646638063366E-2</v>
      </c>
      <c r="BR131" s="715">
        <v>1.5560115940636055E-2</v>
      </c>
      <c r="BS131" s="715">
        <v>2.2434983697593738E-2</v>
      </c>
      <c r="BT131" s="715">
        <v>3.0431724050898862E-2</v>
      </c>
      <c r="BW131" s="1190">
        <f>'2019'!R\Max</f>
        <v>0.48028062887493878</v>
      </c>
      <c r="BX131" s="1190">
        <f>'2020'!R\Max</f>
        <v>0.42594289309059979</v>
      </c>
      <c r="BY131" s="1190">
        <f>'2021'!R\Max</f>
        <v>0.34796765234560445</v>
      </c>
      <c r="BZ131" s="1190">
        <f>'2022'!R\Max</f>
        <v>0.70009911679775982</v>
      </c>
      <c r="CA131" s="1190">
        <f>'2023'!R\Max</f>
        <v>0.70007759494167443</v>
      </c>
      <c r="CB131" s="1190">
        <f>'2024'!R\Max</f>
        <v>0.70005483233293464</v>
      </c>
      <c r="CC131" s="1190">
        <f>'2025'!R\Max</f>
        <v>0.70002432309036755</v>
      </c>
      <c r="CD131" s="1190">
        <f>'2026'!R\Max</f>
        <v>0.7001379666565003</v>
      </c>
      <c r="CE131" s="1191">
        <f>'2027'!R\Max</f>
        <v>0.70012916228183775</v>
      </c>
      <c r="CF131" s="1193">
        <f>'2028'!R\Max</f>
        <v>0.70011500129705495</v>
      </c>
    </row>
    <row r="132" spans="1:84" s="6" customFormat="1" ht="11.25" x14ac:dyDescent="0.2">
      <c r="A132" s="11">
        <v>43218</v>
      </c>
      <c r="B132" s="379">
        <f>'2022'!Maxi_hp</f>
        <v>46.721279625112096</v>
      </c>
      <c r="C132" s="13">
        <f>'2022'!An_max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62.27053877434561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62.25555561307285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62.189750437438491</v>
      </c>
      <c r="AZ132" s="735">
        <f t="shared" si="77"/>
        <v>62.222653025255667</v>
      </c>
      <c r="BA132" s="633">
        <f t="shared" si="74"/>
        <v>0.75029509210478296</v>
      </c>
      <c r="BC132" s="11">
        <v>43218</v>
      </c>
      <c r="BD132" s="289">
        <f>[2]!FeuilCaduc*(1-Persistant)+Persistant</f>
        <v>0.60066236514825999</v>
      </c>
      <c r="BE132" s="290">
        <f>[2]!CroissVégét</f>
        <v>0.14475951929663808</v>
      </c>
      <c r="BF132" s="804">
        <f>1+[2]!Salcycl*Ksac</f>
        <v>1.0100662365148261</v>
      </c>
      <c r="BH132" s="1036">
        <f t="shared" si="75"/>
        <v>1.1876174919391619E-3</v>
      </c>
      <c r="BI132" s="11">
        <v>44314</v>
      </c>
      <c r="BJ132" s="715">
        <v>0</v>
      </c>
      <c r="BK132" s="715">
        <v>1.8494888153257908E-5</v>
      </c>
      <c r="BL132" s="715">
        <v>1.8139294694905037E-4</v>
      </c>
      <c r="BM132" s="715">
        <v>6.6775764930517923E-4</v>
      </c>
      <c r="BN132" s="715">
        <v>1.7093260396880544E-3</v>
      </c>
      <c r="BO132" s="716">
        <v>3.4877980906039148E-3</v>
      </c>
      <c r="BP132" s="715">
        <v>6.1907612029498274E-3</v>
      </c>
      <c r="BQ132" s="715">
        <v>1.0017077328168665E-2</v>
      </c>
      <c r="BR132" s="715">
        <v>1.5172524159342796E-2</v>
      </c>
      <c r="BS132" s="715">
        <v>2.1870156531465471E-2</v>
      </c>
      <c r="BT132" s="715">
        <v>2.9660880560474154E-2</v>
      </c>
      <c r="BW132" s="1190">
        <f>'2019'!R\Max</f>
        <v>0.75029509210478296</v>
      </c>
      <c r="BX132" s="1190">
        <f>'2020'!R\Max</f>
        <v>0.36749907138521742</v>
      </c>
      <c r="BY132" s="1190">
        <f>'2021'!R\Max</f>
        <v>0.2809270017945707</v>
      </c>
      <c r="BZ132" s="1190">
        <f>'2022'!R\Max</f>
        <v>0.4208516916036148</v>
      </c>
      <c r="CA132" s="1190">
        <f>'2023'!R\Max</f>
        <v>0.42082717784191714</v>
      </c>
      <c r="CB132" s="1190">
        <f>'2024'!R\Max</f>
        <v>0.42080120672006666</v>
      </c>
      <c r="CC132" s="1190">
        <f>'2025'!R\Max</f>
        <v>0.42076650311174724</v>
      </c>
      <c r="CD132" s="1190">
        <f>'2026'!R\Max</f>
        <v>0.42089602151116878</v>
      </c>
      <c r="CE132" s="1191">
        <f>'2027'!R\Max</f>
        <v>0.42088595422817848</v>
      </c>
      <c r="CF132" s="1193">
        <f>'2028'!R\Max</f>
        <v>0.42086982549272439</v>
      </c>
    </row>
    <row r="133" spans="1:84" s="6" customFormat="1" ht="11.25" x14ac:dyDescent="0.2">
      <c r="A133" s="11">
        <v>43219</v>
      </c>
      <c r="B133" s="379">
        <f>'2022'!Maxi_hp</f>
        <v>51.783140656081144</v>
      </c>
      <c r="C133" s="13">
        <f>'2022'!An_max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62.413198979890772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62.405851466288524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62.325351266536337</v>
      </c>
      <c r="AZ133" s="735">
        <f t="shared" si="77"/>
        <v>62.365601366412434</v>
      </c>
      <c r="BA133" s="633">
        <f t="shared" si="74"/>
        <v>0.82968252713284929</v>
      </c>
      <c r="BC133" s="11">
        <v>43219</v>
      </c>
      <c r="BD133" s="289">
        <f>[2]!FeuilCaduc*(1-Persistant)+Persistant</f>
        <v>0.60558093018649406</v>
      </c>
      <c r="BE133" s="290">
        <f>[2]!CroissVégét</f>
        <v>0.14996445881890225</v>
      </c>
      <c r="BF133" s="804">
        <f>1+[2]!Salcycl*Ksac</f>
        <v>1.0105580930186495</v>
      </c>
      <c r="BH133" s="1036">
        <f t="shared" si="75"/>
        <v>1.1596719798593858E-3</v>
      </c>
      <c r="BI133" s="11">
        <v>44315</v>
      </c>
      <c r="BJ133" s="715">
        <v>0</v>
      </c>
      <c r="BK133" s="715">
        <v>1.788229202234962E-5</v>
      </c>
      <c r="BL133" s="715">
        <v>1.7759418519920785E-4</v>
      </c>
      <c r="BM133" s="715">
        <v>6.5202118520923079E-4</v>
      </c>
      <c r="BN133" s="715">
        <v>1.6691280622884595E-3</v>
      </c>
      <c r="BO133" s="716">
        <v>3.4046698976010112E-3</v>
      </c>
      <c r="BP133" s="715">
        <v>6.0424832535769558E-3</v>
      </c>
      <c r="BQ133" s="715">
        <v>9.7720856649643681E-3</v>
      </c>
      <c r="BR133" s="715">
        <v>1.4797951213209133E-2</v>
      </c>
      <c r="BS133" s="715">
        <v>2.1324580543305386E-2</v>
      </c>
      <c r="BT133" s="715">
        <v>2.891660905824666E-2</v>
      </c>
      <c r="BW133" s="1190">
        <f>'2019'!R\Max</f>
        <v>0.82968252713284929</v>
      </c>
      <c r="BX133" s="1190">
        <f>'2020'!R\Max</f>
        <v>0.49291804676247403</v>
      </c>
      <c r="BY133" s="1190">
        <f>'2021'!R\Max</f>
        <v>0.43668720018482321</v>
      </c>
      <c r="BZ133" s="1190">
        <f>'2022'!R\Max</f>
        <v>0.76806498521156985</v>
      </c>
      <c r="CA133" s="1190">
        <f>'2023'!R\Max</f>
        <v>0.76804739700488589</v>
      </c>
      <c r="CB133" s="1190">
        <f>'2024'!R\Max</f>
        <v>0.76802872824303359</v>
      </c>
      <c r="CC133" s="1190">
        <f>'2025'!R\Max</f>
        <v>0.76800385507556235</v>
      </c>
      <c r="CD133" s="1190">
        <f>'2026'!R\Max</f>
        <v>0.76809684740199613</v>
      </c>
      <c r="CE133" s="1191">
        <f>'2027'!R\Max</f>
        <v>0.76808959655415887</v>
      </c>
      <c r="CF133" s="1193">
        <f>'2028'!R\Max</f>
        <v>0.76807802612298437</v>
      </c>
    </row>
    <row r="134" spans="1:84" s="6" customFormat="1" ht="11.25" x14ac:dyDescent="0.2">
      <c r="A134" s="11">
        <v>43220</v>
      </c>
      <c r="B134" s="379">
        <f>'2022'!Maxi_hp</f>
        <v>61.648626642094747</v>
      </c>
      <c r="C134" s="13">
        <f>'2022'!An_max</f>
        <v>2018</v>
      </c>
      <c r="D134" s="1045">
        <f t="shared" si="59"/>
        <v>0.98560216025503111</v>
      </c>
      <c r="E134" s="1040">
        <f>V$13/10</f>
        <v>62.549199999999999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62.549199999868868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62.549199999123815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62.4550750002265</v>
      </c>
      <c r="AZ134" s="735">
        <f t="shared" si="77"/>
        <v>62.502137499675158</v>
      </c>
      <c r="BA134" s="633">
        <f t="shared" si="74"/>
        <v>0.98560216025503111</v>
      </c>
      <c r="BC134" s="11">
        <v>43220</v>
      </c>
      <c r="BD134" s="289">
        <f>[2]!FeuilCaduc*(1-Persistant)+Persistant</f>
        <v>0.61063778907615396</v>
      </c>
      <c r="BE134" s="290">
        <f>[2]!CroissVégét</f>
        <v>0.1553208101334605</v>
      </c>
      <c r="BF134" s="804">
        <f>1+[2]!Salcycl*Ksac</f>
        <v>1.0110637789076153</v>
      </c>
      <c r="BH134" s="1036">
        <f t="shared" si="75"/>
        <v>1.133047919477267E-3</v>
      </c>
      <c r="BI134" s="11">
        <v>44316</v>
      </c>
      <c r="BJ134" s="715">
        <v>0</v>
      </c>
      <c r="BK134" s="715">
        <v>1.7332701111428513E-5</v>
      </c>
      <c r="BL134" s="715">
        <v>1.740818664671608E-4</v>
      </c>
      <c r="BM134" s="715">
        <v>6.3714825850211623E-4</v>
      </c>
      <c r="BN134" s="715">
        <v>1.6307110793121907E-3</v>
      </c>
      <c r="BO134" s="716">
        <v>3.324868581436722E-3</v>
      </c>
      <c r="BP134" s="715">
        <v>5.8995788897495882E-3</v>
      </c>
      <c r="BQ134" s="715">
        <v>9.5356677477646829E-3</v>
      </c>
      <c r="BR134" s="715">
        <v>1.4436391238553366E-2</v>
      </c>
      <c r="BS134" s="715">
        <v>2.0798247040158941E-2</v>
      </c>
      <c r="BT134" s="715">
        <v>2.8198897505860191E-2</v>
      </c>
      <c r="BW134" s="1190">
        <f>'2019'!R\Max</f>
        <v>0.98560216025503111</v>
      </c>
      <c r="BX134" s="1190">
        <f>'2020'!R\Max</f>
        <v>0.87433471138109409</v>
      </c>
      <c r="BY134" s="1190">
        <f>'2021'!R\Max</f>
        <v>0.25048682784788628</v>
      </c>
      <c r="BZ134" s="1190">
        <f>'2022'!R\Max</f>
        <v>0.81136429394771747</v>
      </c>
      <c r="CA134" s="1190">
        <f>'2023'!R\Max</f>
        <v>0.81134945344748832</v>
      </c>
      <c r="CB134" s="1190">
        <f>'2024'!R\Max</f>
        <v>0.81133367198464423</v>
      </c>
      <c r="CC134" s="1190">
        <f>'2025'!R\Max</f>
        <v>0.81131270903431041</v>
      </c>
      <c r="CD134" s="1190">
        <f>'2026'!R\Max</f>
        <v>0.81139123267680768</v>
      </c>
      <c r="CE134" s="1191">
        <f>'2027'!R\Max</f>
        <v>0.81138508888191663</v>
      </c>
      <c r="CF134" s="1193">
        <f>'2028'!R\Max</f>
        <v>0.81137532536617374</v>
      </c>
    </row>
    <row r="135" spans="1:84" s="6" customFormat="1" ht="11.25" x14ac:dyDescent="0.2">
      <c r="A135" s="11">
        <v>43221</v>
      </c>
      <c r="B135" s="379">
        <f>'2022'!Maxi_hp</f>
        <v>57.098058064772587</v>
      </c>
      <c r="C135" s="13">
        <f>'2022'!An_max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62.677590524990634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62.684611023310573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62.579100009426476</v>
      </c>
      <c r="AZ135" s="735">
        <f t="shared" si="77"/>
        <v>62.631855516368525</v>
      </c>
      <c r="BA135" s="633">
        <f t="shared" si="74"/>
        <v>0.91098042516498157</v>
      </c>
      <c r="BC135" s="11">
        <v>43221</v>
      </c>
      <c r="BD135" s="289">
        <f>[2]!FeuilCaduc*(1-Persistant)+Persistant</f>
        <v>0.6158313825398869</v>
      </c>
      <c r="BE135" s="290">
        <f>[2]!CroissVégét</f>
        <v>0.16083055564958049</v>
      </c>
      <c r="BF135" s="804">
        <f>1+[2]!Salcycl*Ksac</f>
        <v>1.0115831382539886</v>
      </c>
      <c r="BH135" s="1036">
        <f t="shared" si="75"/>
        <v>1.1077445886596947E-3</v>
      </c>
      <c r="BI135" s="11">
        <v>44317</v>
      </c>
      <c r="BJ135" s="715">
        <v>0</v>
      </c>
      <c r="BK135" s="715">
        <v>1.6846075967122442E-5</v>
      </c>
      <c r="BL135" s="715">
        <v>1.7085580852321811E-4</v>
      </c>
      <c r="BM135" s="715">
        <v>6.2313837386913289E-4</v>
      </c>
      <c r="BN135" s="715">
        <v>1.5940741410011264E-3</v>
      </c>
      <c r="BO135" s="716">
        <v>3.2483924539187651E-3</v>
      </c>
      <c r="BP135" s="715">
        <v>5.7620455245497E-3</v>
      </c>
      <c r="BQ135" s="715">
        <v>9.3078195774210816E-3</v>
      </c>
      <c r="BR135" s="715">
        <v>1.4087838224703768E-2</v>
      </c>
      <c r="BS135" s="715">
        <v>2.0291147104535931E-2</v>
      </c>
      <c r="BT135" s="715">
        <v>2.7507733547427048E-2</v>
      </c>
      <c r="BW135" s="1190">
        <f>'2019'!R\Max</f>
        <v>0.91098042516498157</v>
      </c>
      <c r="BX135" s="1190">
        <f>'2020'!R\Max</f>
        <v>0.74130365979766866</v>
      </c>
      <c r="BY135" s="1190">
        <f>'2021'!R\Max</f>
        <v>0.31334328291265945</v>
      </c>
      <c r="BZ135" s="1190">
        <f>'2022'!R\Max</f>
        <v>0.81936206843016302</v>
      </c>
      <c r="CA135" s="1190">
        <f>'2023'!R\Max</f>
        <v>0.81934796717936242</v>
      </c>
      <c r="CB135" s="1190">
        <f>'2024'!R\Max</f>
        <v>0.81933294345621588</v>
      </c>
      <c r="CC135" s="1190">
        <f>'2025'!R\Max</f>
        <v>0.81931304767682711</v>
      </c>
      <c r="CD135" s="1190">
        <f>'2026'!R\Max</f>
        <v>0.81938772141346461</v>
      </c>
      <c r="CE135" s="1191">
        <f>'2027'!R\Max</f>
        <v>0.81938185764634164</v>
      </c>
      <c r="CF135" s="1193">
        <f>'2028'!R\Max</f>
        <v>0.81937257859223089</v>
      </c>
    </row>
    <row r="136" spans="1:84" s="6" customFormat="1" ht="11.25" x14ac:dyDescent="0.2">
      <c r="A136" s="11">
        <v>43222</v>
      </c>
      <c r="B136" s="379">
        <f>'2022'!Maxi_hp</f>
        <v>49.564429764978506</v>
      </c>
      <c r="C136" s="13">
        <f>'2022'!An_max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62.797711952456403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62.811359620786142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62.697604665160178</v>
      </c>
      <c r="AZ136" s="735">
        <f t="shared" si="77"/>
        <v>62.75448214297316</v>
      </c>
      <c r="BA136" s="633">
        <f t="shared" si="74"/>
        <v>0.78927126839435335</v>
      </c>
      <c r="BC136" s="11">
        <v>43222</v>
      </c>
      <c r="BD136" s="289">
        <f>[2]!FeuilCaduc*(1-Persistant)+Persistant</f>
        <v>0.62115985499963711</v>
      </c>
      <c r="BE136" s="290">
        <f>[2]!CroissVégét</f>
        <v>0.16649552652045066</v>
      </c>
      <c r="BF136" s="804">
        <f>1+[2]!Salcycl*Ksac</f>
        <v>1.0121159854999637</v>
      </c>
      <c r="BH136" s="1036">
        <f t="shared" si="75"/>
        <v>1.0841090927183688E-3</v>
      </c>
      <c r="BI136" s="11">
        <v>44318</v>
      </c>
      <c r="BJ136" s="715">
        <v>0</v>
      </c>
      <c r="BK136" s="715">
        <v>1.638127915058171E-5</v>
      </c>
      <c r="BL136" s="715">
        <v>1.6777032845564972E-4</v>
      </c>
      <c r="BM136" s="715">
        <v>6.1006745107680053E-4</v>
      </c>
      <c r="BN136" s="715">
        <v>1.5598365025915101E-3</v>
      </c>
      <c r="BO136" s="716">
        <v>3.1767990527580372E-3</v>
      </c>
      <c r="BP136" s="715">
        <v>5.6327214540679129E-3</v>
      </c>
      <c r="BQ136" s="715">
        <v>9.0932848730774975E-3</v>
      </c>
      <c r="BR136" s="715">
        <v>1.3759176971786351E-2</v>
      </c>
      <c r="BS136" s="715">
        <v>1.9812405583916233E-2</v>
      </c>
      <c r="BT136" s="715">
        <v>2.6854344408182729E-2</v>
      </c>
      <c r="BW136" s="1190">
        <f>'2019'!R\Max</f>
        <v>0.51152492153656359</v>
      </c>
      <c r="BX136" s="1190">
        <f>'2020'!R\Max</f>
        <v>0.3469186681619893</v>
      </c>
      <c r="BY136" s="1190">
        <f>'2021'!R\Max</f>
        <v>0.78927126839435335</v>
      </c>
      <c r="BZ136" s="1190">
        <f>'2022'!R\Max</f>
        <v>0.4858873528047406</v>
      </c>
      <c r="CA136" s="1190">
        <f>'2023'!R\Max</f>
        <v>0.48586394440469954</v>
      </c>
      <c r="CB136" s="1190">
        <f>'2024'!R\Max</f>
        <v>0.48583895780599506</v>
      </c>
      <c r="CC136" s="1190">
        <f>'2025'!R\Max</f>
        <v>0.48580597115052621</v>
      </c>
      <c r="CD136" s="1190">
        <f>'2026'!R\Max</f>
        <v>0.48593004430525544</v>
      </c>
      <c r="CE136" s="1191">
        <f>'2027'!R\Max</f>
        <v>0.48592026269676636</v>
      </c>
      <c r="CF136" s="1193">
        <f>'2028'!R\Max</f>
        <v>0.48590485161264652</v>
      </c>
    </row>
    <row r="137" spans="1:84" s="6" customFormat="1" ht="11.25" x14ac:dyDescent="0.2">
      <c r="A137" s="11">
        <v>43223</v>
      </c>
      <c r="B137" s="379">
        <f>'2022'!Maxi_hp</f>
        <v>61.404519088032231</v>
      </c>
      <c r="C137" s="13">
        <f>'2022'!An_max</f>
        <v>2021</v>
      </c>
      <c r="D137" s="1045">
        <f t="shared" si="59"/>
        <v>0.97606923882988783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62.910003353495689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62.92974764877664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62.810767338105606</v>
      </c>
      <c r="AZ137" s="735">
        <f t="shared" si="77"/>
        <v>62.870257493441123</v>
      </c>
      <c r="BA137" s="633">
        <f t="shared" si="74"/>
        <v>0.97606923882988783</v>
      </c>
      <c r="BC137" s="11">
        <v>43223</v>
      </c>
      <c r="BD137" s="289">
        <f>[2]!FeuilCaduc*(1-Persistant)+Persistant</f>
        <v>0.62662104688158959</v>
      </c>
      <c r="BE137" s="290">
        <f>[2]!CroissVégét</f>
        <v>0.1723173890515782</v>
      </c>
      <c r="BF137" s="804">
        <f>1+[2]!Salcycl*Ksac</f>
        <v>1.012662104688159</v>
      </c>
      <c r="BH137" s="1036">
        <f t="shared" si="75"/>
        <v>1.0604837518038315E-3</v>
      </c>
      <c r="BI137" s="11">
        <v>44319</v>
      </c>
      <c r="BJ137" s="715">
        <v>0</v>
      </c>
      <c r="BK137" s="715">
        <v>1.5820289504954424E-5</v>
      </c>
      <c r="BL137" s="715">
        <v>1.6418134870161791E-4</v>
      </c>
      <c r="BM137" s="715">
        <v>5.9661734670414187E-4</v>
      </c>
      <c r="BN137" s="715">
        <v>1.5259997403593189E-3</v>
      </c>
      <c r="BO137" s="716">
        <v>3.1073768947507251E-3</v>
      </c>
      <c r="BP137" s="715">
        <v>5.5081468188915581E-3</v>
      </c>
      <c r="BQ137" s="715">
        <v>8.8874457699447944E-3</v>
      </c>
      <c r="BR137" s="715">
        <v>1.3444081886618676E-2</v>
      </c>
      <c r="BS137" s="715">
        <v>1.9352802985760659E-2</v>
      </c>
      <c r="BT137" s="715">
        <v>2.6225781063856028E-2</v>
      </c>
      <c r="BW137" s="1190">
        <f>'2019'!R\Max</f>
        <v>0.3243164374307646</v>
      </c>
      <c r="BX137" s="1190">
        <f>'2020'!R\Max</f>
        <v>0.584597638794213</v>
      </c>
      <c r="BY137" s="1190">
        <f>'2021'!R\Max</f>
        <v>0.97606923882988783</v>
      </c>
      <c r="BZ137" s="1190">
        <f>'2022'!R\Max</f>
        <v>0.67706971026141172</v>
      </c>
      <c r="CA137" s="1190">
        <f>'2023'!R\Max</f>
        <v>0.67704954105540216</v>
      </c>
      <c r="CB137" s="1190">
        <f>'2024'!R\Max</f>
        <v>0.67702796831387757</v>
      </c>
      <c r="CC137" s="1190">
        <f>'2025'!R\Max</f>
        <v>0.67699957385716403</v>
      </c>
      <c r="CD137" s="1190">
        <f>'2026'!R\Max</f>
        <v>0.67710658358640863</v>
      </c>
      <c r="CE137" s="1191">
        <f>'2027'!R\Max</f>
        <v>0.67709811656123664</v>
      </c>
      <c r="CF137" s="1193">
        <f>'2028'!R\Max</f>
        <v>0.6770848326486909</v>
      </c>
    </row>
    <row r="138" spans="1:84" s="6" customFormat="1" ht="11.25" x14ac:dyDescent="0.2">
      <c r="A138" s="11">
        <v>43224</v>
      </c>
      <c r="B138" s="379">
        <f>'2022'!Maxi_hp</f>
        <v>54.000058250195806</v>
      </c>
      <c r="C138" s="13">
        <f>'2022'!An_max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63.014903790184427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63.040076967807749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62.918766400058345</v>
      </c>
      <c r="AZ138" s="735">
        <f t="shared" si="77"/>
        <v>62.979421683933047</v>
      </c>
      <c r="BA138" s="633">
        <f t="shared" si="74"/>
        <v>0.85694105683308486</v>
      </c>
      <c r="BC138" s="11">
        <v>43224</v>
      </c>
      <c r="BD138" s="289">
        <f>[2]!FeuilCaduc*(1-Persistant)+Persistant</f>
        <v>0.63221248751341552</v>
      </c>
      <c r="BE138" s="290">
        <f>[2]!CroissVégét</f>
        <v>0.17829763088415901</v>
      </c>
      <c r="BF138" s="804">
        <f>1+[2]!Salcycl*Ksac</f>
        <v>1.0132212487513415</v>
      </c>
      <c r="BH138" s="1036">
        <f t="shared" si="75"/>
        <v>1.0368688017542132E-3</v>
      </c>
      <c r="BI138" s="11">
        <v>44320</v>
      </c>
      <c r="BJ138" s="715">
        <v>0</v>
      </c>
      <c r="BK138" s="715">
        <v>1.5163190410042323E-5</v>
      </c>
      <c r="BL138" s="715">
        <v>1.6008930046397304E-4</v>
      </c>
      <c r="BM138" s="715">
        <v>5.8278849856317836E-4</v>
      </c>
      <c r="BN138" s="715">
        <v>1.4925638874505396E-3</v>
      </c>
      <c r="BO138" s="716">
        <v>3.0401249955088598E-3</v>
      </c>
      <c r="BP138" s="715">
        <v>5.3883191990149555E-3</v>
      </c>
      <c r="BQ138" s="715">
        <v>8.6902976534882059E-3</v>
      </c>
      <c r="BR138" s="715">
        <v>1.3142545742206378E-2</v>
      </c>
      <c r="BS138" s="715">
        <v>1.8912329336598054E-2</v>
      </c>
      <c r="BT138" s="715">
        <v>2.5622030987990929E-2</v>
      </c>
      <c r="BW138" s="1190">
        <f>'2019'!R\Max</f>
        <v>0.55458623913878669</v>
      </c>
      <c r="BX138" s="1190">
        <f>'2020'!R\Max</f>
        <v>0.85688172111629268</v>
      </c>
      <c r="BY138" s="1190">
        <f>'2021'!R\Max</f>
        <v>0.85694105683308486</v>
      </c>
      <c r="BZ138" s="1190">
        <f>'2022'!R\Max</f>
        <v>0.36604903479206907</v>
      </c>
      <c r="CA138" s="1190">
        <f>'2023'!R\Max</f>
        <v>0.36602794624174789</v>
      </c>
      <c r="CB138" s="1190">
        <f>'2024'!R\Max</f>
        <v>0.36600534537608803</v>
      </c>
      <c r="CC138" s="1190">
        <f>'2025'!R\Max</f>
        <v>0.36597569031547961</v>
      </c>
      <c r="CD138" s="1190">
        <f>'2026'!R\Max</f>
        <v>0.36608768978769263</v>
      </c>
      <c r="CE138" s="1191">
        <f>'2027'!R\Max</f>
        <v>0.36607879471543847</v>
      </c>
      <c r="CF138" s="1193">
        <f>'2028'!R\Max</f>
        <v>0.36606489671660475</v>
      </c>
    </row>
    <row r="139" spans="1:84" s="6" customFormat="1" ht="11.25" x14ac:dyDescent="0.2">
      <c r="A139" s="11">
        <v>43225</v>
      </c>
      <c r="B139" s="379">
        <f>'2022'!Maxi_hp</f>
        <v>59.96671405061354</v>
      </c>
      <c r="C139" s="13">
        <f>'2022'!An_max</f>
        <v>2020</v>
      </c>
      <c r="D139" s="1045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63.112852332315278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63.142649434772991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63.021780220552216</v>
      </c>
      <c r="AZ139" s="735">
        <f t="shared" si="77"/>
        <v>63.082214827662604</v>
      </c>
      <c r="BA139" s="633">
        <f t="shared" si="74"/>
        <v>0.95015059270121371</v>
      </c>
      <c r="BC139" s="11">
        <v>43225</v>
      </c>
      <c r="BD139" s="289">
        <f>[2]!FeuilCaduc*(1-Persistant)+Persistant</f>
        <v>0.63793138872880584</v>
      </c>
      <c r="BE139" s="290">
        <f>[2]!CroissVégét</f>
        <v>0.1844375470173118</v>
      </c>
      <c r="BF139" s="804">
        <f>1+[2]!Salcycl*Ksac</f>
        <v>1.0137931388728807</v>
      </c>
      <c r="BH139" s="1036">
        <f t="shared" si="75"/>
        <v>1.0132644986378251E-3</v>
      </c>
      <c r="BI139" s="11">
        <v>44321</v>
      </c>
      <c r="BJ139" s="715">
        <v>0</v>
      </c>
      <c r="BK139" s="715">
        <v>1.4410069758721536E-5</v>
      </c>
      <c r="BL139" s="715">
        <v>1.5549463911180886E-4</v>
      </c>
      <c r="BM139" s="715">
        <v>5.6858137206597609E-4</v>
      </c>
      <c r="BN139" s="715">
        <v>1.4595289898452692E-3</v>
      </c>
      <c r="BO139" s="716">
        <v>2.9750423406524657E-3</v>
      </c>
      <c r="BP139" s="715">
        <v>5.273236085009971E-3</v>
      </c>
      <c r="BQ139" s="715">
        <v>8.501835726110997E-3</v>
      </c>
      <c r="BR139" s="715">
        <v>1.2854561020755627E-2</v>
      </c>
      <c r="BS139" s="715">
        <v>1.8490974266028953E-2</v>
      </c>
      <c r="BT139" s="715">
        <v>2.5043081167754996E-2</v>
      </c>
      <c r="BW139" s="1190">
        <f>'2019'!R\Max</f>
        <v>0.78111794871464058</v>
      </c>
      <c r="BX139" s="1190">
        <f>'2020'!R\Max</f>
        <v>0.95015059270121371</v>
      </c>
      <c r="BY139" s="1190">
        <f>'2021'!R\Max</f>
        <v>0.55637769016818051</v>
      </c>
      <c r="BZ139" s="1190">
        <f>'2022'!R\Max</f>
        <v>0.7498512821194836</v>
      </c>
      <c r="CA139" s="1190">
        <f>'2023'!R\Max</f>
        <v>0.7498344736253808</v>
      </c>
      <c r="CB139" s="1190">
        <f>'2024'!R\Max</f>
        <v>0.74981642064653031</v>
      </c>
      <c r="CC139" s="1190">
        <f>'2025'!R\Max</f>
        <v>0.74979280302956319</v>
      </c>
      <c r="CD139" s="1190">
        <f>'2026'!R\Max</f>
        <v>0.74988216873107416</v>
      </c>
      <c r="CE139" s="1191">
        <f>'2027'!R\Max</f>
        <v>0.74987504764989577</v>
      </c>
      <c r="CF139" s="1193">
        <f>'2028'!R\Max</f>
        <v>0.74986396492737251</v>
      </c>
    </row>
    <row r="140" spans="1:84" s="6" customFormat="1" ht="11.25" x14ac:dyDescent="0.2">
      <c r="A140" s="11">
        <v>43226</v>
      </c>
      <c r="B140" s="379">
        <f>'2022'!Maxi_hp</f>
        <v>63.959766591204975</v>
      </c>
      <c r="C140" s="13">
        <f>'2022'!An_max</f>
        <v>2018</v>
      </c>
      <c r="D140" s="1045">
        <f t="shared" si="59"/>
        <v>1.0119529634538784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63.20428804606199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63.237766909705741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63.119987171994786</v>
      </c>
      <c r="AZ140" s="735">
        <f t="shared" si="77"/>
        <v>63.178877040850267</v>
      </c>
      <c r="BA140" s="633">
        <f t="shared" si="74"/>
        <v>1.0119529634538784</v>
      </c>
      <c r="BC140" s="11">
        <v>43226</v>
      </c>
      <c r="BD140" s="289">
        <f>[2]!FeuilCaduc*(1-Persistant)+Persistant</f>
        <v>0.64377463929608303</v>
      </c>
      <c r="BE140" s="290">
        <f>[2]!CroissVégét</f>
        <v>0.19073822573999455</v>
      </c>
      <c r="BF140" s="804">
        <f>1+[2]!Salcycl*Ksac</f>
        <v>1.0143774639296084</v>
      </c>
      <c r="BH140" s="1036">
        <f t="shared" si="75"/>
        <v>9.8967111875013399E-4</v>
      </c>
      <c r="BI140" s="11">
        <v>44322</v>
      </c>
      <c r="BJ140" s="715">
        <v>0</v>
      </c>
      <c r="BK140" s="715">
        <v>1.3561020168118885E-5</v>
      </c>
      <c r="BL140" s="715">
        <v>1.5039784528600005E-4</v>
      </c>
      <c r="BM140" s="715">
        <v>5.5399646106601952E-4</v>
      </c>
      <c r="BN140" s="715">
        <v>1.4268951055072855E-3</v>
      </c>
      <c r="BO140" s="716">
        <v>2.9121278811111494E-3</v>
      </c>
      <c r="BP140" s="715">
        <v>5.1628948677268282E-3</v>
      </c>
      <c r="BQ140" s="715">
        <v>8.322054988281237E-3</v>
      </c>
      <c r="BR140" s="715">
        <v>1.2580119884224772E-2</v>
      </c>
      <c r="BS140" s="715">
        <v>1.8088726965194594E-2</v>
      </c>
      <c r="BT140" s="715">
        <v>2.4488918050096564E-2</v>
      </c>
      <c r="BW140" s="1190">
        <f>'2019'!R\Max</f>
        <v>1.0119529634538784</v>
      </c>
      <c r="BX140" s="1190">
        <f>'2020'!R\Max</f>
        <v>0.85952282580807571</v>
      </c>
      <c r="BY140" s="1190">
        <f>'2021'!R\Max</f>
        <v>0.57463871058000182</v>
      </c>
      <c r="BZ140" s="1190">
        <f>'2022'!R\Max</f>
        <v>0.65713185343564062</v>
      </c>
      <c r="CA140" s="1190">
        <f>'2023'!R\Max</f>
        <v>0.65711192808200469</v>
      </c>
      <c r="CB140" s="1190">
        <f>'2024'!R\Max</f>
        <v>0.65709048173658413</v>
      </c>
      <c r="CC140" s="1190">
        <f>'2025'!R\Max</f>
        <v>0.65706251063045917</v>
      </c>
      <c r="CD140" s="1190">
        <f>'2026'!R\Max</f>
        <v>0.65716856540389601</v>
      </c>
      <c r="CE140" s="1191">
        <f>'2027'!R\Max</f>
        <v>0.65716008561791017</v>
      </c>
      <c r="CF140" s="1193">
        <f>'2028'!R\Max</f>
        <v>0.65714693862326923</v>
      </c>
    </row>
    <row r="141" spans="1:84" s="6" customFormat="1" ht="11.25" x14ac:dyDescent="0.2">
      <c r="A141" s="11">
        <v>43227</v>
      </c>
      <c r="B141" s="379">
        <f>'2022'!Maxi_hp</f>
        <v>60.392486037860046</v>
      </c>
      <c r="C141" s="13">
        <f>'2022'!An_max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63.28965000100434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63.325731249991804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63.213565625809132</v>
      </c>
      <c r="AZ141" s="735">
        <f t="shared" si="77"/>
        <v>63.269648437900472</v>
      </c>
      <c r="BA141" s="633">
        <f t="shared" si="74"/>
        <v>0.95422373226746682</v>
      </c>
      <c r="BC141" s="11">
        <v>43227</v>
      </c>
      <c r="BD141" s="289">
        <f>[2]!FeuilCaduc*(1-Persistant)+Persistant</f>
        <v>0.64973880028810904</v>
      </c>
      <c r="BE141" s="290">
        <f>[2]!CroissVégét</f>
        <v>0.19720053455029921</v>
      </c>
      <c r="BF141" s="804">
        <f>1+[2]!Salcycl*Ksac</f>
        <v>1.0149738800288108</v>
      </c>
      <c r="BH141" s="1036">
        <f t="shared" si="75"/>
        <v>9.6608895859607127E-4</v>
      </c>
      <c r="BI141" s="11">
        <v>44323</v>
      </c>
      <c r="BJ141" s="715">
        <v>0</v>
      </c>
      <c r="BK141" s="715">
        <v>1.261613919057152E-5</v>
      </c>
      <c r="BL141" s="715">
        <v>1.4479942600247359E-4</v>
      </c>
      <c r="BM141" s="715">
        <v>5.3903428869134099E-4</v>
      </c>
      <c r="BN141" s="715">
        <v>1.3946623035125101E-3</v>
      </c>
      <c r="BO141" s="716">
        <v>2.8513805283827153E-3</v>
      </c>
      <c r="BP141" s="715">
        <v>5.0572928279187593E-3</v>
      </c>
      <c r="BQ141" s="715">
        <v>8.1509502195356836E-3</v>
      </c>
      <c r="BR141" s="715">
        <v>1.2319214144690062E-2</v>
      </c>
      <c r="BS141" s="715">
        <v>1.7705576144978235E-2</v>
      </c>
      <c r="BT141" s="715">
        <v>2.3959527487539246E-2</v>
      </c>
      <c r="BW141" s="1190">
        <f>'2019'!R\Max</f>
        <v>0.73882622392357056</v>
      </c>
      <c r="BX141" s="1190">
        <f>'2020'!R\Max</f>
        <v>0.95422373226746682</v>
      </c>
      <c r="BY141" s="1190">
        <f>'2021'!R\Max</f>
        <v>0.45176931537826526</v>
      </c>
      <c r="BZ141" s="1190">
        <f>'2022'!R\Max</f>
        <v>0.89793030482176106</v>
      </c>
      <c r="CA141" s="1190">
        <f>'2023'!R\Max</f>
        <v>0.89792229816803526</v>
      </c>
      <c r="CB141" s="1190">
        <f>'2024'!R\Max</f>
        <v>0.89791366088052493</v>
      </c>
      <c r="CC141" s="1190">
        <f>'2025'!R\Max</f>
        <v>0.89790242936221976</v>
      </c>
      <c r="CD141" s="1190">
        <f>'2026'!R\Max</f>
        <v>0.89794509593884275</v>
      </c>
      <c r="CE141" s="1191">
        <f>'2027'!R\Max</f>
        <v>0.89794167375341138</v>
      </c>
      <c r="CF141" s="1193">
        <f>'2028'!R\Max</f>
        <v>0.89793638727793379</v>
      </c>
    </row>
    <row r="142" spans="1:84" s="6" customFormat="1" ht="11.25" x14ac:dyDescent="0.2">
      <c r="A142" s="11">
        <v>43228</v>
      </c>
      <c r="B142" s="379">
        <f>'2022'!Maxi_hp</f>
        <v>59.443974291396984</v>
      </c>
      <c r="C142" s="13">
        <f>'2022'!An_max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63.369377259484352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63.406844314719947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63.302693950917046</v>
      </c>
      <c r="AZ142" s="735">
        <f t="shared" si="77"/>
        <v>63.354769132818497</v>
      </c>
      <c r="BA142" s="633">
        <f t="shared" si="74"/>
        <v>0.93805520682310539</v>
      </c>
      <c r="BC142" s="11">
        <v>43228</v>
      </c>
      <c r="BD142" s="289">
        <f>[2]!FeuilCaduc*(1-Persistant)+Persistant</f>
        <v>0.65582010150971071</v>
      </c>
      <c r="BE142" s="290">
        <f>[2]!CroissVégét</f>
        <v>0.2038251061465651</v>
      </c>
      <c r="BF142" s="804">
        <f>1+[2]!Salcycl*Ksac</f>
        <v>1.0155820101509712</v>
      </c>
      <c r="BH142" s="1036">
        <f t="shared" si="75"/>
        <v>9.4266738007939407E-4</v>
      </c>
      <c r="BI142" s="11">
        <v>44324</v>
      </c>
      <c r="BJ142" s="715">
        <v>0</v>
      </c>
      <c r="BK142" s="715">
        <v>1.1629677868741174E-5</v>
      </c>
      <c r="BL142" s="715">
        <v>1.3891796305137168E-4</v>
      </c>
      <c r="BM142" s="715">
        <v>5.2395694211069502E-4</v>
      </c>
      <c r="BN142" s="715">
        <v>1.3628668196305519E-3</v>
      </c>
      <c r="BO142" s="716">
        <v>2.7926767816315741E-3</v>
      </c>
      <c r="BP142" s="715">
        <v>4.956224981710524E-3</v>
      </c>
      <c r="BQ142" s="715">
        <v>7.9885447858236147E-3</v>
      </c>
      <c r="BR142" s="715">
        <v>1.2072226902553962E-2</v>
      </c>
      <c r="BS142" s="715">
        <v>1.7343039264972951E-2</v>
      </c>
      <c r="BT142" s="715">
        <v>2.3458198624671793E-2</v>
      </c>
      <c r="BW142" s="1190">
        <f>'2019'!R\Max</f>
        <v>0.5098305415546398</v>
      </c>
      <c r="BX142" s="1190">
        <f>'2020'!R\Max</f>
        <v>0.84315541158490237</v>
      </c>
      <c r="BY142" s="1190">
        <f>'2021'!R\Max</f>
        <v>0.93805520682310539</v>
      </c>
      <c r="BZ142" s="1190">
        <f>'2022'!R\Max</f>
        <v>0.82703103315447957</v>
      </c>
      <c r="CA142" s="1190">
        <f>'2023'!R\Max</f>
        <v>0.82701867720916544</v>
      </c>
      <c r="CB142" s="1190">
        <f>'2024'!R\Max</f>
        <v>0.82700531752520423</v>
      </c>
      <c r="CC142" s="1190">
        <f>'2025'!R\Max</f>
        <v>0.82698799645825893</v>
      </c>
      <c r="CD142" s="1190">
        <f>'2026'!R\Max</f>
        <v>0.82705392028675617</v>
      </c>
      <c r="CE142" s="1191">
        <f>'2027'!R\Max</f>
        <v>0.82704861714547795</v>
      </c>
      <c r="CF142" s="1193">
        <f>'2028'!R\Max</f>
        <v>0.82704045273672688</v>
      </c>
    </row>
    <row r="143" spans="1:84" s="6" customFormat="1" ht="11.25" x14ac:dyDescent="0.2">
      <c r="A143" s="11">
        <v>43229</v>
      </c>
      <c r="B143" s="379">
        <f>'2022'!Maxi_hp</f>
        <v>60.188657093420851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63.443908891986517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63.481407963245047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63.387550520205068</v>
      </c>
      <c r="AZ143" s="735">
        <f t="shared" si="77"/>
        <v>63.434479241725057</v>
      </c>
      <c r="BA143" s="633">
        <f t="shared" ref="BA143:BA206" si="93">+B143/J143</f>
        <v>0.94869086953472959</v>
      </c>
      <c r="BC143" s="11">
        <v>43229</v>
      </c>
      <c r="BD143" s="289">
        <f>[2]!FeuilCaduc*(1-Persistant)+Persistant</f>
        <v>0.6620144390963838</v>
      </c>
      <c r="BE143" s="290">
        <f>[2]!CroissVégét</f>
        <v>0.21061232458125589</v>
      </c>
      <c r="BF143" s="804">
        <f>1+[2]!Salcycl*Ksac</f>
        <v>1.0162014439096383</v>
      </c>
      <c r="BH143" s="1036">
        <f t="shared" ref="BH143:BH206" si="94">INDEX($BJ143:$BT143,,$BH$10)*(1-Ratini)+INDEX($BJ143:$BT143,,$BH$10+1)*Ratini</f>
        <v>9.1974842358396041E-4</v>
      </c>
      <c r="BI143" s="11">
        <v>44325</v>
      </c>
      <c r="BJ143" s="715">
        <v>0</v>
      </c>
      <c r="BK143" s="715">
        <v>1.065683528116371E-5</v>
      </c>
      <c r="BL143" s="715">
        <v>1.3311169763725181E-4</v>
      </c>
      <c r="BM143" s="715">
        <v>5.09222167554663E-4</v>
      </c>
      <c r="BN143" s="715">
        <v>1.3317345769299669E-3</v>
      </c>
      <c r="BO143" s="716">
        <v>2.7354195643449933E-3</v>
      </c>
      <c r="BP143" s="715">
        <v>4.8578109827920402E-3</v>
      </c>
      <c r="BQ143" s="715">
        <v>7.8309394958212767E-3</v>
      </c>
      <c r="BR143" s="715">
        <v>1.1832559200713674E-2</v>
      </c>
      <c r="BS143" s="715">
        <v>1.6991224565637189E-2</v>
      </c>
      <c r="BT143" s="715">
        <v>2.2971501759863917E-2</v>
      </c>
      <c r="BW143" s="1190">
        <f>'2019'!R\Max</f>
        <v>0.75188648761037113</v>
      </c>
      <c r="BX143" s="1190">
        <f>'2020'!R\Max</f>
        <v>0.8593311793845827</v>
      </c>
      <c r="BY143" s="1190">
        <f>'2021'!R\Max</f>
        <v>0.34960062350243903</v>
      </c>
      <c r="BZ143" s="1190">
        <f>'2022'!R\Max</f>
        <v>0.94869086953472959</v>
      </c>
      <c r="CA143" s="1190">
        <f>'2023'!R\Max</f>
        <v>0.94868671099741153</v>
      </c>
      <c r="CB143" s="1190">
        <f>'2024'!R\Max</f>
        <v>0.94868220382903778</v>
      </c>
      <c r="CC143" s="1190">
        <f>'2025'!R\Max</f>
        <v>0.94867637691295148</v>
      </c>
      <c r="CD143" s="1190">
        <f>'2026'!R\Max</f>
        <v>0.94869859300890025</v>
      </c>
      <c r="CE143" s="1191">
        <f>'2027'!R\Max</f>
        <v>0.94869680093358699</v>
      </c>
      <c r="CF143" s="1193">
        <f>'2028'!R\Max</f>
        <v>0.94869405109019178</v>
      </c>
    </row>
    <row r="144" spans="1:84" s="6" customFormat="1" ht="11.25" x14ac:dyDescent="0.2">
      <c r="A144" s="11">
        <v>43230</v>
      </c>
      <c r="B144" s="379">
        <f>'2022'!Maxi_hp</f>
        <v>56.228332022395691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63.513683965376444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63.549724052527118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63.468313704005311</v>
      </c>
      <c r="AZ144" s="735">
        <f t="shared" ref="AZ144:AZ207" si="96">(AY144+AT144)/2</f>
        <v>63.509018878266218</v>
      </c>
      <c r="BA144" s="633">
        <f t="shared" si="93"/>
        <v>0.88529476660569306</v>
      </c>
      <c r="BC144" s="11">
        <v>43230</v>
      </c>
      <c r="BD144" s="289">
        <f>[2]!FeuilCaduc*(1-Persistant)+Persistant</f>
        <v>0.66831737439411343</v>
      </c>
      <c r="BE144" s="290">
        <f>[2]!CroissVégét</f>
        <v>0.21756231167469237</v>
      </c>
      <c r="BF144" s="804">
        <f>1+[2]!Salcycl*Ksac</f>
        <v>1.0168317374394114</v>
      </c>
      <c r="BH144" s="1036">
        <f t="shared" si="94"/>
        <v>8.9733197885054545E-4</v>
      </c>
      <c r="BI144" s="11">
        <v>44326</v>
      </c>
      <c r="BJ144" s="715">
        <v>0</v>
      </c>
      <c r="BK144" s="715">
        <v>9.6976204978087693E-6</v>
      </c>
      <c r="BL144" s="715">
        <v>1.2738067319192599E-4</v>
      </c>
      <c r="BM144" s="715">
        <v>4.9482989551230213E-4</v>
      </c>
      <c r="BN144" s="715">
        <v>1.3012654242583403E-3</v>
      </c>
      <c r="BO144" s="716">
        <v>2.6796083229499762E-3</v>
      </c>
      <c r="BP144" s="715">
        <v>4.762049688993829E-3</v>
      </c>
      <c r="BQ144" s="715">
        <v>7.6781320024447283E-3</v>
      </c>
      <c r="BR144" s="715">
        <v>1.1600207469341843E-2</v>
      </c>
      <c r="BS144" s="715">
        <v>1.6650126915941903E-2</v>
      </c>
      <c r="BT144" s="715">
        <v>2.2499430104892873E-2</v>
      </c>
      <c r="BW144" s="1190">
        <f>'2019'!R\Max</f>
        <v>0.62966859019713883</v>
      </c>
      <c r="BX144" s="1190">
        <f>'2020'!R\Max</f>
        <v>0.81663852934601522</v>
      </c>
      <c r="BY144" s="1190">
        <f>'2021'!R\Max</f>
        <v>0.67723868392793218</v>
      </c>
      <c r="BZ144" s="1190">
        <f>'2022'!R\Max</f>
        <v>0.88529476660569306</v>
      </c>
      <c r="CA144" s="1190">
        <f>'2023'!R\Max</f>
        <v>0.88528618290021888</v>
      </c>
      <c r="CB144" s="1190">
        <f>'2024'!R\Max</f>
        <v>0.88527685674150869</v>
      </c>
      <c r="CC144" s="1190">
        <f>'2025'!R\Max</f>
        <v>0.88526483409515866</v>
      </c>
      <c r="CD144" s="1190">
        <f>'2026'!R\Max</f>
        <v>0.88531075241005985</v>
      </c>
      <c r="CE144" s="1191">
        <f>'2027'!R\Max</f>
        <v>0.88530703823932888</v>
      </c>
      <c r="CF144" s="1193">
        <f>'2028'!R\Max</f>
        <v>0.88530135768665796</v>
      </c>
    </row>
    <row r="145" spans="1:84" s="6" customFormat="1" ht="11.25" x14ac:dyDescent="0.2">
      <c r="A145" s="11">
        <v>43231</v>
      </c>
      <c r="B145" s="379">
        <f>'2022'!Maxi_hp</f>
        <v>60.639614204775107</v>
      </c>
      <c r="C145" s="13">
        <f>'2022'!An_max</f>
        <v>2022</v>
      </c>
      <c r="D145" s="1045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63.579141545295712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63.612094442706017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63.545161871479024</v>
      </c>
      <c r="AZ145" s="735">
        <f t="shared" si="96"/>
        <v>63.578628157092524</v>
      </c>
      <c r="BA145" s="633">
        <f t="shared" si="93"/>
        <v>0.95376585356336718</v>
      </c>
      <c r="BC145" s="11">
        <v>43231</v>
      </c>
      <c r="BD145" s="289">
        <f>[2]!FeuilCaduc*(1-Persistant)+Persistant</f>
        <v>0.67472413422475319</v>
      </c>
      <c r="BE145" s="290">
        <f>[2]!CroissVégét</f>
        <v>0.22467491379142088</v>
      </c>
      <c r="BF145" s="804">
        <f>1+[2]!Salcycl*Ksac</f>
        <v>1.0174724134224753</v>
      </c>
      <c r="BH145" s="1036">
        <f t="shared" si="94"/>
        <v>8.7541793080469165E-4</v>
      </c>
      <c r="BI145" s="11">
        <v>44327</v>
      </c>
      <c r="BJ145" s="715">
        <v>0</v>
      </c>
      <c r="BK145" s="715">
        <v>8.7520427869594226E-6</v>
      </c>
      <c r="BL145" s="715">
        <v>1.2172493458694599E-4</v>
      </c>
      <c r="BM145" s="715">
        <v>4.8078005246532293E-4</v>
      </c>
      <c r="BN145" s="715">
        <v>1.271459204837266E-3</v>
      </c>
      <c r="BO145" s="716">
        <v>2.6252424820596958E-3</v>
      </c>
      <c r="BP145" s="715">
        <v>4.6689399122158441E-3</v>
      </c>
      <c r="BQ145" s="715">
        <v>7.5301198576602181E-3</v>
      </c>
      <c r="BR145" s="715">
        <v>1.1375167984152328E-2</v>
      </c>
      <c r="BS145" s="715">
        <v>1.631974095948897E-2</v>
      </c>
      <c r="BT145" s="715">
        <v>2.2041976570113503E-2</v>
      </c>
      <c r="BW145" s="1190">
        <f>'2019'!R\Max</f>
        <v>0.59599792950214425</v>
      </c>
      <c r="BX145" s="1190">
        <f>'2020'!R\Max</f>
        <v>0.19413032105506742</v>
      </c>
      <c r="BY145" s="1190">
        <f>'2021'!R\Max</f>
        <v>0.59096792296328737</v>
      </c>
      <c r="BZ145" s="1190">
        <f>'2022'!R\Max</f>
        <v>0.95376585356336718</v>
      </c>
      <c r="CA145" s="1190">
        <f>'2023'!R\Max</f>
        <v>0.95376216420928506</v>
      </c>
      <c r="CB145" s="1190">
        <f>'2024'!R\Max</f>
        <v>0.95375814545284587</v>
      </c>
      <c r="CC145" s="1190">
        <f>'2025'!R\Max</f>
        <v>0.95375297905699508</v>
      </c>
      <c r="CD145" s="1190">
        <f>'2026'!R\Max</f>
        <v>0.95377274316970839</v>
      </c>
      <c r="CE145" s="1191">
        <f>'2027'!R\Max</f>
        <v>0.9537711404021495</v>
      </c>
      <c r="CF145" s="1193">
        <f>'2028'!R\Max</f>
        <v>0.95376869693347199</v>
      </c>
    </row>
    <row r="146" spans="1:84" s="6" customFormat="1" ht="11.25" x14ac:dyDescent="0.2">
      <c r="A146" s="11">
        <v>43232</v>
      </c>
      <c r="B146" s="379">
        <f>'2022'!Maxi_hp</f>
        <v>56.127004376201441</v>
      </c>
      <c r="C146" s="13">
        <f>'2022'!An_max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63.640720700153295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63.668820991420318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63.618273395459561</v>
      </c>
      <c r="AZ146" s="735">
        <f t="shared" si="96"/>
        <v>63.643547193439943</v>
      </c>
      <c r="BA146" s="633">
        <f t="shared" si="93"/>
        <v>0.88193539857360925</v>
      </c>
      <c r="BC146" s="11">
        <v>43232</v>
      </c>
      <c r="BD146" s="289">
        <f>[2]!FeuilCaduc*(1-Persistant)+Persistant</f>
        <v>0.68122961263456139</v>
      </c>
      <c r="BE146" s="290">
        <f>[2]!CroissVégét</f>
        <v>0.23194968908707836</v>
      </c>
      <c r="BF146" s="804">
        <f>1+[2]!Salcycl*Ksac</f>
        <v>1.0181229612634561</v>
      </c>
      <c r="BH146" s="1036">
        <f t="shared" si="94"/>
        <v>8.5400615845784129E-4</v>
      </c>
      <c r="BI146" s="11">
        <v>44328</v>
      </c>
      <c r="BJ146" s="715">
        <v>0</v>
      </c>
      <c r="BK146" s="715">
        <v>7.8201115863011916E-6</v>
      </c>
      <c r="BL146" s="715">
        <v>1.1614452797242049E-4</v>
      </c>
      <c r="BM146" s="715">
        <v>4.6707256014132857E-4</v>
      </c>
      <c r="BN146" s="715">
        <v>1.2423157548101204E-3</v>
      </c>
      <c r="BO146" s="716">
        <v>2.5723214412971601E-3</v>
      </c>
      <c r="BP146" s="715">
        <v>4.5784804125960192E-3</v>
      </c>
      <c r="BQ146" s="715">
        <v>7.3869005019371985E-3</v>
      </c>
      <c r="BR146" s="715">
        <v>1.1157436850319712E-2</v>
      </c>
      <c r="BS146" s="715">
        <v>1.6000061090965998E-2</v>
      </c>
      <c r="BT146" s="715">
        <v>2.1599133732342162E-2</v>
      </c>
      <c r="BW146" s="1190">
        <f>'2019'!R\Max</f>
        <v>0.88193539857360925</v>
      </c>
      <c r="BX146" s="1190">
        <f>'2020'!R\Max</f>
        <v>0.13602743038111145</v>
      </c>
      <c r="BY146" s="1190">
        <f>'2021'!R\Max</f>
        <v>0.67930203188415628</v>
      </c>
      <c r="BZ146" s="1190">
        <f>'2022'!R\Max</f>
        <v>0.71045014299524045</v>
      </c>
      <c r="CA146" s="1190">
        <f>'2023'!R\Max</f>
        <v>0.71043310222885414</v>
      </c>
      <c r="CB146" s="1190">
        <f>'2024'!R\Max</f>
        <v>0.71041449159774039</v>
      </c>
      <c r="CC146" s="1190">
        <f>'2025'!R\Max</f>
        <v>0.71039063252583479</v>
      </c>
      <c r="CD146" s="1190">
        <f>'2026'!R\Max</f>
        <v>0.7104820554318535</v>
      </c>
      <c r="CE146" s="1191">
        <f>'2027'!R\Max</f>
        <v>0.71047462228576064</v>
      </c>
      <c r="CF146" s="1193">
        <f>'2028'!R\Max</f>
        <v>0.71046332615087693</v>
      </c>
    </row>
    <row r="147" spans="1:84" s="6" customFormat="1" ht="11.25" x14ac:dyDescent="0.2">
      <c r="A147" s="11">
        <v>43233</v>
      </c>
      <c r="B147" s="379">
        <f>'2022'!Maxi_hp</f>
        <v>64.735176440204555</v>
      </c>
      <c r="C147" s="13">
        <f>'2022'!An_max</f>
        <v>2018</v>
      </c>
      <c r="D147" s="1045">
        <f t="shared" si="78"/>
        <v>1.0162689871646022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63.69886049638901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63.720205557798707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63.68782664888672</v>
      </c>
      <c r="AZ147" s="735">
        <f t="shared" si="96"/>
        <v>63.70401610334271</v>
      </c>
      <c r="BA147" s="633">
        <f t="shared" si="93"/>
        <v>1.0162689871646022</v>
      </c>
      <c r="BC147" s="11">
        <v>43233</v>
      </c>
      <c r="BD147" s="289">
        <f>[2]!FeuilCaduc*(1-Persistant)+Persistant</f>
        <v>0.68782837421524001</v>
      </c>
      <c r="BE147" s="290">
        <f>[2]!CroissVégét</f>
        <v>0.23938589533798257</v>
      </c>
      <c r="BF147" s="804">
        <f>1+[2]!Salcycl*Ksac</f>
        <v>1.018782837421524</v>
      </c>
      <c r="BH147" s="1036">
        <f t="shared" si="94"/>
        <v>8.3309653381787507E-4</v>
      </c>
      <c r="BI147" s="11">
        <v>44329</v>
      </c>
      <c r="BJ147" s="715">
        <v>0</v>
      </c>
      <c r="BK147" s="715">
        <v>6.9018364741370632E-6</v>
      </c>
      <c r="BL147" s="715">
        <v>1.1063950061725437E-4</v>
      </c>
      <c r="BM147" s="715">
        <v>4.5370733477230826E-4</v>
      </c>
      <c r="BN147" s="715">
        <v>1.2138349018034071E-3</v>
      </c>
      <c r="BO147" s="716">
        <v>2.5208445721465835E-3</v>
      </c>
      <c r="BP147" s="715">
        <v>4.4906698927279342E-3</v>
      </c>
      <c r="BQ147" s="715">
        <v>7.2484712537804761E-3</v>
      </c>
      <c r="BR147" s="715">
        <v>1.0947009986518534E-2</v>
      </c>
      <c r="BS147" s="715">
        <v>1.5691081432773278E-2</v>
      </c>
      <c r="BT147" s="715">
        <v>2.1170893802973455E-2</v>
      </c>
      <c r="BW147" s="1190">
        <f>'2019'!R\Max</f>
        <v>1.0162689871646022</v>
      </c>
      <c r="BX147" s="1190">
        <f>'2020'!R\Max</f>
        <v>0.33293047603175147</v>
      </c>
      <c r="BY147" s="1190">
        <f>'2021'!R\Max</f>
        <v>0.77023667478969304</v>
      </c>
      <c r="BZ147" s="1190">
        <f>'2022'!R\Max</f>
        <v>0.74355279389008533</v>
      </c>
      <c r="CA147" s="1190">
        <f>'2023'!R\Max</f>
        <v>0.74353714818292094</v>
      </c>
      <c r="CB147" s="1190">
        <f>'2024'!R\Max</f>
        <v>0.74352001405057666</v>
      </c>
      <c r="CC147" s="1190">
        <f>'2025'!R\Max</f>
        <v>0.74349810603600885</v>
      </c>
      <c r="CD147" s="1190">
        <f>'2026'!R\Max</f>
        <v>0.74358217535949789</v>
      </c>
      <c r="CE147" s="1191">
        <f>'2027'!R\Max</f>
        <v>0.74357532394945935</v>
      </c>
      <c r="CF147" s="1193">
        <f>'2028'!R\Max</f>
        <v>0.74356494399525019</v>
      </c>
    </row>
    <row r="148" spans="1:84" s="6" customFormat="1" ht="11.25" x14ac:dyDescent="0.2">
      <c r="A148" s="11">
        <v>43234</v>
      </c>
      <c r="B148" s="379">
        <f>'2022'!Maxi_hp</f>
        <v>63.17753058579234</v>
      </c>
      <c r="C148" s="13">
        <f>'2022'!An_max</f>
        <v>2018</v>
      </c>
      <c r="D148" s="1045">
        <f t="shared" si="78"/>
        <v>0.99095790987045429</v>
      </c>
      <c r="E148" s="1040">
        <f>W$13/10</f>
        <v>63.753999999999998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63.75399999991059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63.766550000198187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63.75399999991059</v>
      </c>
      <c r="AZ148" s="735">
        <f t="shared" si="96"/>
        <v>63.760275000054392</v>
      </c>
      <c r="BA148" s="633">
        <f t="shared" si="93"/>
        <v>0.99095790987045429</v>
      </c>
      <c r="BC148" s="11">
        <v>43234</v>
      </c>
      <c r="BD148" s="289">
        <f>[2]!FeuilCaduc*(1-Persistant)+Persistant</f>
        <v>0.69451465907721122</v>
      </c>
      <c r="BE148" s="290">
        <f>[2]!CroissVégét</f>
        <v>0.24698247846918731</v>
      </c>
      <c r="BF148" s="804">
        <f>1+[2]!Salcycl*Ksac</f>
        <v>1.0194514659077212</v>
      </c>
      <c r="BH148" s="1036">
        <f t="shared" si="94"/>
        <v>8.1268892080482594E-4</v>
      </c>
      <c r="BI148" s="11">
        <v>44330</v>
      </c>
      <c r="BJ148" s="715">
        <v>0</v>
      </c>
      <c r="BK148" s="715">
        <v>5.9972271406441852E-6</v>
      </c>
      <c r="BL148" s="715">
        <v>1.0520990075007178E-4</v>
      </c>
      <c r="BM148" s="715">
        <v>4.4068428635594617E-4</v>
      </c>
      <c r="BN148" s="715">
        <v>1.1860164634956488E-3</v>
      </c>
      <c r="BO148" s="716">
        <v>2.4708112148204391E-3</v>
      </c>
      <c r="BP148" s="715">
        <v>4.4055069919064086E-3</v>
      </c>
      <c r="BQ148" s="715">
        <v>7.1148292993074335E-3</v>
      </c>
      <c r="BR148" s="715">
        <v>1.0743883109030494E-2</v>
      </c>
      <c r="BS148" s="715">
        <v>1.5392795811748137E-2</v>
      </c>
      <c r="BT148" s="715">
        <v>2.0757248596228472E-2</v>
      </c>
      <c r="BW148" s="1190">
        <f>'2019'!R\Max</f>
        <v>0.99095790987045429</v>
      </c>
      <c r="BX148" s="1190">
        <f>'2020'!R\Max</f>
        <v>0.50615060988046001</v>
      </c>
      <c r="BY148" s="1190">
        <f>'2021'!R\Max</f>
        <v>0.76922825105728787</v>
      </c>
      <c r="BZ148" s="1190">
        <f>'2022'!R\Max</f>
        <v>0.84666499232341708</v>
      </c>
      <c r="CA148" s="1190">
        <f>'2023'!R\Max</f>
        <v>0.84665443746974456</v>
      </c>
      <c r="CB148" s="1190">
        <f>'2024'!R\Max</f>
        <v>0.84664284528529632</v>
      </c>
      <c r="CC148" s="1190">
        <f>'2025'!R\Max</f>
        <v>0.84662806138786029</v>
      </c>
      <c r="CD148" s="1190">
        <f>'2026'!R\Max</f>
        <v>0.8466848688155002</v>
      </c>
      <c r="CE148" s="1191">
        <f>'2027'!R\Max</f>
        <v>0.84668022892219474</v>
      </c>
      <c r="CF148" s="1193">
        <f>'2028'!R\Max</f>
        <v>0.84667322064825978</v>
      </c>
    </row>
    <row r="149" spans="1:84" s="6" customFormat="1" ht="11.25" x14ac:dyDescent="0.2">
      <c r="A149" s="11">
        <v>43235</v>
      </c>
      <c r="B149" s="379">
        <f>'2022'!Maxi_hp</f>
        <v>63.749746861981109</v>
      </c>
      <c r="C149" s="13">
        <f>'2022'!An_max</f>
        <v>2018</v>
      </c>
      <c r="D149" s="1045">
        <f t="shared" si="78"/>
        <v>0.99913395361062396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63.805004956147499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63.808156176949183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63.814751330816321</v>
      </c>
      <c r="AZ149" s="735">
        <f t="shared" si="96"/>
        <v>63.811453753882752</v>
      </c>
      <c r="BA149" s="633">
        <f t="shared" si="93"/>
        <v>0.99913395361062396</v>
      </c>
      <c r="BC149" s="11">
        <v>43235</v>
      </c>
      <c r="BD149" s="289">
        <f>[2]!FeuilCaduc*(1-Persistant)+Persistant</f>
        <v>0.70128238954397093</v>
      </c>
      <c r="BE149" s="290">
        <f>[2]!CroissVégét</f>
        <v>0.25473806189926657</v>
      </c>
      <c r="BF149" s="804">
        <f>1+[2]!Salcycl*Ksac</f>
        <v>1.0201282389543971</v>
      </c>
      <c r="BH149" s="1036">
        <f t="shared" si="94"/>
        <v>7.9278317416182269E-4</v>
      </c>
      <c r="BI149" s="11">
        <v>44331</v>
      </c>
      <c r="BJ149" s="715">
        <v>0</v>
      </c>
      <c r="BK149" s="715">
        <v>5.1062933590745904E-6</v>
      </c>
      <c r="BL149" s="715">
        <v>9.9855777399445746E-5</v>
      </c>
      <c r="BM149" s="715">
        <v>4.280033179142882E-4</v>
      </c>
      <c r="BN149" s="715">
        <v>1.1588602461793695E-3</v>
      </c>
      <c r="BO149" s="716">
        <v>2.4222206751123329E-3</v>
      </c>
      <c r="BP149" s="715">
        <v>4.3229902803479459E-3</v>
      </c>
      <c r="BQ149" s="715">
        <v>6.985971681784703E-3</v>
      </c>
      <c r="BR149" s="715">
        <v>1.0548051715790452E-2</v>
      </c>
      <c r="BS149" s="715">
        <v>1.5105197735801384E-2</v>
      </c>
      <c r="BT149" s="715">
        <v>2.0358189497284164E-2</v>
      </c>
      <c r="BW149" s="1190">
        <f>'2019'!R\Max</f>
        <v>0.99913395361062396</v>
      </c>
      <c r="BX149" s="1190">
        <f>'2020'!R\Max</f>
        <v>0.3282115435279962</v>
      </c>
      <c r="BY149" s="1190">
        <f>'2021'!R\Max</f>
        <v>0.34357545255383998</v>
      </c>
      <c r="BZ149" s="1190">
        <f>'2022'!R\Max</f>
        <v>0.89036958430567203</v>
      </c>
      <c r="CA149" s="1190">
        <f>'2023'!R\Max</f>
        <v>0.890361717781048</v>
      </c>
      <c r="CB149" s="1190">
        <f>'2024'!R\Max</f>
        <v>0.89035305242278306</v>
      </c>
      <c r="CC149" s="1190">
        <f>'2025'!R\Max</f>
        <v>0.89034202899404824</v>
      </c>
      <c r="CD149" s="1190">
        <f>'2026'!R\Max</f>
        <v>0.89038444003434281</v>
      </c>
      <c r="CE149" s="1191">
        <f>'2027'!R\Max</f>
        <v>0.89038096868012018</v>
      </c>
      <c r="CF149" s="1193">
        <f>'2028'!R\Max</f>
        <v>0.89037574094041427</v>
      </c>
    </row>
    <row r="150" spans="1:84" s="6" customFormat="1" ht="11.25" x14ac:dyDescent="0.2">
      <c r="A150" s="11">
        <v>43236</v>
      </c>
      <c r="B150" s="379">
        <f>'2022'!Maxi_hp</f>
        <v>55.11584961334696</v>
      </c>
      <c r="C150" s="13">
        <f>'2022'!An_max</f>
        <v>2022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63.85059475270765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63.845325947340051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63.868120845380645</v>
      </c>
      <c r="AZ150" s="735">
        <f t="shared" si="96"/>
        <v>63.856723396360351</v>
      </c>
      <c r="BA150" s="633">
        <f t="shared" si="93"/>
        <v>0.86320025407452783</v>
      </c>
      <c r="BC150" s="11">
        <v>43236</v>
      </c>
      <c r="BD150" s="289">
        <f>[2]!FeuilCaduc*(1-Persistant)+Persistant</f>
        <v>0.70812517862426905</v>
      </c>
      <c r="BE150" s="290">
        <f>[2]!CroissVégét</f>
        <v>0.2626509368215188</v>
      </c>
      <c r="BF150" s="804">
        <f>1+[2]!Salcycl*Ksac</f>
        <v>1.020812517862427</v>
      </c>
      <c r="BH150" s="1036">
        <f t="shared" si="94"/>
        <v>7.7290640297979739E-4</v>
      </c>
      <c r="BI150" s="11">
        <v>44332</v>
      </c>
      <c r="BJ150" s="715">
        <v>4.327002988972297E-10</v>
      </c>
      <c r="BK150" s="715">
        <v>4.2650015846098117E-6</v>
      </c>
      <c r="BL150" s="715">
        <v>9.460144393855669E-5</v>
      </c>
      <c r="BM150" s="715">
        <v>4.1534246034725426E-4</v>
      </c>
      <c r="BN150" s="715">
        <v>1.1317419004343149E-3</v>
      </c>
      <c r="BO150" s="716">
        <v>2.3741970502619146E-3</v>
      </c>
      <c r="BP150" s="715">
        <v>4.2423637700582479E-3</v>
      </c>
      <c r="BQ150" s="715">
        <v>6.8613266124519122E-3</v>
      </c>
      <c r="BR150" s="715">
        <v>1.0359685212139117E-2</v>
      </c>
      <c r="BS150" s="715">
        <v>1.4830042714280308E-2</v>
      </c>
      <c r="BT150" s="715">
        <v>1.9977796147738962E-2</v>
      </c>
      <c r="BW150" s="1190">
        <f>'2019'!R\Max</f>
        <v>0.85803845574671445</v>
      </c>
      <c r="BX150" s="1190">
        <f>'2020'!R\Max</f>
        <v>0.27096411421695826</v>
      </c>
      <c r="BY150" s="1190">
        <f>'2021'!R\Max</f>
        <v>0.21191519776391607</v>
      </c>
      <c r="BZ150" s="1190">
        <f>'2022'!R\Max</f>
        <v>0.86320025407452783</v>
      </c>
      <c r="CA150" s="1190">
        <f>'2023'!R\Max</f>
        <v>0.8631908162868861</v>
      </c>
      <c r="CB150" s="1190">
        <f>'2024'!R\Max</f>
        <v>0.86318038802552199</v>
      </c>
      <c r="CC150" s="1190">
        <f>'2025'!R\Max</f>
        <v>0.86316715454551063</v>
      </c>
      <c r="CD150" s="1190">
        <f>'2026'!R\Max</f>
        <v>0.86321812324421432</v>
      </c>
      <c r="CE150" s="1191">
        <f>'2027'!R\Max</f>
        <v>0.86321394440189458</v>
      </c>
      <c r="CF150" s="1193">
        <f>'2028'!R\Max</f>
        <v>0.86320766855959441</v>
      </c>
    </row>
    <row r="151" spans="1:84" s="6" customFormat="1" ht="11.25" x14ac:dyDescent="0.2">
      <c r="A151" s="11">
        <v>43237</v>
      </c>
      <c r="B151" s="379">
        <f>'2022'!Maxi_hp</f>
        <v>58.789381900861969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63.890988920708857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63.878361169767707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63.914410404235653</v>
      </c>
      <c r="AZ151" s="735">
        <f t="shared" si="96"/>
        <v>63.896385787001677</v>
      </c>
      <c r="BA151" s="633">
        <f t="shared" si="93"/>
        <v>0.92015138431840249</v>
      </c>
      <c r="BC151" s="11">
        <v>43237</v>
      </c>
      <c r="BD151" s="289">
        <f>[2]!FeuilCaduc*(1-Persistant)+Persistant</f>
        <v>0.71503634030567198</v>
      </c>
      <c r="BE151" s="290">
        <f>[2]!CroissVégét</f>
        <v>0.27071905354146641</v>
      </c>
      <c r="BF151" s="804">
        <f>1+[2]!Salcycl*Ksac</f>
        <v>1.0215036340305672</v>
      </c>
      <c r="BH151" s="1036">
        <f t="shared" si="94"/>
        <v>7.5271277475939249E-4</v>
      </c>
      <c r="BI151" s="11">
        <v>44333</v>
      </c>
      <c r="BJ151" s="715">
        <v>1.2976083127066588E-9</v>
      </c>
      <c r="BK151" s="715">
        <v>3.5142218514610683E-6</v>
      </c>
      <c r="BL151" s="715">
        <v>8.9591725544285421E-5</v>
      </c>
      <c r="BM151" s="715">
        <v>4.0262589482279511E-4</v>
      </c>
      <c r="BN151" s="715">
        <v>1.1040446198818414E-3</v>
      </c>
      <c r="BO151" s="716">
        <v>2.3251886799677498E-3</v>
      </c>
      <c r="BP151" s="715">
        <v>4.1607992520120186E-3</v>
      </c>
      <c r="BQ151" s="715">
        <v>6.7361661547241545E-3</v>
      </c>
      <c r="BR151" s="715">
        <v>1.0171920120184721E-2</v>
      </c>
      <c r="BS151" s="715">
        <v>1.455823084434045E-2</v>
      </c>
      <c r="BT151" s="715">
        <v>1.9604867694043841E-2</v>
      </c>
      <c r="BW151" s="1190">
        <f>'2019'!R\Max</f>
        <v>0.10329548388939132</v>
      </c>
      <c r="BX151" s="1190">
        <f>'2020'!R\Max</f>
        <v>0.59822642728475439</v>
      </c>
      <c r="BY151" s="1190">
        <f>'2021'!R\Max</f>
        <v>0.90187460388189611</v>
      </c>
      <c r="BZ151" s="1190">
        <f>'2022'!R\Max</f>
        <v>0.92015138431840249</v>
      </c>
      <c r="CA151" s="1190">
        <f>'2023'!R\Max</f>
        <v>0.9201455618114015</v>
      </c>
      <c r="CB151" s="1190">
        <f>'2024'!R\Max</f>
        <v>0.92013910756343653</v>
      </c>
      <c r="CC151" s="1190">
        <f>'2025'!R\Max</f>
        <v>0.92013093671433865</v>
      </c>
      <c r="CD151" s="1190">
        <f>'2026'!R\Max</f>
        <v>0.92016243324818803</v>
      </c>
      <c r="CE151" s="1191">
        <f>'2027'!R\Max</f>
        <v>0.9201598479395724</v>
      </c>
      <c r="CF151" s="1193">
        <f>'2028'!R\Max</f>
        <v>0.92015597512085212</v>
      </c>
    </row>
    <row r="152" spans="1:84" s="6" customFormat="1" ht="11.25" x14ac:dyDescent="0.2">
      <c r="A152" s="11">
        <v>43238</v>
      </c>
      <c r="B152" s="379">
        <f>'2022'!Maxi_hp</f>
        <v>65.112138934007149</v>
      </c>
      <c r="C152" s="13">
        <f>'2022'!An_max</f>
        <v>2020</v>
      </c>
      <c r="D152" s="1045">
        <f t="shared" si="78"/>
        <v>1.0185483901396619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63.926406996803621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63.907563702336368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63.953921866097616</v>
      </c>
      <c r="AZ152" s="735">
        <f t="shared" si="96"/>
        <v>63.930742784216989</v>
      </c>
      <c r="BA152" s="633">
        <f t="shared" si="93"/>
        <v>1.0185483901396619</v>
      </c>
      <c r="BC152" s="11">
        <v>43238</v>
      </c>
      <c r="BD152" s="289">
        <f>[2]!FeuilCaduc*(1-Persistant)+Persistant</f>
        <v>0.72200890169890197</v>
      </c>
      <c r="BE152" s="290">
        <f>[2]!CroissVégét</f>
        <v>0.27894001398938062</v>
      </c>
      <c r="BF152" s="804">
        <f>1+[2]!Salcycl*Ksac</f>
        <v>1.0222008901698902</v>
      </c>
      <c r="BH152" s="1036">
        <f t="shared" si="94"/>
        <v>7.322030813542577E-4</v>
      </c>
      <c r="BI152" s="11">
        <v>44334</v>
      </c>
      <c r="BJ152" s="715">
        <v>2.5942054941865392E-9</v>
      </c>
      <c r="BK152" s="715">
        <v>2.8538731120878443E-6</v>
      </c>
      <c r="BL152" s="715">
        <v>8.4826474357021996E-5</v>
      </c>
      <c r="BM152" s="715">
        <v>3.8985397362245117E-4</v>
      </c>
      <c r="BN152" s="715">
        <v>1.075769637510897E-3</v>
      </c>
      <c r="BO152" s="716">
        <v>2.2751976105712447E-3</v>
      </c>
      <c r="BP152" s="715">
        <v>4.0782992635230737E-3</v>
      </c>
      <c r="BQ152" s="715">
        <v>6.6104930651116707E-3</v>
      </c>
      <c r="BR152" s="715">
        <v>9.9847589945641496E-3</v>
      </c>
      <c r="BS152" s="715">
        <v>1.4289763050384124E-2</v>
      </c>
      <c r="BT152" s="715">
        <v>1.9239402218317193E-2</v>
      </c>
      <c r="BW152" s="1190">
        <f>'2019'!R\Max</f>
        <v>0.58385203747522085</v>
      </c>
      <c r="BX152" s="1190">
        <f>'2020'!R\Max</f>
        <v>1.0185483901396619</v>
      </c>
      <c r="BY152" s="1190">
        <f>'2021'!R\Max</f>
        <v>0.58135063691299049</v>
      </c>
      <c r="BZ152" s="1190">
        <f>'2022'!R\Max</f>
        <v>0.88957215237928122</v>
      </c>
      <c r="CA152" s="1190">
        <f>'2023'!R\Max</f>
        <v>0.88956443526083262</v>
      </c>
      <c r="CB152" s="1190">
        <f>'2024'!R\Max</f>
        <v>0.88955585242496393</v>
      </c>
      <c r="CC152" s="1190">
        <f>'2025'!R\Max</f>
        <v>0.88954501253170148</v>
      </c>
      <c r="CD152" s="1190">
        <f>'2026'!R\Max</f>
        <v>0.88958682492723051</v>
      </c>
      <c r="CE152" s="1191">
        <f>'2027'!R\Max</f>
        <v>0.88958339064829506</v>
      </c>
      <c r="CF152" s="1193">
        <f>'2028'!R\Max</f>
        <v>0.88957825797287227</v>
      </c>
    </row>
    <row r="153" spans="1:84" s="6" customFormat="1" ht="11.25" x14ac:dyDescent="0.2">
      <c r="A153" s="11">
        <v>43239</v>
      </c>
      <c r="B153" s="379">
        <f>'2022'!Maxi_hp</f>
        <v>63.796579298765408</v>
      </c>
      <c r="C153" s="13">
        <f>'2022'!An_max</f>
        <v>2020</v>
      </c>
      <c r="D153" s="1045">
        <f t="shared" si="78"/>
        <v>0.99749067275565795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63.957068513253965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63.933235404387652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63.986957088791357</v>
      </c>
      <c r="AZ153" s="735">
        <f t="shared" si="96"/>
        <v>63.960096246589501</v>
      </c>
      <c r="BA153" s="633">
        <f t="shared" si="93"/>
        <v>0.99749067275565795</v>
      </c>
      <c r="BC153" s="11">
        <v>43239</v>
      </c>
      <c r="BD153" s="289">
        <f>[2]!FeuilCaduc*(1-Persistant)+Persistant</f>
        <v>0.72903561704732533</v>
      </c>
      <c r="BE153" s="290">
        <f>[2]!CroissVégét</f>
        <v>0.28731106552397356</v>
      </c>
      <c r="BF153" s="804">
        <f>1+[2]!Salcycl*Ksac</f>
        <v>1.0229035617047326</v>
      </c>
      <c r="BH153" s="1036">
        <f t="shared" si="94"/>
        <v>7.113781517212813E-4</v>
      </c>
      <c r="BI153" s="11">
        <v>44335</v>
      </c>
      <c r="BJ153" s="715">
        <v>4.3219463808180894E-9</v>
      </c>
      <c r="BK153" s="715">
        <v>2.2838695410910194E-6</v>
      </c>
      <c r="BL153" s="715">
        <v>8.0305532284899545E-5</v>
      </c>
      <c r="BM153" s="715">
        <v>3.7702706377055442E-4</v>
      </c>
      <c r="BN153" s="715">
        <v>1.0469182458536326E-3</v>
      </c>
      <c r="BO153" s="716">
        <v>2.2242259910231926E-3</v>
      </c>
      <c r="BP153" s="715">
        <v>3.9948664700524507E-3</v>
      </c>
      <c r="BQ153" s="715">
        <v>6.4843102406047818E-3</v>
      </c>
      <c r="BR153" s="715">
        <v>9.7982045175449787E-3</v>
      </c>
      <c r="BS153" s="715">
        <v>1.402464029234027E-2</v>
      </c>
      <c r="BT153" s="715">
        <v>1.8881397677876981E-2</v>
      </c>
      <c r="BW153" s="1190">
        <f>'2019'!R\Max</f>
        <v>0.41720439705384349</v>
      </c>
      <c r="BX153" s="1190">
        <f>'2020'!R\Max</f>
        <v>0.99749067275565795</v>
      </c>
      <c r="BY153" s="1190">
        <f>'2021'!R\Max</f>
        <v>0.70834847684958624</v>
      </c>
      <c r="BZ153" s="1190">
        <f>'2022'!R\Max</f>
        <v>0.93480743114683362</v>
      </c>
      <c r="CA153" s="1190">
        <f>'2023'!R\Max</f>
        <v>0.93480268627012209</v>
      </c>
      <c r="CB153" s="1190">
        <f>'2024'!R\Max</f>
        <v>0.93479739083722957</v>
      </c>
      <c r="CC153" s="1190">
        <f>'2025'!R\Max</f>
        <v>0.93479071821675241</v>
      </c>
      <c r="CD153" s="1190">
        <f>'2026'!R\Max</f>
        <v>0.9348164667457971</v>
      </c>
      <c r="CE153" s="1191">
        <f>'2027'!R\Max</f>
        <v>0.93481435175742578</v>
      </c>
      <c r="CF153" s="1193">
        <f>'2028'!R\Max</f>
        <v>0.93481119737219875</v>
      </c>
    </row>
    <row r="154" spans="1:84" s="6" customFormat="1" ht="11.25" x14ac:dyDescent="0.2">
      <c r="A154" s="11">
        <v>43240</v>
      </c>
      <c r="B154" s="379">
        <f>'2022'!Maxi_hp</f>
        <v>63.305602398396879</v>
      </c>
      <c r="C154" s="13">
        <f>'2022'!An_max</f>
        <v>2021</v>
      </c>
      <c r="D154" s="1045">
        <f t="shared" si="78"/>
        <v>0.98940986574140355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63.983193002587974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63.955678133772949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64.013817930407825</v>
      </c>
      <c r="AZ154" s="735">
        <f t="shared" si="96"/>
        <v>63.984748032090387</v>
      </c>
      <c r="BA154" s="633">
        <f t="shared" si="93"/>
        <v>0.98940986574140355</v>
      </c>
      <c r="BC154" s="11">
        <v>43240</v>
      </c>
      <c r="BD154" s="289">
        <f>[2]!FeuilCaduc*(1-Persistant)+Persistant</f>
        <v>0.73610898360023957</v>
      </c>
      <c r="BE154" s="290">
        <f>[2]!CroissVégét</f>
        <v>0.29582909613929492</v>
      </c>
      <c r="BF154" s="804">
        <f>1+[2]!Salcycl*Ksac</f>
        <v>1.0236108983600241</v>
      </c>
      <c r="BH154" s="1036">
        <f t="shared" si="94"/>
        <v>6.9023885265141814E-4</v>
      </c>
      <c r="BI154" s="11">
        <v>44336</v>
      </c>
      <c r="BJ154" s="715">
        <v>6.4802576428935485E-9</v>
      </c>
      <c r="BK154" s="715">
        <v>1.8041203373566566E-6</v>
      </c>
      <c r="BL154" s="715">
        <v>7.6028730474013144E-5</v>
      </c>
      <c r="BM154" s="715">
        <v>3.641455471779681E-4</v>
      </c>
      <c r="BN154" s="715">
        <v>1.0174917983054063E-3</v>
      </c>
      <c r="BO154" s="716">
        <v>2.1722760751331591E-3</v>
      </c>
      <c r="BP154" s="715">
        <v>3.9105036674112895E-3</v>
      </c>
      <c r="BQ154" s="715">
        <v>6.3576207200230087E-3</v>
      </c>
      <c r="BR154" s="715">
        <v>9.6122594980264514E-3</v>
      </c>
      <c r="BS154" s="715">
        <v>1.3762863558780069E-2</v>
      </c>
      <c r="BT154" s="715">
        <v>1.8530851889464763E-2</v>
      </c>
      <c r="BW154" s="1190">
        <f>'2019'!R\Max</f>
        <v>0.83199375688718558</v>
      </c>
      <c r="BX154" s="1190">
        <f>'2020'!R\Max</f>
        <v>0.97325744180061191</v>
      </c>
      <c r="BY154" s="1190">
        <f>'2021'!R\Max</f>
        <v>0.98940986574140355</v>
      </c>
      <c r="BZ154" s="1190">
        <f>'2022'!R\Max</f>
        <v>0.83389231868920877</v>
      </c>
      <c r="CA154" s="1190">
        <f>'2023'!R\Max</f>
        <v>0.83388163323777964</v>
      </c>
      <c r="CB154" s="1190">
        <f>'2024'!R\Max</f>
        <v>0.83386966532281059</v>
      </c>
      <c r="CC154" s="1190">
        <f>'2025'!R\Max</f>
        <v>0.83385461921679693</v>
      </c>
      <c r="CD154" s="1190">
        <f>'2026'!R\Max</f>
        <v>0.83391269205431617</v>
      </c>
      <c r="CE154" s="1191">
        <f>'2027'!R\Max</f>
        <v>0.83390792420906423</v>
      </c>
      <c r="CF154" s="1193">
        <f>'2028'!R\Max</f>
        <v>0.83390082632596574</v>
      </c>
    </row>
    <row r="155" spans="1:84" s="6" customFormat="1" ht="11.25" x14ac:dyDescent="0.2">
      <c r="A155" s="11">
        <v>43241</v>
      </c>
      <c r="B155" s="379">
        <f>'2022'!Maxi_hp</f>
        <v>61.653025263591708</v>
      </c>
      <c r="C155" s="13">
        <f>'2022'!An_max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64.004999999888241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63.975193749833849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64.034806250501418</v>
      </c>
      <c r="AZ155" s="735">
        <f t="shared" si="96"/>
        <v>64.005000000167627</v>
      </c>
      <c r="BA155" s="633">
        <f t="shared" si="93"/>
        <v>0.96325326558392876</v>
      </c>
      <c r="BC155" s="11">
        <v>43241</v>
      </c>
      <c r="BD155" s="289">
        <f>[2]!FeuilCaduc*(1-Persistant)+Persistant</f>
        <v>0.74322125933233163</v>
      </c>
      <c r="BE155" s="290">
        <f>[2]!CroissVégét</f>
        <v>0.30449063118118064</v>
      </c>
      <c r="BF155" s="804">
        <f>1+[2]!Salcycl*Ksac</f>
        <v>1.0243221259332331</v>
      </c>
      <c r="BH155" s="1036">
        <f t="shared" si="94"/>
        <v>6.6878608945973952E-4</v>
      </c>
      <c r="BI155" s="11">
        <v>44337</v>
      </c>
      <c r="BJ155" s="715">
        <v>9.0685371314245895E-9</v>
      </c>
      <c r="BK155" s="715">
        <v>1.4145295260520613E-6</v>
      </c>
      <c r="BL155" s="715">
        <v>7.1995888773963E-5</v>
      </c>
      <c r="BM155" s="715">
        <v>3.5120982076415012E-4</v>
      </c>
      <c r="BN155" s="715">
        <v>9.8749171038483912E-4</v>
      </c>
      <c r="BO155" s="716">
        <v>2.1193502236918535E-3</v>
      </c>
      <c r="BP155" s="715">
        <v>3.8252137837358948E-3</v>
      </c>
      <c r="BQ155" s="715">
        <v>6.2304276849946992E-3</v>
      </c>
      <c r="BR155" s="715">
        <v>9.4269268699823106E-3</v>
      </c>
      <c r="BS155" s="715">
        <v>1.3504433859233821E-2</v>
      </c>
      <c r="BT155" s="715">
        <v>1.8187762512394349E-2</v>
      </c>
      <c r="BW155" s="1190">
        <f>'2019'!R\Max</f>
        <v>0.79754869069709089</v>
      </c>
      <c r="BX155" s="1190">
        <f>'2020'!R\Max</f>
        <v>0.96325326558392876</v>
      </c>
      <c r="BY155" s="1190">
        <f>'2021'!R\Max</f>
        <v>0.64254002931104948</v>
      </c>
      <c r="BZ155" s="1190">
        <f>'2022'!R\Max</f>
        <v>0.83531921454974623</v>
      </c>
      <c r="CA155" s="1190">
        <f>'2023'!R\Max</f>
        <v>0.83530870331027041</v>
      </c>
      <c r="CB155" s="1190">
        <f>'2024'!R\Max</f>
        <v>0.83529688656132273</v>
      </c>
      <c r="CC155" s="1190">
        <f>'2025'!R\Max</f>
        <v>0.83528206322023568</v>
      </c>
      <c r="CD155" s="1190">
        <f>'2026'!R\Max</f>
        <v>0.83533927247047668</v>
      </c>
      <c r="CE155" s="1191">
        <f>'2027'!R\Max</f>
        <v>0.83533458086940693</v>
      </c>
      <c r="CF155" s="1193">
        <f>'2028'!R\Max</f>
        <v>0.83532760748097301</v>
      </c>
    </row>
    <row r="156" spans="1:84" s="6" customFormat="1" ht="11.25" x14ac:dyDescent="0.2">
      <c r="A156" s="11">
        <v>43242</v>
      </c>
      <c r="B156" s="379">
        <f>'2022'!Maxi_hp</f>
        <v>60.757180610940942</v>
      </c>
      <c r="C156" s="13">
        <f>'2022'!An_max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64.022709038215027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63.992084110714494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64.050223907402582</v>
      </c>
      <c r="AZ156" s="735">
        <f t="shared" si="96"/>
        <v>64.021154009058534</v>
      </c>
      <c r="BA156" s="633">
        <f t="shared" si="93"/>
        <v>0.94899421664077199</v>
      </c>
      <c r="BC156" s="11">
        <v>43242</v>
      </c>
      <c r="BD156" s="289">
        <f>[2]!FeuilCaduc*(1-Persistant)+Persistant</f>
        <v>0.75036448247499921</v>
      </c>
      <c r="BE156" s="290">
        <f>[2]!CroissVégét</f>
        <v>0.3132918316722918</v>
      </c>
      <c r="BF156" s="804">
        <f>1+[2]!Salcycl*Ksac</f>
        <v>1.0250364482474998</v>
      </c>
      <c r="BH156" s="1036">
        <f t="shared" si="94"/>
        <v>6.4764814144266456E-4</v>
      </c>
      <c r="BI156" s="11">
        <v>44338</v>
      </c>
      <c r="BJ156" s="715">
        <v>1.2572681772960947E-8</v>
      </c>
      <c r="BK156" s="715">
        <v>1.1167118216140578E-6</v>
      </c>
      <c r="BL156" s="715">
        <v>6.8298345943898408E-5</v>
      </c>
      <c r="BM156" s="715">
        <v>3.3858942463719697E-4</v>
      </c>
      <c r="BN156" s="715">
        <v>9.5780592069479248E-4</v>
      </c>
      <c r="BO156" s="716">
        <v>2.0668114225738266E-3</v>
      </c>
      <c r="BP156" s="715">
        <v>3.7410456825065987E-3</v>
      </c>
      <c r="BQ156" s="715">
        <v>6.105499447601183E-3</v>
      </c>
      <c r="BR156" s="715">
        <v>9.2460036280837179E-3</v>
      </c>
      <c r="BS156" s="715">
        <v>1.3254167534823088E-2</v>
      </c>
      <c r="BT156" s="715">
        <v>1.7858080308778088E-2</v>
      </c>
      <c r="BW156" s="1190">
        <f>'2019'!R\Max</f>
        <v>0.94899421664077199</v>
      </c>
      <c r="BX156" s="1190">
        <f>'2020'!R\Max</f>
        <v>0.89032146383496646</v>
      </c>
      <c r="BY156" s="1190">
        <f>'2021'!R\Max</f>
        <v>0.48454266453846051</v>
      </c>
      <c r="BZ156" s="1190">
        <f>'2022'!R\Max</f>
        <v>0.6343851253009708</v>
      </c>
      <c r="CA156" s="1190">
        <f>'2023'!R\Max</f>
        <v>0.63436756894680202</v>
      </c>
      <c r="CB156" s="1190">
        <f>'2024'!R\Max</f>
        <v>0.63434775683987721</v>
      </c>
      <c r="CC156" s="1190">
        <f>'2025'!R\Max</f>
        <v>0.63432295977575759</v>
      </c>
      <c r="CD156" s="1190">
        <f>'2026'!R\Max</f>
        <v>0.63441864542038495</v>
      </c>
      <c r="CE156" s="1191">
        <f>'2027'!R\Max</f>
        <v>0.63441080978108844</v>
      </c>
      <c r="CF156" s="1193">
        <f>'2028'!R\Max</f>
        <v>0.63439918148902563</v>
      </c>
    </row>
    <row r="157" spans="1:84" s="6" customFormat="1" ht="11.25" x14ac:dyDescent="0.2">
      <c r="A157" s="11">
        <v>43243</v>
      </c>
      <c r="B157" s="379">
        <f>'2022'!Maxi_hp</f>
        <v>57.940082195716684</v>
      </c>
      <c r="C157" s="13">
        <f>'2022'!An_max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64.036539649910168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64.006651074745292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64.060372759042565</v>
      </c>
      <c r="AZ157" s="735">
        <f t="shared" si="96"/>
        <v>64.033511916893929</v>
      </c>
      <c r="BA157" s="633">
        <f t="shared" si="93"/>
        <v>0.90479720660230845</v>
      </c>
      <c r="BC157" s="11">
        <v>43243</v>
      </c>
      <c r="BD157" s="289">
        <f>[2]!FeuilCaduc*(1-Persistant)+Persistant</f>
        <v>0.7575304928083314</v>
      </c>
      <c r="BE157" s="290">
        <f>[2]!CroissVégét</f>
        <v>0.3222284943358365</v>
      </c>
      <c r="BF157" s="804">
        <f>1+[2]!Salcycl*Ksac</f>
        <v>1.0257530492808331</v>
      </c>
      <c r="BH157" s="1036">
        <f t="shared" si="94"/>
        <v>6.2667349156658974E-4</v>
      </c>
      <c r="BI157" s="11">
        <v>44339</v>
      </c>
      <c r="BJ157" s="715">
        <v>1.6991287552255346E-8</v>
      </c>
      <c r="BK157" s="715">
        <v>8.5670608418618063E-7</v>
      </c>
      <c r="BL157" s="715">
        <v>6.4718584766070093E-5</v>
      </c>
      <c r="BM157" s="715">
        <v>3.2602242033489707E-4</v>
      </c>
      <c r="BN157" s="715">
        <v>9.2839372630660992E-4</v>
      </c>
      <c r="BO157" s="716">
        <v>2.0147710378245758E-3</v>
      </c>
      <c r="BP157" s="715">
        <v>3.6581807203842566E-3</v>
      </c>
      <c r="BQ157" s="715">
        <v>5.9827741955744184E-3</v>
      </c>
      <c r="BR157" s="715">
        <v>9.0690484858008576E-3</v>
      </c>
      <c r="BS157" s="715">
        <v>1.3010466814073087E-2</v>
      </c>
      <c r="BT157" s="715">
        <v>1.753841253048977E-2</v>
      </c>
      <c r="BW157" s="1190">
        <f>'2019'!R\Max</f>
        <v>0.8232033355026902</v>
      </c>
      <c r="BX157" s="1190">
        <f>'2020'!R\Max</f>
        <v>0.90479720660230845</v>
      </c>
      <c r="BY157" s="1190">
        <f>'2021'!R\Max</f>
        <v>0.62639381573873265</v>
      </c>
      <c r="BZ157" s="1190">
        <f>'2022'!R\Max</f>
        <v>0.33489533462215959</v>
      </c>
      <c r="CA157" s="1190">
        <f>'2023'!R\Max</f>
        <v>0.33487863101861887</v>
      </c>
      <c r="CB157" s="1190">
        <f>'2024'!R\Max</f>
        <v>0.33485970863907544</v>
      </c>
      <c r="CC157" s="1190">
        <f>'2025'!R\Max</f>
        <v>0.33483608119900427</v>
      </c>
      <c r="CD157" s="1190">
        <f>'2026'!R\Max</f>
        <v>0.33492723746756736</v>
      </c>
      <c r="CE157" s="1191">
        <f>'2027'!R\Max</f>
        <v>0.33491978446081244</v>
      </c>
      <c r="CF157" s="1193">
        <f>'2028'!R\Max</f>
        <v>0.3349087426245328</v>
      </c>
    </row>
    <row r="158" spans="1:84" s="6" customFormat="1" ht="11.25" x14ac:dyDescent="0.2">
      <c r="A158" s="11">
        <v>43244</v>
      </c>
      <c r="B158" s="379">
        <f>'2022'!Maxi_hp</f>
        <v>27.39141049073487</v>
      </c>
      <c r="C158" s="13">
        <f>'2022'!An_max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64.046711370508575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64.019196501906436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64.065554665188699</v>
      </c>
      <c r="AZ158" s="735">
        <f t="shared" si="96"/>
        <v>64.042375583547567</v>
      </c>
      <c r="BA158" s="633">
        <f t="shared" si="93"/>
        <v>0.42767864117606702</v>
      </c>
      <c r="BC158" s="11">
        <v>43244</v>
      </c>
      <c r="BD158" s="289">
        <f>[2]!FeuilCaduc*(1-Persistant)+Persistant</f>
        <v>0.7647109546455817</v>
      </c>
      <c r="BE158" s="290">
        <f>[2]!CroissVégét</f>
        <v>0.33129605339749552</v>
      </c>
      <c r="BF158" s="804">
        <f>1+[2]!Salcycl*Ksac</f>
        <v>1.0264710954645582</v>
      </c>
      <c r="BH158" s="1036">
        <f t="shared" si="94"/>
        <v>6.0586012379053376E-4</v>
      </c>
      <c r="BI158" s="11">
        <v>44340</v>
      </c>
      <c r="BJ158" s="715">
        <v>2.2322791310391425E-8</v>
      </c>
      <c r="BK158" s="715">
        <v>6.3447162707616765E-7</v>
      </c>
      <c r="BL158" s="715">
        <v>6.1256339381084133E-5</v>
      </c>
      <c r="BM158" s="715">
        <v>3.1350789396118484E-4</v>
      </c>
      <c r="BN158" s="715">
        <v>8.9925200511499026E-4</v>
      </c>
      <c r="BO158" s="716">
        <v>1.9632217657121953E-3</v>
      </c>
      <c r="BP158" s="715">
        <v>3.5766044498095947E-3</v>
      </c>
      <c r="BQ158" s="715">
        <v>5.862227490320681E-3</v>
      </c>
      <c r="BR158" s="715">
        <v>8.8960230414897069E-3</v>
      </c>
      <c r="BS158" s="715">
        <v>1.2773274859274411E-2</v>
      </c>
      <c r="BT158" s="715">
        <v>1.722868049217793E-2</v>
      </c>
      <c r="BW158" s="1190">
        <f>'2019'!R\Max</f>
        <v>0.1957689738233466</v>
      </c>
      <c r="BX158" s="1190">
        <f>'2020'!R\Max</f>
        <v>0.28979967942976753</v>
      </c>
      <c r="BY158" s="1190">
        <f>'2021'!R\Max</f>
        <v>0.42767864117606702</v>
      </c>
      <c r="BZ158" s="1190">
        <f>'2022'!R\Max</f>
        <v>0.27683999204577903</v>
      </c>
      <c r="CA158" s="1190">
        <f>'2023'!R\Max</f>
        <v>0.27682559160296522</v>
      </c>
      <c r="CB158" s="1190">
        <f>'2024'!R\Max</f>
        <v>0.27680921398406749</v>
      </c>
      <c r="CC158" s="1190">
        <f>'2025'!R\Max</f>
        <v>0.27678881337842504</v>
      </c>
      <c r="CD158" s="1190">
        <f>'2026'!R\Max</f>
        <v>0.27686749710872588</v>
      </c>
      <c r="CE158" s="1191">
        <f>'2027'!R\Max</f>
        <v>0.27686107575254287</v>
      </c>
      <c r="CF158" s="1193">
        <f>'2028'!R\Max</f>
        <v>0.27685157916140923</v>
      </c>
    </row>
    <row r="159" spans="1:84" s="6" customFormat="1" ht="11.25" x14ac:dyDescent="0.2">
      <c r="A159" s="11">
        <v>43245</v>
      </c>
      <c r="B159" s="379">
        <f>'2022'!Maxi_hp</f>
        <v>59.825577923222795</v>
      </c>
      <c r="C159" s="13">
        <f>'2022'!An_max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64.053443731527253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64.030022248213328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64.066071483652507</v>
      </c>
      <c r="AZ159" s="735">
        <f t="shared" si="96"/>
        <v>64.048046865932918</v>
      </c>
      <c r="BA159" s="633">
        <f t="shared" si="93"/>
        <v>0.93399471500665787</v>
      </c>
      <c r="BC159" s="11">
        <v>43245</v>
      </c>
      <c r="BD159" s="289">
        <f>[2]!FeuilCaduc*(1-Persistant)+Persistant</f>
        <v>0.77189738142514019</v>
      </c>
      <c r="BE159" s="290">
        <f>[2]!CroissVégét</f>
        <v>0.34048958423292969</v>
      </c>
      <c r="BF159" s="804">
        <f>1+[2]!Salcycl*Ksac</f>
        <v>1.0271897381425139</v>
      </c>
      <c r="BH159" s="1036">
        <f t="shared" si="94"/>
        <v>5.8520991831691389E-4</v>
      </c>
      <c r="BI159" s="11">
        <v>44341</v>
      </c>
      <c r="BJ159" s="715">
        <v>2.8565593335451347E-8</v>
      </c>
      <c r="BK159" s="715">
        <v>4.4997018109117041E-7</v>
      </c>
      <c r="BL159" s="715">
        <v>5.7911743869497258E-5</v>
      </c>
      <c r="BM159" s="715">
        <v>3.0104697359075681E-4</v>
      </c>
      <c r="BN159" s="715">
        <v>8.703833921247583E-4</v>
      </c>
      <c r="BO159" s="716">
        <v>1.9121687278504705E-3</v>
      </c>
      <c r="BP159" s="715">
        <v>3.4963248574698823E-3</v>
      </c>
      <c r="BQ159" s="715">
        <v>5.7438714880661797E-3</v>
      </c>
      <c r="BR159" s="715">
        <v>8.7269442297131065E-3</v>
      </c>
      <c r="BS159" s="715">
        <v>1.2542614045264444E-2</v>
      </c>
      <c r="BT159" s="715">
        <v>1.6928912090269369E-2</v>
      </c>
      <c r="BW159" s="1190">
        <f>'2019'!R\Max</f>
        <v>0.40214783607060522</v>
      </c>
      <c r="BX159" s="1190">
        <f>'2020'!R\Max</f>
        <v>0.93399471500665787</v>
      </c>
      <c r="BY159" s="1190">
        <f>'2021'!R\Max</f>
        <v>0.79580149074182027</v>
      </c>
      <c r="BZ159" s="1190">
        <f>'2022'!R\Max</f>
        <v>0.69643305776439235</v>
      </c>
      <c r="CA159" s="1190">
        <f>'2023'!R\Max</f>
        <v>0.69641748904034073</v>
      </c>
      <c r="CB159" s="1190">
        <f>'2024'!R\Max</f>
        <v>0.69639971090824948</v>
      </c>
      <c r="CC159" s="1190">
        <f>'2025'!R\Max</f>
        <v>0.69637761950126675</v>
      </c>
      <c r="CD159" s="1190">
        <f>'2026'!R\Max</f>
        <v>0.69646278517500182</v>
      </c>
      <c r="CE159" s="1191">
        <f>'2027'!R\Max</f>
        <v>0.69645585010581779</v>
      </c>
      <c r="CF159" s="1193">
        <f>'2028'!R\Max</f>
        <v>0.69644561265540872</v>
      </c>
    </row>
    <row r="160" spans="1:84" s="6" customFormat="1" ht="11.25" x14ac:dyDescent="0.2">
      <c r="A160" s="11">
        <v>43246</v>
      </c>
      <c r="B160" s="379">
        <f>'2022'!Maxi_hp</f>
        <v>62.596709791929555</v>
      </c>
      <c r="C160" s="13">
        <f>'2022'!An_max</f>
        <v>2020</v>
      </c>
      <c r="D160" s="1045">
        <f t="shared" si="78"/>
        <v>0.97720393598077482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64.056956267889063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64.039430175375728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64.062225073575974</v>
      </c>
      <c r="AZ160" s="735">
        <f t="shared" si="96"/>
        <v>64.050827624475858</v>
      </c>
      <c r="BA160" s="633">
        <f t="shared" si="93"/>
        <v>0.97720393598077482</v>
      </c>
      <c r="BC160" s="11">
        <v>43246</v>
      </c>
      <c r="BD160" s="289">
        <f>[2]!FeuilCaduc*(1-Persistant)+Persistant</f>
        <v>0.77908116180847387</v>
      </c>
      <c r="BE160" s="290">
        <f>[2]!CroissVégét</f>
        <v>0.34980380891459434</v>
      </c>
      <c r="BF160" s="804">
        <f>1+[2]!Salcycl*Ksac</f>
        <v>1.0279081161808474</v>
      </c>
      <c r="BH160" s="1036">
        <f t="shared" si="94"/>
        <v>5.647246267747577E-4</v>
      </c>
      <c r="BI160" s="11">
        <v>44342</v>
      </c>
      <c r="BJ160" s="715">
        <v>3.5718015091285565E-8</v>
      </c>
      <c r="BK160" s="715">
        <v>3.0315788215358022E-7</v>
      </c>
      <c r="BL160" s="715">
        <v>5.4684900303105409E-5</v>
      </c>
      <c r="BM160" s="715">
        <v>2.8864071520247504E-4</v>
      </c>
      <c r="BN160" s="715">
        <v>8.4179033708895118E-4</v>
      </c>
      <c r="BO160" s="716">
        <v>1.8616167166711607E-3</v>
      </c>
      <c r="BP160" s="715">
        <v>3.4173493492121727E-3</v>
      </c>
      <c r="BQ160" s="715">
        <v>5.627717454596691E-3</v>
      </c>
      <c r="BR160" s="715">
        <v>8.5618276129275171E-3</v>
      </c>
      <c r="BS160" s="715">
        <v>1.2318504734544551E-2</v>
      </c>
      <c r="BT160" s="715">
        <v>1.6639132425187334E-2</v>
      </c>
      <c r="BW160" s="1190">
        <f>'2019'!R\Max</f>
        <v>0.4123508424521663</v>
      </c>
      <c r="BX160" s="1190">
        <f>'2020'!R\Max</f>
        <v>0.97720393598077482</v>
      </c>
      <c r="BY160" s="1190">
        <f>'2021'!R\Max</f>
        <v>0.87121108879218201</v>
      </c>
      <c r="BZ160" s="1190">
        <f>'2022'!R\Max</f>
        <v>0.42335200176723664</v>
      </c>
      <c r="CA160" s="1190">
        <f>'2023'!R\Max</f>
        <v>0.42333418376976822</v>
      </c>
      <c r="CB160" s="1190">
        <f>'2024'!R\Max</f>
        <v>0.42331375599428217</v>
      </c>
      <c r="CC160" s="1190">
        <f>'2025'!R\Max</f>
        <v>0.42328843930147009</v>
      </c>
      <c r="CD160" s="1190">
        <f>'2026'!R\Max</f>
        <v>0.42338600948595845</v>
      </c>
      <c r="CE160" s="1191">
        <f>'2027'!R\Max</f>
        <v>0.42337808144435313</v>
      </c>
      <c r="CF160" s="1193">
        <f>'2028'!R\Max</f>
        <v>0.42336640159135203</v>
      </c>
    </row>
    <row r="161" spans="1:84" s="6" customFormat="1" ht="11.25" x14ac:dyDescent="0.2">
      <c r="A161" s="11">
        <v>43247</v>
      </c>
      <c r="B161" s="379">
        <f>'2022'!Maxi_hp</f>
        <v>62.270971233570506</v>
      </c>
      <c r="C161" s="13">
        <f>'2022'!An_max</f>
        <v>2020</v>
      </c>
      <c r="D161" s="1045">
        <f t="shared" si="78"/>
        <v>0.97211102278891193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64.057468513133273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64.04772213879707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64.05431729245133</v>
      </c>
      <c r="AZ161" s="735">
        <f t="shared" si="96"/>
        <v>64.051019715624193</v>
      </c>
      <c r="BA161" s="633">
        <f t="shared" si="93"/>
        <v>0.97211102278891193</v>
      </c>
      <c r="BC161" s="11">
        <v>43247</v>
      </c>
      <c r="BD161" s="289">
        <f>[2]!FeuilCaduc*(1-Persistant)+Persistant</f>
        <v>0.78625358716645866</v>
      </c>
      <c r="BE161" s="290">
        <f>[2]!CroissVégét</f>
        <v>0.35923310369654604</v>
      </c>
      <c r="BF161" s="804">
        <f>1+[2]!Salcycl*Ksac</f>
        <v>1.0286253587166458</v>
      </c>
      <c r="BH161" s="1036">
        <f t="shared" si="94"/>
        <v>5.444058743017499E-4</v>
      </c>
      <c r="BI161" s="11">
        <v>44343</v>
      </c>
      <c r="BJ161" s="715">
        <v>4.3778311549290847E-8</v>
      </c>
      <c r="BK161" s="715">
        <v>1.939857761104291E-7</v>
      </c>
      <c r="BL161" s="715">
        <v>5.1575880298439788E-5</v>
      </c>
      <c r="BM161" s="715">
        <v>2.7629010331961886E-4</v>
      </c>
      <c r="BN161" s="715">
        <v>8.1347510803778621E-4</v>
      </c>
      <c r="BO161" s="716">
        <v>1.8115702019391616E-3</v>
      </c>
      <c r="BP161" s="715">
        <v>3.3396847673530512E-3</v>
      </c>
      <c r="BQ161" s="715">
        <v>5.5137757946785377E-3</v>
      </c>
      <c r="BR161" s="715">
        <v>8.4006874346265904E-3</v>
      </c>
      <c r="BS161" s="715">
        <v>1.2100965365357439E-2</v>
      </c>
      <c r="BT161" s="715">
        <v>1.6359363935809307E-2</v>
      </c>
      <c r="BW161" s="1190">
        <f>'2019'!R\Max</f>
        <v>0.49599689020593535</v>
      </c>
      <c r="BX161" s="1190">
        <f>'2020'!R\Max</f>
        <v>0.97211102278891193</v>
      </c>
      <c r="BY161" s="1190">
        <f>'2021'!R\Max</f>
        <v>0.96921609000700759</v>
      </c>
      <c r="BZ161" s="1190">
        <f>'2022'!R\Max</f>
        <v>0.77955933309155867</v>
      </c>
      <c r="CA161" s="1190">
        <f>'2023'!R\Max</f>
        <v>0.77954689952453449</v>
      </c>
      <c r="CB161" s="1190">
        <f>'2024'!R\Max</f>
        <v>0.7795325860877238</v>
      </c>
      <c r="CC161" s="1190">
        <f>'2025'!R\Max</f>
        <v>0.77951489360605875</v>
      </c>
      <c r="CD161" s="1190">
        <f>'2026'!R\Max</f>
        <v>0.77958304413847102</v>
      </c>
      <c r="CE161" s="1191">
        <f>'2027'!R\Max</f>
        <v>0.779577521025417</v>
      </c>
      <c r="CF161" s="1193">
        <f>'2028'!R\Max</f>
        <v>0.77956940090577487</v>
      </c>
    </row>
    <row r="162" spans="1:84" s="6" customFormat="1" ht="11.25" x14ac:dyDescent="0.2">
      <c r="A162" s="11">
        <v>43248</v>
      </c>
      <c r="B162" s="379">
        <f>'2022'!Maxi_hp</f>
        <v>61.405954695216622</v>
      </c>
      <c r="C162" s="13">
        <f>'2022'!An_max</f>
        <v>2020</v>
      </c>
      <c r="D162" s="1045" t="str">
        <f t="shared" si="78"/>
        <v/>
      </c>
      <c r="E162" s="1040">
        <f>X$13/10</f>
        <v>64.055199999999999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64.055200000107291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64.055200000107291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64.042649999819702</v>
      </c>
      <c r="AZ162" s="735">
        <f t="shared" si="96"/>
        <v>64.048924999963504</v>
      </c>
      <c r="BA162" s="633">
        <f t="shared" si="93"/>
        <v>0.95864121406402236</v>
      </c>
      <c r="BC162" s="11">
        <v>43248</v>
      </c>
      <c r="BD162" s="289">
        <f>[2]!FeuilCaduc*(1-Persistant)+Persistant</f>
        <v>0.79340588032111792</v>
      </c>
      <c r="BE162" s="290">
        <f>[2]!CroissVégét</f>
        <v>0.3687715084596308</v>
      </c>
      <c r="BF162" s="804">
        <f>1+[2]!Salcycl*Ksac</f>
        <v>1.0293405880321118</v>
      </c>
      <c r="BH162" s="1036">
        <f t="shared" si="94"/>
        <v>5.2425516164605684E-4</v>
      </c>
      <c r="BI162" s="11">
        <v>44344</v>
      </c>
      <c r="BJ162" s="715">
        <v>5.2744683521156445E-8</v>
      </c>
      <c r="BK162" s="715">
        <v>1.2240032355793908E-7</v>
      </c>
      <c r="BL162" s="715">
        <v>4.858472657222086E-5</v>
      </c>
      <c r="BM162" s="715">
        <v>2.63996051660312E-4</v>
      </c>
      <c r="BN162" s="715">
        <v>7.854397948370463E-4</v>
      </c>
      <c r="BO162" s="716">
        <v>1.762033337332313E-3</v>
      </c>
      <c r="BP162" s="715">
        <v>3.2633374081066039E-3</v>
      </c>
      <c r="BQ162" s="715">
        <v>5.4020560816737499E-3</v>
      </c>
      <c r="BR162" s="715">
        <v>8.2435366727797634E-3</v>
      </c>
      <c r="BS162" s="715">
        <v>1.1890012540188635E-2</v>
      </c>
      <c r="BT162" s="715">
        <v>1.6089626534497276E-2</v>
      </c>
      <c r="BW162" s="1190">
        <f>'2019'!R\Max</f>
        <v>0.43817237146213056</v>
      </c>
      <c r="BX162" s="1190">
        <f>'2020'!R\Max</f>
        <v>0.95864121406402236</v>
      </c>
      <c r="BY162" s="1190">
        <f>'2021'!R\Max</f>
        <v>0.82857695211943261</v>
      </c>
      <c r="BZ162" s="1190">
        <f>'2022'!R\Max</f>
        <v>0.93780179859059332</v>
      </c>
      <c r="CA162" s="1190">
        <f>'2023'!R\Max</f>
        <v>0.93779761442155529</v>
      </c>
      <c r="CB162" s="1190">
        <f>'2024'!R\Max</f>
        <v>0.93779277781128534</v>
      </c>
      <c r="CC162" s="1190">
        <f>'2025'!R\Max</f>
        <v>0.93778681586120838</v>
      </c>
      <c r="CD162" s="1190">
        <f>'2026'!R\Max</f>
        <v>0.93780976924127035</v>
      </c>
      <c r="CE162" s="1191">
        <f>'2027'!R\Max</f>
        <v>0.93780791419188891</v>
      </c>
      <c r="CF162" s="1193">
        <f>'2028'!R\Max</f>
        <v>0.93780519281072794</v>
      </c>
    </row>
    <row r="163" spans="1:84" s="6" customFormat="1" ht="11.25" x14ac:dyDescent="0.2">
      <c r="A163" s="11">
        <v>43249</v>
      </c>
      <c r="B163" s="379">
        <f>'2022'!Maxi_hp</f>
        <v>64.959236791876052</v>
      </c>
      <c r="C163" s="13">
        <f>'2022'!An_max</f>
        <v>2022</v>
      </c>
      <c r="D163" s="1045">
        <f t="shared" si="78"/>
        <v>1.0142136258336651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64.048870116964508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64.059842218977536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64.027525054809772</v>
      </c>
      <c r="AZ163" s="735">
        <f t="shared" si="96"/>
        <v>64.043683636893661</v>
      </c>
      <c r="BA163" s="633">
        <f t="shared" si="93"/>
        <v>1.0142136258336651</v>
      </c>
      <c r="BC163" s="11">
        <v>43249</v>
      </c>
      <c r="BD163" s="289">
        <f>[2]!FeuilCaduc*(1-Persistant)+Persistant</f>
        <v>0.80052922539522431</v>
      </c>
      <c r="BE163" s="290">
        <f>[2]!CroissVégét</f>
        <v>0.37841273812207477</v>
      </c>
      <c r="BF163" s="804">
        <f>1+[2]!Salcycl*Ksac</f>
        <v>1.0300529225395225</v>
      </c>
      <c r="BH163" s="1036">
        <f t="shared" si="94"/>
        <v>5.0427386725399026E-4</v>
      </c>
      <c r="BI163" s="11">
        <v>44345</v>
      </c>
      <c r="BJ163" s="715">
        <v>6.2615289990973741E-8</v>
      </c>
      <c r="BK163" s="715">
        <v>8.8343904654748603E-8</v>
      </c>
      <c r="BL163" s="715">
        <v>4.5711454495403372E-5</v>
      </c>
      <c r="BM163" s="715">
        <v>2.5175940378065084E-4</v>
      </c>
      <c r="BN163" s="715">
        <v>7.576863127254132E-4</v>
      </c>
      <c r="BO163" s="716">
        <v>1.7130099669750108E-3</v>
      </c>
      <c r="BP163" s="715">
        <v>3.1883130389279879E-3</v>
      </c>
      <c r="BQ163" s="715">
        <v>5.2925670870167052E-3</v>
      </c>
      <c r="BR163" s="715">
        <v>8.090387093060477E-3</v>
      </c>
      <c r="BS163" s="715">
        <v>1.1685661113965537E-2</v>
      </c>
      <c r="BT163" s="715">
        <v>1.5829937741719837E-2</v>
      </c>
      <c r="BW163" s="1190">
        <f>'2019'!R\Max</f>
        <v>0.63559494842436171</v>
      </c>
      <c r="BX163" s="1190">
        <f>'2020'!R\Max</f>
        <v>0.95849554853197538</v>
      </c>
      <c r="BY163" s="1190">
        <f>'2021'!R\Max</f>
        <v>0.59592707138195833</v>
      </c>
      <c r="BZ163" s="1190">
        <f>'2022'!R\Max</f>
        <v>1.0142136258336651</v>
      </c>
      <c r="CA163" s="1190">
        <f>'2023'!R\Max</f>
        <v>1.0142136258336651</v>
      </c>
      <c r="CB163" s="1190">
        <f>'2024'!R\Max</f>
        <v>1.0142136258336654</v>
      </c>
      <c r="CC163" s="1190">
        <f>'2025'!R\Max</f>
        <v>1.0142136258336654</v>
      </c>
      <c r="CD163" s="1190">
        <f>'2026'!R\Max</f>
        <v>1.0142136258336651</v>
      </c>
      <c r="CE163" s="1191">
        <f>'2027'!R\Max</f>
        <v>1.0142136258336651</v>
      </c>
      <c r="CF163" s="1193">
        <f>'2028'!R\Max</f>
        <v>1.0142136258336654</v>
      </c>
    </row>
    <row r="164" spans="1:84" s="6" customFormat="1" ht="11.25" x14ac:dyDescent="0.2">
      <c r="A164" s="11">
        <v>43250</v>
      </c>
      <c r="B164" s="379">
        <f>'2022'!Maxi_hp</f>
        <v>59.25879141798292</v>
      </c>
      <c r="C164" s="13">
        <f>'2022'!An_max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64.037344606167508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64.059554081796009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64.009244314900457</v>
      </c>
      <c r="AZ164" s="735">
        <f t="shared" si="96"/>
        <v>64.03439919834824</v>
      </c>
      <c r="BA164" s="633">
        <f t="shared" si="93"/>
        <v>0.92537864869986564</v>
      </c>
      <c r="BC164" s="11">
        <v>43250</v>
      </c>
      <c r="BD164" s="289">
        <f>[2]!FeuilCaduc*(1-Persistant)+Persistant</f>
        <v>0.80761479860862817</v>
      </c>
      <c r="BE164" s="290">
        <f>[2]!CroissVégét</f>
        <v>0.38815019600224987</v>
      </c>
      <c r="BF164" s="804">
        <f>1+[2]!Salcycl*Ksac</f>
        <v>1.0307614798608629</v>
      </c>
      <c r="BH164" s="1036">
        <f t="shared" si="94"/>
        <v>4.8477894190202724E-4</v>
      </c>
      <c r="BI164" s="11">
        <v>44346</v>
      </c>
      <c r="BJ164" s="715">
        <v>7.2528517388213261E-8</v>
      </c>
      <c r="BK164" s="715">
        <v>9.0895580880132686E-8</v>
      </c>
      <c r="BL164" s="715">
        <v>4.3018716581118709E-5</v>
      </c>
      <c r="BM164" s="715">
        <v>2.3984836464613401E-4</v>
      </c>
      <c r="BN164" s="715">
        <v>7.3058053163827788E-4</v>
      </c>
      <c r="BO164" s="716">
        <v>1.6649685772898353E-3</v>
      </c>
      <c r="BP164" s="715">
        <v>3.1152188242315362E-3</v>
      </c>
      <c r="BQ164" s="715">
        <v>5.1862568898319037E-3</v>
      </c>
      <c r="BR164" s="715">
        <v>7.9427009609462657E-3</v>
      </c>
      <c r="BS164" s="715">
        <v>1.1489794330562179E-2</v>
      </c>
      <c r="BT164" s="715">
        <v>1.5582592322385274E-2</v>
      </c>
      <c r="BW164" s="1190">
        <f>'2019'!R\Max</f>
        <v>0.89892308617541383</v>
      </c>
      <c r="BX164" s="1190">
        <f>'2020'!R\Max</f>
        <v>0.92537864869986564</v>
      </c>
      <c r="BY164" s="1190">
        <f>'2021'!R\Max</f>
        <v>0.86752613647265753</v>
      </c>
      <c r="BZ164" s="1190">
        <f>'2022'!R\Max</f>
        <v>0.86078638665562202</v>
      </c>
      <c r="CA164" s="1190">
        <f>'2023'!R\Max</f>
        <v>0.86077793194939689</v>
      </c>
      <c r="CB164" s="1190">
        <f>'2024'!R\Max</f>
        <v>0.86076807807664213</v>
      </c>
      <c r="CC164" s="1190">
        <f>'2025'!R\Max</f>
        <v>0.86075600201187441</v>
      </c>
      <c r="CD164" s="1190">
        <f>'2026'!R\Max</f>
        <v>0.86080244462495337</v>
      </c>
      <c r="CE164" s="1191">
        <f>'2027'!R\Max</f>
        <v>0.86079871431064081</v>
      </c>
      <c r="CF164" s="1193">
        <f>'2028'!R\Max</f>
        <v>0.86079326769635101</v>
      </c>
    </row>
    <row r="165" spans="1:84" s="6" customFormat="1" ht="11.25" x14ac:dyDescent="0.2">
      <c r="A165" s="11">
        <v>43251</v>
      </c>
      <c r="B165" s="379">
        <f>'2022'!Maxi_hp</f>
        <v>62.682352866116169</v>
      </c>
      <c r="C165" s="13">
        <f>'2022'!An_max</f>
        <v>2018</v>
      </c>
      <c r="D165" s="1045">
        <f t="shared" si="78"/>
        <v>0.97908954307686946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64.021062536457819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64.054527678919428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63.988109638834636</v>
      </c>
      <c r="AZ165" s="735">
        <f t="shared" si="96"/>
        <v>64.021318658877036</v>
      </c>
      <c r="BA165" s="633">
        <f t="shared" si="93"/>
        <v>0.97908954307686946</v>
      </c>
      <c r="BC165" s="11">
        <v>43251</v>
      </c>
      <c r="BD165" s="289">
        <f>[2]!FeuilCaduc*(1-Persistant)+Persistant</f>
        <v>0.81465379984775699</v>
      </c>
      <c r="BE165" s="290">
        <f>[2]!CroissVégét</f>
        <v>0.3979769891015032</v>
      </c>
      <c r="BF165" s="804">
        <f>1+[2]!Salcycl*Ksac</f>
        <v>1.0314653799847757</v>
      </c>
      <c r="BH165" s="1036">
        <f t="shared" si="94"/>
        <v>4.6624034232487866E-4</v>
      </c>
      <c r="BI165" s="11">
        <v>44347</v>
      </c>
      <c r="BJ165" s="715">
        <v>8.2054365737866906E-8</v>
      </c>
      <c r="BK165" s="715">
        <v>9.4291916033231334E-8</v>
      </c>
      <c r="BL165" s="715">
        <v>4.0482277278334905E-5</v>
      </c>
      <c r="BM165" s="715">
        <v>2.2858274365270762E-4</v>
      </c>
      <c r="BN165" s="715">
        <v>7.0474308959717297E-4</v>
      </c>
      <c r="BO165" s="716">
        <v>1.6187805387140443E-3</v>
      </c>
      <c r="BP165" s="715">
        <v>3.0448075830606298E-3</v>
      </c>
      <c r="BQ165" s="715">
        <v>5.0836957280848789E-3</v>
      </c>
      <c r="BR165" s="715">
        <v>7.8003123291333345E-3</v>
      </c>
      <c r="BS165" s="715">
        <v>1.1300670735822164E-2</v>
      </c>
      <c r="BT165" s="715">
        <v>1.53435398065951E-2</v>
      </c>
      <c r="BW165" s="1190">
        <f>'2019'!R\Max</f>
        <v>0.97908954307686946</v>
      </c>
      <c r="BX165" s="1190">
        <f>'2020'!R\Max</f>
        <v>0.97862415508738188</v>
      </c>
      <c r="BY165" s="1190">
        <f>'2021'!R\Max</f>
        <v>0.9429047814215763</v>
      </c>
      <c r="BZ165" s="1190">
        <f>'2022'!R\Max</f>
        <v>0.93347761686225605</v>
      </c>
      <c r="CA165" s="1190">
        <f>'2023'!R\Max</f>
        <v>0.93347327016824944</v>
      </c>
      <c r="CB165" s="1190">
        <f>'2024'!R\Max</f>
        <v>0.93346818285243605</v>
      </c>
      <c r="CC165" s="1190">
        <f>'2025'!R\Max</f>
        <v>0.93346196677266013</v>
      </c>
      <c r="CD165" s="1190">
        <f>'2026'!R\Max</f>
        <v>0.93348585903615711</v>
      </c>
      <c r="CE165" s="1191">
        <f>'2027'!R\Max</f>
        <v>0.93348394590670203</v>
      </c>
      <c r="CF165" s="1193">
        <f>'2028'!R\Max</f>
        <v>0.93348116021984051</v>
      </c>
    </row>
    <row r="166" spans="1:84" s="6" customFormat="1" ht="11.25" x14ac:dyDescent="0.2">
      <c r="A166" s="11">
        <v>43252</v>
      </c>
      <c r="B166" s="379">
        <f>'2022'!Maxi_hp</f>
        <v>63.124729427681508</v>
      </c>
      <c r="C166" s="13">
        <f>'2022'!An_max</f>
        <v>2018</v>
      </c>
      <c r="D166" s="1045">
        <f t="shared" si="78"/>
        <v>0.98631676232582044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64.000462973809675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64.044955102301074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63.964422886153407</v>
      </c>
      <c r="AZ166" s="735">
        <f t="shared" si="96"/>
        <v>64.004688994227237</v>
      </c>
      <c r="BA166" s="633">
        <f t="shared" si="93"/>
        <v>0.98631676232582044</v>
      </c>
      <c r="BC166" s="11">
        <v>43252</v>
      </c>
      <c r="BD166" s="289">
        <f>[2]!FeuilCaduc*(1-Persistant)+Persistant</f>
        <v>0.82163748482358545</v>
      </c>
      <c r="BE166" s="290">
        <f>[2]!CroissVégét</f>
        <v>0.4078859452556679</v>
      </c>
      <c r="BF166" s="804">
        <f>1+[2]!Salcycl*Ksac</f>
        <v>1.0321637484823585</v>
      </c>
      <c r="BH166" s="1036">
        <f t="shared" si="94"/>
        <v>4.4865768016006405E-4</v>
      </c>
      <c r="BI166" s="11">
        <v>44348</v>
      </c>
      <c r="BJ166" s="715">
        <v>9.1193272811732567E-8</v>
      </c>
      <c r="BK166" s="715">
        <v>9.8531429822644664E-8</v>
      </c>
      <c r="BL166" s="715">
        <v>3.8102008398863638E-5</v>
      </c>
      <c r="BM166" s="715">
        <v>2.1796212066116727E-4</v>
      </c>
      <c r="BN166" s="715">
        <v>6.8017363012934547E-4</v>
      </c>
      <c r="BO166" s="716">
        <v>1.5744464083173265E-3</v>
      </c>
      <c r="BP166" s="715">
        <v>2.9770811682934342E-3</v>
      </c>
      <c r="BQ166" s="715">
        <v>4.9848874269986226E-3</v>
      </c>
      <c r="BR166" s="715">
        <v>7.6632273165946852E-3</v>
      </c>
      <c r="BS166" s="715">
        <v>1.1118300199290573E-2</v>
      </c>
      <c r="BT166" s="715">
        <v>1.5112794458075698E-2</v>
      </c>
      <c r="BW166" s="1190">
        <f>'2019'!R\Max</f>
        <v>0.98631676232582044</v>
      </c>
      <c r="BX166" s="1190">
        <f>'2020'!R\Max</f>
        <v>0.97197691524872787</v>
      </c>
      <c r="BY166" s="1190">
        <f>'2021'!R\Max</f>
        <v>0.59048096769097014</v>
      </c>
      <c r="BZ166" s="1190">
        <f>'2022'!R\Max</f>
        <v>0.95161507144814705</v>
      </c>
      <c r="CA166" s="1190">
        <f>'2023'!R\Max</f>
        <v>0.95161187312215534</v>
      </c>
      <c r="CB166" s="1190">
        <f>'2024'!R\Max</f>
        <v>0.95160811402285073</v>
      </c>
      <c r="CC166" s="1190">
        <f>'2025'!R\Max</f>
        <v>0.95160353477720805</v>
      </c>
      <c r="CD166" s="1190">
        <f>'2026'!R\Max</f>
        <v>0.95162112642028385</v>
      </c>
      <c r="CE166" s="1191">
        <f>'2027'!R\Max</f>
        <v>0.95161972188626687</v>
      </c>
      <c r="CF166" s="1193">
        <f>'2028'!R\Max</f>
        <v>0.95161768304297656</v>
      </c>
    </row>
    <row r="167" spans="1:84" s="6" customFormat="1" ht="11.25" x14ac:dyDescent="0.2">
      <c r="A167" s="11">
        <v>43253</v>
      </c>
      <c r="B167" s="379">
        <f>'2022'!Maxi_hp</f>
        <v>62.353294055215706</v>
      </c>
      <c r="C167" s="13">
        <f>'2022'!An_max</f>
        <v>2018</v>
      </c>
      <c r="D167" s="1045">
        <f t="shared" si="78"/>
        <v>0.9746359367417412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63.975984985394668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64.031028444073826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63.938485914708259</v>
      </c>
      <c r="AZ167" s="735">
        <f t="shared" si="96"/>
        <v>63.984757179391039</v>
      </c>
      <c r="BA167" s="633">
        <f t="shared" si="93"/>
        <v>0.9746359367417412</v>
      </c>
      <c r="BC167" s="11">
        <v>43253</v>
      </c>
      <c r="BD167" s="289">
        <f>[2]!FeuilCaduc*(1-Persistant)+Persistant</f>
        <v>0.82855719762368418</v>
      </c>
      <c r="BE167" s="290">
        <f>[2]!CroissVégét</f>
        <v>0.41786963208449301</v>
      </c>
      <c r="BF167" s="804">
        <f>1+[2]!Salcycl*Ksac</f>
        <v>1.0328557197623685</v>
      </c>
      <c r="BH167" s="1036">
        <f t="shared" si="94"/>
        <v>4.3203041117739782E-4</v>
      </c>
      <c r="BI167" s="11">
        <v>44349</v>
      </c>
      <c r="BJ167" s="715">
        <v>9.9945750903118857E-8</v>
      </c>
      <c r="BK167" s="715">
        <v>1.0361260880629013E-7</v>
      </c>
      <c r="BL167" s="715">
        <v>3.587775882230427E-5</v>
      </c>
      <c r="BM167" s="715">
        <v>2.0798597676729554E-4</v>
      </c>
      <c r="BN167" s="715">
        <v>6.5687158358857835E-4</v>
      </c>
      <c r="BO167" s="716">
        <v>1.5319663881711027E-3</v>
      </c>
      <c r="BP167" s="715">
        <v>2.9120409016833077E-3</v>
      </c>
      <c r="BQ167" s="715">
        <v>4.8898350493938999E-3</v>
      </c>
      <c r="BR167" s="715">
        <v>7.5314509799691053E-3</v>
      </c>
      <c r="BS167" s="715">
        <v>1.0942691199597523E-2</v>
      </c>
      <c r="BT167" s="715">
        <v>1.4890368799007748E-2</v>
      </c>
      <c r="BW167" s="1190">
        <f>'2019'!R\Max</f>
        <v>0.9746359367417412</v>
      </c>
      <c r="BX167" s="1190">
        <f>'2020'!R\Max</f>
        <v>0.50080153841448738</v>
      </c>
      <c r="BY167" s="1190">
        <f>'2021'!R\Max</f>
        <v>0.78212128020551319</v>
      </c>
      <c r="BZ167" s="1190">
        <f>'2022'!R\Max</f>
        <v>0.75930918516761392</v>
      </c>
      <c r="CA167" s="1190">
        <f>'2023'!R\Max</f>
        <v>0.75929658461169391</v>
      </c>
      <c r="CB167" s="1190">
        <f>'2024'!R\Max</f>
        <v>0.75928171224326035</v>
      </c>
      <c r="CC167" s="1190">
        <f>'2025'!R\Max</f>
        <v>0.75926365155944264</v>
      </c>
      <c r="CD167" s="1190">
        <f>'2026'!R\Max</f>
        <v>0.75933300379489399</v>
      </c>
      <c r="CE167" s="1191">
        <f>'2027'!R\Max</f>
        <v>0.75932748134751193</v>
      </c>
      <c r="CF167" s="1193">
        <f>'2028'!R\Max</f>
        <v>0.75931949225776429</v>
      </c>
    </row>
    <row r="168" spans="1:84" s="6" customFormat="1" ht="11.25" x14ac:dyDescent="0.2">
      <c r="A168" s="11">
        <v>43254</v>
      </c>
      <c r="B168" s="379">
        <f>'2022'!Maxi_hp</f>
        <v>59.425155204871523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63.948067638836804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64.012939795984749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63.910600583574606</v>
      </c>
      <c r="AZ168" s="735">
        <f t="shared" si="96"/>
        <v>63.961770189779678</v>
      </c>
      <c r="BA168" s="633">
        <f t="shared" si="93"/>
        <v>0.92927210155106488</v>
      </c>
      <c r="BC168" s="11">
        <v>43254</v>
      </c>
      <c r="BD168" s="289">
        <f>[2]!FeuilCaduc*(1-Persistant)+Persistant</f>
        <v>0.83540440345579769</v>
      </c>
      <c r="BE168" s="290">
        <f>[2]!CroissVégét</f>
        <v>0.42792037764903684</v>
      </c>
      <c r="BF168" s="804">
        <f>1+[2]!Salcycl*Ksac</f>
        <v>1.0335404403455797</v>
      </c>
      <c r="BH168" s="1036">
        <f t="shared" si="94"/>
        <v>4.1635784796070329E-4</v>
      </c>
      <c r="BI168" s="11">
        <v>44350</v>
      </c>
      <c r="BJ168" s="715">
        <v>1.0831238176602682E-7</v>
      </c>
      <c r="BK168" s="715">
        <v>1.0953391784469156E-7</v>
      </c>
      <c r="BL168" s="715">
        <v>3.3809356570377941E-5</v>
      </c>
      <c r="BM168" s="715">
        <v>1.98653702865589E-4</v>
      </c>
      <c r="BN168" s="715">
        <v>6.3483618396953617E-4</v>
      </c>
      <c r="BO168" s="716">
        <v>1.4913403498861149E-3</v>
      </c>
      <c r="BP168" s="715">
        <v>2.8496876094421092E-3</v>
      </c>
      <c r="BQ168" s="715">
        <v>4.798540945484776E-3</v>
      </c>
      <c r="BR168" s="715">
        <v>7.4049873840653759E-3</v>
      </c>
      <c r="BS168" s="715">
        <v>1.0773850914309475E-2</v>
      </c>
      <c r="BT168" s="715">
        <v>1.4676273720667678E-2</v>
      </c>
      <c r="BW168" s="1190">
        <f>'2019'!R\Max</f>
        <v>0.75449583480779336</v>
      </c>
      <c r="BX168" s="1190">
        <f>'2020'!R\Max</f>
        <v>0.74657096923211574</v>
      </c>
      <c r="BY168" s="1190">
        <f>'2021'!R\Max</f>
        <v>0.89801428983945919</v>
      </c>
      <c r="BZ168" s="1190">
        <f>'2022'!R\Max</f>
        <v>0.92927210155106488</v>
      </c>
      <c r="CA168" s="1190">
        <f>'2023'!R\Max</f>
        <v>0.92926760248829965</v>
      </c>
      <c r="CB168" s="1190">
        <f>'2024'!R\Max</f>
        <v>0.92926226944820556</v>
      </c>
      <c r="CC168" s="1190">
        <f>'2025'!R\Max</f>
        <v>0.92925581319881445</v>
      </c>
      <c r="CD168" s="1190">
        <f>'2026'!R\Max</f>
        <v>0.92928059275804176</v>
      </c>
      <c r="CE168" s="1191">
        <f>'2027'!R\Max</f>
        <v>0.92927862472752487</v>
      </c>
      <c r="CF168" s="1193">
        <f>'2028'!R\Max</f>
        <v>0.92927578824862833</v>
      </c>
    </row>
    <row r="169" spans="1:84" s="6" customFormat="1" ht="11.25" x14ac:dyDescent="0.2">
      <c r="A169" s="11">
        <v>43255</v>
      </c>
      <c r="B169" s="379">
        <f>'2022'!Maxi_hp</f>
        <v>57.206955445857666</v>
      </c>
      <c r="C169" s="13">
        <f>'2022'!An_max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63.917149999737738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63.99088125033304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63.881068749912082</v>
      </c>
      <c r="AZ169" s="735">
        <f t="shared" si="96"/>
        <v>63.935975000122561</v>
      </c>
      <c r="BA169" s="633">
        <f t="shared" si="93"/>
        <v>0.89501730671803104</v>
      </c>
      <c r="BC169" s="11">
        <v>43255</v>
      </c>
      <c r="BD169" s="289">
        <f>[2]!FeuilCaduc*(1-Persistant)+Persistant</f>
        <v>0.84217072137392845</v>
      </c>
      <c r="BE169" s="290">
        <f>[2]!CroissVégét</f>
        <v>0.43803029270835642</v>
      </c>
      <c r="BF169" s="804">
        <f>1+[2]!Salcycl*Ksac</f>
        <v>1.0342170721373929</v>
      </c>
      <c r="BH169" s="1036">
        <f t="shared" si="94"/>
        <v>4.0163917259212535E-4</v>
      </c>
      <c r="BI169" s="11">
        <v>44351</v>
      </c>
      <c r="BJ169" s="715">
        <v>1.1629381155476768E-7</v>
      </c>
      <c r="BK169" s="715">
        <v>1.1629381155476771E-7</v>
      </c>
      <c r="BL169" s="715">
        <v>3.1896610881488434E-5</v>
      </c>
      <c r="BM169" s="715">
        <v>1.8996460821426477E-4</v>
      </c>
      <c r="BN169" s="715">
        <v>6.1406648572603321E-4</v>
      </c>
      <c r="BO169" s="716">
        <v>1.4525678591590218E-3</v>
      </c>
      <c r="BP169" s="715">
        <v>2.790021657840383E-3</v>
      </c>
      <c r="BQ169" s="715">
        <v>4.7110068027023154E-3</v>
      </c>
      <c r="BR169" s="715">
        <v>7.2838396724097783E-3</v>
      </c>
      <c r="BS169" s="715">
        <v>1.0611785309843165E-2</v>
      </c>
      <c r="BT169" s="715">
        <v>1.4470518594154127E-2</v>
      </c>
      <c r="BW169" s="1190">
        <f>'2019'!R\Max</f>
        <v>0.89501730671803104</v>
      </c>
      <c r="BX169" s="1190">
        <f>'2020'!R\Max</f>
        <v>0.44355709682813099</v>
      </c>
      <c r="BY169" s="1190">
        <f>'2021'!R\Max</f>
        <v>0.1278242975290004</v>
      </c>
      <c r="BZ169" s="1190">
        <f>'2022'!R\Max</f>
        <v>0.44324282992307001</v>
      </c>
      <c r="CA169" s="1190">
        <f>'2023'!R\Max</f>
        <v>0.44322605491802042</v>
      </c>
      <c r="CB169" s="1190">
        <f>'2024'!R\Max</f>
        <v>0.44320608656625171</v>
      </c>
      <c r="CC169" s="1190">
        <f>'2025'!R\Max</f>
        <v>0.44318199149297133</v>
      </c>
      <c r="CD169" s="1190">
        <f>'2026'!R\Max</f>
        <v>0.44327444557551215</v>
      </c>
      <c r="CE169" s="1191">
        <f>'2027'!R\Max</f>
        <v>0.44326711886469317</v>
      </c>
      <c r="CF169" s="1193">
        <f>'2028'!R\Max</f>
        <v>0.44325660230181074</v>
      </c>
    </row>
    <row r="170" spans="1:84" s="6" customFormat="1" ht="11.25" x14ac:dyDescent="0.2">
      <c r="A170" s="11">
        <v>43256</v>
      </c>
      <c r="B170" s="379">
        <f>'2022'!Maxi_hp</f>
        <v>45.501902889660293</v>
      </c>
      <c r="C170" s="13">
        <f>'2022'!An_max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63.88367113705192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63.965044897901159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63.850192274046798</v>
      </c>
      <c r="AZ170" s="735">
        <f t="shared" si="96"/>
        <v>63.907618585973978</v>
      </c>
      <c r="BA170" s="633">
        <f t="shared" si="93"/>
        <v>0.71226186723119644</v>
      </c>
      <c r="BC170" s="11">
        <v>43256</v>
      </c>
      <c r="BD170" s="289">
        <f>[2]!FeuilCaduc*(1-Persistant)+Persistant</f>
        <v>0.84884795677317237</v>
      </c>
      <c r="BE170" s="290">
        <f>[2]!CroissVégét</f>
        <v>0.44819129444890032</v>
      </c>
      <c r="BF170" s="804">
        <f>1+[2]!Salcycl*Ksac</f>
        <v>1.0348847956773173</v>
      </c>
      <c r="BH170" s="1036">
        <f t="shared" si="94"/>
        <v>3.8825779679037454E-4</v>
      </c>
      <c r="BI170" s="11">
        <v>44352</v>
      </c>
      <c r="BJ170" s="715">
        <v>1.2292522079515149E-7</v>
      </c>
      <c r="BK170" s="715">
        <v>1.2292522079515149E-7</v>
      </c>
      <c r="BL170" s="715">
        <v>3.0181493736141684E-5</v>
      </c>
      <c r="BM170" s="715">
        <v>1.8211987124928261E-4</v>
      </c>
      <c r="BN170" s="715">
        <v>5.9512878191035959E-4</v>
      </c>
      <c r="BO170" s="716">
        <v>1.4168472526022954E-3</v>
      </c>
      <c r="BP170" s="715">
        <v>2.7349289723425552E-3</v>
      </c>
      <c r="BQ170" s="715">
        <v>4.6299834851072355E-3</v>
      </c>
      <c r="BR170" s="715">
        <v>7.1717621563049394E-3</v>
      </c>
      <c r="BS170" s="715">
        <v>1.0461480594292062E-2</v>
      </c>
      <c r="BT170" s="715">
        <v>1.4279338530942369E-2</v>
      </c>
      <c r="BW170" s="1190">
        <f>'2019'!R\Max</f>
        <v>0.16399889700216233</v>
      </c>
      <c r="BX170" s="1190">
        <f>'2020'!R\Max</f>
        <v>0.58101591028215838</v>
      </c>
      <c r="BY170" s="1190">
        <f>'2021'!R\Max</f>
        <v>0.71226186723119644</v>
      </c>
      <c r="BZ170" s="1190">
        <f>'2022'!R\Max</f>
        <v>0.61116963551609493</v>
      </c>
      <c r="CA170" s="1190">
        <f>'2023'!R\Max</f>
        <v>0.61115358079870974</v>
      </c>
      <c r="CB170" s="1190">
        <f>'2024'!R\Max</f>
        <v>0.61113438790241381</v>
      </c>
      <c r="CC170" s="1190">
        <f>'2025'!R\Max</f>
        <v>0.61111130310200301</v>
      </c>
      <c r="CD170" s="1190">
        <f>'2026'!R\Max</f>
        <v>0.61119985470159233</v>
      </c>
      <c r="CE170" s="1191">
        <f>'2027'!R\Max</f>
        <v>0.61119285116881694</v>
      </c>
      <c r="CF170" s="1193">
        <f>'2028'!R\Max</f>
        <v>0.61118284302513137</v>
      </c>
    </row>
    <row r="171" spans="1:84" s="6" customFormat="1" ht="11.25" x14ac:dyDescent="0.2">
      <c r="A171" s="11">
        <v>43257</v>
      </c>
      <c r="B171" s="379">
        <f>'2022'!Maxi_hp</f>
        <v>58.87079114151684</v>
      </c>
      <c r="C171" s="13">
        <f>'2022'!An_max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63.84807011651408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63.93562283180654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63.818273013963235</v>
      </c>
      <c r="AZ171" s="735">
        <f t="shared" si="96"/>
        <v>63.876947922884888</v>
      </c>
      <c r="BA171" s="633">
        <f t="shared" si="93"/>
        <v>0.92204495819663179</v>
      </c>
      <c r="BC171" s="11">
        <v>43257</v>
      </c>
      <c r="BD171" s="289">
        <f>[2]!FeuilCaduc*(1-Persistant)+Persistant</f>
        <v>0.8554281334366628</v>
      </c>
      <c r="BE171" s="290">
        <f>[2]!CroissVégét</f>
        <v>0.45839513154318023</v>
      </c>
      <c r="BF171" s="804">
        <f>1+[2]!Salcycl*Ksac</f>
        <v>1.0355428133436664</v>
      </c>
      <c r="BH171" s="1036">
        <f t="shared" si="94"/>
        <v>3.7558986689294481E-4</v>
      </c>
      <c r="BI171" s="11">
        <v>44353</v>
      </c>
      <c r="BJ171" s="715">
        <v>1.2772673696910245E-7</v>
      </c>
      <c r="BK171" s="715">
        <v>1.2772673696910248E-7</v>
      </c>
      <c r="BL171" s="715">
        <v>2.8572938345711242E-5</v>
      </c>
      <c r="BM171" s="715">
        <v>1.7475224213468223E-4</v>
      </c>
      <c r="BN171" s="715">
        <v>5.7714170250903346E-4</v>
      </c>
      <c r="BO171" s="716">
        <v>1.3828261574855413E-3</v>
      </c>
      <c r="BP171" s="715">
        <v>2.6823768555101005E-3</v>
      </c>
      <c r="BQ171" s="715">
        <v>4.5527244516542853E-3</v>
      </c>
      <c r="BR171" s="715">
        <v>7.0649870593299151E-3</v>
      </c>
      <c r="BS171" s="715">
        <v>1.0318156132450662E-2</v>
      </c>
      <c r="BT171" s="715">
        <v>1.4096824951539796E-2</v>
      </c>
      <c r="BW171" s="1190">
        <f>'2019'!R\Max</f>
        <v>0.92204495819663179</v>
      </c>
      <c r="BX171" s="1190">
        <f>'2020'!R\Max</f>
        <v>0.37310440047742405</v>
      </c>
      <c r="BY171" s="1190">
        <f>'2021'!R\Max</f>
        <v>0.74813448997694509</v>
      </c>
      <c r="BZ171" s="1190">
        <f>'2022'!R\Max</f>
        <v>0.79776197508494151</v>
      </c>
      <c r="CA171" s="1190">
        <f>'2023'!R\Max</f>
        <v>0.79775113909185991</v>
      </c>
      <c r="CB171" s="1190">
        <f>'2024'!R\Max</f>
        <v>0.79773812888229179</v>
      </c>
      <c r="CC171" s="1190">
        <f>'2025'!R\Max</f>
        <v>0.79772253091155898</v>
      </c>
      <c r="CD171" s="1190">
        <f>'2026'!R\Max</f>
        <v>0.79778234791431379</v>
      </c>
      <c r="CE171" s="1191">
        <f>'2027'!R\Max</f>
        <v>0.7977776259151349</v>
      </c>
      <c r="CF171" s="1193">
        <f>'2028'!R\Max</f>
        <v>0.79777090864190359</v>
      </c>
    </row>
    <row r="172" spans="1:84" s="6" customFormat="1" ht="11.25" x14ac:dyDescent="0.2">
      <c r="A172" s="11">
        <v>43258</v>
      </c>
      <c r="B172" s="379">
        <f>'2022'!Maxi_hp</f>
        <v>52.613805955532094</v>
      </c>
      <c r="C172" s="13">
        <f>'2022'!An_max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63.810786005961042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63.902807143051177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63.785612828178067</v>
      </c>
      <c r="AZ172" s="735">
        <f t="shared" si="96"/>
        <v>63.844209985614626</v>
      </c>
      <c r="BA172" s="633">
        <f t="shared" si="93"/>
        <v>0.82452841045739578</v>
      </c>
      <c r="BC172" s="11">
        <v>43258</v>
      </c>
      <c r="BD172" s="289">
        <f>[2]!FeuilCaduc*(1-Persistant)+Persistant</f>
        <v>0.86190352491696698</v>
      </c>
      <c r="BE172" s="290">
        <f>[2]!CroissVégét</f>
        <v>0.46863341037883222</v>
      </c>
      <c r="BF172" s="804">
        <f>1+[2]!Salcycl*Ksac</f>
        <v>1.0361903524916967</v>
      </c>
      <c r="BH172" s="1036">
        <f t="shared" si="94"/>
        <v>3.6363469879401695E-4</v>
      </c>
      <c r="BI172" s="11">
        <v>44354</v>
      </c>
      <c r="BJ172" s="715">
        <v>1.3070192618535757E-7</v>
      </c>
      <c r="BK172" s="715">
        <v>1.3070192618535757E-7</v>
      </c>
      <c r="BL172" s="715">
        <v>2.7070802081633499E-5</v>
      </c>
      <c r="BM172" s="715">
        <v>1.6786114707978753E-4</v>
      </c>
      <c r="BN172" s="715">
        <v>5.6010445270879413E-4</v>
      </c>
      <c r="BO172" s="716">
        <v>1.3505036465085631E-3</v>
      </c>
      <c r="BP172" s="715">
        <v>2.6323647664420555E-3</v>
      </c>
      <c r="BQ172" s="715">
        <v>4.4792296677027494E-3</v>
      </c>
      <c r="BR172" s="715">
        <v>6.9635151797795454E-3</v>
      </c>
      <c r="BS172" s="715">
        <v>1.0181814372896942E-2</v>
      </c>
      <c r="BT172" s="715">
        <v>1.3922982676073316E-2</v>
      </c>
      <c r="BW172" s="1190">
        <f>'2019'!R\Max</f>
        <v>0.36002035013179234</v>
      </c>
      <c r="BX172" s="1190">
        <f>'2020'!R\Max</f>
        <v>0.43344521289972993</v>
      </c>
      <c r="BY172" s="1190">
        <f>'2021'!R\Max</f>
        <v>0.82452841045739578</v>
      </c>
      <c r="BZ172" s="1190">
        <f>'2022'!R\Max</f>
        <v>0.48424309840261892</v>
      </c>
      <c r="CA172" s="1190">
        <f>'2023'!R\Max</f>
        <v>0.48422641793162347</v>
      </c>
      <c r="CB172" s="1190">
        <f>'2024'!R\Max</f>
        <v>0.48420630447195079</v>
      </c>
      <c r="CC172" s="1190">
        <f>'2025'!R\Max</f>
        <v>0.48418227034241418</v>
      </c>
      <c r="CD172" s="1190">
        <f>'2026'!R\Max</f>
        <v>0.48427443147695098</v>
      </c>
      <c r="CE172" s="1191">
        <f>'2027'!R\Max</f>
        <v>0.48426716781899076</v>
      </c>
      <c r="CF172" s="1193">
        <f>'2028'!R\Max</f>
        <v>0.48425688300720943</v>
      </c>
    </row>
    <row r="173" spans="1:84" s="6" customFormat="1" ht="11.25" x14ac:dyDescent="0.2">
      <c r="A173" s="11">
        <v>43259</v>
      </c>
      <c r="B173" s="379">
        <f>'2022'!Maxi_hp</f>
        <v>63.747853574878313</v>
      </c>
      <c r="C173" s="13">
        <f>'2022'!An_max</f>
        <v>2018</v>
      </c>
      <c r="D173" s="1045">
        <f t="shared" si="78"/>
        <v>0.99961732111053003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63.772257871699651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63.866789923601651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63.752513575474076</v>
      </c>
      <c r="AZ173" s="735">
        <f t="shared" si="96"/>
        <v>63.809651749537863</v>
      </c>
      <c r="BA173" s="633">
        <f t="shared" si="93"/>
        <v>0.99961732111053003</v>
      </c>
      <c r="BC173" s="11">
        <v>43259</v>
      </c>
      <c r="BD173" s="289">
        <f>[2]!FeuilCaduc*(1-Persistant)+Persistant</f>
        <v>0.86826668503521454</v>
      </c>
      <c r="BE173" s="290">
        <f>[2]!CroissVégét</f>
        <v>0.4788976222853652</v>
      </c>
      <c r="BF173" s="804">
        <f>1+[2]!Salcycl*Ksac</f>
        <v>1.0368266685035215</v>
      </c>
      <c r="BH173" s="1036">
        <f t="shared" si="94"/>
        <v>3.5239153237845986E-4</v>
      </c>
      <c r="BI173" s="11">
        <v>44355</v>
      </c>
      <c r="BJ173" s="715">
        <v>1.3185440367785097E-7</v>
      </c>
      <c r="BK173" s="715">
        <v>1.31854403677851E-7</v>
      </c>
      <c r="BL173" s="715">
        <v>2.5674932400826526E-5</v>
      </c>
      <c r="BM173" s="715">
        <v>1.6144596716665958E-4</v>
      </c>
      <c r="BN173" s="715">
        <v>5.4401613069519829E-4</v>
      </c>
      <c r="BO173" s="716">
        <v>1.3198785921914086E-3</v>
      </c>
      <c r="BP173" s="715">
        <v>2.584891857910067E-3</v>
      </c>
      <c r="BQ173" s="715">
        <v>4.4094986499493656E-3</v>
      </c>
      <c r="BR173" s="715">
        <v>6.8673466972304234E-3</v>
      </c>
      <c r="BS173" s="715">
        <v>1.0052456938213541E-2</v>
      </c>
      <c r="BT173" s="715">
        <v>1.3757815478806508E-2</v>
      </c>
      <c r="BW173" s="1190">
        <f>'2019'!R\Max</f>
        <v>0.99961732111053003</v>
      </c>
      <c r="BX173" s="1190">
        <f>'2020'!R\Max</f>
        <v>0.6600961714695408</v>
      </c>
      <c r="BY173" s="1190">
        <f>'2021'!R\Max</f>
        <v>0.97559226466210336</v>
      </c>
      <c r="BZ173" s="1190">
        <f>'2022'!R\Max</f>
        <v>0.36126718448389389</v>
      </c>
      <c r="CA173" s="1190">
        <f>'2023'!R\Max</f>
        <v>0.36125185403916327</v>
      </c>
      <c r="CB173" s="1190">
        <f>'2024'!R\Max</f>
        <v>0.36123328777534963</v>
      </c>
      <c r="CC173" s="1190">
        <f>'2025'!R\Max</f>
        <v>0.3612111752896916</v>
      </c>
      <c r="CD173" s="1190">
        <f>'2026'!R\Max</f>
        <v>0.3612959596097885</v>
      </c>
      <c r="CE173" s="1191">
        <f>'2027'!R\Max</f>
        <v>0.36128928755673656</v>
      </c>
      <c r="CF173" s="1193">
        <f>'2028'!R\Max</f>
        <v>0.36127988515874687</v>
      </c>
    </row>
    <row r="174" spans="1:84" s="6" customFormat="1" ht="11.25" x14ac:dyDescent="0.2">
      <c r="A174" s="11">
        <v>43260</v>
      </c>
      <c r="B174" s="379">
        <f>'2022'!Maxi_hp</f>
        <v>60.451525350346095</v>
      </c>
      <c r="C174" s="13">
        <f>'2022'!An_max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63.732924781313969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63.827763265930116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63.71927711343659</v>
      </c>
      <c r="AZ174" s="735">
        <f t="shared" si="96"/>
        <v>63.773520189683353</v>
      </c>
      <c r="BA174" s="633">
        <f t="shared" si="93"/>
        <v>0.94851327720754541</v>
      </c>
      <c r="BC174" s="11">
        <v>43260</v>
      </c>
      <c r="BD174" s="289">
        <f>[2]!FeuilCaduc*(1-Persistant)+Persistant</f>
        <v>0.87451047728410136</v>
      </c>
      <c r="BE174" s="290">
        <f>[2]!CroissVégét</f>
        <v>0.48917917157397695</v>
      </c>
      <c r="BF174" s="804">
        <f>1+[2]!Salcycl*Ksac</f>
        <v>1.0374510477284102</v>
      </c>
      <c r="BH174" s="1036">
        <f t="shared" si="94"/>
        <v>3.4185954098006236E-4</v>
      </c>
      <c r="BI174" s="11">
        <v>44356</v>
      </c>
      <c r="BJ174" s="715">
        <v>1.3118780914049023E-7</v>
      </c>
      <c r="BK174" s="715">
        <v>1.3118780914049023E-7</v>
      </c>
      <c r="BL174" s="715">
        <v>2.4385168261605205E-5</v>
      </c>
      <c r="BM174" s="715">
        <v>1.5550604468945705E-4</v>
      </c>
      <c r="BN174" s="715">
        <v>5.2887574024081487E-4</v>
      </c>
      <c r="BO174" s="716">
        <v>1.290949689368042E-3</v>
      </c>
      <c r="BP174" s="715">
        <v>2.5399570099906028E-3</v>
      </c>
      <c r="BQ174" s="715">
        <v>4.3435305163038321E-3</v>
      </c>
      <c r="BR174" s="715">
        <v>6.7764812428685985E-3</v>
      </c>
      <c r="BS174" s="715">
        <v>9.9300847175810801E-3</v>
      </c>
      <c r="BT174" s="715">
        <v>1.3601326203097825E-2</v>
      </c>
      <c r="BW174" s="1190">
        <f>'2019'!R\Max</f>
        <v>0.82027988600165169</v>
      </c>
      <c r="BX174" s="1190">
        <f>'2020'!R\Max</f>
        <v>0.70568040124400855</v>
      </c>
      <c r="BY174" s="1190">
        <f>'2021'!R\Max</f>
        <v>0.94851327720754541</v>
      </c>
      <c r="BZ174" s="1190">
        <f>'2022'!R\Max</f>
        <v>0.78770645510986492</v>
      </c>
      <c r="CA174" s="1190">
        <f>'2023'!R\Max</f>
        <v>0.78769539982197201</v>
      </c>
      <c r="CB174" s="1190">
        <f>'2024'!R\Max</f>
        <v>0.78768195109943551</v>
      </c>
      <c r="CC174" s="1190">
        <f>'2025'!R\Max</f>
        <v>0.78766598469175653</v>
      </c>
      <c r="CD174" s="1190">
        <f>'2026'!R\Max</f>
        <v>0.78772719139125724</v>
      </c>
      <c r="CE174" s="1191">
        <f>'2027'!R\Max</f>
        <v>0.7877223822880296</v>
      </c>
      <c r="CF174" s="1193">
        <f>'2028'!R\Max</f>
        <v>0.78771563768522557</v>
      </c>
    </row>
    <row r="175" spans="1:84" s="6" customFormat="1" ht="11.25" x14ac:dyDescent="0.2">
      <c r="A175" s="11">
        <v>43261</v>
      </c>
      <c r="B175" s="379">
        <f>'2022'!Maxi_hp</f>
        <v>62.637503037871667</v>
      </c>
      <c r="C175" s="13">
        <f>'2022'!An_max</f>
        <v>2022</v>
      </c>
      <c r="D175" s="1045">
        <f t="shared" si="78"/>
        <v>0.9834248815216845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63.693225801802647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63.78591926028021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63.686205302511475</v>
      </c>
      <c r="AZ175" s="735">
        <f t="shared" si="96"/>
        <v>63.736062281395846</v>
      </c>
      <c r="BA175" s="633">
        <f t="shared" si="93"/>
        <v>0.9834248815216845</v>
      </c>
      <c r="BC175" s="11">
        <v>43261</v>
      </c>
      <c r="BD175" s="289">
        <f>[2]!FeuilCaduc*(1-Persistant)+Persistant</f>
        <v>0.8806281029257399</v>
      </c>
      <c r="BE175" s="290">
        <f>[2]!CroissVégét</f>
        <v>0.499469404196</v>
      </c>
      <c r="BF175" s="804">
        <f>1+[2]!Salcycl*Ksac</f>
        <v>1.038062810292574</v>
      </c>
      <c r="BH175" s="1036">
        <f t="shared" si="94"/>
        <v>3.3203784084420311E-4</v>
      </c>
      <c r="BI175" s="11">
        <v>44357</v>
      </c>
      <c r="BJ175" s="715">
        <v>1.2870578206354578E-7</v>
      </c>
      <c r="BK175" s="715">
        <v>1.2870578206354581E-7</v>
      </c>
      <c r="BL175" s="715">
        <v>2.3201341539924635E-5</v>
      </c>
      <c r="BM175" s="715">
        <v>1.5004068949584076E-4</v>
      </c>
      <c r="BN175" s="715">
        <v>5.1468220330025936E-4</v>
      </c>
      <c r="BO175" s="716">
        <v>1.2637154776965404E-3</v>
      </c>
      <c r="BP175" s="715">
        <v>2.4975588637294209E-3</v>
      </c>
      <c r="BQ175" s="715">
        <v>4.2813240358192629E-3</v>
      </c>
      <c r="BR175" s="715">
        <v>6.690917969902792E-3</v>
      </c>
      <c r="BS175" s="715">
        <v>9.8146979594965923E-3</v>
      </c>
      <c r="BT175" s="715">
        <v>1.3453516876529853E-2</v>
      </c>
      <c r="BW175" s="1190">
        <f>'2019'!R\Max</f>
        <v>0.33255877065050149</v>
      </c>
      <c r="BX175" s="1190">
        <f>'2020'!R\Max</f>
        <v>0.39795093683587696</v>
      </c>
      <c r="BY175" s="1190">
        <f>'2021'!R\Max</f>
        <v>0.94858004486334047</v>
      </c>
      <c r="BZ175" s="1190">
        <f>'2022'!R\Max</f>
        <v>0.9834248815216845</v>
      </c>
      <c r="CA175" s="1190">
        <f>'2023'!R\Max</f>
        <v>0.98342380885372216</v>
      </c>
      <c r="CB175" s="1190">
        <f>'2024'!R\Max</f>
        <v>0.98342249811426363</v>
      </c>
      <c r="CC175" s="1190">
        <f>'2025'!R\Max</f>
        <v>0.98342094701905169</v>
      </c>
      <c r="CD175" s="1190">
        <f>'2026'!R\Max</f>
        <v>0.98342689257655724</v>
      </c>
      <c r="CE175" s="1191">
        <f>'2027'!R\Max</f>
        <v>0.98342642604017827</v>
      </c>
      <c r="CF175" s="1193">
        <f>'2028'!R\Max</f>
        <v>0.98342577494803263</v>
      </c>
    </row>
    <row r="176" spans="1:84" s="6" customFormat="1" ht="11.25" x14ac:dyDescent="0.2">
      <c r="A176" s="11">
        <v>43262</v>
      </c>
      <c r="B176" s="379">
        <f>'2022'!Maxi_hp</f>
        <v>60.537141760881475</v>
      </c>
      <c r="C176" s="13">
        <f>'2022'!An_max</f>
        <v>2022</v>
      </c>
      <c r="D176" s="1045" t="str">
        <f t="shared" si="78"/>
        <v/>
      </c>
      <c r="E176" s="1040">
        <f>Y$13/10</f>
        <v>63.653600000000004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63.653600000217558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63.741450000554323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63.653599999845028</v>
      </c>
      <c r="AZ176" s="735">
        <f t="shared" si="96"/>
        <v>63.697525000199676</v>
      </c>
      <c r="BA176" s="633">
        <f t="shared" si="93"/>
        <v>0.95104034588262987</v>
      </c>
      <c r="BC176" s="11">
        <v>43262</v>
      </c>
      <c r="BD176" s="289">
        <f>[2]!FeuilCaduc*(1-Persistant)+Persistant</f>
        <v>0.88661312758207367</v>
      </c>
      <c r="BE176" s="290">
        <f>[2]!CroissVégét</f>
        <v>0.50975963681802305</v>
      </c>
      <c r="BF176" s="804">
        <f>1+[2]!Salcycl*Ksac</f>
        <v>1.0386613127582074</v>
      </c>
      <c r="BH176" s="1036">
        <f t="shared" si="94"/>
        <v>3.2292550058644946E-4</v>
      </c>
      <c r="BI176" s="11">
        <v>44358</v>
      </c>
      <c r="BJ176" s="715">
        <v>1.2441193706854746E-7</v>
      </c>
      <c r="BK176" s="715">
        <v>1.2441193706854746E-7</v>
      </c>
      <c r="BL176" s="715">
        <v>2.2123278445322641E-5</v>
      </c>
      <c r="BM176" s="715">
        <v>1.4504918532650413E-4</v>
      </c>
      <c r="BN176" s="715">
        <v>5.0143437259895379E-4</v>
      </c>
      <c r="BO176" s="716">
        <v>1.2381743641541305E-3</v>
      </c>
      <c r="BP176" s="715">
        <v>2.4576958547764334E-3</v>
      </c>
      <c r="BQ176" s="715">
        <v>4.2228776785722E-3</v>
      </c>
      <c r="BR176" s="715">
        <v>6.6106556238991511E-3</v>
      </c>
      <c r="BS176" s="715">
        <v>9.7062963643771583E-3</v>
      </c>
      <c r="BT176" s="715">
        <v>1.3314388825881551E-2</v>
      </c>
      <c r="BW176" s="1190">
        <f>'2019'!R\Max</f>
        <v>0.51675405726615498</v>
      </c>
      <c r="BX176" s="1190">
        <f>'2020'!R\Max</f>
        <v>0.6826933039869626</v>
      </c>
      <c r="BY176" s="1190">
        <f>'2021'!R\Max</f>
        <v>0.78687597407643406</v>
      </c>
      <c r="BZ176" s="1190">
        <f>'2022'!R\Max</f>
        <v>0.95104034588262987</v>
      </c>
      <c r="CA176" s="1190">
        <f>'2023'!R\Max</f>
        <v>0.9510372948631608</v>
      </c>
      <c r="CB176" s="1190">
        <f>'2024'!R\Max</f>
        <v>0.95103355001743772</v>
      </c>
      <c r="CC176" s="1190">
        <f>'2025'!R\Max</f>
        <v>0.95102913293206448</v>
      </c>
      <c r="CD176" s="1190">
        <f>'2026'!R\Max</f>
        <v>0.9510460646744453</v>
      </c>
      <c r="CE176" s="1191">
        <f>'2027'!R\Max</f>
        <v>0.95104473747747498</v>
      </c>
      <c r="CF176" s="1193">
        <f>'2028'!R\Max</f>
        <v>0.95104289454640345</v>
      </c>
    </row>
    <row r="177" spans="1:84" s="6" customFormat="1" ht="11.25" x14ac:dyDescent="0.2">
      <c r="A177" s="11">
        <v>43263</v>
      </c>
      <c r="B177" s="379">
        <f>'2022'!Maxi_hp</f>
        <v>56.41651381708197</v>
      </c>
      <c r="C177" s="13">
        <f>'2022'!An_max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63.613388775475322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63.694547576796523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63.620180594342365</v>
      </c>
      <c r="AZ177" s="735">
        <f t="shared" si="96"/>
        <v>63.657364085569441</v>
      </c>
      <c r="BA177" s="633">
        <f t="shared" si="93"/>
        <v>0.88686540527191748</v>
      </c>
      <c r="BC177" s="11">
        <v>43263</v>
      </c>
      <c r="BD177" s="289">
        <f>[2]!FeuilCaduc*(1-Persistant)+Persistant</f>
        <v>0.89245950612421099</v>
      </c>
      <c r="BE177" s="290">
        <f>[2]!CroissVégét</f>
        <v>0.52004118610663486</v>
      </c>
      <c r="BF177" s="804">
        <f>1+[2]!Salcycl*Ksac</f>
        <v>1.0392459506124212</v>
      </c>
      <c r="BH177" s="1036">
        <f t="shared" si="94"/>
        <v>3.1452155065311274E-4</v>
      </c>
      <c r="BI177" s="11">
        <v>44359</v>
      </c>
      <c r="BJ177" s="715">
        <v>1.1830983924388682E-7</v>
      </c>
      <c r="BK177" s="715">
        <v>1.1830983924388682E-7</v>
      </c>
      <c r="BL177" s="715">
        <v>2.1150800937008057E-5</v>
      </c>
      <c r="BM177" s="715">
        <v>1.405307961556066E-4</v>
      </c>
      <c r="BN177" s="715">
        <v>4.8913104422489866E-4</v>
      </c>
      <c r="BO177" s="716">
        <v>1.2143246455394853E-3</v>
      </c>
      <c r="BP177" s="715">
        <v>2.4203662470347366E-3</v>
      </c>
      <c r="BQ177" s="715">
        <v>4.1681896655667607E-3</v>
      </c>
      <c r="BR177" s="715">
        <v>6.5356926131534647E-3</v>
      </c>
      <c r="BS177" s="715">
        <v>9.6048791772183669E-3</v>
      </c>
      <c r="BT177" s="715">
        <v>1.3183942792175501E-2</v>
      </c>
      <c r="BW177" s="1190">
        <f>'2019'!R\Max</f>
        <v>0.88686540527191748</v>
      </c>
      <c r="BX177" s="1190">
        <f>'2020'!R\Max</f>
        <v>0.4491890064218968</v>
      </c>
      <c r="BY177" s="1190">
        <f>'2021'!R\Max</f>
        <v>0.78198618427501065</v>
      </c>
      <c r="BZ177" s="1190">
        <f>'2022'!R\Max</f>
        <v>0.73876815404521834</v>
      </c>
      <c r="CA177" s="1190">
        <f>'2023'!R\Max</f>
        <v>0.73875555790600067</v>
      </c>
      <c r="CB177" s="1190">
        <f>'2024'!R\Max</f>
        <v>0.73874002817971807</v>
      </c>
      <c r="CC177" s="1190">
        <f>'2025'!R\Max</f>
        <v>0.73872177099331893</v>
      </c>
      <c r="CD177" s="1190">
        <f>'2026'!R\Max</f>
        <v>0.73879176426322257</v>
      </c>
      <c r="CE177" s="1191">
        <f>'2027'!R\Max</f>
        <v>0.73878628220431142</v>
      </c>
      <c r="CF177" s="1193">
        <f>'2028'!R\Max</f>
        <v>0.73877870884842445</v>
      </c>
    </row>
    <row r="178" spans="1:84" s="6" customFormat="1" ht="11.25" x14ac:dyDescent="0.2">
      <c r="A178" s="11">
        <v>43264</v>
      </c>
      <c r="B178" s="379">
        <f>'2022'!Maxi_hp</f>
        <v>64.279104061315721</v>
      </c>
      <c r="C178" s="13">
        <f>'2022'!An_max</f>
        <v>2018</v>
      </c>
      <c r="D178" s="1045">
        <f t="shared" si="78"/>
        <v>1.0111285981565341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63.571640816517174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63.64540408173842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63.584483527325631</v>
      </c>
      <c r="AZ178" s="735">
        <f t="shared" si="96"/>
        <v>63.614943804532025</v>
      </c>
      <c r="BA178" s="633">
        <f t="shared" si="93"/>
        <v>1.0111285981565341</v>
      </c>
      <c r="BC178" s="11">
        <v>43264</v>
      </c>
      <c r="BD178" s="289">
        <f>[2]!FeuilCaduc*(1-Persistant)+Persistant</f>
        <v>0.89816160567750636</v>
      </c>
      <c r="BE178" s="290">
        <f>[2]!CroissVégét</f>
        <v>0.53030539801316789</v>
      </c>
      <c r="BF178" s="804">
        <f>1+[2]!Salcycl*Ksac</f>
        <v>1.0398161605677507</v>
      </c>
      <c r="BH178" s="1036">
        <f t="shared" si="94"/>
        <v>3.0717208226600909E-4</v>
      </c>
      <c r="BI178" s="11">
        <v>44360</v>
      </c>
      <c r="BJ178" s="715">
        <v>1.1130945897328216E-7</v>
      </c>
      <c r="BK178" s="715">
        <v>1.1130945897328219E-7</v>
      </c>
      <c r="BL178" s="715">
        <v>2.0323868635874453E-5</v>
      </c>
      <c r="BM178" s="715">
        <v>1.3666830667668763E-4</v>
      </c>
      <c r="BN178" s="715">
        <v>4.7828219667243616E-4</v>
      </c>
      <c r="BO178" s="716">
        <v>1.1931142833941045E-3</v>
      </c>
      <c r="BP178" s="715">
        <v>2.3870370213534501E-3</v>
      </c>
      <c r="BQ178" s="715">
        <v>4.1193861435955461E-3</v>
      </c>
      <c r="BR178" s="715">
        <v>6.468907027161898E-3</v>
      </c>
      <c r="BS178" s="715">
        <v>9.5143598476003666E-3</v>
      </c>
      <c r="BT178" s="715">
        <v>1.3067271298774856E-2</v>
      </c>
      <c r="BW178" s="1190">
        <f>'2019'!R\Max</f>
        <v>1.0111285981565341</v>
      </c>
      <c r="BX178" s="1190">
        <f>'2020'!R\Max</f>
        <v>0.91957328642921243</v>
      </c>
      <c r="BY178" s="1190">
        <f>'2021'!R\Max</f>
        <v>0.94380070168548624</v>
      </c>
      <c r="BZ178" s="1190">
        <f>'2022'!R\Max</f>
        <v>0.92979571261186167</v>
      </c>
      <c r="CA178" s="1190">
        <f>'2023'!R\Max</f>
        <v>0.92979146519714351</v>
      </c>
      <c r="CB178" s="1190">
        <f>'2024'!R\Max</f>
        <v>0.92978620491831621</v>
      </c>
      <c r="CC178" s="1190">
        <f>'2025'!R\Max</f>
        <v>0.92978004079140986</v>
      </c>
      <c r="CD178" s="1190">
        <f>'2026'!R\Max</f>
        <v>0.92980367634626038</v>
      </c>
      <c r="CE178" s="1191">
        <f>'2027'!R\Max</f>
        <v>0.92980182597923888</v>
      </c>
      <c r="CF178" s="1193">
        <f>'2028'!R\Max</f>
        <v>0.92979928328520367</v>
      </c>
    </row>
    <row r="179" spans="1:84" s="6" customFormat="1" ht="11.25" x14ac:dyDescent="0.2">
      <c r="A179" s="11">
        <v>43265</v>
      </c>
      <c r="B179" s="379">
        <f>'2022'!Maxi_hp</f>
        <v>56.161235442538548</v>
      </c>
      <c r="C179" s="13">
        <f>'2022'!An_max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63.528356122784317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63.594211607359888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63.546536242582704</v>
      </c>
      <c r="AZ179" s="735">
        <f t="shared" si="96"/>
        <v>63.570373924971292</v>
      </c>
      <c r="BA179" s="633">
        <f t="shared" si="93"/>
        <v>0.88403413640977924</v>
      </c>
      <c r="BC179" s="11">
        <v>43265</v>
      </c>
      <c r="BD179" s="289">
        <f>[2]!FeuilCaduc*(1-Persistant)+Persistant</f>
        <v>0.90371422657142475</v>
      </c>
      <c r="BE179" s="290">
        <f>[2]!CroissVégét</f>
        <v>0.54054367684881977</v>
      </c>
      <c r="BF179" s="804">
        <f>1+[2]!Salcycl*Ksac</f>
        <v>1.0403714226571426</v>
      </c>
      <c r="BH179" s="1036">
        <f t="shared" si="94"/>
        <v>3.0056267062558771E-4</v>
      </c>
      <c r="BI179" s="11">
        <v>44361</v>
      </c>
      <c r="BJ179" s="715">
        <v>1.0426428705473088E-7</v>
      </c>
      <c r="BK179" s="715">
        <v>1.0426428705473091E-7</v>
      </c>
      <c r="BL179" s="715">
        <v>1.9580143041936076E-5</v>
      </c>
      <c r="BM179" s="715">
        <v>1.3319566943688336E-4</v>
      </c>
      <c r="BN179" s="715">
        <v>4.6852485575771225E-4</v>
      </c>
      <c r="BO179" s="716">
        <v>1.1740790318549017E-3</v>
      </c>
      <c r="BP179" s="715">
        <v>2.3571071569105308E-3</v>
      </c>
      <c r="BQ179" s="715">
        <v>4.0755296882269091E-3</v>
      </c>
      <c r="BR179" s="715">
        <v>6.4088532884957186E-3</v>
      </c>
      <c r="BS179" s="715">
        <v>9.4328770430819105E-3</v>
      </c>
      <c r="BT179" s="715">
        <v>1.2962106482397354E-2</v>
      </c>
      <c r="BW179" s="1190">
        <f>'2019'!R\Max</f>
        <v>0.40914310772389823</v>
      </c>
      <c r="BX179" s="1190">
        <f>'2020'!R\Max</f>
        <v>0.68304345073138917</v>
      </c>
      <c r="BY179" s="1190">
        <f>'2021'!R\Max</f>
        <v>0.88403413640977924</v>
      </c>
      <c r="BZ179" s="1190">
        <f>'2022'!R\Max</f>
        <v>0.82719534002380135</v>
      </c>
      <c r="CA179" s="1190">
        <f>'2023'!R\Max</f>
        <v>0.82718606050725174</v>
      </c>
      <c r="CB179" s="1190">
        <f>'2024'!R\Max</f>
        <v>0.82717451751379922</v>
      </c>
      <c r="CC179" s="1190">
        <f>'2025'!R\Max</f>
        <v>0.82716103615480763</v>
      </c>
      <c r="CD179" s="1190">
        <f>'2026'!R\Max</f>
        <v>0.8272127509870969</v>
      </c>
      <c r="CE179" s="1191">
        <f>'2027'!R\Max</f>
        <v>0.82720870185608997</v>
      </c>
      <c r="CF179" s="1193">
        <f>'2028'!R\Max</f>
        <v>0.82720316820413164</v>
      </c>
    </row>
    <row r="180" spans="1:84" s="6" customFormat="1" ht="11.25" x14ac:dyDescent="0.2">
      <c r="A180" s="11">
        <v>43266</v>
      </c>
      <c r="B180" s="379">
        <f>'2022'!Maxi_hp</f>
        <v>59.248417323391159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63.483534693904218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63.541162245308179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63.506366180761589</v>
      </c>
      <c r="AZ180" s="735">
        <f t="shared" si="96"/>
        <v>63.52376421303488</v>
      </c>
      <c r="BA180" s="633">
        <f t="shared" si="93"/>
        <v>0.93328794007874105</v>
      </c>
      <c r="BC180" s="11">
        <v>43266</v>
      </c>
      <c r="BD180" s="289">
        <f>[2]!FeuilCaduc*(1-Persistant)+Persistant</f>
        <v>0.90911262107710678</v>
      </c>
      <c r="BE180" s="290">
        <f>[2]!CroissVégét</f>
        <v>0.55074751394309984</v>
      </c>
      <c r="BF180" s="804">
        <f>1+[2]!Salcycl*Ksac</f>
        <v>1.0409112621077106</v>
      </c>
      <c r="BH180" s="1036">
        <f t="shared" si="94"/>
        <v>2.9469223492365848E-4</v>
      </c>
      <c r="BI180" s="11">
        <v>44362</v>
      </c>
      <c r="BJ180" s="715">
        <v>9.717440968405041E-8</v>
      </c>
      <c r="BK180" s="715">
        <v>9.7174409684050396E-8</v>
      </c>
      <c r="BL180" s="715">
        <v>1.8919482918079362E-5</v>
      </c>
      <c r="BM180" s="715">
        <v>1.3011228041035153E-4</v>
      </c>
      <c r="BN180" s="715">
        <v>4.5985746219467401E-4</v>
      </c>
      <c r="BO180" s="716">
        <v>1.1572161251688065E-3</v>
      </c>
      <c r="BP180" s="715">
        <v>2.3305730516884602E-3</v>
      </c>
      <c r="BQ180" s="715">
        <v>4.0366159461179864E-3</v>
      </c>
      <c r="BR180" s="715">
        <v>6.3555266622527728E-3</v>
      </c>
      <c r="BS180" s="715">
        <v>9.3604255410494591E-3</v>
      </c>
      <c r="BT180" s="715">
        <v>1.2868442982835526E-2</v>
      </c>
      <c r="BW180" s="1190">
        <f>'2019'!R\Max</f>
        <v>0.40452972299341117</v>
      </c>
      <c r="BX180" s="1190">
        <f>'2020'!R\Max</f>
        <v>0.78037991253569805</v>
      </c>
      <c r="BY180" s="1190">
        <f>'2021'!R\Max</f>
        <v>0.8567228182921639</v>
      </c>
      <c r="BZ180" s="1190">
        <f>'2022'!R\Max</f>
        <v>0.93328794007874105</v>
      </c>
      <c r="CA180" s="1190">
        <f>'2023'!R\Max</f>
        <v>0.93328390443376597</v>
      </c>
      <c r="CB180" s="1190">
        <f>'2024'!R\Max</f>
        <v>0.93327886254053827</v>
      </c>
      <c r="CC180" s="1190">
        <f>'2025'!R\Max</f>
        <v>0.93327299358185656</v>
      </c>
      <c r="CD180" s="1190">
        <f>'2026'!R\Max</f>
        <v>0.93329551983423875</v>
      </c>
      <c r="CE180" s="1191">
        <f>'2027'!R\Max</f>
        <v>0.93329375510522539</v>
      </c>
      <c r="CF180" s="1193">
        <f>'2028'!R\Max</f>
        <v>0.93329135693282073</v>
      </c>
    </row>
    <row r="181" spans="1:84" s="6" customFormat="1" ht="11.25" x14ac:dyDescent="0.2">
      <c r="A181" s="11">
        <v>43267</v>
      </c>
      <c r="B181" s="379">
        <f>'2022'!Maxi_hp</f>
        <v>63.760579589282713</v>
      </c>
      <c r="C181" s="13">
        <f>'2022'!An_max</f>
        <v>2018</v>
      </c>
      <c r="D181" s="1045">
        <f t="shared" si="78"/>
        <v>1.0050980052427825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63.437176530741681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63.486448087170722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63.464000783641154</v>
      </c>
      <c r="AZ181" s="735">
        <f t="shared" si="96"/>
        <v>63.475224435405934</v>
      </c>
      <c r="BA181" s="633">
        <f t="shared" si="93"/>
        <v>1.0050980052427825</v>
      </c>
      <c r="BC181" s="11">
        <v>43267</v>
      </c>
      <c r="BD181" s="289">
        <f>[2]!FeuilCaduc*(1-Persistant)+Persistant</f>
        <v>0.91435250979095462</v>
      </c>
      <c r="BE181" s="290">
        <f>[2]!CroissVégét</f>
        <v>0.56090851568364364</v>
      </c>
      <c r="BF181" s="804">
        <f>1+[2]!Salcycl*Ksac</f>
        <v>1.0414352509790954</v>
      </c>
      <c r="BH181" s="1036">
        <f t="shared" si="94"/>
        <v>2.8955969790170382E-4</v>
      </c>
      <c r="BI181" s="11">
        <v>44363</v>
      </c>
      <c r="BJ181" s="715">
        <v>9.003987220869885E-8</v>
      </c>
      <c r="BK181" s="715">
        <v>9.003987220869885E-8</v>
      </c>
      <c r="BL181" s="715">
        <v>1.8341747379843509E-5</v>
      </c>
      <c r="BM181" s="715">
        <v>1.2741753741517039E-4</v>
      </c>
      <c r="BN181" s="715">
        <v>4.5227846195875968E-4</v>
      </c>
      <c r="BO181" s="716">
        <v>1.1425228110478458E-3</v>
      </c>
      <c r="BP181" s="715">
        <v>2.3074311253013075E-3</v>
      </c>
      <c r="BQ181" s="715">
        <v>4.0026405957114186E-3</v>
      </c>
      <c r="BR181" s="715">
        <v>6.3089224573348182E-3</v>
      </c>
      <c r="BS181" s="715">
        <v>9.2970001754174303E-3</v>
      </c>
      <c r="BT181" s="715">
        <v>1.2786275506986411E-2</v>
      </c>
      <c r="BW181" s="1190">
        <f>'2019'!R\Max</f>
        <v>1.0050980052427825</v>
      </c>
      <c r="BX181" s="1190">
        <f>'2020'!R\Max</f>
        <v>0.71990471479323415</v>
      </c>
      <c r="BY181" s="1190">
        <f>'2021'!R\Max</f>
        <v>0.78591566722486272</v>
      </c>
      <c r="BZ181" s="1190">
        <f>'2022'!R\Max</f>
        <v>0.89713453097506002</v>
      </c>
      <c r="CA181" s="1190">
        <f>'2023'!R\Max</f>
        <v>0.89712855382764434</v>
      </c>
      <c r="CB181" s="1190">
        <f>'2024'!R\Max</f>
        <v>0.89712105463881919</v>
      </c>
      <c r="CC181" s="1190">
        <f>'2025'!R\Max</f>
        <v>0.89711235484455953</v>
      </c>
      <c r="CD181" s="1190">
        <f>'2026'!R\Max</f>
        <v>0.89714577320308297</v>
      </c>
      <c r="CE181" s="1191">
        <f>'2027'!R\Max</f>
        <v>0.8971431522196186</v>
      </c>
      <c r="CF181" s="1193">
        <f>'2028'!R\Max</f>
        <v>0.8971396110251314</v>
      </c>
    </row>
    <row r="182" spans="1:84" s="6" customFormat="1" ht="11.25" x14ac:dyDescent="0.2">
      <c r="A182" s="11">
        <v>43268</v>
      </c>
      <c r="B182" s="379">
        <f>'2022'!Maxi_hp</f>
        <v>62.238525909161851</v>
      </c>
      <c r="C182" s="13">
        <f>'2022'!An_max</f>
        <v>2018</v>
      </c>
      <c r="D182" s="1045">
        <f t="shared" si="78"/>
        <v>0.98184620974260184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63.38928163248513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63.430261224800986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63.419467493026914</v>
      </c>
      <c r="AZ182" s="735">
        <f t="shared" si="96"/>
        <v>63.42486435891395</v>
      </c>
      <c r="BA182" s="633">
        <f t="shared" si="93"/>
        <v>0.98184620974260184</v>
      </c>
      <c r="BC182" s="11">
        <v>43268</v>
      </c>
      <c r="BD182" s="289">
        <f>[2]!FeuilCaduc*(1-Persistant)+Persistant</f>
        <v>0.91943009553937594</v>
      </c>
      <c r="BE182" s="290">
        <f>[2]!CroissVégét</f>
        <v>0.57101843074296321</v>
      </c>
      <c r="BF182" s="804">
        <f>1+[2]!Salcycl*Ksac</f>
        <v>1.0419430095539377</v>
      </c>
      <c r="BH182" s="1036">
        <f t="shared" si="94"/>
        <v>2.8516399577072652E-4</v>
      </c>
      <c r="BI182" s="11">
        <v>44364</v>
      </c>
      <c r="BJ182" s="715">
        <v>8.2860678389110048E-8</v>
      </c>
      <c r="BK182" s="715">
        <v>8.2860678389110048E-8</v>
      </c>
      <c r="BL182" s="715">
        <v>1.7846797012155141E-5</v>
      </c>
      <c r="BM182" s="715">
        <v>1.2511084534166508E-4</v>
      </c>
      <c r="BN182" s="715">
        <v>4.4578632091495053E-4</v>
      </c>
      <c r="BO182" s="716">
        <v>1.1299963798021082E-3</v>
      </c>
      <c r="BP182" s="715">
        <v>2.2876778644695169E-3</v>
      </c>
      <c r="BQ182" s="715">
        <v>3.9735994133445933E-3</v>
      </c>
      <c r="BR182" s="715">
        <v>6.2690361163143206E-3</v>
      </c>
      <c r="BS182" s="715">
        <v>9.2425959571631588E-3</v>
      </c>
      <c r="BT182" s="715">
        <v>1.2715598982215666E-2</v>
      </c>
      <c r="BW182" s="1190">
        <f>'2019'!R\Max</f>
        <v>0.98184620974260184</v>
      </c>
      <c r="BX182" s="1190">
        <f>'2020'!R\Max</f>
        <v>0.49863439683507754</v>
      </c>
      <c r="BY182" s="1190">
        <f>'2021'!R\Max</f>
        <v>0.26602980042743141</v>
      </c>
      <c r="BZ182" s="1190">
        <f>'2022'!R\Max</f>
        <v>0.90032100413940097</v>
      </c>
      <c r="CA182" s="1190">
        <f>'2023'!R\Max</f>
        <v>0.90031519116537506</v>
      </c>
      <c r="CB182" s="1190">
        <f>'2024'!R\Max</f>
        <v>0.90030786768257098</v>
      </c>
      <c r="CC182" s="1190">
        <f>'2025'!R\Max</f>
        <v>0.90029940066050784</v>
      </c>
      <c r="CD182" s="1190">
        <f>'2026'!R\Max</f>
        <v>0.9003319571140258</v>
      </c>
      <c r="CE182" s="1191">
        <f>'2027'!R\Max</f>
        <v>0.90032939949850865</v>
      </c>
      <c r="CF182" s="1193">
        <f>'2028'!R\Max</f>
        <v>0.90032596436944345</v>
      </c>
    </row>
    <row r="183" spans="1:84" s="6" customFormat="1" ht="11.25" x14ac:dyDescent="0.2">
      <c r="A183" s="11">
        <v>43269</v>
      </c>
      <c r="B183" s="379">
        <f>'2022'!Maxi_hp</f>
        <v>59.681614719407001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63.339850000012667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63.372793750418353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63.372793749580161</v>
      </c>
      <c r="AZ183" s="735">
        <f t="shared" si="96"/>
        <v>63.372793749999261</v>
      </c>
      <c r="BA183" s="633">
        <f t="shared" si="93"/>
        <v>0.94224433306038879</v>
      </c>
      <c r="BC183" s="11">
        <v>43269</v>
      </c>
      <c r="BD183" s="289">
        <f>[2]!FeuilCaduc*(1-Persistant)+Persistant</f>
        <v>0.92434207469790586</v>
      </c>
      <c r="BE183" s="290">
        <f>[2]!CroissVégét</f>
        <v>0.5810691763075071</v>
      </c>
      <c r="BF183" s="804">
        <f>1+[2]!Salcycl*Ksac</f>
        <v>1.0424342074697905</v>
      </c>
      <c r="BH183" s="1036">
        <f t="shared" si="94"/>
        <v>2.8150408814051357E-4</v>
      </c>
      <c r="BI183" s="11">
        <v>44365</v>
      </c>
      <c r="BJ183" s="715">
        <v>7.5636789663129594E-8</v>
      </c>
      <c r="BK183" s="715">
        <v>7.5636789663129594E-8</v>
      </c>
      <c r="BL183" s="715">
        <v>1.7434494986667505E-5</v>
      </c>
      <c r="BM183" s="715">
        <v>1.2319162138489084E-4</v>
      </c>
      <c r="BN183" s="715">
        <v>4.4037953946051859E-4</v>
      </c>
      <c r="BO183" s="716">
        <v>1.1196341935096707E-3</v>
      </c>
      <c r="BP183" s="715">
        <v>2.2713098685691441E-3</v>
      </c>
      <c r="BQ183" s="715">
        <v>3.9494883394878355E-3</v>
      </c>
      <c r="BR183" s="715">
        <v>6.2358633055042715E-3</v>
      </c>
      <c r="BS183" s="715">
        <v>9.1972081951609431E-3</v>
      </c>
      <c r="BT183" s="715">
        <v>1.2656408710132771E-2</v>
      </c>
      <c r="BW183" s="1190">
        <f>'2019'!R\Max</f>
        <v>0.93616742908075534</v>
      </c>
      <c r="BX183" s="1190">
        <f>'2020'!R\Max</f>
        <v>0.86913018515360152</v>
      </c>
      <c r="BY183" s="1190">
        <f>'2021'!R\Max</f>
        <v>0.72674095638216585</v>
      </c>
      <c r="BZ183" s="1190">
        <f>'2022'!R\Max</f>
        <v>0.94224433306038879</v>
      </c>
      <c r="CA183" s="1190">
        <f>'2023'!R\Max</f>
        <v>0.94224080488082329</v>
      </c>
      <c r="CB183" s="1190">
        <f>'2024'!R\Max</f>
        <v>0.94223634190825789</v>
      </c>
      <c r="CC183" s="1190">
        <f>'2025'!R\Max</f>
        <v>0.94223119971000358</v>
      </c>
      <c r="CD183" s="1190">
        <f>'2026'!R\Max</f>
        <v>0.942250995297645</v>
      </c>
      <c r="CE183" s="1191">
        <f>'2027'!R\Max</f>
        <v>0.94224943674952044</v>
      </c>
      <c r="CF183" s="1193">
        <f>'2028'!R\Max</f>
        <v>0.94224735612664179</v>
      </c>
    </row>
    <row r="184" spans="1:84" s="6" customFormat="1" ht="11.25" x14ac:dyDescent="0.2">
      <c r="A184" s="11">
        <v>43270</v>
      </c>
      <c r="B184" s="379">
        <f>'2022'!Maxi_hp</f>
        <v>61.139288627331723</v>
      </c>
      <c r="C184" s="13">
        <f>'2022'!An_max</f>
        <v>2022</v>
      </c>
      <c r="D184" s="1045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63.288881632765495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63.314237755470515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63.324006996995635</v>
      </c>
      <c r="AZ184" s="735">
        <f t="shared" si="96"/>
        <v>63.319122376233075</v>
      </c>
      <c r="BA184" s="633">
        <f t="shared" si="93"/>
        <v>0.96603521898353628</v>
      </c>
      <c r="BC184" s="11">
        <v>43270</v>
      </c>
      <c r="BD184" s="289">
        <f>[2]!FeuilCaduc*(1-Persistant)+Persistant</f>
        <v>0.92908564583709452</v>
      </c>
      <c r="BE184" s="290">
        <f>[2]!CroissVégét</f>
        <v>0.5910528631363321</v>
      </c>
      <c r="BF184" s="804">
        <f>1+[2]!Salcycl*Ksac</f>
        <v>1.0429085645837095</v>
      </c>
      <c r="BH184" s="1036">
        <f t="shared" si="94"/>
        <v>2.7892482794237552E-4</v>
      </c>
      <c r="BI184" s="11">
        <v>44366</v>
      </c>
      <c r="BJ184" s="715">
        <v>6.9271392908478906E-8</v>
      </c>
      <c r="BK184" s="715">
        <v>6.9271392908478919E-8</v>
      </c>
      <c r="BL184" s="715">
        <v>1.7144706486216419E-5</v>
      </c>
      <c r="BM184" s="715">
        <v>1.2184218429251688E-4</v>
      </c>
      <c r="BN184" s="715">
        <v>4.3656608270808349E-4</v>
      </c>
      <c r="BO184" s="716">
        <v>1.112380103301042E-3</v>
      </c>
      <c r="BP184" s="715">
        <v>2.2597875470919161E-3</v>
      </c>
      <c r="BQ184" s="715">
        <v>3.9324241314551414E-3</v>
      </c>
      <c r="BR184" s="715">
        <v>6.2122697514279497E-3</v>
      </c>
      <c r="BS184" s="715">
        <v>9.1647333176949064E-3</v>
      </c>
      <c r="BT184" s="715">
        <v>1.2613774734985308E-2</v>
      </c>
      <c r="BW184" s="1190">
        <f>'2019'!R\Max</f>
        <v>0.81642237263465034</v>
      </c>
      <c r="BX184" s="1190">
        <f>'2020'!R\Max</f>
        <v>0.74323988030500876</v>
      </c>
      <c r="BY184" s="1190">
        <f>'2021'!R\Max</f>
        <v>0.54606198131528527</v>
      </c>
      <c r="BZ184" s="1190">
        <f>'2022'!R\Max</f>
        <v>0.96603521898353628</v>
      </c>
      <c r="CA184" s="1190">
        <f>'2023'!R\Max</f>
        <v>0.96603308704209223</v>
      </c>
      <c r="CB184" s="1190">
        <f>'2024'!R\Max</f>
        <v>0.96603037975758665</v>
      </c>
      <c r="CC184" s="1190">
        <f>'2025'!R\Max</f>
        <v>0.96602727124142684</v>
      </c>
      <c r="CD184" s="1190">
        <f>'2026'!R\Max</f>
        <v>0.96603925558136083</v>
      </c>
      <c r="CE184" s="1191">
        <f>'2027'!R\Max</f>
        <v>0.9660383091559096</v>
      </c>
      <c r="CF184" s="1193">
        <f>'2028'!R\Max</f>
        <v>0.96603705363892434</v>
      </c>
    </row>
    <row r="185" spans="1:84" s="6" customFormat="1" ht="11.25" x14ac:dyDescent="0.2">
      <c r="A185" s="11">
        <v>43271</v>
      </c>
      <c r="B185" s="379">
        <f>'2022'!Maxi_hp</f>
        <v>56.990075158502776</v>
      </c>
      <c r="C185" s="13">
        <f>'2022'!An_max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63.236376530557344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63.254785332296571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63.273134675562119</v>
      </c>
      <c r="AZ185" s="735">
        <f t="shared" si="96"/>
        <v>63.263960003929341</v>
      </c>
      <c r="BA185" s="633">
        <f t="shared" si="93"/>
        <v>0.90122297141683627</v>
      </c>
      <c r="BC185" s="11">
        <v>43271</v>
      </c>
      <c r="BD185" s="289">
        <f>[2]!FeuilCaduc*(1-Persistant)+Persistant</f>
        <v>0.933658515627666</v>
      </c>
      <c r="BE185" s="290">
        <f>[2]!CroissVégét</f>
        <v>0.60096181929049675</v>
      </c>
      <c r="BF185" s="804">
        <f>1+[2]!Salcycl*Ksac</f>
        <v>1.0433658515627666</v>
      </c>
      <c r="BH185" s="1036">
        <f t="shared" si="94"/>
        <v>2.7704383549676046E-4</v>
      </c>
      <c r="BI185" s="11">
        <v>44367</v>
      </c>
      <c r="BJ185" s="715">
        <v>6.4719613861710055E-8</v>
      </c>
      <c r="BK185" s="715">
        <v>6.4719613861710042E-8</v>
      </c>
      <c r="BL185" s="715">
        <v>1.6935442124867126E-5</v>
      </c>
      <c r="BM185" s="715">
        <v>1.2086158770672848E-4</v>
      </c>
      <c r="BN185" s="715">
        <v>4.3378149245031734E-4</v>
      </c>
      <c r="BO185" s="716">
        <v>1.1070420133603338E-3</v>
      </c>
      <c r="BP185" s="715">
        <v>2.2512366462728883E-3</v>
      </c>
      <c r="BQ185" s="715">
        <v>3.919675021710655E-3</v>
      </c>
      <c r="BR185" s="715">
        <v>6.1945292692134274E-3</v>
      </c>
      <c r="BS185" s="715">
        <v>9.1402251788627441E-3</v>
      </c>
      <c r="BT185" s="715">
        <v>1.2581514784045055E-2</v>
      </c>
      <c r="BW185" s="1190">
        <f>'2019'!R\Max</f>
        <v>0.50427466585731584</v>
      </c>
      <c r="BX185" s="1190">
        <f>'2020'!R\Max</f>
        <v>0.90122297141683627</v>
      </c>
      <c r="BY185" s="1190">
        <f>'2021'!R\Max</f>
        <v>0.58550509841317999</v>
      </c>
      <c r="BZ185" s="1190">
        <f>'2022'!R\Max</f>
        <v>0.54544469211000723</v>
      </c>
      <c r="CA185" s="1190">
        <f>'2023'!R\Max</f>
        <v>0.54542853535064773</v>
      </c>
      <c r="CB185" s="1190">
        <f>'2024'!R\Max</f>
        <v>0.54540794227224576</v>
      </c>
      <c r="CC185" s="1190">
        <f>'2025'!R\Max</f>
        <v>0.54538438096909947</v>
      </c>
      <c r="CD185" s="1190">
        <f>'2026'!R\Max</f>
        <v>0.54547537721092687</v>
      </c>
      <c r="CE185" s="1191">
        <f>'2027'!R\Max</f>
        <v>0.54546816456880831</v>
      </c>
      <c r="CF185" s="1193">
        <f>'2028'!R\Max</f>
        <v>0.54545865820449102</v>
      </c>
    </row>
    <row r="186" spans="1:84" s="6" customFormat="1" ht="11.25" x14ac:dyDescent="0.2">
      <c r="A186" s="11">
        <v>43272</v>
      </c>
      <c r="B186" s="379">
        <f>'2022'!Maxi_hp</f>
        <v>52.195932812822107</v>
      </c>
      <c r="C186" s="13">
        <f>'2022'!An_max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63.182334693893793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63.194628571825362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63.220204227643876</v>
      </c>
      <c r="AZ186" s="735">
        <f t="shared" si="96"/>
        <v>63.207416399734619</v>
      </c>
      <c r="BA186" s="633">
        <f t="shared" si="93"/>
        <v>0.82611592410602297</v>
      </c>
      <c r="BC186" s="11">
        <v>43272</v>
      </c>
      <c r="BD186" s="289">
        <f>[2]!FeuilCaduc*(1-Persistant)+Persistant</f>
        <v>0.93805890195828834</v>
      </c>
      <c r="BE186" s="290">
        <f>[2]!CroissVégét</f>
        <v>0.61078861238975013</v>
      </c>
      <c r="BF186" s="804">
        <f>1+[2]!Salcycl*Ksac</f>
        <v>1.0438058901958289</v>
      </c>
      <c r="BH186" s="1036">
        <f t="shared" si="94"/>
        <v>2.7586027337215608E-4</v>
      </c>
      <c r="BI186" s="11">
        <v>44368</v>
      </c>
      <c r="BJ186" s="715">
        <v>6.1978365456753267E-8</v>
      </c>
      <c r="BK186" s="715">
        <v>6.1978365456753267E-8</v>
      </c>
      <c r="BL186" s="715">
        <v>1.6806584421491993E-5</v>
      </c>
      <c r="BM186" s="715">
        <v>1.2024935379332371E-4</v>
      </c>
      <c r="BN186" s="715">
        <v>4.3202457037961158E-4</v>
      </c>
      <c r="BO186" s="716">
        <v>1.1036181088861703E-3</v>
      </c>
      <c r="BP186" s="715">
        <v>2.2456550958645139E-3</v>
      </c>
      <c r="BQ186" s="715">
        <v>3.9112389096802079E-3</v>
      </c>
      <c r="BR186" s="715">
        <v>6.1826402321259778E-3</v>
      </c>
      <c r="BS186" s="715">
        <v>9.1236825515062254E-3</v>
      </c>
      <c r="BT186" s="715">
        <v>1.2559628205556724E-2</v>
      </c>
      <c r="BW186" s="1190">
        <f>'2019'!R\Max</f>
        <v>0.18198463440656651</v>
      </c>
      <c r="BX186" s="1190">
        <f>'2020'!R\Max</f>
        <v>0.82611592410602297</v>
      </c>
      <c r="BY186" s="1190">
        <f>'2021'!R\Max</f>
        <v>0.57907493587019587</v>
      </c>
      <c r="BZ186" s="1190">
        <f>'2022'!R\Max</f>
        <v>0.3929019276873576</v>
      </c>
      <c r="CA186" s="1190">
        <f>'2023'!R\Max</f>
        <v>0.3928863267996936</v>
      </c>
      <c r="CB186" s="1190">
        <f>'2024'!R\Max</f>
        <v>0.39286637000296565</v>
      </c>
      <c r="CC186" s="1190">
        <f>'2025'!R\Max</f>
        <v>0.39284361646816929</v>
      </c>
      <c r="CD186" s="1190">
        <f>'2026'!R\Max</f>
        <v>0.39293165510120415</v>
      </c>
      <c r="CE186" s="1191">
        <f>'2027'!R\Max</f>
        <v>0.39292464840504215</v>
      </c>
      <c r="CF186" s="1193">
        <f>'2028'!R\Max</f>
        <v>0.39291547423314838</v>
      </c>
    </row>
    <row r="187" spans="1:84" s="6" customFormat="1" ht="11.25" x14ac:dyDescent="0.2">
      <c r="A187" s="11">
        <v>43273</v>
      </c>
      <c r="B187" s="379">
        <f>'2022'!Maxi_hp</f>
        <v>63.676809848065162</v>
      </c>
      <c r="C187" s="13">
        <f>'2022'!An_max</f>
        <v>2020</v>
      </c>
      <c r="D187" s="1045">
        <f t="shared" si="78"/>
        <v>1.0087134799825728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63.126756122229359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63.133959566908217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63.165243094141729</v>
      </c>
      <c r="AZ187" s="735">
        <f t="shared" si="96"/>
        <v>63.149601330524973</v>
      </c>
      <c r="BA187" s="633">
        <f t="shared" si="93"/>
        <v>1.0087134799825728</v>
      </c>
      <c r="BC187" s="11">
        <v>43273</v>
      </c>
      <c r="BD187" s="289">
        <f>[2]!FeuilCaduc*(1-Persistant)+Persistant</f>
        <v>0.94228553424070394</v>
      </c>
      <c r="BE187" s="290">
        <f>[2]!CroissVégét</f>
        <v>0.62052607026992535</v>
      </c>
      <c r="BF187" s="804">
        <f>1+[2]!Salcycl*Ksac</f>
        <v>1.0442285534240705</v>
      </c>
      <c r="BH187" s="1036">
        <f t="shared" si="94"/>
        <v>2.7537336533484786E-4</v>
      </c>
      <c r="BI187" s="11">
        <v>44369</v>
      </c>
      <c r="BJ187" s="715">
        <v>6.1044720453795074E-8</v>
      </c>
      <c r="BK187" s="715">
        <v>6.1044720453795074E-8</v>
      </c>
      <c r="BL187" s="715">
        <v>1.6758022972382305E-5</v>
      </c>
      <c r="BM187" s="715">
        <v>1.2000503707824148E-4</v>
      </c>
      <c r="BN187" s="715">
        <v>4.3129420832636374E-4</v>
      </c>
      <c r="BO187" s="716">
        <v>1.1021067425355483E-3</v>
      </c>
      <c r="BP187" s="715">
        <v>2.2430410846059783E-3</v>
      </c>
      <c r="BQ187" s="715">
        <v>3.9071140700195732E-3</v>
      </c>
      <c r="BR187" s="715">
        <v>6.176601521223981E-3</v>
      </c>
      <c r="BS187" s="715">
        <v>9.1151048986862337E-3</v>
      </c>
      <c r="BT187" s="715">
        <v>1.2548115245636076E-2</v>
      </c>
      <c r="BW187" s="1190">
        <f>'2019'!R\Max</f>
        <v>0.87985854677364961</v>
      </c>
      <c r="BX187" s="1190">
        <f>'2020'!R\Max</f>
        <v>1.0087134799825728</v>
      </c>
      <c r="BY187" s="1190">
        <f>'2021'!R\Max</f>
        <v>0.6520784438514321</v>
      </c>
      <c r="BZ187" s="1190">
        <f>'2022'!R\Max</f>
        <v>0.76178429435906647</v>
      </c>
      <c r="CA187" s="1190">
        <f>'2023'!R\Max</f>
        <v>0.76177237275915333</v>
      </c>
      <c r="CB187" s="1190">
        <f>'2024'!R\Max</f>
        <v>0.76175706784477626</v>
      </c>
      <c r="CC187" s="1190">
        <f>'2025'!R\Max</f>
        <v>0.76173967732815606</v>
      </c>
      <c r="CD187" s="1190">
        <f>'2026'!R\Max</f>
        <v>0.76180709008586256</v>
      </c>
      <c r="CE187" s="1191">
        <f>'2027'!R\Max</f>
        <v>0.76180170145702675</v>
      </c>
      <c r="CF187" s="1193">
        <f>'2028'!R\Max</f>
        <v>0.76179469285900747</v>
      </c>
    </row>
    <row r="188" spans="1:84" s="6" customFormat="1" ht="11.25" x14ac:dyDescent="0.2">
      <c r="A188" s="11">
        <v>43274</v>
      </c>
      <c r="B188" s="379">
        <f>'2022'!Maxi_hp</f>
        <v>54.409239843799597</v>
      </c>
      <c r="C188" s="13">
        <f>'2022'!An_max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63.069640816189349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63.072970408573745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63.108278717020788</v>
      </c>
      <c r="AZ188" s="735">
        <f t="shared" si="96"/>
        <v>63.090624562797267</v>
      </c>
      <c r="BA188" s="633">
        <f t="shared" si="93"/>
        <v>0.86268510712420743</v>
      </c>
      <c r="BC188" s="11">
        <v>43274</v>
      </c>
      <c r="BD188" s="289">
        <f>[2]!FeuilCaduc*(1-Persistant)+Persistant</f>
        <v>0.94633765089871835</v>
      </c>
      <c r="BE188" s="290">
        <f>[2]!CroissVégét</f>
        <v>0.6301672999323692</v>
      </c>
      <c r="BF188" s="804">
        <f>1+[2]!Salcycl*Ksac</f>
        <v>1.0446337650898718</v>
      </c>
      <c r="BH188" s="1036">
        <f t="shared" si="94"/>
        <v>2.7557958768152261E-4</v>
      </c>
      <c r="BI188" s="11">
        <v>44370</v>
      </c>
      <c r="BJ188" s="715">
        <v>6.1915302950144722E-8</v>
      </c>
      <c r="BK188" s="715">
        <v>6.1915302950144722E-8</v>
      </c>
      <c r="BL188" s="715">
        <v>1.6789483852070116E-5</v>
      </c>
      <c r="BM188" s="715">
        <v>1.2012700100759955E-4</v>
      </c>
      <c r="BN188" s="715">
        <v>4.3158498872682306E-4</v>
      </c>
      <c r="BO188" s="716">
        <v>1.1024951860118409E-3</v>
      </c>
      <c r="BP188" s="715">
        <v>2.2433701592050868E-3</v>
      </c>
      <c r="BQ188" s="715">
        <v>3.9072592543961159E-3</v>
      </c>
      <c r="BR188" s="715">
        <v>6.1763494435964099E-3</v>
      </c>
      <c r="BS188" s="715">
        <v>9.1143992752055585E-3</v>
      </c>
      <c r="BT188" s="715">
        <v>1.2546848881176725E-2</v>
      </c>
      <c r="BW188" s="1190">
        <f>'2019'!R\Max</f>
        <v>0.86268510712420743</v>
      </c>
      <c r="BX188" s="1190">
        <f>'2020'!R\Max</f>
        <v>0.81716306436961195</v>
      </c>
      <c r="BY188" s="1190">
        <f>'2021'!R\Max</f>
        <v>0.34875135119521528</v>
      </c>
      <c r="BZ188" s="1190">
        <f>'2022'!R\Max</f>
        <v>0.7192763530760673</v>
      </c>
      <c r="CA188" s="1190">
        <f>'2023'!R\Max</f>
        <v>0.71926301970044704</v>
      </c>
      <c r="CB188" s="1190">
        <f>'2024'!R\Max</f>
        <v>0.7192458442225258</v>
      </c>
      <c r="CC188" s="1190">
        <f>'2025'!R\Max</f>
        <v>0.71922639568372737</v>
      </c>
      <c r="CD188" s="1190">
        <f>'2026'!R\Max</f>
        <v>0.71930194598166719</v>
      </c>
      <c r="CE188" s="1191">
        <f>'2027'!R\Max</f>
        <v>0.71929587684406904</v>
      </c>
      <c r="CF188" s="1193">
        <f>'2028'!R\Max</f>
        <v>0.71928803665955587</v>
      </c>
    </row>
    <row r="189" spans="1:84" s="6" customFormat="1" ht="11.25" x14ac:dyDescent="0.2">
      <c r="A189" s="11">
        <v>43275</v>
      </c>
      <c r="B189" s="379">
        <f>'2022'!Maxi_hp</f>
        <v>62.441537989908561</v>
      </c>
      <c r="C189" s="13">
        <f>'2022'!An_max</f>
        <v>2020</v>
      </c>
      <c r="D189" s="1045">
        <f t="shared" si="78"/>
        <v>0.99096267497489066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63.010988775627425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63.011853189440444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63.049338538632057</v>
      </c>
      <c r="AZ189" s="735">
        <f t="shared" si="96"/>
        <v>63.03059586403625</v>
      </c>
      <c r="BA189" s="633">
        <f t="shared" si="93"/>
        <v>0.99096267497489066</v>
      </c>
      <c r="BC189" s="11">
        <v>43275</v>
      </c>
      <c r="BD189" s="289">
        <f>[2]!FeuilCaduc*(1-Persistant)+Persistant</f>
        <v>0.95021499405944543</v>
      </c>
      <c r="BE189" s="290">
        <f>[2]!CroissVégét</f>
        <v>0.63970570469545396</v>
      </c>
      <c r="BF189" s="804">
        <f>1+[2]!Salcycl*Ksac</f>
        <v>1.0450214994059446</v>
      </c>
      <c r="BH189" s="1036">
        <f t="shared" si="94"/>
        <v>2.7647531017817447E-4</v>
      </c>
      <c r="BI189" s="11">
        <v>44371</v>
      </c>
      <c r="BJ189" s="715">
        <v>6.4586801886220636E-8</v>
      </c>
      <c r="BK189" s="715">
        <v>6.4586801886220649E-8</v>
      </c>
      <c r="BL189" s="715">
        <v>1.6900688680120107E-5</v>
      </c>
      <c r="BM189" s="715">
        <v>1.2061356604426278E-4</v>
      </c>
      <c r="BN189" s="715">
        <v>4.328913237131216E-4</v>
      </c>
      <c r="BO189" s="716">
        <v>1.1047702378046526E-3</v>
      </c>
      <c r="BP189" s="715">
        <v>2.2466168537796168E-3</v>
      </c>
      <c r="BQ189" s="715">
        <v>3.9116314047629025E-3</v>
      </c>
      <c r="BR189" s="715">
        <v>6.1818173937805906E-3</v>
      </c>
      <c r="BS189" s="715">
        <v>9.1214684018983902E-3</v>
      </c>
      <c r="BT189" s="715">
        <v>1.2555696091172611E-2</v>
      </c>
      <c r="BW189" s="1190">
        <f>'2019'!R\Max</f>
        <v>0.62594684707954173</v>
      </c>
      <c r="BX189" s="1190">
        <f>'2020'!R\Max</f>
        <v>0.99096267497489066</v>
      </c>
      <c r="BY189" s="1190">
        <f>'2021'!R\Max</f>
        <v>0.6379856248210718</v>
      </c>
      <c r="BZ189" s="1190">
        <f>'2022'!R\Max</f>
        <v>0.67914143929861792</v>
      </c>
      <c r="CA189" s="1190">
        <f>'2023'!R\Max</f>
        <v>0.67912696532050154</v>
      </c>
      <c r="CB189" s="1190">
        <f>'2024'!R\Max</f>
        <v>0.67910825973660538</v>
      </c>
      <c r="CC189" s="1190">
        <f>'2025'!R\Max</f>
        <v>0.67908715143291409</v>
      </c>
      <c r="CD189" s="1190">
        <f>'2026'!R\Max</f>
        <v>0.67916933507433508</v>
      </c>
      <c r="CE189" s="1191">
        <f>'2027'!R\Max</f>
        <v>0.67916269733285251</v>
      </c>
      <c r="CF189" s="1193">
        <f>'2028'!R\Max</f>
        <v>0.67915418135501782</v>
      </c>
    </row>
    <row r="190" spans="1:84" s="6" customFormat="1" ht="11.25" x14ac:dyDescent="0.2">
      <c r="A190" s="11">
        <v>43276</v>
      </c>
      <c r="B190" s="379">
        <f>'2022'!Maxi_hp</f>
        <v>58.359170518097258</v>
      </c>
      <c r="C190" s="13">
        <f>'2022'!An_max</f>
        <v>2020</v>
      </c>
      <c r="D190" s="1045" t="str">
        <f t="shared" si="78"/>
        <v/>
      </c>
      <c r="E190" s="1040">
        <f>Z$13/10</f>
        <v>62.950800000000001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62.950799999758601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62.950800000689924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62.988450000155716</v>
      </c>
      <c r="AZ190" s="735">
        <f t="shared" si="96"/>
        <v>62.969625000422823</v>
      </c>
      <c r="BA190" s="633">
        <f t="shared" si="93"/>
        <v>0.92706002971083845</v>
      </c>
      <c r="BC190" s="11">
        <v>43276</v>
      </c>
      <c r="BD190" s="289">
        <f>[2]!FeuilCaduc*(1-Persistant)+Persistant</f>
        <v>0.95391780148704419</v>
      </c>
      <c r="BE190" s="290">
        <f>[2]!CroissVégét</f>
        <v>0.64913499947740572</v>
      </c>
      <c r="BF190" s="804">
        <f>1+[2]!Salcycl*Ksac</f>
        <v>1.0453917801487045</v>
      </c>
      <c r="BH190" s="1036">
        <f t="shared" si="94"/>
        <v>2.7805964933961901E-4</v>
      </c>
      <c r="BI190" s="11">
        <v>44372</v>
      </c>
      <c r="BJ190" s="715">
        <v>6.9056524524872914E-8</v>
      </c>
      <c r="BK190" s="715">
        <v>6.9056524524872914E-8</v>
      </c>
      <c r="BL190" s="715">
        <v>1.7091526447308296E-5</v>
      </c>
      <c r="BM190" s="715">
        <v>1.2146425002420289E-4</v>
      </c>
      <c r="BN190" s="715">
        <v>4.3521192705175634E-4</v>
      </c>
      <c r="BO190" s="716">
        <v>1.1089296845247438E-3</v>
      </c>
      <c r="BP190" s="715">
        <v>2.2527780605326067E-3</v>
      </c>
      <c r="BQ190" s="715">
        <v>3.9202264033410929E-3</v>
      </c>
      <c r="BR190" s="715">
        <v>6.1930003199358284E-3</v>
      </c>
      <c r="BS190" s="715">
        <v>9.1363058333976763E-3</v>
      </c>
      <c r="BT190" s="715">
        <v>1.2574648895664346E-2</v>
      </c>
      <c r="BW190" s="1190">
        <f>'2019'!R\Max</f>
        <v>0.89063836350837122</v>
      </c>
      <c r="BX190" s="1190">
        <f>'2020'!R\Max</f>
        <v>0.92706002971083845</v>
      </c>
      <c r="BY190" s="1190">
        <f>'2021'!R\Max</f>
        <v>0.90408256810247745</v>
      </c>
      <c r="BZ190" s="1190">
        <f>'2022'!R\Max</f>
        <v>0.5899837675087487</v>
      </c>
      <c r="CA190" s="1190">
        <f>'2023'!R\Max</f>
        <v>0.58996759349734551</v>
      </c>
      <c r="CB190" s="1190">
        <f>'2024'!R\Max</f>
        <v>0.58994662569661216</v>
      </c>
      <c r="CC190" s="1190">
        <f>'2025'!R\Max</f>
        <v>0.5899230456746537</v>
      </c>
      <c r="CD190" s="1190">
        <f>'2026'!R\Max</f>
        <v>0.59001507502838513</v>
      </c>
      <c r="CE190" s="1191">
        <f>'2027'!R\Max</f>
        <v>0.59000759860787211</v>
      </c>
      <c r="CF190" s="1193">
        <f>'2028'!R\Max</f>
        <v>0.58999807286177364</v>
      </c>
    </row>
    <row r="191" spans="1:84" s="6" customFormat="1" ht="11.25" x14ac:dyDescent="0.2">
      <c r="A191" s="11">
        <v>43277</v>
      </c>
      <c r="B191" s="379">
        <f>'2022'!Maxi_hp</f>
        <v>60.460509614669505</v>
      </c>
      <c r="C191" s="13">
        <f>'2022'!An_max</f>
        <v>2021</v>
      </c>
      <c r="D191" s="1045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62.889074489833526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62.889444953209861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62.925640543104556</v>
      </c>
      <c r="AZ191" s="735">
        <f t="shared" si="96"/>
        <v>62.907542748157212</v>
      </c>
      <c r="BA191" s="633">
        <f t="shared" si="93"/>
        <v>0.96138335800192742</v>
      </c>
      <c r="BC191" s="11">
        <v>43277</v>
      </c>
      <c r="BD191" s="289">
        <f>[2]!FeuilCaduc*(1-Persistant)+Persistant</f>
        <v>0.95744679582076797</v>
      </c>
      <c r="BE191" s="290">
        <f>[2]!CroissVégét</f>
        <v>0.65844922415907026</v>
      </c>
      <c r="BF191" s="804">
        <f>1+[2]!Salcycl*Ksac</f>
        <v>1.0457446795820768</v>
      </c>
      <c r="BH191" s="1036">
        <f t="shared" si="94"/>
        <v>2.8033172623075168E-4</v>
      </c>
      <c r="BI191" s="11">
        <v>44373</v>
      </c>
      <c r="BJ191" s="715">
        <v>7.5321790006238381E-8</v>
      </c>
      <c r="BK191" s="715">
        <v>7.5321790006238381E-8</v>
      </c>
      <c r="BL191" s="715">
        <v>1.7361886670485235E-5</v>
      </c>
      <c r="BM191" s="715">
        <v>1.2267857318915245E-4</v>
      </c>
      <c r="BN191" s="715">
        <v>4.3854551921124852E-4</v>
      </c>
      <c r="BO191" s="716">
        <v>1.114971325236572E-3</v>
      </c>
      <c r="BP191" s="715">
        <v>2.261850690932449E-3</v>
      </c>
      <c r="BQ191" s="715">
        <v>3.9330401602700816E-3</v>
      </c>
      <c r="BR191" s="715">
        <v>6.2098932080106731E-3</v>
      </c>
      <c r="BS191" s="715">
        <v>9.1589051757078998E-3</v>
      </c>
      <c r="BT191" s="715">
        <v>1.2603699381525314E-2</v>
      </c>
      <c r="BW191" s="1190">
        <f>'2019'!R\Max</f>
        <v>0.94968532603512323</v>
      </c>
      <c r="BX191" s="1190">
        <f>'2020'!R\Max</f>
        <v>0.84848787361234135</v>
      </c>
      <c r="BY191" s="1190">
        <f>'2021'!R\Max</f>
        <v>0.96138335800192742</v>
      </c>
      <c r="BZ191" s="1190">
        <f>'2022'!R\Max</f>
        <v>0.20968427757208952</v>
      </c>
      <c r="CA191" s="1190">
        <f>'2023'!R\Max</f>
        <v>0.20967439135831475</v>
      </c>
      <c r="CB191" s="1190">
        <f>'2024'!R\Max</f>
        <v>0.20966153723910497</v>
      </c>
      <c r="CC191" s="1190">
        <f>'2025'!R\Max</f>
        <v>0.20964713142028382</v>
      </c>
      <c r="CD191" s="1190">
        <f>'2026'!R\Max</f>
        <v>0.20970350219211112</v>
      </c>
      <c r="CE191" s="1191">
        <f>'2027'!R\Max</f>
        <v>0.20969889373807396</v>
      </c>
      <c r="CF191" s="1193">
        <f>'2028'!R\Max</f>
        <v>0.20969306288060005</v>
      </c>
    </row>
    <row r="192" spans="1:84" s="6" customFormat="1" ht="11.25" x14ac:dyDescent="0.2">
      <c r="A192" s="11">
        <v>43278</v>
      </c>
      <c r="B192" s="379">
        <f>'2022'!Maxi_hp</f>
        <v>59.284461981263078</v>
      </c>
      <c r="C192" s="13">
        <f>'2022'!An_max</f>
        <v>2018</v>
      </c>
      <c r="D192" s="1045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62.825812244654763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62.827239213431518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62.860937609257441</v>
      </c>
      <c r="AZ192" s="735">
        <f t="shared" si="96"/>
        <v>62.84408841134448</v>
      </c>
      <c r="BA192" s="633">
        <f t="shared" si="93"/>
        <v>0.9436322406847516</v>
      </c>
      <c r="BC192" s="11">
        <v>43278</v>
      </c>
      <c r="BD192" s="289">
        <f>[2]!FeuilCaduc*(1-Persistant)+Persistant</f>
        <v>0.96080317120023606</v>
      </c>
      <c r="BE192" s="290">
        <f>[2]!CroissVégét</f>
        <v>0.66764275499450454</v>
      </c>
      <c r="BF192" s="804">
        <f>1+[2]!Salcycl*Ksac</f>
        <v>1.0460803171200237</v>
      </c>
      <c r="BH192" s="1036">
        <f t="shared" si="94"/>
        <v>2.8367016256168679E-4</v>
      </c>
      <c r="BI192" s="11">
        <v>44374</v>
      </c>
      <c r="BJ192" s="715">
        <v>8.2426612255457139E-8</v>
      </c>
      <c r="BK192" s="715">
        <v>8.2426612255457126E-8</v>
      </c>
      <c r="BL192" s="715">
        <v>1.7753306464795914E-5</v>
      </c>
      <c r="BM192" s="715">
        <v>1.2445545146882612E-4</v>
      </c>
      <c r="BN192" s="715">
        <v>4.4345106674473672E-4</v>
      </c>
      <c r="BO192" s="716">
        <v>1.1240768873581875E-3</v>
      </c>
      <c r="BP192" s="715">
        <v>2.2756938510028325E-3</v>
      </c>
      <c r="BQ192" s="715">
        <v>3.9527836902830899E-3</v>
      </c>
      <c r="BR192" s="715">
        <v>6.2361957350666464E-3</v>
      </c>
      <c r="BS192" s="715">
        <v>9.1941785658258314E-3</v>
      </c>
      <c r="BT192" s="715">
        <v>1.2648988244835837E-2</v>
      </c>
      <c r="BW192" s="1190">
        <f>'2019'!R\Max</f>
        <v>0.9436322406847516</v>
      </c>
      <c r="BX192" s="1190">
        <f>'2020'!R\Max</f>
        <v>0.79140444078158401</v>
      </c>
      <c r="BY192" s="1190">
        <f>'2021'!R\Max</f>
        <v>0.14879869744150165</v>
      </c>
      <c r="BZ192" s="1190">
        <f>'2022'!R\Max</f>
        <v>0.25506704215757087</v>
      </c>
      <c r="CA192" s="1190">
        <f>'2023'!R\Max</f>
        <v>0.25505491200378472</v>
      </c>
      <c r="CB192" s="1190">
        <f>'2024'!R\Max</f>
        <v>0.25503909635223609</v>
      </c>
      <c r="CC192" s="1190">
        <f>'2025'!R\Max</f>
        <v>0.25502143131402816</v>
      </c>
      <c r="CD192" s="1190">
        <f>'2026'!R\Max</f>
        <v>0.25509074811714849</v>
      </c>
      <c r="CE192" s="1191">
        <f>'2027'!R\Max</f>
        <v>0.25508504209297311</v>
      </c>
      <c r="CF192" s="1193">
        <f>'2028'!R\Max</f>
        <v>0.25507787295936751</v>
      </c>
    </row>
    <row r="193" spans="1:84" s="6" customFormat="1" ht="11.25" x14ac:dyDescent="0.2">
      <c r="A193" s="11">
        <v>43279</v>
      </c>
      <c r="B193" s="379">
        <f>'2022'!Maxi_hp</f>
        <v>63.585131804859891</v>
      </c>
      <c r="C193" s="13">
        <f>'2022'!An_max</f>
        <v>2022</v>
      </c>
      <c r="D193" s="1045">
        <f t="shared" si="78"/>
        <v>1.0131310585480506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62.761013265140356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62.764100455738877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62.794368640499712</v>
      </c>
      <c r="AZ193" s="735">
        <f t="shared" si="96"/>
        <v>62.779234548119291</v>
      </c>
      <c r="BA193" s="633">
        <f t="shared" si="93"/>
        <v>1.0131310585480506</v>
      </c>
      <c r="BC193" s="11">
        <v>43279</v>
      </c>
      <c r="BD193" s="289">
        <f>[2]!FeuilCaduc*(1-Persistant)+Persistant</f>
        <v>0.96398857738127686</v>
      </c>
      <c r="BE193" s="290">
        <f>[2]!CroissVégét</f>
        <v>0.67671031405616355</v>
      </c>
      <c r="BF193" s="804">
        <f>1+[2]!Salcycl*Ksac</f>
        <v>1.0463988577381278</v>
      </c>
      <c r="BH193" s="1036">
        <f t="shared" si="94"/>
        <v>2.8772926266437687E-4</v>
      </c>
      <c r="BI193" s="11">
        <v>44375</v>
      </c>
      <c r="BJ193" s="715">
        <v>8.9470690253994749E-8</v>
      </c>
      <c r="BK193" s="715">
        <v>8.9470690253994735E-8</v>
      </c>
      <c r="BL193" s="715">
        <v>1.8225801062170481E-5</v>
      </c>
      <c r="BM193" s="715">
        <v>1.2661207466594022E-4</v>
      </c>
      <c r="BN193" s="715">
        <v>4.4941940926650838E-4</v>
      </c>
      <c r="BO193" s="716">
        <v>1.1353004177799065E-3</v>
      </c>
      <c r="BP193" s="715">
        <v>2.2928448300742342E-3</v>
      </c>
      <c r="BQ193" s="715">
        <v>3.9773381297887158E-3</v>
      </c>
      <c r="BR193" s="715">
        <v>6.2690409611903183E-3</v>
      </c>
      <c r="BS193" s="715">
        <v>9.2382297151433045E-3</v>
      </c>
      <c r="BT193" s="715">
        <v>1.2705447790243509E-2</v>
      </c>
      <c r="BW193" s="1190">
        <f>'2019'!R\Max</f>
        <v>0.93638800455001625</v>
      </c>
      <c r="BX193" s="1190">
        <f>'2020'!R\Max</f>
        <v>0.71045296954131854</v>
      </c>
      <c r="BY193" s="1190">
        <f>'2021'!R\Max</f>
        <v>0.53774626850432361</v>
      </c>
      <c r="BZ193" s="1190">
        <f>'2022'!R\Max</f>
        <v>1.0131310585480506</v>
      </c>
      <c r="CA193" s="1190">
        <f>'2023'!R\Max</f>
        <v>1.0131310585480504</v>
      </c>
      <c r="CB193" s="1190">
        <f>'2024'!R\Max</f>
        <v>1.0131310585480506</v>
      </c>
      <c r="CC193" s="1190">
        <f>'2025'!R\Max</f>
        <v>1.0131310585480504</v>
      </c>
      <c r="CD193" s="1190">
        <f>'2026'!R\Max</f>
        <v>1.0131310585480504</v>
      </c>
      <c r="CE193" s="1191">
        <f>'2027'!R\Max</f>
        <v>1.0131310585480506</v>
      </c>
      <c r="CF193" s="1193">
        <f>'2028'!R\Max</f>
        <v>1.0131310585480506</v>
      </c>
    </row>
    <row r="194" spans="1:84" s="6" customFormat="1" ht="11.25" x14ac:dyDescent="0.2">
      <c r="A194" s="11">
        <v>43280</v>
      </c>
      <c r="B194" s="379">
        <f>'2022'!Maxi_hp</f>
        <v>61.767891978922982</v>
      </c>
      <c r="C194" s="13">
        <f>'2022'!An_max</f>
        <v>2022</v>
      </c>
      <c r="D194" s="1045">
        <f t="shared" si="78"/>
        <v>0.98521747605428722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62.69467755109072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62.699946356032569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62.725961078902969</v>
      </c>
      <c r="AZ194" s="735">
        <f t="shared" si="96"/>
        <v>62.712953717467769</v>
      </c>
      <c r="BA194" s="633">
        <f t="shared" si="93"/>
        <v>0.98521747605428722</v>
      </c>
      <c r="BC194" s="11">
        <v>43280</v>
      </c>
      <c r="BD194" s="289">
        <f>[2]!FeuilCaduc*(1-Persistant)+Persistant</f>
        <v>0.96700510146524432</v>
      </c>
      <c r="BE194" s="290">
        <f>[2]!CroissVégét</f>
        <v>0.6856469767197082</v>
      </c>
      <c r="BF194" s="804">
        <f>1+[2]!Salcycl*Ksac</f>
        <v>1.0467005101465245</v>
      </c>
      <c r="BH194" s="1036">
        <f t="shared" si="94"/>
        <v>2.9250813611908586E-4</v>
      </c>
      <c r="BI194" s="11">
        <v>44376</v>
      </c>
      <c r="BJ194" s="715">
        <v>9.645420573269426E-8</v>
      </c>
      <c r="BK194" s="715">
        <v>9.6454205732694286E-8</v>
      </c>
      <c r="BL194" s="715">
        <v>1.877926198543343E-5</v>
      </c>
      <c r="BM194" s="715">
        <v>1.2914795884898399E-4</v>
      </c>
      <c r="BN194" s="715">
        <v>4.5644924842306466E-4</v>
      </c>
      <c r="BO194" s="716">
        <v>1.1486394677069356E-3</v>
      </c>
      <c r="BP194" s="715">
        <v>2.3133001099108095E-3</v>
      </c>
      <c r="BQ194" s="715">
        <v>4.0066987409200982E-3</v>
      </c>
      <c r="BR194" s="715">
        <v>6.3084229501748079E-3</v>
      </c>
      <c r="BS194" s="715">
        <v>9.2910511503744089E-3</v>
      </c>
      <c r="BT194" s="715">
        <v>1.2773069072006812E-2</v>
      </c>
      <c r="BW194" s="1190">
        <f>'2019'!R\Max</f>
        <v>0.91080146391397221</v>
      </c>
      <c r="BX194" s="1190">
        <f>'2020'!R\Max</f>
        <v>0.79784137952970879</v>
      </c>
      <c r="BY194" s="1190">
        <f>'2021'!R\Max</f>
        <v>0.7003723206822875</v>
      </c>
      <c r="BZ194" s="1190">
        <f>'2022'!R\Max</f>
        <v>0.98521747605428722</v>
      </c>
      <c r="CA194" s="1190">
        <f>'2023'!R\Max</f>
        <v>0.98521646682371278</v>
      </c>
      <c r="CB194" s="1190">
        <f>'2024'!R\Max</f>
        <v>0.9852151441151652</v>
      </c>
      <c r="CC194" s="1190">
        <f>'2025'!R\Max</f>
        <v>0.98521367635578105</v>
      </c>
      <c r="CD194" s="1190">
        <f>'2026'!R\Max</f>
        <v>0.98521946941959426</v>
      </c>
      <c r="CE194" s="1191">
        <f>'2027'!R\Max</f>
        <v>0.98521898546798414</v>
      </c>
      <c r="CF194" s="1193">
        <f>'2028'!R\Max</f>
        <v>0.98521838575092524</v>
      </c>
    </row>
    <row r="195" spans="1:84" s="6" customFormat="1" ht="11.25" x14ac:dyDescent="0.2">
      <c r="A195" s="11">
        <v>43281</v>
      </c>
      <c r="B195" s="379">
        <f>'2022'!Maxi_hp</f>
        <v>52.702185547178217</v>
      </c>
      <c r="C195" s="13">
        <f>'2022'!An_max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62.626805101893844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62.634694588656671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62.655742364995447</v>
      </c>
      <c r="AZ195" s="735">
        <f t="shared" si="96"/>
        <v>62.645218476826059</v>
      </c>
      <c r="BA195" s="633">
        <f t="shared" si="93"/>
        <v>0.84152760884786848</v>
      </c>
      <c r="BC195" s="11">
        <v>43281</v>
      </c>
      <c r="BD195" s="289">
        <f>[2]!FeuilCaduc*(1-Persistant)+Persistant</f>
        <v>0.96985524738320317</v>
      </c>
      <c r="BE195" s="290">
        <f>[2]!CroissVégét</f>
        <v>0.69444817721081942</v>
      </c>
      <c r="BF195" s="804">
        <f>1+[2]!Salcycl*Ksac</f>
        <v>1.0469855247383204</v>
      </c>
      <c r="BH195" s="1036">
        <f t="shared" si="94"/>
        <v>2.9800591480572895E-4</v>
      </c>
      <c r="BI195" s="11">
        <v>44377</v>
      </c>
      <c r="BJ195" s="715">
        <v>1.0337735614552728E-7</v>
      </c>
      <c r="BK195" s="715">
        <v>1.0337735614552727E-7</v>
      </c>
      <c r="BL195" s="715">
        <v>1.9413583287286776E-5</v>
      </c>
      <c r="BM195" s="715">
        <v>1.3206263185006677E-4</v>
      </c>
      <c r="BN195" s="715">
        <v>4.6453931873405687E-4</v>
      </c>
      <c r="BO195" s="716">
        <v>1.1640916525458838E-3</v>
      </c>
      <c r="BP195" s="715">
        <v>2.3370562722517061E-3</v>
      </c>
      <c r="BQ195" s="715">
        <v>4.0408609310332985E-3</v>
      </c>
      <c r="BR195" s="715">
        <v>6.3543359630079017E-3</v>
      </c>
      <c r="BS195" s="715">
        <v>9.3526356637126263E-3</v>
      </c>
      <c r="BT195" s="715">
        <v>1.285184348427613E-2</v>
      </c>
      <c r="BW195" s="1190">
        <f>'2019'!R\Max</f>
        <v>0.84152760884786848</v>
      </c>
      <c r="BX195" s="1190">
        <f>'2020'!R\Max</f>
        <v>0.43433068193132529</v>
      </c>
      <c r="BY195" s="1190">
        <f>'2021'!R\Max</f>
        <v>0.82171382680076788</v>
      </c>
      <c r="BZ195" s="1190">
        <f>'2022'!R\Max</f>
        <v>0.24323281790658843</v>
      </c>
      <c r="CA195" s="1190">
        <f>'2023'!R\Max</f>
        <v>0.24322088726896376</v>
      </c>
      <c r="CB195" s="1190">
        <f>'2024'!R\Max</f>
        <v>0.24320521664157282</v>
      </c>
      <c r="CC195" s="1190">
        <f>'2025'!R\Max</f>
        <v>0.24318788664233357</v>
      </c>
      <c r="CD195" s="1190">
        <f>'2026'!R\Max</f>
        <v>0.24325652103121428</v>
      </c>
      <c r="CE195" s="1191">
        <f>'2027'!R\Max</f>
        <v>0.24325073968384239</v>
      </c>
      <c r="CF195" s="1193">
        <f>'2028'!R\Max</f>
        <v>0.24324362428986204</v>
      </c>
    </row>
    <row r="196" spans="1:84" s="6" customFormat="1" ht="11.25" x14ac:dyDescent="0.2">
      <c r="A196" s="11">
        <v>43282</v>
      </c>
      <c r="B196" s="379">
        <f>'2022'!Maxi_hp</f>
        <v>60.959454139649438</v>
      </c>
      <c r="C196" s="13">
        <f>'2022'!An_max</f>
        <v>2020</v>
      </c>
      <c r="D196" s="1045">
        <f t="shared" si="78"/>
        <v>0.97445638912571753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62.557395918294787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62.568262828141449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62.583739942072761</v>
      </c>
      <c r="AZ196" s="735">
        <f t="shared" si="96"/>
        <v>62.576001385107105</v>
      </c>
      <c r="BA196" s="633">
        <f t="shared" si="93"/>
        <v>0.97445638912571753</v>
      </c>
      <c r="BC196" s="11">
        <v>43282</v>
      </c>
      <c r="BD196" s="289">
        <f>[2]!FeuilCaduc*(1-Persistant)+Persistant</f>
        <v>0.97254191329364881</v>
      </c>
      <c r="BE196" s="290">
        <f>[2]!CroissVégét</f>
        <v>0.70310971225270513</v>
      </c>
      <c r="BF196" s="804">
        <f>1+[2]!Salcycl*Ksac</f>
        <v>1.0472541913293649</v>
      </c>
      <c r="BH196" s="1036">
        <f t="shared" si="94"/>
        <v>3.0422175715202416E-4</v>
      </c>
      <c r="BI196" s="11">
        <v>44378</v>
      </c>
      <c r="BJ196" s="715">
        <v>1.1024035435345361E-7</v>
      </c>
      <c r="BK196" s="715">
        <v>1.102403543534536E-7</v>
      </c>
      <c r="BL196" s="715">
        <v>2.0128662028531074E-5</v>
      </c>
      <c r="BM196" s="715">
        <v>1.3535563550390556E-4</v>
      </c>
      <c r="BN196" s="715">
        <v>4.7368839385674745E-4</v>
      </c>
      <c r="BO196" s="716">
        <v>1.181654664381256E-3</v>
      </c>
      <c r="BP196" s="715">
        <v>2.3641100182867714E-3</v>
      </c>
      <c r="BQ196" s="715">
        <v>4.0798202810210741E-3</v>
      </c>
      <c r="BR196" s="715">
        <v>6.4067744963619755E-3</v>
      </c>
      <c r="BS196" s="715">
        <v>9.422976364457011E-3</v>
      </c>
      <c r="BT196" s="715">
        <v>1.2941762826782135E-2</v>
      </c>
      <c r="BW196" s="1190">
        <f>'2019'!R\Max</f>
        <v>0.28707651921228838</v>
      </c>
      <c r="BX196" s="1190">
        <f>'2020'!R\Max</f>
        <v>0.97445638912571753</v>
      </c>
      <c r="BY196" s="1190">
        <f>'2021'!R\Max</f>
        <v>0.89206040414068688</v>
      </c>
      <c r="BZ196" s="1190">
        <f>'2022'!R\Max</f>
        <v>0.8784614278709747</v>
      </c>
      <c r="CA196" s="1190">
        <f>'2023'!R\Max</f>
        <v>0.87845385672467691</v>
      </c>
      <c r="CB196" s="1190">
        <f>'2024'!R\Max</f>
        <v>0.87844389001076584</v>
      </c>
      <c r="CC196" s="1190">
        <f>'2025'!R\Max</f>
        <v>0.87843290219405901</v>
      </c>
      <c r="CD196" s="1190">
        <f>'2026'!R\Max</f>
        <v>0.87847655726099205</v>
      </c>
      <c r="CE196" s="1191">
        <f>'2027'!R\Max</f>
        <v>0.87847285004683706</v>
      </c>
      <c r="CF196" s="1193">
        <f>'2028'!R\Max</f>
        <v>0.87846831764354583</v>
      </c>
    </row>
    <row r="197" spans="1:84" s="6" customFormat="1" ht="11.25" x14ac:dyDescent="0.2">
      <c r="A197" s="11">
        <v>43283</v>
      </c>
      <c r="B197" s="379">
        <f>'2022'!Maxi_hp</f>
        <v>60.712601293017094</v>
      </c>
      <c r="C197" s="13">
        <f>'2022'!An_max</f>
        <v>2022</v>
      </c>
      <c r="D197" s="1045">
        <f t="shared" si="78"/>
        <v>0.97161226622881969</v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62.486449999921021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62.500568750314415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62.509981250250711</v>
      </c>
      <c r="AZ197" s="735">
        <f t="shared" si="96"/>
        <v>62.505275000282566</v>
      </c>
      <c r="BA197" s="633">
        <f t="shared" si="93"/>
        <v>0.97161226622881969</v>
      </c>
      <c r="BC197" s="11">
        <v>43283</v>
      </c>
      <c r="BD197" s="289">
        <f>[2]!FeuilCaduc*(1-Persistant)+Persistant</f>
        <v>0.97506836706826228</v>
      </c>
      <c r="BE197" s="290">
        <f>[2]!CroissVégét</f>
        <v>0.71162774286802644</v>
      </c>
      <c r="BF197" s="804">
        <f>1+[2]!Salcycl*Ksac</f>
        <v>1.0475068367068263</v>
      </c>
      <c r="BH197" s="1036">
        <f t="shared" si="94"/>
        <v>3.1115485238416543E-4</v>
      </c>
      <c r="BI197" s="11">
        <v>44379</v>
      </c>
      <c r="BJ197" s="715">
        <v>1.1704342830907265E-7</v>
      </c>
      <c r="BK197" s="715">
        <v>1.1704342830907266E-7</v>
      </c>
      <c r="BL197" s="715">
        <v>2.0924398756446484E-5</v>
      </c>
      <c r="BM197" s="715">
        <v>1.3902652788792068E-4</v>
      </c>
      <c r="BN197" s="715">
        <v>4.8389529285440953E-4</v>
      </c>
      <c r="BO197" s="716">
        <v>1.2013262844618791E-3</v>
      </c>
      <c r="BP197" s="715">
        <v>2.3944581881523187E-3</v>
      </c>
      <c r="BQ197" s="715">
        <v>4.1235725736613969E-3</v>
      </c>
      <c r="BR197" s="715">
        <v>6.4657333211387107E-3</v>
      </c>
      <c r="BS197" s="715">
        <v>9.5020667307191067E-3</v>
      </c>
      <c r="BT197" s="715">
        <v>1.304281937063524E-2</v>
      </c>
      <c r="BW197" s="1190">
        <f>'2019'!R\Max</f>
        <v>0.50538034395637954</v>
      </c>
      <c r="BX197" s="1190">
        <f>'2020'!R\Max</f>
        <v>0.70939006176156083</v>
      </c>
      <c r="BY197" s="1190">
        <f>'2021'!R\Max</f>
        <v>0.8962565359901159</v>
      </c>
      <c r="BZ197" s="1190">
        <f>'2022'!R\Max</f>
        <v>0.97161226622881969</v>
      </c>
      <c r="CA197" s="1190">
        <f>'2023'!R\Max</f>
        <v>0.97161028526991489</v>
      </c>
      <c r="CB197" s="1190">
        <f>'2024'!R\Max</f>
        <v>0.97160767232655409</v>
      </c>
      <c r="CC197" s="1190">
        <f>'2025'!R\Max</f>
        <v>0.97160480077044831</v>
      </c>
      <c r="CD197" s="1190">
        <f>'2026'!R\Max</f>
        <v>0.97161624889308296</v>
      </c>
      <c r="CE197" s="1191">
        <f>'2027'!R\Max</f>
        <v>0.97161526834400769</v>
      </c>
      <c r="CF197" s="1193">
        <f>'2028'!R\Max</f>
        <v>0.97161407738918493</v>
      </c>
    </row>
    <row r="198" spans="1:84" s="6" customFormat="1" ht="11.25" x14ac:dyDescent="0.2">
      <c r="A198" s="11">
        <v>43284</v>
      </c>
      <c r="B198" s="379">
        <f>'2022'!Maxi_hp</f>
        <v>50.016891761523738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62.413967346852381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62.431530029433112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62.434493731853685</v>
      </c>
      <c r="AZ198" s="735">
        <f t="shared" si="96"/>
        <v>62.433011880643399</v>
      </c>
      <c r="BA198" s="633">
        <f t="shared" si="93"/>
        <v>0.80137337662843111</v>
      </c>
      <c r="BC198" s="11">
        <v>43284</v>
      </c>
      <c r="BD198" s="289">
        <f>[2]!FeuilCaduc*(1-Persistant)+Persistant</f>
        <v>0.97743822005450909</v>
      </c>
      <c r="BE198" s="290">
        <f>[2]!CroissVégét</f>
        <v>0.71999879440261938</v>
      </c>
      <c r="BF198" s="804">
        <f>1+[2]!Salcycl*Ksac</f>
        <v>1.0477438220054509</v>
      </c>
      <c r="BH198" s="1036">
        <f t="shared" si="94"/>
        <v>3.1911407673474915E-4</v>
      </c>
      <c r="BI198" s="11">
        <v>44380</v>
      </c>
      <c r="BJ198" s="715">
        <v>1.2294352833799458E-7</v>
      </c>
      <c r="BK198" s="715">
        <v>1.2294352833799458E-7</v>
      </c>
      <c r="BL198" s="715">
        <v>2.1862161899892894E-5</v>
      </c>
      <c r="BM198" s="715">
        <v>1.433371993618803E-4</v>
      </c>
      <c r="BN198" s="715">
        <v>4.9551604492177983E-4</v>
      </c>
      <c r="BO198" s="716">
        <v>1.2235604445487403E-3</v>
      </c>
      <c r="BP198" s="715">
        <v>2.428688171629367E-3</v>
      </c>
      <c r="BQ198" s="715">
        <v>4.1730359142095434E-3</v>
      </c>
      <c r="BR198" s="715">
        <v>6.5326314032211662E-3</v>
      </c>
      <c r="BS198" s="715">
        <v>9.5917349271178749E-3</v>
      </c>
      <c r="BT198" s="715">
        <v>1.3157241808846297E-2</v>
      </c>
      <c r="BW198" s="1190">
        <f>'2019'!R\Max</f>
        <v>0.79511163541387164</v>
      </c>
      <c r="BX198" s="1190">
        <f>'2020'!R\Max</f>
        <v>0.32188566136032876</v>
      </c>
      <c r="BY198" s="1190">
        <f>'2021'!R\Max</f>
        <v>0.56497426520531624</v>
      </c>
      <c r="BZ198" s="1190">
        <f>'2022'!R\Max</f>
        <v>0.80137337662843111</v>
      </c>
      <c r="CA198" s="1190">
        <f>'2023'!R\Max</f>
        <v>0.80136178825308879</v>
      </c>
      <c r="CB198" s="1190">
        <f>'2024'!R\Max</f>
        <v>0.80134647453519003</v>
      </c>
      <c r="CC198" s="1190">
        <f>'2025'!R\Max</f>
        <v>0.80132969796255282</v>
      </c>
      <c r="CD198" s="1190">
        <f>'2026'!R\Max</f>
        <v>0.80139682215981434</v>
      </c>
      <c r="CE198" s="1191">
        <f>'2027'!R\Max</f>
        <v>0.80139102137446605</v>
      </c>
      <c r="CF198" s="1193">
        <f>'2028'!R\Max</f>
        <v>0.80138402145917487</v>
      </c>
    </row>
    <row r="199" spans="1:84" s="6" customFormat="1" ht="11.25" x14ac:dyDescent="0.2">
      <c r="A199" s="11">
        <v>43285</v>
      </c>
      <c r="B199" s="379">
        <f>'2022'!Maxi_hp</f>
        <v>58.082093863284776</v>
      </c>
      <c r="C199" s="13">
        <f>'2022'!An_max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62.339947959221902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62.361064340792858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62.357304828713779</v>
      </c>
      <c r="AZ199" s="735">
        <f t="shared" si="96"/>
        <v>62.359184584753322</v>
      </c>
      <c r="BA199" s="633">
        <f t="shared" si="93"/>
        <v>0.93169942813038131</v>
      </c>
      <c r="BC199" s="11">
        <v>43285</v>
      </c>
      <c r="BD199" s="289">
        <f>[2]!FeuilCaduc*(1-Persistant)+Persistant</f>
        <v>0.97965539931646983</v>
      </c>
      <c r="BE199" s="290">
        <f>[2]!CroissVégét</f>
        <v>0.72821975485053358</v>
      </c>
      <c r="BF199" s="804">
        <f>1+[2]!Salcycl*Ksac</f>
        <v>1.047965539931647</v>
      </c>
      <c r="BH199" s="1036">
        <f t="shared" si="94"/>
        <v>3.2775499200721908E-4</v>
      </c>
      <c r="BI199" s="11">
        <v>44381</v>
      </c>
      <c r="BJ199" s="715">
        <v>1.270456477619177E-7</v>
      </c>
      <c r="BK199" s="715">
        <v>1.270456477619177E-7</v>
      </c>
      <c r="BL199" s="715">
        <v>2.2902074931100487E-5</v>
      </c>
      <c r="BM199" s="715">
        <v>1.4810536311595066E-4</v>
      </c>
      <c r="BN199" s="715">
        <v>5.0804348383919886E-4</v>
      </c>
      <c r="BO199" s="716">
        <v>1.2474152200205762E-3</v>
      </c>
      <c r="BP199" s="715">
        <v>2.4653436588370306E-3</v>
      </c>
      <c r="BQ199" s="715">
        <v>4.2261006202563229E-3</v>
      </c>
      <c r="BR199" s="715">
        <v>6.6046139806559762E-3</v>
      </c>
      <c r="BS199" s="715">
        <v>9.6881013413692534E-3</v>
      </c>
      <c r="BT199" s="715">
        <v>1.3279984308791503E-2</v>
      </c>
      <c r="BW199" s="1190">
        <f>'2019'!R\Max</f>
        <v>0.93169942813038131</v>
      </c>
      <c r="BX199" s="1190">
        <f>'2020'!R\Max</f>
        <v>0.7562150353858631</v>
      </c>
      <c r="BY199" s="1190">
        <f>'2021'!R\Max</f>
        <v>0.6161402007827288</v>
      </c>
      <c r="BZ199" s="1190">
        <f>'2022'!R\Max</f>
        <v>0.77630674225397944</v>
      </c>
      <c r="CA199" s="1190">
        <f>'2023'!R\Max</f>
        <v>0.77629392117598284</v>
      </c>
      <c r="CB199" s="1190">
        <f>'2024'!R\Max</f>
        <v>0.77627694756809895</v>
      </c>
      <c r="CC199" s="1190">
        <f>'2025'!R\Max</f>
        <v>0.77625840883810249</v>
      </c>
      <c r="CD199" s="1190">
        <f>'2026'!R\Max</f>
        <v>0.77633284581410944</v>
      </c>
      <c r="CE199" s="1191">
        <f>'2027'!R\Max</f>
        <v>0.77632635579861864</v>
      </c>
      <c r="CF199" s="1193">
        <f>'2028'!R\Max</f>
        <v>0.77631857341057298</v>
      </c>
    </row>
    <row r="200" spans="1:84" s="6" customFormat="1" ht="11.25" x14ac:dyDescent="0.2">
      <c r="A200" s="11">
        <v>43286</v>
      </c>
      <c r="B200" s="379">
        <f>'2022'!Maxi_hp</f>
        <v>61.390169549077257</v>
      </c>
      <c r="C200" s="13">
        <f>'2022'!An_max</f>
        <v>2020</v>
      </c>
      <c r="D200" s="1045">
        <f t="shared" si="78"/>
        <v>0.98595951455300423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62.264391836524013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62.289089359103571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62.278441982716323</v>
      </c>
      <c r="AZ200" s="735">
        <f t="shared" si="96"/>
        <v>62.283765670909943</v>
      </c>
      <c r="BA200" s="633">
        <f t="shared" si="93"/>
        <v>0.98595951455300423</v>
      </c>
      <c r="BC200" s="11">
        <v>43286</v>
      </c>
      <c r="BD200" s="289">
        <f>[2]!FeuilCaduc*(1-Persistant)+Persistant</f>
        <v>0.98172411856607344</v>
      </c>
      <c r="BE200" s="290">
        <f>[2]!CroissVégét</f>
        <v>0.73628787157048126</v>
      </c>
      <c r="BF200" s="804">
        <f>1+[2]!Salcycl*Ksac</f>
        <v>1.0481724118566074</v>
      </c>
      <c r="BH200" s="1036">
        <f t="shared" si="94"/>
        <v>3.3707695886671716E-4</v>
      </c>
      <c r="BI200" s="11">
        <v>44382</v>
      </c>
      <c r="BJ200" s="715">
        <v>1.2935250430246949E-7</v>
      </c>
      <c r="BK200" s="715">
        <v>1.2935250430246952E-7</v>
      </c>
      <c r="BL200" s="715">
        <v>2.4044022101914824E-5</v>
      </c>
      <c r="BM200" s="715">
        <v>1.5333053007396115E-4</v>
      </c>
      <c r="BN200" s="715">
        <v>5.2147681947877747E-4</v>
      </c>
      <c r="BO200" s="716">
        <v>1.2728894273203598E-3</v>
      </c>
      <c r="BP200" s="715">
        <v>2.5044232556018218E-3</v>
      </c>
      <c r="BQ200" s="715">
        <v>4.2827649419498459E-3</v>
      </c>
      <c r="BR200" s="715">
        <v>6.6816789217438131E-3</v>
      </c>
      <c r="BS200" s="715">
        <v>9.791163787019495E-3</v>
      </c>
      <c r="BT200" s="715">
        <v>1.3411044957091871E-2</v>
      </c>
      <c r="BW200" s="1190">
        <f>'2019'!R\Max</f>
        <v>0.90958307680189165</v>
      </c>
      <c r="BX200" s="1190">
        <f>'2020'!R\Max</f>
        <v>0.98595951455300423</v>
      </c>
      <c r="BY200" s="1190">
        <f>'2021'!R\Max</f>
        <v>0.97503361544681966</v>
      </c>
      <c r="BZ200" s="1190">
        <f>'2022'!R\Max</f>
        <v>0.97445621555279749</v>
      </c>
      <c r="CA200" s="1190">
        <f>'2023'!R\Max</f>
        <v>0.97445435106065104</v>
      </c>
      <c r="CB200" s="1190">
        <f>'2024'!R\Max</f>
        <v>0.97445187821567836</v>
      </c>
      <c r="CC200" s="1190">
        <f>'2025'!R\Max</f>
        <v>0.97444918518532897</v>
      </c>
      <c r="CD200" s="1190">
        <f>'2026'!R\Max</f>
        <v>0.9744600355000983</v>
      </c>
      <c r="CE200" s="1191">
        <f>'2027'!R\Max</f>
        <v>0.97445908116057067</v>
      </c>
      <c r="CF200" s="1193">
        <f>'2028'!R\Max</f>
        <v>0.97445794375150363</v>
      </c>
    </row>
    <row r="201" spans="1:84" s="6" customFormat="1" ht="11.25" x14ac:dyDescent="0.2">
      <c r="A201" s="11">
        <v>43287</v>
      </c>
      <c r="B201" s="379">
        <f>'2022'!Maxi_hp</f>
        <v>60.936475957669771</v>
      </c>
      <c r="C201" s="13">
        <f>'2022'!An_max</f>
        <v>2020</v>
      </c>
      <c r="D201" s="1045">
        <f t="shared" si="78"/>
        <v>0.97988619794613452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62.187298979610205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62.215522759048532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62.197932634775384</v>
      </c>
      <c r="AZ201" s="735">
        <f t="shared" si="96"/>
        <v>62.206727696911955</v>
      </c>
      <c r="BA201" s="633">
        <f t="shared" si="93"/>
        <v>0.97988619794613452</v>
      </c>
      <c r="BC201" s="11">
        <v>43287</v>
      </c>
      <c r="BD201" s="289">
        <f>[2]!FeuilCaduc*(1-Persistant)+Persistant</f>
        <v>0.98364884800573926</v>
      </c>
      <c r="BE201" s="290">
        <f>[2]!CroissVégét</f>
        <v>0.74420074649273349</v>
      </c>
      <c r="BF201" s="804">
        <f>1+[2]!Salcycl*Ksac</f>
        <v>1.048364884800574</v>
      </c>
      <c r="BH201" s="1036">
        <f t="shared" si="94"/>
        <v>3.4707938512630501E-4</v>
      </c>
      <c r="BI201" s="11">
        <v>44383</v>
      </c>
      <c r="BJ201" s="715">
        <v>1.2986675657562278E-7</v>
      </c>
      <c r="BK201" s="715">
        <v>1.2986675657562278E-7</v>
      </c>
      <c r="BL201" s="715">
        <v>2.5287894095218669E-5</v>
      </c>
      <c r="BM201" s="715">
        <v>1.5901224026900306E-4</v>
      </c>
      <c r="BN201" s="715">
        <v>5.3581532696335172E-4</v>
      </c>
      <c r="BO201" s="716">
        <v>1.2999820033336561E-3</v>
      </c>
      <c r="BP201" s="715">
        <v>2.5459257508432059E-3</v>
      </c>
      <c r="BQ201" s="715">
        <v>4.3430273985585908E-3</v>
      </c>
      <c r="BR201" s="715">
        <v>6.7638244683020975E-3</v>
      </c>
      <c r="BS201" s="715">
        <v>9.9009205742682672E-3</v>
      </c>
      <c r="BT201" s="715">
        <v>1.355042246570509E-2</v>
      </c>
      <c r="BW201" s="1190">
        <f>'2019'!R\Max</f>
        <v>0.89588285612071461</v>
      </c>
      <c r="BX201" s="1190">
        <f>'2020'!R\Max</f>
        <v>0.97988619794613452</v>
      </c>
      <c r="BY201" s="1190">
        <f>'2021'!R\Max</f>
        <v>0.34662232227767809</v>
      </c>
      <c r="BZ201" s="1190">
        <f>'2022'!R\Max</f>
        <v>0.82938698304134462</v>
      </c>
      <c r="CA201" s="1190">
        <f>'2023'!R\Max</f>
        <v>0.82937622534332667</v>
      </c>
      <c r="CB201" s="1190">
        <f>'2024'!R\Max</f>
        <v>0.82936193325718754</v>
      </c>
      <c r="CC201" s="1190">
        <f>'2025'!R\Max</f>
        <v>0.82934641357968297</v>
      </c>
      <c r="CD201" s="1190">
        <f>'2026'!R\Max</f>
        <v>0.8294091635782237</v>
      </c>
      <c r="CE201" s="1191">
        <f>'2027'!R\Max</f>
        <v>0.829403595283423</v>
      </c>
      <c r="CF201" s="1193">
        <f>'2028'!R\Max</f>
        <v>0.82939699825641111</v>
      </c>
    </row>
    <row r="202" spans="1:84" s="6" customFormat="1" ht="11.25" x14ac:dyDescent="0.2">
      <c r="A202" s="11">
        <v>43288</v>
      </c>
      <c r="B202" s="379">
        <f>'2022'!Maxi_hp</f>
        <v>60.083895316609272</v>
      </c>
      <c r="C202" s="13">
        <f>'2022'!An_max</f>
        <v>2022</v>
      </c>
      <c r="D202" s="1045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62.10866938760239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62.140282216189163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62.115804227002492</v>
      </c>
      <c r="AZ202" s="735">
        <f t="shared" si="96"/>
        <v>62.128043221595831</v>
      </c>
      <c r="BA202" s="633">
        <f t="shared" si="93"/>
        <v>0.96739949364625599</v>
      </c>
      <c r="BC202" s="11">
        <v>43288</v>
      </c>
      <c r="BD202" s="289">
        <f>[2]!FeuilCaduc*(1-Persistant)+Persistant</f>
        <v>0.98543428331027694</v>
      </c>
      <c r="BE202" s="290">
        <f>[2]!CroissVégét</f>
        <v>0.75195632992281269</v>
      </c>
      <c r="BF202" s="804">
        <f>1+[2]!Salcycl*Ksac</f>
        <v>1.0485434283310278</v>
      </c>
      <c r="BH202" s="1036">
        <f t="shared" si="94"/>
        <v>3.5776172979917992E-4</v>
      </c>
      <c r="BI202" s="11">
        <v>44384</v>
      </c>
      <c r="BJ202" s="715">
        <v>1.2859099353069663E-7</v>
      </c>
      <c r="BK202" s="715">
        <v>1.2859099353069663E-7</v>
      </c>
      <c r="BL202" s="715">
        <v>2.6633588631382261E-5</v>
      </c>
      <c r="BM202" s="715">
        <v>1.6515006555894564E-4</v>
      </c>
      <c r="BN202" s="715">
        <v>5.5105835206015316E-4</v>
      </c>
      <c r="BO202" s="716">
        <v>1.3286920150287736E-3</v>
      </c>
      <c r="BP202" s="715">
        <v>2.5898501309914567E-3</v>
      </c>
      <c r="BQ202" s="715">
        <v>4.4068867998564819E-3</v>
      </c>
      <c r="BR202" s="715">
        <v>6.851049265823716E-3</v>
      </c>
      <c r="BS202" s="715">
        <v>1.0017370549682256E-2</v>
      </c>
      <c r="BT202" s="715">
        <v>1.3698116221239892E-2</v>
      </c>
      <c r="BW202" s="1190">
        <f>'2019'!R\Max</f>
        <v>0.84061471304727897</v>
      </c>
      <c r="BX202" s="1190">
        <f>'2020'!R\Max</f>
        <v>0.6800410587543595</v>
      </c>
      <c r="BY202" s="1190">
        <f>'2021'!R\Max</f>
        <v>0.73097228551112314</v>
      </c>
      <c r="BZ202" s="1190">
        <f>'2022'!R\Max</f>
        <v>0.96739949364625599</v>
      </c>
      <c r="CA202" s="1190">
        <f>'2023'!R\Max</f>
        <v>0.96739705923515229</v>
      </c>
      <c r="CB202" s="1190">
        <f>'2024'!R\Max</f>
        <v>0.96739381948263048</v>
      </c>
      <c r="CC202" s="1190">
        <f>'2025'!R\Max</f>
        <v>0.9673903111381027</v>
      </c>
      <c r="CD202" s="1190">
        <f>'2026'!R\Max</f>
        <v>0.96740454454774971</v>
      </c>
      <c r="CE202" s="1191">
        <f>'2027'!R\Max</f>
        <v>0.96740327047559294</v>
      </c>
      <c r="CF202" s="1193">
        <f>'2028'!R\Max</f>
        <v>0.96740176968041525</v>
      </c>
    </row>
    <row r="203" spans="1:84" s="6" customFormat="1" ht="11.25" x14ac:dyDescent="0.2">
      <c r="A203" s="11">
        <v>43289</v>
      </c>
      <c r="B203" s="379">
        <f>'2022'!Maxi_hp</f>
        <v>63.179240618782657</v>
      </c>
      <c r="C203" s="13">
        <f>'2022'!An_max</f>
        <v>2020</v>
      </c>
      <c r="D203" s="1045">
        <f t="shared" si="78"/>
        <v>1.0185517544472629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62.028503061258888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62.063285404723139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62.03208420202801</v>
      </c>
      <c r="AZ203" s="735">
        <f t="shared" si="96"/>
        <v>62.047684803375574</v>
      </c>
      <c r="BA203" s="633">
        <f t="shared" si="93"/>
        <v>1.0185517544472629</v>
      </c>
      <c r="BC203" s="11">
        <v>43289</v>
      </c>
      <c r="BD203" s="289">
        <f>[2]!FeuilCaduc*(1-Persistant)+Persistant</f>
        <v>0.98708531398064359</v>
      </c>
      <c r="BE203" s="290">
        <f>[2]!CroissVégét</f>
        <v>0.75955291305401751</v>
      </c>
      <c r="BF203" s="804">
        <f>1+[2]!Salcycl*Ksac</f>
        <v>1.0487085313980644</v>
      </c>
      <c r="BH203" s="1036">
        <f t="shared" si="94"/>
        <v>3.6912350715325956E-4</v>
      </c>
      <c r="BI203" s="11">
        <v>44385</v>
      </c>
      <c r="BJ203" s="715">
        <v>1.2552772389015329E-7</v>
      </c>
      <c r="BK203" s="715">
        <v>1.2552772389015329E-7</v>
      </c>
      <c r="BL203" s="715">
        <v>2.8081011074904764E-5</v>
      </c>
      <c r="BM203" s="715">
        <v>1.7174361234307625E-4</v>
      </c>
      <c r="BN203" s="715">
        <v>5.6720531657809576E-4</v>
      </c>
      <c r="BO203" s="716">
        <v>1.3590186691054117E-3</v>
      </c>
      <c r="BP203" s="715">
        <v>2.636195594421718E-3</v>
      </c>
      <c r="BQ203" s="715">
        <v>4.4743422675352197E-3</v>
      </c>
      <c r="BR203" s="715">
        <v>6.9433523936777942E-3</v>
      </c>
      <c r="BS203" s="715">
        <v>1.014051313596992E-2</v>
      </c>
      <c r="BT203" s="715">
        <v>1.3854126334353699E-2</v>
      </c>
      <c r="BW203" s="1190">
        <f>'2019'!R\Max</f>
        <v>0.58542571206081251</v>
      </c>
      <c r="BX203" s="1190">
        <f>'2020'!R\Max</f>
        <v>1.0185517544472629</v>
      </c>
      <c r="BY203" s="1190">
        <f>'2021'!R\Max</f>
        <v>0.82748862429028291</v>
      </c>
      <c r="BZ203" s="1190">
        <f>'2022'!R\Max</f>
        <v>1.0104841103494975</v>
      </c>
      <c r="CA203" s="1190">
        <f>'2023'!R\Max</f>
        <v>1.0104841103494973</v>
      </c>
      <c r="CB203" s="1190">
        <f>'2024'!R\Max</f>
        <v>1.0104841103494973</v>
      </c>
      <c r="CC203" s="1190">
        <f>'2025'!R\Max</f>
        <v>1.0104841103494973</v>
      </c>
      <c r="CD203" s="1190">
        <f>'2026'!R\Max</f>
        <v>1.0104841103494973</v>
      </c>
      <c r="CE203" s="1191">
        <f>'2027'!R\Max</f>
        <v>1.0104841103494973</v>
      </c>
      <c r="CF203" s="1193">
        <f>'2028'!R\Max</f>
        <v>1.0104841103494975</v>
      </c>
    </row>
    <row r="204" spans="1:84" s="6" customFormat="1" ht="11.25" x14ac:dyDescent="0.2">
      <c r="A204" s="11">
        <v>43290</v>
      </c>
      <c r="B204" s="379">
        <f>'2022'!Maxi_hp</f>
        <v>61.952223381648238</v>
      </c>
      <c r="C204" s="13">
        <f>'2022'!An_max</f>
        <v>2022</v>
      </c>
      <c r="D204" s="1045">
        <f t="shared" si="78"/>
        <v>1.0000875490197065</v>
      </c>
      <c r="E204" s="1040">
        <f>AA$13/10</f>
        <v>61.946799999999996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61.946800000034273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61.984450000245126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61.946800000034273</v>
      </c>
      <c r="AZ204" s="735">
        <f t="shared" si="96"/>
        <v>61.965625000139696</v>
      </c>
      <c r="BA204" s="633">
        <f t="shared" si="93"/>
        <v>1.0000875490197065</v>
      </c>
      <c r="BC204" s="11">
        <v>43290</v>
      </c>
      <c r="BD204" s="289">
        <f>[2]!FeuilCaduc*(1-Persistant)+Persistant</f>
        <v>0.98860699130480645</v>
      </c>
      <c r="BE204" s="290">
        <f>[2]!CroissVégét</f>
        <v>0.76698911930492164</v>
      </c>
      <c r="BF204" s="804">
        <f>1+[2]!Salcycl*Ksac</f>
        <v>1.0488606991304807</v>
      </c>
      <c r="BH204" s="1036">
        <f t="shared" si="94"/>
        <v>3.8116429075484953E-4</v>
      </c>
      <c r="BI204" s="11">
        <v>44386</v>
      </c>
      <c r="BJ204" s="715">
        <v>1.2067936558545058E-7</v>
      </c>
      <c r="BK204" s="715">
        <v>1.2067936558545056E-7</v>
      </c>
      <c r="BL204" s="715">
        <v>2.9630075040243414E-5</v>
      </c>
      <c r="BM204" s="715">
        <v>1.787925242737026E-4</v>
      </c>
      <c r="BN204" s="715">
        <v>5.8425572374824601E-4</v>
      </c>
      <c r="BO204" s="716">
        <v>1.3909613216027494E-3</v>
      </c>
      <c r="BP204" s="715">
        <v>2.6849615658090069E-3</v>
      </c>
      <c r="BQ204" s="715">
        <v>4.5453932564820995E-3</v>
      </c>
      <c r="BR204" s="715">
        <v>7.0407333951012958E-3</v>
      </c>
      <c r="BS204" s="715">
        <v>1.0270348371450432E-2</v>
      </c>
      <c r="BT204" s="715">
        <v>1.4018453688732148E-2</v>
      </c>
      <c r="BW204" s="1190">
        <f>'2019'!R\Max</f>
        <v>0.33427042850498606</v>
      </c>
      <c r="BX204" s="1190">
        <f>'2020'!R\Max</f>
        <v>0.98707995184646347</v>
      </c>
      <c r="BY204" s="1190">
        <f>'2021'!R\Max</f>
        <v>0.98258629062292124</v>
      </c>
      <c r="BZ204" s="1190">
        <f>'2022'!R\Max</f>
        <v>1.0000875490197065</v>
      </c>
      <c r="CA204" s="1190">
        <f>'2023'!R\Max</f>
        <v>1.000087549019707</v>
      </c>
      <c r="CB204" s="1190">
        <f>'2024'!R\Max</f>
        <v>1.0000875490197068</v>
      </c>
      <c r="CC204" s="1190">
        <f>'2025'!R\Max</f>
        <v>1.0000875490197068</v>
      </c>
      <c r="CD204" s="1190">
        <f>'2026'!R\Max</f>
        <v>1.0000875490197065</v>
      </c>
      <c r="CE204" s="1191">
        <f>'2027'!R\Max</f>
        <v>1.0000875490197068</v>
      </c>
      <c r="CF204" s="1193">
        <f>'2028'!R\Max</f>
        <v>1.000087549019707</v>
      </c>
    </row>
    <row r="205" spans="1:84" s="6" customFormat="1" ht="11.25" x14ac:dyDescent="0.2">
      <c r="A205" s="11">
        <v>43291</v>
      </c>
      <c r="B205" s="379">
        <f>'2022'!Maxi_hp</f>
        <v>61.369131281717756</v>
      </c>
      <c r="C205" s="13">
        <f>'2022'!An_max</f>
        <v>2022</v>
      </c>
      <c r="D205" s="1045">
        <f t="shared" si="78"/>
        <v>0.99200012460211706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61.864035860209597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61.903693677378556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61.860340378679595</v>
      </c>
      <c r="AZ205" s="735">
        <f t="shared" si="96"/>
        <v>61.882017028029075</v>
      </c>
      <c r="BA205" s="633">
        <f t="shared" si="93"/>
        <v>0.99200012460211706</v>
      </c>
      <c r="BC205" s="11">
        <v>43291</v>
      </c>
      <c r="BD205" s="289">
        <f>[2]!FeuilCaduc*(1-Persistant)+Persistant</f>
        <v>0.99000449616144037</v>
      </c>
      <c r="BE205" s="290">
        <f>[2]!CroissVégét</f>
        <v>0.77426389460057909</v>
      </c>
      <c r="BF205" s="804">
        <f>1+[2]!Salcycl*Ksac</f>
        <v>1.049000449616144</v>
      </c>
      <c r="BH205" s="1036">
        <f t="shared" si="94"/>
        <v>3.9388371752764563E-4</v>
      </c>
      <c r="BI205" s="11">
        <v>44387</v>
      </c>
      <c r="BJ205" s="715">
        <v>1.1404823519833493E-7</v>
      </c>
      <c r="BK205" s="715">
        <v>1.1404823519833493E-7</v>
      </c>
      <c r="BL205" s="715">
        <v>3.1280702998788474E-5</v>
      </c>
      <c r="BM205" s="715">
        <v>1.8629648497484316E-4</v>
      </c>
      <c r="BN205" s="715">
        <v>6.0220916362790325E-4</v>
      </c>
      <c r="BO205" s="716">
        <v>1.4245194875644124E-3</v>
      </c>
      <c r="BP205" s="715">
        <v>2.7361477105940068E-3</v>
      </c>
      <c r="BQ205" s="715">
        <v>4.6200395762462454E-3</v>
      </c>
      <c r="BR205" s="715">
        <v>7.1431923074835105E-3</v>
      </c>
      <c r="BS205" s="715">
        <v>1.0406876949950759E-2</v>
      </c>
      <c r="BT205" s="715">
        <v>1.4191099990653891E-2</v>
      </c>
      <c r="BW205" s="1190">
        <f>'2019'!R\Max</f>
        <v>0.97199724265309939</v>
      </c>
      <c r="BX205" s="1190">
        <f>'2020'!R\Max</f>
        <v>0.92711133606255647</v>
      </c>
      <c r="BY205" s="1190">
        <f>'2021'!R\Max</f>
        <v>0.87433650985433009</v>
      </c>
      <c r="BZ205" s="1190">
        <f>'2022'!R\Max</f>
        <v>0.99200012460211706</v>
      </c>
      <c r="CA205" s="1190">
        <f>'2023'!R\Max</f>
        <v>0.99199948202155463</v>
      </c>
      <c r="CB205" s="1190">
        <f>'2024'!R\Max</f>
        <v>0.99199862275517614</v>
      </c>
      <c r="CC205" s="1190">
        <f>'2025'!R\Max</f>
        <v>0.99199769955224704</v>
      </c>
      <c r="CD205" s="1190">
        <f>'2026'!R\Max</f>
        <v>0.99200148300925217</v>
      </c>
      <c r="CE205" s="1191">
        <f>'2027'!R\Max</f>
        <v>0.99200113548930968</v>
      </c>
      <c r="CF205" s="1193">
        <f>'2028'!R\Max</f>
        <v>0.99200073271021494</v>
      </c>
    </row>
    <row r="206" spans="1:84" s="6" customFormat="1" ht="11.25" x14ac:dyDescent="0.2">
      <c r="A206" s="11">
        <v>43292</v>
      </c>
      <c r="B206" s="379">
        <f>'2022'!Maxi_hp</f>
        <v>60.983970970198122</v>
      </c>
      <c r="C206" s="13">
        <f>'2022'!An_max</f>
        <v>2018</v>
      </c>
      <c r="D206" s="1045">
        <f t="shared" si="78"/>
        <v>0.98710647442972987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61.780539941681283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61.820934110986329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61.773002623992838</v>
      </c>
      <c r="AZ206" s="735">
        <f t="shared" si="96"/>
        <v>61.796968367489583</v>
      </c>
      <c r="BA206" s="633">
        <f t="shared" si="93"/>
        <v>0.98710647442972987</v>
      </c>
      <c r="BC206" s="11">
        <v>43292</v>
      </c>
      <c r="BD206" s="289">
        <f>[2]!FeuilCaduc*(1-Persistant)+Persistant</f>
        <v>0.99128310690055033</v>
      </c>
      <c r="BE206" s="290">
        <f>[2]!CroissVégét</f>
        <v>0.78137649671730769</v>
      </c>
      <c r="BF206" s="804">
        <f>1+[2]!Salcycl*Ksac</f>
        <v>1.0491283106900551</v>
      </c>
      <c r="BH206" s="1036">
        <f t="shared" si="94"/>
        <v>4.0789207422587954E-4</v>
      </c>
      <c r="BI206" s="11">
        <v>44388</v>
      </c>
      <c r="BJ206" s="715">
        <v>1.0611007401272711E-7</v>
      </c>
      <c r="BK206" s="715">
        <v>1.0730677268745787E-7</v>
      </c>
      <c r="BL206" s="715">
        <v>3.3121913390798885E-5</v>
      </c>
      <c r="BM206" s="715">
        <v>1.9461449162390808E-4</v>
      </c>
      <c r="BN206" s="715">
        <v>6.2192810617422501E-4</v>
      </c>
      <c r="BO206" s="716">
        <v>1.4610170353969393E-3</v>
      </c>
      <c r="BP206" s="715">
        <v>2.7917451192629767E-3</v>
      </c>
      <c r="BQ206" s="715">
        <v>4.7009725626604047E-3</v>
      </c>
      <c r="BR206" s="715">
        <v>7.2544223160361113E-3</v>
      </c>
      <c r="BS206" s="715">
        <v>1.055478698999532E-2</v>
      </c>
      <c r="BT206" s="715">
        <v>1.4377862118249082E-2</v>
      </c>
      <c r="BW206" s="1190">
        <f>'2019'!R\Max</f>
        <v>0.98710647442972987</v>
      </c>
      <c r="BX206" s="1190">
        <f>'2020'!R\Max</f>
        <v>0.78501980415190287</v>
      </c>
      <c r="BY206" s="1190">
        <f>'2021'!R\Max</f>
        <v>0.87729970752885345</v>
      </c>
      <c r="BZ206" s="1190">
        <f>'2022'!R\Max</f>
        <v>0.96733748658030239</v>
      </c>
      <c r="CA206" s="1190">
        <f>'2023'!R\Max</f>
        <v>0.96733488410701884</v>
      </c>
      <c r="CB206" s="1190">
        <f>'2024'!R\Max</f>
        <v>0.96733139917839339</v>
      </c>
      <c r="CC206" s="1190">
        <f>'2025'!R\Max</f>
        <v>0.96732766429811179</v>
      </c>
      <c r="CD206" s="1190">
        <f>'2026'!R\Max</f>
        <v>0.96734302244162673</v>
      </c>
      <c r="CE206" s="1191">
        <f>'2027'!R\Max</f>
        <v>0.96734159955614263</v>
      </c>
      <c r="CF206" s="1193">
        <f>'2028'!R\Max</f>
        <v>0.96733995888830593</v>
      </c>
    </row>
    <row r="207" spans="1:84" s="6" customFormat="1" ht="11.25" x14ac:dyDescent="0.2">
      <c r="A207" s="11">
        <v>43293</v>
      </c>
      <c r="B207" s="379">
        <f>'2022'!Maxi_hp</f>
        <v>61.397076269848142</v>
      </c>
      <c r="C207" s="13">
        <f>'2022'!An_max</f>
        <v>2018</v>
      </c>
      <c r="D207" s="1045">
        <f t="shared" ref="D207:D270" si="97">IF($BA207&gt;$D$11,BA207,"")</f>
        <v>0.9951533974279515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61.696092711468893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61.736088976250699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61.684676967833994</v>
      </c>
      <c r="AZ207" s="735">
        <f t="shared" si="96"/>
        <v>61.710382972042346</v>
      </c>
      <c r="BA207" s="633">
        <f t="shared" ref="BA207:BA270" si="112">+B207/J207</f>
        <v>0.9951533974279515</v>
      </c>
      <c r="BC207" s="11">
        <v>43293</v>
      </c>
      <c r="BD207" s="289">
        <f>[2]!FeuilCaduc*(1-Persistant)+Persistant</f>
        <v>0.9924481675313197</v>
      </c>
      <c r="BE207" s="290">
        <f>[2]!CroissVégét</f>
        <v>0.78832648381074411</v>
      </c>
      <c r="BF207" s="804">
        <f>1+[2]!Salcycl*Ksac</f>
        <v>1.0492448167531321</v>
      </c>
      <c r="BH207" s="1036">
        <f t="shared" ref="BH207:BH270" si="113">INDEX($BJ207:$BT207,,$BH$10)*(1-Ratini)+INDEX($BJ207:$BT207,,$BH$10+1)*Ratini</f>
        <v>4.2281153321123649E-4</v>
      </c>
      <c r="BI207" s="11">
        <v>44389</v>
      </c>
      <c r="BJ207" s="715">
        <v>9.7813059182873546E-8</v>
      </c>
      <c r="BK207" s="715">
        <v>1.0140167186382434E-7</v>
      </c>
      <c r="BL207" s="715">
        <v>3.5112181511714478E-5</v>
      </c>
      <c r="BM207" s="715">
        <v>2.0354786942835811E-4</v>
      </c>
      <c r="BN207" s="715">
        <v>6.4285493380682093E-4</v>
      </c>
      <c r="BO207" s="716">
        <v>1.4992765339029242E-3</v>
      </c>
      <c r="BP207" s="715">
        <v>2.8499023368727268E-3</v>
      </c>
      <c r="BQ207" s="715">
        <v>4.7854933377255724E-3</v>
      </c>
      <c r="BR207" s="715">
        <v>7.3707411648816822E-3</v>
      </c>
      <c r="BS207" s="715">
        <v>1.0709190658476924E-2</v>
      </c>
      <c r="BT207" s="715">
        <v>1.457263076650424E-2</v>
      </c>
      <c r="BW207" s="1190">
        <f>'2019'!R\Max</f>
        <v>0.9951533974279515</v>
      </c>
      <c r="BX207" s="1190">
        <f>'2020'!R\Max</f>
        <v>0.80651980535833423</v>
      </c>
      <c r="BY207" s="1190">
        <f>'2021'!R\Max</f>
        <v>0.22518947433040065</v>
      </c>
      <c r="BZ207" s="1190">
        <f>'2022'!R\Max</f>
        <v>0.96455899475529039</v>
      </c>
      <c r="CA207" s="1190">
        <f>'2023'!R\Max</f>
        <v>0.96455612962384507</v>
      </c>
      <c r="CB207" s="1190">
        <f>'2024'!R\Max</f>
        <v>0.96455228795434644</v>
      </c>
      <c r="CC207" s="1190">
        <f>'2025'!R\Max</f>
        <v>0.96454818074507032</v>
      </c>
      <c r="CD207" s="1190">
        <f>'2026'!R\Max</f>
        <v>0.96456512626245661</v>
      </c>
      <c r="CE207" s="1191">
        <f>'2027'!R\Max</f>
        <v>0.96456354301003711</v>
      </c>
      <c r="CF207" s="1193">
        <f>'2028'!R\Max</f>
        <v>0.96456172661017425</v>
      </c>
    </row>
    <row r="208" spans="1:84" s="6" customFormat="1" ht="11.25" x14ac:dyDescent="0.2">
      <c r="A208" s="11">
        <v>43294</v>
      </c>
      <c r="B208" s="379">
        <f>'2022'!Maxi_hp</f>
        <v>59.212572300737307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61.610474635740481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61.649075947635403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61.595253644138573</v>
      </c>
      <c r="AZ208" s="735">
        <f t="shared" ref="AZ208:AZ271" si="115">(AY208+AT208)/2</f>
        <v>61.622164795886988</v>
      </c>
      <c r="BA208" s="633">
        <f t="shared" si="112"/>
        <v>0.96107963217001191</v>
      </c>
      <c r="BC208" s="11">
        <v>43294</v>
      </c>
      <c r="BD208" s="289">
        <f>[2]!FeuilCaduc*(1-Persistant)+Persistant</f>
        <v>0.99350505644163523</v>
      </c>
      <c r="BE208" s="290">
        <f>[2]!CroissVégét</f>
        <v>0.79511370224543498</v>
      </c>
      <c r="BF208" s="804">
        <f>1+[2]!Salcycl*Ksac</f>
        <v>1.0493505056441634</v>
      </c>
      <c r="BH208" s="1036">
        <f t="shared" si="113"/>
        <v>4.3864168399086826E-4</v>
      </c>
      <c r="BI208" s="11">
        <v>44390</v>
      </c>
      <c r="BJ208" s="715">
        <v>8.9157441237841141E-8</v>
      </c>
      <c r="BK208" s="715">
        <v>9.6331778580082832E-8</v>
      </c>
      <c r="BL208" s="715">
        <v>3.7251405395644063E-5</v>
      </c>
      <c r="BM208" s="715">
        <v>2.1309625552141725E-4</v>
      </c>
      <c r="BN208" s="715">
        <v>6.6498918823740434E-4</v>
      </c>
      <c r="BO208" s="716">
        <v>1.5392978977899149E-3</v>
      </c>
      <c r="BP208" s="715">
        <v>2.9106197325583449E-3</v>
      </c>
      <c r="BQ208" s="715">
        <v>4.8736029988464546E-3</v>
      </c>
      <c r="BR208" s="715">
        <v>7.4921506609598029E-3</v>
      </c>
      <c r="BS208" s="715">
        <v>1.0870091248171456E-2</v>
      </c>
      <c r="BT208" s="715">
        <v>1.4775410973758819E-2</v>
      </c>
      <c r="BW208" s="1190">
        <f>'2019'!R\Max</f>
        <v>0.87125929789853196</v>
      </c>
      <c r="BX208" s="1190">
        <f>'2020'!R\Max</f>
        <v>0.66061634715252793</v>
      </c>
      <c r="BY208" s="1190">
        <f>'2021'!R\Max</f>
        <v>0.41171744561633333</v>
      </c>
      <c r="BZ208" s="1190">
        <f>'2022'!R\Max</f>
        <v>0.96107963217001191</v>
      </c>
      <c r="CA208" s="1190">
        <f>'2023'!R\Max</f>
        <v>0.96107644124261493</v>
      </c>
      <c r="CB208" s="1190">
        <f>'2024'!R\Max</f>
        <v>0.96107215753190511</v>
      </c>
      <c r="CC208" s="1190">
        <f>'2025'!R\Max</f>
        <v>0.96106758854994467</v>
      </c>
      <c r="CD208" s="1190">
        <f>'2026'!R\Max</f>
        <v>0.96108650114730398</v>
      </c>
      <c r="CE208" s="1191">
        <f>'2027'!R\Max</f>
        <v>0.96108471945013763</v>
      </c>
      <c r="CF208" s="1193">
        <f>'2028'!R\Max</f>
        <v>0.96108268542949826</v>
      </c>
    </row>
    <row r="209" spans="1:84" s="6" customFormat="1" ht="11.25" x14ac:dyDescent="0.2">
      <c r="A209" s="11">
        <v>43295</v>
      </c>
      <c r="B209" s="379">
        <f>'2022'!Maxi_hp</f>
        <v>61.162094530225126</v>
      </c>
      <c r="C209" s="13">
        <f>'2022'!An_max</f>
        <v>2018</v>
      </c>
      <c r="D209" s="1045">
        <f t="shared" si="97"/>
        <v>0.99412627939890086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61.523466180983391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61.559812700495662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61.504622886442974</v>
      </c>
      <c r="AZ209" s="735">
        <f t="shared" si="115"/>
        <v>61.532217793469314</v>
      </c>
      <c r="BA209" s="633">
        <f t="shared" si="112"/>
        <v>0.99412627939890086</v>
      </c>
      <c r="BC209" s="11">
        <v>43295</v>
      </c>
      <c r="BD209" s="289">
        <f>[2]!FeuilCaduc*(1-Persistant)+Persistant</f>
        <v>0.99445915586584843</v>
      </c>
      <c r="BE209" s="290">
        <f>[2]!CroissVégét</f>
        <v>0.80173827384170082</v>
      </c>
      <c r="BF209" s="804">
        <f>1+[2]!Salcycl*Ksac</f>
        <v>1.0494459155865847</v>
      </c>
      <c r="BH209" s="1036">
        <f t="shared" si="113"/>
        <v>4.5538221325020314E-4</v>
      </c>
      <c r="BI209" s="11">
        <v>44391</v>
      </c>
      <c r="BJ209" s="715">
        <v>8.014342665035751E-8</v>
      </c>
      <c r="BK209" s="715">
        <v>9.2095980370774511E-8</v>
      </c>
      <c r="BL209" s="715">
        <v>3.953949787461985E-5</v>
      </c>
      <c r="BM209" s="715">
        <v>2.2325934988019902E-4</v>
      </c>
      <c r="BN209" s="715">
        <v>6.8833054281245126E-4</v>
      </c>
      <c r="BO209" s="716">
        <v>1.581081252664958E-3</v>
      </c>
      <c r="BP209" s="715">
        <v>2.9738979882804645E-3</v>
      </c>
      <c r="BQ209" s="715">
        <v>4.9653030893941283E-3</v>
      </c>
      <c r="BR209" s="715">
        <v>7.6186532353059383E-3</v>
      </c>
      <c r="BS209" s="715">
        <v>1.10374928630793E-2</v>
      </c>
      <c r="BT209" s="715">
        <v>1.4986208789609998E-2</v>
      </c>
      <c r="BW209" s="1190">
        <f>'2019'!R\Max</f>
        <v>0.99412627939890086</v>
      </c>
      <c r="BX209" s="1190">
        <f>'2020'!R\Max</f>
        <v>0.99082397558762647</v>
      </c>
      <c r="BY209" s="1190">
        <f>'2021'!R\Max</f>
        <v>0.46907205457667911</v>
      </c>
      <c r="BZ209" s="1190">
        <f>'2022'!R\Max</f>
        <v>0.95246048633829972</v>
      </c>
      <c r="CA209" s="1190">
        <f>'2023'!R\Max</f>
        <v>0.95245655383986283</v>
      </c>
      <c r="CB209" s="1190">
        <f>'2024'!R\Max</f>
        <v>0.95245126865224383</v>
      </c>
      <c r="CC209" s="1190">
        <f>'2025'!R\Max</f>
        <v>0.95244564446011215</v>
      </c>
      <c r="CD209" s="1190">
        <f>'2026'!R\Max</f>
        <v>0.9524690001641537</v>
      </c>
      <c r="CE209" s="1191">
        <f>'2027'!R\Max</f>
        <v>0.95246678205305668</v>
      </c>
      <c r="CF209" s="1193">
        <f>'2028'!R\Max</f>
        <v>0.95246426195672296</v>
      </c>
    </row>
    <row r="210" spans="1:84" s="6" customFormat="1" ht="11.25" x14ac:dyDescent="0.2">
      <c r="A210" s="11">
        <v>43296</v>
      </c>
      <c r="B210" s="379">
        <f>'2022'!Maxi_hp</f>
        <v>62.506291921724774</v>
      </c>
      <c r="C210" s="13">
        <f>'2022'!An_max</f>
        <v>2018</v>
      </c>
      <c r="D210" s="1045">
        <f t="shared" si="97"/>
        <v>1.0174403314450691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61.434847813578585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61.468216909893918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61.412674927192612</v>
      </c>
      <c r="AZ210" s="735">
        <f t="shared" si="115"/>
        <v>61.440445918543261</v>
      </c>
      <c r="BA210" s="633">
        <f t="shared" si="112"/>
        <v>1.0174403314450691</v>
      </c>
      <c r="BC210" s="11">
        <v>43296</v>
      </c>
      <c r="BD210" s="289">
        <f>[2]!FeuilCaduc*(1-Persistant)+Persistant</f>
        <v>0.99531582230751603</v>
      </c>
      <c r="BE210" s="290">
        <f>[2]!CroissVégét</f>
        <v>0.80820058265200556</v>
      </c>
      <c r="BF210" s="804">
        <f>1+[2]!Salcycl*Ksac</f>
        <v>1.0495315822307516</v>
      </c>
      <c r="BH210" s="1036">
        <f t="shared" si="113"/>
        <v>4.7303291029377462E-4</v>
      </c>
      <c r="BI210" s="11">
        <v>44392</v>
      </c>
      <c r="BJ210" s="715">
        <v>7.077117567200929E-8</v>
      </c>
      <c r="BK210" s="715">
        <v>8.8693211359130902E-8</v>
      </c>
      <c r="BL210" s="715">
        <v>4.1976387467717598E-5</v>
      </c>
      <c r="BM210" s="715">
        <v>2.3403691899779862E-4</v>
      </c>
      <c r="BN210" s="715">
        <v>7.1287880972905444E-4</v>
      </c>
      <c r="BO210" s="716">
        <v>1.6246269455785589E-3</v>
      </c>
      <c r="BP210" s="715">
        <v>3.0397381141320391E-3</v>
      </c>
      <c r="BQ210" s="715">
        <v>5.0605956201458238E-3</v>
      </c>
      <c r="BR210" s="715">
        <v>7.7502519734219113E-3</v>
      </c>
      <c r="BS210" s="715">
        <v>1.1211400457161668E-2</v>
      </c>
      <c r="BT210" s="715">
        <v>1.5205031322645631E-2</v>
      </c>
      <c r="BW210" s="1190">
        <f>'2019'!R\Max</f>
        <v>1.0174403314450691</v>
      </c>
      <c r="BX210" s="1190">
        <f>'2020'!R\Max</f>
        <v>0.80760012583045815</v>
      </c>
      <c r="BY210" s="1190">
        <f>'2021'!R\Max</f>
        <v>0.62978057824717004</v>
      </c>
      <c r="BZ210" s="1190">
        <f>'2022'!R\Max</f>
        <v>0.92244168240194779</v>
      </c>
      <c r="CA210" s="1190">
        <f>'2023'!R\Max</f>
        <v>0.92243535491961015</v>
      </c>
      <c r="CB210" s="1190">
        <f>'2024'!R\Max</f>
        <v>0.92242684212431048</v>
      </c>
      <c r="CC210" s="1190">
        <f>'2025'!R\Max</f>
        <v>0.92241780358061343</v>
      </c>
      <c r="CD210" s="1190">
        <f>'2026'!R\Max</f>
        <v>0.92245545761859438</v>
      </c>
      <c r="CE210" s="1191">
        <f>'2027'!R\Max</f>
        <v>0.92245185324377477</v>
      </c>
      <c r="CF210" s="1193">
        <f>'2028'!R\Max</f>
        <v>0.9224477772839802</v>
      </c>
    </row>
    <row r="211" spans="1:84" s="6" customFormat="1" ht="11.25" x14ac:dyDescent="0.2">
      <c r="A211" s="11">
        <v>43297</v>
      </c>
      <c r="B211" s="379">
        <f>'2022'!Maxi_hp</f>
        <v>60.8270261955942</v>
      </c>
      <c r="C211" s="13">
        <f>'2022'!An_max</f>
        <v>2018</v>
      </c>
      <c r="D211" s="1045">
        <f t="shared" si="97"/>
        <v>0.99156607931230223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61.344399999827147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61.3742062502075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61.319300000136721</v>
      </c>
      <c r="AZ211" s="735">
        <f t="shared" si="115"/>
        <v>61.346753125172114</v>
      </c>
      <c r="BA211" s="633">
        <f t="shared" si="112"/>
        <v>0.99156607931230223</v>
      </c>
      <c r="BC211" s="11">
        <v>43297</v>
      </c>
      <c r="BD211" s="289">
        <f>[2]!FeuilCaduc*(1-Persistant)+Persistant</f>
        <v>0.9960803581122053</v>
      </c>
      <c r="BE211" s="290">
        <f>[2]!CroissVégét</f>
        <v>0.81450126137468837</v>
      </c>
      <c r="BF211" s="804">
        <f>1+[2]!Salcycl*Ksac</f>
        <v>1.0496080358112205</v>
      </c>
      <c r="BH211" s="1036">
        <f t="shared" si="113"/>
        <v>4.9159367246943649E-4</v>
      </c>
      <c r="BI211" s="11">
        <v>44393</v>
      </c>
      <c r="BJ211" s="715">
        <v>6.1040800164839348E-8</v>
      </c>
      <c r="BK211" s="715">
        <v>8.6122457160056138E-8</v>
      </c>
      <c r="BL211" s="715">
        <v>4.4562019268780762E-5</v>
      </c>
      <c r="BM211" s="715">
        <v>2.4542879954734875E-4</v>
      </c>
      <c r="BN211" s="715">
        <v>7.3863394722555791E-4</v>
      </c>
      <c r="BO211" s="716">
        <v>1.6699355555100518E-3</v>
      </c>
      <c r="BP211" s="715">
        <v>3.108141463534064E-3</v>
      </c>
      <c r="BQ211" s="715">
        <v>5.1594830905384824E-3</v>
      </c>
      <c r="BR211" s="715">
        <v>7.8869506453597797E-3</v>
      </c>
      <c r="BS211" s="715">
        <v>1.1391819872660969E-2</v>
      </c>
      <c r="BT211" s="715">
        <v>1.5431886787611475E-2</v>
      </c>
      <c r="BW211" s="1190">
        <f>'2019'!R\Max</f>
        <v>0.99156607931230223</v>
      </c>
      <c r="BX211" s="1190">
        <f>'2020'!R\Max</f>
        <v>0.33683319752341589</v>
      </c>
      <c r="BY211" s="1190">
        <f>'2021'!R\Max</f>
        <v>0.70125202558356059</v>
      </c>
      <c r="BZ211" s="1190">
        <f>'2022'!R\Max</f>
        <v>0.95077013046337921</v>
      </c>
      <c r="CA211" s="1190">
        <f>'2023'!R\Max</f>
        <v>0.95076591374866526</v>
      </c>
      <c r="CB211" s="1190">
        <f>'2024'!R\Max</f>
        <v>0.95076023524086084</v>
      </c>
      <c r="CC211" s="1190">
        <f>'2025'!R\Max</f>
        <v>0.95075421905141311</v>
      </c>
      <c r="CD211" s="1190">
        <f>'2026'!R\Max</f>
        <v>0.95077935986199913</v>
      </c>
      <c r="CE211" s="1191">
        <f>'2027'!R\Max</f>
        <v>0.95077693477628999</v>
      </c>
      <c r="CF211" s="1193">
        <f>'2028'!R\Max</f>
        <v>0.95077420484104003</v>
      </c>
    </row>
    <row r="212" spans="1:84" s="6" customFormat="1" ht="11.25" x14ac:dyDescent="0.2">
      <c r="A212" s="11">
        <v>43298</v>
      </c>
      <c r="B212" s="379">
        <f>'2022'!Maxi_hp</f>
        <v>61.26677577265081</v>
      </c>
      <c r="C212" s="13">
        <f>'2022'!An_max</f>
        <v>2021</v>
      </c>
      <c r="D212" s="1045">
        <f t="shared" si="97"/>
        <v>1.000242809849021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61.251903207280805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61.277698396518829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61.22438833838595</v>
      </c>
      <c r="AZ212" s="735">
        <f t="shared" si="115"/>
        <v>61.25104336745239</v>
      </c>
      <c r="BA212" s="633">
        <f t="shared" si="112"/>
        <v>1.000242809849021</v>
      </c>
      <c r="BC212" s="11">
        <v>43298</v>
      </c>
      <c r="BD212" s="289">
        <f>[2]!FeuilCaduc*(1-Persistant)+Persistant</f>
        <v>0.9967579843720783</v>
      </c>
      <c r="BE212" s="290">
        <f>[2]!CroissVégét</f>
        <v>0.82064117750784105</v>
      </c>
      <c r="BF212" s="804">
        <f>1+[2]!Salcycl*Ksac</f>
        <v>1.0496757984372078</v>
      </c>
      <c r="BH212" s="1036">
        <f t="shared" si="113"/>
        <v>5.1060657474509411E-4</v>
      </c>
      <c r="BI212" s="11">
        <v>44394</v>
      </c>
      <c r="BJ212" s="715">
        <v>5.1371515550159327E-8</v>
      </c>
      <c r="BK212" s="715">
        <v>1.1921372364437568E-7</v>
      </c>
      <c r="BL212" s="715">
        <v>4.7319859936290286E-5</v>
      </c>
      <c r="BM212" s="715">
        <v>2.5712311398377375E-4</v>
      </c>
      <c r="BN212" s="715">
        <v>7.6499146341452162E-4</v>
      </c>
      <c r="BO212" s="716">
        <v>1.7161601311411455E-3</v>
      </c>
      <c r="BP212" s="715">
        <v>3.1783788851197079E-3</v>
      </c>
      <c r="BQ212" s="715">
        <v>5.2614176344659078E-3</v>
      </c>
      <c r="BR212" s="715">
        <v>8.0289224259758978E-3</v>
      </c>
      <c r="BS212" s="715">
        <v>1.1580465050186306E-2</v>
      </c>
      <c r="BT212" s="715">
        <v>1.5670745268224914E-2</v>
      </c>
      <c r="BW212" s="1190">
        <f>'2019'!R\Max</f>
        <v>0.87016240423870816</v>
      </c>
      <c r="BX212" s="1190">
        <f>'2020'!R\Max</f>
        <v>0.40875238470447012</v>
      </c>
      <c r="BY212" s="1190">
        <f>'2021'!R\Max</f>
        <v>1.000242809849021</v>
      </c>
      <c r="BZ212" s="1190">
        <f>'2022'!R\Max</f>
        <v>0.94391449945678652</v>
      </c>
      <c r="CA212" s="1190">
        <f>'2023'!R\Max</f>
        <v>0.94390963990266286</v>
      </c>
      <c r="CB212" s="1190">
        <f>'2024'!R\Max</f>
        <v>0.94390308992326954</v>
      </c>
      <c r="CC212" s="1190">
        <f>'2025'!R\Max</f>
        <v>0.94389616503346485</v>
      </c>
      <c r="CD212" s="1190">
        <f>'2026'!R\Max</f>
        <v>0.94392518908827183</v>
      </c>
      <c r="CE212" s="1191">
        <f>'2027'!R\Max</f>
        <v>0.94392236925438866</v>
      </c>
      <c r="CF212" s="1193">
        <f>'2028'!R\Max</f>
        <v>0.94391920880031999</v>
      </c>
    </row>
    <row r="213" spans="1:84" s="6" customFormat="1" ht="11.25" x14ac:dyDescent="0.2">
      <c r="A213" s="11">
        <v>43299</v>
      </c>
      <c r="B213" s="379">
        <f>'2022'!Maxi_hp</f>
        <v>58.86448423611867</v>
      </c>
      <c r="C213" s="13">
        <f>'2022'!An_max</f>
        <v>2022</v>
      </c>
      <c r="D213" s="1045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61.157137900817077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61.178611024183091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61.12783017506424</v>
      </c>
      <c r="AZ213" s="735">
        <f t="shared" si="115"/>
        <v>61.153220599623666</v>
      </c>
      <c r="BA213" s="633">
        <f t="shared" si="112"/>
        <v>0.96251208373392871</v>
      </c>
      <c r="BC213" s="11">
        <v>43299</v>
      </c>
      <c r="BD213" s="289">
        <f>[2]!FeuilCaduc*(1-Persistant)+Persistant</f>
        <v>0.99735381532902678</v>
      </c>
      <c r="BE213" s="290">
        <f>[2]!CroissVégét</f>
        <v>0.82662141934042188</v>
      </c>
      <c r="BF213" s="804">
        <f>1+[2]!Salcycl*Ksac</f>
        <v>1.0497353815329027</v>
      </c>
      <c r="BH213" s="1036">
        <f t="shared" si="113"/>
        <v>5.2976449573132627E-4</v>
      </c>
      <c r="BI213" s="11">
        <v>44395</v>
      </c>
      <c r="BJ213" s="715">
        <v>4.26009274268487E-8</v>
      </c>
      <c r="BK213" s="715">
        <v>1.8876867739900711E-7</v>
      </c>
      <c r="BL213" s="715">
        <v>5.0188786543213814E-5</v>
      </c>
      <c r="BM213" s="715">
        <v>2.6885949283410126E-4</v>
      </c>
      <c r="BN213" s="715">
        <v>7.9159731873275037E-4</v>
      </c>
      <c r="BO213" s="716">
        <v>1.7628494103652107E-3</v>
      </c>
      <c r="BP213" s="715">
        <v>3.2498665062121166E-3</v>
      </c>
      <c r="BQ213" s="715">
        <v>5.3654870223248767E-3</v>
      </c>
      <c r="BR213" s="715">
        <v>8.1747573872333161E-3</v>
      </c>
      <c r="BS213" s="715">
        <v>1.1775519180176164E-2</v>
      </c>
      <c r="BT213" s="715">
        <v>1.5919391386169341E-2</v>
      </c>
      <c r="BW213" s="1190">
        <f>'2019'!R\Max</f>
        <v>0.67614199065450609</v>
      </c>
      <c r="BX213" s="1190">
        <f>'2020'!R\Max</f>
        <v>0.46566459194213883</v>
      </c>
      <c r="BY213" s="1190">
        <f>'2021'!R\Max</f>
        <v>0.90262113317678061</v>
      </c>
      <c r="BZ213" s="1190">
        <f>'2022'!R\Max</f>
        <v>0.96251208373392871</v>
      </c>
      <c r="CA213" s="1190">
        <f>'2023'!R\Max</f>
        <v>0.96250870815328904</v>
      </c>
      <c r="CB213" s="1190">
        <f>'2024'!R\Max</f>
        <v>0.96250415489466346</v>
      </c>
      <c r="CC213" s="1190">
        <f>'2025'!R\Max</f>
        <v>0.96249935083788629</v>
      </c>
      <c r="CD213" s="1190">
        <f>'2026'!R\Max</f>
        <v>0.96251954328361378</v>
      </c>
      <c r="CE213" s="1191">
        <f>'2027'!R\Max</f>
        <v>0.96251756831375201</v>
      </c>
      <c r="CF213" s="1193">
        <f>'2028'!R\Max</f>
        <v>0.9625153640291102</v>
      </c>
    </row>
    <row r="214" spans="1:84" s="6" customFormat="1" ht="11.25" x14ac:dyDescent="0.2">
      <c r="A214" s="11">
        <v>43300</v>
      </c>
      <c r="B214" s="379">
        <f>'2022'!Maxi_hp</f>
        <v>60.996282625351171</v>
      </c>
      <c r="C214" s="13">
        <f>'2022'!An_max</f>
        <v>2020</v>
      </c>
      <c r="D214" s="1045">
        <f t="shared" si="97"/>
        <v>0.99895836811613903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61.059884547921158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61.076861807491106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61.029515743215697</v>
      </c>
      <c r="AZ214" s="735">
        <f t="shared" si="115"/>
        <v>61.053188775353405</v>
      </c>
      <c r="BA214" s="633">
        <f t="shared" si="112"/>
        <v>0.99895836811613903</v>
      </c>
      <c r="BC214" s="11">
        <v>43300</v>
      </c>
      <c r="BD214" s="289">
        <f>[2]!FeuilCaduc*(1-Persistant)+Persistant</f>
        <v>0.99787283442676245</v>
      </c>
      <c r="BE214" s="290">
        <f>[2]!CroissVégét</f>
        <v>0.83244328187154937</v>
      </c>
      <c r="BF214" s="804">
        <f>1+[2]!Salcycl*Ksac</f>
        <v>1.0497872834426762</v>
      </c>
      <c r="BH214" s="1036">
        <f t="shared" si="113"/>
        <v>5.4906841573589243E-4</v>
      </c>
      <c r="BI214" s="11">
        <v>44396</v>
      </c>
      <c r="BJ214" s="715">
        <v>3.4727782408584456E-8</v>
      </c>
      <c r="BK214" s="715">
        <v>2.9475324818498754E-7</v>
      </c>
      <c r="BL214" s="715">
        <v>5.3168836899470219E-5</v>
      </c>
      <c r="BM214" s="715">
        <v>2.806385496560069E-4</v>
      </c>
      <c r="BN214" s="715">
        <v>8.1845286154230972E-4</v>
      </c>
      <c r="BO214" s="716">
        <v>1.8100059619637898E-3</v>
      </c>
      <c r="BP214" s="715">
        <v>3.3226080539540581E-3</v>
      </c>
      <c r="BQ214" s="715">
        <v>5.4716967536057037E-3</v>
      </c>
      <c r="BR214" s="715">
        <v>8.3244627564452757E-3</v>
      </c>
      <c r="BS214" s="715">
        <v>1.197699118853761E-2</v>
      </c>
      <c r="BT214" s="715">
        <v>1.6177835438299835E-2</v>
      </c>
      <c r="BW214" s="1190">
        <f>'2019'!R\Max</f>
        <v>0.96949626661256205</v>
      </c>
      <c r="BX214" s="1190">
        <f>'2020'!R\Max</f>
        <v>0.99895836811613903</v>
      </c>
      <c r="BY214" s="1190">
        <f>'2021'!R\Max</f>
        <v>0.97475808051914004</v>
      </c>
      <c r="BZ214" s="1190">
        <f>'2022'!R\Max</f>
        <v>0.79669323018067173</v>
      </c>
      <c r="CA214" s="1190">
        <f>'2023'!R\Max</f>
        <v>0.79667778423528113</v>
      </c>
      <c r="CB214" s="1190">
        <f>'2024'!R\Max</f>
        <v>0.79665693705590823</v>
      </c>
      <c r="CC214" s="1190">
        <f>'2025'!R\Max</f>
        <v>0.79663498630044827</v>
      </c>
      <c r="CD214" s="1190">
        <f>'2026'!R\Max</f>
        <v>0.79672751032506006</v>
      </c>
      <c r="CE214" s="1191">
        <f>'2027'!R\Max</f>
        <v>0.79671840329844068</v>
      </c>
      <c r="CF214" s="1193">
        <f>'2028'!R\Max</f>
        <v>0.79670827977649761</v>
      </c>
    </row>
    <row r="215" spans="1:84" s="6" customFormat="1" ht="11.25" x14ac:dyDescent="0.2">
      <c r="A215" s="11">
        <v>43301</v>
      </c>
      <c r="B215" s="379">
        <f>'2022'!Maxi_hp</f>
        <v>59.776097909915435</v>
      </c>
      <c r="C215" s="13">
        <f>'2022'!An_max</f>
        <v>2020</v>
      </c>
      <c r="D215" s="1045">
        <f t="shared" si="97"/>
        <v>0.98058026264812004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60.959923615519486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60.972368421798045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60.929335276882298</v>
      </c>
      <c r="AZ215" s="735">
        <f t="shared" si="115"/>
        <v>60.950851849340168</v>
      </c>
      <c r="BA215" s="633">
        <f t="shared" si="112"/>
        <v>0.98058026264812004</v>
      </c>
      <c r="BC215" s="11">
        <v>43301</v>
      </c>
      <c r="BD215" s="289">
        <f>[2]!FeuilCaduc*(1-Persistant)+Persistant</f>
        <v>0.9983198721446559</v>
      </c>
      <c r="BE215" s="290">
        <f>[2]!CroissVégét</f>
        <v>0.83810825274241962</v>
      </c>
      <c r="BF215" s="804">
        <f>1+[2]!Salcycl*Ksac</f>
        <v>1.0498319872144657</v>
      </c>
      <c r="BH215" s="1036">
        <f t="shared" si="113"/>
        <v>5.6851937425258733E-4</v>
      </c>
      <c r="BI215" s="11">
        <v>44397</v>
      </c>
      <c r="BJ215" s="715">
        <v>2.7750885177974789E-8</v>
      </c>
      <c r="BK215" s="715">
        <v>4.3713675687865035E-7</v>
      </c>
      <c r="BL215" s="715">
        <v>5.626006558681243E-5</v>
      </c>
      <c r="BM215" s="715">
        <v>2.9246093015424142E-4</v>
      </c>
      <c r="BN215" s="715">
        <v>8.4555952652641553E-4</v>
      </c>
      <c r="BO215" s="716">
        <v>1.8576325086038716E-3</v>
      </c>
      <c r="BP215" s="715">
        <v>3.3966075384869198E-3</v>
      </c>
      <c r="BQ215" s="715">
        <v>5.5800527673460698E-3</v>
      </c>
      <c r="BR215" s="715">
        <v>8.4780464536264293E-3</v>
      </c>
      <c r="BS215" s="715">
        <v>1.2184891037072099E-2</v>
      </c>
      <c r="BT215" s="715">
        <v>1.6446089184573614E-2</v>
      </c>
      <c r="BW215" s="1190">
        <f>'2019'!R\Max</f>
        <v>0.46752805232670025</v>
      </c>
      <c r="BX215" s="1190">
        <f>'2020'!R\Max</f>
        <v>0.98058026264812004</v>
      </c>
      <c r="BY215" s="1190">
        <f>'2021'!R\Max</f>
        <v>0.80506076405964844</v>
      </c>
      <c r="BZ215" s="1190">
        <f>'2022'!R\Max</f>
        <v>0.79028149899999733</v>
      </c>
      <c r="CA215" s="1190">
        <f>'2023'!R\Max</f>
        <v>0.79026538496812149</v>
      </c>
      <c r="CB215" s="1190">
        <f>'2024'!R\Max</f>
        <v>0.79024362492000733</v>
      </c>
      <c r="CC215" s="1190">
        <f>'2025'!R\Max</f>
        <v>0.79022075730134256</v>
      </c>
      <c r="CD215" s="1190">
        <f>'2026'!R\Max</f>
        <v>0.79031740151717311</v>
      </c>
      <c r="CE215" s="1191">
        <f>'2027'!R\Max</f>
        <v>0.79030783341206956</v>
      </c>
      <c r="CF215" s="1193">
        <f>'2028'!R\Max</f>
        <v>0.79029723819858388</v>
      </c>
    </row>
    <row r="216" spans="1:84" s="6" customFormat="1" ht="11.25" x14ac:dyDescent="0.2">
      <c r="A216" s="11">
        <v>43302</v>
      </c>
      <c r="B216" s="379">
        <f>'2022'!Maxi_hp</f>
        <v>56.978356977824554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60.857035568516167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60.86504854265867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60.82717900888197</v>
      </c>
      <c r="AZ216" s="735">
        <f t="shared" si="115"/>
        <v>60.84611377577032</v>
      </c>
      <c r="BA216" s="633">
        <f t="shared" si="112"/>
        <v>0.93626573239301503</v>
      </c>
      <c r="BC216" s="11">
        <v>43302</v>
      </c>
      <c r="BD216" s="289">
        <f>[2]!FeuilCaduc*(1-Persistant)+Persistant</f>
        <v>0.99869958572743278</v>
      </c>
      <c r="BE216" s="290">
        <f>[2]!CroissVégét</f>
        <v>0.84361799825853956</v>
      </c>
      <c r="BF216" s="804">
        <f>1+[2]!Salcycl*Ksac</f>
        <v>1.0498699585727433</v>
      </c>
      <c r="BH216" s="1036">
        <f t="shared" si="113"/>
        <v>5.8811847085215967E-4</v>
      </c>
      <c r="BI216" s="11">
        <v>44398</v>
      </c>
      <c r="BJ216" s="715">
        <v>2.166910376685927E-8</v>
      </c>
      <c r="BK216" s="715">
        <v>6.1589213163684918E-7</v>
      </c>
      <c r="BL216" s="715">
        <v>5.9462544624012109E-5</v>
      </c>
      <c r="BM216" s="715">
        <v>3.0432731245451529E-4</v>
      </c>
      <c r="BN216" s="715">
        <v>8.7291883619958037E-4</v>
      </c>
      <c r="BO216" s="716">
        <v>1.9057319296252606E-3</v>
      </c>
      <c r="BP216" s="715">
        <v>3.4718692603580028E-3</v>
      </c>
      <c r="BQ216" s="715">
        <v>5.690561454720979E-3</v>
      </c>
      <c r="BR216" s="715">
        <v>8.6355171142363431E-3</v>
      </c>
      <c r="BS216" s="715">
        <v>1.2399229761171774E-2</v>
      </c>
      <c r="BT216" s="715">
        <v>1.6724165905599796E-2</v>
      </c>
      <c r="BW216" s="1190">
        <f>'2019'!R\Max</f>
        <v>0.78348504585530465</v>
      </c>
      <c r="BX216" s="1190">
        <f>'2020'!R\Max</f>
        <v>0.85076530381116477</v>
      </c>
      <c r="BY216" s="1190">
        <f>'2021'!R\Max</f>
        <v>0.76026292842711996</v>
      </c>
      <c r="BZ216" s="1190">
        <f>'2022'!R\Max</f>
        <v>0.93626573239301503</v>
      </c>
      <c r="CA216" s="1190">
        <f>'2023'!R\Max</f>
        <v>0.93625981592414231</v>
      </c>
      <c r="CB216" s="1190">
        <f>'2024'!R\Max</f>
        <v>0.93625182297134291</v>
      </c>
      <c r="CC216" s="1190">
        <f>'2025'!R\Max</f>
        <v>0.93624343860891035</v>
      </c>
      <c r="CD216" s="1190">
        <f>'2026'!R\Max</f>
        <v>0.93627896090928098</v>
      </c>
      <c r="CE216" s="1191">
        <f>'2027'!R\Max</f>
        <v>0.93627542529679164</v>
      </c>
      <c r="CF216" s="1193">
        <f>'2028'!R\Max</f>
        <v>0.93627152448171691</v>
      </c>
    </row>
    <row r="217" spans="1:84" s="6" customFormat="1" ht="11.25" x14ac:dyDescent="0.2">
      <c r="A217" s="11">
        <v>43303</v>
      </c>
      <c r="B217" s="379">
        <f>'2022'!Maxi_hp</f>
        <v>55.348148280408218</v>
      </c>
      <c r="C217" s="13">
        <f>'2022'!An_max</f>
        <v>2020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60.751000874396411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60.754819843705221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60.722937171939499</v>
      </c>
      <c r="AZ217" s="735">
        <f t="shared" si="115"/>
        <v>60.738878507822363</v>
      </c>
      <c r="BA217" s="633">
        <f t="shared" si="112"/>
        <v>0.91106562005194502</v>
      </c>
      <c r="BC217" s="11">
        <v>43303</v>
      </c>
      <c r="BD217" s="289">
        <f>[2]!FeuilCaduc*(1-Persistant)+Persistant</f>
        <v>0.99901644090528263</v>
      </c>
      <c r="BE217" s="290">
        <f>[2]!CroissVégét</f>
        <v>0.84897434957309781</v>
      </c>
      <c r="BF217" s="804">
        <f>1+[2]!Salcycl*Ksac</f>
        <v>1.0499016440905282</v>
      </c>
      <c r="BH217" s="1036">
        <f t="shared" si="113"/>
        <v>6.078668660756322E-4</v>
      </c>
      <c r="BI217" s="11">
        <v>44399</v>
      </c>
      <c r="BJ217" s="715">
        <v>1.6481374837093876E-8</v>
      </c>
      <c r="BK217" s="715">
        <v>8.3099612405871927E-7</v>
      </c>
      <c r="BL217" s="715">
        <v>6.2776364132231498E-5</v>
      </c>
      <c r="BM217" s="715">
        <v>3.162384073785385E-4</v>
      </c>
      <c r="BN217" s="715">
        <v>9.0053240242141477E-4</v>
      </c>
      <c r="BO217" s="716">
        <v>1.9543072638365101E-3</v>
      </c>
      <c r="BP217" s="715">
        <v>3.5483978179440671E-3</v>
      </c>
      <c r="BQ217" s="715">
        <v>5.8032296716599638E-3</v>
      </c>
      <c r="BR217" s="715">
        <v>8.7968841119649335E-3</v>
      </c>
      <c r="BS217" s="715">
        <v>1.2620019507576789E-2</v>
      </c>
      <c r="BT217" s="715">
        <v>1.7012080460272E-2</v>
      </c>
      <c r="BW217" s="1190">
        <f>'2019'!R\Max</f>
        <v>0.85118145965769199</v>
      </c>
      <c r="BX217" s="1190">
        <f>'2020'!R\Max</f>
        <v>0.91106562005194502</v>
      </c>
      <c r="BY217" s="1190">
        <f>'2021'!R\Max</f>
        <v>0.90611328092670995</v>
      </c>
      <c r="BZ217" s="1190">
        <f>'2022'!R\Max</f>
        <v>0.75732789164044723</v>
      </c>
      <c r="CA217" s="1190">
        <f>'2023'!R\Max</f>
        <v>0.75730930648035133</v>
      </c>
      <c r="CB217" s="1190">
        <f>'2024'!R\Max</f>
        <v>0.7572841922432586</v>
      </c>
      <c r="CC217" s="1190">
        <f>'2025'!R\Max</f>
        <v>0.7572578974193096</v>
      </c>
      <c r="CD217" s="1190">
        <f>'2026'!R\Max</f>
        <v>0.75736958353840311</v>
      </c>
      <c r="CE217" s="1191">
        <f>'2027'!R\Max</f>
        <v>0.75735841024281236</v>
      </c>
      <c r="CF217" s="1193">
        <f>'2028'!R\Max</f>
        <v>0.75734612656635625</v>
      </c>
    </row>
    <row r="218" spans="1:84" s="6" customFormat="1" ht="11.25" x14ac:dyDescent="0.2">
      <c r="A218" s="11">
        <v>43304</v>
      </c>
      <c r="B218" s="379">
        <f>'2022'!Maxi_hp</f>
        <v>56.109961045476417</v>
      </c>
      <c r="C218" s="13">
        <f>'2022'!An_max</f>
        <v>2018</v>
      </c>
      <c r="D218" s="1045" t="str">
        <f t="shared" si="97"/>
        <v/>
      </c>
      <c r="E218" s="1040">
        <f>AB$13/10</f>
        <v>60.641600000000004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60.64159999974072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60.64160000011325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60.616500000003725</v>
      </c>
      <c r="AZ218" s="735">
        <f t="shared" si="115"/>
        <v>60.629050000058484</v>
      </c>
      <c r="BA218" s="633">
        <f t="shared" si="112"/>
        <v>0.92527177788376824</v>
      </c>
      <c r="BC218" s="11">
        <v>43304</v>
      </c>
      <c r="BD218" s="289">
        <f>[2]!FeuilCaduc*(1-Persistant)+Persistant</f>
        <v>0.99927469567870597</v>
      </c>
      <c r="BE218" s="290">
        <f>[2]!CroissVégét</f>
        <v>0.854179289095362</v>
      </c>
      <c r="BF218" s="804">
        <f>1+[2]!Salcycl*Ksac</f>
        <v>1.0499274695678706</v>
      </c>
      <c r="BH218" s="1036">
        <f t="shared" si="113"/>
        <v>6.2776578234115927E-4</v>
      </c>
      <c r="BI218" s="11">
        <v>44400</v>
      </c>
      <c r="BJ218" s="715">
        <v>1.2186708961671581E-8</v>
      </c>
      <c r="BK218" s="715">
        <v>1.0824295253647879E-6</v>
      </c>
      <c r="BL218" s="715">
        <v>6.6201633001789777E-5</v>
      </c>
      <c r="BM218" s="715">
        <v>3.2819495872610347E-4</v>
      </c>
      <c r="BN218" s="715">
        <v>9.2840192793047815E-4</v>
      </c>
      <c r="BO218" s="716">
        <v>2.0033617123543716E-3</v>
      </c>
      <c r="BP218" s="715">
        <v>3.6261981149538765E-3</v>
      </c>
      <c r="BQ218" s="715">
        <v>5.918064751593499E-3</v>
      </c>
      <c r="BR218" s="715">
        <v>8.9621575817137155E-3</v>
      </c>
      <c r="BS218" s="715">
        <v>1.2847273572413415E-2</v>
      </c>
      <c r="BT218" s="715">
        <v>1.7309849343779521E-2</v>
      </c>
      <c r="BW218" s="1190">
        <f>'2019'!R\Max</f>
        <v>0.92527177788376824</v>
      </c>
      <c r="BX218" s="1190">
        <f>'2020'!R\Max</f>
        <v>0.89880091008576024</v>
      </c>
      <c r="BY218" s="1190">
        <f>'2021'!R\Max</f>
        <v>0.75905981205884432</v>
      </c>
      <c r="BZ218" s="1190">
        <f>'2022'!R\Max</f>
        <v>0.87193067894378795</v>
      </c>
      <c r="CA218" s="1190">
        <f>'2023'!R\Max</f>
        <v>0.87191915893029592</v>
      </c>
      <c r="CB218" s="1190">
        <f>'2024'!R\Max</f>
        <v>0.87190358848782046</v>
      </c>
      <c r="CC218" s="1190">
        <f>'2025'!R\Max</f>
        <v>0.87188731432415756</v>
      </c>
      <c r="CD218" s="1190">
        <f>'2026'!R\Max</f>
        <v>0.87195659708629158</v>
      </c>
      <c r="CE218" s="1191">
        <f>'2027'!R\Max</f>
        <v>0.87194963413269377</v>
      </c>
      <c r="CF218" s="1193">
        <f>'2028'!R\Max</f>
        <v>0.87194200495952379</v>
      </c>
    </row>
    <row r="219" spans="1:84" s="6" customFormat="1" ht="11.25" x14ac:dyDescent="0.2">
      <c r="A219" s="11">
        <v>43305</v>
      </c>
      <c r="B219" s="379">
        <f>'2022'!Maxi_hp</f>
        <v>57.246859486598268</v>
      </c>
      <c r="C219" s="13">
        <f>'2022'!An_max</f>
        <v>2022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60.52916224516396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60.526198542543817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60.507757726291722</v>
      </c>
      <c r="AZ219" s="735">
        <f t="shared" si="115"/>
        <v>60.516978134417769</v>
      </c>
      <c r="BA219" s="633">
        <f t="shared" si="112"/>
        <v>0.94577320027541045</v>
      </c>
      <c r="BC219" s="11">
        <v>43305</v>
      </c>
      <c r="BD219" s="289">
        <f>[2]!FeuilCaduc*(1-Persistant)+Persistant</f>
        <v>0.99947838622173213</v>
      </c>
      <c r="BE219" s="290">
        <f>[2]!CroissVégét</f>
        <v>0.85923493718111654</v>
      </c>
      <c r="BF219" s="804">
        <f>1+[2]!Salcycl*Ksac</f>
        <v>1.0499478386221732</v>
      </c>
      <c r="BH219" s="1036">
        <f t="shared" si="113"/>
        <v>6.4781545871654374E-4</v>
      </c>
      <c r="BI219" s="11">
        <v>44401</v>
      </c>
      <c r="BJ219" s="715">
        <v>8.7841817200886729E-9</v>
      </c>
      <c r="BK219" s="715">
        <v>1.3701751699527171E-6</v>
      </c>
      <c r="BL219" s="715">
        <v>6.9738366941045368E-5</v>
      </c>
      <c r="BM219" s="715">
        <v>3.4019719418488219E-4</v>
      </c>
      <c r="BN219" s="715">
        <v>9.5652766321517406E-4</v>
      </c>
      <c r="BO219" s="716">
        <v>2.0528953262934136E-3</v>
      </c>
      <c r="BP219" s="715">
        <v>3.705269384417858E-3</v>
      </c>
      <c r="BQ219" s="715">
        <v>6.0350647723782687E-3</v>
      </c>
      <c r="BR219" s="715">
        <v>9.1313336966954584E-3</v>
      </c>
      <c r="BS219" s="715">
        <v>1.3080985315190877E-2</v>
      </c>
      <c r="BT219" s="715">
        <v>1.7617462295772816E-2</v>
      </c>
      <c r="BW219" s="1190">
        <f>'2019'!R\Max</f>
        <v>0.9308288932456803</v>
      </c>
      <c r="BX219" s="1190">
        <f>'2020'!R\Max</f>
        <v>0.82975945698667053</v>
      </c>
      <c r="BY219" s="1190">
        <f>'2021'!R\Max</f>
        <v>0.48355395925355038</v>
      </c>
      <c r="BZ219" s="1190">
        <f>'2022'!R\Max</f>
        <v>0.94577320027541045</v>
      </c>
      <c r="CA219" s="1190">
        <f>'2023'!R\Max</f>
        <v>0.94576780193774257</v>
      </c>
      <c r="CB219" s="1190">
        <f>'2024'!R\Max</f>
        <v>0.94576050474878304</v>
      </c>
      <c r="CC219" s="1190">
        <f>'2025'!R\Max</f>
        <v>0.94575289061645385</v>
      </c>
      <c r="CD219" s="1190">
        <f>'2026'!R\Max</f>
        <v>0.94578537778971616</v>
      </c>
      <c r="CE219" s="1191">
        <f>'2027'!R\Max</f>
        <v>0.94578209895034993</v>
      </c>
      <c r="CF219" s="1193">
        <f>'2028'!R\Max</f>
        <v>0.94577851798084978</v>
      </c>
    </row>
    <row r="220" spans="1:84" s="6" customFormat="1" ht="11.25" x14ac:dyDescent="0.2">
      <c r="A220" s="11">
        <v>43306</v>
      </c>
      <c r="B220" s="379">
        <f>'2022'!Maxi_hp</f>
        <v>59.315557328001788</v>
      </c>
      <c r="C220" s="13">
        <f>'2022'!An_max</f>
        <v>2020</v>
      </c>
      <c r="D220" s="1045">
        <f t="shared" si="97"/>
        <v>0.98181542410018208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60.414163265324063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60.409406705653033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60.396600583062629</v>
      </c>
      <c r="AZ220" s="735">
        <f t="shared" si="115"/>
        <v>60.403003644357831</v>
      </c>
      <c r="BA220" s="633">
        <f t="shared" si="112"/>
        <v>0.98181542410018208</v>
      </c>
      <c r="BC220" s="11">
        <v>43306</v>
      </c>
      <c r="BD220" s="289">
        <f>[2]!FeuilCaduc*(1-Persistant)+Persistant</f>
        <v>0.99963131493620416</v>
      </c>
      <c r="BE220" s="290">
        <f>[2]!CroissVégét</f>
        <v>0.86414353915538655</v>
      </c>
      <c r="BF220" s="804">
        <f>1+[2]!Salcycl*Ksac</f>
        <v>1.0499631314936204</v>
      </c>
      <c r="BH220" s="1036">
        <f t="shared" si="113"/>
        <v>6.6815932549982846E-4</v>
      </c>
      <c r="BI220" s="11">
        <v>44402</v>
      </c>
      <c r="BJ220" s="715">
        <v>6.2729655960521622E-9</v>
      </c>
      <c r="BK220" s="715">
        <v>1.7464097002049133E-6</v>
      </c>
      <c r="BL220" s="715">
        <v>7.3596705078233813E-5</v>
      </c>
      <c r="BM220" s="715">
        <v>3.5249717145243234E-4</v>
      </c>
      <c r="BN220" s="715">
        <v>9.8494402487754704E-4</v>
      </c>
      <c r="BO220" s="716">
        <v>2.1027887833103198E-3</v>
      </c>
      <c r="BP220" s="715">
        <v>3.7854135314832247E-3</v>
      </c>
      <c r="BQ220" s="715">
        <v>6.1542516126943799E-3</v>
      </c>
      <c r="BR220" s="715">
        <v>9.3047802192817927E-3</v>
      </c>
      <c r="BS220" s="715">
        <v>1.3322613754726853E-2</v>
      </c>
      <c r="BT220" s="715">
        <v>1.793808252294208E-2</v>
      </c>
      <c r="BW220" s="1190">
        <f>'2019'!R\Max</f>
        <v>0.94188766148540914</v>
      </c>
      <c r="BX220" s="1190">
        <f>'2020'!R\Max</f>
        <v>0.98181542410018208</v>
      </c>
      <c r="BY220" s="1190">
        <f>'2021'!R\Max</f>
        <v>0.62003676035228561</v>
      </c>
      <c r="BZ220" s="1190">
        <f>'2022'!R\Max</f>
        <v>0.48286767487177235</v>
      </c>
      <c r="CA220" s="1190">
        <f>'2023'!R\Max</f>
        <v>0.48284085601406362</v>
      </c>
      <c r="CB220" s="1190">
        <f>'2024'!R\Max</f>
        <v>0.48280460346007947</v>
      </c>
      <c r="CC220" s="1190">
        <f>'2025'!R\Max</f>
        <v>0.48276684345958404</v>
      </c>
      <c r="CD220" s="1190">
        <f>'2026'!R\Max</f>
        <v>0.48292832387342077</v>
      </c>
      <c r="CE220" s="1191">
        <f>'2027'!R\Max</f>
        <v>0.48291195990400754</v>
      </c>
      <c r="CF220" s="1193">
        <f>'2028'!R\Max</f>
        <v>0.48289414418084353</v>
      </c>
    </row>
    <row r="221" spans="1:84" s="6" customFormat="1" ht="11.25" x14ac:dyDescent="0.2">
      <c r="A221" s="11">
        <v>43307</v>
      </c>
      <c r="B221" s="379">
        <f>'2022'!Maxi_hp</f>
        <v>61.877218642952464</v>
      </c>
      <c r="C221" s="13">
        <f>'2022'!An_max</f>
        <v>2022</v>
      </c>
      <c r="D221" s="1045">
        <f t="shared" si="97"/>
        <v>1.026214007121929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60.296603060886262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60.291114723416321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60.282918804371732</v>
      </c>
      <c r="AZ221" s="735">
        <f t="shared" si="115"/>
        <v>60.28701676389403</v>
      </c>
      <c r="BA221" s="633">
        <f t="shared" si="112"/>
        <v>1.026214007121929</v>
      </c>
      <c r="BC221" s="11">
        <v>43307</v>
      </c>
      <c r="BD221" s="289">
        <f>[2]!FeuilCaduc*(1-Persistant)+Persistant</f>
        <v>0.99973704066884461</v>
      </c>
      <c r="BE221" s="290">
        <f>[2]!CroissVégét</f>
        <v>0.86890745271110437</v>
      </c>
      <c r="BF221" s="804">
        <f>1+[2]!Salcycl*Ksac</f>
        <v>1.0499737040668844</v>
      </c>
      <c r="BH221" s="1036">
        <f t="shared" si="113"/>
        <v>6.8819018940454346E-4</v>
      </c>
      <c r="BI221" s="11">
        <v>44403</v>
      </c>
      <c r="BJ221" s="715">
        <v>4.1810689451379523E-9</v>
      </c>
      <c r="BK221" s="715">
        <v>2.2094249145207164E-6</v>
      </c>
      <c r="BL221" s="715">
        <v>7.768790669161681E-5</v>
      </c>
      <c r="BM221" s="715">
        <v>3.6473755315521127E-4</v>
      </c>
      <c r="BN221" s="715">
        <v>1.0127930751904345E-3</v>
      </c>
      <c r="BO221" s="716">
        <v>2.151725495556808E-3</v>
      </c>
      <c r="BP221" s="715">
        <v>3.8646504760078827E-3</v>
      </c>
      <c r="BQ221" s="715">
        <v>6.2729487570599663E-3</v>
      </c>
      <c r="BR221" s="715">
        <v>9.4788238947710376E-3</v>
      </c>
      <c r="BS221" s="715">
        <v>1.3567495481499915E-2</v>
      </c>
      <c r="BT221" s="715">
        <v>1.826594282199959E-2</v>
      </c>
      <c r="BW221" s="1190">
        <f>'2019'!R\Max</f>
        <v>0.3843636945366829</v>
      </c>
      <c r="BX221" s="1190">
        <f>'2020'!R\Max</f>
        <v>0.96820319332882476</v>
      </c>
      <c r="BY221" s="1190">
        <f>'2021'!R\Max</f>
        <v>0.60818711498412625</v>
      </c>
      <c r="BZ221" s="1190">
        <f>'2022'!R\Max</f>
        <v>1.026214007121929</v>
      </c>
      <c r="CA221" s="1190">
        <f>'2023'!R\Max</f>
        <v>1.026214007121929</v>
      </c>
      <c r="CB221" s="1190">
        <f>'2024'!R\Max</f>
        <v>1.026214007121929</v>
      </c>
      <c r="CC221" s="1190">
        <f>'2025'!R\Max</f>
        <v>1.0262140071219292</v>
      </c>
      <c r="CD221" s="1190">
        <f>'2026'!R\Max</f>
        <v>1.026214007121929</v>
      </c>
      <c r="CE221" s="1191">
        <f>'2027'!R\Max</f>
        <v>1.026214007121929</v>
      </c>
      <c r="CF221" s="1193">
        <f>'2028'!R\Max</f>
        <v>1.026214007121929</v>
      </c>
    </row>
    <row r="222" spans="1:84" s="6" customFormat="1" ht="11.25" x14ac:dyDescent="0.2">
      <c r="A222" s="11">
        <v>43308</v>
      </c>
      <c r="B222" s="379">
        <f>'2022'!Maxi_hp</f>
        <v>61.925460480563899</v>
      </c>
      <c r="C222" s="13">
        <f>'2022'!An_max</f>
        <v>2022</v>
      </c>
      <c r="D222" s="1045">
        <f t="shared" si="97"/>
        <v>1.0290641592934002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60.176481632675447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60.171212828318993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60.166602624300864</v>
      </c>
      <c r="AZ222" s="735">
        <f t="shared" si="115"/>
        <v>60.168907726309925</v>
      </c>
      <c r="BA222" s="633">
        <f t="shared" si="112"/>
        <v>1.0290641592934002</v>
      </c>
      <c r="BC222" s="11">
        <v>43308</v>
      </c>
      <c r="BD222" s="289">
        <f>[2]!FeuilCaduc*(1-Persistant)+Persistant</f>
        <v>0.99979887108202736</v>
      </c>
      <c r="BE222" s="290">
        <f>[2]!CroissVégét</f>
        <v>0.87352913572103608</v>
      </c>
      <c r="BF222" s="804">
        <f>1+[2]!Salcycl*Ksac</f>
        <v>1.0499798871082027</v>
      </c>
      <c r="BH222" s="1036">
        <f t="shared" si="113"/>
        <v>7.0790888160565744E-4</v>
      </c>
      <c r="BI222" s="11">
        <v>44404</v>
      </c>
      <c r="BJ222" s="715">
        <v>2.5081308134461674E-9</v>
      </c>
      <c r="BK222" s="715">
        <v>2.7591827656419005E-6</v>
      </c>
      <c r="BL222" s="715">
        <v>8.2011966518312309E-5</v>
      </c>
      <c r="BM222" s="715">
        <v>3.7691877770596876E-4</v>
      </c>
      <c r="BN222" s="715">
        <v>1.0400760394877492E-3</v>
      </c>
      <c r="BO222" s="716">
        <v>2.1997074813621142E-3</v>
      </c>
      <c r="BP222" s="715">
        <v>3.9429829565234545E-3</v>
      </c>
      <c r="BQ222" s="715">
        <v>6.3911596000523234E-3</v>
      </c>
      <c r="BR222" s="715">
        <v>9.6534687615226263E-3</v>
      </c>
      <c r="BS222" s="715">
        <v>1.3815634537753302E-2</v>
      </c>
      <c r="BT222" s="715">
        <v>1.8601046695869834E-2</v>
      </c>
      <c r="BW222" s="1190">
        <f>'2019'!R\Max</f>
        <v>0.21765095535446735</v>
      </c>
      <c r="BX222" s="1190">
        <f>'2020'!R\Max</f>
        <v>0.79762255314916974</v>
      </c>
      <c r="BY222" s="1190">
        <f>'2021'!R\Max</f>
        <v>0.82027775305448292</v>
      </c>
      <c r="BZ222" s="1190">
        <f>'2022'!R\Max</f>
        <v>1.0290641592934002</v>
      </c>
      <c r="CA222" s="1190">
        <f>'2023'!R\Max</f>
        <v>1.0290641592934004</v>
      </c>
      <c r="CB222" s="1190">
        <f>'2024'!R\Max</f>
        <v>1.0290641592934002</v>
      </c>
      <c r="CC222" s="1190">
        <f>'2025'!R\Max</f>
        <v>1.0290641592934</v>
      </c>
      <c r="CD222" s="1190">
        <f>'2026'!R\Max</f>
        <v>1.0290641592934002</v>
      </c>
      <c r="CE222" s="1191">
        <f>'2027'!R\Max</f>
        <v>1.0290641592934002</v>
      </c>
      <c r="CF222" s="1193">
        <f>'2028'!R\Max</f>
        <v>1.0290641592934002</v>
      </c>
    </row>
    <row r="223" spans="1:84" s="6" customFormat="1" ht="11.25" x14ac:dyDescent="0.2">
      <c r="A223" s="11">
        <v>43309</v>
      </c>
      <c r="B223" s="379">
        <f>'2022'!Maxi_hp</f>
        <v>56.218409152668862</v>
      </c>
      <c r="C223" s="13">
        <f>'2022'!An_max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60.053798979494182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60.049591253724472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60.047542274058131</v>
      </c>
      <c r="AZ223" s="735">
        <f t="shared" si="115"/>
        <v>60.048566763891301</v>
      </c>
      <c r="BA223" s="633">
        <f t="shared" si="112"/>
        <v>0.93613410155559118</v>
      </c>
      <c r="BC223" s="11">
        <v>43309</v>
      </c>
      <c r="BD223" s="289">
        <f>[2]!FeuilCaduc*(1-Persistant)+Persistant</f>
        <v>0.99981985714877841</v>
      </c>
      <c r="BE223" s="290">
        <f>[2]!CroissVégét</f>
        <v>0.8780111344941991</v>
      </c>
      <c r="BF223" s="804">
        <f>1+[2]!Salcycl*Ksac</f>
        <v>1.0499819857148778</v>
      </c>
      <c r="BH223" s="1036">
        <f t="shared" si="113"/>
        <v>7.2731618273457583E-4</v>
      </c>
      <c r="BI223" s="11">
        <v>44405</v>
      </c>
      <c r="BJ223" s="715">
        <v>1.2538268996220248E-9</v>
      </c>
      <c r="BK223" s="715">
        <v>3.3956517120413116E-6</v>
      </c>
      <c r="BL223" s="715">
        <v>8.656889322531106E-5</v>
      </c>
      <c r="BM223" s="715">
        <v>3.8904126343041585E-4</v>
      </c>
      <c r="BN223" s="715">
        <v>1.0667940619950092E-3</v>
      </c>
      <c r="BO223" s="716">
        <v>2.2467366192800062E-3</v>
      </c>
      <c r="BP223" s="715">
        <v>4.0204135369771047E-3</v>
      </c>
      <c r="BQ223" s="715">
        <v>6.5088873448253927E-3</v>
      </c>
      <c r="BR223" s="715">
        <v>9.828718683907868E-3</v>
      </c>
      <c r="BS223" s="715">
        <v>1.4067034917082534E-2</v>
      </c>
      <c r="BT223" s="715">
        <v>1.8943397817057492E-2</v>
      </c>
      <c r="BW223" s="1190">
        <f>'2019'!R\Max</f>
        <v>0.91049101793703624</v>
      </c>
      <c r="BX223" s="1190">
        <f>'2020'!R\Max</f>
        <v>0.93613410155559118</v>
      </c>
      <c r="BY223" s="1190">
        <f>'2021'!R\Max</f>
        <v>0.43985534620235178</v>
      </c>
      <c r="BZ223" s="1190">
        <f>'2022'!R\Max</f>
        <v>0.80400630994282707</v>
      </c>
      <c r="CA223" s="1190">
        <f>'2023'!R\Max</f>
        <v>0.80398835850761163</v>
      </c>
      <c r="CB223" s="1190">
        <f>'2024'!R\Max</f>
        <v>0.80396406468125847</v>
      </c>
      <c r="CC223" s="1190">
        <f>'2025'!R\Max</f>
        <v>0.80393887137539655</v>
      </c>
      <c r="CD223" s="1190">
        <f>'2026'!R\Max</f>
        <v>0.80404710821471226</v>
      </c>
      <c r="CE223" s="1191">
        <f>'2027'!R\Max</f>
        <v>0.80403605217674423</v>
      </c>
      <c r="CF223" s="1193">
        <f>'2028'!R\Max</f>
        <v>0.80402411244590943</v>
      </c>
    </row>
    <row r="224" spans="1:84" s="6" customFormat="1" ht="11.25" x14ac:dyDescent="0.2">
      <c r="A224" s="11">
        <v>43310</v>
      </c>
      <c r="B224" s="379">
        <f>'2022'!Maxi_hp</f>
        <v>59.204840320642759</v>
      </c>
      <c r="C224" s="13">
        <f>'2022'!An_max</f>
        <v>2018</v>
      </c>
      <c r="D224" s="1045">
        <f t="shared" si="97"/>
        <v>0.9879237071538276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59.928555101901296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59.926140233368741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59.925627988151142</v>
      </c>
      <c r="AZ224" s="735">
        <f t="shared" si="115"/>
        <v>59.925884110759938</v>
      </c>
      <c r="BA224" s="633">
        <f t="shared" si="112"/>
        <v>0.9879237071538276</v>
      </c>
      <c r="BC224" s="11">
        <v>43310</v>
      </c>
      <c r="BD224" s="289">
        <f>[2]!FeuilCaduc*(1-Persistant)+Persistant</f>
        <v>0.99980278972274117</v>
      </c>
      <c r="BE224" s="290">
        <f>[2]!CroissVégét</f>
        <v>0.88235607250226589</v>
      </c>
      <c r="BF224" s="804">
        <f>1+[2]!Salcycl*Ksac</f>
        <v>1.0499802789722741</v>
      </c>
      <c r="BH224" s="1036">
        <f t="shared" si="113"/>
        <v>7.4641282384169301E-4</v>
      </c>
      <c r="BI224" s="11">
        <v>44406</v>
      </c>
      <c r="BJ224" s="715">
        <v>4.1786825769829718E-10</v>
      </c>
      <c r="BK224" s="715">
        <v>4.1188064482124816E-6</v>
      </c>
      <c r="BL224" s="715">
        <v>9.1358708683806058E-5</v>
      </c>
      <c r="BM224" s="715">
        <v>4.0110540874540245E-4</v>
      </c>
      <c r="BN224" s="715">
        <v>1.092948207579051E-3</v>
      </c>
      <c r="BO224" s="716">
        <v>2.2928146510502322E-3</v>
      </c>
      <c r="BP224" s="715">
        <v>4.096944609547553E-3</v>
      </c>
      <c r="BQ224" s="715">
        <v>6.6261350046472002E-3</v>
      </c>
      <c r="BR224" s="715">
        <v>1.0004577350494414E-2</v>
      </c>
      <c r="BS224" s="715">
        <v>1.432170055440494E-2</v>
      </c>
      <c r="BT224" s="715">
        <v>1.9293000005276586E-2</v>
      </c>
      <c r="BW224" s="1190">
        <f>'2019'!R\Max</f>
        <v>0.9879237071538276</v>
      </c>
      <c r="BX224" s="1190">
        <f>'2020'!R\Max</f>
        <v>0.60979893205306812</v>
      </c>
      <c r="BY224" s="1190">
        <f>'2021'!R\Max</f>
        <v>0.94547974433307447</v>
      </c>
      <c r="BZ224" s="1190">
        <f>'2022'!R\Max</f>
        <v>0.57546305134537157</v>
      </c>
      <c r="CA224" s="1190">
        <f>'2023'!R\Max</f>
        <v>0.57543468435973433</v>
      </c>
      <c r="CB224" s="1190">
        <f>'2024'!R\Max</f>
        <v>0.57539627552353445</v>
      </c>
      <c r="CC224" s="1190">
        <f>'2025'!R\Max</f>
        <v>0.57535650164984298</v>
      </c>
      <c r="CD224" s="1190">
        <f>'2026'!R\Max</f>
        <v>0.57552759857130042</v>
      </c>
      <c r="CE224" s="1191">
        <f>'2027'!R\Max</f>
        <v>0.57551008850346175</v>
      </c>
      <c r="CF224" s="1193">
        <f>'2028'!R\Max</f>
        <v>0.57549122477458614</v>
      </c>
    </row>
    <row r="225" spans="1:84" s="6" customFormat="1" ht="11.25" x14ac:dyDescent="0.2">
      <c r="A225" s="11">
        <v>43311</v>
      </c>
      <c r="B225" s="379">
        <f>'2022'!Maxi_hp</f>
        <v>53.348435713615878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59.80074999965727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59.800750000309201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59.800750000262632</v>
      </c>
      <c r="AZ225" s="735">
        <f t="shared" si="115"/>
        <v>59.800750000285916</v>
      </c>
      <c r="BA225" s="633">
        <f t="shared" si="112"/>
        <v>0.892103121013058</v>
      </c>
      <c r="BC225" s="11">
        <v>43311</v>
      </c>
      <c r="BD225" s="289">
        <f>[2]!FeuilCaduc*(1-Persistant)+Persistant</f>
        <v>0.99975019811484467</v>
      </c>
      <c r="BE225" s="290">
        <f>[2]!CroissVégét</f>
        <v>0.88656663959603077</v>
      </c>
      <c r="BF225" s="804">
        <f>1+[2]!Salcycl*Ksac</f>
        <v>1.0499750198114846</v>
      </c>
      <c r="BH225" s="1036">
        <f t="shared" si="113"/>
        <v>7.6519948738314756E-4</v>
      </c>
      <c r="BI225" s="11">
        <v>44407</v>
      </c>
      <c r="BJ225" s="715">
        <v>0</v>
      </c>
      <c r="BK225" s="715">
        <v>4.9286276350692112E-6</v>
      </c>
      <c r="BL225" s="715">
        <v>9.6381447246387763E-5</v>
      </c>
      <c r="BM225" s="715">
        <v>4.1311159235002723E-4</v>
      </c>
      <c r="BN225" s="715">
        <v>1.1185394635332619E-3</v>
      </c>
      <c r="BO225" s="716">
        <v>2.3379431846348516E-3</v>
      </c>
      <c r="BP225" s="715">
        <v>4.1725783975952004E-3</v>
      </c>
      <c r="BQ225" s="715">
        <v>6.7429054046544189E-3</v>
      </c>
      <c r="BR225" s="715">
        <v>1.0181048272558642E-2</v>
      </c>
      <c r="BS225" s="715">
        <v>1.4579635316398602E-2</v>
      </c>
      <c r="BT225" s="715">
        <v>1.9649857205711864E-2</v>
      </c>
      <c r="BW225" s="1190">
        <f>'2019'!R\Max</f>
        <v>0.48269362720222336</v>
      </c>
      <c r="BX225" s="1190">
        <f>'2020'!R\Max</f>
        <v>0.87551692002406112</v>
      </c>
      <c r="BY225" s="1190">
        <f>'2021'!R\Max</f>
        <v>0.31557917453776907</v>
      </c>
      <c r="BZ225" s="1190">
        <f>'2022'!R\Max</f>
        <v>0.892103121013058</v>
      </c>
      <c r="CA225" s="1190">
        <f>'2023'!R\Max</f>
        <v>0.8920917314240695</v>
      </c>
      <c r="CB225" s="1190">
        <f>'2024'!R\Max</f>
        <v>0.892076298231813</v>
      </c>
      <c r="CC225" s="1190">
        <f>'2025'!R\Max</f>
        <v>0.8920603356831025</v>
      </c>
      <c r="CD225" s="1190">
        <f>'2026'!R\Max</f>
        <v>0.89212905621969729</v>
      </c>
      <c r="CE225" s="1191">
        <f>'2027'!R\Max</f>
        <v>0.8921220155542442</v>
      </c>
      <c r="CF225" s="1193">
        <f>'2028'!R\Max</f>
        <v>0.89211444731825995</v>
      </c>
    </row>
    <row r="226" spans="1:84" s="6" customFormat="1" ht="11.25" x14ac:dyDescent="0.2">
      <c r="A226" s="11">
        <v>43312</v>
      </c>
      <c r="B226" s="379">
        <f>'2022'!Maxi_hp</f>
        <v>59.241957497118648</v>
      </c>
      <c r="C226" s="13">
        <f>'2022'!An_max</f>
        <v>2022</v>
      </c>
      <c r="D226" s="1045">
        <f t="shared" si="97"/>
        <v>0.99282012030465649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59.6703836732677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59.673310787337165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59.672798542478787</v>
      </c>
      <c r="AZ226" s="735">
        <f t="shared" si="115"/>
        <v>59.67305466490798</v>
      </c>
      <c r="BA226" s="633">
        <f t="shared" si="112"/>
        <v>0.99282012030465649</v>
      </c>
      <c r="BC226" s="11">
        <v>43312</v>
      </c>
      <c r="BD226" s="289">
        <f>[2]!FeuilCaduc*(1-Persistant)+Persistant</f>
        <v>0.99966435059044079</v>
      </c>
      <c r="BE226" s="290">
        <f>[2]!CroissVégét</f>
        <v>0.89064558172697694</v>
      </c>
      <c r="BF226" s="804">
        <f>1+[2]!Salcycl*Ksac</f>
        <v>1.0499664350590441</v>
      </c>
      <c r="BH226" s="1036">
        <f t="shared" si="113"/>
        <v>7.8401116590751671E-4</v>
      </c>
      <c r="BI226" s="11">
        <v>44408</v>
      </c>
      <c r="BJ226" s="715">
        <v>0</v>
      </c>
      <c r="BK226" s="715">
        <v>5.7856000277353977E-6</v>
      </c>
      <c r="BL226" s="715">
        <v>1.014973070758615E-4</v>
      </c>
      <c r="BM226" s="715">
        <v>4.2513364252694469E-4</v>
      </c>
      <c r="BN226" s="715">
        <v>1.1441649154142273E-3</v>
      </c>
      <c r="BO226" s="716">
        <v>2.3836224804816325E-3</v>
      </c>
      <c r="BP226" s="715">
        <v>4.2500476931784823E-3</v>
      </c>
      <c r="BQ226" s="715">
        <v>6.8637648076447831E-3</v>
      </c>
      <c r="BR226" s="715">
        <v>1.0364758405151196E-2</v>
      </c>
      <c r="BS226" s="715">
        <v>1.4849622631736678E-2</v>
      </c>
      <c r="BT226" s="715">
        <v>2.0024777324200244E-2</v>
      </c>
      <c r="BW226" s="1190">
        <f>'2019'!R\Max</f>
        <v>0.95383379994248441</v>
      </c>
      <c r="BX226" s="1190">
        <f>'2020'!R\Max</f>
        <v>0.94140510575007863</v>
      </c>
      <c r="BY226" s="1190">
        <f>'2021'!R\Max</f>
        <v>0.22468566952886815</v>
      </c>
      <c r="BZ226" s="1190">
        <f>'2022'!R\Max</f>
        <v>0.99282012030465649</v>
      </c>
      <c r="CA226" s="1190">
        <f>'2023'!R\Max</f>
        <v>0.99281926040018298</v>
      </c>
      <c r="CB226" s="1190">
        <f>'2024'!R\Max</f>
        <v>0.9928180942331698</v>
      </c>
      <c r="CC226" s="1190">
        <f>'2025'!R\Max</f>
        <v>0.99281688951965441</v>
      </c>
      <c r="CD226" s="1190">
        <f>'2026'!R\Max</f>
        <v>0.9928220795739906</v>
      </c>
      <c r="CE226" s="1191">
        <f>'2027'!R\Max</f>
        <v>0.99282154737610928</v>
      </c>
      <c r="CF226" s="1193">
        <f>'2028'!R\Max</f>
        <v>0.992820976504313</v>
      </c>
    </row>
    <row r="227" spans="1:84" s="6" customFormat="1" ht="11.25" x14ac:dyDescent="0.2">
      <c r="A227" s="11">
        <v>43313</v>
      </c>
      <c r="B227" s="379">
        <f>'2022'!Maxi_hp</f>
        <v>58.846066079470248</v>
      </c>
      <c r="C227" s="13">
        <f>'2022'!An_max</f>
        <v>2022</v>
      </c>
      <c r="D227" s="1045">
        <f t="shared" si="97"/>
        <v>0.98838730964507326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59.537456121934305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59.543712828175309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59.541663847936846</v>
      </c>
      <c r="AZ227" s="735">
        <f t="shared" si="115"/>
        <v>59.542688338056081</v>
      </c>
      <c r="BA227" s="633">
        <f t="shared" si="112"/>
        <v>0.98838730964507326</v>
      </c>
      <c r="BC227" s="11">
        <v>43313</v>
      </c>
      <c r="BD227" s="289">
        <f>[2]!FeuilCaduc*(1-Persistant)+Persistant</f>
        <v>0.99954725668386502</v>
      </c>
      <c r="BE227" s="290">
        <f>[2]!CroissVégét</f>
        <v>0.89459569118431537</v>
      </c>
      <c r="BF227" s="804">
        <f>1+[2]!Salcycl*Ksac</f>
        <v>1.0499547256683865</v>
      </c>
      <c r="BH227" s="1036">
        <f t="shared" si="113"/>
        <v>8.0330462996454789E-4</v>
      </c>
      <c r="BI227" s="11">
        <v>44409</v>
      </c>
      <c r="BJ227" s="715">
        <v>0</v>
      </c>
      <c r="BK227" s="715">
        <v>6.6550237215901556E-6</v>
      </c>
      <c r="BL227" s="715">
        <v>1.0668298269769961E-4</v>
      </c>
      <c r="BM227" s="715">
        <v>4.3748255799506996E-4</v>
      </c>
      <c r="BN227" s="715">
        <v>1.1704276239905751E-3</v>
      </c>
      <c r="BO227" s="716">
        <v>2.4306980452148195E-3</v>
      </c>
      <c r="BP227" s="715">
        <v>4.3300815332156508E-3</v>
      </c>
      <c r="BQ227" s="715">
        <v>6.9892626868133237E-3</v>
      </c>
      <c r="BR227" s="715">
        <v>1.0555540023841833E-2</v>
      </c>
      <c r="BS227" s="715">
        <v>1.5129961357939188E-2</v>
      </c>
      <c r="BT227" s="715">
        <v>2.0413813192186679E-2</v>
      </c>
      <c r="BW227" s="1190">
        <f>'2019'!R\Max</f>
        <v>0.86191768288677073</v>
      </c>
      <c r="BX227" s="1190">
        <f>'2020'!R\Max</f>
        <v>0.91291273688764285</v>
      </c>
      <c r="BY227" s="1190">
        <f>'2021'!R\Max</f>
        <v>0.81745794413824047</v>
      </c>
      <c r="BZ227" s="1190">
        <f>'2022'!R\Max</f>
        <v>0.98838730964507326</v>
      </c>
      <c r="CA227" s="1190">
        <f>'2023'!R\Max</f>
        <v>0.98838589761527007</v>
      </c>
      <c r="CB227" s="1190">
        <f>'2024'!R\Max</f>
        <v>0.98838398089801049</v>
      </c>
      <c r="CC227" s="1190">
        <f>'2025'!R\Max</f>
        <v>0.98838200316682867</v>
      </c>
      <c r="CD227" s="1190">
        <f>'2026'!R\Max</f>
        <v>0.98839052887859291</v>
      </c>
      <c r="CE227" s="1191">
        <f>'2027'!R\Max</f>
        <v>0.98838965394939837</v>
      </c>
      <c r="CF227" s="1193">
        <f>'2028'!R\Max</f>
        <v>0.98838871733587563</v>
      </c>
    </row>
    <row r="228" spans="1:84" s="6" customFormat="1" ht="11.25" x14ac:dyDescent="0.2">
      <c r="A228" s="11">
        <v>43314</v>
      </c>
      <c r="B228" s="379">
        <f>'2022'!Maxi_hp</f>
        <v>58.839724664908012</v>
      </c>
      <c r="C228" s="13">
        <f>'2022'!An_max</f>
        <v>2022</v>
      </c>
      <c r="D228" s="1045">
        <f t="shared" si="97"/>
        <v>0.99053494847268275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59.401967346668243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59.411846355827791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59.407236151317406</v>
      </c>
      <c r="AZ228" s="735">
        <f t="shared" si="115"/>
        <v>59.409541253572598</v>
      </c>
      <c r="BA228" s="633">
        <f t="shared" si="112"/>
        <v>0.99053494847268275</v>
      </c>
      <c r="BC228" s="11">
        <v>43314</v>
      </c>
      <c r="BD228" s="289">
        <f>[2]!FeuilCaduc*(1-Persistant)+Persistant</f>
        <v>0.9994006712119361</v>
      </c>
      <c r="BE228" s="290">
        <f>[2]!CroissVégét</f>
        <v>0.89841979735358901</v>
      </c>
      <c r="BF228" s="804">
        <f>1+[2]!Salcycl*Ksac</f>
        <v>1.0499400671211936</v>
      </c>
      <c r="BH228" s="1036">
        <f t="shared" si="113"/>
        <v>8.2308013008302206E-4</v>
      </c>
      <c r="BI228" s="11">
        <v>44410</v>
      </c>
      <c r="BJ228" s="715">
        <v>0</v>
      </c>
      <c r="BK228" s="715">
        <v>7.5369227703693182E-6</v>
      </c>
      <c r="BL228" s="715">
        <v>1.1193859932415259E-4</v>
      </c>
      <c r="BM228" s="715">
        <v>4.5015851437599772E-4</v>
      </c>
      <c r="BN228" s="715">
        <v>1.1973279149646548E-3</v>
      </c>
      <c r="BO228" s="716">
        <v>2.4791702560336176E-3</v>
      </c>
      <c r="BP228" s="715">
        <v>4.4126804195266621E-3</v>
      </c>
      <c r="BQ228" s="715">
        <v>7.119399509980179E-3</v>
      </c>
      <c r="BR228" s="715">
        <v>1.0753393852261782E-2</v>
      </c>
      <c r="BS228" s="715">
        <v>1.5420652689284685E-2</v>
      </c>
      <c r="BT228" s="715">
        <v>2.0816966746703375E-2</v>
      </c>
      <c r="BW228" s="1190">
        <f>'2019'!R\Max</f>
        <v>0.94958394608510044</v>
      </c>
      <c r="BX228" s="1190">
        <f>'2020'!R\Max</f>
        <v>0.81573364891445066</v>
      </c>
      <c r="BY228" s="1190">
        <f>'2021'!R\Max</f>
        <v>0.9099389501121139</v>
      </c>
      <c r="BZ228" s="1190">
        <f>'2022'!R\Max</f>
        <v>0.99053494847268275</v>
      </c>
      <c r="CA228" s="1190">
        <f>'2023'!R\Max</f>
        <v>0.99053377184721147</v>
      </c>
      <c r="CB228" s="1190">
        <f>'2024'!R\Max</f>
        <v>0.99053217299562979</v>
      </c>
      <c r="CC228" s="1190">
        <f>'2025'!R\Max</f>
        <v>0.99053052510799366</v>
      </c>
      <c r="CD228" s="1190">
        <f>'2026'!R\Max</f>
        <v>0.99053763255600868</v>
      </c>
      <c r="CE228" s="1191">
        <f>'2027'!R\Max</f>
        <v>0.99053690270131933</v>
      </c>
      <c r="CF228" s="1193">
        <f>'2028'!R\Max</f>
        <v>0.99053612289155812</v>
      </c>
    </row>
    <row r="229" spans="1:84" s="6" customFormat="1" ht="11.25" x14ac:dyDescent="0.2">
      <c r="A229" s="11">
        <v>43315</v>
      </c>
      <c r="B229" s="379">
        <f>'2022'!Maxi_hp</f>
        <v>56.932913500318811</v>
      </c>
      <c r="C229" s="13">
        <f>'2022'!An_max</f>
        <v>2018</v>
      </c>
      <c r="D229" s="1045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59.263917346830873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59.277601603777818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59.26940568527872</v>
      </c>
      <c r="AZ229" s="735">
        <f t="shared" si="115"/>
        <v>59.273503644528269</v>
      </c>
      <c r="BA229" s="633">
        <f t="shared" si="112"/>
        <v>0.9606674018379463</v>
      </c>
      <c r="BC229" s="11">
        <v>43315</v>
      </c>
      <c r="BD229" s="289">
        <f>[2]!FeuilCaduc*(1-Persistant)+Persistant</f>
        <v>0.99922609985397437</v>
      </c>
      <c r="BE229" s="290">
        <f>[2]!CroissVégét</f>
        <v>0.90212075799903491</v>
      </c>
      <c r="BF229" s="804">
        <f>1+[2]!Salcycl*Ksac</f>
        <v>1.0499226099853973</v>
      </c>
      <c r="BH229" s="1036">
        <f t="shared" si="113"/>
        <v>8.4333792630432967E-4</v>
      </c>
      <c r="BI229" s="11">
        <v>44411</v>
      </c>
      <c r="BJ229" s="715">
        <v>0</v>
      </c>
      <c r="BK229" s="715">
        <v>8.4313210355384354E-6</v>
      </c>
      <c r="BL229" s="715">
        <v>1.1726428063876148E-4</v>
      </c>
      <c r="BM229" s="715">
        <v>4.631616947597704E-4</v>
      </c>
      <c r="BN229" s="715">
        <v>1.2248661256028563E-3</v>
      </c>
      <c r="BO229" s="716">
        <v>2.5290395283897814E-3</v>
      </c>
      <c r="BP229" s="715">
        <v>4.4978449321779962E-3</v>
      </c>
      <c r="BQ229" s="715">
        <v>7.2541759108644792E-3</v>
      </c>
      <c r="BR229" s="715">
        <v>1.0958320867725841E-2</v>
      </c>
      <c r="BS229" s="715">
        <v>1.572169819042676E-2</v>
      </c>
      <c r="BT229" s="715">
        <v>2.1234240421830433E-2</v>
      </c>
      <c r="BW229" s="1190">
        <f>'2019'!R\Max</f>
        <v>0.9606674018379463</v>
      </c>
      <c r="BX229" s="1190">
        <f>'2020'!R\Max</f>
        <v>0.61677646070667047</v>
      </c>
      <c r="BY229" s="1190">
        <f>'2021'!R\Max</f>
        <v>0.63545062735516866</v>
      </c>
      <c r="BZ229" s="1190">
        <f>'2022'!R\Max</f>
        <v>0.93764835207262365</v>
      </c>
      <c r="CA229" s="1190">
        <f>'2023'!R\Max</f>
        <v>0.93764086480441078</v>
      </c>
      <c r="CB229" s="1190">
        <f>'2024'!R\Max</f>
        <v>0.93763067911095099</v>
      </c>
      <c r="CC229" s="1190">
        <f>'2025'!R\Max</f>
        <v>0.93762019253786744</v>
      </c>
      <c r="CD229" s="1190">
        <f>'2026'!R\Max</f>
        <v>0.93766544147033426</v>
      </c>
      <c r="CE229" s="1191">
        <f>'2027'!R\Max</f>
        <v>0.93766079232687505</v>
      </c>
      <c r="CF229" s="1193">
        <f>'2028'!R\Max</f>
        <v>0.93765583410351017</v>
      </c>
    </row>
    <row r="230" spans="1:84" s="6" customFormat="1" ht="11.25" x14ac:dyDescent="0.2">
      <c r="A230" s="11">
        <v>43316</v>
      </c>
      <c r="B230" s="379">
        <f>'2022'!Maxi_hp</f>
        <v>54.750209948964994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59.123306121836819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59.140868804763464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59.128062682159779</v>
      </c>
      <c r="AZ230" s="735">
        <f t="shared" si="115"/>
        <v>59.134465743461618</v>
      </c>
      <c r="BA230" s="633">
        <f t="shared" si="112"/>
        <v>0.92603430931517794</v>
      </c>
      <c r="BC230" s="11">
        <v>43316</v>
      </c>
      <c r="BD230" s="289">
        <f>[2]!FeuilCaduc*(1-Persistant)+Persistant</f>
        <v>0.99902480615362221</v>
      </c>
      <c r="BE230" s="290">
        <f>[2]!CroissVégét</f>
        <v>0.90570145106838851</v>
      </c>
      <c r="BF230" s="804">
        <f>1+[2]!Salcycl*Ksac</f>
        <v>1.0499024806153623</v>
      </c>
      <c r="BH230" s="1036">
        <f t="shared" si="113"/>
        <v>8.640782867011305E-4</v>
      </c>
      <c r="BI230" s="11">
        <v>44412</v>
      </c>
      <c r="BJ230" s="715">
        <v>0</v>
      </c>
      <c r="BK230" s="715">
        <v>9.3382421470794427E-6</v>
      </c>
      <c r="BL230" s="715">
        <v>1.2266014857902229E-4</v>
      </c>
      <c r="BM230" s="715">
        <v>4.7649228869618086E-4</v>
      </c>
      <c r="BN230" s="715">
        <v>1.2530426027799453E-3</v>
      </c>
      <c r="BO230" s="716">
        <v>2.5803063117071216E-3</v>
      </c>
      <c r="BP230" s="715">
        <v>4.5855757216212772E-3</v>
      </c>
      <c r="BQ230" s="715">
        <v>7.3935926748494541E-3</v>
      </c>
      <c r="BR230" s="715">
        <v>1.1170322279527285E-2</v>
      </c>
      <c r="BS230" s="715">
        <v>1.6033099764607494E-2</v>
      </c>
      <c r="BT230" s="715">
        <v>2.1665637105334562E-2</v>
      </c>
      <c r="BW230" s="1190">
        <f>'2019'!R\Max</f>
        <v>0.91603991873171631</v>
      </c>
      <c r="BX230" s="1190">
        <f>'2020'!R\Max</f>
        <v>0.85326207887937122</v>
      </c>
      <c r="BY230" s="1190">
        <f>'2021'!R\Max</f>
        <v>0.62579515166335264</v>
      </c>
      <c r="BZ230" s="1190">
        <f>'2022'!R\Max</f>
        <v>0.92603430931517794</v>
      </c>
      <c r="CA230" s="1190">
        <f>'2023'!R\Max</f>
        <v>0.92602535549672071</v>
      </c>
      <c r="CB230" s="1190">
        <f>'2024'!R\Max</f>
        <v>0.92601315930323436</v>
      </c>
      <c r="CC230" s="1190">
        <f>'2025'!R\Max</f>
        <v>0.92600061584091575</v>
      </c>
      <c r="CD230" s="1190">
        <f>'2026'!R\Max</f>
        <v>0.92605475667550707</v>
      </c>
      <c r="CE230" s="1191">
        <f>'2027'!R\Max</f>
        <v>0.92604919164246324</v>
      </c>
      <c r="CF230" s="1193">
        <f>'2028'!R\Max</f>
        <v>0.92604326699402661</v>
      </c>
    </row>
    <row r="231" spans="1:84" s="6" customFormat="1" ht="11.25" x14ac:dyDescent="0.2">
      <c r="A231" s="11">
        <v>43317</v>
      </c>
      <c r="B231" s="379">
        <f>'2022'!Maxi_hp</f>
        <v>57.498472641811972</v>
      </c>
      <c r="C231" s="13">
        <f>'2022'!An_max</f>
        <v>2020</v>
      </c>
      <c r="D231" s="1045">
        <f t="shared" si="97"/>
        <v>0.97487864237027377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58.980133672856866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59.001538192414287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58.983097375550173</v>
      </c>
      <c r="AZ231" s="735">
        <f t="shared" si="115"/>
        <v>58.99231778398223</v>
      </c>
      <c r="BA231" s="633">
        <f t="shared" si="112"/>
        <v>0.97487864237027377</v>
      </c>
      <c r="BC231" s="11">
        <v>43317</v>
      </c>
      <c r="BD231" s="289">
        <f>[2]!FeuilCaduc*(1-Persistant)+Persistant</f>
        <v>0.99879781978725124</v>
      </c>
      <c r="BE231" s="290">
        <f>[2]!CroissVégét</f>
        <v>0.90916476701567317</v>
      </c>
      <c r="BF231" s="804">
        <f>1+[2]!Salcycl*Ksac</f>
        <v>1.0498797819787251</v>
      </c>
      <c r="BH231" s="1036">
        <f t="shared" si="113"/>
        <v>8.8530148589318247E-4</v>
      </c>
      <c r="BI231" s="11">
        <v>44413</v>
      </c>
      <c r="BJ231" s="715">
        <v>0</v>
      </c>
      <c r="BK231" s="715">
        <v>1.0257709464257518E-5</v>
      </c>
      <c r="BL231" s="715">
        <v>1.2812632311868862E-4</v>
      </c>
      <c r="BM231" s="715">
        <v>4.9015049118454634E-4</v>
      </c>
      <c r="BN231" s="715">
        <v>1.2818577010192647E-3</v>
      </c>
      <c r="BO231" s="716">
        <v>2.6329710850924218E-3</v>
      </c>
      <c r="BP231" s="715">
        <v>4.6758735008165268E-3</v>
      </c>
      <c r="BQ231" s="715">
        <v>7.5376507247226837E-3</v>
      </c>
      <c r="BR231" s="715">
        <v>1.1389399507195357E-2</v>
      </c>
      <c r="BS231" s="715">
        <v>1.6354859621817219E-2</v>
      </c>
      <c r="BT231" s="715">
        <v>2.211116009523546E-2</v>
      </c>
      <c r="BW231" s="1190">
        <f>'2019'!R\Max</f>
        <v>0.92126708151362335</v>
      </c>
      <c r="BX231" s="1190">
        <f>'2020'!R\Max</f>
        <v>0.97487864237027377</v>
      </c>
      <c r="BY231" s="1190">
        <f>'2021'!R\Max</f>
        <v>0.88827590983812155</v>
      </c>
      <c r="BZ231" s="1190">
        <f>'2022'!R\Max</f>
        <v>0.84306118658222307</v>
      </c>
      <c r="CA231" s="1190">
        <f>'2023'!R\Max</f>
        <v>0.84304352755546896</v>
      </c>
      <c r="CB231" s="1190">
        <f>'2024'!R\Max</f>
        <v>0.84301944151518116</v>
      </c>
      <c r="CC231" s="1190">
        <f>'2025'!R\Max</f>
        <v>0.84299469486461309</v>
      </c>
      <c r="CD231" s="1190">
        <f>'2026'!R\Max</f>
        <v>0.84310153467856286</v>
      </c>
      <c r="CE231" s="1191">
        <f>'2027'!R\Max</f>
        <v>0.84309054896204683</v>
      </c>
      <c r="CF231" s="1193">
        <f>'2028'!R\Max</f>
        <v>0.84307887292203365</v>
      </c>
    </row>
    <row r="232" spans="1:84" s="6" customFormat="1" ht="11.25" x14ac:dyDescent="0.2">
      <c r="A232" s="11">
        <v>43318</v>
      </c>
      <c r="B232" s="379">
        <f>'2022'!Maxi_hp</f>
        <v>58.413322100606401</v>
      </c>
      <c r="C232" s="13">
        <f>'2022'!An_max</f>
        <v>2020</v>
      </c>
      <c r="D232" s="1045">
        <f t="shared" si="97"/>
        <v>0.99284299832965006</v>
      </c>
      <c r="E232" s="1040">
        <f>AC$13/10</f>
        <v>58.834400000000002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58.834399999678133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58.859500000067058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58.834400000423194</v>
      </c>
      <c r="AZ232" s="735">
        <f t="shared" si="115"/>
        <v>58.84695000024513</v>
      </c>
      <c r="BA232" s="633">
        <f t="shared" si="112"/>
        <v>0.99284299832965006</v>
      </c>
      <c r="BC232" s="11">
        <v>43318</v>
      </c>
      <c r="BD232" s="289">
        <f>[2]!FeuilCaduc*(1-Persistant)+Persistant</f>
        <v>0.9985459459350885</v>
      </c>
      <c r="BE232" s="290">
        <f>[2]!CroissVégét</f>
        <v>0.91251360163473627</v>
      </c>
      <c r="BF232" s="804">
        <f>1+[2]!Salcycl*Ksac</f>
        <v>1.0498545945935089</v>
      </c>
      <c r="BH232" s="1036">
        <f t="shared" si="113"/>
        <v>9.0700780356660143E-4</v>
      </c>
      <c r="BI232" s="11">
        <v>44414</v>
      </c>
      <c r="BJ232" s="715">
        <v>0</v>
      </c>
      <c r="BK232" s="715">
        <v>1.1189746036428722E-5</v>
      </c>
      <c r="BL232" s="715">
        <v>1.3366292205057404E-4</v>
      </c>
      <c r="BM232" s="715">
        <v>5.0413650166537967E-4</v>
      </c>
      <c r="BN232" s="715">
        <v>1.3113117805378988E-3</v>
      </c>
      <c r="BO232" s="716">
        <v>2.6870343530564986E-3</v>
      </c>
      <c r="BP232" s="715">
        <v>4.7687390373734699E-3</v>
      </c>
      <c r="BQ232" s="715">
        <v>7.6863511064454689E-3</v>
      </c>
      <c r="BR232" s="715">
        <v>1.1615554158796606E-2</v>
      </c>
      <c r="BS232" s="715">
        <v>1.6686980247017352E-2</v>
      </c>
      <c r="BT232" s="715">
        <v>2.2570813056457566E-2</v>
      </c>
      <c r="BW232" s="1190">
        <f>'2019'!R\Max</f>
        <v>0.68376487343079362</v>
      </c>
      <c r="BX232" s="1190">
        <f>'2020'!R\Max</f>
        <v>0.99284299832965006</v>
      </c>
      <c r="BY232" s="1190">
        <f>'2021'!R\Max</f>
        <v>0.36199284070490301</v>
      </c>
      <c r="BZ232" s="1190">
        <f>'2022'!R\Max</f>
        <v>0.92814822521996432</v>
      </c>
      <c r="CA232" s="1190">
        <f>'2023'!R\Max</f>
        <v>0.92813913497495404</v>
      </c>
      <c r="CB232" s="1190">
        <f>'2024'!R\Max</f>
        <v>0.92812671785423306</v>
      </c>
      <c r="CC232" s="1190">
        <f>'2025'!R\Max</f>
        <v>0.92811397182466471</v>
      </c>
      <c r="CD232" s="1190">
        <f>'2026'!R\Max</f>
        <v>0.92816900380371758</v>
      </c>
      <c r="CE232" s="1191">
        <f>'2027'!R\Max</f>
        <v>0.92816334447610649</v>
      </c>
      <c r="CF232" s="1193">
        <f>'2028'!R\Max</f>
        <v>0.92815733895083985</v>
      </c>
    </row>
    <row r="233" spans="1:84" s="6" customFormat="1" ht="11.25" x14ac:dyDescent="0.2">
      <c r="A233" s="11">
        <v>43319</v>
      </c>
      <c r="B233" s="379">
        <f>'2022'!Maxi_hp</f>
        <v>57.470235138587057</v>
      </c>
      <c r="C233" s="13">
        <f>'2022'!An_max</f>
        <v>2022</v>
      </c>
      <c r="D233" s="1045">
        <f t="shared" si="97"/>
        <v>0.97927387141498012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58.686580757583897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58.71464446064617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58.682761789339466</v>
      </c>
      <c r="AZ233" s="735">
        <f t="shared" si="115"/>
        <v>58.698703124992818</v>
      </c>
      <c r="BA233" s="633">
        <f t="shared" si="112"/>
        <v>0.97927387141498012</v>
      </c>
      <c r="BC233" s="11">
        <v>43319</v>
      </c>
      <c r="BD233" s="289">
        <f>[2]!FeuilCaduc*(1-Persistant)+Persistant</f>
        <v>0.99826977558451058</v>
      </c>
      <c r="BE233" s="290">
        <f>[2]!CroissVégét</f>
        <v>0.91575084939386342</v>
      </c>
      <c r="BF233" s="804">
        <f>1+[2]!Salcycl*Ksac</f>
        <v>1.049826977558451</v>
      </c>
      <c r="BH233" s="1036">
        <f t="shared" si="113"/>
        <v>9.2919752298835508E-4</v>
      </c>
      <c r="BI233" s="11">
        <v>44415</v>
      </c>
      <c r="BJ233" s="715">
        <v>0</v>
      </c>
      <c r="BK233" s="715">
        <v>1.2134374563799142E-5</v>
      </c>
      <c r="BL233" s="715">
        <v>1.3927006076868881E-4</v>
      </c>
      <c r="BM233" s="715">
        <v>5.184505230094457E-4</v>
      </c>
      <c r="BN233" s="715">
        <v>1.3414052052849205E-3</v>
      </c>
      <c r="BO233" s="716">
        <v>2.7424966412210299E-3</v>
      </c>
      <c r="BP233" s="715">
        <v>4.864173145667494E-3</v>
      </c>
      <c r="BQ233" s="715">
        <v>7.839694974881321E-3</v>
      </c>
      <c r="BR233" s="715">
        <v>1.184878800917461E-2</v>
      </c>
      <c r="BS233" s="715">
        <v>1.7029464368274783E-2</v>
      </c>
      <c r="BT233" s="715">
        <v>2.304459997736218E-2</v>
      </c>
      <c r="BW233" s="1190">
        <f>'2019'!R\Max</f>
        <v>0.75518695286175819</v>
      </c>
      <c r="BX233" s="1190">
        <f>'2020'!R\Max</f>
        <v>0.96359096227409013</v>
      </c>
      <c r="BY233" s="1190">
        <f>'2021'!R\Max</f>
        <v>0.4384735872252653</v>
      </c>
      <c r="BZ233" s="1190">
        <f>'2022'!R\Max</f>
        <v>0.97927387141498012</v>
      </c>
      <c r="CA233" s="1190">
        <f>'2023'!R\Max</f>
        <v>0.97927104535856768</v>
      </c>
      <c r="CB233" s="1190">
        <f>'2024'!R\Max</f>
        <v>0.9792671789582158</v>
      </c>
      <c r="CC233" s="1190">
        <f>'2025'!R\Max</f>
        <v>0.97926321365965519</v>
      </c>
      <c r="CD233" s="1190">
        <f>'2026'!R\Max</f>
        <v>0.97928033391743619</v>
      </c>
      <c r="CE233" s="1191">
        <f>'2027'!R\Max</f>
        <v>0.97927857322965328</v>
      </c>
      <c r="CF233" s="1193">
        <f>'2028'!R\Max</f>
        <v>0.97927670763419139</v>
      </c>
    </row>
    <row r="234" spans="1:84" s="6" customFormat="1" ht="11.25" x14ac:dyDescent="0.2">
      <c r="A234" s="11">
        <v>43320</v>
      </c>
      <c r="B234" s="379">
        <f>'2022'!Maxi_hp</f>
        <v>57.960285399615913</v>
      </c>
      <c r="C234" s="13">
        <f>'2022'!An_max</f>
        <v>2022</v>
      </c>
      <c r="D234" s="1045">
        <f t="shared" si="97"/>
        <v>0.99014777327393932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58.537005247175692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58.566861808087154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58.528992274004437</v>
      </c>
      <c r="AZ234" s="735">
        <f t="shared" si="115"/>
        <v>58.547927041045796</v>
      </c>
      <c r="BA234" s="633">
        <f t="shared" si="112"/>
        <v>0.99014777327393932</v>
      </c>
      <c r="BC234" s="11">
        <v>43320</v>
      </c>
      <c r="BD234" s="289">
        <f>[2]!FeuilCaduc*(1-Persistant)+Persistant</f>
        <v>0.99796969659029156</v>
      </c>
      <c r="BE234" s="290">
        <f>[2]!CroissVégét</f>
        <v>0.91887939725970647</v>
      </c>
      <c r="BF234" s="804">
        <f>1+[2]!Salcycl*Ksac</f>
        <v>1.0497969696590292</v>
      </c>
      <c r="BH234" s="1036">
        <f t="shared" si="113"/>
        <v>9.5154196454323324E-4</v>
      </c>
      <c r="BI234" s="11">
        <v>44416</v>
      </c>
      <c r="BJ234" s="715">
        <v>0</v>
      </c>
      <c r="BK234" s="715">
        <v>1.3038553442156307E-5</v>
      </c>
      <c r="BL234" s="715">
        <v>1.4460345306150258E-4</v>
      </c>
      <c r="BM234" s="715">
        <v>5.3265258622329343E-4</v>
      </c>
      <c r="BN234" s="715">
        <v>1.3719209807862675E-3</v>
      </c>
      <c r="BO234" s="716">
        <v>2.7999320506525093E-3</v>
      </c>
      <c r="BP234" s="715">
        <v>4.9639835214866897E-3</v>
      </c>
      <c r="BQ234" s="715">
        <v>8.0014303767767404E-3</v>
      </c>
      <c r="BR234" s="715">
        <v>1.2095444397672543E-2</v>
      </c>
      <c r="BS234" s="715">
        <v>1.7391820844772008E-2</v>
      </c>
      <c r="BT234" s="715">
        <v>2.3545431153286313E-2</v>
      </c>
      <c r="BW234" s="1190">
        <f>'2019'!R\Max</f>
        <v>0.94092040994313997</v>
      </c>
      <c r="BX234" s="1190">
        <f>'2020'!R\Max</f>
        <v>0.9376240711460978</v>
      </c>
      <c r="BY234" s="1190">
        <f>'2021'!R\Max</f>
        <v>0.73264634424744279</v>
      </c>
      <c r="BZ234" s="1190">
        <f>'2022'!R\Max</f>
        <v>0.99014777327393932</v>
      </c>
      <c r="CA234" s="1190">
        <f>'2023'!R\Max</f>
        <v>0.99014638472211092</v>
      </c>
      <c r="CB234" s="1190">
        <f>'2024'!R\Max</f>
        <v>0.99014448177360737</v>
      </c>
      <c r="CC234" s="1190">
        <f>'2025'!R\Max</f>
        <v>0.99014253182711753</v>
      </c>
      <c r="CD234" s="1190">
        <f>'2026'!R\Max</f>
        <v>0.99015094979868801</v>
      </c>
      <c r="CE234" s="1191">
        <f>'2027'!R\Max</f>
        <v>0.99015008413855887</v>
      </c>
      <c r="CF234" s="1193">
        <f>'2028'!R\Max</f>
        <v>0.99014916819326504</v>
      </c>
    </row>
    <row r="235" spans="1:84" s="6" customFormat="1" ht="11.25" x14ac:dyDescent="0.2">
      <c r="A235" s="11">
        <v>43321</v>
      </c>
      <c r="B235" s="379">
        <f>'2022'!Maxi_hp</f>
        <v>56.144783633335642</v>
      </c>
      <c r="C235" s="13">
        <f>'2022'!An_max</f>
        <v>2021</v>
      </c>
      <c r="D235" s="1045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58.385453934967515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58.41604227431651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58.373009128655703</v>
      </c>
      <c r="AZ235" s="735">
        <f t="shared" si="115"/>
        <v>58.394525701486103</v>
      </c>
      <c r="BA235" s="633">
        <f t="shared" si="112"/>
        <v>0.96162279899154957</v>
      </c>
      <c r="BC235" s="11">
        <v>43321</v>
      </c>
      <c r="BD235" s="289">
        <f>[2]!FeuilCaduc*(1-Persistant)+Persistant</f>
        <v>0.99764590531397745</v>
      </c>
      <c r="BE235" s="290">
        <f>[2]!CroissVégét</f>
        <v>0.92190211899696306</v>
      </c>
      <c r="BF235" s="804">
        <f>1+[2]!Salcycl*Ksac</f>
        <v>1.0497645905313977</v>
      </c>
      <c r="BH235" s="1036">
        <f t="shared" si="113"/>
        <v>9.7389808786825711E-4</v>
      </c>
      <c r="BI235" s="11">
        <v>44417</v>
      </c>
      <c r="BJ235" s="715">
        <v>0</v>
      </c>
      <c r="BK235" s="715">
        <v>1.3850223118379783E-5</v>
      </c>
      <c r="BL235" s="715">
        <v>1.4945350587959729E-4</v>
      </c>
      <c r="BM235" s="715">
        <v>5.4649137692772327E-4</v>
      </c>
      <c r="BN235" s="715">
        <v>1.4028247257349778E-3</v>
      </c>
      <c r="BO235" s="716">
        <v>2.8594587600607973E-3</v>
      </c>
      <c r="BP235" s="715">
        <v>5.0683652165580727E-3</v>
      </c>
      <c r="BQ235" s="715">
        <v>8.1715303044373831E-3</v>
      </c>
      <c r="BR235" s="715">
        <v>1.2355147560513187E-2</v>
      </c>
      <c r="BS235" s="715">
        <v>1.777258011577048E-2</v>
      </c>
      <c r="BT235" s="715">
        <v>2.4070130648408086E-2</v>
      </c>
      <c r="BW235" s="1190">
        <f>'2019'!R\Max</f>
        <v>0.88057859109189307</v>
      </c>
      <c r="BX235" s="1190">
        <f>'2020'!R\Max</f>
        <v>0.91129716782412284</v>
      </c>
      <c r="BY235" s="1190">
        <f>'2021'!R\Max</f>
        <v>0.96162279899154957</v>
      </c>
      <c r="BZ235" s="1190">
        <f>'2022'!R\Max</f>
        <v>0.95554451286654651</v>
      </c>
      <c r="CA235" s="1190">
        <f>'2023'!R\Max</f>
        <v>0.95553832702247665</v>
      </c>
      <c r="CB235" s="1190">
        <f>'2024'!R\Max</f>
        <v>0.95552983499044541</v>
      </c>
      <c r="CC235" s="1190">
        <f>'2025'!R\Max</f>
        <v>0.95552114058136084</v>
      </c>
      <c r="CD235" s="1190">
        <f>'2026'!R\Max</f>
        <v>0.95555866991774152</v>
      </c>
      <c r="CE235" s="1191">
        <f>'2027'!R\Max</f>
        <v>0.95555481085823912</v>
      </c>
      <c r="CF235" s="1193">
        <f>'2028'!R\Max</f>
        <v>0.95555073311470473</v>
      </c>
    </row>
    <row r="236" spans="1:84" s="6" customFormat="1" ht="11.25" x14ac:dyDescent="0.2">
      <c r="A236" s="11">
        <v>43322</v>
      </c>
      <c r="B236" s="379">
        <f>'2022'!Maxi_hp</f>
        <v>53.37794367209424</v>
      </c>
      <c r="C236" s="13">
        <f>'2022'!An_max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58.231707288218402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58.262076093655608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58.214730029340309</v>
      </c>
      <c r="AZ236" s="735">
        <f t="shared" si="115"/>
        <v>58.238403061497962</v>
      </c>
      <c r="BA236" s="633">
        <f t="shared" si="112"/>
        <v>0.91664741011112016</v>
      </c>
      <c r="BC236" s="11">
        <v>43322</v>
      </c>
      <c r="BD236" s="289">
        <f>[2]!FeuilCaduc*(1-Persistant)+Persistant</f>
        <v>0.99729841866402535</v>
      </c>
      <c r="BE236" s="290">
        <f>[2]!CroissVégét</f>
        <v>0.92482186992875737</v>
      </c>
      <c r="BF236" s="804">
        <f>1+[2]!Salcycl*Ksac</f>
        <v>1.0497298418664025</v>
      </c>
      <c r="BH236" s="1036">
        <f t="shared" si="113"/>
        <v>9.9626623211648249E-4</v>
      </c>
      <c r="BI236" s="11">
        <v>44418</v>
      </c>
      <c r="BJ236" s="715">
        <v>0</v>
      </c>
      <c r="BK236" s="715">
        <v>1.4569417607241895E-5</v>
      </c>
      <c r="BL236" s="715">
        <v>1.5382039068546774E-4</v>
      </c>
      <c r="BM236" s="715">
        <v>5.5996718254234081E-4</v>
      </c>
      <c r="BN236" s="715">
        <v>1.4341168312015293E-3</v>
      </c>
      <c r="BO236" s="716">
        <v>2.921077256172197E-3</v>
      </c>
      <c r="BP236" s="715">
        <v>5.1773189209294483E-3</v>
      </c>
      <c r="BQ236" s="715">
        <v>8.3499957608558859E-3</v>
      </c>
      <c r="BR236" s="715">
        <v>1.2627899021413742E-2</v>
      </c>
      <c r="BS236" s="715">
        <v>1.8171744638127256E-2</v>
      </c>
      <c r="BT236" s="715">
        <v>2.4618702219982917E-2</v>
      </c>
      <c r="BW236" s="1190">
        <f>'2019'!R\Max</f>
        <v>0.70897511416100756</v>
      </c>
      <c r="BX236" s="1190">
        <f>'2020'!R\Max</f>
        <v>0.73376533892466589</v>
      </c>
      <c r="BY236" s="1190">
        <f>'2021'!R\Max</f>
        <v>0.91664741011112016</v>
      </c>
      <c r="BZ236" s="1190">
        <f>'2022'!R\Max</f>
        <v>0.90542016646970602</v>
      </c>
      <c r="CA236" s="1190">
        <f>'2023'!R\Max</f>
        <v>0.90540739993928632</v>
      </c>
      <c r="CB236" s="1190">
        <f>'2024'!R\Max</f>
        <v>0.90538984320653482</v>
      </c>
      <c r="CC236" s="1190">
        <f>'2025'!R\Max</f>
        <v>0.90537188283745829</v>
      </c>
      <c r="CD236" s="1190">
        <f>'2026'!R\Max</f>
        <v>0.90544939709958006</v>
      </c>
      <c r="CE236" s="1191">
        <f>'2027'!R\Max</f>
        <v>0.90544142709656672</v>
      </c>
      <c r="CF236" s="1193">
        <f>'2028'!R\Max</f>
        <v>0.90543301619161587</v>
      </c>
    </row>
    <row r="237" spans="1:84" s="6" customFormat="1" ht="11.25" x14ac:dyDescent="0.2">
      <c r="A237" s="11">
        <v>43323</v>
      </c>
      <c r="B237" s="379">
        <f>'2022'!Maxi_hp</f>
        <v>51.914944304147305</v>
      </c>
      <c r="C237" s="13">
        <f>'2022'!An_max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58.075545772138447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58.104853498563173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58.054072649284663</v>
      </c>
      <c r="AZ237" s="735">
        <f t="shared" si="115"/>
        <v>58.079463073923918</v>
      </c>
      <c r="BA237" s="633">
        <f t="shared" si="112"/>
        <v>0.8939209027468723</v>
      </c>
      <c r="BC237" s="11">
        <v>43323</v>
      </c>
      <c r="BD237" s="289">
        <f>[2]!FeuilCaduc*(1-Persistant)+Persistant</f>
        <v>0.99692708635987759</v>
      </c>
      <c r="BE237" s="290">
        <f>[2]!CroissVégét</f>
        <v>0.92764148214144238</v>
      </c>
      <c r="BF237" s="804">
        <f>1+[2]!Salcycl*Ksac</f>
        <v>1.0496927086359877</v>
      </c>
      <c r="BH237" s="1036">
        <f t="shared" si="113"/>
        <v>1.0186467088589039E-3</v>
      </c>
      <c r="BI237" s="11">
        <v>44419</v>
      </c>
      <c r="BJ237" s="715">
        <v>0</v>
      </c>
      <c r="BK237" s="715">
        <v>1.5196164778579165E-5</v>
      </c>
      <c r="BL237" s="715">
        <v>1.5770424603530909E-4</v>
      </c>
      <c r="BM237" s="715">
        <v>5.7308025288889668E-4</v>
      </c>
      <c r="BN237" s="715">
        <v>1.4657976707257512E-3</v>
      </c>
      <c r="BO237" s="716">
        <v>2.98478806642532E-3</v>
      </c>
      <c r="BP237" s="715">
        <v>5.2908454461765521E-3</v>
      </c>
      <c r="BQ237" s="715">
        <v>8.5368279978993069E-3</v>
      </c>
      <c r="BR237" s="715">
        <v>1.2913700699458691E-2</v>
      </c>
      <c r="BS237" s="715">
        <v>1.8589317408312826E-2</v>
      </c>
      <c r="BT237" s="715">
        <v>2.5191150286376869E-2</v>
      </c>
      <c r="BW237" s="1190">
        <f>'2019'!R\Max</f>
        <v>0.42634308983078789</v>
      </c>
      <c r="BX237" s="1190">
        <f>'2020'!R\Max</f>
        <v>0.6686626386372545</v>
      </c>
      <c r="BY237" s="1190">
        <f>'2021'!R\Max</f>
        <v>0.8939209027468723</v>
      </c>
      <c r="BZ237" s="1190">
        <f>'2022'!R\Max</f>
        <v>0.87795649857464264</v>
      </c>
      <c r="CA237" s="1190">
        <f>'2023'!R\Max</f>
        <v>0.87794013411512217</v>
      </c>
      <c r="CB237" s="1190">
        <f>'2024'!R\Max</f>
        <v>0.87791758941279308</v>
      </c>
      <c r="CC237" s="1190">
        <f>'2025'!R\Max</f>
        <v>0.87789454446764836</v>
      </c>
      <c r="CD237" s="1190">
        <f>'2026'!R\Max</f>
        <v>0.87799398362238934</v>
      </c>
      <c r="CE237" s="1191">
        <f>'2027'!R\Max</f>
        <v>0.87798376046600468</v>
      </c>
      <c r="CF237" s="1193">
        <f>'2028'!R\Max</f>
        <v>0.8779729847598019</v>
      </c>
    </row>
    <row r="238" spans="1:84" s="6" customFormat="1" ht="11.25" x14ac:dyDescent="0.2">
      <c r="A238" s="11">
        <v>43324</v>
      </c>
      <c r="B238" s="379">
        <f>'2022'!Maxi_hp</f>
        <v>52.007510007500251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57.916749853747227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57.944264723254108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57.890954664509209</v>
      </c>
      <c r="AZ238" s="735">
        <f t="shared" si="115"/>
        <v>57.917609693881658</v>
      </c>
      <c r="BA238" s="633">
        <f t="shared" si="112"/>
        <v>0.89797010603721494</v>
      </c>
      <c r="BC238" s="11">
        <v>43324</v>
      </c>
      <c r="BD238" s="289">
        <f>[2]!FeuilCaduc*(1-Persistant)+Persistant</f>
        <v>0.99653160324671708</v>
      </c>
      <c r="BE238" s="290">
        <f>[2]!CroissVégét</f>
        <v>0.93036376011657451</v>
      </c>
      <c r="BF238" s="804">
        <f>1+[2]!Salcycl*Ksac</f>
        <v>1.0496531603246717</v>
      </c>
      <c r="BH238" s="1036">
        <f t="shared" si="113"/>
        <v>1.0410398020857163E-3</v>
      </c>
      <c r="BI238" s="11">
        <v>44420</v>
      </c>
      <c r="BJ238" s="715">
        <v>0</v>
      </c>
      <c r="BK238" s="715">
        <v>1.5730486645095098E-5</v>
      </c>
      <c r="BL238" s="715">
        <v>1.6110517908615819E-4</v>
      </c>
      <c r="BM238" s="715">
        <v>5.8583080134068973E-4</v>
      </c>
      <c r="BN238" s="715">
        <v>1.4978675991658599E-3</v>
      </c>
      <c r="BO238" s="716">
        <v>3.050591752585236E-3</v>
      </c>
      <c r="BP238" s="715">
        <v>5.4089457113982156E-3</v>
      </c>
      <c r="BQ238" s="715">
        <v>8.7320284906390409E-3</v>
      </c>
      <c r="BR238" s="715">
        <v>1.3212554869043871E-2</v>
      </c>
      <c r="BS238" s="715">
        <v>1.902530190592196E-2</v>
      </c>
      <c r="BT238" s="715">
        <v>2.5787479853836792E-2</v>
      </c>
      <c r="BW238" s="1190">
        <f>'2019'!R\Max</f>
        <v>0.50024584519396775</v>
      </c>
      <c r="BX238" s="1190">
        <f>'2020'!R\Max</f>
        <v>0.7702484353133191</v>
      </c>
      <c r="BY238" s="1190">
        <f>'2021'!R\Max</f>
        <v>0.85556030502630631</v>
      </c>
      <c r="BZ238" s="1190">
        <f>'2022'!R\Max</f>
        <v>0.89797010603721494</v>
      </c>
      <c r="CA238" s="1190">
        <f>'2023'!R\Max</f>
        <v>0.89795576227357754</v>
      </c>
      <c r="CB238" s="1190">
        <f>'2024'!R\Max</f>
        <v>0.89793596552894939</v>
      </c>
      <c r="CC238" s="1190">
        <f>'2025'!R\Max</f>
        <v>0.89791574439586663</v>
      </c>
      <c r="CD238" s="1190">
        <f>'2026'!R\Max</f>
        <v>0.89800297638270532</v>
      </c>
      <c r="CE238" s="1191">
        <f>'2027'!R\Max</f>
        <v>0.89799400972431853</v>
      </c>
      <c r="CF238" s="1193">
        <f>'2028'!R\Max</f>
        <v>0.89798456913714486</v>
      </c>
    </row>
    <row r="239" spans="1:84" s="6" customFormat="1" ht="11.25" x14ac:dyDescent="0.2">
      <c r="A239" s="11">
        <v>43325</v>
      </c>
      <c r="B239" s="379">
        <f>'2022'!Maxi_hp</f>
        <v>49.870847104426645</v>
      </c>
      <c r="C239" s="13">
        <f>'2022'!An_max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57.755099999532106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57.780200000200423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57.725293750222775</v>
      </c>
      <c r="AZ239" s="735">
        <f t="shared" si="115"/>
        <v>57.752746875211599</v>
      </c>
      <c r="BA239" s="633">
        <f t="shared" si="112"/>
        <v>0.8634881959312799</v>
      </c>
      <c r="BC239" s="11">
        <v>43325</v>
      </c>
      <c r="BD239" s="289">
        <f>[2]!FeuilCaduc*(1-Persistant)+Persistant</f>
        <v>0.99611152149321724</v>
      </c>
      <c r="BE239" s="290">
        <f>[2]!CroissVégét</f>
        <v>0.93299147677206173</v>
      </c>
      <c r="BF239" s="804">
        <f>1+[2]!Salcycl*Ksac</f>
        <v>1.0496111521493217</v>
      </c>
      <c r="BH239" s="1036">
        <f t="shared" si="113"/>
        <v>1.0634457681840193E-3</v>
      </c>
      <c r="BI239" s="11">
        <v>44421</v>
      </c>
      <c r="BJ239" s="715">
        <v>0</v>
      </c>
      <c r="BK239" s="715">
        <v>1.6172399649831587E-5</v>
      </c>
      <c r="BL239" s="715">
        <v>1.6402326709942831E-4</v>
      </c>
      <c r="BM239" s="715">
        <v>5.9821900595876244E-4</v>
      </c>
      <c r="BN239" s="715">
        <v>1.5303269515135514E-3</v>
      </c>
      <c r="BO239" s="716">
        <v>3.1184889042884349E-3</v>
      </c>
      <c r="BP239" s="715">
        <v>5.531620729088923E-3</v>
      </c>
      <c r="BQ239" s="715">
        <v>8.9355989114830604E-3</v>
      </c>
      <c r="BR239" s="715">
        <v>1.352446411952163E-2</v>
      </c>
      <c r="BS239" s="715">
        <v>1.9479702036754615E-2</v>
      </c>
      <c r="BT239" s="715">
        <v>2.6407696442678416E-2</v>
      </c>
      <c r="BW239" s="1190">
        <f>'2019'!R\Max</f>
        <v>0.8634881959312799</v>
      </c>
      <c r="BX239" s="1190">
        <f>'2020'!R\Max</f>
        <v>0.52488168765240806</v>
      </c>
      <c r="BY239" s="1190">
        <f>'2021'!R\Max</f>
        <v>0.57236649089013025</v>
      </c>
      <c r="BZ239" s="1190">
        <f>'2022'!R\Max</f>
        <v>0.67769176797564512</v>
      </c>
      <c r="CA239" s="1190">
        <f>'2023'!R\Max</f>
        <v>0.67765669539123596</v>
      </c>
      <c r="CB239" s="1190">
        <f>'2024'!R\Max</f>
        <v>0.6776082053472452</v>
      </c>
      <c r="CC239" s="1190">
        <f>'2025'!R\Max</f>
        <v>0.67755871621514108</v>
      </c>
      <c r="CD239" s="1190">
        <f>'2026'!R\Max</f>
        <v>0.67777218580903109</v>
      </c>
      <c r="CE239" s="1191">
        <f>'2027'!R\Max</f>
        <v>0.67775024237189396</v>
      </c>
      <c r="CF239" s="1193">
        <f>'2028'!R\Max</f>
        <v>0.67772716509015318</v>
      </c>
    </row>
    <row r="240" spans="1:84" s="6" customFormat="1" ht="11.25" x14ac:dyDescent="0.2">
      <c r="A240" s="11">
        <v>43326</v>
      </c>
      <c r="B240" s="379">
        <f>'2022'!Maxi_hp</f>
        <v>56.99494858795164</v>
      </c>
      <c r="C240" s="13">
        <f>'2022'!An_max</f>
        <v>2018</v>
      </c>
      <c r="D240" s="1045">
        <f t="shared" si="97"/>
        <v>0.98966097943922959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57.590376676512619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57.612549562885292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57.557007580356938</v>
      </c>
      <c r="AZ240" s="735">
        <f t="shared" si="115"/>
        <v>57.584778571621115</v>
      </c>
      <c r="BA240" s="633">
        <f t="shared" si="112"/>
        <v>0.98966097943922959</v>
      </c>
      <c r="BC240" s="11">
        <v>43326</v>
      </c>
      <c r="BD240" s="289">
        <f>[2]!FeuilCaduc*(1-Persistant)+Persistant</f>
        <v>0.99566626251208401</v>
      </c>
      <c r="BE240" s="290">
        <f>[2]!CroissVégét</f>
        <v>0.93552736989395957</v>
      </c>
      <c r="BF240" s="804">
        <f>1+[2]!Salcycl*Ksac</f>
        <v>1.0495666262512084</v>
      </c>
      <c r="BH240" s="1036">
        <f t="shared" si="113"/>
        <v>1.0874560204986541E-3</v>
      </c>
      <c r="BI240" s="11">
        <v>44422</v>
      </c>
      <c r="BJ240" s="715">
        <v>0</v>
      </c>
      <c r="BK240" s="715">
        <v>1.6635263037967935E-5</v>
      </c>
      <c r="BL240" s="715">
        <v>1.6707711165181219E-4</v>
      </c>
      <c r="BM240" s="715">
        <v>6.1151050873295431E-4</v>
      </c>
      <c r="BN240" s="715">
        <v>1.5650940709639419E-3</v>
      </c>
      <c r="BO240" s="716">
        <v>3.1910815898397887E-3</v>
      </c>
      <c r="BP240" s="715">
        <v>5.6621899848902845E-3</v>
      </c>
      <c r="BQ240" s="715">
        <v>9.1519688828038161E-3</v>
      </c>
      <c r="BR240" s="715">
        <v>1.3855495691551693E-2</v>
      </c>
      <c r="BS240" s="715">
        <v>1.9961361360668329E-2</v>
      </c>
      <c r="BT240" s="715">
        <v>2.706422238374482E-2</v>
      </c>
      <c r="BW240" s="1190">
        <f>'2019'!R\Max</f>
        <v>0.98966097943922959</v>
      </c>
      <c r="BX240" s="1190">
        <f>'2020'!R\Max</f>
        <v>0.3117013374006074</v>
      </c>
      <c r="BY240" s="1190">
        <f>'2021'!R\Max</f>
        <v>0.88302073497252986</v>
      </c>
      <c r="BZ240" s="1190">
        <f>'2022'!R\Max</f>
        <v>0.64516396633097017</v>
      </c>
      <c r="CA240" s="1190">
        <f>'2023'!R\Max</f>
        <v>0.64512623350345244</v>
      </c>
      <c r="CB240" s="1190">
        <f>'2024'!R\Max</f>
        <v>0.64507396936567518</v>
      </c>
      <c r="CC240" s="1190">
        <f>'2025'!R\Max</f>
        <v>0.64502066613362263</v>
      </c>
      <c r="CD240" s="1190">
        <f>'2026'!R\Max</f>
        <v>0.64525053187832815</v>
      </c>
      <c r="CE240" s="1191">
        <f>'2027'!R\Max</f>
        <v>0.64522690368750224</v>
      </c>
      <c r="CF240" s="1193">
        <f>'2028'!R\Max</f>
        <v>0.6452020807108354</v>
      </c>
    </row>
    <row r="241" spans="1:84" s="6" customFormat="1" ht="11.25" x14ac:dyDescent="0.2">
      <c r="A241" s="11">
        <v>43327</v>
      </c>
      <c r="B241" s="379">
        <f>'2022'!Maxi_hp</f>
        <v>50.673625731633024</v>
      </c>
      <c r="C241" s="13">
        <f>'2022'!An_max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57.422360349845675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57.441203644539101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57.386013830200376</v>
      </c>
      <c r="AZ241" s="735">
        <f t="shared" si="115"/>
        <v>57.413608737369742</v>
      </c>
      <c r="BA241" s="633">
        <f t="shared" si="112"/>
        <v>0.88247200956045702</v>
      </c>
      <c r="BC241" s="11">
        <v>43327</v>
      </c>
      <c r="BD241" s="289">
        <f>[2]!FeuilCaduc*(1-Persistant)+Persistant</f>
        <v>0.99519512845250613</v>
      </c>
      <c r="BE241" s="290">
        <f>[2]!CroissVégét</f>
        <v>0.93797413894004</v>
      </c>
      <c r="BF241" s="804">
        <f>1+[2]!Salcycl*Ksac</f>
        <v>1.0495195128452506</v>
      </c>
      <c r="BH241" s="1036">
        <f t="shared" si="113"/>
        <v>1.1127367238352405E-3</v>
      </c>
      <c r="BI241" s="11">
        <v>44423</v>
      </c>
      <c r="BJ241" s="715">
        <v>0</v>
      </c>
      <c r="BK241" s="715">
        <v>1.7158544299765796E-5</v>
      </c>
      <c r="BL241" s="715">
        <v>1.7040643840917594E-4</v>
      </c>
      <c r="BM241" s="715">
        <v>6.2563201500208962E-4</v>
      </c>
      <c r="BN241" s="715">
        <v>1.6015736552654552E-3</v>
      </c>
      <c r="BO241" s="716">
        <v>3.2668731273962329E-3</v>
      </c>
      <c r="BP241" s="715">
        <v>5.797926600097556E-3</v>
      </c>
      <c r="BQ241" s="715">
        <v>9.3765812891230278E-3</v>
      </c>
      <c r="BR241" s="715">
        <v>1.4199035622518572E-2</v>
      </c>
      <c r="BS241" s="715">
        <v>2.0461513516775262E-2</v>
      </c>
      <c r="BT241" s="715">
        <v>2.7746270830652786E-2</v>
      </c>
      <c r="BW241" s="1190">
        <f>'2019'!R\Max</f>
        <v>0.50703694450668646</v>
      </c>
      <c r="BX241" s="1190">
        <f>'2020'!R\Max</f>
        <v>0.88247200956045702</v>
      </c>
      <c r="BY241" s="1190">
        <f>'2021'!R\Max</f>
        <v>0.40036793388716024</v>
      </c>
      <c r="BZ241" s="1190">
        <f>'2022'!R\Max</f>
        <v>0.73308679904103169</v>
      </c>
      <c r="CA241" s="1190">
        <f>'2023'!R\Max</f>
        <v>0.73305368371445101</v>
      </c>
      <c r="CB241" s="1190">
        <f>'2024'!R\Max</f>
        <v>0.73300772842331297</v>
      </c>
      <c r="CC241" s="1190">
        <f>'2025'!R\Max</f>
        <v>0.73296088887109723</v>
      </c>
      <c r="CD241" s="1190">
        <f>'2026'!R\Max</f>
        <v>0.73316281228455282</v>
      </c>
      <c r="CE241" s="1191">
        <f>'2027'!R\Max</f>
        <v>0.73314205789207554</v>
      </c>
      <c r="CF241" s="1193">
        <f>'2028'!R\Max</f>
        <v>0.73312027563349447</v>
      </c>
    </row>
    <row r="242" spans="1:84" s="6" customFormat="1" ht="11.25" x14ac:dyDescent="0.2">
      <c r="A242" s="11">
        <v>43328</v>
      </c>
      <c r="B242" s="379">
        <f>'2022'!Maxi_hp</f>
        <v>55.891220971481495</v>
      </c>
      <c r="C242" s="13">
        <f>'2022'!An_max</f>
        <v>2018</v>
      </c>
      <c r="D242" s="1045">
        <f t="shared" si="97"/>
        <v>0.97625168962570441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57.250831486816921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57.266052478338999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57.212230175121547</v>
      </c>
      <c r="AZ242" s="735">
        <f t="shared" si="115"/>
        <v>57.239141326730277</v>
      </c>
      <c r="BA242" s="633">
        <f t="shared" si="112"/>
        <v>0.97625168962570441</v>
      </c>
      <c r="BC242" s="11">
        <v>43328</v>
      </c>
      <c r="BD242" s="289">
        <f>[2]!FeuilCaduc*(1-Persistant)+Persistant</f>
        <v>0.99469731312465792</v>
      </c>
      <c r="BE242" s="290">
        <f>[2]!CroissVégét</f>
        <v>0.94033444219607754</v>
      </c>
      <c r="BF242" s="804">
        <f>1+[2]!Salcycl*Ksac</f>
        <v>1.0494697313124659</v>
      </c>
      <c r="BH242" s="1036">
        <f t="shared" si="113"/>
        <v>1.1392881060450725E-3</v>
      </c>
      <c r="BI242" s="11">
        <v>44424</v>
      </c>
      <c r="BJ242" s="715">
        <v>0</v>
      </c>
      <c r="BK242" s="715">
        <v>1.7742249704688632E-5</v>
      </c>
      <c r="BL242" s="715">
        <v>1.7401126910153694E-4</v>
      </c>
      <c r="BM242" s="715">
        <v>6.4058364981793244E-4</v>
      </c>
      <c r="BN242" s="715">
        <v>1.6397660354344867E-3</v>
      </c>
      <c r="BO242" s="716">
        <v>3.3458642263878937E-3</v>
      </c>
      <c r="BP242" s="715">
        <v>5.9388318661168131E-3</v>
      </c>
      <c r="BQ242" s="715">
        <v>9.609438337492027E-3</v>
      </c>
      <c r="BR242" s="715">
        <v>1.4555087333040275E-2</v>
      </c>
      <c r="BS242" s="715">
        <v>2.0980163548247027E-2</v>
      </c>
      <c r="BT242" s="715">
        <v>2.8453848706956213E-2</v>
      </c>
      <c r="BW242" s="1190">
        <f>'2019'!R\Max</f>
        <v>0.97625168962570441</v>
      </c>
      <c r="BX242" s="1190">
        <f>'2020'!R\Max</f>
        <v>0.85029859247472128</v>
      </c>
      <c r="BY242" s="1190">
        <f>'2021'!R\Max</f>
        <v>0.58013323827917906</v>
      </c>
      <c r="BZ242" s="1190">
        <f>'2022'!R\Max</f>
        <v>0.68012826676608695</v>
      </c>
      <c r="CA242" s="1190">
        <f>'2023'!R\Max</f>
        <v>0.68009045325328055</v>
      </c>
      <c r="CB242" s="1190">
        <f>'2024'!R\Max</f>
        <v>0.68003788168620782</v>
      </c>
      <c r="CC242" s="1190">
        <f>'2025'!R\Max</f>
        <v>0.67998433447129814</v>
      </c>
      <c r="CD242" s="1190">
        <f>'2026'!R\Max</f>
        <v>0.68021512194904521</v>
      </c>
      <c r="CE242" s="1191">
        <f>'2027'!R\Max</f>
        <v>0.6801913981304436</v>
      </c>
      <c r="CF242" s="1193">
        <f>'2028'!R\Max</f>
        <v>0.68016652397814392</v>
      </c>
    </row>
    <row r="243" spans="1:84" s="6" customFormat="1" ht="11.25" x14ac:dyDescent="0.2">
      <c r="A243" s="11">
        <v>43329</v>
      </c>
      <c r="B243" s="379">
        <f>'2022'!Maxi_hp</f>
        <v>54.973908818601828</v>
      </c>
      <c r="C243" s="13">
        <f>'2022'!An_max</f>
        <v>2018</v>
      </c>
      <c r="D243" s="1045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57.075570553966926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57.0869862976351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57.035574289278273</v>
      </c>
      <c r="AZ243" s="735">
        <f t="shared" si="115"/>
        <v>57.06128029345669</v>
      </c>
      <c r="BA243" s="633">
        <f t="shared" si="112"/>
        <v>0.96317756064518167</v>
      </c>
      <c r="BC243" s="11">
        <v>43329</v>
      </c>
      <c r="BD243" s="289">
        <f>[2]!FeuilCaduc*(1-Persistant)+Persistant</f>
        <v>0.99417191222901158</v>
      </c>
      <c r="BE243" s="290">
        <f>[2]!CroissVégét</f>
        <v>0.94261089426578282</v>
      </c>
      <c r="BF243" s="804">
        <f>1+[2]!Salcycl*Ksac</f>
        <v>1.0494171912229011</v>
      </c>
      <c r="BH243" s="1036">
        <f t="shared" si="113"/>
        <v>1.1671104194868798E-3</v>
      </c>
      <c r="BI243" s="11">
        <v>44425</v>
      </c>
      <c r="BJ243" s="715">
        <v>0</v>
      </c>
      <c r="BK243" s="715">
        <v>1.8386387543485048E-5</v>
      </c>
      <c r="BL243" s="715">
        <v>1.7789163347156316E-4</v>
      </c>
      <c r="BM243" s="715">
        <v>6.5636555725320431E-4</v>
      </c>
      <c r="BN243" s="715">
        <v>1.679671572500857E-3</v>
      </c>
      <c r="BO243" s="716">
        <v>3.4280556427129295E-3</v>
      </c>
      <c r="BP243" s="715">
        <v>6.0849071327098948E-3</v>
      </c>
      <c r="BQ243" s="715">
        <v>9.8505423179386428E-3</v>
      </c>
      <c r="BR243" s="715">
        <v>1.4923654366339764E-2</v>
      </c>
      <c r="BS243" s="715">
        <v>2.151731668932989E-2</v>
      </c>
      <c r="BT243" s="715">
        <v>2.9186963210306199E-2</v>
      </c>
      <c r="BW243" s="1190">
        <f>'2019'!R\Max</f>
        <v>0.96317756064518167</v>
      </c>
      <c r="BX243" s="1190">
        <f>'2020'!R\Max</f>
        <v>0.34639156358177448</v>
      </c>
      <c r="BY243" s="1190">
        <f>'2021'!R\Max</f>
        <v>0.77640811405382093</v>
      </c>
      <c r="BZ243" s="1190">
        <f>'2022'!R\Max</f>
        <v>0.54736364349244138</v>
      </c>
      <c r="CA243" s="1190">
        <f>'2023'!R\Max</f>
        <v>0.54731940801565016</v>
      </c>
      <c r="CB243" s="1190">
        <f>'2024'!R\Max</f>
        <v>0.54725779746311798</v>
      </c>
      <c r="CC243" s="1190">
        <f>'2025'!R\Max</f>
        <v>0.54719508678309581</v>
      </c>
      <c r="CD243" s="1190">
        <f>'2026'!R\Max</f>
        <v>0.54746532622541078</v>
      </c>
      <c r="CE243" s="1191">
        <f>'2027'!R\Max</f>
        <v>0.54743754002477463</v>
      </c>
      <c r="CF243" s="1193">
        <f>'2028'!R\Max</f>
        <v>0.54740843489096547</v>
      </c>
    </row>
    <row r="244" spans="1:84" s="6" customFormat="1" ht="11.25" x14ac:dyDescent="0.2">
      <c r="A244" s="11">
        <v>43330</v>
      </c>
      <c r="B244" s="379">
        <f>'2022'!Maxi_hp</f>
        <v>54.287330596628593</v>
      </c>
      <c r="C244" s="13">
        <f>'2022'!An_max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56.896358016718715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56.903895335218728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56.855963847892625</v>
      </c>
      <c r="AZ244" s="735">
        <f t="shared" si="115"/>
        <v>56.87992959155568</v>
      </c>
      <c r="BA244" s="633">
        <f t="shared" si="112"/>
        <v>0.95414421043745068</v>
      </c>
      <c r="BC244" s="11">
        <v>43330</v>
      </c>
      <c r="BD244" s="289">
        <f>[2]!FeuilCaduc*(1-Persistant)+Persistant</f>
        <v>0.99361793277727073</v>
      </c>
      <c r="BE244" s="290">
        <f>[2]!CroissVégét</f>
        <v>0.94480606387541</v>
      </c>
      <c r="BF244" s="804">
        <f>1+[2]!Salcycl*Ksac</f>
        <v>1.0493617932777271</v>
      </c>
      <c r="BH244" s="1036">
        <f t="shared" si="113"/>
        <v>1.1962039370904574E-3</v>
      </c>
      <c r="BI244" s="11">
        <v>44426</v>
      </c>
      <c r="BJ244" s="715">
        <v>0</v>
      </c>
      <c r="BK244" s="715">
        <v>1.9090967940580876E-5</v>
      </c>
      <c r="BL244" s="715">
        <v>1.820475684202637E-4</v>
      </c>
      <c r="BM244" s="715">
        <v>6.7297789782876907E-4</v>
      </c>
      <c r="BN244" s="715">
        <v>1.7212906522030367E-3</v>
      </c>
      <c r="BO244" s="716">
        <v>3.5134481688312864E-3</v>
      </c>
      <c r="BP244" s="715">
        <v>6.2361537919977368E-3</v>
      </c>
      <c r="BQ244" s="715">
        <v>1.0099895577952092E-2</v>
      </c>
      <c r="BR244" s="715">
        <v>1.5304740349523713E-2</v>
      </c>
      <c r="BS244" s="715">
        <v>2.2072978308091625E-2</v>
      </c>
      <c r="BT244" s="715">
        <v>2.9945621733428612E-2</v>
      </c>
      <c r="BW244" s="1190">
        <f>'2019'!R\Max</f>
        <v>0.66894982507945588</v>
      </c>
      <c r="BX244" s="1190">
        <f>'2020'!R\Max</f>
        <v>0.7888548464068329</v>
      </c>
      <c r="BY244" s="1190">
        <f>'2021'!R\Max</f>
        <v>0.95414421043745068</v>
      </c>
      <c r="BZ244" s="1190">
        <f>'2022'!R\Max</f>
        <v>0.69677283011248314</v>
      </c>
      <c r="CA244" s="1190">
        <f>'2023'!R\Max</f>
        <v>0.69673407075739557</v>
      </c>
      <c r="CB244" s="1190">
        <f>'2024'!R\Max</f>
        <v>0.69667998400831554</v>
      </c>
      <c r="CC244" s="1190">
        <f>'2025'!R\Max</f>
        <v>0.69662496044895272</v>
      </c>
      <c r="CD244" s="1190">
        <f>'2026'!R\Max</f>
        <v>0.69686198082778228</v>
      </c>
      <c r="CE244" s="1191">
        <f>'2027'!R\Max</f>
        <v>0.69683760965895936</v>
      </c>
      <c r="CF244" s="1193">
        <f>'2028'!R\Max</f>
        <v>0.69681210406018812</v>
      </c>
    </row>
    <row r="245" spans="1:84" s="6" customFormat="1" ht="11.25" x14ac:dyDescent="0.2">
      <c r="A245" s="11">
        <v>43331</v>
      </c>
      <c r="B245" s="379">
        <f>'2022'!Maxi_hp</f>
        <v>46.197672752985881</v>
      </c>
      <c r="C245" s="13">
        <f>'2022'!An_max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56.712974343688359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56.716669825052051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56.673316526692361</v>
      </c>
      <c r="AZ245" s="735">
        <f t="shared" si="115"/>
        <v>56.694993175872206</v>
      </c>
      <c r="BA245" s="633">
        <f t="shared" si="112"/>
        <v>0.81458737242419488</v>
      </c>
      <c r="BC245" s="11">
        <v>43331</v>
      </c>
      <c r="BD245" s="289">
        <f>[2]!FeuilCaduc*(1-Persistant)+Persistant</f>
        <v>0.99303430160705308</v>
      </c>
      <c r="BE245" s="290">
        <f>[2]!CroissVégét</f>
        <v>0.94692247197428869</v>
      </c>
      <c r="BF245" s="804">
        <f>1+[2]!Salcycl*Ksac</f>
        <v>1.0493034301607054</v>
      </c>
      <c r="BH245" s="1036">
        <f t="shared" si="113"/>
        <v>1.2265689484378469E-3</v>
      </c>
      <c r="BI245" s="11">
        <v>44427</v>
      </c>
      <c r="BJ245" s="715">
        <v>0</v>
      </c>
      <c r="BK245" s="715">
        <v>1.9856002666740009E-5</v>
      </c>
      <c r="BL245" s="715">
        <v>1.8647911715536855E-4</v>
      </c>
      <c r="BM245" s="715">
        <v>6.9042084595068848E-4</v>
      </c>
      <c r="BN245" s="715">
        <v>1.7646236797086313E-3</v>
      </c>
      <c r="BO245" s="716">
        <v>3.6020426239099777E-3</v>
      </c>
      <c r="BP245" s="715">
        <v>6.3925732625552184E-3</v>
      </c>
      <c r="BQ245" s="715">
        <v>1.0357500497115783E-2</v>
      </c>
      <c r="BR245" s="715">
        <v>1.5698348955085366E-2</v>
      </c>
      <c r="BS245" s="715">
        <v>2.2647153849491227E-2</v>
      </c>
      <c r="BT245" s="715">
        <v>3.0729831785539265E-2</v>
      </c>
      <c r="BW245" s="1190">
        <f>'2019'!R\Max</f>
        <v>0.62803582322084772</v>
      </c>
      <c r="BX245" s="1190">
        <f>'2020'!R\Max</f>
        <v>0.77810436738945743</v>
      </c>
      <c r="BY245" s="1190">
        <f>'2021'!R\Max</f>
        <v>0.81458737242419488</v>
      </c>
      <c r="BZ245" s="1190">
        <f>'2022'!R\Max</f>
        <v>0.79637134981098201</v>
      </c>
      <c r="CA245" s="1190">
        <f>'2023'!R\Max</f>
        <v>0.79634077835306638</v>
      </c>
      <c r="CB245" s="1190">
        <f>'2024'!R\Max</f>
        <v>0.79629803702710134</v>
      </c>
      <c r="CC245" s="1190">
        <f>'2025'!R\Max</f>
        <v>0.7962545783370657</v>
      </c>
      <c r="CD245" s="1190">
        <f>'2026'!R\Max</f>
        <v>0.79644171567969613</v>
      </c>
      <c r="CE245" s="1191">
        <f>'2027'!R\Max</f>
        <v>0.79642247144040546</v>
      </c>
      <c r="CF245" s="1193">
        <f>'2028'!R\Max</f>
        <v>0.79640234867326232</v>
      </c>
    </row>
    <row r="246" spans="1:84" s="6" customFormat="1" ht="11.25" x14ac:dyDescent="0.2">
      <c r="A246" s="11">
        <v>43332</v>
      </c>
      <c r="B246" s="379">
        <f>'2022'!Maxi_hp</f>
        <v>54.248110681105196</v>
      </c>
      <c r="C246" s="13">
        <f>'2022'!An_max</f>
        <v>2022</v>
      </c>
      <c r="D246" s="1045" t="str">
        <f t="shared" si="97"/>
        <v/>
      </c>
      <c r="E246" s="1040">
        <f>AD$13/10</f>
        <v>56.525199999999998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56.525199998915198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56.525199999660252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56.487549999915061</v>
      </c>
      <c r="AZ246" s="735">
        <f t="shared" si="115"/>
        <v>56.506374999787653</v>
      </c>
      <c r="BA246" s="633">
        <f t="shared" si="112"/>
        <v>0.95971550179647835</v>
      </c>
      <c r="BC246" s="11">
        <v>43332</v>
      </c>
      <c r="BD246" s="289">
        <f>[2]!FeuilCaduc*(1-Persistant)+Persistant</f>
        <v>0.9924198729088658</v>
      </c>
      <c r="BE246" s="290">
        <f>[2]!CroissVégét</f>
        <v>0.94896259011285922</v>
      </c>
      <c r="BF246" s="804">
        <f>1+[2]!Salcycl*Ksac</f>
        <v>1.0492419872908867</v>
      </c>
      <c r="BH246" s="1036">
        <f t="shared" si="113"/>
        <v>1.2582057558495163E-3</v>
      </c>
      <c r="BI246" s="11">
        <v>44428</v>
      </c>
      <c r="BJ246" s="715">
        <v>0</v>
      </c>
      <c r="BK246" s="715">
        <v>2.0681504951812125E-5</v>
      </c>
      <c r="BL246" s="715">
        <v>1.9118632834045726E-4</v>
      </c>
      <c r="BM246" s="715">
        <v>7.0869458735009364E-4</v>
      </c>
      <c r="BN246" s="715">
        <v>1.8096710743420558E-3</v>
      </c>
      <c r="BO246" s="716">
        <v>3.693839843983077E-3</v>
      </c>
      <c r="BP246" s="715">
        <v>6.5541669735320893E-3</v>
      </c>
      <c r="BQ246" s="715">
        <v>1.0623359461782547E-2</v>
      </c>
      <c r="BR246" s="715">
        <v>1.6104483862471635E-2</v>
      </c>
      <c r="BS246" s="715">
        <v>2.3239848778541437E-2</v>
      </c>
      <c r="BT246" s="715">
        <v>3.153960091388535E-2</v>
      </c>
      <c r="BW246" s="1190">
        <f>'2019'!R\Max</f>
        <v>0.56679603558162928</v>
      </c>
      <c r="BX246" s="1190">
        <f>'2020'!R\Max</f>
        <v>0.95795512919223502</v>
      </c>
      <c r="BY246" s="1190">
        <f>'2021'!R\Max</f>
        <v>0.94971412621633855</v>
      </c>
      <c r="BZ246" s="1190">
        <f>'2022'!R\Max</f>
        <v>0.95971550179647835</v>
      </c>
      <c r="CA246" s="1190">
        <f>'2023'!R\Max</f>
        <v>0.95970801044956666</v>
      </c>
      <c r="CB246" s="1190">
        <f>'2024'!R\Max</f>
        <v>0.95969751701112072</v>
      </c>
      <c r="CC246" s="1190">
        <f>'2025'!R\Max</f>
        <v>0.95968685246215524</v>
      </c>
      <c r="CD246" s="1190">
        <f>'2026'!R\Max</f>
        <v>0.95973275608421615</v>
      </c>
      <c r="CE246" s="1191">
        <f>'2027'!R\Max</f>
        <v>0.95972803519422312</v>
      </c>
      <c r="CF246" s="1193">
        <f>'2028'!R\Max</f>
        <v>0.95972310278348483</v>
      </c>
    </row>
    <row r="247" spans="1:84" s="6" customFormat="1" ht="11.25" x14ac:dyDescent="0.2">
      <c r="A247" s="11">
        <v>43333</v>
      </c>
      <c r="B247" s="379">
        <f>'2022'!Maxi_hp</f>
        <v>54.553633144965026</v>
      </c>
      <c r="C247" s="13">
        <f>'2022'!An_max</f>
        <v>2020</v>
      </c>
      <c r="D247" s="1045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56.333364284836819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56.329968376537522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56.298581942436954</v>
      </c>
      <c r="AZ247" s="735">
        <f t="shared" si="115"/>
        <v>56.314275159487238</v>
      </c>
      <c r="BA247" s="633">
        <f t="shared" si="112"/>
        <v>0.96840715688711598</v>
      </c>
      <c r="BC247" s="11">
        <v>43333</v>
      </c>
      <c r="BD247" s="289">
        <f>[2]!FeuilCaduc*(1-Persistant)+Persistant</f>
        <v>0.99177343470123258</v>
      </c>
      <c r="BE247" s="290">
        <f>[2]!CroissVégét</f>
        <v>0.95092883908018766</v>
      </c>
      <c r="BF247" s="804">
        <f>1+[2]!Salcycl*Ksac</f>
        <v>1.0491773434701233</v>
      </c>
      <c r="BH247" s="1036">
        <f t="shared" si="113"/>
        <v>1.2911146704443724E-3</v>
      </c>
      <c r="BI247" s="11">
        <v>44429</v>
      </c>
      <c r="BJ247" s="715">
        <v>0</v>
      </c>
      <c r="BK247" s="715">
        <v>2.1567489297058317E-5</v>
      </c>
      <c r="BL247" s="715">
        <v>1.9616925524010973E-4</v>
      </c>
      <c r="BM247" s="715">
        <v>7.2779931650832769E-4</v>
      </c>
      <c r="BN247" s="715">
        <v>1.8564332642745632E-3</v>
      </c>
      <c r="BO247" s="716">
        <v>3.7888406720348322E-3</v>
      </c>
      <c r="BP247" s="715">
        <v>6.7209363486374898E-3</v>
      </c>
      <c r="BQ247" s="715">
        <v>1.0897474839528827E-2</v>
      </c>
      <c r="BR247" s="715">
        <v>1.6523148719315317E-2</v>
      </c>
      <c r="BS247" s="715">
        <v>2.3851068522988253E-2</v>
      </c>
      <c r="BT247" s="715">
        <v>3.2374936624631388E-2</v>
      </c>
      <c r="BW247" s="1190">
        <f>'2019'!R\Max</f>
        <v>0.89950672550704802</v>
      </c>
      <c r="BX247" s="1190">
        <f>'2020'!R\Max</f>
        <v>0.96840715688711598</v>
      </c>
      <c r="BY247" s="1190">
        <f>'2021'!R\Max</f>
        <v>0.90254050849320644</v>
      </c>
      <c r="BZ247" s="1190">
        <f>'2022'!R\Max</f>
        <v>0.65045248162638991</v>
      </c>
      <c r="CA247" s="1190">
        <f>'2023'!R\Max</f>
        <v>0.65040719869938057</v>
      </c>
      <c r="CB247" s="1190">
        <f>'2024'!R\Max</f>
        <v>0.65034366331554982</v>
      </c>
      <c r="CC247" s="1190">
        <f>'2025'!R\Max</f>
        <v>0.65027913780634217</v>
      </c>
      <c r="CD247" s="1190">
        <f>'2026'!R\Max</f>
        <v>0.65055688309894766</v>
      </c>
      <c r="CE247" s="1191">
        <f>'2027'!R\Max</f>
        <v>0.65052830072111778</v>
      </c>
      <c r="CF247" s="1193">
        <f>'2028'!R\Max</f>
        <v>0.65049846454509874</v>
      </c>
    </row>
    <row r="248" spans="1:84" s="6" customFormat="1" ht="11.25" x14ac:dyDescent="0.2">
      <c r="A248" s="11">
        <v>43334</v>
      </c>
      <c r="B248" s="379">
        <f>'2022'!Maxi_hp</f>
        <v>56.59830554422004</v>
      </c>
      <c r="C248" s="13">
        <f>'2022'!An_max</f>
        <v>2018</v>
      </c>
      <c r="D248" s="1045">
        <f t="shared" si="97"/>
        <v>1.0082005621178334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56.13794285665665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56.131521501232463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56.106330029081015</v>
      </c>
      <c r="AZ248" s="735">
        <f t="shared" si="115"/>
        <v>56.118925765156739</v>
      </c>
      <c r="BA248" s="633">
        <f t="shared" si="112"/>
        <v>1.0082005621178334</v>
      </c>
      <c r="BC248" s="11">
        <v>43334</v>
      </c>
      <c r="BD248" s="289">
        <f>[2]!FeuilCaduc*(1-Persistant)+Persistant</f>
        <v>0.99109371420784087</v>
      </c>
      <c r="BE248" s="290">
        <f>[2]!CroissVégét</f>
        <v>0.95282358778342446</v>
      </c>
      <c r="BF248" s="804">
        <f>1+[2]!Salcycl*Ksac</f>
        <v>1.049109371420784</v>
      </c>
      <c r="BH248" s="1036">
        <f t="shared" si="113"/>
        <v>1.326350478761764E-3</v>
      </c>
      <c r="BI248" s="11">
        <v>44430</v>
      </c>
      <c r="BJ248" s="715">
        <v>0</v>
      </c>
      <c r="BK248" s="715">
        <v>2.2700767329693759E-5</v>
      </c>
      <c r="BL248" s="715">
        <v>2.0202362482747951E-4</v>
      </c>
      <c r="BM248" s="715">
        <v>7.4863930641582116E-4</v>
      </c>
      <c r="BN248" s="715">
        <v>1.9061160848447792E-3</v>
      </c>
      <c r="BO248" s="716">
        <v>3.8883304604454866E-3</v>
      </c>
      <c r="BP248" s="715">
        <v>6.8948989898144249E-3</v>
      </c>
      <c r="BQ248" s="715">
        <v>1.1182909531463331E-2</v>
      </c>
      <c r="BR248" s="715">
        <v>1.6959597102454042E-2</v>
      </c>
      <c r="BS248" s="715">
        <v>2.4489195947094113E-2</v>
      </c>
      <c r="BT248" s="715">
        <v>3.3248349166792049E-2</v>
      </c>
      <c r="BW248" s="1190">
        <f>'2019'!R\Max</f>
        <v>1.0082005621178334</v>
      </c>
      <c r="BX248" s="1190">
        <f>'2020'!R\Max</f>
        <v>0.87498786457150635</v>
      </c>
      <c r="BY248" s="1190">
        <f>'2021'!R\Max</f>
        <v>0.38363363954846474</v>
      </c>
      <c r="BZ248" s="1190">
        <f>'2022'!R\Max</f>
        <v>0.52021462791076922</v>
      </c>
      <c r="CA248" s="1190">
        <f>'2023'!R\Max</f>
        <v>0.52016351405694605</v>
      </c>
      <c r="CB248" s="1190">
        <f>'2024'!R\Max</f>
        <v>0.52009167339976659</v>
      </c>
      <c r="CC248" s="1190">
        <f>'2025'!R\Max</f>
        <v>0.52001875687033372</v>
      </c>
      <c r="CD248" s="1190">
        <f>'2026'!R\Max</f>
        <v>0.52033256693164109</v>
      </c>
      <c r="CE248" s="1191">
        <f>'2027'!R\Max</f>
        <v>0.52030026218547987</v>
      </c>
      <c r="CF248" s="1193">
        <f>'2028'!R\Max</f>
        <v>0.5202665687107898</v>
      </c>
    </row>
    <row r="249" spans="1:84" s="6" customFormat="1" ht="11.25" x14ac:dyDescent="0.2">
      <c r="A249" s="11">
        <v>43335</v>
      </c>
      <c r="B249" s="379">
        <f>'2022'!Maxi_hp</f>
        <v>53.920594526150673</v>
      </c>
      <c r="C249" s="13">
        <f>'2022'!An_max</f>
        <v>2018</v>
      </c>
      <c r="D249" s="1045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55.938935714215042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55.929845654339125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55.910711935747955</v>
      </c>
      <c r="AZ249" s="735">
        <f t="shared" si="115"/>
        <v>55.920278795043544</v>
      </c>
      <c r="BA249" s="633">
        <f t="shared" si="112"/>
        <v>0.96391884896817093</v>
      </c>
      <c r="BC249" s="11">
        <v>43335</v>
      </c>
      <c r="BD249" s="289">
        <f>[2]!FeuilCaduc*(1-Persistant)+Persistant</f>
        <v>0.9903793821090876</v>
      </c>
      <c r="BE249" s="290">
        <f>[2]!CroissVégét</f>
        <v>0.95464915235219705</v>
      </c>
      <c r="BF249" s="804">
        <f>1+[2]!Salcycl*Ksac</f>
        <v>1.0490379382109087</v>
      </c>
      <c r="BH249" s="1036">
        <f t="shared" si="113"/>
        <v>1.3642426266822296E-3</v>
      </c>
      <c r="BI249" s="11">
        <v>44431</v>
      </c>
      <c r="BJ249" s="715">
        <v>0</v>
      </c>
      <c r="BK249" s="715">
        <v>2.4134448331159832E-5</v>
      </c>
      <c r="BL249" s="715">
        <v>2.0909399345835837E-4</v>
      </c>
      <c r="BM249" s="715">
        <v>7.7165508103945E-4</v>
      </c>
      <c r="BN249" s="715">
        <v>1.9589375088353866E-3</v>
      </c>
      <c r="BO249" s="716">
        <v>3.9917366478594936E-3</v>
      </c>
      <c r="BP249" s="715">
        <v>7.0742496587158201E-3</v>
      </c>
      <c r="BQ249" s="715">
        <v>1.1475919326501891E-2</v>
      </c>
      <c r="BR249" s="715">
        <v>1.7407491633461294E-2</v>
      </c>
      <c r="BS249" s="715">
        <v>2.5144731245755777E-2</v>
      </c>
      <c r="BT249" s="715">
        <v>3.4146941132195685E-2</v>
      </c>
      <c r="BW249" s="1190">
        <f>'2019'!R\Max</f>
        <v>0.96391884896817093</v>
      </c>
      <c r="BX249" s="1190">
        <f>'2020'!R\Max</f>
        <v>0.70464566819116914</v>
      </c>
      <c r="BY249" s="1190">
        <f>'2021'!R\Max</f>
        <v>0.93009531159498515</v>
      </c>
      <c r="BZ249" s="1190">
        <f>'2022'!R\Max</f>
        <v>0.94710491039050104</v>
      </c>
      <c r="CA249" s="1190">
        <f>'2023'!R\Max</f>
        <v>0.94709436098896504</v>
      </c>
      <c r="CB249" s="1190">
        <f>'2024'!R\Max</f>
        <v>0.94707950486975478</v>
      </c>
      <c r="CC249" s="1190">
        <f>'2025'!R\Max</f>
        <v>0.94706443009769548</v>
      </c>
      <c r="CD249" s="1190">
        <f>'2026'!R\Max</f>
        <v>0.94712926006454856</v>
      </c>
      <c r="CE249" s="1191">
        <f>'2027'!R\Max</f>
        <v>0.94712258865099674</v>
      </c>
      <c r="CF249" s="1193">
        <f>'2028'!R\Max</f>
        <v>0.94711563522548381</v>
      </c>
    </row>
    <row r="250" spans="1:84" s="6" customFormat="1" ht="11.25" x14ac:dyDescent="0.2">
      <c r="A250" s="11">
        <v>43336</v>
      </c>
      <c r="B250" s="379">
        <f>'2022'!Maxi_hp</f>
        <v>53.710943273979339</v>
      </c>
      <c r="C250" s="13">
        <f>'2022'!An_max</f>
        <v>2018</v>
      </c>
      <c r="D250" s="1045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55.73634285724588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55.72492711368416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55.711645334719549</v>
      </c>
      <c r="AZ250" s="735">
        <f t="shared" si="115"/>
        <v>55.718286224201854</v>
      </c>
      <c r="BA250" s="633">
        <f t="shared" si="112"/>
        <v>0.9636610606394812</v>
      </c>
      <c r="BC250" s="11">
        <v>43336</v>
      </c>
      <c r="BD250" s="289">
        <f>[2]!FeuilCaduc*(1-Persistant)+Persistant</f>
        <v>0.98962905565918069</v>
      </c>
      <c r="BE250" s="290">
        <f>[2]!CroissVégét</f>
        <v>0.95640779545152554</v>
      </c>
      <c r="BF250" s="804">
        <f>1+[2]!Salcycl*Ksac</f>
        <v>1.048962905565918</v>
      </c>
      <c r="BH250" s="1036">
        <f t="shared" si="113"/>
        <v>1.4047928003516536E-3</v>
      </c>
      <c r="BI250" s="11">
        <v>44432</v>
      </c>
      <c r="BJ250" s="715">
        <v>0</v>
      </c>
      <c r="BK250" s="715">
        <v>2.5868611777983619E-5</v>
      </c>
      <c r="BL250" s="715">
        <v>2.1738075876014237E-4</v>
      </c>
      <c r="BM250" s="715">
        <v>7.9684771870833226E-4</v>
      </c>
      <c r="BN250" s="715">
        <v>2.0148998323705298E-3</v>
      </c>
      <c r="BO250" s="716">
        <v>4.0990634805904329E-3</v>
      </c>
      <c r="BP250" s="715">
        <v>7.2589955891842568E-3</v>
      </c>
      <c r="BQ250" s="715">
        <v>1.1776515822694745E-2</v>
      </c>
      <c r="BR250" s="715">
        <v>1.7866849955025823E-2</v>
      </c>
      <c r="BS250" s="715">
        <v>2.5817700172057322E-2</v>
      </c>
      <c r="BT250" s="715">
        <v>3.5070747856720534E-2</v>
      </c>
      <c r="BW250" s="1190">
        <f>'2019'!R\Max</f>
        <v>0.9636610606394812</v>
      </c>
      <c r="BX250" s="1190">
        <f>'2020'!R\Max</f>
        <v>0.80142205925313914</v>
      </c>
      <c r="BY250" s="1190">
        <f>'2021'!R\Max</f>
        <v>0.85247842113525563</v>
      </c>
      <c r="BZ250" s="1190">
        <f>'2022'!R\Max</f>
        <v>0.90627236350407214</v>
      </c>
      <c r="CA250" s="1190">
        <f>'2023'!R\Max</f>
        <v>0.9062539743891207</v>
      </c>
      <c r="CB250" s="1190">
        <f>'2024'!R\Max</f>
        <v>0.90622803505640204</v>
      </c>
      <c r="CC250" s="1190">
        <f>'2025'!R\Max</f>
        <v>0.9062017273777857</v>
      </c>
      <c r="CD250" s="1190">
        <f>'2026'!R\Max</f>
        <v>0.9063148331672588</v>
      </c>
      <c r="CE250" s="1191">
        <f>'2027'!R\Max</f>
        <v>0.90630319263161752</v>
      </c>
      <c r="CF250" s="1193">
        <f>'2028'!R\Max</f>
        <v>0.90629106979390783</v>
      </c>
    </row>
    <row r="251" spans="1:84" s="6" customFormat="1" ht="11.25" x14ac:dyDescent="0.2">
      <c r="A251" s="11">
        <v>43337</v>
      </c>
      <c r="B251" s="379">
        <f>'2022'!Maxi_hp</f>
        <v>50.59926404911738</v>
      </c>
      <c r="C251" s="13">
        <f>'2022'!An_max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55.530164285483103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55.516752159249577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55.509047903985312</v>
      </c>
      <c r="AZ251" s="735">
        <f t="shared" si="115"/>
        <v>55.512900031617448</v>
      </c>
      <c r="BA251" s="633">
        <f t="shared" si="112"/>
        <v>0.91120321180726671</v>
      </c>
      <c r="BC251" s="11">
        <v>43337</v>
      </c>
      <c r="BD251" s="289">
        <f>[2]!FeuilCaduc*(1-Persistant)+Persistant</f>
        <v>0.98884130067878195</v>
      </c>
      <c r="BE251" s="290">
        <f>[2]!CroissVégét</f>
        <v>0.95810172578745478</v>
      </c>
      <c r="BF251" s="804">
        <f>1+[2]!Salcycl*Ksac</f>
        <v>1.0488841300678782</v>
      </c>
      <c r="BH251" s="1036">
        <f t="shared" si="113"/>
        <v>1.4480033261852535E-3</v>
      </c>
      <c r="BI251" s="11">
        <v>44433</v>
      </c>
      <c r="BJ251" s="715">
        <v>0</v>
      </c>
      <c r="BK251" s="715">
        <v>2.7903359813371393E-5</v>
      </c>
      <c r="BL251" s="715">
        <v>2.2688444959955117E-4</v>
      </c>
      <c r="BM251" s="715">
        <v>8.2421868886337079E-4</v>
      </c>
      <c r="BN251" s="715">
        <v>2.0740062418872786E-3</v>
      </c>
      <c r="BO251" s="716">
        <v>4.2103169167334352E-3</v>
      </c>
      <c r="BP251" s="715">
        <v>7.4491469812636079E-3</v>
      </c>
      <c r="BQ251" s="715">
        <v>1.2084715392417284E-2</v>
      </c>
      <c r="BR251" s="715">
        <v>1.8337696959285023E-2</v>
      </c>
      <c r="BS251" s="715">
        <v>2.6508139005469281E-2</v>
      </c>
      <c r="BT251" s="715">
        <v>3.6019819049934766E-2</v>
      </c>
      <c r="BW251" s="1190">
        <f>'2019'!R\Max</f>
        <v>0.85870268332126787</v>
      </c>
      <c r="BX251" s="1190">
        <f>'2020'!R\Max</f>
        <v>0.91080975912360407</v>
      </c>
      <c r="BY251" s="1190">
        <f>'2021'!R\Max</f>
        <v>0.91120321180726671</v>
      </c>
      <c r="BZ251" s="1190">
        <f>'2022'!R\Max</f>
        <v>0.63771747289431435</v>
      </c>
      <c r="CA251" s="1190">
        <f>'2023'!R\Max</f>
        <v>0.63766606110346602</v>
      </c>
      <c r="CB251" s="1190">
        <f>'2024'!R\Max</f>
        <v>0.6375934332217621</v>
      </c>
      <c r="CC251" s="1190">
        <f>'2025'!R\Max</f>
        <v>0.63751982112514616</v>
      </c>
      <c r="CD251" s="1190">
        <f>'2026'!R\Max</f>
        <v>0.63783628940056158</v>
      </c>
      <c r="CE251" s="1191">
        <f>'2027'!R\Max</f>
        <v>0.63780370860996083</v>
      </c>
      <c r="CF251" s="1193">
        <f>'2028'!R\Max</f>
        <v>0.63776980715593612</v>
      </c>
    </row>
    <row r="252" spans="1:84" s="6" customFormat="1" ht="11.25" x14ac:dyDescent="0.2">
      <c r="A252" s="11">
        <v>43338</v>
      </c>
      <c r="B252" s="379">
        <f>'2022'!Maxi_hp</f>
        <v>53.844483293966427</v>
      </c>
      <c r="C252" s="13">
        <f>'2022'!An_max</f>
        <v>2020</v>
      </c>
      <c r="D252" s="1045">
        <f t="shared" si="97"/>
        <v>0.97332057060186361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55.320400000044273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55.305307069793344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55.302837317436932</v>
      </c>
      <c r="AZ252" s="735">
        <f t="shared" si="115"/>
        <v>55.304072193615141</v>
      </c>
      <c r="BA252" s="633">
        <f t="shared" si="112"/>
        <v>0.97332057060186361</v>
      </c>
      <c r="BC252" s="11">
        <v>43338</v>
      </c>
      <c r="BD252" s="289">
        <f>[2]!FeuilCaduc*(1-Persistant)+Persistant</f>
        <v>0.98801463245186594</v>
      </c>
      <c r="BE252" s="290">
        <f>[2]!CroissVégét</f>
        <v>0.95973309779026206</v>
      </c>
      <c r="BF252" s="804">
        <f>1+[2]!Salcycl*Ksac</f>
        <v>1.0488014632451865</v>
      </c>
      <c r="BH252" s="1036">
        <f t="shared" si="113"/>
        <v>1.4938758103785869E-3</v>
      </c>
      <c r="BI252" s="11">
        <v>44434</v>
      </c>
      <c r="BJ252" s="715">
        <v>0</v>
      </c>
      <c r="BK252" s="715">
        <v>3.0238793217211926E-5</v>
      </c>
      <c r="BL252" s="715">
        <v>2.376055191930904E-4</v>
      </c>
      <c r="BM252" s="715">
        <v>8.5376908319830414E-4</v>
      </c>
      <c r="BN252" s="715">
        <v>2.1362588599126613E-3</v>
      </c>
      <c r="BO252" s="716">
        <v>4.3255006395020107E-3</v>
      </c>
      <c r="BP252" s="715">
        <v>7.644709934719906E-3</v>
      </c>
      <c r="BQ252" s="715">
        <v>1.2400527711719142E-2</v>
      </c>
      <c r="BR252" s="715">
        <v>1.8820047383732823E-2</v>
      </c>
      <c r="BS252" s="715">
        <v>2.7216069404544251E-2</v>
      </c>
      <c r="BT252" s="715">
        <v>3.6994184640103595E-2</v>
      </c>
      <c r="BW252" s="1190">
        <f>'2019'!R\Max</f>
        <v>0.80391652736889652</v>
      </c>
      <c r="BX252" s="1190">
        <f>'2020'!R\Max</f>
        <v>0.97332057060186361</v>
      </c>
      <c r="BY252" s="1190">
        <f>'2021'!R\Max</f>
        <v>0.95656109091421138</v>
      </c>
      <c r="BZ252" s="1190">
        <f>'2022'!R\Max</f>
        <v>0.85029330488419841</v>
      </c>
      <c r="CA252" s="1190">
        <f>'2023'!R\Max</f>
        <v>0.85026418773256585</v>
      </c>
      <c r="CB252" s="1190">
        <f>'2024'!R\Max</f>
        <v>0.8502229855088077</v>
      </c>
      <c r="CC252" s="1190">
        <f>'2025'!R\Max</f>
        <v>0.85018123832251491</v>
      </c>
      <c r="CD252" s="1190">
        <f>'2026'!R\Max</f>
        <v>0.85036061450176414</v>
      </c>
      <c r="CE252" s="1191">
        <f>'2027'!R\Max</f>
        <v>0.85034215332389229</v>
      </c>
      <c r="CF252" s="1193">
        <f>'2028'!R\Max</f>
        <v>0.85032295753907094</v>
      </c>
    </row>
    <row r="253" spans="1:84" s="6" customFormat="1" ht="11.25" x14ac:dyDescent="0.2">
      <c r="A253" s="11">
        <v>43339</v>
      </c>
      <c r="B253" s="379">
        <f>'2022'!Maxi_hp</f>
        <v>53.503080570691075</v>
      </c>
      <c r="C253" s="13">
        <f>'2022'!An_max</f>
        <v>2022</v>
      </c>
      <c r="D253" s="1045">
        <f t="shared" si="97"/>
        <v>0.97089357115947528</v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55.107050000131132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55.090578125044701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55.092931250203399</v>
      </c>
      <c r="AZ253" s="735">
        <f t="shared" si="115"/>
        <v>55.091754687624046</v>
      </c>
      <c r="BA253" s="633">
        <f t="shared" si="112"/>
        <v>0.97089357115947528</v>
      </c>
      <c r="BC253" s="11">
        <v>43339</v>
      </c>
      <c r="BD253" s="289">
        <f>[2]!FeuilCaduc*(1-Persistant)+Persistant</f>
        <v>0.98714751557373748</v>
      </c>
      <c r="BE253" s="290">
        <f>[2]!CroissVégét</f>
        <v>0.9613040114607565</v>
      </c>
      <c r="BF253" s="804">
        <f>1+[2]!Salcycl*Ksac</f>
        <v>1.0487147515573738</v>
      </c>
      <c r="BH253" s="1036">
        <f t="shared" si="113"/>
        <v>1.5424119985520412E-3</v>
      </c>
      <c r="BI253" s="11">
        <v>44435</v>
      </c>
      <c r="BJ253" s="715">
        <v>0</v>
      </c>
      <c r="BK253" s="715">
        <v>3.2875026568996751E-5</v>
      </c>
      <c r="BL253" s="715">
        <v>2.4954447747639602E-4</v>
      </c>
      <c r="BM253" s="715">
        <v>8.855001020675017E-4</v>
      </c>
      <c r="BN253" s="715">
        <v>2.2016599792721368E-3</v>
      </c>
      <c r="BO253" s="716">
        <v>4.4446185705303036E-3</v>
      </c>
      <c r="BP253" s="715">
        <v>7.8456909029535147E-3</v>
      </c>
      <c r="BQ253" s="715">
        <v>1.2723962982116329E-2</v>
      </c>
      <c r="BR253" s="715">
        <v>1.9313916763454161E-2</v>
      </c>
      <c r="BS253" s="715">
        <v>2.7941514223196531E-2</v>
      </c>
      <c r="BT253" s="715">
        <v>3.7993876250270051E-2</v>
      </c>
      <c r="BW253" s="1190">
        <f>'2019'!R\Max</f>
        <v>0.58921716139473668</v>
      </c>
      <c r="BX253" s="1190">
        <f>'2020'!R\Max</f>
        <v>0.52428940655441492</v>
      </c>
      <c r="BY253" s="1190">
        <f>'2021'!R\Max</f>
        <v>0.84584060892830282</v>
      </c>
      <c r="BZ253" s="1190">
        <f>'2022'!R\Max</f>
        <v>0.97089357115947528</v>
      </c>
      <c r="CA253" s="1190">
        <f>'2023'!R\Max</f>
        <v>0.97088692769888918</v>
      </c>
      <c r="CB253" s="1190">
        <f>'2024'!R\Max</f>
        <v>0.97087751195119854</v>
      </c>
      <c r="CC253" s="1190">
        <f>'2025'!R\Max</f>
        <v>0.97086797508992895</v>
      </c>
      <c r="CD253" s="1190">
        <f>'2026'!R\Max</f>
        <v>0.97090893278895973</v>
      </c>
      <c r="CE253" s="1191">
        <f>'2027'!R\Max</f>
        <v>0.97090471858234373</v>
      </c>
      <c r="CF253" s="1193">
        <f>'2028'!R\Max</f>
        <v>0.97090033986950197</v>
      </c>
    </row>
    <row r="254" spans="1:84" s="6" customFormat="1" ht="11.25" x14ac:dyDescent="0.2">
      <c r="A254" s="11">
        <v>43340</v>
      </c>
      <c r="B254" s="379">
        <f>'2022'!Maxi_hp</f>
        <v>54.734917062438733</v>
      </c>
      <c r="C254" s="13">
        <f>'2022'!An_max</f>
        <v>2021</v>
      </c>
      <c r="D254" s="1045">
        <f t="shared" si="97"/>
        <v>0.997172583357959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54.890114285051823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54.872551603402407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54.879247376163086</v>
      </c>
      <c r="AZ254" s="735">
        <f t="shared" si="115"/>
        <v>54.875899489782746</v>
      </c>
      <c r="BA254" s="633">
        <f t="shared" si="112"/>
        <v>0.997172583357959</v>
      </c>
      <c r="BC254" s="11">
        <v>43340</v>
      </c>
      <c r="BD254" s="289">
        <f>[2]!FeuilCaduc*(1-Persistant)+Persistant</f>
        <v>0.98623836281486477</v>
      </c>
      <c r="BE254" s="290">
        <f>[2]!CroissVégét</f>
        <v>0.96281651236587618</v>
      </c>
      <c r="BF254" s="804">
        <f>1+[2]!Salcycl*Ksac</f>
        <v>1.0486238362814864</v>
      </c>
      <c r="BH254" s="1036">
        <f t="shared" si="113"/>
        <v>1.5930108432442337E-3</v>
      </c>
      <c r="BI254" s="11">
        <v>44436</v>
      </c>
      <c r="BJ254" s="715">
        <v>4.3537689615883029E-9</v>
      </c>
      <c r="BK254" s="715">
        <v>3.5890142261385184E-5</v>
      </c>
      <c r="BL254" s="715">
        <v>2.625091731962564E-4</v>
      </c>
      <c r="BM254" s="715">
        <v>9.1891828025296516E-4</v>
      </c>
      <c r="BN254" s="715">
        <v>2.2695005876811982E-3</v>
      </c>
      <c r="BO254" s="716">
        <v>4.5672792772256214E-3</v>
      </c>
      <c r="BP254" s="715">
        <v>8.0531125091242786E-3</v>
      </c>
      <c r="BQ254" s="715">
        <v>1.3058337257021295E-2</v>
      </c>
      <c r="BR254" s="715">
        <v>1.982640014865961E-2</v>
      </c>
      <c r="BS254" s="715">
        <v>2.8696987145109227E-2</v>
      </c>
      <c r="BT254" s="715">
        <v>3.9038517486990318E-2</v>
      </c>
      <c r="BW254" s="1190">
        <f>'2019'!R\Max</f>
        <v>0.72603247546182448</v>
      </c>
      <c r="BX254" s="1190">
        <f>'2020'!R\Max</f>
        <v>0.93766457173425699</v>
      </c>
      <c r="BY254" s="1190">
        <f>'2021'!R\Max</f>
        <v>0.997172583357959</v>
      </c>
      <c r="BZ254" s="1190">
        <f>'2022'!R\Max</f>
        <v>0.95361210953373332</v>
      </c>
      <c r="CA254" s="1190">
        <f>'2023'!R\Max</f>
        <v>0.95360141856617819</v>
      </c>
      <c r="CB254" s="1190">
        <f>'2024'!R\Max</f>
        <v>0.9535862434089748</v>
      </c>
      <c r="CC254" s="1190">
        <f>'2025'!R\Max</f>
        <v>0.95357087970592991</v>
      </c>
      <c r="CD254" s="1190">
        <f>'2026'!R\Max</f>
        <v>0.95363683390229192</v>
      </c>
      <c r="CE254" s="1191">
        <f>'2027'!R\Max</f>
        <v>0.9536300503791697</v>
      </c>
      <c r="CF254" s="1193">
        <f>'2028'!R\Max</f>
        <v>0.95362300726260263</v>
      </c>
    </row>
    <row r="255" spans="1:84" s="6" customFormat="1" ht="11.25" x14ac:dyDescent="0.2">
      <c r="A255" s="11">
        <v>43341</v>
      </c>
      <c r="B255" s="379">
        <f>'2022'!Maxi_hp</f>
        <v>54.247939934538053</v>
      </c>
      <c r="C255" s="13">
        <f>'2022'!An_max</f>
        <v>2021</v>
      </c>
      <c r="D255" s="1045">
        <f t="shared" si="97"/>
        <v>0.99228724962962722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54.669592857094742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54.651213784901685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54.661703371176756</v>
      </c>
      <c r="AZ255" s="735">
        <f t="shared" si="115"/>
        <v>54.656458578039221</v>
      </c>
      <c r="BA255" s="633">
        <f t="shared" si="112"/>
        <v>0.99228724962962722</v>
      </c>
      <c r="BC255" s="11">
        <v>43341</v>
      </c>
      <c r="BD255" s="289">
        <f>[2]!FeuilCaduc*(1-Persistant)+Persistant</f>
        <v>0.98528553308204958</v>
      </c>
      <c r="BE255" s="290">
        <f>[2]!CroissVégét</f>
        <v>0.96427259177046543</v>
      </c>
      <c r="BF255" s="804">
        <f>1+[2]!Salcycl*Ksac</f>
        <v>1.0485285533082049</v>
      </c>
      <c r="BH255" s="1036">
        <f t="shared" si="113"/>
        <v>1.6440820019886751E-3</v>
      </c>
      <c r="BI255" s="11">
        <v>44437</v>
      </c>
      <c r="BJ255" s="715">
        <v>1.3062473769765242E-8</v>
      </c>
      <c r="BK255" s="715">
        <v>3.9170883157412747E-5</v>
      </c>
      <c r="BL255" s="715">
        <v>2.7588122953548265E-4</v>
      </c>
      <c r="BM255" s="715">
        <v>9.5275859322800627E-4</v>
      </c>
      <c r="BN255" s="715">
        <v>2.3378638678506988E-3</v>
      </c>
      <c r="BO255" s="716">
        <v>4.6908839236554862E-3</v>
      </c>
      <c r="BP255" s="715">
        <v>8.2636616626594883E-3</v>
      </c>
      <c r="BQ255" s="715">
        <v>1.3399232056712923E-2</v>
      </c>
      <c r="BR255" s="715">
        <v>2.0351448306664605E-2</v>
      </c>
      <c r="BS255" s="715">
        <v>2.9473671820979427E-2</v>
      </c>
      <c r="BT255" s="715">
        <v>4.011572430126157E-2</v>
      </c>
      <c r="BW255" s="1190">
        <f>'2019'!R\Max</f>
        <v>0.93771808698252879</v>
      </c>
      <c r="BX255" s="1190">
        <f>'2020'!R\Max</f>
        <v>0.18460582346869511</v>
      </c>
      <c r="BY255" s="1190">
        <f>'2021'!R\Max</f>
        <v>0.99228724962962722</v>
      </c>
      <c r="BZ255" s="1190">
        <f>'2022'!R\Max</f>
        <v>0.65509600905808085</v>
      </c>
      <c r="CA255" s="1190">
        <f>'2023'!R\Max</f>
        <v>0.65503987265339625</v>
      </c>
      <c r="CB255" s="1190">
        <f>'2024'!R\Max</f>
        <v>0.65496008508577985</v>
      </c>
      <c r="CC255" s="1190">
        <f>'2025'!R\Max</f>
        <v>0.65487935606977188</v>
      </c>
      <c r="CD255" s="1190">
        <f>'2026'!R\Max</f>
        <v>0.65522584856087884</v>
      </c>
      <c r="CE255" s="1191">
        <f>'2027'!R\Max</f>
        <v>0.65519022338642807</v>
      </c>
      <c r="CF255" s="1193">
        <f>'2028'!R\Max</f>
        <v>0.65515326419476594</v>
      </c>
    </row>
    <row r="256" spans="1:84" s="6" customFormat="1" ht="11.25" x14ac:dyDescent="0.2">
      <c r="A256" s="11">
        <v>43342</v>
      </c>
      <c r="B256" s="379">
        <f>'2022'!Maxi_hp</f>
        <v>52.905760781813107</v>
      </c>
      <c r="C256" s="13">
        <f>'2022'!An_max</f>
        <v>2021</v>
      </c>
      <c r="D256" s="1045">
        <f t="shared" si="97"/>
        <v>0.97171987884632438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54.445485714077947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54.426550947715135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54.440216910094023</v>
      </c>
      <c r="AZ256" s="735">
        <f t="shared" si="115"/>
        <v>54.433383928904576</v>
      </c>
      <c r="BA256" s="633">
        <f t="shared" si="112"/>
        <v>0.97171987884632438</v>
      </c>
      <c r="BC256" s="11">
        <v>43342</v>
      </c>
      <c r="BD256" s="289">
        <f>[2]!FeuilCaduc*(1-Persistant)+Persistant</f>
        <v>0.98428732857434864</v>
      </c>
      <c r="BE256" s="290">
        <f>[2]!CroissVégét</f>
        <v>0.96567418689281481</v>
      </c>
      <c r="BF256" s="804">
        <f>1+[2]!Salcycl*Ksac</f>
        <v>1.0484287328574349</v>
      </c>
      <c r="BH256" s="1036">
        <f t="shared" si="113"/>
        <v>1.6956270154314978E-3</v>
      </c>
      <c r="BI256" s="11">
        <v>44438</v>
      </c>
      <c r="BJ256" s="715">
        <v>2.612747748390842E-8</v>
      </c>
      <c r="BK256" s="715">
        <v>4.2717399870151406E-5</v>
      </c>
      <c r="BL256" s="715">
        <v>2.8966109930480855E-4</v>
      </c>
      <c r="BM256" s="715">
        <v>9.8702206755250151E-4</v>
      </c>
      <c r="BN256" s="715">
        <v>2.4067518763412001E-3</v>
      </c>
      <c r="BO256" s="716">
        <v>4.8154363079395404E-3</v>
      </c>
      <c r="BP256" s="715">
        <v>8.477345288024617E-3</v>
      </c>
      <c r="BQ256" s="715">
        <v>1.3746658986559072E-2</v>
      </c>
      <c r="BR256" s="715">
        <v>2.0889079739153268E-2</v>
      </c>
      <c r="BS256" s="715">
        <v>3.0271596214835012E-2</v>
      </c>
      <c r="BT256" s="715">
        <v>4.122553618962968E-2</v>
      </c>
      <c r="BW256" s="1190">
        <f>'2019'!R\Max</f>
        <v>0.92701225721692226</v>
      </c>
      <c r="BX256" s="1190">
        <f>'2020'!R\Max</f>
        <v>0.44121231613293055</v>
      </c>
      <c r="BY256" s="1190">
        <f>'2021'!R\Max</f>
        <v>0.97171987884632438</v>
      </c>
      <c r="BZ256" s="1190">
        <f>'2022'!R\Max</f>
        <v>0.95524149388367097</v>
      </c>
      <c r="CA256" s="1190">
        <f>'2023'!R\Max</f>
        <v>0.95523057160917901</v>
      </c>
      <c r="CB256" s="1190">
        <f>'2024'!R\Max</f>
        <v>0.95521502174879458</v>
      </c>
      <c r="CC256" s="1190">
        <f>'2025'!R\Max</f>
        <v>0.95519929119741587</v>
      </c>
      <c r="CD256" s="1190">
        <f>'2026'!R\Max</f>
        <v>0.95526674098480335</v>
      </c>
      <c r="CE256" s="1191">
        <f>'2027'!R\Max</f>
        <v>0.95525981635927526</v>
      </c>
      <c r="CF256" s="1193">
        <f>'2028'!R\Max</f>
        <v>0.95525263648957393</v>
      </c>
    </row>
    <row r="257" spans="1:84" s="6" customFormat="1" ht="11.25" x14ac:dyDescent="0.2">
      <c r="A257" s="11">
        <v>43343</v>
      </c>
      <c r="B257" s="379">
        <f>'2022'!Maxi_hp</f>
        <v>52.429420207764473</v>
      </c>
      <c r="C257" s="13">
        <f>'2022'!An_max</f>
        <v>2021</v>
      </c>
      <c r="D257" s="1045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54.217792857278667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54.198549371917863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54.214705666527152</v>
      </c>
      <c r="AZ257" s="735">
        <f t="shared" si="115"/>
        <v>54.206627519222508</v>
      </c>
      <c r="BA257" s="633">
        <f t="shared" si="112"/>
        <v>0.96701502301611841</v>
      </c>
      <c r="BC257" s="11">
        <v>43343</v>
      </c>
      <c r="BD257" s="289">
        <f>[2]!FeuilCaduc*(1-Persistant)+Persistant</f>
        <v>0.98324199124582012</v>
      </c>
      <c r="BE257" s="290">
        <f>[2]!CroissVégét</f>
        <v>0.9670231812722152</v>
      </c>
      <c r="BF257" s="804">
        <f>1+[2]!Salcycl*Ksac</f>
        <v>1.048324199124582</v>
      </c>
      <c r="BH257" s="1036">
        <f t="shared" si="113"/>
        <v>1.7476474806779759E-3</v>
      </c>
      <c r="BI257" s="11">
        <v>44439</v>
      </c>
      <c r="BJ257" s="715">
        <v>4.3550347021079855E-8</v>
      </c>
      <c r="BK257" s="715">
        <v>4.6529857351790902E-5</v>
      </c>
      <c r="BL257" s="715">
        <v>3.0384926304407244E-4</v>
      </c>
      <c r="BM257" s="715">
        <v>1.0217097722100075E-3</v>
      </c>
      <c r="BN257" s="715">
        <v>2.4761667402577801E-3</v>
      </c>
      <c r="BO257" s="716">
        <v>4.940940355509872E-3</v>
      </c>
      <c r="BP257" s="715">
        <v>8.6941705954544906E-3</v>
      </c>
      <c r="BQ257" s="715">
        <v>1.4100630180762056E-2</v>
      </c>
      <c r="BR257" s="715">
        <v>2.1439313876968E-2</v>
      </c>
      <c r="BS257" s="715">
        <v>3.1090789784649745E-2</v>
      </c>
      <c r="BT257" s="715">
        <v>4.2367994863838111E-2</v>
      </c>
      <c r="BW257" s="1190">
        <f>'2019'!R\Max</f>
        <v>0.88660527157392177</v>
      </c>
      <c r="BX257" s="1190">
        <f>'2020'!R\Max</f>
        <v>0.64113352591835149</v>
      </c>
      <c r="BY257" s="1190">
        <f>'2021'!R\Max</f>
        <v>0.96701502301611841</v>
      </c>
      <c r="BZ257" s="1190">
        <f>'2022'!R\Max</f>
        <v>0.49537077514340216</v>
      </c>
      <c r="CA257" s="1190">
        <f>'2023'!R\Max</f>
        <v>0.4953051249186991</v>
      </c>
      <c r="CB257" s="1190">
        <f>'2024'!R\Max</f>
        <v>0.49521155027698882</v>
      </c>
      <c r="CC257" s="1190">
        <f>'2025'!R\Max</f>
        <v>0.4951169566317733</v>
      </c>
      <c r="CD257" s="1190">
        <f>'2026'!R\Max</f>
        <v>0.49552249961598754</v>
      </c>
      <c r="CE257" s="1191">
        <f>'2027'!R\Max</f>
        <v>0.49548089461678618</v>
      </c>
      <c r="CF257" s="1193">
        <f>'2028'!R\Max</f>
        <v>0.49543778982255943</v>
      </c>
    </row>
    <row r="258" spans="1:84" s="6" customFormat="1" ht="11.25" x14ac:dyDescent="0.2">
      <c r="A258" s="11">
        <v>43344</v>
      </c>
      <c r="B258" s="379">
        <f>'2022'!Maxi_hp</f>
        <v>47.872949450269061</v>
      </c>
      <c r="C258" s="13">
        <f>'2022'!An_max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53.986514285951856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53.967195335509516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53.98508731730815</v>
      </c>
      <c r="AZ258" s="735">
        <f t="shared" si="115"/>
        <v>53.976141326408836</v>
      </c>
      <c r="BA258" s="633">
        <f t="shared" si="112"/>
        <v>0.8867575557239924</v>
      </c>
      <c r="BC258" s="11">
        <v>43344</v>
      </c>
      <c r="BD258" s="289">
        <f>[2]!FeuilCaduc*(1-Persistant)+Persistant</f>
        <v>0.9821476987004818</v>
      </c>
      <c r="BE258" s="290">
        <f>[2]!CroissVégét</f>
        <v>0.96832140523745813</v>
      </c>
      <c r="BF258" s="804">
        <f>1+[2]!Salcycl*Ksac</f>
        <v>1.0482147698700481</v>
      </c>
      <c r="BH258" s="1036">
        <f t="shared" si="113"/>
        <v>1.8001450521051858E-3</v>
      </c>
      <c r="BI258" s="11">
        <v>44440</v>
      </c>
      <c r="BJ258" s="715">
        <v>6.533286083945612E-8</v>
      </c>
      <c r="BK258" s="715">
        <v>5.0608435361328105E-5</v>
      </c>
      <c r="BL258" s="715">
        <v>3.1844622973622652E-4</v>
      </c>
      <c r="BM258" s="715">
        <v>1.0568228193393932E-3</v>
      </c>
      <c r="BN258" s="715">
        <v>2.5461106581440083E-3</v>
      </c>
      <c r="BO258" s="716">
        <v>5.0674001207238585E-3</v>
      </c>
      <c r="BP258" s="715">
        <v>8.9141450863817213E-3</v>
      </c>
      <c r="BQ258" s="715">
        <v>1.4461158313718714E-2</v>
      </c>
      <c r="BR258" s="715">
        <v>2.2002171102058071E-2</v>
      </c>
      <c r="BS258" s="715">
        <v>3.1931283519446269E-2</v>
      </c>
      <c r="BT258" s="715">
        <v>4.3543144307843111E-2</v>
      </c>
      <c r="BW258" s="1190">
        <f>'2019'!R\Max</f>
        <v>0.32452794531655421</v>
      </c>
      <c r="BX258" s="1190">
        <f>'2020'!R\Max</f>
        <v>0.8867575557239924</v>
      </c>
      <c r="BY258" s="1190">
        <f>'2021'!R\Max</f>
        <v>0.68975466626805548</v>
      </c>
      <c r="BZ258" s="1190">
        <f>'2022'!R\Max</f>
        <v>0.81461725042018174</v>
      </c>
      <c r="CA258" s="1190">
        <f>'2023'!R\Max</f>
        <v>0.81457646932363315</v>
      </c>
      <c r="CB258" s="1190">
        <f>'2024'!R\Max</f>
        <v>0.81451824628774161</v>
      </c>
      <c r="CC258" s="1190">
        <f>'2025'!R\Max</f>
        <v>0.81445939655442345</v>
      </c>
      <c r="CD258" s="1190">
        <f>'2026'!R\Max</f>
        <v>0.81471139984209973</v>
      </c>
      <c r="CE258" s="1191">
        <f>'2027'!R\Max</f>
        <v>0.81468560116944344</v>
      </c>
      <c r="CF258" s="1193">
        <f>'2028'!R\Max</f>
        <v>0.8146588855647019</v>
      </c>
    </row>
    <row r="259" spans="1:84" s="6" customFormat="1" ht="11.25" x14ac:dyDescent="0.2">
      <c r="A259" s="11">
        <v>43345</v>
      </c>
      <c r="B259" s="379">
        <f>'2022'!Maxi_hp</f>
        <v>52.448101483562709</v>
      </c>
      <c r="C259" s="13">
        <f>'2022'!An_max</f>
        <v>2018</v>
      </c>
      <c r="D259" s="1045">
        <f t="shared" si="97"/>
        <v>0.9757486790304658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53.75165000036359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53.732475118551939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53.751279536794343</v>
      </c>
      <c r="AZ259" s="735">
        <f t="shared" si="115"/>
        <v>53.741877327673137</v>
      </c>
      <c r="BA259" s="633">
        <f t="shared" si="112"/>
        <v>0.9757486790304658</v>
      </c>
      <c r="BC259" s="11">
        <v>43345</v>
      </c>
      <c r="BD259" s="289">
        <f>[2]!FeuilCaduc*(1-Persistant)+Persistant</f>
        <v>0.98100255965661098</v>
      </c>
      <c r="BE259" s="290">
        <f>[2]!CroissVégét</f>
        <v>0.96957063646587138</v>
      </c>
      <c r="BF259" s="804">
        <f>1+[2]!Salcycl*Ksac</f>
        <v>1.0481002559656611</v>
      </c>
      <c r="BH259" s="1036">
        <f t="shared" si="113"/>
        <v>1.8531214421666652E-3</v>
      </c>
      <c r="BI259" s="11">
        <v>44441</v>
      </c>
      <c r="BJ259" s="715">
        <v>9.1477016622207226E-8</v>
      </c>
      <c r="BK259" s="715">
        <v>5.4953328932148223E-5</v>
      </c>
      <c r="BL259" s="715">
        <v>3.33452537520177E-4</v>
      </c>
      <c r="BM259" s="715">
        <v>1.0923623649619829E-3</v>
      </c>
      <c r="BN259" s="715">
        <v>2.6165859008643981E-3</v>
      </c>
      <c r="BO259" s="716">
        <v>5.194819788453456E-3</v>
      </c>
      <c r="BP259" s="715">
        <v>9.1372765588234369E-3</v>
      </c>
      <c r="BQ259" s="715">
        <v>1.4828256611312922E-2</v>
      </c>
      <c r="BR259" s="715">
        <v>2.2577672769326044E-2</v>
      </c>
      <c r="BS259" s="715">
        <v>3.2793109976252101E-2</v>
      </c>
      <c r="BT259" s="715">
        <v>4.4751030834629175E-2</v>
      </c>
      <c r="BW259" s="1190">
        <f>'2019'!R\Max</f>
        <v>0.9757486790304658</v>
      </c>
      <c r="BX259" s="1190">
        <f>'2020'!R\Max</f>
        <v>0.92102282033040161</v>
      </c>
      <c r="BY259" s="1190">
        <f>'2021'!R\Max</f>
        <v>0.3760692290212207</v>
      </c>
      <c r="BZ259" s="1190">
        <f>'2022'!R\Max</f>
        <v>0.78749301965919249</v>
      </c>
      <c r="CA259" s="1190">
        <f>'2023'!R\Max</f>
        <v>0.78744655549742992</v>
      </c>
      <c r="CB259" s="1190">
        <f>'2024'!R\Max</f>
        <v>0.78738012577719052</v>
      </c>
      <c r="CC259" s="1190">
        <f>'2025'!R\Max</f>
        <v>0.78731300607339549</v>
      </c>
      <c r="CD259" s="1190">
        <f>'2026'!R\Max</f>
        <v>0.78760018775063079</v>
      </c>
      <c r="CE259" s="1191">
        <f>'2027'!R\Max</f>
        <v>0.78757084241218367</v>
      </c>
      <c r="CF259" s="1193">
        <f>'2028'!R\Max</f>
        <v>0.7875404716194645</v>
      </c>
    </row>
    <row r="260" spans="1:84" s="6" customFormat="1" ht="11.25" x14ac:dyDescent="0.2">
      <c r="A260" s="11">
        <v>43346</v>
      </c>
      <c r="B260" s="379">
        <f>'2022'!Maxi_hp</f>
        <v>55.043508007448153</v>
      </c>
      <c r="C260" s="13">
        <f>'2022'!An_max</f>
        <v>2020</v>
      </c>
      <c r="D260" s="1045">
        <f t="shared" si="97"/>
        <v>1.0285968323383408</v>
      </c>
      <c r="E260" s="1040">
        <f>AE$13/10</f>
        <v>53.513199999999998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53.513199999183414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53.494375000149013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53.513199999928474</v>
      </c>
      <c r="AZ260" s="735">
        <f t="shared" si="115"/>
        <v>53.50378750003874</v>
      </c>
      <c r="BA260" s="633">
        <f t="shared" si="112"/>
        <v>1.0285968323383408</v>
      </c>
      <c r="BC260" s="11">
        <v>43346</v>
      </c>
      <c r="BD260" s="289">
        <f>[2]!FeuilCaduc*(1-Persistant)+Persistant</f>
        <v>0.97980460912758693</v>
      </c>
      <c r="BE260" s="290">
        <f>[2]!CroissVégét</f>
        <v>0.97077260062312232</v>
      </c>
      <c r="BF260" s="804">
        <f>1+[2]!Salcycl*Ksac</f>
        <v>1.0479804609127588</v>
      </c>
      <c r="BH260" s="1036">
        <f t="shared" si="113"/>
        <v>1.906578422178075E-3</v>
      </c>
      <c r="BI260" s="11">
        <v>44442</v>
      </c>
      <c r="BJ260" s="715">
        <v>1.2198503896086072E-7</v>
      </c>
      <c r="BK260" s="715">
        <v>5.9564748839081816E-5</v>
      </c>
      <c r="BL260" s="715">
        <v>3.4886875440028075E-4</v>
      </c>
      <c r="BM260" s="715">
        <v>1.1283296096975537E-3</v>
      </c>
      <c r="BN260" s="715">
        <v>2.687594812459981E-3</v>
      </c>
      <c r="BO260" s="716">
        <v>5.3232036756209666E-3</v>
      </c>
      <c r="BP260" s="715">
        <v>9.3635731126739605E-3</v>
      </c>
      <c r="BQ260" s="715">
        <v>1.5201938862055604E-2</v>
      </c>
      <c r="BR260" s="715">
        <v>2.3165841228242248E-2</v>
      </c>
      <c r="BS260" s="715">
        <v>3.3676303316718781E-2</v>
      </c>
      <c r="BT260" s="715">
        <v>4.5991703142565746E-2</v>
      </c>
      <c r="BW260" s="1190">
        <f>'2019'!R\Max</f>
        <v>1.0028892328082124</v>
      </c>
      <c r="BX260" s="1190">
        <f>'2020'!R\Max</f>
        <v>1.0285968323383408</v>
      </c>
      <c r="BY260" s="1190">
        <f>'2021'!R\Max</f>
        <v>0.67133606513677313</v>
      </c>
      <c r="BZ260" s="1190">
        <f>'2022'!R\Max</f>
        <v>0.77234019675407761</v>
      </c>
      <c r="CA260" s="1190">
        <f>'2023'!R\Max</f>
        <v>0.77229000287062766</v>
      </c>
      <c r="CB260" s="1190">
        <f>'2024'!R\Max</f>
        <v>0.7722181412530279</v>
      </c>
      <c r="CC260" s="1190">
        <f>'2025'!R\Max</f>
        <v>0.77214555874690372</v>
      </c>
      <c r="CD260" s="1190">
        <f>'2026'!R\Max</f>
        <v>0.77245583640862381</v>
      </c>
      <c r="CE260" s="1191">
        <f>'2027'!R\Max</f>
        <v>0.77242419805200602</v>
      </c>
      <c r="CF260" s="1193">
        <f>'2028'!R\Max</f>
        <v>0.77239147195488667</v>
      </c>
    </row>
    <row r="261" spans="1:84" s="6" customFormat="1" ht="11.25" x14ac:dyDescent="0.2">
      <c r="A261" s="11">
        <v>43347</v>
      </c>
      <c r="B261" s="379">
        <f>'2022'!Maxi_hp</f>
        <v>53.392231312994895</v>
      </c>
      <c r="C261" s="13">
        <f>'2022'!An_max</f>
        <v>2018</v>
      </c>
      <c r="D261" s="1045">
        <f t="shared" si="97"/>
        <v>1.0022726559456219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53.271164284752956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53.25288125945788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53.270608591900341</v>
      </c>
      <c r="AZ261" s="735">
        <f t="shared" si="115"/>
        <v>53.26174492567911</v>
      </c>
      <c r="BA261" s="633">
        <f t="shared" si="112"/>
        <v>1.0022726559456219</v>
      </c>
      <c r="BC261" s="11">
        <v>43347</v>
      </c>
      <c r="BD261" s="289">
        <f>[2]!FeuilCaduc*(1-Persistant)+Persistant</f>
        <v>0.9785518034747176</v>
      </c>
      <c r="BE261" s="290">
        <f>[2]!CroissVégét</f>
        <v>0.97192897207465079</v>
      </c>
      <c r="BF261" s="804">
        <f>1+[2]!Salcycl*Ksac</f>
        <v>1.0478551803474718</v>
      </c>
      <c r="BH261" s="1036">
        <f t="shared" si="113"/>
        <v>1.9605178230976696E-3</v>
      </c>
      <c r="BI261" s="11">
        <v>44443</v>
      </c>
      <c r="BJ261" s="715">
        <v>1.5685938703731817E-7</v>
      </c>
      <c r="BK261" s="715">
        <v>6.4442922065181645E-5</v>
      </c>
      <c r="BL261" s="715">
        <v>3.64695478954656E-4</v>
      </c>
      <c r="BM261" s="715">
        <v>1.1647257994770769E-3</v>
      </c>
      <c r="BN261" s="715">
        <v>2.7591398109967449E-3</v>
      </c>
      <c r="BO261" s="716">
        <v>5.4525562327212085E-3</v>
      </c>
      <c r="BP261" s="715">
        <v>9.5930431549735816E-3</v>
      </c>
      <c r="BQ261" s="715">
        <v>1.5582219428185724E-2</v>
      </c>
      <c r="BR261" s="715">
        <v>2.3766699844399056E-2</v>
      </c>
      <c r="BS261" s="715">
        <v>3.4580899343652688E-2</v>
      </c>
      <c r="BT261" s="715">
        <v>4.7265212371641656E-2</v>
      </c>
      <c r="BW261" s="1190">
        <f>'2019'!R\Max</f>
        <v>1.0022726559456219</v>
      </c>
      <c r="BX261" s="1190">
        <f>'2020'!R\Max</f>
        <v>0.99637963446374755</v>
      </c>
      <c r="BY261" s="1190">
        <f>'2021'!R\Max</f>
        <v>0.8374369173641969</v>
      </c>
      <c r="BZ261" s="1190">
        <f>'2022'!R\Max</f>
        <v>0.93790541454775556</v>
      </c>
      <c r="CA261" s="1190">
        <f>'2023'!R\Max</f>
        <v>0.93788832076065642</v>
      </c>
      <c r="CB261" s="1190">
        <f>'2024'!R\Max</f>
        <v>0.93786381138389008</v>
      </c>
      <c r="CC261" s="1190">
        <f>'2025'!R\Max</f>
        <v>0.93783906075957091</v>
      </c>
      <c r="CD261" s="1190">
        <f>'2026'!R\Max</f>
        <v>0.93794473852335869</v>
      </c>
      <c r="CE261" s="1191">
        <f>'2027'!R\Max</f>
        <v>0.93793399107358943</v>
      </c>
      <c r="CF261" s="1193">
        <f>'2028'!R\Max</f>
        <v>0.937922879132014</v>
      </c>
    </row>
    <row r="262" spans="1:84" s="6" customFormat="1" ht="11.25" x14ac:dyDescent="0.2">
      <c r="A262" s="11">
        <v>43348</v>
      </c>
      <c r="B262" s="379">
        <f>'2022'!Maxi_hp</f>
        <v>53.427461866974461</v>
      </c>
      <c r="C262" s="13">
        <f>'2022'!An_max</f>
        <v>2020</v>
      </c>
      <c r="D262" s="1045">
        <f t="shared" si="97"/>
        <v>1.0075797245837459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53.025542856220696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53.007980175422766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53.023402405636645</v>
      </c>
      <c r="AZ262" s="735">
        <f t="shared" si="115"/>
        <v>53.015691290529702</v>
      </c>
      <c r="BA262" s="633">
        <f t="shared" si="112"/>
        <v>1.0075797245837459</v>
      </c>
      <c r="BC262" s="11">
        <v>43348</v>
      </c>
      <c r="BD262" s="289">
        <f>[2]!FeuilCaduc*(1-Persistant)+Persistant</f>
        <v>0.97724201549381062</v>
      </c>
      <c r="BE262" s="290">
        <f>[2]!CroissVégét</f>
        <v>0.97304137466019458</v>
      </c>
      <c r="BF262" s="804">
        <f>1+[2]!Salcycl*Ksac</f>
        <v>1.0477242015493811</v>
      </c>
      <c r="BH262" s="1036">
        <f t="shared" si="113"/>
        <v>2.0156323392150639E-3</v>
      </c>
      <c r="BI262" s="11">
        <v>44444</v>
      </c>
      <c r="BJ262" s="715">
        <v>1.9857844498019713E-7</v>
      </c>
      <c r="BK262" s="715">
        <v>6.9484397323568632E-5</v>
      </c>
      <c r="BL262" s="715">
        <v>3.8085631135717626E-4</v>
      </c>
      <c r="BM262" s="715">
        <v>1.2018006059584926E-3</v>
      </c>
      <c r="BN262" s="715">
        <v>2.8323581888556287E-3</v>
      </c>
      <c r="BO262" s="716">
        <v>5.5857188322175969E-3</v>
      </c>
      <c r="BP262" s="715">
        <v>9.8305627582942201E-3</v>
      </c>
      <c r="BQ262" s="715">
        <v>1.5977795181322689E-2</v>
      </c>
      <c r="BR262" s="715">
        <v>2.4394055619059104E-2</v>
      </c>
      <c r="BS262" s="715">
        <v>3.5528942455910435E-2</v>
      </c>
      <c r="BT262" s="715">
        <v>4.8603395761438774E-2</v>
      </c>
      <c r="BW262" s="1190">
        <f>'2019'!R\Max</f>
        <v>0.72363627265820074</v>
      </c>
      <c r="BX262" s="1190">
        <f>'2020'!R\Max</f>
        <v>1.0075797245837459</v>
      </c>
      <c r="BY262" s="1190">
        <f>'2021'!R\Max</f>
        <v>0.88065219651535631</v>
      </c>
      <c r="BZ262" s="1190">
        <f>'2022'!R\Max</f>
        <v>0.8236106415071679</v>
      </c>
      <c r="CA262" s="1190">
        <f>'2023'!R\Max</f>
        <v>0.82356678373623493</v>
      </c>
      <c r="CB262" s="1190">
        <f>'2024'!R\Max</f>
        <v>0.82350381100668901</v>
      </c>
      <c r="CC262" s="1190">
        <f>'2025'!R\Max</f>
        <v>0.82344024429216833</v>
      </c>
      <c r="CD262" s="1190">
        <f>'2026'!R\Max</f>
        <v>0.82371140804154586</v>
      </c>
      <c r="CE262" s="1191">
        <f>'2027'!R\Max</f>
        <v>0.82368389501201345</v>
      </c>
      <c r="CF262" s="1193">
        <f>'2028'!R\Max</f>
        <v>0.82365546386660948</v>
      </c>
    </row>
    <row r="263" spans="1:84" s="6" customFormat="1" ht="11.25" x14ac:dyDescent="0.2">
      <c r="A263" s="11">
        <v>43349</v>
      </c>
      <c r="B263" s="379">
        <f>'2022'!Maxi_hp</f>
        <v>54.427802265876565</v>
      </c>
      <c r="C263" s="13">
        <f>'2022'!An_max</f>
        <v>2018</v>
      </c>
      <c r="D263" s="1045">
        <f t="shared" si="97"/>
        <v>1.0312918001857614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52.776335714172035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52.759658026362636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52.771704929388534</v>
      </c>
      <c r="AZ263" s="735">
        <f t="shared" si="115"/>
        <v>52.765681477875589</v>
      </c>
      <c r="BA263" s="633">
        <f t="shared" si="112"/>
        <v>1.0312918001857614</v>
      </c>
      <c r="BC263" s="11">
        <v>43349</v>
      </c>
      <c r="BD263" s="289">
        <f>[2]!FeuilCaduc*(1-Persistant)+Persistant</f>
        <v>0.975873029701537</v>
      </c>
      <c r="BE263" s="290">
        <f>[2]!CroissVégét</f>
        <v>0.97411138252345786</v>
      </c>
      <c r="BF263" s="804">
        <f>1+[2]!Salcycl*Ksac</f>
        <v>1.0475873029701537</v>
      </c>
      <c r="BH263" s="1036">
        <f t="shared" si="113"/>
        <v>2.0708682130842889E-3</v>
      </c>
      <c r="BI263" s="11">
        <v>44445</v>
      </c>
      <c r="BJ263" s="715">
        <v>2.4714630956263104E-7</v>
      </c>
      <c r="BK263" s="715">
        <v>7.4502315194429624E-5</v>
      </c>
      <c r="BL263" s="715">
        <v>3.9675532709060953E-4</v>
      </c>
      <c r="BM263" s="715">
        <v>1.238650073677278E-3</v>
      </c>
      <c r="BN263" s="715">
        <v>2.9060458538893059E-3</v>
      </c>
      <c r="BO263" s="716">
        <v>5.7214110974077642E-3</v>
      </c>
      <c r="BP263" s="715">
        <v>1.0074124031347239E-2</v>
      </c>
      <c r="BQ263" s="715">
        <v>1.6385620578806635E-2</v>
      </c>
      <c r="BR263" s="715">
        <v>2.5042682630096944E-2</v>
      </c>
      <c r="BS263" s="715">
        <v>3.6512092113397031E-2</v>
      </c>
      <c r="BT263" s="715">
        <v>4.999380286119387E-2</v>
      </c>
      <c r="BW263" s="1190">
        <f>'2019'!R\Max</f>
        <v>1.0312918001857614</v>
      </c>
      <c r="BX263" s="1190">
        <f>'2020'!R\Max</f>
        <v>0.90854653982856659</v>
      </c>
      <c r="BY263" s="1190">
        <f>'2021'!R\Max</f>
        <v>0.94698894774780773</v>
      </c>
      <c r="BZ263" s="1190">
        <f>'2022'!R\Max</f>
        <v>0.936616351078844</v>
      </c>
      <c r="CA263" s="1190">
        <f>'2023'!R\Max</f>
        <v>0.93659791164386219</v>
      </c>
      <c r="CB263" s="1190">
        <f>'2024'!R\Max</f>
        <v>0.93657139097092978</v>
      </c>
      <c r="CC263" s="1190">
        <f>'2025'!R\Max</f>
        <v>0.9365446253429448</v>
      </c>
      <c r="CD263" s="1190">
        <f>'2026'!R\Max</f>
        <v>0.93665865476397125</v>
      </c>
      <c r="CE263" s="1191">
        <f>'2027'!R\Max</f>
        <v>0.93664711691455338</v>
      </c>
      <c r="CF263" s="1193">
        <f>'2028'!R\Max</f>
        <v>0.9366351988623659</v>
      </c>
    </row>
    <row r="264" spans="1:84" s="6" customFormat="1" ht="11.25" x14ac:dyDescent="0.2">
      <c r="A264" s="11">
        <v>43350</v>
      </c>
      <c r="B264" s="379">
        <f>'2022'!Maxi_hp</f>
        <v>49.351657913110358</v>
      </c>
      <c r="C264" s="13">
        <f>'2022'!An_max</f>
        <v>2018</v>
      </c>
      <c r="D264" s="1045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52.523542856850796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52.507901093283934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52.515639649544447</v>
      </c>
      <c r="AZ264" s="735">
        <f t="shared" si="115"/>
        <v>52.511770371414187</v>
      </c>
      <c r="BA264" s="633">
        <f t="shared" si="112"/>
        <v>0.93961022483983636</v>
      </c>
      <c r="BC264" s="11">
        <v>43350</v>
      </c>
      <c r="BD264" s="289">
        <f>[2]!FeuilCaduc*(1-Persistant)+Persistant</f>
        <v>0.97444253798984359</v>
      </c>
      <c r="BE264" s="290">
        <f>[2]!CroissVégét</f>
        <v>0.97514052098953308</v>
      </c>
      <c r="BF264" s="804">
        <f>1+[2]!Salcycl*Ksac</f>
        <v>1.0474442537989843</v>
      </c>
      <c r="BH264" s="1036">
        <f t="shared" si="113"/>
        <v>2.126227299276588E-3</v>
      </c>
      <c r="BI264" s="11">
        <v>44446</v>
      </c>
      <c r="BJ264" s="715">
        <v>3.0256746759969833E-7</v>
      </c>
      <c r="BK264" s="715">
        <v>7.949680903721492E-5</v>
      </c>
      <c r="BL264" s="715">
        <v>4.1239288908567637E-4</v>
      </c>
      <c r="BM264" s="715">
        <v>1.2752752740564292E-3</v>
      </c>
      <c r="BN264" s="715">
        <v>2.9802054466022674E-3</v>
      </c>
      <c r="BO264" s="716">
        <v>5.8596387238341223E-3</v>
      </c>
      <c r="BP264" s="715">
        <v>1.0323737859285248E-2</v>
      </c>
      <c r="BQ264" s="715">
        <v>1.6805714753305542E-2</v>
      </c>
      <c r="BR264" s="715">
        <v>2.5712611963901316E-2</v>
      </c>
      <c r="BS264" s="715">
        <v>3.7530396517869026E-2</v>
      </c>
      <c r="BT264" s="715">
        <v>5.1436502755092962E-2</v>
      </c>
      <c r="BW264" s="1190">
        <f>'2019'!R\Max</f>
        <v>0.93961022483983636</v>
      </c>
      <c r="BX264" s="1190">
        <f>'2020'!R\Max</f>
        <v>0.56449699513495155</v>
      </c>
      <c r="BY264" s="1190">
        <f>'2021'!R\Max</f>
        <v>0.73833618718784777</v>
      </c>
      <c r="BZ264" s="1190">
        <f>'2022'!R\Max</f>
        <v>0.74915458929538725</v>
      </c>
      <c r="CA264" s="1190">
        <f>'2023'!R\Max</f>
        <v>0.74909452884231309</v>
      </c>
      <c r="CB264" s="1190">
        <f>'2024'!R\Max</f>
        <v>0.7490080124487285</v>
      </c>
      <c r="CC264" s="1190">
        <f>'2025'!R\Max</f>
        <v>0.74892073644730339</v>
      </c>
      <c r="CD264" s="1190">
        <f>'2026'!R\Max</f>
        <v>0.74929222269350693</v>
      </c>
      <c r="CE264" s="1191">
        <f>'2027'!R\Max</f>
        <v>0.74925471981049641</v>
      </c>
      <c r="CF264" s="1193">
        <f>'2028'!R\Max</f>
        <v>0.74921600013900813</v>
      </c>
    </row>
    <row r="265" spans="1:84" s="6" customFormat="1" ht="11.25" x14ac:dyDescent="0.2">
      <c r="A265" s="11">
        <v>43351</v>
      </c>
      <c r="B265" s="379">
        <f>'2022'!Maxi_hp</f>
        <v>48.219770599083176</v>
      </c>
      <c r="C265" s="13">
        <f>'2022'!An_max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52.267164285480973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52.252695654079858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52.255330056404432</v>
      </c>
      <c r="AZ265" s="735">
        <f t="shared" si="115"/>
        <v>52.254012855242145</v>
      </c>
      <c r="BA265" s="633">
        <f t="shared" si="112"/>
        <v>0.9225633580522733</v>
      </c>
      <c r="BC265" s="11">
        <v>43351</v>
      </c>
      <c r="BD265" s="289">
        <f>[2]!FeuilCaduc*(1-Persistant)+Persistant</f>
        <v>0.97294813581674267</v>
      </c>
      <c r="BE265" s="290">
        <f>[2]!CroissVégét</f>
        <v>0.97613026748322473</v>
      </c>
      <c r="BF265" s="804">
        <f>1+[2]!Salcycl*Ksac</f>
        <v>1.0472948135816742</v>
      </c>
      <c r="BH265" s="1036">
        <f t="shared" si="113"/>
        <v>2.181711495764055E-3</v>
      </c>
      <c r="BI265" s="11">
        <v>44447</v>
      </c>
      <c r="BJ265" s="715">
        <v>3.6484680799134746E-7</v>
      </c>
      <c r="BK265" s="715">
        <v>8.4468014359326301E-5</v>
      </c>
      <c r="BL265" s="715">
        <v>4.2776935690632978E-4</v>
      </c>
      <c r="BM265" s="715">
        <v>1.3116772910661109E-3</v>
      </c>
      <c r="BN265" s="715">
        <v>3.0548396818632592E-3</v>
      </c>
      <c r="BO265" s="716">
        <v>6.0004076334289266E-3</v>
      </c>
      <c r="BP265" s="715">
        <v>1.0579415614551285E-2</v>
      </c>
      <c r="BQ265" s="715">
        <v>1.7238097768561816E-2</v>
      </c>
      <c r="BR265" s="715">
        <v>2.6403876284598268E-2</v>
      </c>
      <c r="BS265" s="715">
        <v>3.8583906417621223E-2</v>
      </c>
      <c r="BT265" s="715">
        <v>5.2931568268324534E-2</v>
      </c>
      <c r="BW265" s="1190">
        <f>'2019'!R\Max</f>
        <v>0.8980097815656195</v>
      </c>
      <c r="BX265" s="1190">
        <f>'2020'!R\Max</f>
        <v>0.9225633580522733</v>
      </c>
      <c r="BY265" s="1190">
        <f>'2021'!R\Max</f>
        <v>0.62835647056647925</v>
      </c>
      <c r="BZ265" s="1190">
        <f>'2022'!R\Max</f>
        <v>0.73171955140331457</v>
      </c>
      <c r="CA265" s="1190">
        <f>'2023'!R\Max</f>
        <v>0.73165497941004232</v>
      </c>
      <c r="CB265" s="1190">
        <f>'2024'!R\Max</f>
        <v>0.73156180015717587</v>
      </c>
      <c r="CC265" s="1190">
        <f>'2025'!R\Max</f>
        <v>0.73146782987188952</v>
      </c>
      <c r="CD265" s="1190">
        <f>'2026'!R\Max</f>
        <v>0.73186733256396075</v>
      </c>
      <c r="CE265" s="1191">
        <f>'2027'!R\Max</f>
        <v>0.73182710547719931</v>
      </c>
      <c r="CF265" s="1193">
        <f>'2028'!R\Max</f>
        <v>0.73178558959630635</v>
      </c>
    </row>
    <row r="266" spans="1:84" s="6" customFormat="1" ht="11.25" x14ac:dyDescent="0.2">
      <c r="A266" s="11">
        <v>43352</v>
      </c>
      <c r="B266" s="379">
        <f>'2022'!Maxi_hp</f>
        <v>50.375328728188094</v>
      </c>
      <c r="C266" s="13">
        <f>'2022'!An_max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52.007199999690059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51.994027988133688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51.990899635478854</v>
      </c>
      <c r="AZ266" s="735">
        <f t="shared" si="115"/>
        <v>51.992463811806275</v>
      </c>
      <c r="BA266" s="633">
        <f t="shared" si="112"/>
        <v>0.96862220478103633</v>
      </c>
      <c r="BC266" s="11">
        <v>43352</v>
      </c>
      <c r="BD266" s="289">
        <f>[2]!FeuilCaduc*(1-Persistant)+Persistant</f>
        <v>0.97138731909971887</v>
      </c>
      <c r="BE266" s="290">
        <f>[2]!CroissVégét</f>
        <v>0.97708205248193514</v>
      </c>
      <c r="BF266" s="804">
        <f>1+[2]!Salcycl*Ksac</f>
        <v>1.0471387319099719</v>
      </c>
      <c r="BH266" s="1036">
        <f t="shared" si="113"/>
        <v>2.2373227441295071E-3</v>
      </c>
      <c r="BI266" s="11">
        <v>44448</v>
      </c>
      <c r="BJ266" s="715">
        <v>4.3398963377800747E-7</v>
      </c>
      <c r="BK266" s="715">
        <v>8.9416068772905704E-5</v>
      </c>
      <c r="BL266" s="715">
        <v>4.4288508628460735E-4</v>
      </c>
      <c r="BM266" s="715">
        <v>1.3478572208219164E-3</v>
      </c>
      <c r="BN266" s="715">
        <v>3.1299513497289378E-3</v>
      </c>
      <c r="BO266" s="716">
        <v>6.143723978972164E-3</v>
      </c>
      <c r="BP266" s="715">
        <v>1.0841169167525207E-2</v>
      </c>
      <c r="BQ266" s="715">
        <v>1.7682790640975218E-2</v>
      </c>
      <c r="BR266" s="715">
        <v>2.7116509871520558E-2</v>
      </c>
      <c r="BS266" s="715">
        <v>3.9672675169315968E-2</v>
      </c>
      <c r="BT266" s="715">
        <v>5.4479076059042494E-2</v>
      </c>
      <c r="BW266" s="1190">
        <f>'2019'!R\Max</f>
        <v>0.78226132501244006</v>
      </c>
      <c r="BX266" s="1190">
        <f>'2020'!R\Max</f>
        <v>0.96862220478103633</v>
      </c>
      <c r="BY266" s="1190">
        <f>'2021'!R\Max</f>
        <v>0.35714123216408278</v>
      </c>
      <c r="BZ266" s="1190">
        <f>'2022'!R\Max</f>
        <v>0.49246171411455769</v>
      </c>
      <c r="CA266" s="1190">
        <f>'2023'!R\Max</f>
        <v>0.4923770925288638</v>
      </c>
      <c r="CB266" s="1190">
        <f>'2024'!R\Max</f>
        <v>0.49225477923185018</v>
      </c>
      <c r="CC266" s="1190">
        <f>'2025'!R\Max</f>
        <v>0.49213148863776829</v>
      </c>
      <c r="CD266" s="1190">
        <f>'2026'!R\Max</f>
        <v>0.49265518431201361</v>
      </c>
      <c r="CE266" s="1191">
        <f>'2027'!R\Max</f>
        <v>0.49260256679898817</v>
      </c>
      <c r="CF266" s="1193">
        <f>'2028'!R\Max</f>
        <v>0.49254828859563676</v>
      </c>
    </row>
    <row r="267" spans="1:84" s="6" customFormat="1" ht="11.25" x14ac:dyDescent="0.2">
      <c r="A267" s="11">
        <v>43353</v>
      </c>
      <c r="B267" s="379">
        <f>'2022'!Maxi_hp</f>
        <v>50.689006934365501</v>
      </c>
      <c r="C267" s="13">
        <f>'2022'!An_max</f>
        <v>2022</v>
      </c>
      <c r="D267" s="1045">
        <f t="shared" si="97"/>
        <v>0.9796179228741877</v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51.743649999424818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51.731884375028315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51.722471874952319</v>
      </c>
      <c r="AZ267" s="735">
        <f t="shared" si="115"/>
        <v>51.727178124990317</v>
      </c>
      <c r="BA267" s="633">
        <f t="shared" si="112"/>
        <v>0.9796179228741877</v>
      </c>
      <c r="BC267" s="11">
        <v>43353</v>
      </c>
      <c r="BD267" s="289">
        <f>[2]!FeuilCaduc*(1-Persistant)+Persistant</f>
        <v>0.96975748197375844</v>
      </c>
      <c r="BE267" s="290">
        <f>[2]!CroissVégét</f>
        <v>0.97799726049726488</v>
      </c>
      <c r="BF267" s="804">
        <f>1+[2]!Salcycl*Ksac</f>
        <v>1.0469757481973758</v>
      </c>
      <c r="BH267" s="1036">
        <f t="shared" si="113"/>
        <v>2.2930630296872203E-3</v>
      </c>
      <c r="BI267" s="11">
        <v>44449</v>
      </c>
      <c r="BJ267" s="715">
        <v>5.1000167418515698E-7</v>
      </c>
      <c r="BK267" s="715">
        <v>9.4341111948385752E-5</v>
      </c>
      <c r="BL267" s="715">
        <v>4.5774042863834871E-4</v>
      </c>
      <c r="BM267" s="715">
        <v>1.3838161711297629E-3</v>
      </c>
      <c r="BN267" s="715">
        <v>3.2055433161425006E-3</v>
      </c>
      <c r="BO267" s="716">
        <v>6.2895941483033652E-3</v>
      </c>
      <c r="BP267" s="715">
        <v>1.1109010896736786E-2</v>
      </c>
      <c r="BQ267" s="715">
        <v>1.8139815360481017E-2</v>
      </c>
      <c r="BR267" s="715">
        <v>2.7850548655599525E-2</v>
      </c>
      <c r="BS267" s="715">
        <v>4.0796758798241017E-2</v>
      </c>
      <c r="BT267" s="715">
        <v>5.6079106708176896E-2</v>
      </c>
      <c r="BW267" s="1190">
        <f>'2019'!R\Max</f>
        <v>0.26680746798116117</v>
      </c>
      <c r="BX267" s="1190">
        <f>'2020'!R\Max</f>
        <v>0.50225248296757052</v>
      </c>
      <c r="BY267" s="1190">
        <f>'2021'!R\Max</f>
        <v>0.76969225579233347</v>
      </c>
      <c r="BZ267" s="1190">
        <f>'2022'!R\Max</f>
        <v>0.9796179228741877</v>
      </c>
      <c r="CA267" s="1190">
        <f>'2023'!R\Max</f>
        <v>0.97961096247971724</v>
      </c>
      <c r="CB267" s="1190">
        <f>'2024'!R\Max</f>
        <v>0.97960087840455312</v>
      </c>
      <c r="CC267" s="1190">
        <f>'2025'!R\Max</f>
        <v>0.97959071133915532</v>
      </c>
      <c r="CD267" s="1190">
        <f>'2026'!R\Max</f>
        <v>0.9796338076702813</v>
      </c>
      <c r="CE267" s="1191">
        <f>'2027'!R\Max</f>
        <v>0.97962949308073133</v>
      </c>
      <c r="CF267" s="1193">
        <f>'2028'!R\Max</f>
        <v>0.97962504285971763</v>
      </c>
    </row>
    <row r="268" spans="1:84" s="6" customFormat="1" ht="11.25" x14ac:dyDescent="0.2">
      <c r="A268" s="11">
        <v>43354</v>
      </c>
      <c r="B268" s="379">
        <f>'2022'!Maxi_hp</f>
        <v>50.070320857235181</v>
      </c>
      <c r="C268" s="13">
        <f>'2022'!An_max</f>
        <v>2022</v>
      </c>
      <c r="D268" s="1045">
        <f t="shared" si="97"/>
        <v>0.97268281569443082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51.476514285377093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51.466251093601542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51.450170262477229</v>
      </c>
      <c r="AZ268" s="735">
        <f t="shared" si="115"/>
        <v>51.458210678039386</v>
      </c>
      <c r="BA268" s="633">
        <f t="shared" si="112"/>
        <v>0.97268281569443082</v>
      </c>
      <c r="BC268" s="11">
        <v>43354</v>
      </c>
      <c r="BD268" s="289">
        <f>[2]!FeuilCaduc*(1-Persistant)+Persistant</f>
        <v>0.96805591556963244</v>
      </c>
      <c r="BE268" s="290">
        <f>[2]!CroissVégét</f>
        <v>0.97887723107993829</v>
      </c>
      <c r="BF268" s="804">
        <f>1+[2]!Salcycl*Ksac</f>
        <v>1.0468055915569632</v>
      </c>
      <c r="BH268" s="1036">
        <f t="shared" si="113"/>
        <v>2.3490631332211648E-3</v>
      </c>
      <c r="BI268" s="11">
        <v>44450</v>
      </c>
      <c r="BJ268" s="715">
        <v>5.8689381550365686E-7</v>
      </c>
      <c r="BK268" s="715">
        <v>9.8967607179421897E-5</v>
      </c>
      <c r="BL268" s="715">
        <v>4.7197391219348236E-4</v>
      </c>
      <c r="BM268" s="715">
        <v>1.4192715331419132E-3</v>
      </c>
      <c r="BN268" s="715">
        <v>3.2821612215995651E-3</v>
      </c>
      <c r="BO268" s="716">
        <v>6.4402076965700402E-3</v>
      </c>
      <c r="BP268" s="715">
        <v>1.1387543265138286E-2</v>
      </c>
      <c r="BQ268" s="715">
        <v>1.8617589191548736E-2</v>
      </c>
      <c r="BR268" s="715">
        <v>2.8620117951542106E-2</v>
      </c>
      <c r="BS268" s="715">
        <v>4.198013429727903E-2</v>
      </c>
      <c r="BT268" s="715">
        <v>5.776866704193856E-2</v>
      </c>
      <c r="BW268" s="1190">
        <f>'2019'!R\Max</f>
        <v>0.9241242483382176</v>
      </c>
      <c r="BX268" s="1190">
        <f>'2020'!R\Max</f>
        <v>0.89687030266440115</v>
      </c>
      <c r="BY268" s="1190">
        <f>'2021'!R\Max</f>
        <v>0.8312981808485389</v>
      </c>
      <c r="BZ268" s="1190">
        <f>'2022'!R\Max</f>
        <v>0.97268281569443082</v>
      </c>
      <c r="CA268" s="1190">
        <f>'2023'!R\Max</f>
        <v>0.97267327446002128</v>
      </c>
      <c r="CB268" s="1190">
        <f>'2024'!R\Max</f>
        <v>0.97265942348735435</v>
      </c>
      <c r="CC268" s="1190">
        <f>'2025'!R\Max</f>
        <v>0.9726454618244359</v>
      </c>
      <c r="CD268" s="1190">
        <f>'2026'!R\Max</f>
        <v>0.97270456399236649</v>
      </c>
      <c r="CE268" s="1191">
        <f>'2027'!R\Max</f>
        <v>0.97269866258306026</v>
      </c>
      <c r="CF268" s="1193">
        <f>'2028'!R\Max</f>
        <v>0.9726925775197971</v>
      </c>
    </row>
    <row r="269" spans="1:84" s="6" customFormat="1" ht="11.25" x14ac:dyDescent="0.2">
      <c r="A269" s="11">
        <v>43355</v>
      </c>
      <c r="B269" s="379">
        <f>'2022'!Maxi_hp</f>
        <v>50.716513586551613</v>
      </c>
      <c r="C269" s="13">
        <f>'2022'!An_max</f>
        <v>2018</v>
      </c>
      <c r="D269" s="1045">
        <f t="shared" si="97"/>
        <v>0.99044484534175503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51.205792856695396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51.197114422757707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51.174118285878954</v>
      </c>
      <c r="AZ269" s="735">
        <f t="shared" si="115"/>
        <v>51.185616354318327</v>
      </c>
      <c r="BA269" s="633">
        <f t="shared" si="112"/>
        <v>0.99044484534175503</v>
      </c>
      <c r="BC269" s="11">
        <v>43355</v>
      </c>
      <c r="BD269" s="289">
        <f>[2]!FeuilCaduc*(1-Persistant)+Persistant</f>
        <v>0.96627980795962354</v>
      </c>
      <c r="BE269" s="290">
        <f>[2]!CroissVégét</f>
        <v>0.97972325984311226</v>
      </c>
      <c r="BF269" s="804">
        <f>1+[2]!Salcycl*Ksac</f>
        <v>1.0466279807959624</v>
      </c>
      <c r="BH269" s="1036">
        <f t="shared" si="113"/>
        <v>2.4059294781723327E-3</v>
      </c>
      <c r="BI269" s="11">
        <v>44451</v>
      </c>
      <c r="BJ269" s="715">
        <v>6.6030551033985178E-7</v>
      </c>
      <c r="BK269" s="715">
        <v>1.0321739866961132E-4</v>
      </c>
      <c r="BL269" s="715">
        <v>4.8577879599906036E-4</v>
      </c>
      <c r="BM269" s="715">
        <v>1.4547201288945039E-3</v>
      </c>
      <c r="BN269" s="715">
        <v>3.3605214807061819E-3</v>
      </c>
      <c r="BO269" s="716">
        <v>6.595969344089043E-3</v>
      </c>
      <c r="BP269" s="715">
        <v>1.167576454133786E-2</v>
      </c>
      <c r="BQ269" s="715">
        <v>1.9112828811842428E-2</v>
      </c>
      <c r="BR269" s="715">
        <v>2.941817165064875E-2</v>
      </c>
      <c r="BS269" s="715">
        <v>4.3210361096474581E-2</v>
      </c>
      <c r="BT269" s="715">
        <v>5.9528235515464323E-2</v>
      </c>
      <c r="BW269" s="1190">
        <f>'2019'!R\Max</f>
        <v>0.99044484534175503</v>
      </c>
      <c r="BX269" s="1190">
        <f>'2020'!R\Max</f>
        <v>0.89599273120057943</v>
      </c>
      <c r="BY269" s="1190">
        <f>'2021'!R\Max</f>
        <v>0.93997362337839385</v>
      </c>
      <c r="BZ269" s="1190">
        <f>'2022'!R\Max</f>
        <v>0.70964725979247345</v>
      </c>
      <c r="CA269" s="1190">
        <f>'2023'!R\Max</f>
        <v>0.7095710345413172</v>
      </c>
      <c r="CB269" s="1190">
        <f>'2024'!R\Max</f>
        <v>0.70946017590980237</v>
      </c>
      <c r="CC269" s="1190">
        <f>'2025'!R\Max</f>
        <v>0.70934848753884649</v>
      </c>
      <c r="CD269" s="1190">
        <f>'2026'!R\Max</f>
        <v>0.70982087717347087</v>
      </c>
      <c r="CE269" s="1191">
        <f>'2027'!R\Max</f>
        <v>0.70977379978647059</v>
      </c>
      <c r="CF269" s="1193">
        <f>'2028'!R\Max</f>
        <v>0.70972527713810629</v>
      </c>
    </row>
    <row r="270" spans="1:84" s="6" customFormat="1" ht="11.25" x14ac:dyDescent="0.2">
      <c r="A270" s="11">
        <v>43356</v>
      </c>
      <c r="B270" s="379">
        <f>'2022'!Maxi_hp</f>
        <v>48.946025733501244</v>
      </c>
      <c r="C270" s="13">
        <f>'2022'!An_max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50.931485713805472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50.924460640975404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50.894439431945123</v>
      </c>
      <c r="AZ270" s="735">
        <f t="shared" si="115"/>
        <v>50.909450036460264</v>
      </c>
      <c r="BA270" s="633">
        <f t="shared" si="112"/>
        <v>0.96101704176742586</v>
      </c>
      <c r="BC270" s="11">
        <v>43356</v>
      </c>
      <c r="BD270" s="289">
        <f>[2]!FeuilCaduc*(1-Persistant)+Persistant</f>
        <v>0.96442624540742083</v>
      </c>
      <c r="BE270" s="290">
        <f>[2]!CroissVégét</f>
        <v>0.98053659949953242</v>
      </c>
      <c r="BF270" s="804">
        <f>1+[2]!Salcycl*Ksac</f>
        <v>1.0464426245407421</v>
      </c>
      <c r="BH270" s="1036">
        <f t="shared" si="113"/>
        <v>2.4636646697119256E-3</v>
      </c>
      <c r="BI270" s="11">
        <v>44452</v>
      </c>
      <c r="BJ270" s="715">
        <v>7.3023682114687918E-7</v>
      </c>
      <c r="BK270" s="715">
        <v>1.0709039017521006E-4</v>
      </c>
      <c r="BL270" s="715">
        <v>4.9915529347681635E-4</v>
      </c>
      <c r="BM270" s="715">
        <v>1.490163230177626E-3</v>
      </c>
      <c r="BN270" s="715">
        <v>3.4406280367563799E-3</v>
      </c>
      <c r="BO270" s="716">
        <v>6.7568879779075948E-3</v>
      </c>
      <c r="BP270" s="715">
        <v>1.1973691185933326E-2</v>
      </c>
      <c r="BQ270" s="715">
        <v>1.9625562865216589E-2</v>
      </c>
      <c r="BR270" s="715">
        <v>3.0244755898743699E-2</v>
      </c>
      <c r="BS270" s="715">
        <v>4.4487511836048245E-2</v>
      </c>
      <c r="BT270" s="715">
        <v>6.1357917542545722E-2</v>
      </c>
      <c r="BW270" s="1190">
        <f>'2019'!R\Max</f>
        <v>0.77635020765143947</v>
      </c>
      <c r="BX270" s="1190">
        <f>'2020'!R\Max</f>
        <v>0.96101704176742586</v>
      </c>
      <c r="BY270" s="1190">
        <f>'2021'!R\Max</f>
        <v>0.67162487234832802</v>
      </c>
      <c r="BZ270" s="1190">
        <f>'2022'!R\Max</f>
        <v>0.30276338288259985</v>
      </c>
      <c r="CA270" s="1190">
        <f>'2023'!R\Max</f>
        <v>0.30268291720541407</v>
      </c>
      <c r="CB270" s="1190">
        <f>'2024'!R\Max</f>
        <v>0.30256568962994018</v>
      </c>
      <c r="CC270" s="1190">
        <f>'2025'!R\Max</f>
        <v>0.30244766394129124</v>
      </c>
      <c r="CD270" s="1190">
        <f>'2026'!R\Max</f>
        <v>0.30294658352942383</v>
      </c>
      <c r="CE270" s="1191">
        <f>'2027'!R\Max</f>
        <v>0.30289693296964976</v>
      </c>
      <c r="CF270" s="1193">
        <f>'2028'!R\Max</f>
        <v>0.30284578210634561</v>
      </c>
    </row>
    <row r="271" spans="1:84" s="6" customFormat="1" ht="11.25" x14ac:dyDescent="0.2">
      <c r="A271" s="11">
        <v>43357</v>
      </c>
      <c r="B271" s="379">
        <f>'2022'!Maxi_hp</f>
        <v>48.424336454195235</v>
      </c>
      <c r="C271" s="13">
        <f>'2022'!An_max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50.653592856813759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50.648276029034918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50.611257187995527</v>
      </c>
      <c r="AZ271" s="735">
        <f t="shared" si="115"/>
        <v>50.629766608515226</v>
      </c>
      <c r="BA271" s="633">
        <f t="shared" ref="BA271:BA334" si="131">+B271/J271</f>
        <v>0.95599016225916833</v>
      </c>
      <c r="BC271" s="11">
        <v>43357</v>
      </c>
      <c r="BD271" s="289">
        <f>[2]!FeuilCaduc*(1-Persistant)+Persistant</f>
        <v>0.96249221504654114</v>
      </c>
      <c r="BE271" s="290">
        <f>[2]!CroissVégét</f>
        <v>0.98131846090840358</v>
      </c>
      <c r="BF271" s="804">
        <f>1+[2]!Salcycl*Ksac</f>
        <v>1.0462492215046542</v>
      </c>
      <c r="BH271" s="1036">
        <f t="shared" ref="BH271:BH334" si="132">INDEX($BJ271:$BT271,,$BH$10)*(1-Ratini)+INDEX($BJ271:$BT271,,$BH$10+1)*Ratini</f>
        <v>2.5222714020389004E-3</v>
      </c>
      <c r="BI271" s="11">
        <v>44453</v>
      </c>
      <c r="BJ271" s="715">
        <v>7.966876505776443E-7</v>
      </c>
      <c r="BK271" s="715">
        <v>1.105864656187551E-4</v>
      </c>
      <c r="BL271" s="715">
        <v>5.1210360131756147E-4</v>
      </c>
      <c r="BM271" s="715">
        <v>1.5256021314362124E-3</v>
      </c>
      <c r="BN271" s="715">
        <v>3.5224849886808904E-3</v>
      </c>
      <c r="BO271" s="716">
        <v>6.9229728958005972E-3</v>
      </c>
      <c r="BP271" s="715">
        <v>1.2281340429710781E-2</v>
      </c>
      <c r="BQ271" s="715">
        <v>2.015582136876819E-2</v>
      </c>
      <c r="BR271" s="715">
        <v>3.1099919075960224E-2</v>
      </c>
      <c r="BS271" s="715">
        <v>4.58116627789125E-2</v>
      </c>
      <c r="BT271" s="715">
        <v>6.3257823900334686E-2</v>
      </c>
      <c r="BW271" s="1190">
        <f>'2019'!R\Max</f>
        <v>0.82761691101738488</v>
      </c>
      <c r="BX271" s="1190">
        <f>'2020'!R\Max</f>
        <v>0.95599016225916833</v>
      </c>
      <c r="BY271" s="1190">
        <f>'2021'!R\Max</f>
        <v>0.42025678732596256</v>
      </c>
      <c r="BZ271" s="1190">
        <f>'2022'!R\Max</f>
        <v>0.76381237910127864</v>
      </c>
      <c r="CA271" s="1190">
        <f>'2023'!R\Max</f>
        <v>0.76374148874588754</v>
      </c>
      <c r="CB271" s="1190">
        <f>'2024'!R\Max</f>
        <v>0.76363794514236694</v>
      </c>
      <c r="CC271" s="1190">
        <f>'2025'!R\Max</f>
        <v>0.76353366455787963</v>
      </c>
      <c r="CD271" s="1190">
        <f>'2026'!R\Max</f>
        <v>0.76397355958655822</v>
      </c>
      <c r="CE271" s="1191">
        <f>'2027'!R\Max</f>
        <v>0.7639299188341756</v>
      </c>
      <c r="CF271" s="1193">
        <f>'2028'!R\Max</f>
        <v>0.76388496111220294</v>
      </c>
    </row>
    <row r="272" spans="1:84" s="6" customFormat="1" ht="11.25" x14ac:dyDescent="0.2">
      <c r="A272" s="11">
        <v>43358</v>
      </c>
      <c r="B272" s="379">
        <f>'2022'!Maxi_hp</f>
        <v>49.537413864977964</v>
      </c>
      <c r="C272" s="13">
        <f>'2022'!An_max</f>
        <v>2020</v>
      </c>
      <c r="D272" s="1045">
        <f t="shared" si="116"/>
        <v>0.98342931535476741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50.372114285720251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50.368546865694228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50.32469504363835</v>
      </c>
      <c r="AZ272" s="735">
        <f t="shared" ref="AZ272:AZ335" si="134">(AY272+AT272)/2</f>
        <v>50.346620954666292</v>
      </c>
      <c r="BA272" s="633">
        <f t="shared" si="131"/>
        <v>0.98342931535476741</v>
      </c>
      <c r="BC272" s="11">
        <v>43358</v>
      </c>
      <c r="BD272" s="289">
        <f>[2]!FeuilCaduc*(1-Persistant)+Persistant</f>
        <v>0.96047460909746163</v>
      </c>
      <c r="BE272" s="290">
        <f>[2]!CroissVégét</f>
        <v>0.98207001412819972</v>
      </c>
      <c r="BF272" s="804">
        <f>1+[2]!Salcycl*Ksac</f>
        <v>1.0460474609097461</v>
      </c>
      <c r="BH272" s="1036">
        <f t="shared" si="132"/>
        <v>2.5817524598038817E-3</v>
      </c>
      <c r="BI272" s="11">
        <v>44454</v>
      </c>
      <c r="BJ272" s="715">
        <v>8.5965773528435711E-7</v>
      </c>
      <c r="BK272" s="715">
        <v>1.1370548841978538E-4</v>
      </c>
      <c r="BL272" s="715">
        <v>5.2462389870388767E-4</v>
      </c>
      <c r="BM272" s="715">
        <v>1.5610381496956344E-3</v>
      </c>
      <c r="BN272" s="715">
        <v>3.6060965939747028E-3</v>
      </c>
      <c r="BO272" s="716">
        <v>7.0942338150598539E-3</v>
      </c>
      <c r="BP272" s="715">
        <v>1.2598730290208608E-2</v>
      </c>
      <c r="BQ272" s="715">
        <v>2.0703635742762818E-2</v>
      </c>
      <c r="BR272" s="715">
        <v>3.1983711845597791E-2</v>
      </c>
      <c r="BS272" s="715">
        <v>4.7182893891223432E-2</v>
      </c>
      <c r="BT272" s="715">
        <v>6.5228070849894251E-2</v>
      </c>
      <c r="BW272" s="1190">
        <f>'2019'!R\Max</f>
        <v>0.84287392157150653</v>
      </c>
      <c r="BX272" s="1190">
        <f>'2020'!R\Max</f>
        <v>0.98342931535476741</v>
      </c>
      <c r="BY272" s="1190">
        <f>'2021'!R\Max</f>
        <v>0.62786740711462918</v>
      </c>
      <c r="BZ272" s="1190">
        <f>'2022'!R\Max</f>
        <v>0.87987081112873666</v>
      </c>
      <c r="CA272" s="1190">
        <f>'2023'!R\Max</f>
        <v>0.87982799249027821</v>
      </c>
      <c r="CB272" s="1190">
        <f>'2024'!R\Max</f>
        <v>0.8797653079994433</v>
      </c>
      <c r="CC272" s="1190">
        <f>'2025'!R\Max</f>
        <v>0.87970218112315279</v>
      </c>
      <c r="CD272" s="1190">
        <f>'2026'!R\Max</f>
        <v>0.87996808706855212</v>
      </c>
      <c r="CE272" s="1191">
        <f>'2027'!R\Max</f>
        <v>0.879941766095927</v>
      </c>
      <c r="CF272" s="1193">
        <f>'2028'!R\Max</f>
        <v>0.87991465587227413</v>
      </c>
    </row>
    <row r="273" spans="1:84" s="6" customFormat="1" ht="11.25" x14ac:dyDescent="0.2">
      <c r="A273" s="11">
        <v>43359</v>
      </c>
      <c r="B273" s="379">
        <f>'2022'!Maxi_hp</f>
        <v>43.865326468567289</v>
      </c>
      <c r="C273" s="13">
        <f>'2022'!An_max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50.087049999141264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50.085259429658102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50.0348764853685</v>
      </c>
      <c r="AZ273" s="735">
        <f t="shared" si="134"/>
        <v>50.060067957513297</v>
      </c>
      <c r="BA273" s="633">
        <f t="shared" si="131"/>
        <v>0.87578179328427919</v>
      </c>
      <c r="BC273" s="11">
        <v>43359</v>
      </c>
      <c r="BD273" s="289">
        <f>[2]!FeuilCaduc*(1-Persistant)+Persistant</f>
        <v>0.95837023071782013</v>
      </c>
      <c r="BE273" s="290">
        <f>[2]!CroissVégét</f>
        <v>0.98279238947199099</v>
      </c>
      <c r="BF273" s="804">
        <f>1+[2]!Salcycl*Ksac</f>
        <v>1.0458370230717819</v>
      </c>
      <c r="BH273" s="1036">
        <f t="shared" si="132"/>
        <v>2.6421107195554959E-3</v>
      </c>
      <c r="BI273" s="11">
        <v>44455</v>
      </c>
      <c r="BJ273" s="715">
        <v>9.1914663972370697E-7</v>
      </c>
      <c r="BK273" s="715">
        <v>1.1644730082652494E-4</v>
      </c>
      <c r="BL273" s="715">
        <v>5.3671634653740176E-4</v>
      </c>
      <c r="BM273" s="715">
        <v>1.5964726245008803E-3</v>
      </c>
      <c r="BN273" s="715">
        <v>3.6914672716559138E-3</v>
      </c>
      <c r="BO273" s="716">
        <v>7.2706808813446716E-3</v>
      </c>
      <c r="BP273" s="715">
        <v>1.2925879588389984E-2</v>
      </c>
      <c r="BQ273" s="715">
        <v>2.126903884073789E-2</v>
      </c>
      <c r="BR273" s="715">
        <v>3.2896187203251402E-2</v>
      </c>
      <c r="BS273" s="715">
        <v>4.8601288923331216E-2</v>
      </c>
      <c r="BT273" s="715">
        <v>6.7268780257296948E-2</v>
      </c>
      <c r="BW273" s="1190">
        <f>'2019'!R\Max</f>
        <v>0.87578179328427919</v>
      </c>
      <c r="BX273" s="1190">
        <f>'2020'!R\Max</f>
        <v>0.85597582805061434</v>
      </c>
      <c r="BY273" s="1190">
        <f>'2021'!R\Max</f>
        <v>0.44182934038522059</v>
      </c>
      <c r="BZ273" s="1190">
        <f>'2022'!R\Max</f>
        <v>0.70695114994692854</v>
      </c>
      <c r="CA273" s="1190">
        <f>'2023'!R\Max</f>
        <v>0.70686463032310476</v>
      </c>
      <c r="CB273" s="1190">
        <f>'2024'!R\Max</f>
        <v>0.70673771467508006</v>
      </c>
      <c r="CC273" s="1190">
        <f>'2025'!R\Max</f>
        <v>0.70660995413897809</v>
      </c>
      <c r="CD273" s="1190">
        <f>'2026'!R\Max</f>
        <v>0.7071476458080761</v>
      </c>
      <c r="CE273" s="1191">
        <f>'2027'!R\Max</f>
        <v>0.70709449737768437</v>
      </c>
      <c r="CF273" s="1193">
        <f>'2028'!R\Max</f>
        <v>0.70703977278994656</v>
      </c>
    </row>
    <row r="274" spans="1:84" s="6" customFormat="1" ht="11.25" x14ac:dyDescent="0.2">
      <c r="A274" s="11">
        <v>43360</v>
      </c>
      <c r="B274" s="379">
        <f>'2022'!Maxi_hp</f>
        <v>49.501535281548286</v>
      </c>
      <c r="C274" s="13">
        <f>'2022'!An_max</f>
        <v>2022</v>
      </c>
      <c r="D274" s="1045">
        <f t="shared" si="116"/>
        <v>0.99403866956668496</v>
      </c>
      <c r="E274" s="1040">
        <f>AF$13/10</f>
        <v>49.798400000000001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49.798399998992679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49.79839999973774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49.741925000026825</v>
      </c>
      <c r="AZ274" s="735">
        <f t="shared" si="134"/>
        <v>49.770162499882282</v>
      </c>
      <c r="BA274" s="633">
        <f t="shared" si="131"/>
        <v>0.99403866956668496</v>
      </c>
      <c r="BC274" s="11">
        <v>43360</v>
      </c>
      <c r="BD274" s="289">
        <f>[2]!FeuilCaduc*(1-Persistant)+Persistant</f>
        <v>0.95617580156270332</v>
      </c>
      <c r="BE274" s="290">
        <f>[2]!CroissVégét</f>
        <v>0.98348667856218763</v>
      </c>
      <c r="BF274" s="804">
        <f>1+[2]!Salcycl*Ksac</f>
        <v>1.0456175801562704</v>
      </c>
      <c r="BH274" s="1036">
        <f t="shared" si="132"/>
        <v>2.7033491512243406E-3</v>
      </c>
      <c r="BI274" s="11">
        <v>44456</v>
      </c>
      <c r="BJ274" s="715">
        <v>9.7515374997612123E-7</v>
      </c>
      <c r="BK274" s="715">
        <v>1.1881172324924767E-4</v>
      </c>
      <c r="BL274" s="715">
        <v>5.4838108667363259E-4</v>
      </c>
      <c r="BM274" s="715">
        <v>1.6319069178784736E-3</v>
      </c>
      <c r="BN274" s="715">
        <v>3.7786016052771599E-3</v>
      </c>
      <c r="BO274" s="716">
        <v>7.4523246776360477E-3</v>
      </c>
      <c r="BP274" s="715">
        <v>1.3262807965499753E-2</v>
      </c>
      <c r="BQ274" s="715">
        <v>2.1852064979909862E-2</v>
      </c>
      <c r="BR274" s="715">
        <v>3.3837400526411765E-2</v>
      </c>
      <c r="BS274" s="715">
        <v>5.0066935491427496E-2</v>
      </c>
      <c r="BT274" s="715">
        <v>6.9380079715689519E-2</v>
      </c>
      <c r="BW274" s="1190">
        <f>'2019'!R\Max</f>
        <v>0.85666413866788582</v>
      </c>
      <c r="BX274" s="1190">
        <f>'2020'!R\Max</f>
        <v>0.87555692763313864</v>
      </c>
      <c r="BY274" s="1190">
        <f>'2021'!R\Max</f>
        <v>0.94174659785288461</v>
      </c>
      <c r="BZ274" s="1190">
        <f>'2022'!R\Max</f>
        <v>0.99403866956668496</v>
      </c>
      <c r="CA274" s="1190">
        <f>'2023'!R\Max</f>
        <v>0.99403611761573096</v>
      </c>
      <c r="CB274" s="1190">
        <f>'2024'!R\Max</f>
        <v>0.99403236478393442</v>
      </c>
      <c r="CC274" s="1190">
        <f>'2025'!R\Max</f>
        <v>0.99402858628520041</v>
      </c>
      <c r="CD274" s="1190">
        <f>'2026'!R\Max</f>
        <v>0.99404446052517803</v>
      </c>
      <c r="CE274" s="1191">
        <f>'2027'!R\Max</f>
        <v>0.9940428951244713</v>
      </c>
      <c r="CF274" s="1193">
        <f>'2028'!R\Max</f>
        <v>0.99404128340826758</v>
      </c>
    </row>
    <row r="275" spans="1:84" s="6" customFormat="1" ht="11.25" x14ac:dyDescent="0.2">
      <c r="A275" s="11">
        <v>43361</v>
      </c>
      <c r="B275" s="379">
        <f>'2022'!Maxi_hp</f>
        <v>49.499723325417328</v>
      </c>
      <c r="C275" s="13">
        <f>'2022'!An_max</f>
        <v>2022</v>
      </c>
      <c r="D275" s="1045">
        <f t="shared" si="116"/>
        <v>0.99987469921560468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49.505926456834587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49.506415834698629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49.445964076143824</v>
      </c>
      <c r="AZ275" s="735">
        <f t="shared" si="134"/>
        <v>49.476189955421226</v>
      </c>
      <c r="BA275" s="633">
        <f t="shared" si="131"/>
        <v>0.99987469921560468</v>
      </c>
      <c r="BC275" s="11">
        <v>43361</v>
      </c>
      <c r="BD275" s="289">
        <f>[2]!FeuilCaduc*(1-Persistant)+Persistant</f>
        <v>0.95388797111337031</v>
      </c>
      <c r="BE275" s="290">
        <f>[2]!CroissVégét</f>
        <v>0.98415393538190332</v>
      </c>
      <c r="BF275" s="804">
        <f>1+[2]!Salcycl*Ksac</f>
        <v>1.0453887971113371</v>
      </c>
      <c r="BH275" s="1036">
        <f t="shared" si="132"/>
        <v>2.7654708195279766E-3</v>
      </c>
      <c r="BI275" s="11">
        <v>44457</v>
      </c>
      <c r="BJ275" s="715">
        <v>1.0276782675385276E-6</v>
      </c>
      <c r="BK275" s="715">
        <v>1.2079855359015015E-4</v>
      </c>
      <c r="BL275" s="715">
        <v>5.5961824114087236E-4</v>
      </c>
      <c r="BM275" s="715">
        <v>1.6673424142506276E-3</v>
      </c>
      <c r="BN275" s="715">
        <v>3.8675043458267495E-3</v>
      </c>
      <c r="BO275" s="716">
        <v>7.6391762329739458E-3</v>
      </c>
      <c r="BP275" s="715">
        <v>1.3609535899536071E-2</v>
      </c>
      <c r="BQ275" s="715">
        <v>2.245274997094834E-2</v>
      </c>
      <c r="BR275" s="715">
        <v>3.4807409623087412E-2</v>
      </c>
      <c r="BS275" s="715">
        <v>5.1579925157749722E-2</v>
      </c>
      <c r="BT275" s="715">
        <v>7.1562102665362629E-2</v>
      </c>
      <c r="BW275" s="1190">
        <f>'2019'!R\Max</f>
        <v>0.55885938818932879</v>
      </c>
      <c r="BX275" s="1190">
        <f>'2020'!R\Max</f>
        <v>0.88878091863813979</v>
      </c>
      <c r="BY275" s="1190">
        <f>'2021'!R\Max</f>
        <v>0.21167241011228696</v>
      </c>
      <c r="BZ275" s="1190">
        <f>'2022'!R\Max</f>
        <v>0.99987469921560468</v>
      </c>
      <c r="CA275" s="1190">
        <f>'2023'!R\Max</f>
        <v>0.99987464358132871</v>
      </c>
      <c r="CB275" s="1190">
        <f>'2024'!R\Max</f>
        <v>0.99987456158533317</v>
      </c>
      <c r="CC275" s="1190">
        <f>'2025'!R\Max</f>
        <v>0.99987447904143212</v>
      </c>
      <c r="CD275" s="1190">
        <f>'2026'!R\Max</f>
        <v>0.99987482541908146</v>
      </c>
      <c r="CE275" s="1191">
        <f>'2027'!R\Max</f>
        <v>0.99987479131523638</v>
      </c>
      <c r="CF275" s="1193">
        <f>'2028'!R\Max</f>
        <v>0.99987475620943211</v>
      </c>
    </row>
    <row r="276" spans="1:84" s="6" customFormat="1" ht="11.25" x14ac:dyDescent="0.2">
      <c r="A276" s="11">
        <v>43362</v>
      </c>
      <c r="B276" s="379">
        <f>'2022'!Maxi_hp</f>
        <v>48.833226198141027</v>
      </c>
      <c r="C276" s="13">
        <f>'2022'!An_max</f>
        <v>2022</v>
      </c>
      <c r="D276" s="1045">
        <f t="shared" si="116"/>
        <v>0.99235434633398478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49.209464722499249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49.208001166286081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49.147117201345303</v>
      </c>
      <c r="AZ276" s="735">
        <f t="shared" si="134"/>
        <v>49.177559183815688</v>
      </c>
      <c r="BA276" s="633">
        <f t="shared" si="131"/>
        <v>0.99235434633398478</v>
      </c>
      <c r="BC276" s="11">
        <v>43362</v>
      </c>
      <c r="BD276" s="289">
        <f>[2]!FeuilCaduc*(1-Persistant)+Persistant</f>
        <v>0.95150332781295988</v>
      </c>
      <c r="BE276" s="290">
        <f>[2]!CroissVégét</f>
        <v>0.98479517732042654</v>
      </c>
      <c r="BF276" s="804">
        <f>1+[2]!Salcycl*Ksac</f>
        <v>1.0451503327812959</v>
      </c>
      <c r="BH276" s="1036">
        <f t="shared" si="132"/>
        <v>2.8278577673100454E-3</v>
      </c>
      <c r="BI276" s="11">
        <v>44458</v>
      </c>
      <c r="BJ276" s="715">
        <v>1.0717528139373238E-6</v>
      </c>
      <c r="BK276" s="715">
        <v>1.223355328162182E-4</v>
      </c>
      <c r="BL276" s="715">
        <v>5.7009386143563087E-4</v>
      </c>
      <c r="BM276" s="715">
        <v>1.7021630261510976E-3</v>
      </c>
      <c r="BN276" s="715">
        <v>3.9575556598092912E-3</v>
      </c>
      <c r="BO276" s="716">
        <v>7.8314419799706009E-3</v>
      </c>
      <c r="BP276" s="715">
        <v>1.3968634404277218E-2</v>
      </c>
      <c r="BQ276" s="715">
        <v>2.3077316208676462E-2</v>
      </c>
      <c r="BR276" s="715">
        <v>3.5825655767169888E-2</v>
      </c>
      <c r="BS276" s="715">
        <v>5.3172689755863235E-2</v>
      </c>
      <c r="BT276" s="715">
        <v>7.3860086509163592E-2</v>
      </c>
      <c r="BW276" s="1190">
        <f>'2019'!R\Max</f>
        <v>0.86729134705651123</v>
      </c>
      <c r="BX276" s="1190">
        <f>'2020'!R\Max</f>
        <v>0.41489131005833002</v>
      </c>
      <c r="BY276" s="1190">
        <f>'2021'!R\Max</f>
        <v>0.75723679777658126</v>
      </c>
      <c r="BZ276" s="1190">
        <f>'2022'!R\Max</f>
        <v>0.99235434633398478</v>
      </c>
      <c r="CA276" s="1190">
        <f>'2023'!R\Max</f>
        <v>0.99235087077847928</v>
      </c>
      <c r="CB276" s="1190">
        <f>'2024'!R\Max</f>
        <v>0.99234573698058182</v>
      </c>
      <c r="CC276" s="1190">
        <f>'2025'!R\Max</f>
        <v>0.99234056973303542</v>
      </c>
      <c r="CD276" s="1190">
        <f>'2026'!R\Max</f>
        <v>0.99236222786141826</v>
      </c>
      <c r="CE276" s="1191">
        <f>'2027'!R\Max</f>
        <v>0.99236009873809805</v>
      </c>
      <c r="CF276" s="1193">
        <f>'2028'!R\Max</f>
        <v>0.99235790747626107</v>
      </c>
    </row>
    <row r="277" spans="1:84" s="6" customFormat="1" ht="11.25" x14ac:dyDescent="0.2">
      <c r="A277" s="11">
        <v>43363</v>
      </c>
      <c r="B277" s="379">
        <f>'2022'!Maxi_hp</f>
        <v>50.698686823362124</v>
      </c>
      <c r="C277" s="13">
        <f>'2022'!An_max</f>
        <v>2022</v>
      </c>
      <c r="D277" s="1045">
        <f t="shared" si="116"/>
        <v>1.0365895377792054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48.909124562436979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48.903512736866418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48.845507863257083</v>
      </c>
      <c r="AZ277" s="735">
        <f t="shared" si="134"/>
        <v>48.87451030006175</v>
      </c>
      <c r="BA277" s="633">
        <f t="shared" si="131"/>
        <v>1.0365895377792054</v>
      </c>
      <c r="BC277" s="11">
        <v>43363</v>
      </c>
      <c r="BD277" s="289">
        <f>[2]!FeuilCaduc*(1-Persistant)+Persistant</f>
        <v>0.94901841202696879</v>
      </c>
      <c r="BE277" s="290">
        <f>[2]!CroissVégét</f>
        <v>0.98541138621054403</v>
      </c>
      <c r="BF277" s="804">
        <f>1+[2]!Salcycl*Ksac</f>
        <v>1.0449018412026969</v>
      </c>
      <c r="BH277" s="1036">
        <f t="shared" si="132"/>
        <v>2.8898196023468799E-3</v>
      </c>
      <c r="BI277" s="11">
        <v>44459</v>
      </c>
      <c r="BJ277" s="715">
        <v>1.1048878952777455E-6</v>
      </c>
      <c r="BK277" s="715">
        <v>1.2352638842388244E-4</v>
      </c>
      <c r="BL277" s="715">
        <v>5.7988501898636286E-4</v>
      </c>
      <c r="BM277" s="715">
        <v>1.7361204311026259E-3</v>
      </c>
      <c r="BN277" s="715">
        <v>4.0476215131836748E-3</v>
      </c>
      <c r="BO277" s="716">
        <v>8.0262878071028047E-3</v>
      </c>
      <c r="BP277" s="715">
        <v>1.4335244373449152E-2</v>
      </c>
      <c r="BQ277" s="715">
        <v>2.3717097210070995E-2</v>
      </c>
      <c r="BR277" s="715">
        <v>3.6878390394043802E-2</v>
      </c>
      <c r="BS277" s="715">
        <v>5.4823277332910363E-2</v>
      </c>
      <c r="BT277" s="715">
        <v>7.6242327123917569E-2</v>
      </c>
      <c r="BW277" s="1190">
        <f>'2019'!R\Max</f>
        <v>0.9665952095782564</v>
      </c>
      <c r="BX277" s="1190">
        <f>'2020'!R\Max</f>
        <v>0.70393683854248212</v>
      </c>
      <c r="BY277" s="1190">
        <f>'2021'!R\Max</f>
        <v>0.62997752371618576</v>
      </c>
      <c r="BZ277" s="1190">
        <f>'2022'!R\Max</f>
        <v>1.0365895377792054</v>
      </c>
      <c r="CA277" s="1190">
        <f>'2023'!R\Max</f>
        <v>1.0365895377792054</v>
      </c>
      <c r="CB277" s="1190">
        <f>'2024'!R\Max</f>
        <v>1.0365895377792054</v>
      </c>
      <c r="CC277" s="1190">
        <f>'2025'!R\Max</f>
        <v>1.0365895377792054</v>
      </c>
      <c r="CD277" s="1190">
        <f>'2026'!R\Max</f>
        <v>1.0365895377792056</v>
      </c>
      <c r="CE277" s="1191">
        <f>'2027'!R\Max</f>
        <v>1.0365895377792054</v>
      </c>
      <c r="CF277" s="1193">
        <f>'2028'!R\Max</f>
        <v>1.0365895377792054</v>
      </c>
    </row>
    <row r="278" spans="1:84" s="6" customFormat="1" ht="11.25" x14ac:dyDescent="0.2">
      <c r="A278" s="11">
        <v>43364</v>
      </c>
      <c r="B278" s="379">
        <f>'2022'!Maxi_hp</f>
        <v>49.399515767454261</v>
      </c>
      <c r="C278" s="13">
        <f>'2022'!An_max</f>
        <v>2022</v>
      </c>
      <c r="D278" s="1045">
        <f t="shared" si="116"/>
        <v>1.0163460501370338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48.605015743204525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48.593307288107461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48.5412595482277</v>
      </c>
      <c r="AZ278" s="735">
        <f t="shared" si="134"/>
        <v>48.567283418167577</v>
      </c>
      <c r="BA278" s="633">
        <f t="shared" si="131"/>
        <v>1.0163460501370338</v>
      </c>
      <c r="BC278" s="11">
        <v>43364</v>
      </c>
      <c r="BD278" s="289">
        <f>[2]!FeuilCaduc*(1-Persistant)+Persistant</f>
        <v>0.94642973082482862</v>
      </c>
      <c r="BE278" s="290">
        <f>[2]!CroissVégét</f>
        <v>0.98600350935571934</v>
      </c>
      <c r="BF278" s="804">
        <f>1+[2]!Salcycl*Ksac</f>
        <v>1.0446429730824829</v>
      </c>
      <c r="BH278" s="1036">
        <f t="shared" si="132"/>
        <v>2.9513584569962354E-3</v>
      </c>
      <c r="BI278" s="11">
        <v>44460</v>
      </c>
      <c r="BJ278" s="715">
        <v>1.1270751255718151E-6</v>
      </c>
      <c r="BK278" s="715">
        <v>1.2437087363654806E-4</v>
      </c>
      <c r="BL278" s="715">
        <v>5.8899152499517057E-4</v>
      </c>
      <c r="BM278" s="715">
        <v>1.7692152650903585E-3</v>
      </c>
      <c r="BN278" s="715">
        <v>4.1377055400016044E-3</v>
      </c>
      <c r="BO278" s="716">
        <v>8.2237237123063255E-3</v>
      </c>
      <c r="BP278" s="715">
        <v>1.4709386844653243E-2</v>
      </c>
      <c r="BQ278" s="715">
        <v>2.4372131345128323E-2</v>
      </c>
      <c r="BR278" s="715">
        <v>3.7965684650867394E-2</v>
      </c>
      <c r="BS278" s="715">
        <v>5.6531802282063615E-2</v>
      </c>
      <c r="BT278" s="715">
        <v>7.8708989868365289E-2</v>
      </c>
      <c r="BW278" s="1190">
        <f>'2019'!R\Max</f>
        <v>0.70462719264221951</v>
      </c>
      <c r="BX278" s="1190">
        <f>'2020'!R\Max</f>
        <v>0.68652254845351102</v>
      </c>
      <c r="BY278" s="1190">
        <f>'2021'!R\Max</f>
        <v>0.25151209574786121</v>
      </c>
      <c r="BZ278" s="1190">
        <f>'2022'!R\Max</f>
        <v>1.0163460501370338</v>
      </c>
      <c r="CA278" s="1190">
        <f>'2023'!R\Max</f>
        <v>1.0163460501370341</v>
      </c>
      <c r="CB278" s="1190">
        <f>'2024'!R\Max</f>
        <v>1.0163460501370338</v>
      </c>
      <c r="CC278" s="1190">
        <f>'2025'!R\Max</f>
        <v>1.0163460501370338</v>
      </c>
      <c r="CD278" s="1190">
        <f>'2026'!R\Max</f>
        <v>1.0163460501370338</v>
      </c>
      <c r="CE278" s="1191">
        <f>'2027'!R\Max</f>
        <v>1.0163460501370338</v>
      </c>
      <c r="CF278" s="1193">
        <f>'2028'!R\Max</f>
        <v>1.0163460501370338</v>
      </c>
    </row>
    <row r="279" spans="1:84" s="6" customFormat="1" ht="11.25" x14ac:dyDescent="0.2">
      <c r="A279" s="11">
        <v>43365</v>
      </c>
      <c r="B279" s="379">
        <f>'2022'!Maxi_hp</f>
        <v>47.807494573948958</v>
      </c>
      <c r="C279" s="13">
        <f>'2022'!An_max</f>
        <v>2022</v>
      </c>
      <c r="D279" s="1045">
        <f t="shared" si="116"/>
        <v>0.98985959908026422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48.297248032316567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48.277741563270261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48.234495745226738</v>
      </c>
      <c r="AZ279" s="735">
        <f t="shared" si="134"/>
        <v>48.256118654248496</v>
      </c>
      <c r="BA279" s="633">
        <f t="shared" si="131"/>
        <v>0.98985959908026422</v>
      </c>
      <c r="BC279" s="11">
        <v>43365</v>
      </c>
      <c r="BD279" s="289">
        <f>[2]!FeuilCaduc*(1-Persistant)+Persistant</f>
        <v>0.94373377455694141</v>
      </c>
      <c r="BE279" s="290">
        <f>[2]!CroissVégét</f>
        <v>0.98657246054533965</v>
      </c>
      <c r="BF279" s="804">
        <f>1+[2]!Salcycl*Ksac</f>
        <v>1.0443733774556943</v>
      </c>
      <c r="BH279" s="1036">
        <f t="shared" si="132"/>
        <v>3.0124766175389809E-3</v>
      </c>
      <c r="BI279" s="11">
        <v>44461</v>
      </c>
      <c r="BJ279" s="715">
        <v>1.1383054455842267E-6</v>
      </c>
      <c r="BK279" s="715">
        <v>1.2486872465163163E-4</v>
      </c>
      <c r="BL279" s="715">
        <v>5.9741317844048156E-4</v>
      </c>
      <c r="BM279" s="715">
        <v>1.8014482123924144E-3</v>
      </c>
      <c r="BN279" s="715">
        <v>4.2278116342436781E-3</v>
      </c>
      <c r="BO279" s="716">
        <v>8.4237603963140586E-3</v>
      </c>
      <c r="BP279" s="715">
        <v>1.5091084324027525E-2</v>
      </c>
      <c r="BQ279" s="715">
        <v>2.5042459629964337E-2</v>
      </c>
      <c r="BR279" s="715">
        <v>3.9087614586333357E-2</v>
      </c>
      <c r="BS279" s="715">
        <v>5.8298386797681574E-2</v>
      </c>
      <c r="BT279" s="715">
        <v>8.1260251279899012E-2</v>
      </c>
      <c r="BW279" s="1190">
        <f>'2019'!R\Max</f>
        <v>0.18354272092811388</v>
      </c>
      <c r="BX279" s="1190">
        <f>'2020'!R\Max</f>
        <v>0.60880974723265491</v>
      </c>
      <c r="BY279" s="1190">
        <f>'2021'!R\Max</f>
        <v>0.94211883355906978</v>
      </c>
      <c r="BZ279" s="1190">
        <f>'2022'!R\Max</f>
        <v>0.98985959908026422</v>
      </c>
      <c r="CA279" s="1190">
        <f>'2023'!R\Max</f>
        <v>0.98985455070475237</v>
      </c>
      <c r="CB279" s="1190">
        <f>'2024'!R\Max</f>
        <v>0.98984704703985471</v>
      </c>
      <c r="CC279" s="1190">
        <f>'2025'!R\Max</f>
        <v>0.9898394977354652</v>
      </c>
      <c r="CD279" s="1190">
        <f>'2026'!R\Max</f>
        <v>0.98987103167957269</v>
      </c>
      <c r="CE279" s="1191">
        <f>'2027'!R\Max</f>
        <v>0.98986794718822035</v>
      </c>
      <c r="CF279" s="1193">
        <f>'2028'!R\Max</f>
        <v>0.98986477414744489</v>
      </c>
    </row>
    <row r="280" spans="1:84" s="6" customFormat="1" ht="11.25" x14ac:dyDescent="0.2">
      <c r="A280" s="11">
        <v>43366</v>
      </c>
      <c r="B280" s="379">
        <f>'2022'!Maxi_hp</f>
        <v>41.863369362780062</v>
      </c>
      <c r="C280" s="13">
        <f>'2022'!An_max</f>
        <v>2018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47.985931195425138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47.957172303048097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47.925339941999745</v>
      </c>
      <c r="AZ280" s="735">
        <f t="shared" si="134"/>
        <v>47.941256122523924</v>
      </c>
      <c r="BA280" s="633">
        <f t="shared" si="131"/>
        <v>0.87240923162018813</v>
      </c>
      <c r="BC280" s="11">
        <v>43366</v>
      </c>
      <c r="BD280" s="289">
        <f>[2]!FeuilCaduc*(1-Persistant)+Persistant</f>
        <v>0.94092703517929532</v>
      </c>
      <c r="BE280" s="290">
        <f>[2]!CroissVégét</f>
        <v>0.98711912105647015</v>
      </c>
      <c r="BF280" s="804">
        <f>1+[2]!Salcycl*Ksac</f>
        <v>1.0440927035179295</v>
      </c>
      <c r="BH280" s="1036">
        <f t="shared" si="132"/>
        <v>3.0731928580360317E-3</v>
      </c>
      <c r="BI280" s="11">
        <v>44462</v>
      </c>
      <c r="BJ280" s="715">
        <v>1.1385751499942561E-6</v>
      </c>
      <c r="BK280" s="715">
        <v>1.2502032398341718E-4</v>
      </c>
      <c r="BL280" s="715">
        <v>6.0515298036679607E-4</v>
      </c>
      <c r="BM280" s="715">
        <v>1.8328297447441641E-3</v>
      </c>
      <c r="BN280" s="715">
        <v>4.3179669018207608E-3</v>
      </c>
      <c r="BO280" s="716">
        <v>8.6264551261680637E-3</v>
      </c>
      <c r="BP280" s="715">
        <v>1.5480443100951645E-2</v>
      </c>
      <c r="BQ280" s="715">
        <v>2.5728262546672587E-2</v>
      </c>
      <c r="BR280" s="715">
        <v>4.0244475204970785E-2</v>
      </c>
      <c r="BS280" s="715">
        <v>6.0123480697285757E-2</v>
      </c>
      <c r="BT280" s="715">
        <v>8.3896745384239108E-2</v>
      </c>
      <c r="BW280" s="1190">
        <f>'2019'!R\Max</f>
        <v>0.87240923162018813</v>
      </c>
      <c r="BX280" s="1190">
        <f>'2020'!R\Max</f>
        <v>0.55917552355124012</v>
      </c>
      <c r="BY280" s="1190">
        <f>'2021'!R\Max</f>
        <v>0.8239706220106533</v>
      </c>
      <c r="BZ280" s="1190">
        <f>'2022'!R\Max</f>
        <v>0.63210919856087255</v>
      </c>
      <c r="CA280" s="1190">
        <f>'2023'!R\Max</f>
        <v>0.63198856397963077</v>
      </c>
      <c r="CB280" s="1190">
        <f>'2024'!R\Max</f>
        <v>0.63180899425037085</v>
      </c>
      <c r="CC280" s="1190">
        <f>'2025'!R\Max</f>
        <v>0.63162845580073346</v>
      </c>
      <c r="CD280" s="1190">
        <f>'2026'!R\Max</f>
        <v>0.63238240258863665</v>
      </c>
      <c r="CE280" s="1191">
        <f>'2027'!R\Max</f>
        <v>0.63230870715065934</v>
      </c>
      <c r="CF280" s="1193">
        <f>'2028'!R\Max</f>
        <v>0.6322329230957352</v>
      </c>
    </row>
    <row r="281" spans="1:84" s="6" customFormat="1" ht="11.25" x14ac:dyDescent="0.2">
      <c r="A281" s="11">
        <v>43367</v>
      </c>
      <c r="B281" s="379">
        <f>'2022'!Maxi_hp</f>
        <v>40.4343470381435</v>
      </c>
      <c r="C281" s="13">
        <f>'2022'!An_max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47.671174999326468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47.631956249766517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47.613915625214574</v>
      </c>
      <c r="AZ281" s="735">
        <f t="shared" si="134"/>
        <v>47.622935937490546</v>
      </c>
      <c r="BA281" s="633">
        <f t="shared" si="131"/>
        <v>0.84819279236802503</v>
      </c>
      <c r="BC281" s="11">
        <v>43367</v>
      </c>
      <c r="BD281" s="289">
        <f>[2]!FeuilCaduc*(1-Persistant)+Persistant</f>
        <v>0.93800602625553786</v>
      </c>
      <c r="BE281" s="290">
        <f>[2]!CroissVégét</f>
        <v>0.98764434064074225</v>
      </c>
      <c r="BF281" s="804">
        <f>1+[2]!Salcycl*Ksac</f>
        <v>1.0438006026255537</v>
      </c>
      <c r="BH281" s="1036">
        <f t="shared" si="132"/>
        <v>3.1335190215199312E-3</v>
      </c>
      <c r="BI281" s="11">
        <v>44463</v>
      </c>
      <c r="BJ281" s="715">
        <v>1.1278765654627452E-6</v>
      </c>
      <c r="BK281" s="715">
        <v>1.2482569722326853E-4</v>
      </c>
      <c r="BL281" s="715">
        <v>6.1221243043825264E-4</v>
      </c>
      <c r="BM281" s="715">
        <v>1.8633660508450443E-3</v>
      </c>
      <c r="BN281" s="715">
        <v>4.4081888602062183E-3</v>
      </c>
      <c r="BO281" s="716">
        <v>8.8318466850129309E-3</v>
      </c>
      <c r="BP281" s="715">
        <v>1.5877537055989863E-2</v>
      </c>
      <c r="BQ281" s="715">
        <v>2.6429667719203898E-2</v>
      </c>
      <c r="BR281" s="715">
        <v>4.1436481438891982E-2</v>
      </c>
      <c r="BS281" s="715">
        <v>6.2007416639720363E-2</v>
      </c>
      <c r="BT281" s="715">
        <v>8.6618944806659465E-2</v>
      </c>
      <c r="BW281" s="1190">
        <f>'2019'!R\Max</f>
        <v>0.60391648508310358</v>
      </c>
      <c r="BX281" s="1190">
        <f>'2020'!R\Max</f>
        <v>0.84000269455018195</v>
      </c>
      <c r="BY281" s="1190">
        <f>'2021'!R\Max</f>
        <v>0.84819279236802503</v>
      </c>
      <c r="BZ281" s="1190">
        <f>'2022'!R\Max</f>
        <v>0.38534122584117475</v>
      </c>
      <c r="CA281" s="1190">
        <f>'2023'!R\Max</f>
        <v>0.38521449552346776</v>
      </c>
      <c r="CB281" s="1190">
        <f>'2024'!R\Max</f>
        <v>0.38502556481741507</v>
      </c>
      <c r="CC281" s="1190">
        <f>'2025'!R\Max</f>
        <v>0.38483571675903799</v>
      </c>
      <c r="CD281" s="1190">
        <f>'2026'!R\Max</f>
        <v>0.38562819285997701</v>
      </c>
      <c r="CE281" s="1191">
        <f>'2027'!R\Max</f>
        <v>0.38555080874627795</v>
      </c>
      <c r="CF281" s="1193">
        <f>'2028'!R\Max</f>
        <v>0.38547125415093392</v>
      </c>
    </row>
    <row r="282" spans="1:84" s="6" customFormat="1" ht="11.25" x14ac:dyDescent="0.2">
      <c r="A282" s="11">
        <v>43368</v>
      </c>
      <c r="B282" s="379">
        <f>'2022'!Maxi_hp</f>
        <v>38.712672418777252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47.353089212732655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47.302450145667954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47.300346283401758</v>
      </c>
      <c r="AZ282" s="735">
        <f t="shared" si="134"/>
        <v>47.301398214534856</v>
      </c>
      <c r="BA282" s="633">
        <f t="shared" si="131"/>
        <v>0.8175321412476696</v>
      </c>
      <c r="BC282" s="11">
        <v>43368</v>
      </c>
      <c r="BD282" s="289">
        <f>[2]!FeuilCaduc*(1-Persistant)+Persistant</f>
        <v>0.93496730454433918</v>
      </c>
      <c r="BE282" s="290">
        <f>[2]!CroissVégét</f>
        <v>0.98814893849517882</v>
      </c>
      <c r="BF282" s="804">
        <f>1+[2]!Salcycl*Ksac</f>
        <v>1.043496730454434</v>
      </c>
      <c r="BH282" s="1036">
        <f t="shared" si="132"/>
        <v>3.195191101379571E-3</v>
      </c>
      <c r="BI282" s="11">
        <v>44464</v>
      </c>
      <c r="BJ282" s="715">
        <v>1.1054538611452359E-6</v>
      </c>
      <c r="BK282" s="715">
        <v>1.2471615691328939E-4</v>
      </c>
      <c r="BL282" s="715">
        <v>6.1943353509304254E-4</v>
      </c>
      <c r="BM282" s="715">
        <v>1.8945554093078229E-3</v>
      </c>
      <c r="BN282" s="715">
        <v>4.5004520629169974E-3</v>
      </c>
      <c r="BO282" s="716">
        <v>9.0492532341093241E-3</v>
      </c>
      <c r="BP282" s="715">
        <v>1.6307385768640357E-2</v>
      </c>
      <c r="BQ282" s="715">
        <v>2.7194094909176011E-2</v>
      </c>
      <c r="BR282" s="715">
        <v>4.2727668847203061E-2</v>
      </c>
      <c r="BS282" s="715">
        <v>6.4017812182859304E-2</v>
      </c>
      <c r="BT282" s="715">
        <v>8.94867598901571E-2</v>
      </c>
      <c r="BW282" s="1190">
        <f>'2019'!R\Max</f>
        <v>0.64995520795180994</v>
      </c>
      <c r="BX282" s="1190">
        <f>'2020'!R\Max</f>
        <v>0.46714088435266587</v>
      </c>
      <c r="BY282" s="1190">
        <f>'2021'!R\Max</f>
        <v>0.74068389940229507</v>
      </c>
      <c r="BZ282" s="1190">
        <f>'2022'!R\Max</f>
        <v>0.8175321412476696</v>
      </c>
      <c r="CA282" s="1190">
        <f>'2023'!R\Max</f>
        <v>0.81744961271079319</v>
      </c>
      <c r="CB282" s="1190">
        <f>'2024'!R\Max</f>
        <v>0.81732629963892278</v>
      </c>
      <c r="CC282" s="1190">
        <f>'2025'!R\Max</f>
        <v>0.81720231763860773</v>
      </c>
      <c r="CD282" s="1190">
        <f>'2026'!R\Max</f>
        <v>0.81771869963335997</v>
      </c>
      <c r="CE282" s="1191">
        <f>'2027'!R\Max</f>
        <v>0.81766845338748906</v>
      </c>
      <c r="CF282" s="1193">
        <f>'2028'!R\Max</f>
        <v>0.81761678574753582</v>
      </c>
    </row>
    <row r="283" spans="1:84" s="6" customFormat="1" ht="11.25" x14ac:dyDescent="0.2">
      <c r="A283" s="11">
        <v>43369</v>
      </c>
      <c r="B283" s="379">
        <f>'2022'!Maxi_hp</f>
        <v>39.693686966189702</v>
      </c>
      <c r="C283" s="13">
        <f>'2022'!An_max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47.031783600257974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46.969010732470949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46.984755403229165</v>
      </c>
      <c r="AZ283" s="735">
        <f t="shared" si="134"/>
        <v>46.976883067850054</v>
      </c>
      <c r="BA283" s="633">
        <f t="shared" si="131"/>
        <v>0.84397579525289312</v>
      </c>
      <c r="BC283" s="11">
        <v>43369</v>
      </c>
      <c r="BD283" s="289">
        <f>[2]!FeuilCaduc*(1-Persistant)+Persistant</f>
        <v>0.93180749305828814</v>
      </c>
      <c r="BE283" s="290">
        <f>[2]!CroissVégét</f>
        <v>0.98863370421593466</v>
      </c>
      <c r="BF283" s="804">
        <f>1+[2]!Salcycl*Ksac</f>
        <v>1.0431807493058287</v>
      </c>
      <c r="BH283" s="1036">
        <f t="shared" si="132"/>
        <v>3.2580810336047903E-3</v>
      </c>
      <c r="BI283" s="11">
        <v>44465</v>
      </c>
      <c r="BJ283" s="715">
        <v>1.0773127616936351E-6</v>
      </c>
      <c r="BK283" s="715">
        <v>1.2496852552710056E-4</v>
      </c>
      <c r="BL283" s="715">
        <v>6.2717955461641113E-4</v>
      </c>
      <c r="BM283" s="715">
        <v>1.9266830617446593E-3</v>
      </c>
      <c r="BN283" s="715">
        <v>4.5942136705394284E-3</v>
      </c>
      <c r="BO283" s="716">
        <v>9.2764974153758343E-3</v>
      </c>
      <c r="BP283" s="715">
        <v>1.6765421366451715E-2</v>
      </c>
      <c r="BQ283" s="715">
        <v>2.8013194805017388E-2</v>
      </c>
      <c r="BR283" s="715">
        <v>4.4104021627335115E-2</v>
      </c>
      <c r="BS283" s="715">
        <v>6.6130824023484067E-2</v>
      </c>
      <c r="BT283" s="715">
        <v>9.2463326348771149E-2</v>
      </c>
      <c r="BW283" s="1190">
        <f>'2019'!R\Max</f>
        <v>0.80710002156806127</v>
      </c>
      <c r="BX283" s="1190">
        <f>'2020'!R\Max</f>
        <v>0.46517986808582545</v>
      </c>
      <c r="BY283" s="1190">
        <f>'2021'!R\Max</f>
        <v>0.84397579525289312</v>
      </c>
      <c r="BZ283" s="1190">
        <f>'2022'!R\Max</f>
        <v>0.75366383942832615</v>
      </c>
      <c r="CA283" s="1190">
        <f>'2023'!R\Max</f>
        <v>0.75355749940039873</v>
      </c>
      <c r="CB283" s="1190">
        <f>'2024'!R\Max</f>
        <v>0.75339838328066333</v>
      </c>
      <c r="CC283" s="1190">
        <f>'2025'!R\Max</f>
        <v>0.75323844061368272</v>
      </c>
      <c r="CD283" s="1190">
        <f>'2026'!R\Max</f>
        <v>0.75390394273669348</v>
      </c>
      <c r="CE283" s="1191">
        <f>'2027'!R\Max</f>
        <v>0.7538393442182022</v>
      </c>
      <c r="CF283" s="1193">
        <f>'2028'!R\Max</f>
        <v>0.75377292100414683</v>
      </c>
    </row>
    <row r="284" spans="1:84" s="6" customFormat="1" ht="11.25" x14ac:dyDescent="0.2">
      <c r="A284" s="11">
        <v>43370</v>
      </c>
      <c r="B284" s="379">
        <f>'2022'!Maxi_hp</f>
        <v>37.960845399345402</v>
      </c>
      <c r="C284" s="13">
        <f>'2022'!An_max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46.707367930135561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46.631994752394633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46.667266472429041</v>
      </c>
      <c r="AZ284" s="735">
        <f t="shared" si="134"/>
        <v>46.649630612411841</v>
      </c>
      <c r="BA284" s="633">
        <f t="shared" si="131"/>
        <v>0.81273784162119511</v>
      </c>
      <c r="BC284" s="11">
        <v>43370</v>
      </c>
      <c r="BD284" s="289">
        <f>[2]!FeuilCaduc*(1-Persistant)+Persistant</f>
        <v>0.92852330545969419</v>
      </c>
      <c r="BE284" s="290">
        <f>[2]!CroissVégét</f>
        <v>0.98909939873407315</v>
      </c>
      <c r="BF284" s="804">
        <f>1+[2]!Salcycl*Ksac</f>
        <v>1.0428523305459694</v>
      </c>
      <c r="BH284" s="1036">
        <f t="shared" si="132"/>
        <v>3.322189771113729E-3</v>
      </c>
      <c r="BI284" s="11">
        <v>44466</v>
      </c>
      <c r="BJ284" s="715">
        <v>1.0434438870413912E-6</v>
      </c>
      <c r="BK284" s="715">
        <v>1.2558309708572327E-4</v>
      </c>
      <c r="BL284" s="715">
        <v>6.3545078729608767E-4</v>
      </c>
      <c r="BM284" s="715">
        <v>1.9597495655007571E-3</v>
      </c>
      <c r="BN284" s="715">
        <v>4.6894750329713108E-3</v>
      </c>
      <c r="BO284" s="716">
        <v>9.5135918897880072E-3</v>
      </c>
      <c r="BP284" s="715">
        <v>1.7251681362781227E-2</v>
      </c>
      <c r="BQ284" s="715">
        <v>2.8887041735377789E-2</v>
      </c>
      <c r="BR284" s="715">
        <v>4.5565660217520704E-2</v>
      </c>
      <c r="BS284" s="715">
        <v>6.8346605926432394E-2</v>
      </c>
      <c r="BT284" s="715">
        <v>9.5548819661389256E-2</v>
      </c>
      <c r="BW284" s="1190">
        <f>'2019'!R\Max</f>
        <v>0.81273784162119511</v>
      </c>
      <c r="BX284" s="1190">
        <f>'2020'!R\Max</f>
        <v>0.32295407027453954</v>
      </c>
      <c r="BY284" s="1190">
        <f>'2021'!R\Max</f>
        <v>0.50174630073468784</v>
      </c>
      <c r="BZ284" s="1190">
        <f>'2022'!R\Max</f>
        <v>0.40224574800479951</v>
      </c>
      <c r="CA284" s="1190">
        <f>'2023'!R\Max</f>
        <v>0.40210298541733741</v>
      </c>
      <c r="CB284" s="1190">
        <f>'2024'!R\Max</f>
        <v>0.40188919971232706</v>
      </c>
      <c r="CC284" s="1190">
        <f>'2025'!R\Max</f>
        <v>0.40167446318382294</v>
      </c>
      <c r="CD284" s="1190">
        <f>'2026'!R\Max</f>
        <v>0.40256779583826652</v>
      </c>
      <c r="CE284" s="1191">
        <f>'2027'!R\Max</f>
        <v>0.40248124083457726</v>
      </c>
      <c r="CF284" s="1193">
        <f>'2028'!R\Max</f>
        <v>0.40239225901911368</v>
      </c>
    </row>
    <row r="285" spans="1:84" s="6" customFormat="1" ht="11.25" x14ac:dyDescent="0.2">
      <c r="A285" s="11">
        <v>43371</v>
      </c>
      <c r="B285" s="379">
        <f>'2022'!Maxi_hp</f>
        <v>38.326040675068562</v>
      </c>
      <c r="C285" s="13">
        <f>'2022'!An_max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46.379951967671516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46.291758946919749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46.348002979385534</v>
      </c>
      <c r="AZ285" s="735">
        <f t="shared" si="134"/>
        <v>46.319880963152642</v>
      </c>
      <c r="BA285" s="633">
        <f t="shared" si="131"/>
        <v>0.82634929638959487</v>
      </c>
      <c r="BC285" s="11">
        <v>43371</v>
      </c>
      <c r="BD285" s="289">
        <f>[2]!FeuilCaduc*(1-Persistant)+Persistant</f>
        <v>0.92511157163868418</v>
      </c>
      <c r="BE285" s="290">
        <f>[2]!CroissVégét</f>
        <v>0.98954675523264646</v>
      </c>
      <c r="BF285" s="804">
        <f>1+[2]!Salcycl*Ksac</f>
        <v>1.0425111571638683</v>
      </c>
      <c r="BH285" s="1036">
        <f t="shared" si="132"/>
        <v>3.3875181050217712E-3</v>
      </c>
      <c r="BI285" s="11">
        <v>44467</v>
      </c>
      <c r="BJ285" s="715">
        <v>1.0038374199696513E-6</v>
      </c>
      <c r="BK285" s="715">
        <v>1.2656020012659106E-4</v>
      </c>
      <c r="BL285" s="715">
        <v>6.4424754841944292E-4</v>
      </c>
      <c r="BM285" s="715">
        <v>1.9937554264039194E-3</v>
      </c>
      <c r="BN285" s="715">
        <v>4.786237227630134E-3</v>
      </c>
      <c r="BO285" s="716">
        <v>9.7605492691905035E-3</v>
      </c>
      <c r="BP285" s="715">
        <v>1.7766203995184946E-2</v>
      </c>
      <c r="BQ285" s="715">
        <v>2.981571174420047E-2</v>
      </c>
      <c r="BR285" s="715">
        <v>4.7112707278062278E-2</v>
      </c>
      <c r="BS285" s="715">
        <v>7.0665312297047825E-2</v>
      </c>
      <c r="BT285" s="715">
        <v>9.874341268275362E-2</v>
      </c>
      <c r="BW285" s="1190">
        <f>'2019'!R\Max</f>
        <v>0.82634929638959487</v>
      </c>
      <c r="BX285" s="1190">
        <f>'2020'!R\Max</f>
        <v>0.2810601415645998</v>
      </c>
      <c r="BY285" s="1190">
        <f>'2021'!R\Max</f>
        <v>0.58918642185185333</v>
      </c>
      <c r="BZ285" s="1190">
        <f>'2022'!R\Max</f>
        <v>0.4592206329243616</v>
      </c>
      <c r="CA285" s="1190">
        <f>'2023'!R\Max</f>
        <v>0.45906756404401772</v>
      </c>
      <c r="CB285" s="1190">
        <f>'2024'!R\Max</f>
        <v>0.45883806542909372</v>
      </c>
      <c r="CC285" s="1190">
        <f>'2025'!R\Max</f>
        <v>0.45860755296379946</v>
      </c>
      <c r="CD285" s="1190">
        <f>'2026'!R\Max</f>
        <v>0.45956525969905787</v>
      </c>
      <c r="CE285" s="1191">
        <f>'2027'!R\Max</f>
        <v>0.45947278991114426</v>
      </c>
      <c r="CF285" s="1193">
        <f>'2028'!R\Max</f>
        <v>0.45937771494740204</v>
      </c>
    </row>
    <row r="286" spans="1:84" s="6" customFormat="1" ht="11.25" x14ac:dyDescent="0.2">
      <c r="A286" s="11">
        <v>43372</v>
      </c>
      <c r="B286" s="379">
        <f>'2022'!Maxi_hp</f>
        <v>44.025423023353014</v>
      </c>
      <c r="C286" s="13">
        <f>'2022'!An_max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46.049645481045758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45.948660058112409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46.027088411737772</v>
      </c>
      <c r="AZ286" s="735">
        <f t="shared" si="134"/>
        <v>45.987874234925087</v>
      </c>
      <c r="BA286" s="633">
        <f t="shared" si="131"/>
        <v>0.95604260496368154</v>
      </c>
      <c r="BC286" s="11">
        <v>43372</v>
      </c>
      <c r="BD286" s="289">
        <f>[2]!FeuilCaduc*(1-Persistant)+Persistant</f>
        <v>0.92156926430020425</v>
      </c>
      <c r="BE286" s="290">
        <f>[2]!CroissVégét</f>
        <v>0.98997648004446692</v>
      </c>
      <c r="BF286" s="804">
        <f>1+[2]!Salcycl*Ksac</f>
        <v>1.0421569264300203</v>
      </c>
      <c r="BH286" s="1036">
        <f t="shared" si="132"/>
        <v>3.454066652299971E-3</v>
      </c>
      <c r="BI286" s="11">
        <v>44468</v>
      </c>
      <c r="BJ286" s="715">
        <v>9.584831690871716E-7</v>
      </c>
      <c r="BK286" s="715">
        <v>1.2790019373846669E-4</v>
      </c>
      <c r="BL286" s="715">
        <v>6.5357016466035308E-4</v>
      </c>
      <c r="BM286" s="715">
        <v>2.0287010890207356E-3</v>
      </c>
      <c r="BN286" s="715">
        <v>4.8845010445045167E-3</v>
      </c>
      <c r="BO286" s="716">
        <v>1.0017382011346108E-2</v>
      </c>
      <c r="BP286" s="715">
        <v>1.8309027921425101E-2</v>
      </c>
      <c r="BQ286" s="715">
        <v>3.0799281999732964E-2</v>
      </c>
      <c r="BR286" s="715">
        <v>4.8745286771636996E-2</v>
      </c>
      <c r="BS286" s="715">
        <v>7.3087097079020655E-2</v>
      </c>
      <c r="BT286" s="715">
        <v>0.10204727448534473</v>
      </c>
      <c r="BW286" s="1190">
        <f>'2019'!R\Max</f>
        <v>0.95604260496368154</v>
      </c>
      <c r="BX286" s="1190">
        <f>'2020'!R\Max</f>
        <v>0.70690768528685866</v>
      </c>
      <c r="BY286" s="1190">
        <f>'2021'!R\Max</f>
        <v>0.75430964509665466</v>
      </c>
      <c r="BZ286" s="1190">
        <f>'2022'!R\Max</f>
        <v>0.55586657322403688</v>
      </c>
      <c r="CA286" s="1190">
        <f>'2023'!R\Max</f>
        <v>0.55570843035153228</v>
      </c>
      <c r="CB286" s="1190">
        <f>'2024'!R\Max</f>
        <v>0.55547105674720032</v>
      </c>
      <c r="CC286" s="1190">
        <f>'2025'!R\Max</f>
        <v>0.55523262024512998</v>
      </c>
      <c r="CD286" s="1190">
        <f>'2026'!R\Max</f>
        <v>0.5562218199078619</v>
      </c>
      <c r="CE286" s="1191">
        <f>'2027'!R\Max</f>
        <v>0.55612668202250137</v>
      </c>
      <c r="CF286" s="1193">
        <f>'2028'!R\Max</f>
        <v>0.55602884383391382</v>
      </c>
    </row>
    <row r="287" spans="1:84" s="6" customFormat="1" ht="11.25" x14ac:dyDescent="0.2">
      <c r="A287" s="11">
        <v>43373</v>
      </c>
      <c r="B287" s="379">
        <f>'2022'!Maxi_hp</f>
        <v>36.159220038545989</v>
      </c>
      <c r="C287" s="13">
        <f>'2022'!An_max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45.71655823580388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45.603054828575111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45.704646255927429</v>
      </c>
      <c r="AZ287" s="735">
        <f t="shared" si="134"/>
        <v>45.65385054225127</v>
      </c>
      <c r="BA287" s="633">
        <f t="shared" si="131"/>
        <v>0.79094361942205738</v>
      </c>
      <c r="BC287" s="11">
        <v>43373</v>
      </c>
      <c r="BD287" s="289">
        <f>[2]!FeuilCaduc*(1-Persistant)+Persistant</f>
        <v>0.91789352636908417</v>
      </c>
      <c r="BE287" s="290">
        <f>[2]!CroissVégét</f>
        <v>0.99038925353008489</v>
      </c>
      <c r="BF287" s="804">
        <f>1+[2]!Salcycl*Ksac</f>
        <v>1.0417893526369084</v>
      </c>
      <c r="BH287" s="1036">
        <f t="shared" si="132"/>
        <v>3.5218358435226771E-3</v>
      </c>
      <c r="BI287" s="11">
        <v>44469</v>
      </c>
      <c r="BJ287" s="715">
        <v>9.0737063184036115E-7</v>
      </c>
      <c r="BK287" s="715">
        <v>1.2960346359981243E-4</v>
      </c>
      <c r="BL287" s="715">
        <v>6.6341896848330195E-4</v>
      </c>
      <c r="BM287" s="715">
        <v>2.0645869269655857E-3</v>
      </c>
      <c r="BN287" s="715">
        <v>4.9842669713313368E-3</v>
      </c>
      <c r="BO287" s="716">
        <v>1.0284102315238007E-2</v>
      </c>
      <c r="BP287" s="715">
        <v>1.8880191915934673E-2</v>
      </c>
      <c r="BQ287" s="715">
        <v>3.1837830204301108E-2</v>
      </c>
      <c r="BR287" s="715">
        <v>5.0463523044801929E-2</v>
      </c>
      <c r="BS287" s="715">
        <v>7.5612112654028077E-2</v>
      </c>
      <c r="BT287" s="715">
        <v>0.1054605692037795</v>
      </c>
      <c r="BW287" s="1190">
        <f>'2019'!R\Max</f>
        <v>0.60059543097002899</v>
      </c>
      <c r="BX287" s="1190">
        <f>'2020'!R\Max</f>
        <v>0.79094361942205738</v>
      </c>
      <c r="BY287" s="1190">
        <f>'2021'!R\Max</f>
        <v>0.41270326063611734</v>
      </c>
      <c r="BZ287" s="1190">
        <f>'2022'!R\Max</f>
        <v>0.66463449702786437</v>
      </c>
      <c r="CA287" s="1190">
        <f>'2023'!R\Max</f>
        <v>0.66448597567677259</v>
      </c>
      <c r="CB287" s="1190">
        <f>'2024'!R\Max</f>
        <v>0.6642628187544638</v>
      </c>
      <c r="CC287" s="1190">
        <f>'2025'!R\Max</f>
        <v>0.66403863920795969</v>
      </c>
      <c r="CD287" s="1190">
        <f>'2026'!R\Max</f>
        <v>0.66496729912120578</v>
      </c>
      <c r="CE287" s="1191">
        <f>'2027'!R\Max</f>
        <v>0.66487835885941582</v>
      </c>
      <c r="CF287" s="1193">
        <f>'2028'!R\Max</f>
        <v>0.66478687112141421</v>
      </c>
    </row>
    <row r="288" spans="1:84" s="6" customFormat="1" ht="11.25" x14ac:dyDescent="0.2">
      <c r="A288" s="11">
        <v>43374</v>
      </c>
      <c r="B288" s="379">
        <f>'2022'!Maxi_hp</f>
        <v>44.503895100671492</v>
      </c>
      <c r="C288" s="13">
        <f>'2022'!An_max</f>
        <v>2020</v>
      </c>
      <c r="D288" s="1045">
        <f t="shared" si="116"/>
        <v>0.98067674216486178</v>
      </c>
      <c r="E288" s="1040">
        <f>AG$13/10</f>
        <v>45.380800000000001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45.380799999833108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45.255299999692944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45.380800000578162</v>
      </c>
      <c r="AZ288" s="735">
        <f t="shared" si="134"/>
        <v>45.318050000135557</v>
      </c>
      <c r="BA288" s="633">
        <f t="shared" si="131"/>
        <v>0.98067674216486178</v>
      </c>
      <c r="BC288" s="11">
        <v>43374</v>
      </c>
      <c r="BD288" s="289">
        <f>[2]!FeuilCaduc*(1-Persistant)+Persistant</f>
        <v>0.91408169900647795</v>
      </c>
      <c r="BE288" s="290">
        <f>[2]!CroissVégét</f>
        <v>0.99078573093558142</v>
      </c>
      <c r="BF288" s="804">
        <f>1+[2]!Salcycl*Ksac</f>
        <v>1.0414081699006479</v>
      </c>
      <c r="BH288" s="1036">
        <f t="shared" si="132"/>
        <v>3.59082591057249E-3</v>
      </c>
      <c r="BI288" s="11">
        <v>44470</v>
      </c>
      <c r="BJ288" s="715">
        <v>8.5048905751070958E-7</v>
      </c>
      <c r="BK288" s="715">
        <v>1.3167041801555361E-4</v>
      </c>
      <c r="BL288" s="715">
        <v>6.7379429253934563E-4</v>
      </c>
      <c r="BM288" s="715">
        <v>2.1014132331845124E-3</v>
      </c>
      <c r="BN288" s="715">
        <v>5.0855351787125972E-3</v>
      </c>
      <c r="BO288" s="716">
        <v>1.0560722016249129E-2</v>
      </c>
      <c r="BP288" s="715">
        <v>1.9479734566058025E-2</v>
      </c>
      <c r="BQ288" s="715">
        <v>3.2931434003707294E-2</v>
      </c>
      <c r="BR288" s="715">
        <v>5.2267539908905848E-2</v>
      </c>
      <c r="BS288" s="715">
        <v>7.8240508740484591E-2</v>
      </c>
      <c r="BT288" s="715">
        <v>0.10898345487796744</v>
      </c>
      <c r="BW288" s="1190">
        <f>'2019'!R\Max</f>
        <v>0.7475786261115811</v>
      </c>
      <c r="BX288" s="1190">
        <f>'2020'!R\Max</f>
        <v>0.98067674216486178</v>
      </c>
      <c r="BY288" s="1190">
        <f>'2021'!R\Max</f>
        <v>0.74436065707601695</v>
      </c>
      <c r="BZ288" s="1190">
        <f>'2022'!R\Max</f>
        <v>0.87528666563105917</v>
      </c>
      <c r="CA288" s="1190">
        <f>'2023'!R\Max</f>
        <v>0.87521094059595794</v>
      </c>
      <c r="CB288" s="1190">
        <f>'2024'!R\Max</f>
        <v>0.87509704086373485</v>
      </c>
      <c r="CC288" s="1190">
        <f>'2025'!R\Max</f>
        <v>0.87498258015787544</v>
      </c>
      <c r="CD288" s="1190">
        <f>'2026'!R\Max</f>
        <v>0.87545585629487033</v>
      </c>
      <c r="CE288" s="1191">
        <f>'2027'!R\Max</f>
        <v>0.87541074764938254</v>
      </c>
      <c r="CF288" s="1193">
        <f>'2028'!R\Max</f>
        <v>0.8753643296867033</v>
      </c>
    </row>
    <row r="289" spans="1:84" s="6" customFormat="1" ht="11.25" x14ac:dyDescent="0.2">
      <c r="A289" s="11">
        <v>43375</v>
      </c>
      <c r="B289" s="379">
        <f>'2022'!Maxi_hp</f>
        <v>42.365486176879408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45.040779154084575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44.905752313983555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45.052791755712988</v>
      </c>
      <c r="AZ289" s="735">
        <f t="shared" si="134"/>
        <v>44.979272034848272</v>
      </c>
      <c r="BA289" s="633">
        <f t="shared" si="131"/>
        <v>0.94060287083282934</v>
      </c>
      <c r="BC289" s="11">
        <v>43375</v>
      </c>
      <c r="BD289" s="289">
        <f>[2]!FeuilCaduc*(1-Persistant)+Persistant</f>
        <v>0.91013135001690548</v>
      </c>
      <c r="BE289" s="290">
        <f>[2]!CroissVégét</f>
        <v>0.99116654322989417</v>
      </c>
      <c r="BF289" s="804">
        <f>1+[2]!Salcycl*Ksac</f>
        <v>1.0410131350016905</v>
      </c>
      <c r="BH289" s="1036">
        <f t="shared" si="132"/>
        <v>3.6610368743907476E-3</v>
      </c>
      <c r="BI289" s="11">
        <v>44471</v>
      </c>
      <c r="BJ289" s="715">
        <v>7.8782751022459253E-7</v>
      </c>
      <c r="BK289" s="715">
        <v>1.34101483955521E-4</v>
      </c>
      <c r="BL289" s="715">
        <v>6.8469646407067917E-4</v>
      </c>
      <c r="BM289" s="715">
        <v>2.1391802102658166E-3</v>
      </c>
      <c r="BN289" s="715">
        <v>5.1883055052967097E-3</v>
      </c>
      <c r="BO289" s="716">
        <v>1.0847252481473805E-2</v>
      </c>
      <c r="BP289" s="715">
        <v>2.0107693968533655E-2</v>
      </c>
      <c r="BQ289" s="715">
        <v>3.4080170397036154E-2</v>
      </c>
      <c r="BR289" s="715">
        <v>5.4157459721646005E-2</v>
      </c>
      <c r="BS289" s="715">
        <v>8.0972431293260219E-2</v>
      </c>
      <c r="BT289" s="715">
        <v>0.11261608229761781</v>
      </c>
      <c r="BW289" s="1190">
        <f>'2019'!R\Max</f>
        <v>0.5370892442072972</v>
      </c>
      <c r="BX289" s="1190">
        <f>'2020'!R\Max</f>
        <v>0.18765550808118761</v>
      </c>
      <c r="BY289" s="1190">
        <f>'2021'!R\Max</f>
        <v>0.92317211320753245</v>
      </c>
      <c r="BZ289" s="1190">
        <f>'2022'!R\Max</f>
        <v>0.94060287083282934</v>
      </c>
      <c r="CA289" s="1190">
        <f>'2023'!R\Max</f>
        <v>0.94056249816249815</v>
      </c>
      <c r="CB289" s="1190">
        <f>'2024'!R\Max</f>
        <v>0.94050172998008308</v>
      </c>
      <c r="CC289" s="1190">
        <f>'2025'!R\Max</f>
        <v>0.9404406583921594</v>
      </c>
      <c r="CD289" s="1190">
        <f>'2026'!R\Max</f>
        <v>0.9406928284534245</v>
      </c>
      <c r="CE289" s="1191">
        <f>'2027'!R\Max</f>
        <v>0.94066890050556151</v>
      </c>
      <c r="CF289" s="1193">
        <f>'2028'!R\Max</f>
        <v>0.94064427104902126</v>
      </c>
    </row>
    <row r="290" spans="1:84" s="6" customFormat="1" ht="11.25" x14ac:dyDescent="0.2">
      <c r="A290" s="11">
        <v>43376</v>
      </c>
      <c r="B290" s="379">
        <f>'2022'!Maxi_hp</f>
        <v>40.901284481395429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44.695269971005786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44.55476851306323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44.718119752460296</v>
      </c>
      <c r="AZ290" s="735">
        <f t="shared" si="134"/>
        <v>44.636444132761767</v>
      </c>
      <c r="BA290" s="633">
        <f t="shared" si="131"/>
        <v>0.91511438476439344</v>
      </c>
      <c r="BC290" s="11">
        <v>43376</v>
      </c>
      <c r="BD290" s="289">
        <f>[2]!FeuilCaduc*(1-Persistant)+Persistant</f>
        <v>0.90604030241295674</v>
      </c>
      <c r="BE290" s="290">
        <f>[2]!CroissVégét</f>
        <v>0.99153229792147035</v>
      </c>
      <c r="BF290" s="804">
        <f>1+[2]!Salcycl*Ksac</f>
        <v>1.0406040302412958</v>
      </c>
      <c r="BH290" s="1036">
        <f t="shared" si="132"/>
        <v>3.7463143897478353E-3</v>
      </c>
      <c r="BI290" s="11">
        <v>44472</v>
      </c>
      <c r="BJ290" s="715">
        <v>7.3749260825378865E-7</v>
      </c>
      <c r="BK290" s="715">
        <v>1.371544596705985E-4</v>
      </c>
      <c r="BL290" s="715">
        <v>6.9887184207716039E-4</v>
      </c>
      <c r="BM290" s="715">
        <v>2.1875450848682127E-3</v>
      </c>
      <c r="BN290" s="715">
        <v>5.3106269286889588E-3</v>
      </c>
      <c r="BO290" s="716">
        <v>1.1170055114074999E-2</v>
      </c>
      <c r="BP290" s="715">
        <v>2.0798699572681222E-2</v>
      </c>
      <c r="BQ290" s="715">
        <v>3.5325950829081187E-2</v>
      </c>
      <c r="BR290" s="715">
        <v>5.6179849205128023E-2</v>
      </c>
      <c r="BS290" s="715">
        <v>8.386601684330873E-2</v>
      </c>
      <c r="BT290" s="715">
        <v>0.116438752311463</v>
      </c>
      <c r="BW290" s="1190">
        <f>'2019'!R\Max</f>
        <v>0.79188702002145872</v>
      </c>
      <c r="BX290" s="1190">
        <f>'2020'!R\Max</f>
        <v>0.14203926162069425</v>
      </c>
      <c r="BY290" s="1190">
        <f>'2021'!R\Max</f>
        <v>0.15545072775750249</v>
      </c>
      <c r="BZ290" s="1190">
        <f>'2022'!R\Max</f>
        <v>0.91511438476439344</v>
      </c>
      <c r="CA290" s="1190">
        <f>'2023'!R\Max</f>
        <v>0.91505583039996174</v>
      </c>
      <c r="CB290" s="1190">
        <f>'2024'!R\Max</f>
        <v>0.91496768910572113</v>
      </c>
      <c r="CC290" s="1190">
        <f>'2025'!R\Max</f>
        <v>0.91487911852602111</v>
      </c>
      <c r="CD290" s="1190">
        <f>'2026'!R\Max</f>
        <v>0.91524455371375757</v>
      </c>
      <c r="CE290" s="1191">
        <f>'2027'!R\Max</f>
        <v>0.91521000099215644</v>
      </c>
      <c r="CF290" s="1193">
        <f>'2028'!R\Max</f>
        <v>0.91517442868211296</v>
      </c>
    </row>
    <row r="291" spans="1:84" s="6" customFormat="1" ht="11.25" x14ac:dyDescent="0.2">
      <c r="A291" s="11">
        <v>43377</v>
      </c>
      <c r="B291" s="379">
        <f>'2022'!Maxi_hp</f>
        <v>45.068928153940959</v>
      </c>
      <c r="C291" s="13">
        <f>'2022'!An_max</f>
        <v>2022</v>
      </c>
      <c r="D291" s="1045">
        <f t="shared" si="116"/>
        <v>1.0163264907080045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44.344931049218786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44.202705338925753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44.377291663882453</v>
      </c>
      <c r="AZ291" s="735">
        <f t="shared" si="134"/>
        <v>44.289998501404099</v>
      </c>
      <c r="BA291" s="633">
        <f t="shared" si="131"/>
        <v>1.0163264907080045</v>
      </c>
      <c r="BC291" s="11">
        <v>43377</v>
      </c>
      <c r="BD291" s="289">
        <f>[2]!FeuilCaduc*(1-Persistant)+Persistant</f>
        <v>0.90180666289468681</v>
      </c>
      <c r="BE291" s="290">
        <f>[2]!CroissVégét</f>
        <v>0.99188357985413123</v>
      </c>
      <c r="BF291" s="804">
        <f>1+[2]!Salcycl*Ksac</f>
        <v>1.0401806662894686</v>
      </c>
      <c r="BH291" s="1036">
        <f t="shared" si="132"/>
        <v>3.8473033139150388E-3</v>
      </c>
      <c r="BI291" s="11">
        <v>44473</v>
      </c>
      <c r="BJ291" s="715">
        <v>7.0449623431316374E-7</v>
      </c>
      <c r="BK291" s="715">
        <v>1.4090264441403463E-4</v>
      </c>
      <c r="BL291" s="715">
        <v>7.16660838970898E-4</v>
      </c>
      <c r="BM291" s="715">
        <v>2.2471433147765651E-3</v>
      </c>
      <c r="BN291" s="715">
        <v>5.4531537390731348E-3</v>
      </c>
      <c r="BO291" s="716">
        <v>1.1528982814075946E-2</v>
      </c>
      <c r="BP291" s="715">
        <v>2.1550273642850004E-2</v>
      </c>
      <c r="BQ291" s="715">
        <v>3.6662688751818759E-2</v>
      </c>
      <c r="BR291" s="715">
        <v>5.8315396110131333E-2</v>
      </c>
      <c r="BS291" s="715">
        <v>8.6888955469400217E-2</v>
      </c>
      <c r="BT291" s="715">
        <v>0.12040634693301301</v>
      </c>
      <c r="BW291" s="1190">
        <f>'2019'!R\Max</f>
        <v>0.23531700028192107</v>
      </c>
      <c r="BX291" s="1190">
        <f>'2020'!R\Max</f>
        <v>0.40384043265618552</v>
      </c>
      <c r="BY291" s="1190">
        <f>'2021'!R\Max</f>
        <v>0.77851157437189478</v>
      </c>
      <c r="BZ291" s="1190">
        <f>'2022'!R\Max</f>
        <v>1.0163264907080045</v>
      </c>
      <c r="CA291" s="1190">
        <f>'2023'!R\Max</f>
        <v>1.0163264907080045</v>
      </c>
      <c r="CB291" s="1190">
        <f>'2024'!R\Max</f>
        <v>1.0163264907080045</v>
      </c>
      <c r="CC291" s="1190">
        <f>'2025'!R\Max</f>
        <v>1.0163264907080043</v>
      </c>
      <c r="CD291" s="1190">
        <f>'2026'!R\Max</f>
        <v>1.0163264907080043</v>
      </c>
      <c r="CE291" s="1191">
        <f>'2027'!R\Max</f>
        <v>1.0163264907080045</v>
      </c>
      <c r="CF291" s="1193">
        <f>'2028'!R\Max</f>
        <v>1.0163264907080047</v>
      </c>
    </row>
    <row r="292" spans="1:84" s="6" customFormat="1" ht="11.25" x14ac:dyDescent="0.2">
      <c r="A292" s="11">
        <v>43378</v>
      </c>
      <c r="B292" s="379">
        <f>'2022'!Maxi_hp</f>
        <v>45.955795501616812</v>
      </c>
      <c r="C292" s="13">
        <f>'2022'!An_max</f>
        <v>2022</v>
      </c>
      <c r="D292" s="1045">
        <f t="shared" si="116"/>
        <v>1.0446773289765237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43.990420991178169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43.849919533534973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44.030815160859909</v>
      </c>
      <c r="AZ292" s="735">
        <f t="shared" si="134"/>
        <v>43.940367347197437</v>
      </c>
      <c r="BA292" s="633">
        <f t="shared" si="131"/>
        <v>1.0446773289765237</v>
      </c>
      <c r="BC292" s="11">
        <v>43378</v>
      </c>
      <c r="BD292" s="289">
        <f>[2]!FeuilCaduc*(1-Persistant)+Persistant</f>
        <v>0.89742884999288841</v>
      </c>
      <c r="BE292" s="290">
        <f>[2]!CroissVégét</f>
        <v>0.99222095198209459</v>
      </c>
      <c r="BF292" s="804">
        <f>1+[2]!Salcycl*Ksac</f>
        <v>1.0397428849992889</v>
      </c>
      <c r="BH292" s="1036">
        <f t="shared" si="132"/>
        <v>3.9640249998943045E-3</v>
      </c>
      <c r="BI292" s="11">
        <v>44474</v>
      </c>
      <c r="BJ292" s="715">
        <v>6.8886237893332272E-7</v>
      </c>
      <c r="BK292" s="715">
        <v>1.4534699825886863E-4</v>
      </c>
      <c r="BL292" s="715">
        <v>7.3806842114931359E-4</v>
      </c>
      <c r="BM292" s="715">
        <v>2.3179904225751218E-3</v>
      </c>
      <c r="BN292" s="715">
        <v>5.6159131406027856E-3</v>
      </c>
      <c r="BO292" s="716">
        <v>1.1924084780270348E-2</v>
      </c>
      <c r="BP292" s="715">
        <v>2.2362499855382578E-2</v>
      </c>
      <c r="BQ292" s="715">
        <v>3.8090510110288585E-2</v>
      </c>
      <c r="BR292" s="715">
        <v>6.0564254470291672E-2</v>
      </c>
      <c r="BS292" s="715">
        <v>9.0041414837850386E-2</v>
      </c>
      <c r="BT292" s="715">
        <v>0.12451904239669245</v>
      </c>
      <c r="BW292" s="1190">
        <f>'2019'!R\Max</f>
        <v>0.90253500743060455</v>
      </c>
      <c r="BX292" s="1190">
        <f>'2020'!R\Max</f>
        <v>0.50927603765415297</v>
      </c>
      <c r="BY292" s="1190">
        <f>'2021'!R\Max</f>
        <v>0.32931814583415592</v>
      </c>
      <c r="BZ292" s="1190">
        <f>'2022'!R\Max</f>
        <v>1.0446773289765237</v>
      </c>
      <c r="CA292" s="1190">
        <f>'2023'!R\Max</f>
        <v>1.0446773289765237</v>
      </c>
      <c r="CB292" s="1190">
        <f>'2024'!R\Max</f>
        <v>1.0446773289765237</v>
      </c>
      <c r="CC292" s="1190">
        <f>'2025'!R\Max</f>
        <v>1.0446773289765237</v>
      </c>
      <c r="CD292" s="1190">
        <f>'2026'!R\Max</f>
        <v>1.0446773289765237</v>
      </c>
      <c r="CE292" s="1191">
        <f>'2027'!R\Max</f>
        <v>1.0446773289765237</v>
      </c>
      <c r="CF292" s="1193">
        <f>'2028'!R\Max</f>
        <v>1.0446773289765234</v>
      </c>
    </row>
    <row r="293" spans="1:84" s="6" customFormat="1" ht="11.25" x14ac:dyDescent="0.2">
      <c r="A293" s="11">
        <v>43379</v>
      </c>
      <c r="B293" s="379">
        <f>'2022'!Maxi_hp</f>
        <v>29.938480404074163</v>
      </c>
      <c r="C293" s="13">
        <f>'2022'!An_max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43.632398396302804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43.496767838911289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43.679197914326295</v>
      </c>
      <c r="AZ293" s="735">
        <f t="shared" si="134"/>
        <v>43.587982876618796</v>
      </c>
      <c r="BA293" s="633">
        <f t="shared" si="131"/>
        <v>0.68615252666493354</v>
      </c>
      <c r="BC293" s="11">
        <v>43379</v>
      </c>
      <c r="BD293" s="289">
        <f>[2]!FeuilCaduc*(1-Persistant)+Persistant</f>
        <v>0.89290562161996168</v>
      </c>
      <c r="BE293" s="290">
        <f>[2]!CroissVégét</f>
        <v>0.99254495612417293</v>
      </c>
      <c r="BF293" s="804">
        <f>1+[2]!Salcycl*Ksac</f>
        <v>1.0392905621619961</v>
      </c>
      <c r="BH293" s="1036">
        <f t="shared" si="132"/>
        <v>4.0965010734762448E-3</v>
      </c>
      <c r="BI293" s="11">
        <v>44475</v>
      </c>
      <c r="BJ293" s="715">
        <v>6.9061596806304806E-7</v>
      </c>
      <c r="BK293" s="715">
        <v>1.5048849649205897E-4</v>
      </c>
      <c r="BL293" s="715">
        <v>7.6309964157408872E-4</v>
      </c>
      <c r="BM293" s="715">
        <v>2.4001021809096717E-3</v>
      </c>
      <c r="BN293" s="715">
        <v>5.798932633028068E-3</v>
      </c>
      <c r="BO293" s="716">
        <v>1.235541028136093E-2</v>
      </c>
      <c r="BP293" s="715">
        <v>2.3235461343426651E-2</v>
      </c>
      <c r="BQ293" s="715">
        <v>3.9609539118533231E-2</v>
      </c>
      <c r="BR293" s="715">
        <v>6.2926574092362617E-2</v>
      </c>
      <c r="BS293" s="715">
        <v>9.3323555238767467E-2</v>
      </c>
      <c r="BT293" s="715">
        <v>0.12877700413781459</v>
      </c>
      <c r="BW293" s="1190">
        <f>'2019'!R\Max</f>
        <v>0.4292289396493742</v>
      </c>
      <c r="BX293" s="1190">
        <f>'2020'!R\Max</f>
        <v>0.68615252666493354</v>
      </c>
      <c r="BY293" s="1190">
        <f>'2021'!R\Max</f>
        <v>0.67000543411480018</v>
      </c>
      <c r="BZ293" s="1190">
        <f>'2022'!R\Max</f>
        <v>0.29055520357570419</v>
      </c>
      <c r="CA293" s="1190">
        <f>'2023'!R\Max</f>
        <v>0.29038026914671844</v>
      </c>
      <c r="CB293" s="1190">
        <f>'2024'!R\Max</f>
        <v>0.29011781463608299</v>
      </c>
      <c r="CC293" s="1190">
        <f>'2025'!R\Max</f>
        <v>0.28985454473694222</v>
      </c>
      <c r="CD293" s="1190">
        <f>'2026'!R\Max</f>
        <v>0.29094259492360769</v>
      </c>
      <c r="CE293" s="1191">
        <f>'2027'!R\Max</f>
        <v>0.29084018278627144</v>
      </c>
      <c r="CF293" s="1193">
        <f>'2028'!R\Max</f>
        <v>0.29073476474484622</v>
      </c>
    </row>
    <row r="294" spans="1:84" s="6" customFormat="1" ht="11.25" x14ac:dyDescent="0.2">
      <c r="A294" s="11">
        <v>43380</v>
      </c>
      <c r="B294" s="379">
        <f>'2022'!Maxi_hp</f>
        <v>43.826307821277801</v>
      </c>
      <c r="C294" s="13">
        <f>'2022'!An_max</f>
        <v>2021</v>
      </c>
      <c r="D294" s="1045">
        <f t="shared" si="116"/>
        <v>1.012821040985477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43.271521865930744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43.143606996908787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43.322947595641018</v>
      </c>
      <c r="AZ294" s="735">
        <f t="shared" si="134"/>
        <v>43.233277296274906</v>
      </c>
      <c r="BA294" s="633">
        <f t="shared" si="131"/>
        <v>1.012821040985477</v>
      </c>
      <c r="BC294" s="11">
        <v>43380</v>
      </c>
      <c r="BD294" s="289">
        <f>[2]!FeuilCaduc*(1-Persistant)+Persistant</f>
        <v>0.88823610176906076</v>
      </c>
      <c r="BE294" s="290">
        <f>[2]!CroissVégét</f>
        <v>0.9928561136972186</v>
      </c>
      <c r="BF294" s="804">
        <f>1+[2]!Salcycl*Ksac</f>
        <v>1.0388236101769062</v>
      </c>
      <c r="BH294" s="1036">
        <f t="shared" si="132"/>
        <v>4.2447532620872135E-3</v>
      </c>
      <c r="BI294" s="11">
        <v>44476</v>
      </c>
      <c r="BJ294" s="715">
        <v>7.09782672338077E-7</v>
      </c>
      <c r="BK294" s="715">
        <v>1.563281220308934E-4</v>
      </c>
      <c r="BL294" s="715">
        <v>7.9175960033311737E-4</v>
      </c>
      <c r="BM294" s="715">
        <v>2.4934944899371466E-3</v>
      </c>
      <c r="BN294" s="715">
        <v>6.0022397917674662E-3</v>
      </c>
      <c r="BO294" s="716">
        <v>1.2823008264016897E-2</v>
      </c>
      <c r="BP294" s="715">
        <v>2.4169240041581847E-2</v>
      </c>
      <c r="BQ294" s="715">
        <v>4.1219897278031513E-2</v>
      </c>
      <c r="BR294" s="715">
        <v>6.5402499341243009E-2</v>
      </c>
      <c r="BS294" s="715">
        <v>9.6735528205189547E-2</v>
      </c>
      <c r="BT294" s="715">
        <v>0.13318038525373999</v>
      </c>
      <c r="BW294" s="1190">
        <f>'2019'!R\Max</f>
        <v>0.71137680558105099</v>
      </c>
      <c r="BX294" s="1190">
        <f>'2020'!R\Max</f>
        <v>0.15747703481800129</v>
      </c>
      <c r="BY294" s="1190">
        <f>'2021'!R\Max</f>
        <v>1.012821040985477</v>
      </c>
      <c r="BZ294" s="1190">
        <f>'2022'!R\Max</f>
        <v>0.7367157225901767</v>
      </c>
      <c r="CA294" s="1190">
        <f>'2023'!R\Max</f>
        <v>0.73654124869544324</v>
      </c>
      <c r="CB294" s="1190">
        <f>'2024'!R\Max</f>
        <v>0.73627958182078379</v>
      </c>
      <c r="CC294" s="1190">
        <f>'2025'!R\Max</f>
        <v>0.73601682167684956</v>
      </c>
      <c r="CD294" s="1190">
        <f>'2026'!R\Max</f>
        <v>0.73710110070218726</v>
      </c>
      <c r="CE294" s="1191">
        <f>'2027'!R\Max</f>
        <v>0.73699940910325779</v>
      </c>
      <c r="CF294" s="1193">
        <f>'2028'!R\Max</f>
        <v>0.73689467493989913</v>
      </c>
    </row>
    <row r="295" spans="1:84" s="6" customFormat="1" ht="11.25" x14ac:dyDescent="0.2">
      <c r="A295" s="11">
        <v>43381</v>
      </c>
      <c r="B295" s="379">
        <f>'2022'!Maxi_hp</f>
        <v>40.63677888339361</v>
      </c>
      <c r="C295" s="13">
        <f>'2022'!An_max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42.908449999772714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42.790793749998556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42.962571874819695</v>
      </c>
      <c r="AZ295" s="735">
        <f t="shared" si="134"/>
        <v>42.876682812409129</v>
      </c>
      <c r="BA295" s="633">
        <f t="shared" si="131"/>
        <v>0.94705772134879873</v>
      </c>
      <c r="BC295" s="11">
        <v>43381</v>
      </c>
      <c r="BD295" s="289">
        <f>[2]!FeuilCaduc*(1-Persistant)+Persistant</f>
        <v>0.88341980610164639</v>
      </c>
      <c r="BE295" s="290">
        <f>[2]!CroissVégét</f>
        <v>0.99315492642894099</v>
      </c>
      <c r="BF295" s="804">
        <f>1+[2]!Salcycl*Ksac</f>
        <v>1.0383419806101646</v>
      </c>
      <c r="BH295" s="1036">
        <f t="shared" si="132"/>
        <v>4.4088032236749217E-3</v>
      </c>
      <c r="BI295" s="11">
        <v>44477</v>
      </c>
      <c r="BJ295" s="715">
        <v>7.4638871635663158E-7</v>
      </c>
      <c r="BK295" s="715">
        <v>1.6286685784081673E-4</v>
      </c>
      <c r="BL295" s="715">
        <v>8.2405340520964648E-4</v>
      </c>
      <c r="BM295" s="715">
        <v>2.5981832547978265E-3</v>
      </c>
      <c r="BN295" s="715">
        <v>6.2258620480340268E-3</v>
      </c>
      <c r="BO295" s="716">
        <v>1.3326926961047468E-2</v>
      </c>
      <c r="BP295" s="715">
        <v>2.5163916030764382E-2</v>
      </c>
      <c r="BQ295" s="715">
        <v>4.2921702396503177E-2</v>
      </c>
      <c r="BR295" s="715">
        <v>6.7992167925593386E-2</v>
      </c>
      <c r="BS295" s="715">
        <v>0.10027747513309671</v>
      </c>
      <c r="BT295" s="715">
        <v>0.13772932496624091</v>
      </c>
      <c r="BW295" s="1190">
        <f>'2019'!R\Max</f>
        <v>0.93298241609057453</v>
      </c>
      <c r="BX295" s="1190">
        <f>'2020'!R\Max</f>
        <v>0.73094831809975391</v>
      </c>
      <c r="BY295" s="1190">
        <f>'2021'!R\Max</f>
        <v>0.94705772134879873</v>
      </c>
      <c r="BZ295" s="1190">
        <f>'2022'!R\Max</f>
        <v>0.42851606903207462</v>
      </c>
      <c r="CA295" s="1190">
        <f>'2023'!R\Max</f>
        <v>0.42828562593391428</v>
      </c>
      <c r="CB295" s="1190">
        <f>'2024'!R\Max</f>
        <v>0.42794080565739262</v>
      </c>
      <c r="CC295" s="1190">
        <f>'2025'!R\Max</f>
        <v>0.4275948655870665</v>
      </c>
      <c r="CD295" s="1190">
        <f>'2026'!R\Max</f>
        <v>0.42902495349553366</v>
      </c>
      <c r="CE295" s="1191">
        <f>'2027'!R\Max</f>
        <v>0.42889075067544191</v>
      </c>
      <c r="CF295" s="1193">
        <f>'2028'!R\Max</f>
        <v>0.42875256806933898</v>
      </c>
    </row>
    <row r="296" spans="1:84" s="6" customFormat="1" ht="11.25" x14ac:dyDescent="0.2">
      <c r="A296" s="11">
        <v>43382</v>
      </c>
      <c r="B296" s="379">
        <f>'2022'!Maxi_hp</f>
        <v>42.044091992831149</v>
      </c>
      <c r="C296" s="13">
        <f>'2022'!An_max</f>
        <v>2022</v>
      </c>
      <c r="D296" s="1045">
        <f t="shared" si="116"/>
        <v>0.98825330787874621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42.543841399405416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42.438684839550739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42.598578425869349</v>
      </c>
      <c r="AZ296" s="735">
        <f t="shared" si="134"/>
        <v>42.51863163271004</v>
      </c>
      <c r="BA296" s="633">
        <f t="shared" si="131"/>
        <v>0.98825330787874621</v>
      </c>
      <c r="BC296" s="11">
        <v>43382</v>
      </c>
      <c r="BD296" s="289">
        <f>[2]!FeuilCaduc*(1-Persistant)+Persistant</f>
        <v>0.87845666616559814</v>
      </c>
      <c r="BE296" s="290">
        <f>[2]!CroissVégét</f>
        <v>0.9934418770502661</v>
      </c>
      <c r="BF296" s="804">
        <f>1+[2]!Salcycl*Ksac</f>
        <v>1.0378456666165599</v>
      </c>
      <c r="BH296" s="1036">
        <f t="shared" si="132"/>
        <v>4.5982449734384692E-3</v>
      </c>
      <c r="BI296" s="11">
        <v>44478</v>
      </c>
      <c r="BJ296" s="715">
        <v>5.3876887452349672E-6</v>
      </c>
      <c r="BK296" s="715">
        <v>1.7573882969975813E-4</v>
      </c>
      <c r="BL296" s="715">
        <v>8.6680772165132565E-4</v>
      </c>
      <c r="BM296" s="715">
        <v>2.7224173384869238E-3</v>
      </c>
      <c r="BN296" s="715">
        <v>6.4807433528080742E-3</v>
      </c>
      <c r="BO296" s="716">
        <v>1.388404609248845E-2</v>
      </c>
      <c r="BP296" s="715">
        <v>2.6230555887370291E-2</v>
      </c>
      <c r="BQ296" s="715">
        <v>4.4709708536005789E-2</v>
      </c>
      <c r="BR296" s="715">
        <v>7.0668964850149299E-2</v>
      </c>
      <c r="BS296" s="715">
        <v>0.10391429359390847</v>
      </c>
      <c r="BT296" s="715">
        <v>0.14239114804981143</v>
      </c>
      <c r="BW296" s="1190">
        <f>'2019'!R\Max</f>
        <v>0.22810484329026459</v>
      </c>
      <c r="BX296" s="1190">
        <f>'2020'!R\Max</f>
        <v>0.88261981808138534</v>
      </c>
      <c r="BY296" s="1190">
        <f>'2021'!R\Max</f>
        <v>0.39403418617559166</v>
      </c>
      <c r="BZ296" s="1190">
        <f>'2022'!R\Max</f>
        <v>0.98825330787874621</v>
      </c>
      <c r="CA296" s="1190">
        <f>'2023'!R\Max</f>
        <v>0.98824187385746598</v>
      </c>
      <c r="CB296" s="1190">
        <f>'2024'!R\Max</f>
        <v>0.98822477887881832</v>
      </c>
      <c r="CC296" s="1190">
        <f>'2025'!R\Max</f>
        <v>0.98820760165541344</v>
      </c>
      <c r="CD296" s="1190">
        <f>'2026'!R\Max</f>
        <v>0.98827850701413511</v>
      </c>
      <c r="CE296" s="1191">
        <f>'2027'!R\Max</f>
        <v>0.98827186947477474</v>
      </c>
      <c r="CF296" s="1193">
        <f>'2028'!R\Max</f>
        <v>0.98826503027864376</v>
      </c>
    </row>
    <row r="297" spans="1:84" s="6" customFormat="1" ht="11.25" x14ac:dyDescent="0.2">
      <c r="A297" s="11">
        <v>43383</v>
      </c>
      <c r="B297" s="379">
        <f>'2022'!Maxi_hp</f>
        <v>33.742851830860907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42.178354664543754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42.087637008009814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42.231474918273406</v>
      </c>
      <c r="AZ297" s="735">
        <f t="shared" si="134"/>
        <v>42.159555963141614</v>
      </c>
      <c r="BA297" s="633">
        <f t="shared" si="131"/>
        <v>0.80000398543820028</v>
      </c>
      <c r="BC297" s="11">
        <v>43383</v>
      </c>
      <c r="BD297" s="289">
        <f>[2]!FeuilCaduc*(1-Persistant)+Persistant</f>
        <v>0.8733470519905957</v>
      </c>
      <c r="BE297" s="290">
        <f>[2]!CroissVégét</f>
        <v>0.99371742996744827</v>
      </c>
      <c r="BF297" s="804">
        <f>1+[2]!Salcycl*Ksac</f>
        <v>1.0373347051990596</v>
      </c>
      <c r="BH297" s="1036">
        <f t="shared" si="132"/>
        <v>4.8113656740652972E-3</v>
      </c>
      <c r="BI297" s="11">
        <v>44479</v>
      </c>
      <c r="BJ297" s="715">
        <v>1.4641636471938141E-5</v>
      </c>
      <c r="BK297" s="715">
        <v>1.9451890639239178E-4</v>
      </c>
      <c r="BL297" s="715">
        <v>9.1918921438432913E-4</v>
      </c>
      <c r="BM297" s="715">
        <v>2.8647149787260746E-3</v>
      </c>
      <c r="BN297" s="715">
        <v>6.7649389720029094E-3</v>
      </c>
      <c r="BO297" s="716">
        <v>1.4485057945673617E-2</v>
      </c>
      <c r="BP297" s="715">
        <v>2.7344066905948077E-2</v>
      </c>
      <c r="BQ297" s="715">
        <v>4.6536285016441074E-2</v>
      </c>
      <c r="BR297" s="715">
        <v>7.3368537656446797E-2</v>
      </c>
      <c r="BS297" s="715">
        <v>0.1075780489467178</v>
      </c>
      <c r="BT297" s="715">
        <v>0.14710572533629815</v>
      </c>
      <c r="BW297" s="1190">
        <f>'2019'!R\Max</f>
        <v>0.71211353733830252</v>
      </c>
      <c r="BX297" s="1190">
        <f>'2020'!R\Max</f>
        <v>0.61984343719405299</v>
      </c>
      <c r="BY297" s="1190">
        <f>'2021'!R\Max</f>
        <v>0.76874951644121292</v>
      </c>
      <c r="BZ297" s="1190">
        <f>'2022'!R\Max</f>
        <v>0.80000398543820028</v>
      </c>
      <c r="CA297" s="1190">
        <f>'2023'!R\Max</f>
        <v>0.79983941431268468</v>
      </c>
      <c r="CB297" s="1190">
        <f>'2024'!R\Max</f>
        <v>0.79959412905486971</v>
      </c>
      <c r="CC297" s="1190">
        <f>'2025'!R\Max</f>
        <v>0.79934781177682501</v>
      </c>
      <c r="CD297" s="1190">
        <f>'2026'!R\Max</f>
        <v>0.80036713308218088</v>
      </c>
      <c r="CE297" s="1191">
        <f>'2027'!R\Max</f>
        <v>0.80027140570869615</v>
      </c>
      <c r="CF297" s="1193">
        <f>'2028'!R\Max</f>
        <v>0.80017278827387817</v>
      </c>
    </row>
    <row r="298" spans="1:84" s="6" customFormat="1" ht="11.25" x14ac:dyDescent="0.2">
      <c r="A298" s="11">
        <v>43384</v>
      </c>
      <c r="B298" s="379">
        <f>'2022'!Maxi_hp</f>
        <v>42.372842429013986</v>
      </c>
      <c r="C298" s="13">
        <f>'2022'!An_max</f>
        <v>2021</v>
      </c>
      <c r="D298" s="1045">
        <f t="shared" si="116"/>
        <v>1.0133977170546129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41.812648396493749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41.738006997088505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41.861769023590853</v>
      </c>
      <c r="AZ298" s="735">
        <f t="shared" si="134"/>
        <v>41.799888010339679</v>
      </c>
      <c r="BA298" s="633">
        <f t="shared" si="131"/>
        <v>1.0133977170546129</v>
      </c>
      <c r="BC298" s="11">
        <v>43384</v>
      </c>
      <c r="BD298" s="289">
        <f>[2]!FeuilCaduc*(1-Persistant)+Persistant</f>
        <v>0.86809179281460946</v>
      </c>
      <c r="BE298" s="290">
        <f>[2]!CroissVégét</f>
        <v>0.99398203191418089</v>
      </c>
      <c r="BF298" s="804">
        <f>1+[2]!Salcycl*Ksac</f>
        <v>1.0368091792814609</v>
      </c>
      <c r="BH298" s="1036">
        <f t="shared" si="132"/>
        <v>5.0481980645838012E-3</v>
      </c>
      <c r="BI298" s="11">
        <v>44480</v>
      </c>
      <c r="BJ298" s="715">
        <v>2.8515476192412807E-5</v>
      </c>
      <c r="BK298" s="715">
        <v>2.1921620523341191E-4</v>
      </c>
      <c r="BL298" s="715">
        <v>9.8121217750132784E-4</v>
      </c>
      <c r="BM298" s="715">
        <v>3.0251019437092688E-3</v>
      </c>
      <c r="BN298" s="715">
        <v>7.0784886402707409E-3</v>
      </c>
      <c r="BO298" s="716">
        <v>1.5130018030215501E-2</v>
      </c>
      <c r="BP298" s="715">
        <v>2.8504497465150935E-2</v>
      </c>
      <c r="BQ298" s="715">
        <v>4.8401449389923988E-2</v>
      </c>
      <c r="BR298" s="715">
        <v>7.609085367375841E-2</v>
      </c>
      <c r="BS298" s="715">
        <v>0.11126868182719322</v>
      </c>
      <c r="BT298" s="715">
        <v>0.1518729992029039</v>
      </c>
      <c r="BW298" s="1190">
        <f>'2019'!R\Max</f>
        <v>0.99631107630652926</v>
      </c>
      <c r="BX298" s="1190">
        <f>'2020'!R\Max</f>
        <v>0.5801739248838701</v>
      </c>
      <c r="BY298" s="1190">
        <f>'2021'!R\Max</f>
        <v>1.0133977170546129</v>
      </c>
      <c r="BZ298" s="1190">
        <f>'2022'!R\Max</f>
        <v>0.58672285811478175</v>
      </c>
      <c r="CA298" s="1190">
        <f>'2023'!R\Max</f>
        <v>0.58646279742114171</v>
      </c>
      <c r="CB298" s="1190">
        <f>'2024'!R\Max</f>
        <v>0.58607660315726151</v>
      </c>
      <c r="CC298" s="1190">
        <f>'2025'!R\Max</f>
        <v>0.5856890648886407</v>
      </c>
      <c r="CD298" s="1190">
        <f>'2026'!R\Max</f>
        <v>0.58729799248257575</v>
      </c>
      <c r="CE298" s="1191">
        <f>'2027'!R\Max</f>
        <v>0.58714615184820118</v>
      </c>
      <c r="CF298" s="1193">
        <f>'2028'!R\Max</f>
        <v>0.58698976969022387</v>
      </c>
    </row>
    <row r="299" spans="1:84" s="6" customFormat="1" ht="11.25" x14ac:dyDescent="0.2">
      <c r="A299" s="11">
        <v>43385</v>
      </c>
      <c r="B299" s="379">
        <f>'2022'!Maxi_hp</f>
        <v>40.061070375868503</v>
      </c>
      <c r="C299" s="13">
        <f>'2022'!An_max</f>
        <v>2021</v>
      </c>
      <c r="D299" s="1045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41.447381195238478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41.390151548856267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41.489968413247595</v>
      </c>
      <c r="AZ299" s="735">
        <f t="shared" si="134"/>
        <v>41.440059981051931</v>
      </c>
      <c r="BA299" s="633">
        <f t="shared" si="131"/>
        <v>0.96655251117459662</v>
      </c>
      <c r="BC299" s="11">
        <v>43385</v>
      </c>
      <c r="BD299" s="289">
        <f>[2]!FeuilCaduc*(1-Persistant)+Persistant</f>
        <v>0.86269219570498645</v>
      </c>
      <c r="BE299" s="290">
        <f>[2]!CroissVégét</f>
        <v>0.99423611258398381</v>
      </c>
      <c r="BF299" s="804">
        <f>1+[2]!Salcycl*Ksac</f>
        <v>1.0362692195704986</v>
      </c>
      <c r="BH299" s="1036">
        <f t="shared" si="132"/>
        <v>5.3087740997692159E-3</v>
      </c>
      <c r="BI299" s="11">
        <v>44481</v>
      </c>
      <c r="BJ299" s="715">
        <v>4.7016438776507483E-5</v>
      </c>
      <c r="BK299" s="715">
        <v>2.4983979637001335E-4</v>
      </c>
      <c r="BL299" s="715">
        <v>1.0528907341184307E-3</v>
      </c>
      <c r="BM299" s="715">
        <v>3.2036034904509383E-3</v>
      </c>
      <c r="BN299" s="715">
        <v>7.4214310339659187E-3</v>
      </c>
      <c r="BO299" s="716">
        <v>1.5818979511672954E-2</v>
      </c>
      <c r="BP299" s="715">
        <v>2.9711891399405613E-2</v>
      </c>
      <c r="BQ299" s="715">
        <v>5.030521153294195E-2</v>
      </c>
      <c r="BR299" s="715">
        <v>7.8835868696473077E-2</v>
      </c>
      <c r="BS299" s="715">
        <v>0.11498611721113818</v>
      </c>
      <c r="BT299" s="715">
        <v>0.15669289200151207</v>
      </c>
      <c r="BW299" s="1190">
        <f>'2019'!R\Max</f>
        <v>0.50455617883842152</v>
      </c>
      <c r="BX299" s="1190">
        <f>'2020'!R\Max</f>
        <v>0.40276156120261669</v>
      </c>
      <c r="BY299" s="1190">
        <f>'2021'!R\Max</f>
        <v>0.96655251117459662</v>
      </c>
      <c r="BZ299" s="1190">
        <f>'2022'!R\Max</f>
        <v>0.73503590984050216</v>
      </c>
      <c r="CA299" s="1190">
        <f>'2023'!R\Max</f>
        <v>0.73481833381607997</v>
      </c>
      <c r="CB299" s="1190">
        <f>'2024'!R\Max</f>
        <v>0.73449622590732555</v>
      </c>
      <c r="CC299" s="1190">
        <f>'2025'!R\Max</f>
        <v>0.73417285993366022</v>
      </c>
      <c r="CD299" s="1190">
        <f>'2026'!R\Max</f>
        <v>0.7355179166500404</v>
      </c>
      <c r="CE299" s="1191">
        <f>'2027'!R\Max</f>
        <v>0.73539046896283655</v>
      </c>
      <c r="CF299" s="1193">
        <f>'2028'!R\Max</f>
        <v>0.73525918929535339</v>
      </c>
    </row>
    <row r="300" spans="1:84" s="6" customFormat="1" ht="11.25" x14ac:dyDescent="0.2">
      <c r="A300" s="11">
        <v>43386</v>
      </c>
      <c r="B300" s="379">
        <f>'2022'!Maxi_hp</f>
        <v>39.39832701671196</v>
      </c>
      <c r="C300" s="13">
        <f>'2022'!An_max</f>
        <v>2018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41.0832116617106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41.044427405261175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41.116580758243799</v>
      </c>
      <c r="AZ300" s="735">
        <f t="shared" si="134"/>
        <v>41.080504081752487</v>
      </c>
      <c r="BA300" s="633">
        <f t="shared" si="131"/>
        <v>0.958988487587767</v>
      </c>
      <c r="BC300" s="11">
        <v>43386</v>
      </c>
      <c r="BD300" s="289">
        <f>[2]!FeuilCaduc*(1-Persistant)+Persistant</f>
        <v>0.85715006184970932</v>
      </c>
      <c r="BE300" s="290">
        <f>[2]!CroissVégét</f>
        <v>0.99448008524317211</v>
      </c>
      <c r="BF300" s="804">
        <f>1+[2]!Salcycl*Ksac</f>
        <v>1.0357150061849709</v>
      </c>
      <c r="BH300" s="1036">
        <f t="shared" si="132"/>
        <v>5.5931246933437016E-3</v>
      </c>
      <c r="BI300" s="11">
        <v>44482</v>
      </c>
      <c r="BJ300" s="715">
        <v>7.0151691260670232E-5</v>
      </c>
      <c r="BK300" s="715">
        <v>2.8639863829955746E-4</v>
      </c>
      <c r="BL300" s="715">
        <v>1.1342387315601673E-3</v>
      </c>
      <c r="BM300" s="715">
        <v>3.4002441686407769E-3</v>
      </c>
      <c r="BN300" s="715">
        <v>7.7938034534745905E-3</v>
      </c>
      <c r="BO300" s="716">
        <v>1.6551992737969697E-2</v>
      </c>
      <c r="BP300" s="715">
        <v>3.0966287498763956E-2</v>
      </c>
      <c r="BQ300" s="715">
        <v>5.2247573245548101E-2</v>
      </c>
      <c r="BR300" s="715">
        <v>8.1603526766644535E-2</v>
      </c>
      <c r="BS300" s="715">
        <v>0.11873026416302969</v>
      </c>
      <c r="BT300" s="715">
        <v>0.16156530553713808</v>
      </c>
      <c r="BW300" s="1190">
        <f>'2019'!R\Max</f>
        <v>0.958988487587767</v>
      </c>
      <c r="BX300" s="1190">
        <f>'2020'!R\Max</f>
        <v>0.64166788825001109</v>
      </c>
      <c r="BY300" s="1190">
        <f>'2021'!R\Max</f>
        <v>0.9400146792557097</v>
      </c>
      <c r="BZ300" s="1190">
        <f>'2022'!R\Max</f>
        <v>0.62076862591689985</v>
      </c>
      <c r="CA300" s="1190">
        <f>'2023'!R\Max</f>
        <v>0.62049512726562051</v>
      </c>
      <c r="CB300" s="1190">
        <f>'2024'!R\Max</f>
        <v>0.62009191186439516</v>
      </c>
      <c r="CC300" s="1190">
        <f>'2025'!R\Max</f>
        <v>0.61968729946479106</v>
      </c>
      <c r="CD300" s="1190">
        <f>'2026'!R\Max</f>
        <v>0.62137652965486545</v>
      </c>
      <c r="CE300" s="1191">
        <f>'2027'!R\Max</f>
        <v>0.6212153860890065</v>
      </c>
      <c r="CF300" s="1193">
        <f>'2028'!R\Max</f>
        <v>0.62104943407880142</v>
      </c>
    </row>
    <row r="301" spans="1:84" s="6" customFormat="1" ht="11.25" x14ac:dyDescent="0.2">
      <c r="A301" s="11">
        <v>43387</v>
      </c>
      <c r="B301" s="379">
        <f>'2022'!Maxi_hp</f>
        <v>42.332847154201126</v>
      </c>
      <c r="C301" s="13">
        <f>'2022'!An_max</f>
        <v>2021</v>
      </c>
      <c r="D301" s="1045">
        <f t="shared" si="116"/>
        <v>1.0395878475177704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40.720798396479431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40.701191308282851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40.742113729965475</v>
      </c>
      <c r="AZ301" s="735">
        <f t="shared" si="134"/>
        <v>40.721652519124163</v>
      </c>
      <c r="BA301" s="633">
        <f t="shared" si="131"/>
        <v>1.0395878475177704</v>
      </c>
      <c r="BC301" s="11">
        <v>43387</v>
      </c>
      <c r="BD301" s="289">
        <f>[2]!FeuilCaduc*(1-Persistant)+Persistant</f>
        <v>0.85146770030889862</v>
      </c>
      <c r="BE301" s="290">
        <f>[2]!CroissVégét</f>
        <v>0.99471434732473374</v>
      </c>
      <c r="BF301" s="804">
        <f>1+[2]!Salcycl*Ksac</f>
        <v>1.0351467700308898</v>
      </c>
      <c r="BH301" s="1036">
        <f t="shared" si="132"/>
        <v>5.9012794612269548E-3</v>
      </c>
      <c r="BI301" s="11">
        <v>44483</v>
      </c>
      <c r="BJ301" s="715">
        <v>9.7928286441059919E-5</v>
      </c>
      <c r="BK301" s="715">
        <v>3.289015133895765E-4</v>
      </c>
      <c r="BL301" s="715">
        <v>1.225269636554451E-3</v>
      </c>
      <c r="BM301" s="715">
        <v>3.6150476245290185E-3</v>
      </c>
      <c r="BN301" s="715">
        <v>8.1956415056150221E-3</v>
      </c>
      <c r="BO301" s="716">
        <v>1.732910476596344E-2</v>
      </c>
      <c r="BP301" s="715">
        <v>3.2267719009037535E-2</v>
      </c>
      <c r="BQ301" s="715">
        <v>5.4228527851034138E-2</v>
      </c>
      <c r="BR301" s="715">
        <v>8.4393759957292105E-2</v>
      </c>
      <c r="BS301" s="715">
        <v>0.12250101558565453</v>
      </c>
      <c r="BT301" s="715">
        <v>0.16649012054787485</v>
      </c>
      <c r="BW301" s="1190">
        <f>'2019'!R\Max</f>
        <v>0.30118351906882257</v>
      </c>
      <c r="BX301" s="1190">
        <f>'2020'!R\Max</f>
        <v>0.58362354274662354</v>
      </c>
      <c r="BY301" s="1190">
        <f>'2021'!R\Max</f>
        <v>1.0395878475177704</v>
      </c>
      <c r="BZ301" s="1190">
        <f>'2022'!R\Max</f>
        <v>0.48669630071326364</v>
      </c>
      <c r="CA301" s="1190">
        <f>'2023'!R\Max</f>
        <v>0.4863948698825834</v>
      </c>
      <c r="CB301" s="1190">
        <f>'2024'!R\Max</f>
        <v>0.48595249938753093</v>
      </c>
      <c r="CC301" s="1190">
        <f>'2025'!R\Max</f>
        <v>0.48550883329312849</v>
      </c>
      <c r="CD301" s="1190">
        <f>'2026'!R\Max</f>
        <v>0.4873689727729244</v>
      </c>
      <c r="CE301" s="1191">
        <f>'2027'!R\Max</f>
        <v>0.48719011492620595</v>
      </c>
      <c r="CF301" s="1193">
        <f>'2028'!R\Max</f>
        <v>0.48700597287290903</v>
      </c>
    </row>
    <row r="302" spans="1:84" s="6" customFormat="1" ht="11.25" x14ac:dyDescent="0.2">
      <c r="A302" s="11">
        <v>43388</v>
      </c>
      <c r="B302" s="379">
        <f>'2022'!Maxi_hp</f>
        <v>40.794279158401721</v>
      </c>
      <c r="C302" s="13">
        <f>'2022'!An_max</f>
        <v>2022</v>
      </c>
      <c r="D302" s="1045">
        <f t="shared" si="116"/>
        <v>1.0107401032289725</v>
      </c>
      <c r="E302" s="1040">
        <f>AH$13/10</f>
        <v>40.360799999999998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40.360799999997838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40.360800000000744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40.367074999772015</v>
      </c>
      <c r="AZ302" s="735">
        <f t="shared" si="134"/>
        <v>40.363937499886376</v>
      </c>
      <c r="BA302" s="633">
        <f t="shared" si="131"/>
        <v>1.0107401032289725</v>
      </c>
      <c r="BC302" s="11">
        <v>43388</v>
      </c>
      <c r="BD302" s="289">
        <f>[2]!FeuilCaduc*(1-Persistant)+Persistant</f>
        <v>0.84564793903334845</v>
      </c>
      <c r="BE302" s="290">
        <f>[2]!CroissVégét</f>
        <v>0.99493928100346574</v>
      </c>
      <c r="BF302" s="804">
        <f>1+[2]!Salcycl*Ksac</f>
        <v>1.0345647939033349</v>
      </c>
      <c r="BH302" s="1036">
        <f t="shared" si="132"/>
        <v>6.2332664647365785E-3</v>
      </c>
      <c r="BI302" s="11">
        <v>44484</v>
      </c>
      <c r="BJ302" s="715">
        <v>1.3035311246638889E-4</v>
      </c>
      <c r="BK302" s="715">
        <v>3.7735696339561363E-4</v>
      </c>
      <c r="BL302" s="715">
        <v>1.3259964304177944E-3</v>
      </c>
      <c r="BM302" s="715">
        <v>3.8480364047816123E-3</v>
      </c>
      <c r="BN302" s="715">
        <v>8.6269787859674565E-3</v>
      </c>
      <c r="BO302" s="716">
        <v>1.8150358887864475E-2</v>
      </c>
      <c r="BP302" s="715">
        <v>3.3616213131648635E-2</v>
      </c>
      <c r="BQ302" s="715">
        <v>5.6248059795121187E-2</v>
      </c>
      <c r="BR302" s="715">
        <v>8.7206488154943376E-2</v>
      </c>
      <c r="BS302" s="715">
        <v>0.12629824796863742</v>
      </c>
      <c r="BT302" s="715">
        <v>0.17146719618332701</v>
      </c>
      <c r="BW302" s="1190">
        <f>'2019'!R\Max</f>
        <v>0.80077001000664627</v>
      </c>
      <c r="BX302" s="1190">
        <f>'2020'!R\Max</f>
        <v>0.36192846844285276</v>
      </c>
      <c r="BY302" s="1190">
        <f>'2021'!R\Max</f>
        <v>0.87643060637529246</v>
      </c>
      <c r="BZ302" s="1190">
        <f>'2022'!R\Max</f>
        <v>1.0107401032289725</v>
      </c>
      <c r="CA302" s="1190">
        <f>'2023'!R\Max</f>
        <v>1.0107401032289725</v>
      </c>
      <c r="CB302" s="1190">
        <f>'2024'!R\Max</f>
        <v>1.0107401032289725</v>
      </c>
      <c r="CC302" s="1190">
        <f>'2025'!R\Max</f>
        <v>1.0107401032289725</v>
      </c>
      <c r="CD302" s="1190">
        <f>'2026'!R\Max</f>
        <v>1.0107401032289725</v>
      </c>
      <c r="CE302" s="1191">
        <f>'2027'!R\Max</f>
        <v>1.0107401032289725</v>
      </c>
      <c r="CF302" s="1193">
        <f>'2028'!R\Max</f>
        <v>1.0107401032289725</v>
      </c>
    </row>
    <row r="303" spans="1:84" s="6" customFormat="1" ht="11.25" x14ac:dyDescent="0.2">
      <c r="A303" s="11">
        <v>43389</v>
      </c>
      <c r="B303" s="379">
        <f>'2022'!Maxi_hp</f>
        <v>38.803370286376357</v>
      </c>
      <c r="C303" s="13">
        <f>'2022'!An_max</f>
        <v>2021</v>
      </c>
      <c r="D303" s="1045">
        <f t="shared" si="116"/>
        <v>0.97005904941195453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40.001039431464285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40.019724936245311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39.991972239288899</v>
      </c>
      <c r="AZ303" s="735">
        <f t="shared" si="134"/>
        <v>40.005848587767105</v>
      </c>
      <c r="BA303" s="633">
        <f t="shared" si="131"/>
        <v>0.97005904941195453</v>
      </c>
      <c r="BC303" s="11">
        <v>43389</v>
      </c>
      <c r="BD303" s="289">
        <f>[2]!FeuilCaduc*(1-Persistant)+Persistant</f>
        <v>0.839694132975772</v>
      </c>
      <c r="BE303" s="290">
        <f>[2]!CroissVégét</f>
        <v>0.99515525375273173</v>
      </c>
      <c r="BF303" s="804">
        <f>1+[2]!Salcycl*Ksac</f>
        <v>1.0339694132975772</v>
      </c>
      <c r="BH303" s="1036">
        <f t="shared" si="132"/>
        <v>6.5891119538071564E-3</v>
      </c>
      <c r="BI303" s="11">
        <v>44485</v>
      </c>
      <c r="BJ303" s="715">
        <v>1.6743284243084057E-4</v>
      </c>
      <c r="BK303" s="715">
        <v>4.3177322497983846E-4</v>
      </c>
      <c r="BL303" s="715">
        <v>1.4364315042441104E-3</v>
      </c>
      <c r="BM303" s="715">
        <v>4.0992317603465557E-3</v>
      </c>
      <c r="BN303" s="715">
        <v>9.0878465612302603E-3</v>
      </c>
      <c r="BO303" s="716">
        <v>1.9015794157710368E-2</v>
      </c>
      <c r="BP303" s="715">
        <v>3.5011790523586918E-2</v>
      </c>
      <c r="BQ303" s="715">
        <v>5.8306144245330503E-2</v>
      </c>
      <c r="BR303" s="715">
        <v>9.004161884246048E-2</v>
      </c>
      <c r="BS303" s="715">
        <v>0.13012182113738402</v>
      </c>
      <c r="BT303" s="715">
        <v>0.17649636948361258</v>
      </c>
      <c r="BW303" s="1190">
        <f>'2019'!R\Max</f>
        <v>0.83727763475080708</v>
      </c>
      <c r="BX303" s="1190">
        <f>'2020'!R\Max</f>
        <v>0.50955923970372397</v>
      </c>
      <c r="BY303" s="1190">
        <f>'2021'!R\Max</f>
        <v>0.97005904941195453</v>
      </c>
      <c r="BZ303" s="1190">
        <f>'2022'!R\Max</f>
        <v>0.8999829992755829</v>
      </c>
      <c r="CA303" s="1190">
        <f>'2023'!R\Max</f>
        <v>0.89986617103555366</v>
      </c>
      <c r="CB303" s="1190">
        <f>'2024'!R\Max</f>
        <v>0.89969606637095867</v>
      </c>
      <c r="CC303" s="1190">
        <f>'2025'!R\Max</f>
        <v>0.89952522061342233</v>
      </c>
      <c r="CD303" s="1190">
        <f>'2026'!R\Max</f>
        <v>0.90024547005426281</v>
      </c>
      <c r="CE303" s="1191">
        <f>'2027'!R\Max</f>
        <v>0.90017527047020041</v>
      </c>
      <c r="CF303" s="1193">
        <f>'2028'!R\Max</f>
        <v>0.90010296816281099</v>
      </c>
    </row>
    <row r="304" spans="1:84" s="6" customFormat="1" ht="11.25" x14ac:dyDescent="0.2">
      <c r="A304" s="11">
        <v>43390</v>
      </c>
      <c r="B304" s="379">
        <f>'2022'!Maxi_hp</f>
        <v>35.6425652403491</v>
      </c>
      <c r="C304" s="13">
        <f>'2022'!An_max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39.639266472363047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39.674519897957467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39.617313120035192</v>
      </c>
      <c r="AZ304" s="735">
        <f t="shared" si="134"/>
        <v>39.645916508996329</v>
      </c>
      <c r="BA304" s="633">
        <f t="shared" si="131"/>
        <v>0.89917317882760284</v>
      </c>
      <c r="BC304" s="11">
        <v>43390</v>
      </c>
      <c r="BD304" s="289">
        <f>[2]!FeuilCaduc*(1-Persistant)+Persistant</f>
        <v>0.83361016914127317</v>
      </c>
      <c r="BE304" s="290">
        <f>[2]!CroissVégét</f>
        <v>0.99536261888322142</v>
      </c>
      <c r="BF304" s="804">
        <f>1+[2]!Salcycl*Ksac</f>
        <v>1.0333610169141274</v>
      </c>
      <c r="BH304" s="1036">
        <f t="shared" si="132"/>
        <v>6.9704676020288844E-3</v>
      </c>
      <c r="BI304" s="11">
        <v>44486</v>
      </c>
      <c r="BJ304" s="715">
        <v>2.1192824719493602E-4</v>
      </c>
      <c r="BK304" s="715">
        <v>4.9546493277787581E-4</v>
      </c>
      <c r="BL304" s="715">
        <v>1.5632499613539837E-3</v>
      </c>
      <c r="BM304" s="715">
        <v>4.3720331607554706E-3</v>
      </c>
      <c r="BN304" s="715">
        <v>9.5781424936090594E-3</v>
      </c>
      <c r="BO304" s="716">
        <v>1.9918790655581036E-2</v>
      </c>
      <c r="BP304" s="715">
        <v>3.644222454326148E-2</v>
      </c>
      <c r="BQ304" s="715">
        <v>6.0384025887932152E-2</v>
      </c>
      <c r="BR304" s="715">
        <v>9.2867281961072204E-2</v>
      </c>
      <c r="BS304" s="715">
        <v>0.13391753973608503</v>
      </c>
      <c r="BT304" s="715">
        <v>0.18148743106479684</v>
      </c>
      <c r="BW304" s="1190">
        <f>'2019'!R\Max</f>
        <v>0.51237899880720661</v>
      </c>
      <c r="BX304" s="1190">
        <f>'2020'!R\Max</f>
        <v>0.25623565156666145</v>
      </c>
      <c r="BY304" s="1190">
        <f>'2021'!R\Max</f>
        <v>0.89917317882760284</v>
      </c>
      <c r="BZ304" s="1190">
        <f>'2022'!R\Max</f>
        <v>0.53857991186358212</v>
      </c>
      <c r="CA304" s="1190">
        <f>'2023'!R\Max</f>
        <v>0.53824626483850957</v>
      </c>
      <c r="CB304" s="1190">
        <f>'2024'!R\Max</f>
        <v>0.5377634047846056</v>
      </c>
      <c r="CC304" s="1190">
        <f>'2025'!R\Max</f>
        <v>0.53727913292416618</v>
      </c>
      <c r="CD304" s="1190">
        <f>'2026'!R\Max</f>
        <v>0.53933416051824734</v>
      </c>
      <c r="CE304" s="1191">
        <f>'2027'!R\Max</f>
        <v>0.53913152499855399</v>
      </c>
      <c r="CF304" s="1193">
        <f>'2028'!R\Max</f>
        <v>0.53892296982438836</v>
      </c>
    </row>
    <row r="305" spans="1:84" s="6" customFormat="1" ht="11.25" x14ac:dyDescent="0.2">
      <c r="A305" s="11">
        <v>43391</v>
      </c>
      <c r="B305" s="379">
        <f>'2022'!Maxi_hp</f>
        <v>38.775386152374139</v>
      </c>
      <c r="C305" s="13">
        <f>'2022'!An_max</f>
        <v>2020</v>
      </c>
      <c r="D305" s="1045">
        <f t="shared" si="116"/>
        <v>0.98725319731957417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39.276029956297556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39.325665114765954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39.243605312053113</v>
      </c>
      <c r="AZ305" s="735">
        <f t="shared" si="134"/>
        <v>39.28463521340953</v>
      </c>
      <c r="BA305" s="633">
        <f t="shared" si="131"/>
        <v>0.98725319731957417</v>
      </c>
      <c r="BC305" s="11">
        <v>43391</v>
      </c>
      <c r="BD305" s="289">
        <f>[2]!FeuilCaduc*(1-Persistant)+Persistant</f>
        <v>0.82740046844619153</v>
      </c>
      <c r="BE305" s="290">
        <f>[2]!CroissVégét</f>
        <v>0.99556171606410238</v>
      </c>
      <c r="BF305" s="804">
        <f>1+[2]!Salcycl*Ksac</f>
        <v>1.0327400468446191</v>
      </c>
      <c r="BH305" s="1036">
        <f t="shared" si="132"/>
        <v>7.3634050171934116E-3</v>
      </c>
      <c r="BI305" s="11">
        <v>44487</v>
      </c>
      <c r="BJ305" s="715">
        <v>2.6383129032928477E-4</v>
      </c>
      <c r="BK305" s="715">
        <v>5.6818513495666436E-4</v>
      </c>
      <c r="BL305" s="715">
        <v>1.7037054568958241E-3</v>
      </c>
      <c r="BM305" s="715">
        <v>4.6567321073151145E-3</v>
      </c>
      <c r="BN305" s="715">
        <v>1.0079703290761133E-2</v>
      </c>
      <c r="BO305" s="716">
        <v>2.0832813637483395E-2</v>
      </c>
      <c r="BP305" s="715">
        <v>3.7872643855370314E-2</v>
      </c>
      <c r="BQ305" s="715">
        <v>6.243947358766521E-2</v>
      </c>
      <c r="BR305" s="715">
        <v>9.5636506802840707E-2</v>
      </c>
      <c r="BS305" s="715">
        <v>0.13762670557379406</v>
      </c>
      <c r="BT305" s="715">
        <v>0.18635926027107724</v>
      </c>
      <c r="BW305" s="1190">
        <f>'2019'!R\Max</f>
        <v>0.39146549637735761</v>
      </c>
      <c r="BX305" s="1190">
        <f>'2020'!R\Max</f>
        <v>0.98725319731957417</v>
      </c>
      <c r="BY305" s="1190">
        <f>'2021'!R\Max</f>
        <v>0.92737345298794382</v>
      </c>
      <c r="BZ305" s="1190">
        <f>'2022'!R\Max</f>
        <v>0.96036926545901236</v>
      </c>
      <c r="CA305" s="1190">
        <f>'2023'!R\Max</f>
        <v>0.96031644421090512</v>
      </c>
      <c r="CB305" s="1190">
        <f>'2024'!R\Max</f>
        <v>0.96024026491318182</v>
      </c>
      <c r="CC305" s="1190">
        <f>'2025'!R\Max</f>
        <v>0.9601637380350807</v>
      </c>
      <c r="CD305" s="1190">
        <f>'2026'!R\Max</f>
        <v>0.96048900987435393</v>
      </c>
      <c r="CE305" s="1191">
        <f>'2027'!R\Max</f>
        <v>0.96045675118196228</v>
      </c>
      <c r="CF305" s="1193">
        <f>'2028'!R\Max</f>
        <v>0.9604235304524783</v>
      </c>
    </row>
    <row r="306" spans="1:84" s="6" customFormat="1" ht="11.25" x14ac:dyDescent="0.2">
      <c r="A306" s="11">
        <v>43392</v>
      </c>
      <c r="B306" s="379">
        <f>'2022'!Maxi_hp</f>
        <v>38.555741543850147</v>
      </c>
      <c r="C306" s="13">
        <f>'2022'!An_max</f>
        <v>2020</v>
      </c>
      <c r="D306" s="1045">
        <f t="shared" si="116"/>
        <v>0.99084759756940388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38.911878717200516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38.973640816259596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38.871356487061291</v>
      </c>
      <c r="AZ306" s="735">
        <f t="shared" si="134"/>
        <v>38.922498651660447</v>
      </c>
      <c r="BA306" s="633">
        <f t="shared" si="131"/>
        <v>0.99084759756940388</v>
      </c>
      <c r="BC306" s="11">
        <v>43392</v>
      </c>
      <c r="BD306" s="289">
        <f>[2]!FeuilCaduc*(1-Persistant)+Persistant</f>
        <v>0.82106998427873479</v>
      </c>
      <c r="BE306" s="290">
        <f>[2]!CroissVégét</f>
        <v>0.99575287182696259</v>
      </c>
      <c r="BF306" s="804">
        <f>1+[2]!Salcycl*Ksac</f>
        <v>1.0321069984278735</v>
      </c>
      <c r="BH306" s="1036">
        <f t="shared" si="132"/>
        <v>7.7679252439442036E-3</v>
      </c>
      <c r="BI306" s="11">
        <v>44488</v>
      </c>
      <c r="BJ306" s="715">
        <v>3.2315167765457008E-4</v>
      </c>
      <c r="BK306" s="715">
        <v>6.4994519411593738E-4</v>
      </c>
      <c r="BL306" s="715">
        <v>1.8578135916841217E-3</v>
      </c>
      <c r="BM306" s="715">
        <v>4.9533353373557272E-3</v>
      </c>
      <c r="BN306" s="715">
        <v>1.0592524284399071E-2</v>
      </c>
      <c r="BO306" s="716">
        <v>2.1757837719179232E-2</v>
      </c>
      <c r="BP306" s="715">
        <v>3.9302977212934055E-2</v>
      </c>
      <c r="BQ306" s="715">
        <v>6.4472342798686758E-2</v>
      </c>
      <c r="BR306" s="715">
        <v>9.8349047024066993E-2</v>
      </c>
      <c r="BS306" s="715">
        <v>0.14124896207834592</v>
      </c>
      <c r="BT306" s="715">
        <v>0.19111137446305573</v>
      </c>
      <c r="BW306" s="1190">
        <f>'2019'!R\Max</f>
        <v>0.7830315199440343</v>
      </c>
      <c r="BX306" s="1190">
        <f>'2020'!R\Max</f>
        <v>0.99084759756940388</v>
      </c>
      <c r="BY306" s="1190">
        <f>'2021'!R\Max</f>
        <v>0.94829573060059646</v>
      </c>
      <c r="BZ306" s="1190">
        <f>'2022'!R\Max</f>
        <v>0.4497894671286049</v>
      </c>
      <c r="CA306" s="1190">
        <f>'2023'!R\Max</f>
        <v>0.44943547300352837</v>
      </c>
      <c r="CB306" s="1190">
        <f>'2024'!R\Max</f>
        <v>0.44892831189897436</v>
      </c>
      <c r="CC306" s="1190">
        <f>'2025'!R\Max</f>
        <v>0.44841990999084441</v>
      </c>
      <c r="CD306" s="1190">
        <f>'2026'!R\Max</f>
        <v>0.45059767607065077</v>
      </c>
      <c r="CE306" s="1191">
        <f>'2027'!R\Max</f>
        <v>0.45037887946887112</v>
      </c>
      <c r="CF306" s="1193">
        <f>'2028'!R\Max</f>
        <v>0.45015378512232096</v>
      </c>
    </row>
    <row r="307" spans="1:84" s="6" customFormat="1" ht="11.25" x14ac:dyDescent="0.2">
      <c r="A307" s="11">
        <v>43393</v>
      </c>
      <c r="B307" s="379">
        <f>'2022'!Maxi_hp</f>
        <v>31.702695928532638</v>
      </c>
      <c r="C307" s="13">
        <f>'2022'!An_max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38.547361589048727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38.618927232085426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38.501074316711829</v>
      </c>
      <c r="AZ307" s="735">
        <f t="shared" si="134"/>
        <v>38.560000774398631</v>
      </c>
      <c r="BA307" s="633">
        <f t="shared" si="131"/>
        <v>0.82243491179794126</v>
      </c>
      <c r="BC307" s="11">
        <v>43393</v>
      </c>
      <c r="BD307" s="289">
        <f>[2]!FeuilCaduc*(1-Persistant)+Persistant</f>
        <v>0.81462419768042005</v>
      </c>
      <c r="BE307" s="290">
        <f>[2]!CroissVégét</f>
        <v>0.99593640005294937</v>
      </c>
      <c r="BF307" s="804">
        <f>1+[2]!Salcycl*Ksac</f>
        <v>1.031462419768042</v>
      </c>
      <c r="BH307" s="1036">
        <f t="shared" si="132"/>
        <v>8.1840271074276345E-3</v>
      </c>
      <c r="BI307" s="11">
        <v>44489</v>
      </c>
      <c r="BJ307" s="715">
        <v>3.8989854722318572E-4</v>
      </c>
      <c r="BK307" s="715">
        <v>7.4075574051123355E-4</v>
      </c>
      <c r="BL307" s="715">
        <v>2.0255887298966627E-3</v>
      </c>
      <c r="BM307" s="715">
        <v>5.2618478158224097E-3</v>
      </c>
      <c r="BN307" s="715">
        <v>1.1116598138036398E-2</v>
      </c>
      <c r="BO307" s="716">
        <v>2.2693833100382949E-2</v>
      </c>
      <c r="BP307" s="715">
        <v>4.0733147270761098E-2</v>
      </c>
      <c r="BQ307" s="715">
        <v>6.6482481269249064E-2</v>
      </c>
      <c r="BR307" s="715">
        <v>0.10100464713936014</v>
      </c>
      <c r="BS307" s="715">
        <v>0.14478394096016339</v>
      </c>
      <c r="BT307" s="715">
        <v>0.1957432758794109</v>
      </c>
      <c r="BW307" s="1190">
        <f>'2019'!R\Max</f>
        <v>0.32435576293562196</v>
      </c>
      <c r="BX307" s="1190">
        <f>'2020'!R\Max</f>
        <v>0.82243491179794126</v>
      </c>
      <c r="BY307" s="1190">
        <f>'2021'!R\Max</f>
        <v>0.745124329599543</v>
      </c>
      <c r="BZ307" s="1190">
        <f>'2022'!R\Max</f>
        <v>0.1911059306797058</v>
      </c>
      <c r="CA307" s="1190">
        <f>'2023'!R\Max</f>
        <v>0.19090869493268625</v>
      </c>
      <c r="CB307" s="1190">
        <f>'2024'!R\Max</f>
        <v>0.19062765267467782</v>
      </c>
      <c r="CC307" s="1190">
        <f>'2025'!R\Max</f>
        <v>0.1903461181840381</v>
      </c>
      <c r="CD307" s="1190">
        <f>'2026'!R\Max</f>
        <v>0.19155875088270061</v>
      </c>
      <c r="CE307" s="1191">
        <f>'2027'!R\Max</f>
        <v>0.19143566152056071</v>
      </c>
      <c r="CF307" s="1193">
        <f>'2028'!R\Max</f>
        <v>0.19130907995738972</v>
      </c>
    </row>
    <row r="308" spans="1:84" s="6" customFormat="1" ht="11.25" x14ac:dyDescent="0.2">
      <c r="A308" s="11">
        <v>43394</v>
      </c>
      <c r="B308" s="379">
        <f>'2022'!Maxi_hp</f>
        <v>24.418087613545492</v>
      </c>
      <c r="C308" s="13">
        <f>'2022'!An_max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38.183027405293458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38.26200459202186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38.133266472443935</v>
      </c>
      <c r="AZ308" s="735">
        <f t="shared" si="134"/>
        <v>38.197635532232894</v>
      </c>
      <c r="BA308" s="633">
        <f t="shared" si="131"/>
        <v>0.6395010891713715</v>
      </c>
      <c r="BC308" s="11">
        <v>43394</v>
      </c>
      <c r="BD308" s="289">
        <f>[2]!FeuilCaduc*(1-Persistant)+Persistant</f>
        <v>0.80806910909415341</v>
      </c>
      <c r="BE308" s="290">
        <f>[2]!CroissVégét</f>
        <v>0.99611260244351996</v>
      </c>
      <c r="BF308" s="804">
        <f>1+[2]!Salcycl*Ksac</f>
        <v>1.0308069109094153</v>
      </c>
      <c r="BH308" s="1036">
        <f t="shared" si="132"/>
        <v>8.6117070908051339E-3</v>
      </c>
      <c r="BI308" s="11">
        <v>44490</v>
      </c>
      <c r="BJ308" s="715">
        <v>4.6408038908935309E-4</v>
      </c>
      <c r="BK308" s="715">
        <v>8.4062657435603162E-4</v>
      </c>
      <c r="BL308" s="715">
        <v>2.2070438517856014E-3</v>
      </c>
      <c r="BM308" s="715">
        <v>5.5822726083398664E-3</v>
      </c>
      <c r="BN308" s="715">
        <v>1.1651914728962987E-2</v>
      </c>
      <c r="BO308" s="716">
        <v>2.3640765453130343E-2</v>
      </c>
      <c r="BP308" s="715">
        <v>4.2163070598723894E-2</v>
      </c>
      <c r="BQ308" s="715">
        <v>6.846972930463481E-2</v>
      </c>
      <c r="BR308" s="715">
        <v>0.10360304316094406</v>
      </c>
      <c r="BS308" s="715">
        <v>0.14823126318739091</v>
      </c>
      <c r="BT308" s="715">
        <v>0.20025445297781513</v>
      </c>
      <c r="BW308" s="1190">
        <f>'2019'!R\Max</f>
        <v>0.6395010891713715</v>
      </c>
      <c r="BX308" s="1190">
        <f>'2020'!R\Max</f>
        <v>0.15582651830011754</v>
      </c>
      <c r="BY308" s="1190">
        <f>'2021'!R\Max</f>
        <v>0.41948301210793315</v>
      </c>
      <c r="BZ308" s="1190">
        <f>'2022'!R\Max</f>
        <v>0.46988474126184893</v>
      </c>
      <c r="CA308" s="1190">
        <f>'2023'!R\Max</f>
        <v>0.46950742792918998</v>
      </c>
      <c r="CB308" s="1190">
        <f>'2024'!R\Max</f>
        <v>0.46897210480953078</v>
      </c>
      <c r="CC308" s="1190">
        <f>'2025'!R\Max</f>
        <v>0.46843548930286644</v>
      </c>
      <c r="CD308" s="1190">
        <f>'2026'!R\Max</f>
        <v>0.47075449747810688</v>
      </c>
      <c r="CE308" s="1191">
        <f>'2027'!R\Max</f>
        <v>0.47051729019126587</v>
      </c>
      <c r="CF308" s="1193">
        <f>'2028'!R\Max</f>
        <v>0.47027330223086877</v>
      </c>
    </row>
    <row r="309" spans="1:84" s="6" customFormat="1" ht="11.25" x14ac:dyDescent="0.2">
      <c r="A309" s="11">
        <v>43395</v>
      </c>
      <c r="B309" s="379">
        <f>'2022'!Maxi_hp</f>
        <v>36.324773470001581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37.81942499981087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37.903353125113064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37.76844062535092</v>
      </c>
      <c r="AZ309" s="735">
        <f t="shared" si="134"/>
        <v>37.835896875231995</v>
      </c>
      <c r="BA309" s="633">
        <f t="shared" si="131"/>
        <v>0.96047926350501722</v>
      </c>
      <c r="BC309" s="11">
        <v>43395</v>
      </c>
      <c r="BD309" s="289">
        <f>[2]!FeuilCaduc*(1-Persistant)+Persistant</f>
        <v>0.80141122665248798</v>
      </c>
      <c r="BE309" s="290">
        <f>[2]!CroissVégét</f>
        <v>0.99628176897521181</v>
      </c>
      <c r="BF309" s="804">
        <f>1+[2]!Salcycl*Ksac</f>
        <v>1.0301411226652488</v>
      </c>
      <c r="BH309" s="1036">
        <f t="shared" si="132"/>
        <v>9.0509592127393894E-3</v>
      </c>
      <c r="BI309" s="11">
        <v>44491</v>
      </c>
      <c r="BJ309" s="715">
        <v>5.4570496507861635E-4</v>
      </c>
      <c r="BK309" s="715">
        <v>9.4956656812222818E-4</v>
      </c>
      <c r="BL309" s="715">
        <v>2.4021904063829436E-3</v>
      </c>
      <c r="BM309" s="715">
        <v>5.9146107542610042E-3</v>
      </c>
      <c r="BN309" s="715">
        <v>1.219846103018459E-2</v>
      </c>
      <c r="BO309" s="716">
        <v>2.4598595810072555E-2</v>
      </c>
      <c r="BP309" s="715">
        <v>4.3592657694897306E-2</v>
      </c>
      <c r="BQ309" s="715">
        <v>7.0433920029863026E-2</v>
      </c>
      <c r="BR309" s="715">
        <v>0.10614396323761066</v>
      </c>
      <c r="BS309" s="715">
        <v>0.15159053996051716</v>
      </c>
      <c r="BT309" s="715">
        <v>0.2046443817751587</v>
      </c>
      <c r="BW309" s="1190">
        <f>'2019'!R\Max</f>
        <v>0.12951025015001025</v>
      </c>
      <c r="BX309" s="1190">
        <f>'2020'!R\Max</f>
        <v>0.68971645119090863</v>
      </c>
      <c r="BY309" s="1190">
        <f>'2021'!R\Max</f>
        <v>0.34993202705015392</v>
      </c>
      <c r="BZ309" s="1190">
        <f>'2022'!R\Max</f>
        <v>0.96047926350501722</v>
      </c>
      <c r="CA309" s="1190">
        <f>'2023'!R\Max</f>
        <v>0.9604201759916664</v>
      </c>
      <c r="CB309" s="1190">
        <f>'2024'!R\Max</f>
        <v>0.96033660399159604</v>
      </c>
      <c r="CC309" s="1190">
        <f>'2025'!R\Max</f>
        <v>0.96025265348826905</v>
      </c>
      <c r="CD309" s="1190">
        <f>'2026'!R\Max</f>
        <v>0.96061579403213415</v>
      </c>
      <c r="CE309" s="1191">
        <f>'2027'!R\Max</f>
        <v>0.96057846695144511</v>
      </c>
      <c r="CF309" s="1193">
        <f>'2028'!R\Max</f>
        <v>0.96054003910530339</v>
      </c>
    </row>
    <row r="310" spans="1:84" s="6" customFormat="1" ht="11.25" x14ac:dyDescent="0.2">
      <c r="A310" s="11">
        <v>43396</v>
      </c>
      <c r="B310" s="379">
        <f>'2022'!Maxi_hp</f>
        <v>37.404529448025627</v>
      </c>
      <c r="C310" s="13">
        <f>'2022'!An_max</f>
        <v>2021</v>
      </c>
      <c r="D310" s="1045">
        <f t="shared" si="116"/>
        <v>0.99859642752130628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37.457103207218871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37.543453061287963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37.407104446206773</v>
      </c>
      <c r="AZ310" s="735">
        <f t="shared" si="134"/>
        <v>37.475278753747368</v>
      </c>
      <c r="BA310" s="633">
        <f t="shared" si="131"/>
        <v>0.99859642752130628</v>
      </c>
      <c r="BC310" s="11">
        <v>43396</v>
      </c>
      <c r="BD310" s="289">
        <f>[2]!FeuilCaduc*(1-Persistant)+Persistant</f>
        <v>0.79465755100796143</v>
      </c>
      <c r="BE310" s="290">
        <f>[2]!CroissVégét</f>
        <v>0.99644417833885535</v>
      </c>
      <c r="BF310" s="804">
        <f>1+[2]!Salcycl*Ksac</f>
        <v>1.0294657551007962</v>
      </c>
      <c r="BH310" s="1036">
        <f t="shared" si="132"/>
        <v>9.5005790906852808E-3</v>
      </c>
      <c r="BI310" s="11">
        <v>44492</v>
      </c>
      <c r="BJ310" s="715">
        <v>6.3377225475930805E-4</v>
      </c>
      <c r="BK310" s="715">
        <v>1.0667006732855298E-3</v>
      </c>
      <c r="BL310" s="715">
        <v>2.6100555083699152E-3</v>
      </c>
      <c r="BM310" s="715">
        <v>6.257798660608424E-3</v>
      </c>
      <c r="BN310" s="715">
        <v>1.2754891368918053E-2</v>
      </c>
      <c r="BO310" s="716">
        <v>2.5549518871476256E-2</v>
      </c>
      <c r="BP310" s="715">
        <v>4.5001683871197636E-2</v>
      </c>
      <c r="BQ310" s="715">
        <v>7.2355157753512075E-2</v>
      </c>
      <c r="BR310" s="715">
        <v>0.10863158309096044</v>
      </c>
      <c r="BS310" s="715">
        <v>0.15484849587390526</v>
      </c>
      <c r="BT310" s="715">
        <v>0.2088522164219552</v>
      </c>
      <c r="BW310" s="1190">
        <f>'2019'!R\Max</f>
        <v>0.48142586563930195</v>
      </c>
      <c r="BX310" s="1190">
        <f>'2020'!R\Max</f>
        <v>0.14149532500728981</v>
      </c>
      <c r="BY310" s="1190">
        <f>'2021'!R\Max</f>
        <v>0.99859642752130628</v>
      </c>
      <c r="BZ310" s="1190">
        <f>'2022'!R\Max</f>
        <v>0.49752286257692996</v>
      </c>
      <c r="CA310" s="1190">
        <f>'2023'!R\Max</f>
        <v>0.49712413180904247</v>
      </c>
      <c r="CB310" s="1190">
        <f>'2024'!R\Max</f>
        <v>0.49656387728515505</v>
      </c>
      <c r="CC310" s="1190">
        <f>'2025'!R\Max</f>
        <v>0.4960022591839745</v>
      </c>
      <c r="CD310" s="1190">
        <f>'2026'!R\Max</f>
        <v>0.49845038533579045</v>
      </c>
      <c r="CE310" s="1191">
        <f>'2027'!R\Max</f>
        <v>0.49819566481887229</v>
      </c>
      <c r="CF310" s="1193">
        <f>'2028'!R\Max</f>
        <v>0.49793370876099768</v>
      </c>
    </row>
    <row r="311" spans="1:84" s="6" customFormat="1" ht="11.25" x14ac:dyDescent="0.2">
      <c r="A311" s="11">
        <v>43397</v>
      </c>
      <c r="B311" s="379">
        <f>'2022'!Maxi_hp</f>
        <v>38.420312161688102</v>
      </c>
      <c r="C311" s="13">
        <f>'2022'!An_max</f>
        <v>2021</v>
      </c>
      <c r="D311" s="1045">
        <f t="shared" si="116"/>
        <v>1.0356825400171863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37.096610860168163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37.182784630285873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37.049765606663591</v>
      </c>
      <c r="AZ311" s="735">
        <f t="shared" si="134"/>
        <v>37.116275118474732</v>
      </c>
      <c r="BA311" s="633">
        <f t="shared" si="131"/>
        <v>1.0356825400171863</v>
      </c>
      <c r="BC311" s="11">
        <v>43397</v>
      </c>
      <c r="BD311" s="289">
        <f>[2]!FeuilCaduc*(1-Persistant)+Persistant</f>
        <v>0.7878155567362094</v>
      </c>
      <c r="BE311" s="290">
        <f>[2]!CroissVégét</f>
        <v>0.99660009836364072</v>
      </c>
      <c r="BF311" s="804">
        <f>1+[2]!Salcycl*Ksac</f>
        <v>1.0287815556736208</v>
      </c>
      <c r="BH311" s="1036">
        <f t="shared" si="132"/>
        <v>9.9510304210661538E-3</v>
      </c>
      <c r="BI311" s="11">
        <v>44493</v>
      </c>
      <c r="BJ311" s="715">
        <v>7.2367430293378146E-4</v>
      </c>
      <c r="BK311" s="715">
        <v>1.1863736350566497E-3</v>
      </c>
      <c r="BL311" s="715">
        <v>2.8238075344920841E-3</v>
      </c>
      <c r="BM311" s="715">
        <v>6.6036170433128247E-3</v>
      </c>
      <c r="BN311" s="715">
        <v>1.331034773854642E-2</v>
      </c>
      <c r="BO311" s="716">
        <v>2.6476825313129459E-2</v>
      </c>
      <c r="BP311" s="715">
        <v>4.6379512041451881E-2</v>
      </c>
      <c r="BQ311" s="715">
        <v>7.4239534768023682E-2</v>
      </c>
      <c r="BR311" s="715">
        <v>0.11109391348722865</v>
      </c>
      <c r="BS311" s="715">
        <v>0.15804211876370269</v>
      </c>
      <c r="BT311" s="715">
        <v>0.21291295627214485</v>
      </c>
      <c r="BW311" s="1190">
        <f>'2019'!R\Max</f>
        <v>0.47942730456455424</v>
      </c>
      <c r="BX311" s="1190">
        <f>'2020'!R\Max</f>
        <v>0.27451129844470179</v>
      </c>
      <c r="BY311" s="1190">
        <f>'2021'!R\Max</f>
        <v>1.0356825400171863</v>
      </c>
      <c r="BZ311" s="1190">
        <f>'2022'!R\Max</f>
        <v>0.74413248103134033</v>
      </c>
      <c r="CA311" s="1190">
        <f>'2023'!R\Max</f>
        <v>0.74382130703503491</v>
      </c>
      <c r="CB311" s="1190">
        <f>'2024'!R\Max</f>
        <v>0.74338560647698826</v>
      </c>
      <c r="CC311" s="1190">
        <f>'2025'!R\Max</f>
        <v>0.74294837123467916</v>
      </c>
      <c r="CD311" s="1190">
        <f>'2026'!R\Max</f>
        <v>0.74485777742103065</v>
      </c>
      <c r="CE311" s="1191">
        <f>'2027'!R\Max</f>
        <v>0.74465822299951534</v>
      </c>
      <c r="CF311" s="1193">
        <f>'2028'!R\Max</f>
        <v>0.74445292439640853</v>
      </c>
    </row>
    <row r="312" spans="1:84" s="6" customFormat="1" ht="11.25" x14ac:dyDescent="0.2">
      <c r="A312" s="11">
        <v>43398</v>
      </c>
      <c r="B312" s="379">
        <f>'2022'!Maxi_hp</f>
        <v>35.228620832517834</v>
      </c>
      <c r="C312" s="13">
        <f>'2022'!An_max</f>
        <v>2021</v>
      </c>
      <c r="D312" s="1045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36.738496792798728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36.821828061129366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36.696931778426681</v>
      </c>
      <c r="AZ312" s="735">
        <f t="shared" si="134"/>
        <v>36.759379919778027</v>
      </c>
      <c r="BA312" s="633">
        <f t="shared" si="131"/>
        <v>0.95890207569470154</v>
      </c>
      <c r="BC312" s="11">
        <v>43398</v>
      </c>
      <c r="BD312" s="289">
        <f>[2]!FeuilCaduc*(1-Persistant)+Persistant</f>
        <v>0.78089317037145478</v>
      </c>
      <c r="BE312" s="290">
        <f>[2]!CroissVégét</f>
        <v>0.99674978642645717</v>
      </c>
      <c r="BF312" s="804">
        <f>1+[2]!Salcycl*Ksac</f>
        <v>1.0280893170371455</v>
      </c>
      <c r="BH312" s="1036">
        <f t="shared" si="132"/>
        <v>1.0402389380596094E-2</v>
      </c>
      <c r="BI312" s="11">
        <v>44494</v>
      </c>
      <c r="BJ312" s="715">
        <v>8.1541931050451994E-4</v>
      </c>
      <c r="BK312" s="715">
        <v>1.3085981390560471E-3</v>
      </c>
      <c r="BL312" s="715">
        <v>3.0434761549962865E-3</v>
      </c>
      <c r="BM312" s="715">
        <v>6.952119483707519E-3</v>
      </c>
      <c r="BN312" s="715">
        <v>1.3864928991517358E-2</v>
      </c>
      <c r="BO312" s="716">
        <v>2.7380681542536423E-2</v>
      </c>
      <c r="BP312" s="715">
        <v>4.7726446436611038E-2</v>
      </c>
      <c r="BQ312" s="715">
        <v>7.6087554410423641E-2</v>
      </c>
      <c r="BR312" s="715">
        <v>0.11353174663887496</v>
      </c>
      <c r="BS312" s="715">
        <v>0.1611724957536261</v>
      </c>
      <c r="BT312" s="715">
        <v>0.21682798274510592</v>
      </c>
      <c r="BW312" s="1190">
        <f>'2019'!R\Max</f>
        <v>0.83031435486593541</v>
      </c>
      <c r="BX312" s="1190">
        <f>'2020'!R\Max</f>
        <v>0.87984665286173136</v>
      </c>
      <c r="BY312" s="1190">
        <f>'2021'!R\Max</f>
        <v>0.95890207569470154</v>
      </c>
      <c r="BZ312" s="1190">
        <f>'2022'!R\Max</f>
        <v>0.66419320625986444</v>
      </c>
      <c r="CA312" s="1190">
        <f>'2023'!R\Max</f>
        <v>0.66382027111460984</v>
      </c>
      <c r="CB312" s="1190">
        <f>'2024'!R\Max</f>
        <v>0.66330039546553154</v>
      </c>
      <c r="CC312" s="1190">
        <f>'2025'!R\Max</f>
        <v>0.6627788933607448</v>
      </c>
      <c r="CD312" s="1190">
        <f>'2026'!R\Max</f>
        <v>0.66506494168892971</v>
      </c>
      <c r="CE312" s="1191">
        <f>'2027'!R\Max</f>
        <v>0.66482459623857171</v>
      </c>
      <c r="CF312" s="1193">
        <f>'2028'!R\Max</f>
        <v>0.66457741693952432</v>
      </c>
    </row>
    <row r="313" spans="1:84" s="6" customFormat="1" ht="11.25" x14ac:dyDescent="0.2">
      <c r="A313" s="11">
        <v>43399</v>
      </c>
      <c r="B313" s="379">
        <f>'2022'!Maxi_hp</f>
        <v>35.899581400046522</v>
      </c>
      <c r="C313" s="13">
        <f>'2022'!An_max</f>
        <v>2018</v>
      </c>
      <c r="D313" s="1045">
        <f t="shared" si="116"/>
        <v>0.98670466096012843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36.383309839758809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36.4610635839569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36.34911063232326</v>
      </c>
      <c r="AZ313" s="735">
        <f t="shared" si="134"/>
        <v>36.40508710814008</v>
      </c>
      <c r="BA313" s="633">
        <f t="shared" si="131"/>
        <v>0.98670466096012843</v>
      </c>
      <c r="BC313" s="11">
        <v>43399</v>
      </c>
      <c r="BD313" s="289">
        <f>[2]!FeuilCaduc*(1-Persistant)+Persistant</f>
        <v>0.77389874516275903</v>
      </c>
      <c r="BE313" s="290">
        <f>[2]!CroissVégét</f>
        <v>0.99689348984691617</v>
      </c>
      <c r="BF313" s="804">
        <f>1+[2]!Salcycl*Ksac</f>
        <v>1.0273898745162759</v>
      </c>
      <c r="BH313" s="1036">
        <f t="shared" si="132"/>
        <v>1.0854655614792534E-2</v>
      </c>
      <c r="BI313" s="11">
        <v>44495</v>
      </c>
      <c r="BJ313" s="715">
        <v>9.0901069942173713E-4</v>
      </c>
      <c r="BK313" s="715">
        <v>1.4333786668780232E-3</v>
      </c>
      <c r="BL313" s="715">
        <v>3.2690705967793922E-3</v>
      </c>
      <c r="BM313" s="715">
        <v>7.3033094407153202E-3</v>
      </c>
      <c r="BN313" s="715">
        <v>1.4418630946381834E-2</v>
      </c>
      <c r="BO313" s="716">
        <v>2.8261046074905097E-2</v>
      </c>
      <c r="BP313" s="715">
        <v>4.9042424272208611E-2</v>
      </c>
      <c r="BQ313" s="715">
        <v>7.789912882005702E-2</v>
      </c>
      <c r="BR313" s="715">
        <v>0.11594498640380028</v>
      </c>
      <c r="BS313" s="715">
        <v>0.16423944536486682</v>
      </c>
      <c r="BT313" s="715">
        <v>0.22059696326816125</v>
      </c>
      <c r="BW313" s="1190">
        <f>'2019'!R\Max</f>
        <v>0.98670466096012843</v>
      </c>
      <c r="BX313" s="1190">
        <f>'2020'!R\Max</f>
        <v>0.65075873270924034</v>
      </c>
      <c r="BY313" s="1190">
        <f>'2021'!R\Max</f>
        <v>0.74457551785376141</v>
      </c>
      <c r="BZ313" s="1190">
        <f>'2022'!R\Max</f>
        <v>0.37342117080083431</v>
      </c>
      <c r="CA313" s="1190">
        <f>'2023'!R\Max</f>
        <v>0.37302146053885354</v>
      </c>
      <c r="CB313" s="1190">
        <f>'2024'!R\Max</f>
        <v>0.37246701914250596</v>
      </c>
      <c r="CC313" s="1190">
        <f>'2025'!R\Max</f>
        <v>0.37191162338095363</v>
      </c>
      <c r="CD313" s="1190">
        <f>'2026'!R\Max</f>
        <v>0.37435853063384733</v>
      </c>
      <c r="CE313" s="1191">
        <f>'2027'!R\Max</f>
        <v>0.3740995487864443</v>
      </c>
      <c r="CF313" s="1193">
        <f>'2028'!R\Max</f>
        <v>0.37383342906354083</v>
      </c>
    </row>
    <row r="314" spans="1:84" s="6" customFormat="1" ht="11.25" x14ac:dyDescent="0.2">
      <c r="A314" s="11">
        <v>43400</v>
      </c>
      <c r="B314" s="379">
        <f>'2022'!Maxi_hp</f>
        <v>30.879725572368368</v>
      </c>
      <c r="C314" s="13">
        <f>'2022'!An_max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36.031598833777494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36.100971428983442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36.006809839579674</v>
      </c>
      <c r="AZ314" s="735">
        <f t="shared" si="134"/>
        <v>36.053890634281558</v>
      </c>
      <c r="BA314" s="633">
        <f t="shared" si="131"/>
        <v>0.85701791127349169</v>
      </c>
      <c r="BC314" s="11">
        <v>43400</v>
      </c>
      <c r="BD314" s="289">
        <f>[2]!FeuilCaduc*(1-Persistant)+Persistant</f>
        <v>0.76684103266780501</v>
      </c>
      <c r="BE314" s="290">
        <f>[2]!CroissVégét</f>
        <v>0.99703144626847073</v>
      </c>
      <c r="BF314" s="804">
        <f>1+[2]!Salcycl*Ksac</f>
        <v>1.0266841032667804</v>
      </c>
      <c r="BH314" s="1036">
        <f t="shared" si="132"/>
        <v>1.1307827133457134E-2</v>
      </c>
      <c r="BI314" s="11">
        <v>44496</v>
      </c>
      <c r="BJ314" s="715">
        <v>1.0044516123408924E-3</v>
      </c>
      <c r="BK314" s="715">
        <v>1.5607193315628036E-3</v>
      </c>
      <c r="BL314" s="715">
        <v>3.5005994695892066E-3</v>
      </c>
      <c r="BM314" s="715">
        <v>7.6571891745950416E-3</v>
      </c>
      <c r="BN314" s="715">
        <v>1.4971447347369044E-2</v>
      </c>
      <c r="BO314" s="716">
        <v>2.9117873320020356E-2</v>
      </c>
      <c r="BP314" s="715">
        <v>5.0327376790677052E-2</v>
      </c>
      <c r="BQ314" s="715">
        <v>7.9674162157031575E-2</v>
      </c>
      <c r="BR314" s="715">
        <v>0.11833352691301657</v>
      </c>
      <c r="BS314" s="715">
        <v>0.1672427725949803</v>
      </c>
      <c r="BT314" s="715">
        <v>0.22421954616443271</v>
      </c>
      <c r="BW314" s="1190">
        <f>'2019'!R\Max</f>
        <v>0.68581846965358451</v>
      </c>
      <c r="BX314" s="1190">
        <f>'2020'!R\Max</f>
        <v>0.69064542722207078</v>
      </c>
      <c r="BY314" s="1190">
        <f>'2021'!R\Max</f>
        <v>0.85701791127349169</v>
      </c>
      <c r="BZ314" s="1190">
        <f>'2022'!R\Max</f>
        <v>0.43638013449712804</v>
      </c>
      <c r="CA314" s="1190">
        <f>'2023'!R\Max</f>
        <v>0.43595100831311523</v>
      </c>
      <c r="CB314" s="1190">
        <f>'2024'!R\Max</f>
        <v>0.43535768515618284</v>
      </c>
      <c r="CC314" s="1190">
        <f>'2025'!R\Max</f>
        <v>0.43476318647209788</v>
      </c>
      <c r="CD314" s="1190">
        <f>'2026'!R\Max</f>
        <v>0.43738695671890804</v>
      </c>
      <c r="CE314" s="1191">
        <f>'2027'!R\Max</f>
        <v>0.43710863666834743</v>
      </c>
      <c r="CF314" s="1193">
        <f>'2028'!R\Max</f>
        <v>0.4368226715246557</v>
      </c>
    </row>
    <row r="315" spans="1:84" s="6" customFormat="1" ht="11.25" x14ac:dyDescent="0.2">
      <c r="A315" s="11">
        <v>43401</v>
      </c>
      <c r="B315" s="379">
        <f>'2022'!Maxi_hp</f>
        <v>35.461193234664123</v>
      </c>
      <c r="C315" s="13">
        <f>'2022'!An_max</f>
        <v>2021</v>
      </c>
      <c r="D315" s="1045">
        <f t="shared" si="116"/>
        <v>0.99375854949912756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35.683912608889969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35.742031824278612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35.670537071608535</v>
      </c>
      <c r="AZ315" s="735">
        <f t="shared" si="134"/>
        <v>35.706284447943574</v>
      </c>
      <c r="BA315" s="633">
        <f t="shared" si="131"/>
        <v>0.99375854949912756</v>
      </c>
      <c r="BC315" s="11">
        <v>43401</v>
      </c>
      <c r="BD315" s="289">
        <f>[2]!FeuilCaduc*(1-Persistant)+Persistant</f>
        <v>0.75972915132866659</v>
      </c>
      <c r="BE315" s="290">
        <f>[2]!CroissVégét</f>
        <v>0.99716388402603495</v>
      </c>
      <c r="BF315" s="804">
        <f>1+[2]!Salcycl*Ksac</f>
        <v>1.0259729151328667</v>
      </c>
      <c r="BH315" s="1036">
        <f t="shared" si="132"/>
        <v>1.1761900306671208E-2</v>
      </c>
      <c r="BI315" s="11">
        <v>44497</v>
      </c>
      <c r="BJ315" s="715">
        <v>1.1017448964035996E-3</v>
      </c>
      <c r="BK315" s="715">
        <v>1.6906238551125106E-3</v>
      </c>
      <c r="BL315" s="715">
        <v>3.7380707133581621E-3</v>
      </c>
      <c r="BM315" s="715">
        <v>8.0137597254561679E-3</v>
      </c>
      <c r="BN315" s="715">
        <v>1.5523369877924765E-2</v>
      </c>
      <c r="BO315" s="716">
        <v>2.9951113808129402E-2</v>
      </c>
      <c r="BP315" s="715">
        <v>5.1581229560937865E-2</v>
      </c>
      <c r="BQ315" s="715">
        <v>8.1412550958181701E-2</v>
      </c>
      <c r="BR315" s="715">
        <v>0.12069725282417791</v>
      </c>
      <c r="BS315" s="715">
        <v>0.17018226953814908</v>
      </c>
      <c r="BT315" s="715">
        <v>0.22769536204510846</v>
      </c>
      <c r="BW315" s="1190">
        <f>'2019'!R\Max</f>
        <v>0.26962812968974503</v>
      </c>
      <c r="BX315" s="1190">
        <f>'2020'!R\Max</f>
        <v>0.72820691977137275</v>
      </c>
      <c r="BY315" s="1190">
        <f>'2021'!R\Max</f>
        <v>0.99375854949912756</v>
      </c>
      <c r="BZ315" s="1190">
        <f>'2022'!R\Max</f>
        <v>0.53034697520521012</v>
      </c>
      <c r="CA315" s="1190">
        <f>'2023'!R\Max</f>
        <v>0.52990351377102995</v>
      </c>
      <c r="CB315" s="1190">
        <f>'2024'!R\Max</f>
        <v>0.52929208784759607</v>
      </c>
      <c r="CC315" s="1190">
        <f>'2025'!R\Max</f>
        <v>0.52867918986988882</v>
      </c>
      <c r="CD315" s="1190">
        <f>'2026'!R\Max</f>
        <v>0.53138695813273851</v>
      </c>
      <c r="CE315" s="1191">
        <f>'2027'!R\Max</f>
        <v>0.53109950020985275</v>
      </c>
      <c r="CF315" s="1193">
        <f>'2028'!R\Max</f>
        <v>0.53080415598342778</v>
      </c>
    </row>
    <row r="316" spans="1:84" s="6" customFormat="1" ht="11.25" x14ac:dyDescent="0.2">
      <c r="A316" s="11">
        <v>43402</v>
      </c>
      <c r="B316" s="379">
        <f>'2022'!Maxi_hp</f>
        <v>29.777598995663187</v>
      </c>
      <c r="C316" s="13">
        <f>'2022'!An_max</f>
        <v>2018</v>
      </c>
      <c r="D316" s="1045" t="str">
        <f t="shared" si="116"/>
        <v/>
      </c>
      <c r="E316" s="1040">
        <f>AI$13/10</f>
        <v>35.340800000000002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35.340799999982117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35.384725000034088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35.340799999609587</v>
      </c>
      <c r="AZ316" s="735">
        <f t="shared" si="134"/>
        <v>35.362762499821841</v>
      </c>
      <c r="BA316" s="633">
        <f t="shared" si="131"/>
        <v>0.8425841802018702</v>
      </c>
      <c r="BC316" s="11">
        <v>43402</v>
      </c>
      <c r="BD316" s="289">
        <f>[2]!FeuilCaduc*(1-Persistant)+Persistant</f>
        <v>0.7525725522008142</v>
      </c>
      <c r="BE316" s="290">
        <f>[2]!CroissVégét</f>
        <v>0.99729102250050727</v>
      </c>
      <c r="BF316" s="804">
        <f>1+[2]!Salcycl*Ksac</f>
        <v>1.0252572552200814</v>
      </c>
      <c r="BH316" s="1036">
        <f t="shared" si="132"/>
        <v>1.2216869860758909E-2</v>
      </c>
      <c r="BI316" s="11">
        <v>44498</v>
      </c>
      <c r="BJ316" s="715">
        <v>1.2008930870159239E-3</v>
      </c>
      <c r="BK316" s="715">
        <v>1.8230955460029708E-3</v>
      </c>
      <c r="BL316" s="715">
        <v>3.9814915455274463E-3</v>
      </c>
      <c r="BM316" s="715">
        <v>8.3730208917518791E-3</v>
      </c>
      <c r="BN316" s="715">
        <v>1.6074388174206814E-2</v>
      </c>
      <c r="BO316" s="716">
        <v>3.0760714415742556E-2</v>
      </c>
      <c r="BP316" s="715">
        <v>5.2803902777844254E-2</v>
      </c>
      <c r="BQ316" s="715">
        <v>8.3114184492798435E-2</v>
      </c>
      <c r="BR316" s="715">
        <v>0.12303603957476257</v>
      </c>
      <c r="BS316" s="715">
        <v>0.1730577160049516</v>
      </c>
      <c r="BT316" s="715">
        <v>0.23102402520104498</v>
      </c>
      <c r="BW316" s="1190">
        <f>'2019'!R\Max</f>
        <v>0.8425841802018702</v>
      </c>
      <c r="BX316" s="1190">
        <f>'2020'!R\Max</f>
        <v>0.39344453993139666</v>
      </c>
      <c r="BY316" s="1190">
        <f>'2021'!R\Max</f>
        <v>0.52407925980264258</v>
      </c>
      <c r="BZ316" s="1190">
        <f>'2022'!R\Max</f>
        <v>0.83296761955832488</v>
      </c>
      <c r="CA316" s="1190">
        <f>'2023'!R\Max</f>
        <v>0.83271497669703287</v>
      </c>
      <c r="CB316" s="1190">
        <f>'2024'!R\Max</f>
        <v>0.83236720784663376</v>
      </c>
      <c r="CC316" s="1190">
        <f>'2025'!R\Max</f>
        <v>0.8320180827039616</v>
      </c>
      <c r="CD316" s="1190">
        <f>'2026'!R\Max</f>
        <v>0.83355866623705488</v>
      </c>
      <c r="CE316" s="1191">
        <f>'2027'!R\Max</f>
        <v>0.83339550101999094</v>
      </c>
      <c r="CF316" s="1193">
        <f>'2028'!R\Max</f>
        <v>0.83322778395812991</v>
      </c>
    </row>
    <row r="317" spans="1:84" s="6" customFormat="1" ht="11.25" x14ac:dyDescent="0.2">
      <c r="A317" s="11">
        <v>43403</v>
      </c>
      <c r="B317" s="379">
        <f>'2022'!Maxi_hp</f>
        <v>28.491037803008169</v>
      </c>
      <c r="C317" s="13">
        <f>'2022'!An_max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35.000724270993047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35.029531186533028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35.013491517598069</v>
      </c>
      <c r="AZ317" s="735">
        <f t="shared" si="134"/>
        <v>35.021511352065545</v>
      </c>
      <c r="BA317" s="633">
        <f t="shared" si="131"/>
        <v>0.8140128067755501</v>
      </c>
      <c r="BC317" s="11">
        <v>43403</v>
      </c>
      <c r="BD317" s="289">
        <f>[2]!FeuilCaduc*(1-Persistant)+Persistant</f>
        <v>0.74538098203215064</v>
      </c>
      <c r="BE317" s="290">
        <f>[2]!CroissVégét</f>
        <v>0.99741307246059263</v>
      </c>
      <c r="BF317" s="804">
        <f>1+[2]!Salcycl*Ksac</f>
        <v>1.0245380982032151</v>
      </c>
      <c r="BH317" s="1036">
        <f t="shared" si="132"/>
        <v>1.2672728874275386E-2</v>
      </c>
      <c r="BI317" s="11">
        <v>44499</v>
      </c>
      <c r="BJ317" s="715">
        <v>1.3018983916288605E-3</v>
      </c>
      <c r="BK317" s="715">
        <v>1.9581372766989446E-3</v>
      </c>
      <c r="BL317" s="715">
        <v>4.23086840837882E-3</v>
      </c>
      <c r="BM317" s="715">
        <v>8.7349712087889889E-3</v>
      </c>
      <c r="BN317" s="715">
        <v>1.6624489838613594E-2</v>
      </c>
      <c r="BO317" s="716">
        <v>3.1546618591498772E-2</v>
      </c>
      <c r="BP317" s="715">
        <v>5.3995311561735919E-2</v>
      </c>
      <c r="BQ317" s="715">
        <v>8.4778945118537105E-2</v>
      </c>
      <c r="BR317" s="715">
        <v>0.12534975363551934</v>
      </c>
      <c r="BS317" s="715">
        <v>0.17586888014250313</v>
      </c>
      <c r="BT317" s="715">
        <v>0.23420513499486972</v>
      </c>
      <c r="BW317" s="1190">
        <f>'2019'!R\Max</f>
        <v>0.66271319183532462</v>
      </c>
      <c r="BX317" s="1190">
        <f>'2020'!R\Max</f>
        <v>0.8140128067755501</v>
      </c>
      <c r="BY317" s="1190">
        <f>'2021'!R\Max</f>
        <v>0.31564027748023321</v>
      </c>
      <c r="BZ317" s="1190">
        <f>'2022'!R\Max</f>
        <v>0.72280081331213564</v>
      </c>
      <c r="CA317" s="1190">
        <f>'2023'!R\Max</f>
        <v>0.72243032930643247</v>
      </c>
      <c r="CB317" s="1190">
        <f>'2024'!R\Max</f>
        <v>0.72192194554874323</v>
      </c>
      <c r="CC317" s="1190">
        <f>'2025'!R\Max</f>
        <v>0.72141186486969333</v>
      </c>
      <c r="CD317" s="1190">
        <f>'2026'!R\Max</f>
        <v>0.72366702352118628</v>
      </c>
      <c r="CE317" s="1191">
        <f>'2027'!R\Max</f>
        <v>0.72342800630264781</v>
      </c>
      <c r="CF317" s="1193">
        <f>'2028'!R\Max</f>
        <v>0.7231824553536802</v>
      </c>
    </row>
    <row r="318" spans="1:84" s="6" customFormat="1" ht="11.25" x14ac:dyDescent="0.2">
      <c r="A318" s="11">
        <v>43404</v>
      </c>
      <c r="B318" s="379">
        <f>'2022'!Maxi_hp</f>
        <v>34.120858369867321</v>
      </c>
      <c r="C318" s="13">
        <f>'2022'!An_max</f>
        <v>2020</v>
      </c>
      <c r="D318" s="1045">
        <f t="shared" si="116"/>
        <v>0.98438797742065753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34.662002332934314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34.676930612282426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34.684486224236231</v>
      </c>
      <c r="AZ318" s="735">
        <f t="shared" si="134"/>
        <v>34.680708418259329</v>
      </c>
      <c r="BA318" s="633">
        <f t="shared" si="131"/>
        <v>0.98438797742065753</v>
      </c>
      <c r="BC318" s="11">
        <v>43404</v>
      </c>
      <c r="BD318" s="289">
        <f>[2]!FeuilCaduc*(1-Persistant)+Persistant</f>
        <v>0.73816444391302316</v>
      </c>
      <c r="BE318" s="290">
        <f>[2]!CroissVégét</f>
        <v>0.99753023639231442</v>
      </c>
      <c r="BF318" s="804">
        <f>1+[2]!Salcycl*Ksac</f>
        <v>1.0238164443913023</v>
      </c>
      <c r="BH318" s="1036">
        <f t="shared" si="132"/>
        <v>1.3112719309655244E-2</v>
      </c>
      <c r="BI318" s="11">
        <v>44500</v>
      </c>
      <c r="BJ318" s="715">
        <v>1.4048830031591459E-3</v>
      </c>
      <c r="BK318" s="715">
        <v>2.0959735710416338E-3</v>
      </c>
      <c r="BL318" s="715">
        <v>4.4744238703533267E-3</v>
      </c>
      <c r="BM318" s="715">
        <v>9.0821089563735535E-3</v>
      </c>
      <c r="BN318" s="715">
        <v>1.7157663160863156E-2</v>
      </c>
      <c r="BO318" s="716">
        <v>3.230445856380499E-2</v>
      </c>
      <c r="BP318" s="715">
        <v>5.5172244366171082E-2</v>
      </c>
      <c r="BQ318" s="715">
        <v>8.6423894931161968E-2</v>
      </c>
      <c r="BR318" s="715">
        <v>0.12764515163616053</v>
      </c>
      <c r="BS318" s="715">
        <v>0.17857930934582436</v>
      </c>
      <c r="BT318" s="715">
        <v>0.23715563793908367</v>
      </c>
      <c r="BW318" s="1190">
        <f>'2019'!R\Max</f>
        <v>0.5195523603293889</v>
      </c>
      <c r="BX318" s="1190">
        <f>'2020'!R\Max</f>
        <v>0.98438797742065753</v>
      </c>
      <c r="BY318" s="1190">
        <f>'2021'!R\Max</f>
        <v>0.57625463982084923</v>
      </c>
      <c r="BZ318" s="1190">
        <f>'2022'!R\Max</f>
        <v>0.69418227773503061</v>
      </c>
      <c r="CA318" s="1190">
        <f>'2023'!R\Max</f>
        <v>0.69378240256111201</v>
      </c>
      <c r="CB318" s="1190">
        <f>'2024'!R\Max</f>
        <v>0.69323558410350006</v>
      </c>
      <c r="CC318" s="1190">
        <f>'2025'!R\Max</f>
        <v>0.6926870265940881</v>
      </c>
      <c r="CD318" s="1190">
        <f>'2026'!R\Max</f>
        <v>0.69511551766373703</v>
      </c>
      <c r="CE318" s="1191">
        <f>'2027'!R\Max</f>
        <v>0.69485832360951949</v>
      </c>
      <c r="CF318" s="1193">
        <f>'2028'!R\Max</f>
        <v>0.69459419360069352</v>
      </c>
    </row>
    <row r="319" spans="1:84" s="6" customFormat="1" ht="11.25" x14ac:dyDescent="0.2">
      <c r="A319" s="11">
        <v>43405</v>
      </c>
      <c r="B319" s="379">
        <f>'2022'!Maxi_hp</f>
        <v>32.848992554762482</v>
      </c>
      <c r="C319" s="13">
        <f>'2022'!An_max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34.324963483879614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34.32740350761118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34.354264349290837</v>
      </c>
      <c r="AZ319" s="735">
        <f t="shared" si="134"/>
        <v>34.340833928451005</v>
      </c>
      <c r="BA319" s="633">
        <f t="shared" si="131"/>
        <v>0.9570000728533824</v>
      </c>
      <c r="BC319" s="11">
        <v>43405</v>
      </c>
      <c r="BD319" s="289">
        <f>[2]!FeuilCaduc*(1-Persistant)+Persistant</f>
        <v>0.73093315574060769</v>
      </c>
      <c r="BE319" s="290">
        <f>[2]!CroissVégét</f>
        <v>0.99764270881659778</v>
      </c>
      <c r="BF319" s="804">
        <f>1+[2]!Salcycl*Ksac</f>
        <v>1.0230933155740607</v>
      </c>
      <c r="BH319" s="1036">
        <f t="shared" si="132"/>
        <v>1.3535167947300142E-2</v>
      </c>
      <c r="BI319" s="11">
        <v>44501</v>
      </c>
      <c r="BJ319" s="715">
        <v>1.5070746898605898E-3</v>
      </c>
      <c r="BK319" s="715">
        <v>2.2332764490484067E-3</v>
      </c>
      <c r="BL319" s="715">
        <v>4.7054351290464732E-3</v>
      </c>
      <c r="BM319" s="715">
        <v>9.4110013653251282E-3</v>
      </c>
      <c r="BN319" s="715">
        <v>1.7674000728180244E-2</v>
      </c>
      <c r="BO319" s="716">
        <v>3.3040866920037652E-2</v>
      </c>
      <c r="BP319" s="715">
        <v>5.634695830002126E-2</v>
      </c>
      <c r="BQ319" s="715">
        <v>8.8067781742970253E-2</v>
      </c>
      <c r="BR319" s="715">
        <v>0.12995408304612677</v>
      </c>
      <c r="BS319" s="715">
        <v>0.18124312020860903</v>
      </c>
      <c r="BT319" s="715">
        <v>0.23996565209823129</v>
      </c>
      <c r="BW319" s="1190">
        <f>'2019'!R\Max</f>
        <v>0.20999093154093537</v>
      </c>
      <c r="BX319" s="1190">
        <f>'2020'!R\Max</f>
        <v>0.9570000728533824</v>
      </c>
      <c r="BY319" s="1190">
        <f>'2021'!R\Max</f>
        <v>0.53374887242612101</v>
      </c>
      <c r="BZ319" s="1190">
        <f>'2022'!R\Max</f>
        <v>0.62125957873721571</v>
      </c>
      <c r="CA319" s="1190">
        <f>'2023'!R\Max</f>
        <v>0.62080795460557547</v>
      </c>
      <c r="CB319" s="1190">
        <f>'2024'!R\Max</f>
        <v>0.62019304707243306</v>
      </c>
      <c r="CC319" s="1190">
        <f>'2025'!R\Max</f>
        <v>0.61957642676290314</v>
      </c>
      <c r="CD319" s="1190">
        <f>'2026'!R\Max</f>
        <v>0.62231138760923843</v>
      </c>
      <c r="CE319" s="1191">
        <f>'2027'!R\Max</f>
        <v>0.62202195798915516</v>
      </c>
      <c r="CF319" s="1193">
        <f>'2028'!R\Max</f>
        <v>0.62172486412399086</v>
      </c>
    </row>
    <row r="320" spans="1:84" s="6" customFormat="1" ht="11.25" x14ac:dyDescent="0.2">
      <c r="A320" s="11">
        <v>43406</v>
      </c>
      <c r="B320" s="379">
        <f>'2022'!Maxi_hp</f>
        <v>31.690418579569595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33.989937026106887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33.981430101723944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34.023306122102909</v>
      </c>
      <c r="AZ320" s="735">
        <f t="shared" si="134"/>
        <v>34.002368111913427</v>
      </c>
      <c r="BA320" s="633">
        <f t="shared" si="131"/>
        <v>0.93234708129141031</v>
      </c>
      <c r="BC320" s="11">
        <v>43406</v>
      </c>
      <c r="BD320" s="289">
        <f>[2]!FeuilCaduc*(1-Persistant)+Persistant</f>
        <v>0.72369750676161737</v>
      </c>
      <c r="BE320" s="290">
        <f>[2]!CroissVégét</f>
        <v>0.99775067659530603</v>
      </c>
      <c r="BF320" s="804">
        <f>1+[2]!Salcycl*Ksac</f>
        <v>1.0223697506761618</v>
      </c>
      <c r="BH320" s="1036">
        <f t="shared" si="132"/>
        <v>1.3940036670209953E-2</v>
      </c>
      <c r="BI320" s="11">
        <v>44502</v>
      </c>
      <c r="BJ320" s="715">
        <v>1.6084707901144598E-3</v>
      </c>
      <c r="BK320" s="715">
        <v>2.3700429034101901E-3</v>
      </c>
      <c r="BL320" s="715">
        <v>4.9238796010669531E-3</v>
      </c>
      <c r="BM320" s="715">
        <v>9.7216132365859909E-3</v>
      </c>
      <c r="BN320" s="715">
        <v>1.8173461495245652E-2</v>
      </c>
      <c r="BO320" s="716">
        <v>3.3755781601685672E-2</v>
      </c>
      <c r="BP320" s="715">
        <v>5.7519396724726383E-2</v>
      </c>
      <c r="BQ320" s="715">
        <v>8.9710520734762711E-2</v>
      </c>
      <c r="BR320" s="715">
        <v>0.13227644445812389</v>
      </c>
      <c r="BS320" s="715">
        <v>0.1838600756456735</v>
      </c>
      <c r="BT320" s="715">
        <v>0.24263475195103115</v>
      </c>
      <c r="BW320" s="1190">
        <f>'2019'!R\Max</f>
        <v>0.16522467852950817</v>
      </c>
      <c r="BX320" s="1190">
        <f>'2020'!R\Max</f>
        <v>0.85549978083134526</v>
      </c>
      <c r="BY320" s="1190">
        <f>'2021'!R\Max</f>
        <v>0.8260309832550119</v>
      </c>
      <c r="BZ320" s="1190">
        <f>'2022'!R\Max</f>
        <v>0.93234708129141031</v>
      </c>
      <c r="CA320" s="1190">
        <f>'2023'!R\Max</f>
        <v>0.93222357364722441</v>
      </c>
      <c r="CB320" s="1190">
        <f>'2024'!R\Max</f>
        <v>0.93205595301082866</v>
      </c>
      <c r="CC320" s="1190">
        <f>'2025'!R\Max</f>
        <v>0.9318875901024638</v>
      </c>
      <c r="CD320" s="1190">
        <f>'2026'!R\Max</f>
        <v>0.93263325650616558</v>
      </c>
      <c r="CE320" s="1191">
        <f>'2027'!R\Max</f>
        <v>0.93255475970094392</v>
      </c>
      <c r="CF320" s="1193">
        <f>'2028'!R\Max</f>
        <v>0.93247414506847992</v>
      </c>
    </row>
    <row r="321" spans="1:84" s="6" customFormat="1" ht="11.25" x14ac:dyDescent="0.2">
      <c r="A321" s="11">
        <v>43407</v>
      </c>
      <c r="B321" s="379">
        <f>'2022'!Maxi_hp</f>
        <v>29.614967506581426</v>
      </c>
      <c r="C321" s="13">
        <f>'2022'!An_max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33.657252259472649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33.639490625649763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33.692091772386007</v>
      </c>
      <c r="AZ321" s="735">
        <f t="shared" si="134"/>
        <v>33.665791199017889</v>
      </c>
      <c r="BA321" s="633">
        <f t="shared" si="131"/>
        <v>0.87989855138119466</v>
      </c>
      <c r="BC321" s="11">
        <v>43407</v>
      </c>
      <c r="BD321" s="289">
        <f>[2]!FeuilCaduc*(1-Persistant)+Persistant</f>
        <v>0.7164680124757643</v>
      </c>
      <c r="BE321" s="290">
        <f>[2]!CroissVégét</f>
        <v>0.99785431922609247</v>
      </c>
      <c r="BF321" s="804">
        <f>1+[2]!Salcycl*Ksac</f>
        <v>1.0216468012475763</v>
      </c>
      <c r="BH321" s="1036">
        <f t="shared" si="132"/>
        <v>1.4327285929299861E-2</v>
      </c>
      <c r="BI321" s="11">
        <v>44503</v>
      </c>
      <c r="BJ321" s="715">
        <v>1.7090682735558323E-3</v>
      </c>
      <c r="BK321" s="715">
        <v>2.506269428779712E-3</v>
      </c>
      <c r="BL321" s="715">
        <v>5.1297339316167959E-3</v>
      </c>
      <c r="BM321" s="715">
        <v>1.0013908279748537E-2</v>
      </c>
      <c r="BN321" s="715">
        <v>1.8656002642708974E-2</v>
      </c>
      <c r="BO321" s="716">
        <v>3.4449138019459341E-2</v>
      </c>
      <c r="BP321" s="715">
        <v>5.8689498792951968E-2</v>
      </c>
      <c r="BQ321" s="715">
        <v>9.1352021202400699E-2</v>
      </c>
      <c r="BR321" s="715">
        <v>0.13461212412640364</v>
      </c>
      <c r="BS321" s="715">
        <v>0.18642992935335675</v>
      </c>
      <c r="BT321" s="715">
        <v>0.24516250284596672</v>
      </c>
      <c r="BW321" s="1190">
        <f>'2019'!R\Max</f>
        <v>0.42008883458076707</v>
      </c>
      <c r="BX321" s="1190">
        <f>'2020'!R\Max</f>
        <v>0.87989855138119466</v>
      </c>
      <c r="BY321" s="1190">
        <f>'2021'!R\Max</f>
        <v>0.52813486831321899</v>
      </c>
      <c r="BZ321" s="1190">
        <f>'2022'!R\Max</f>
        <v>0.32950745036953233</v>
      </c>
      <c r="CA321" s="1190">
        <f>'2023'!R\Max</f>
        <v>0.32906676305864713</v>
      </c>
      <c r="CB321" s="1190">
        <f>'2024'!R\Max</f>
        <v>0.32847347709349162</v>
      </c>
      <c r="CC321" s="1190">
        <f>'2025'!R\Max</f>
        <v>0.32787949293738006</v>
      </c>
      <c r="CD321" s="1190">
        <f>'2026'!R\Max</f>
        <v>0.33052890593832268</v>
      </c>
      <c r="CE321" s="1191">
        <f>'2027'!R\Max</f>
        <v>0.33024888073159753</v>
      </c>
      <c r="CF321" s="1193">
        <f>'2028'!R\Max</f>
        <v>0.32996182823554032</v>
      </c>
    </row>
    <row r="322" spans="1:84" s="6" customFormat="1" ht="11.25" x14ac:dyDescent="0.2">
      <c r="A322" s="11">
        <v>43408</v>
      </c>
      <c r="B322" s="379">
        <f>'2022'!Maxi_hp</f>
        <v>19.180366016674423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33.32723848372698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33.30206530655601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33.361101530651965</v>
      </c>
      <c r="AZ322" s="735">
        <f t="shared" si="134"/>
        <v>33.331583418603984</v>
      </c>
      <c r="BA322" s="633">
        <f t="shared" si="131"/>
        <v>0.57551621104280237</v>
      </c>
      <c r="BC322" s="11">
        <v>43408</v>
      </c>
      <c r="BD322" s="289">
        <f>[2]!FeuilCaduc*(1-Persistant)+Persistant</f>
        <v>0.7092552681985711</v>
      </c>
      <c r="BE322" s="290">
        <f>[2]!CroissVégét</f>
        <v>0.99795380912643716</v>
      </c>
      <c r="BF322" s="804">
        <f>1+[2]!Salcycl*Ksac</f>
        <v>1.0209255268198572</v>
      </c>
      <c r="BH322" s="1036">
        <f t="shared" si="132"/>
        <v>1.469687490870043E-2</v>
      </c>
      <c r="BI322" s="11">
        <v>44504</v>
      </c>
      <c r="BJ322" s="715">
        <v>1.8088637492757931E-3</v>
      </c>
      <c r="BK322" s="715">
        <v>2.6419520278920376E-3</v>
      </c>
      <c r="BL322" s="715">
        <v>5.3229741120712762E-3</v>
      </c>
      <c r="BM322" s="715">
        <v>1.0287849284012116E-2</v>
      </c>
      <c r="BN322" s="715">
        <v>1.9121579736811785E-2</v>
      </c>
      <c r="BO322" s="716">
        <v>3.5120869257187812E-2</v>
      </c>
      <c r="BP322" s="715">
        <v>5.9857199479373395E-2</v>
      </c>
      <c r="BQ322" s="715">
        <v>9.2992186581079481E-2</v>
      </c>
      <c r="BR322" s="715">
        <v>0.13696100186244639</v>
      </c>
      <c r="BS322" s="715">
        <v>0.18895242626242184</v>
      </c>
      <c r="BT322" s="715">
        <v>0.24754846232016967</v>
      </c>
      <c r="BW322" s="1190">
        <f>'2019'!R\Max</f>
        <v>0.37362951780802217</v>
      </c>
      <c r="BX322" s="1190">
        <f>'2020'!R\Max</f>
        <v>0.16474333188962775</v>
      </c>
      <c r="BY322" s="1190">
        <f>'2021'!R\Max</f>
        <v>0.50562707718804611</v>
      </c>
      <c r="BZ322" s="1190">
        <f>'2022'!R\Max</f>
        <v>0.57551621104280237</v>
      </c>
      <c r="CA322" s="1190">
        <f>'2023'!R\Max</f>
        <v>0.57501881204245209</v>
      </c>
      <c r="CB322" s="1190">
        <f>'2024'!R\Max</f>
        <v>0.57435230064722276</v>
      </c>
      <c r="CC322" s="1190">
        <f>'2025'!R\Max</f>
        <v>0.57368413520773986</v>
      </c>
      <c r="CD322" s="1190">
        <f>'2026'!R\Max</f>
        <v>0.57666255731281379</v>
      </c>
      <c r="CE322" s="1191">
        <f>'2027'!R\Max</f>
        <v>0.57634947422554861</v>
      </c>
      <c r="CF322" s="1193">
        <f>'2028'!R\Max</f>
        <v>0.57602843077965116</v>
      </c>
    </row>
    <row r="323" spans="1:84" s="6" customFormat="1" ht="11.25" x14ac:dyDescent="0.2">
      <c r="A323" s="11">
        <v>43409</v>
      </c>
      <c r="B323" s="379">
        <f>'2022'!Maxi_hp</f>
        <v>32.750043405506759</v>
      </c>
      <c r="C323" s="13">
        <f>'2022'!An_max</f>
        <v>2022</v>
      </c>
      <c r="D323" s="1045">
        <f t="shared" si="116"/>
        <v>0.99241879123715793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33.000225000455977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32.969634375500029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33.030815624818203</v>
      </c>
      <c r="AZ323" s="735">
        <f t="shared" si="134"/>
        <v>33.000225000159119</v>
      </c>
      <c r="BA323" s="633">
        <f t="shared" si="131"/>
        <v>0.99241879123715793</v>
      </c>
      <c r="BC323" s="11">
        <v>43409</v>
      </c>
      <c r="BD323" s="289">
        <f>[2]!FeuilCaduc*(1-Persistant)+Persistant</f>
        <v>0.70206990159587879</v>
      </c>
      <c r="BE323" s="290">
        <f>[2]!CroissVégét</f>
        <v>0.99804931190721602</v>
      </c>
      <c r="BF323" s="804">
        <f>1+[2]!Salcycl*Ksac</f>
        <v>1.0202069901595878</v>
      </c>
      <c r="BH323" s="1036">
        <f t="shared" si="132"/>
        <v>1.5048761690935109E-2</v>
      </c>
      <c r="BI323" s="11">
        <v>44505</v>
      </c>
      <c r="BJ323" s="715">
        <v>1.9078534740087363E-3</v>
      </c>
      <c r="BK323" s="715">
        <v>2.777086217663319E-3</v>
      </c>
      <c r="BL323" s="715">
        <v>5.5035755975145354E-3</v>
      </c>
      <c r="BM323" s="715">
        <v>1.0543398289054082E-2</v>
      </c>
      <c r="BN323" s="715">
        <v>1.9570146888851357E-2</v>
      </c>
      <c r="BO323" s="716">
        <v>3.5770906275423321E-2</v>
      </c>
      <c r="BP323" s="715">
        <v>6.1022429610960487E-2</v>
      </c>
      <c r="BQ323" s="715">
        <v>9.4630914468825336E-2</v>
      </c>
      <c r="BR323" s="715">
        <v>0.13932294892950117</v>
      </c>
      <c r="BS323" s="715">
        <v>0.19142730298937738</v>
      </c>
      <c r="BT323" s="715">
        <v>0.24979218141623055</v>
      </c>
      <c r="BW323" s="1190">
        <f>'2019'!R\Max</f>
        <v>0.40353448120965657</v>
      </c>
      <c r="BX323" s="1190">
        <f>'2020'!R\Max</f>
        <v>0.50383124647228494</v>
      </c>
      <c r="BY323" s="1190">
        <f>'2021'!R\Max</f>
        <v>0.32749076865776011</v>
      </c>
      <c r="BZ323" s="1190">
        <f>'2022'!R\Max</f>
        <v>0.99241879123715793</v>
      </c>
      <c r="CA323" s="1190">
        <f>'2023'!R\Max</f>
        <v>0.99240314430169096</v>
      </c>
      <c r="CB323" s="1190">
        <f>'2024'!R\Max</f>
        <v>0.99238226827719045</v>
      </c>
      <c r="CC323" s="1190">
        <f>'2025'!R\Max</f>
        <v>0.99236129239232351</v>
      </c>
      <c r="CD323" s="1190">
        <f>'2026'!R\Max</f>
        <v>0.99245458731744296</v>
      </c>
      <c r="CE323" s="1191">
        <f>'2027'!R\Max</f>
        <v>0.99244485719186615</v>
      </c>
      <c r="CF323" s="1193">
        <f>'2028'!R\Max</f>
        <v>0.99243487187066914</v>
      </c>
    </row>
    <row r="324" spans="1:84" s="6" customFormat="1" ht="11.25" x14ac:dyDescent="0.2">
      <c r="A324" s="11">
        <v>43410</v>
      </c>
      <c r="B324" s="379">
        <f>'2022'!Maxi_hp</f>
        <v>32.709345157525121</v>
      </c>
      <c r="C324" s="13">
        <f>'2022'!An_max</f>
        <v>2022</v>
      </c>
      <c r="D324" s="1045">
        <f t="shared" si="116"/>
        <v>1.0010039021295933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32.676541108318737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32.642678060943055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32.701714285835621</v>
      </c>
      <c r="AZ324" s="735">
        <f t="shared" si="134"/>
        <v>32.672196173389338</v>
      </c>
      <c r="BA324" s="633">
        <f t="shared" si="131"/>
        <v>1.0010039021295933</v>
      </c>
      <c r="BC324" s="11">
        <v>43410</v>
      </c>
      <c r="BD324" s="289">
        <f>[2]!FeuilCaduc*(1-Persistant)+Persistant</f>
        <v>0.69492252451354586</v>
      </c>
      <c r="BE324" s="290">
        <f>[2]!CroissVégét</f>
        <v>0.99814098663615436</v>
      </c>
      <c r="BF324" s="804">
        <f>1+[2]!Salcycl*Ksac</f>
        <v>1.0194922524513546</v>
      </c>
      <c r="BH324" s="1036">
        <f t="shared" si="132"/>
        <v>1.5385762082759007E-2</v>
      </c>
      <c r="BI324" s="11">
        <v>44506</v>
      </c>
      <c r="BJ324" s="715">
        <v>1.998028153121435E-3</v>
      </c>
      <c r="BK324" s="715">
        <v>2.9002084929461245E-3</v>
      </c>
      <c r="BL324" s="715">
        <v>5.6650307971531462E-3</v>
      </c>
      <c r="BM324" s="715">
        <v>1.078012551437272E-2</v>
      </c>
      <c r="BN324" s="715">
        <v>2.0007777034669303E-2</v>
      </c>
      <c r="BO324" s="716">
        <v>3.6403143366330666E-2</v>
      </c>
      <c r="BP324" s="715">
        <v>6.2168755135741292E-2</v>
      </c>
      <c r="BQ324" s="715">
        <v>9.6250211906769467E-2</v>
      </c>
      <c r="BR324" s="715">
        <v>0.1416401919232177</v>
      </c>
      <c r="BS324" s="715">
        <v>0.19378992062140232</v>
      </c>
      <c r="BT324" s="715">
        <v>0.2518188431202612</v>
      </c>
      <c r="BW324" s="1190">
        <f>'2019'!R\Max</f>
        <v>0.41560830777777913</v>
      </c>
      <c r="BX324" s="1190">
        <f>'2020'!R\Max</f>
        <v>0.74868432937360219</v>
      </c>
      <c r="BY324" s="1190">
        <f>'2021'!R\Max</f>
        <v>0.40106728744329789</v>
      </c>
      <c r="BZ324" s="1190">
        <f>'2022'!R\Max</f>
        <v>1.0010039021295933</v>
      </c>
      <c r="CA324" s="1190">
        <f>'2023'!R\Max</f>
        <v>1.0010039021295933</v>
      </c>
      <c r="CB324" s="1190">
        <f>'2024'!R\Max</f>
        <v>1.0010039021295933</v>
      </c>
      <c r="CC324" s="1190">
        <f>'2025'!R\Max</f>
        <v>1.0010039021295933</v>
      </c>
      <c r="CD324" s="1190">
        <f>'2026'!R\Max</f>
        <v>1.0010039021295933</v>
      </c>
      <c r="CE324" s="1191">
        <f>'2027'!R\Max</f>
        <v>1.0010039021295933</v>
      </c>
      <c r="CF324" s="1193">
        <f>'2028'!R\Max</f>
        <v>1.0010039021295933</v>
      </c>
    </row>
    <row r="325" spans="1:84" s="6" customFormat="1" ht="11.25" x14ac:dyDescent="0.2">
      <c r="A325" s="11">
        <v>43411</v>
      </c>
      <c r="B325" s="379">
        <f>'2022'!Maxi_hp</f>
        <v>30.677102433110111</v>
      </c>
      <c r="C325" s="13">
        <f>'2022'!An_max</f>
        <v>2022</v>
      </c>
      <c r="D325" s="1045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32.356516108103094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32.321676594209364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32.374277742113918</v>
      </c>
      <c r="AZ325" s="735">
        <f t="shared" si="134"/>
        <v>32.347977168161641</v>
      </c>
      <c r="BA325" s="633">
        <f t="shared" si="131"/>
        <v>0.94809658526331875</v>
      </c>
      <c r="BC325" s="11">
        <v>43411</v>
      </c>
      <c r="BD325" s="289">
        <f>[2]!FeuilCaduc*(1-Persistant)+Persistant</f>
        <v>0.68782368443427799</v>
      </c>
      <c r="BE325" s="290">
        <f>[2]!CroissVégét</f>
        <v>0.99822898609149657</v>
      </c>
      <c r="BF325" s="804">
        <f>1+[2]!Salcycl*Ksac</f>
        <v>1.0187823684434278</v>
      </c>
      <c r="BH325" s="1036">
        <f t="shared" si="132"/>
        <v>1.5709041601207327E-2</v>
      </c>
      <c r="BI325" s="11">
        <v>44507</v>
      </c>
      <c r="BJ325" s="715">
        <v>2.0803864994480689E-3</v>
      </c>
      <c r="BK325" s="715">
        <v>3.0121869031535741E-3</v>
      </c>
      <c r="BL325" s="715">
        <v>5.8082953881811146E-3</v>
      </c>
      <c r="BM325" s="715">
        <v>1.0999062083216072E-2</v>
      </c>
      <c r="BN325" s="715">
        <v>2.0435770563013884E-2</v>
      </c>
      <c r="BO325" s="716">
        <v>3.7035402606955557E-2</v>
      </c>
      <c r="BP325" s="715">
        <v>6.331635173810074E-2</v>
      </c>
      <c r="BQ325" s="715">
        <v>9.7869808582675202E-2</v>
      </c>
      <c r="BR325" s="715">
        <v>0.14390803056746118</v>
      </c>
      <c r="BS325" s="715">
        <v>0.19605289657395278</v>
      </c>
      <c r="BT325" s="715">
        <v>0.25368864436049748</v>
      </c>
      <c r="BW325" s="1190">
        <f>'2019'!R\Max</f>
        <v>0.13356695998118967</v>
      </c>
      <c r="BX325" s="1190">
        <f>'2020'!R\Max</f>
        <v>0.54582492826267126</v>
      </c>
      <c r="BY325" s="1190">
        <f>'2021'!R\Max</f>
        <v>0.27324245831825955</v>
      </c>
      <c r="BZ325" s="1190">
        <f>'2022'!R\Max</f>
        <v>0.94809658526331875</v>
      </c>
      <c r="CA325" s="1190">
        <f>'2023'!R\Max</f>
        <v>0.94799015513275187</v>
      </c>
      <c r="CB325" s="1190">
        <f>'2024'!R\Max</f>
        <v>0.9478498874991913</v>
      </c>
      <c r="CC325" s="1190">
        <f>'2025'!R\Max</f>
        <v>0.9477089805756882</v>
      </c>
      <c r="CD325" s="1190">
        <f>'2026'!R\Max</f>
        <v>0.94833801898564818</v>
      </c>
      <c r="CE325" s="1191">
        <f>'2027'!R\Max</f>
        <v>0.94827280088710497</v>
      </c>
      <c r="CF325" s="1193">
        <f>'2028'!R\Max</f>
        <v>0.94820592421355687</v>
      </c>
    </row>
    <row r="326" spans="1:84" s="6" customFormat="1" ht="11.25" x14ac:dyDescent="0.2">
      <c r="A326" s="11">
        <v>43412</v>
      </c>
      <c r="B326" s="379">
        <f>'2022'!Maxi_hp</f>
        <v>24.301685975957074</v>
      </c>
      <c r="C326" s="13">
        <f>'2022'!An_max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32.040479300384007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32.007110203732736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32.048986224617281</v>
      </c>
      <c r="AZ326" s="735">
        <f t="shared" si="134"/>
        <v>32.028048214175008</v>
      </c>
      <c r="BA326" s="633">
        <f t="shared" si="131"/>
        <v>0.75846824100617671</v>
      </c>
      <c r="BC326" s="11">
        <v>43412</v>
      </c>
      <c r="BD326" s="289">
        <f>[2]!FeuilCaduc*(1-Persistant)+Persistant</f>
        <v>0.68078381589920012</v>
      </c>
      <c r="BE326" s="290">
        <f>[2]!CroissVégét</f>
        <v>0.99831345700622864</v>
      </c>
      <c r="BF326" s="804">
        <f>1+[2]!Salcycl*Ksac</f>
        <v>1.0180783815899199</v>
      </c>
      <c r="BH326" s="1036">
        <f t="shared" si="132"/>
        <v>1.6018561469371324E-2</v>
      </c>
      <c r="BI326" s="11">
        <v>44508</v>
      </c>
      <c r="BJ326" s="715">
        <v>2.1549144350305159E-3</v>
      </c>
      <c r="BK326" s="715">
        <v>3.1130014324390457E-3</v>
      </c>
      <c r="BL326" s="715">
        <v>5.933336597781988E-3</v>
      </c>
      <c r="BM326" s="715">
        <v>1.1200169739594701E-2</v>
      </c>
      <c r="BN326" s="715">
        <v>2.0854088174204574E-2</v>
      </c>
      <c r="BO326" s="716">
        <v>3.7667639341964869E-2</v>
      </c>
      <c r="BP326" s="715">
        <v>6.4465143579837778E-2</v>
      </c>
      <c r="BQ326" s="715">
        <v>9.9489587733380111E-2</v>
      </c>
      <c r="BR326" s="715">
        <v>0.14612622675328246</v>
      </c>
      <c r="BS326" s="715">
        <v>0.19821587678663075</v>
      </c>
      <c r="BT326" s="715">
        <v>0.25540110750293327</v>
      </c>
      <c r="BW326" s="1190">
        <f>'2019'!R\Max</f>
        <v>0.4228006261834068</v>
      </c>
      <c r="BX326" s="1190">
        <f>'2020'!R\Max</f>
        <v>0.17745028121699605</v>
      </c>
      <c r="BY326" s="1190">
        <f>'2021'!R\Max</f>
        <v>0.75846824100617671</v>
      </c>
      <c r="BZ326" s="1190">
        <f>'2022'!R\Max</f>
        <v>0.68952099800773914</v>
      </c>
      <c r="CA326" s="1190">
        <f>'2023'!R\Max</f>
        <v>0.68904934301574627</v>
      </c>
      <c r="CB326" s="1190">
        <f>'2024'!R\Max</f>
        <v>0.68843216532708096</v>
      </c>
      <c r="CC326" s="1190">
        <f>'2025'!R\Max</f>
        <v>0.68781309285331838</v>
      </c>
      <c r="CD326" s="1190">
        <f>'2026'!R\Max</f>
        <v>0.6905889541764938</v>
      </c>
      <c r="CE326" s="1191">
        <f>'2027'!R\Max</f>
        <v>0.6903009802071306</v>
      </c>
      <c r="CF326" s="1193">
        <f>'2028'!R\Max</f>
        <v>0.69000598662616186</v>
      </c>
    </row>
    <row r="327" spans="1:84" s="6" customFormat="1" ht="11.25" x14ac:dyDescent="0.2">
      <c r="A327" s="11">
        <v>43413</v>
      </c>
      <c r="B327" s="379">
        <f>'2022'!Maxi_hp</f>
        <v>24.305673600704964</v>
      </c>
      <c r="C327" s="13">
        <f>'2022'!An_max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31.728759985204256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31.69945912106861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31.726319962021496</v>
      </c>
      <c r="AZ327" s="735">
        <f t="shared" si="134"/>
        <v>31.712889541545053</v>
      </c>
      <c r="BA327" s="633">
        <f t="shared" si="131"/>
        <v>0.7660454934904225</v>
      </c>
      <c r="BC327" s="11">
        <v>43413</v>
      </c>
      <c r="BD327" s="289">
        <f>[2]!FeuilCaduc*(1-Persistant)+Persistant</f>
        <v>0.6738131922345636</v>
      </c>
      <c r="BE327" s="290">
        <f>[2]!CroissVégét</f>
        <v>0.99839454030316765</v>
      </c>
      <c r="BF327" s="804">
        <f>1+[2]!Salcycl*Ksac</f>
        <v>1.0173813192234564</v>
      </c>
      <c r="BH327" s="1036">
        <f t="shared" si="132"/>
        <v>1.6314282287564957E-2</v>
      </c>
      <c r="BI327" s="11">
        <v>44509</v>
      </c>
      <c r="BJ327" s="715">
        <v>2.2215978873210253E-3</v>
      </c>
      <c r="BK327" s="715">
        <v>3.2026320925242564E-3</v>
      </c>
      <c r="BL327" s="715">
        <v>6.0401218431702375E-3</v>
      </c>
      <c r="BM327" s="715">
        <v>1.13834101344963E-2</v>
      </c>
      <c r="BN327" s="715">
        <v>2.1262689414145237E-2</v>
      </c>
      <c r="BO327" s="716">
        <v>3.8299806669989146E-2</v>
      </c>
      <c r="BP327" s="715">
        <v>6.561505069278907E-2</v>
      </c>
      <c r="BQ327" s="715">
        <v>0.10110942683728628</v>
      </c>
      <c r="BR327" s="715">
        <v>0.14829453624275693</v>
      </c>
      <c r="BS327" s="715">
        <v>0.20027850310414017</v>
      </c>
      <c r="BT327" s="715">
        <v>0.25695575454253111</v>
      </c>
      <c r="BW327" s="1190">
        <f>'2019'!R\Max</f>
        <v>0.63490490007191436</v>
      </c>
      <c r="BX327" s="1190">
        <f>'2020'!R\Max</f>
        <v>0.7660454934904225</v>
      </c>
      <c r="BY327" s="1190">
        <f>'2021'!R\Max</f>
        <v>0.56270429867918292</v>
      </c>
      <c r="BZ327" s="1190">
        <f>'2022'!R\Max</f>
        <v>0.34231820447957606</v>
      </c>
      <c r="CA327" s="1190">
        <f>'2023'!R\Max</f>
        <v>0.34181323777533729</v>
      </c>
      <c r="CB327" s="1190">
        <f>'2024'!R\Max</f>
        <v>0.34115743054023395</v>
      </c>
      <c r="CC327" s="1190">
        <f>'2025'!R\Max</f>
        <v>0.34050094540573667</v>
      </c>
      <c r="CD327" s="1190">
        <f>'2026'!R\Max</f>
        <v>0.34346076239045908</v>
      </c>
      <c r="CE327" s="1191">
        <f>'2027'!R\Max</f>
        <v>0.34315301174438373</v>
      </c>
      <c r="CF327" s="1193">
        <f>'2028'!R\Max</f>
        <v>0.34283816619692864</v>
      </c>
    </row>
    <row r="328" spans="1:84" s="6" customFormat="1" ht="11.25" x14ac:dyDescent="0.2">
      <c r="A328" s="11">
        <v>43414</v>
      </c>
      <c r="B328" s="379">
        <f>'2022'!Maxi_hp</f>
        <v>21.978449121102202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31.421687463617751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31.399203571855157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31.406759183534554</v>
      </c>
      <c r="AZ328" s="735">
        <f t="shared" si="134"/>
        <v>31.402981377694857</v>
      </c>
      <c r="BA328" s="633">
        <f t="shared" si="131"/>
        <v>0.69946749825420429</v>
      </c>
      <c r="BC328" s="11">
        <v>43414</v>
      </c>
      <c r="BD328" s="289">
        <f>[2]!FeuilCaduc*(1-Persistant)+Persistant</f>
        <v>0.66692187792389579</v>
      </c>
      <c r="BE328" s="290">
        <f>[2]!CroissVégét</f>
        <v>0.99847237132123801</v>
      </c>
      <c r="BF328" s="804">
        <f>1+[2]!Salcycl*Ksac</f>
        <v>1.0166921877923896</v>
      </c>
      <c r="BH328" s="1036">
        <f t="shared" si="132"/>
        <v>1.6596164161356664E-2</v>
      </c>
      <c r="BI328" s="11">
        <v>44510</v>
      </c>
      <c r="BJ328" s="715">
        <v>2.2804228615782894E-3</v>
      </c>
      <c r="BK328" s="715">
        <v>3.2810590258669642E-3</v>
      </c>
      <c r="BL328" s="715">
        <v>6.1286188996177611E-3</v>
      </c>
      <c r="BM328" s="715">
        <v>1.1548744990635478E-2</v>
      </c>
      <c r="BN328" s="715">
        <v>2.1661532765507304E-2</v>
      </c>
      <c r="BO328" s="716">
        <v>3.893185544703661E-2</v>
      </c>
      <c r="BP328" s="715">
        <v>6.6765988973905566E-2</v>
      </c>
      <c r="BQ328" s="715">
        <v>0.1027291976207353</v>
      </c>
      <c r="BR328" s="715">
        <v>0.15041270913522117</v>
      </c>
      <c r="BS328" s="715">
        <v>0.20224041420144082</v>
      </c>
      <c r="BT328" s="715">
        <v>0.25835210854785645</v>
      </c>
      <c r="BW328" s="1190">
        <f>'2019'!R\Max</f>
        <v>0.60948611849269485</v>
      </c>
      <c r="BX328" s="1190">
        <f>'2020'!R\Max</f>
        <v>0.50093014226342669</v>
      </c>
      <c r="BY328" s="1190">
        <f>'2021'!R\Max</f>
        <v>0.21143185845209769</v>
      </c>
      <c r="BZ328" s="1190">
        <f>'2022'!R\Max</f>
        <v>0.69946749825420429</v>
      </c>
      <c r="CA328" s="1190">
        <f>'2023'!R\Max</f>
        <v>0.69898690266224062</v>
      </c>
      <c r="CB328" s="1190">
        <f>'2024'!R\Max</f>
        <v>0.69836510684624398</v>
      </c>
      <c r="CC328" s="1190">
        <f>'2025'!R\Max</f>
        <v>0.69774137036494499</v>
      </c>
      <c r="CD328" s="1190">
        <f>'2026'!R\Max</f>
        <v>0.70054897574427422</v>
      </c>
      <c r="CE328" s="1191">
        <f>'2027'!R\Max</f>
        <v>0.70025866972104656</v>
      </c>
      <c r="CF328" s="1193">
        <f>'2028'!R\Max</f>
        <v>0.69996147558877309</v>
      </c>
    </row>
    <row r="329" spans="1:84" s="6" customFormat="1" ht="11.25" x14ac:dyDescent="0.2">
      <c r="A329" s="11">
        <v>43415</v>
      </c>
      <c r="B329" s="379">
        <f>'2022'!Maxi_hp</f>
        <v>30.116810356519398</v>
      </c>
      <c r="C329" s="13">
        <f>'2022'!An_max</f>
        <v>2022</v>
      </c>
      <c r="D329" s="1045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31.119591034948826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31.106823789011525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31.090784119495321</v>
      </c>
      <c r="AZ329" s="735">
        <f t="shared" si="134"/>
        <v>31.098803954253423</v>
      </c>
      <c r="BA329" s="633">
        <f t="shared" si="131"/>
        <v>0.96777654702135207</v>
      </c>
      <c r="BC329" s="11">
        <v>43415</v>
      </c>
      <c r="BD329" s="289">
        <f>[2]!FeuilCaduc*(1-Persistant)+Persistant</f>
        <v>0.66011968196288662</v>
      </c>
      <c r="BE329" s="290">
        <f>[2]!CroissVégét</f>
        <v>0.99854708003323223</v>
      </c>
      <c r="BF329" s="804">
        <f>1+[2]!Salcycl*Ksac</f>
        <v>1.0160119681962887</v>
      </c>
      <c r="BH329" s="1036">
        <f t="shared" si="132"/>
        <v>1.6864166829454134E-2</v>
      </c>
      <c r="BI329" s="11">
        <v>44511</v>
      </c>
      <c r="BJ329" s="715">
        <v>2.3313755132437657E-3</v>
      </c>
      <c r="BK329" s="715">
        <v>3.3482626088001672E-3</v>
      </c>
      <c r="BL329" s="715">
        <v>6.1987960684260837E-3</v>
      </c>
      <c r="BM329" s="715">
        <v>1.1696136267100929E-2</v>
      </c>
      <c r="BN329" s="715">
        <v>2.2050575738721431E-2</v>
      </c>
      <c r="BO329" s="716">
        <v>3.9563734289561329E-2</v>
      </c>
      <c r="BP329" s="715">
        <v>6.7917870179737036E-2</v>
      </c>
      <c r="BQ329" s="715">
        <v>0.10434876606347086</v>
      </c>
      <c r="BR329" s="715">
        <v>0.15248049033216979</v>
      </c>
      <c r="BS329" s="715">
        <v>0.2041012465070888</v>
      </c>
      <c r="BT329" s="715">
        <v>0.25958969510337593</v>
      </c>
      <c r="BW329" s="1190">
        <f>'2019'!R\Max</f>
        <v>0.77857140526509849</v>
      </c>
      <c r="BX329" s="1190">
        <f>'2020'!R\Max</f>
        <v>0.34948270843455664</v>
      </c>
      <c r="BY329" s="1190">
        <f>'2021'!R\Max</f>
        <v>0.36438687802229902</v>
      </c>
      <c r="BZ329" s="1190">
        <f>'2022'!R\Max</f>
        <v>0.96777654702135207</v>
      </c>
      <c r="CA329" s="1190">
        <f>'2023'!R\Max</f>
        <v>0.96770391203648254</v>
      </c>
      <c r="CB329" s="1190">
        <f>'2024'!R\Max</f>
        <v>0.9676103209797221</v>
      </c>
      <c r="CC329" s="1190">
        <f>'2025'!R\Max</f>
        <v>0.96751628647142029</v>
      </c>
      <c r="CD329" s="1190">
        <f>'2026'!R\Max</f>
        <v>0.96793926149034992</v>
      </c>
      <c r="CE329" s="1191">
        <f>'2027'!R\Max</f>
        <v>0.9678957064800322</v>
      </c>
      <c r="CF329" s="1193">
        <f>'2028'!R\Max</f>
        <v>0.96785109867717511</v>
      </c>
    </row>
    <row r="330" spans="1:84" s="6" customFormat="1" ht="11.25" x14ac:dyDescent="0.2">
      <c r="A330" s="11">
        <v>43416</v>
      </c>
      <c r="B330" s="379">
        <f>'2022'!Maxi_hp</f>
        <v>29.661008081081796</v>
      </c>
      <c r="C330" s="13">
        <f>'2022'!An_max</f>
        <v>2022</v>
      </c>
      <c r="D330" s="1045" t="str">
        <f t="shared" si="116"/>
        <v/>
      </c>
      <c r="E330" s="1040">
        <f>AJ$13/10</f>
        <v>30.822800000000001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30.822799999266863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30.82280000001192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30.778875000029803</v>
      </c>
      <c r="AZ330" s="735">
        <f t="shared" si="134"/>
        <v>30.800837500020862</v>
      </c>
      <c r="BA330" s="633">
        <f t="shared" si="131"/>
        <v>0.96230738549993189</v>
      </c>
      <c r="BC330" s="11">
        <v>43416</v>
      </c>
      <c r="BD330" s="289">
        <f>[2]!FeuilCaduc*(1-Persistant)+Persistant</f>
        <v>0.65341611252840293</v>
      </c>
      <c r="BE330" s="290">
        <f>[2]!CroissVégét</f>
        <v>0.99861879125535868</v>
      </c>
      <c r="BF330" s="804">
        <f>1+[2]!Salcycl*Ksac</f>
        <v>1.0153416112528404</v>
      </c>
      <c r="BH330" s="1036">
        <f t="shared" si="132"/>
        <v>1.711824979179636E-2</v>
      </c>
      <c r="BI330" s="11">
        <v>44512</v>
      </c>
      <c r="BJ330" s="715">
        <v>2.3744422203463506E-3</v>
      </c>
      <c r="BK330" s="715">
        <v>3.404223554712101E-3</v>
      </c>
      <c r="BL330" s="715">
        <v>6.2506223449751716E-3</v>
      </c>
      <c r="BM330" s="715">
        <v>1.1825546324146924E-2</v>
      </c>
      <c r="BN330" s="715">
        <v>2.2429774963239585E-2</v>
      </c>
      <c r="BO330" s="716">
        <v>4.0195389578017895E-2</v>
      </c>
      <c r="BP330" s="715">
        <v>6.9070601921750754E-2</v>
      </c>
      <c r="BQ330" s="715">
        <v>0.10596799240538395</v>
      </c>
      <c r="BR330" s="715">
        <v>0.15449762000403272</v>
      </c>
      <c r="BS330" s="715">
        <v>0.20586063512910746</v>
      </c>
      <c r="BT330" s="715">
        <v>0.26066804375499586</v>
      </c>
      <c r="BW330" s="1190">
        <f>'2019'!R\Max</f>
        <v>0.61902568164730987</v>
      </c>
      <c r="BX330" s="1190">
        <f>'2020'!R\Max</f>
        <v>0.83985130156378418</v>
      </c>
      <c r="BY330" s="1190">
        <f>'2021'!R\Max</f>
        <v>0.24166267624029247</v>
      </c>
      <c r="BZ330" s="1190">
        <f>'2022'!R\Max</f>
        <v>0.96230738549993189</v>
      </c>
      <c r="CA330" s="1190">
        <f>'2023'!R\Max</f>
        <v>0.96222139894596015</v>
      </c>
      <c r="CB330" s="1190">
        <f>'2024'!R\Max</f>
        <v>0.96211120473407075</v>
      </c>
      <c r="CC330" s="1190">
        <f>'2025'!R\Max</f>
        <v>0.96200048988055109</v>
      </c>
      <c r="CD330" s="1190">
        <f>'2026'!R\Max</f>
        <v>0.9624996039625503</v>
      </c>
      <c r="CE330" s="1191">
        <f>'2027'!R\Max</f>
        <v>0.96244822920731199</v>
      </c>
      <c r="CF330" s="1193">
        <f>'2028'!R\Max</f>
        <v>0.96239562981568505</v>
      </c>
    </row>
    <row r="331" spans="1:84" s="6" customFormat="1" ht="11.25" x14ac:dyDescent="0.2">
      <c r="A331" s="11">
        <v>43417</v>
      </c>
      <c r="B331" s="379">
        <f>'2022'!Maxi_hp</f>
        <v>29.071978311267806</v>
      </c>
      <c r="C331" s="13">
        <f>'2022'!An_max</f>
        <v>2020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30.529631268392716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30.542753218779602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30.47151205330821</v>
      </c>
      <c r="AZ331" s="735">
        <f t="shared" si="134"/>
        <v>30.507132636043906</v>
      </c>
      <c r="BA331" s="633">
        <f t="shared" si="131"/>
        <v>0.95225448534538915</v>
      </c>
      <c r="BC331" s="11">
        <v>43417</v>
      </c>
      <c r="BD331" s="289">
        <f>[2]!FeuilCaduc*(1-Persistant)+Persistant</f>
        <v>0.64682033328426958</v>
      </c>
      <c r="BE331" s="290">
        <f>[2]!CroissVégét</f>
        <v>0.99868762484886009</v>
      </c>
      <c r="BF331" s="804">
        <f>1+[2]!Salcycl*Ksac</f>
        <v>1.014682033328427</v>
      </c>
      <c r="BH331" s="1036">
        <f t="shared" si="132"/>
        <v>1.7358372437388799E-2</v>
      </c>
      <c r="BI331" s="11">
        <v>44513</v>
      </c>
      <c r="BJ331" s="715">
        <v>2.4096096558717506E-3</v>
      </c>
      <c r="BK331" s="715">
        <v>3.4489230171754789E-3</v>
      </c>
      <c r="BL331" s="715">
        <v>6.2840675866773429E-3</v>
      </c>
      <c r="BM331" s="715">
        <v>1.1936938087806102E-2</v>
      </c>
      <c r="BN331" s="715">
        <v>2.2799086278461816E-2</v>
      </c>
      <c r="BO331" s="716">
        <v>4.0826765459813369E-2</v>
      </c>
      <c r="BP331" s="715">
        <v>7.0224087660616108E-2</v>
      </c>
      <c r="BQ331" s="715">
        <v>0.10758673115166907</v>
      </c>
      <c r="BR331" s="715">
        <v>0.15646383405462452</v>
      </c>
      <c r="BS331" s="715">
        <v>0.20751821477773116</v>
      </c>
      <c r="BT331" s="715">
        <v>0.26158668945160435</v>
      </c>
      <c r="BW331" s="1190">
        <f>'2019'!R\Max</f>
        <v>0.63529868023134728</v>
      </c>
      <c r="BX331" s="1190">
        <f>'2020'!R\Max</f>
        <v>0.95225448534538915</v>
      </c>
      <c r="BY331" s="1190">
        <f>'2021'!R\Max</f>
        <v>0.18521583548872295</v>
      </c>
      <c r="BZ331" s="1190">
        <f>'2022'!R\Max</f>
        <v>0.93434363284803668</v>
      </c>
      <c r="CA331" s="1190">
        <f>'2023'!R\Max</f>
        <v>0.93419566353984707</v>
      </c>
      <c r="CB331" s="1190">
        <f>'2024'!R\Max</f>
        <v>0.93400706974571412</v>
      </c>
      <c r="CC331" s="1190">
        <f>'2025'!R\Max</f>
        <v>0.93381761358565518</v>
      </c>
      <c r="CD331" s="1190">
        <f>'2026'!R\Max</f>
        <v>0.93467388644288818</v>
      </c>
      <c r="CE331" s="1191">
        <f>'2027'!R\Max</f>
        <v>0.93458572047309629</v>
      </c>
      <c r="CF331" s="1193">
        <f>'2028'!R\Max</f>
        <v>0.93449548783651926</v>
      </c>
    </row>
    <row r="332" spans="1:84" s="6" customFormat="1" ht="11.25" x14ac:dyDescent="0.2">
      <c r="A332" s="11">
        <v>43418</v>
      </c>
      <c r="B332" s="379">
        <f>'2022'!Maxi_hp</f>
        <v>19.875209801097167</v>
      </c>
      <c r="C332" s="13">
        <f>'2022'!An_max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30.238548105635811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30.262360320666005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30.169175510055254</v>
      </c>
      <c r="AZ332" s="735">
        <f t="shared" si="134"/>
        <v>30.21576791536063</v>
      </c>
      <c r="BA332" s="633">
        <f t="shared" si="131"/>
        <v>0.65728055896284443</v>
      </c>
      <c r="BC332" s="11">
        <v>43418</v>
      </c>
      <c r="BD332" s="289">
        <f>[2]!FeuilCaduc*(1-Persistant)+Persistant</f>
        <v>0.64034112163493384</v>
      </c>
      <c r="BE332" s="290">
        <f>[2]!CroissVégét</f>
        <v>0.99875369591398344</v>
      </c>
      <c r="BF332" s="804">
        <f>1+[2]!Salcycl*Ksac</f>
        <v>1.0140341121634935</v>
      </c>
      <c r="BH332" s="1036">
        <f t="shared" si="132"/>
        <v>1.7589030450589942E-2</v>
      </c>
      <c r="BI332" s="11">
        <v>44514</v>
      </c>
      <c r="BJ332" s="715">
        <v>2.4308535611656406E-3</v>
      </c>
      <c r="BK332" s="715">
        <v>3.4801117571096854E-3</v>
      </c>
      <c r="BL332" s="715">
        <v>6.3086356255004769E-3</v>
      </c>
      <c r="BM332" s="715">
        <v>1.2043838318262591E-2</v>
      </c>
      <c r="BN332" s="715">
        <v>2.3153942176964509E-2</v>
      </c>
      <c r="BO332" s="716">
        <v>4.1426933567147252E-2</v>
      </c>
      <c r="BP332" s="715">
        <v>7.1323825081650374E-2</v>
      </c>
      <c r="BQ332" s="715">
        <v>0.10915552533212015</v>
      </c>
      <c r="BR332" s="715">
        <v>0.15830525784210944</v>
      </c>
      <c r="BS332" s="715">
        <v>0.20897588882556131</v>
      </c>
      <c r="BT332" s="715">
        <v>0.26220650141414786</v>
      </c>
      <c r="BW332" s="1190">
        <f>'2019'!R\Max</f>
        <v>0.19799366433944557</v>
      </c>
      <c r="BX332" s="1190">
        <f>'2020'!R\Max</f>
        <v>0.65728055896284443</v>
      </c>
      <c r="BY332" s="1190">
        <f>'2021'!R\Max</f>
        <v>0.21740932407053212</v>
      </c>
      <c r="BZ332" s="1190">
        <f>'2022'!R\Max</f>
        <v>0.34804977406199261</v>
      </c>
      <c r="CA332" s="1190">
        <f>'2023'!R\Max</f>
        <v>0.34749418341473454</v>
      </c>
      <c r="CB332" s="1190">
        <f>'2024'!R\Max</f>
        <v>0.34679138897276252</v>
      </c>
      <c r="CC332" s="1190">
        <f>'2025'!R\Max</f>
        <v>0.34608793363768042</v>
      </c>
      <c r="CD332" s="1190">
        <f>'2026'!R\Max</f>
        <v>0.34929329565344652</v>
      </c>
      <c r="CE332" s="1191">
        <f>'2027'!R\Max</f>
        <v>0.34896096911378988</v>
      </c>
      <c r="CF332" s="1193">
        <f>'2028'!R\Max</f>
        <v>0.34862154251552468</v>
      </c>
    </row>
    <row r="333" spans="1:84" s="6" customFormat="1" ht="11.25" x14ac:dyDescent="0.2">
      <c r="A333" s="11">
        <v>43419</v>
      </c>
      <c r="B333" s="379">
        <f>'2022'!Maxi_hp</f>
        <v>26.911873928380832</v>
      </c>
      <c r="C333" s="13">
        <f>'2022'!An_max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29.950099344019378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29.982185330029047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29.872345599053165</v>
      </c>
      <c r="AZ333" s="735">
        <f t="shared" si="134"/>
        <v>29.927265464541108</v>
      </c>
      <c r="BA333" s="633">
        <f t="shared" si="131"/>
        <v>0.89855708387674382</v>
      </c>
      <c r="BC333" s="11">
        <v>43419</v>
      </c>
      <c r="BD333" s="289">
        <f>[2]!FeuilCaduc*(1-Persistant)+Persistant</f>
        <v>0.63398682922389349</v>
      </c>
      <c r="BE333" s="290">
        <f>[2]!CroissVégét</f>
        <v>0.99881711497657366</v>
      </c>
      <c r="BF333" s="804">
        <f>1+[2]!Salcycl*Ksac</f>
        <v>1.0133986829223893</v>
      </c>
      <c r="BH333" s="1036">
        <f t="shared" si="132"/>
        <v>1.7827049688075212E-2</v>
      </c>
      <c r="BI333" s="11">
        <v>44515</v>
      </c>
      <c r="BJ333" s="715">
        <v>2.4380333997133458E-3</v>
      </c>
      <c r="BK333" s="715">
        <v>3.4975459724272784E-3</v>
      </c>
      <c r="BL333" s="715">
        <v>6.3361710526784916E-3</v>
      </c>
      <c r="BM333" s="715">
        <v>1.2163842713911464E-2</v>
      </c>
      <c r="BN333" s="715">
        <v>2.351039593602261E-2</v>
      </c>
      <c r="BO333" s="716">
        <v>4.2000134968768171E-2</v>
      </c>
      <c r="BP333" s="715">
        <v>7.2352656409976651E-2</v>
      </c>
      <c r="BQ333" s="715">
        <v>0.11065686067876844</v>
      </c>
      <c r="BR333" s="715">
        <v>0.16001459097381132</v>
      </c>
      <c r="BS333" s="715">
        <v>0.21026963309610172</v>
      </c>
      <c r="BT333" s="715">
        <v>0.26261006106170159</v>
      </c>
      <c r="BW333" s="1190">
        <f>'2019'!R\Max</f>
        <v>0.39793948652358374</v>
      </c>
      <c r="BX333" s="1190">
        <f>'2020'!R\Max</f>
        <v>0.89855708387674382</v>
      </c>
      <c r="BY333" s="1190">
        <f>'2021'!R\Max</f>
        <v>0.17118631950096783</v>
      </c>
      <c r="BZ333" s="1190">
        <f>'2022'!R\Max</f>
        <v>0.45125259979935622</v>
      </c>
      <c r="CA333" s="1190">
        <f>'2023'!R\Max</f>
        <v>0.45063711198215939</v>
      </c>
      <c r="CB333" s="1190">
        <f>'2024'!R\Max</f>
        <v>0.4498601910376745</v>
      </c>
      <c r="CC333" s="1190">
        <f>'2025'!R\Max</f>
        <v>0.44908204793833933</v>
      </c>
      <c r="CD333" s="1190">
        <f>'2026'!R\Max</f>
        <v>0.45262662942392828</v>
      </c>
      <c r="CE333" s="1191">
        <f>'2027'!R\Max</f>
        <v>0.45226004018787686</v>
      </c>
      <c r="CF333" s="1193">
        <f>'2028'!R\Max</f>
        <v>0.45188562659864434</v>
      </c>
    </row>
    <row r="334" spans="1:84" s="6" customFormat="1" ht="11.25" x14ac:dyDescent="0.2">
      <c r="A334" s="11">
        <v>43420</v>
      </c>
      <c r="B334" s="379">
        <f>'2022'!Maxi_hp</f>
        <v>29.201940874416742</v>
      </c>
      <c r="C334" s="13">
        <f>'2022'!An_max</f>
        <v>2022</v>
      </c>
      <c r="D334" s="1045">
        <f t="shared" si="116"/>
        <v>0.9843959029756939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29.664833819546867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29.702792268352852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29.581502550441236</v>
      </c>
      <c r="AZ334" s="735">
        <f t="shared" si="134"/>
        <v>29.642147409397044</v>
      </c>
      <c r="BA334" s="633">
        <f t="shared" si="131"/>
        <v>0.9843959029756939</v>
      </c>
      <c r="BC334" s="11">
        <v>43420</v>
      </c>
      <c r="BD334" s="289">
        <f>[2]!FeuilCaduc*(1-Persistant)+Persistant</f>
        <v>0.62776534495701308</v>
      </c>
      <c r="BE334" s="290">
        <f>[2]!CroissVégét</f>
        <v>0.9988779881675528</v>
      </c>
      <c r="BF334" s="804">
        <f>1+[2]!Salcycl*Ksac</f>
        <v>1.0127765344957014</v>
      </c>
      <c r="BH334" s="1036">
        <f t="shared" si="132"/>
        <v>1.8072413429281765E-2</v>
      </c>
      <c r="BI334" s="11">
        <v>44516</v>
      </c>
      <c r="BJ334" s="715">
        <v>2.4311306293033075E-3</v>
      </c>
      <c r="BK334" s="715">
        <v>3.501206133823933E-3</v>
      </c>
      <c r="BL334" s="715">
        <v>6.3666705727231229E-3</v>
      </c>
      <c r="BM334" s="715">
        <v>1.2296950786594979E-2</v>
      </c>
      <c r="BN334" s="715">
        <v>2.3868414544943126E-2</v>
      </c>
      <c r="BO334" s="716">
        <v>4.2546279053874335E-2</v>
      </c>
      <c r="BP334" s="715">
        <v>7.3310395930505062E-2</v>
      </c>
      <c r="BQ334" s="715">
        <v>0.11209050291995155</v>
      </c>
      <c r="BR334" s="715">
        <v>0.16159147330418649</v>
      </c>
      <c r="BS334" s="715">
        <v>0.2113990228580985</v>
      </c>
      <c r="BT334" s="715">
        <v>0.26279687245694139</v>
      </c>
      <c r="BW334" s="1190">
        <f>'2019'!R\Max</f>
        <v>0.49594811990975357</v>
      </c>
      <c r="BX334" s="1190">
        <f>'2020'!R\Max</f>
        <v>0.70023988709401397</v>
      </c>
      <c r="BY334" s="1190">
        <f>'2021'!R\Max</f>
        <v>0.3240104128646108</v>
      </c>
      <c r="BZ334" s="1190">
        <f>'2022'!R\Max</f>
        <v>0.9843959029756939</v>
      </c>
      <c r="CA334" s="1190">
        <f>'2023'!R\Max</f>
        <v>0.98435716304953225</v>
      </c>
      <c r="CB334" s="1190">
        <f>'2024'!R\Max</f>
        <v>0.98430816701759249</v>
      </c>
      <c r="CC334" s="1190">
        <f>'2025'!R\Max</f>
        <v>0.98425892698501805</v>
      </c>
      <c r="CD334" s="1190">
        <f>'2026'!R\Max</f>
        <v>0.9844818611915257</v>
      </c>
      <c r="CE334" s="1191">
        <f>'2027'!R\Max</f>
        <v>0.98445900676257603</v>
      </c>
      <c r="CF334" s="1193">
        <f>'2028'!R\Max</f>
        <v>0.98443563481895213</v>
      </c>
    </row>
    <row r="335" spans="1:84" s="6" customFormat="1" ht="11.25" x14ac:dyDescent="0.2">
      <c r="A335" s="11">
        <v>43421</v>
      </c>
      <c r="B335" s="379">
        <f>'2022'!Maxi_hp</f>
        <v>23.200751935750731</v>
      </c>
      <c r="C335" s="13">
        <f>'2022'!An_max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29.38330036396427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29.424745161724939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29.297126594172529</v>
      </c>
      <c r="AZ335" s="735">
        <f t="shared" si="134"/>
        <v>29.360935877948734</v>
      </c>
      <c r="BA335" s="633">
        <f t="shared" ref="BA335:BA380" si="150">+B335/J335</f>
        <v>0.78958972097648272</v>
      </c>
      <c r="BC335" s="11">
        <v>43421</v>
      </c>
      <c r="BD335" s="289">
        <f>[2]!FeuilCaduc*(1-Persistant)+Persistant</f>
        <v>0.62168406081163563</v>
      </c>
      <c r="BE335" s="290">
        <f>[2]!CroissVégét</f>
        <v>0.99893641739554129</v>
      </c>
      <c r="BF335" s="804">
        <f>1+[2]!Salcycl*Ksac</f>
        <v>1.0121684060811635</v>
      </c>
      <c r="BH335" s="1036">
        <f t="shared" ref="BH335:BH380" si="151">INDEX($BJ335:$BT335,,$BH$10)*(1-Ratini)+INDEX($BJ335:$BT335,,$BH$10+1)*Ratini</f>
        <v>1.8325103497326078E-2</v>
      </c>
      <c r="BI335" s="11">
        <v>44517</v>
      </c>
      <c r="BJ335" s="715">
        <v>2.4101278419116092E-3</v>
      </c>
      <c r="BK335" s="715">
        <v>3.4910737841661169E-3</v>
      </c>
      <c r="BL335" s="715">
        <v>6.4001305487293237E-3</v>
      </c>
      <c r="BM335" s="715">
        <v>1.2443160540819976E-2</v>
      </c>
      <c r="BN335" s="715">
        <v>2.4227963587908557E-2</v>
      </c>
      <c r="BO335" s="716">
        <v>4.306527538794655E-2</v>
      </c>
      <c r="BP335" s="715">
        <v>7.4196860098321646E-2</v>
      </c>
      <c r="BQ335" s="715">
        <v>0.11345621798445486</v>
      </c>
      <c r="BR335" s="715">
        <v>0.16303554948413276</v>
      </c>
      <c r="BS335" s="715">
        <v>0.21236364231189322</v>
      </c>
      <c r="BT335" s="715">
        <v>0.26276645612433175</v>
      </c>
      <c r="BW335" s="1190">
        <f>'2019'!R\Max</f>
        <v>0.43956698429073099</v>
      </c>
      <c r="BX335" s="1190">
        <f>'2020'!R\Max</f>
        <v>0.78958972097648272</v>
      </c>
      <c r="BY335" s="1190">
        <f>'2021'!R\Max</f>
        <v>9.8752140551690237E-2</v>
      </c>
      <c r="BZ335" s="1190">
        <f>'2022'!R\Max</f>
        <v>0.50725419353409418</v>
      </c>
      <c r="CA335" s="1190">
        <f>'2023'!R\Max</f>
        <v>0.506617159673452</v>
      </c>
      <c r="CB335" s="1190">
        <f>'2024'!R\Max</f>
        <v>0.50581331681630448</v>
      </c>
      <c r="CC335" s="1190">
        <f>'2025'!R\Max</f>
        <v>0.50500792137638462</v>
      </c>
      <c r="CD335" s="1190">
        <f>'2026'!R\Max</f>
        <v>0.5086706460779804</v>
      </c>
      <c r="CE335" s="1191">
        <f>'2027'!R\Max</f>
        <v>0.50829378173333384</v>
      </c>
      <c r="CF335" s="1193">
        <f>'2028'!R\Max</f>
        <v>0.50790907051203971</v>
      </c>
    </row>
    <row r="336" spans="1:84" s="6" customFormat="1" ht="11.25" x14ac:dyDescent="0.2">
      <c r="A336" s="11">
        <v>43422</v>
      </c>
      <c r="B336" s="379">
        <f>'2022'!Maxi_hp</f>
        <v>27.250192771666942</v>
      </c>
      <c r="C336" s="13">
        <f>'2022'!An_max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29.106047813381469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29.148608033518705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29.019697958230971</v>
      </c>
      <c r="AZ336" s="735">
        <f t="shared" ref="AZ336:AZ380" si="153">(AY336+AT336)/2</f>
        <v>29.084152995874838</v>
      </c>
      <c r="BA336" s="633">
        <f t="shared" si="150"/>
        <v>0.93623816419138495</v>
      </c>
      <c r="BC336" s="11">
        <v>43422</v>
      </c>
      <c r="BD336" s="289">
        <f>[2]!FeuilCaduc*(1-Persistant)+Persistant</f>
        <v>0.61574984067096328</v>
      </c>
      <c r="BE336" s="290">
        <f>[2]!CroissVégét</f>
        <v>0.99899250051286803</v>
      </c>
      <c r="BF336" s="804">
        <f>1+[2]!Salcycl*Ksac</f>
        <v>1.0115749840670962</v>
      </c>
      <c r="BH336" s="1036">
        <f t="shared" si="151"/>
        <v>1.8585100191300604E-2</v>
      </c>
      <c r="BI336" s="11">
        <v>44518</v>
      </c>
      <c r="BJ336" s="715">
        <v>2.3750088922040607E-3</v>
      </c>
      <c r="BK336" s="715">
        <v>3.4671316641124907E-3</v>
      </c>
      <c r="BL336" s="715">
        <v>6.4365469746874128E-3</v>
      </c>
      <c r="BM336" s="715">
        <v>1.2602468353286553E-2</v>
      </c>
      <c r="BN336" s="715">
        <v>2.4589007229229156E-2</v>
      </c>
      <c r="BO336" s="716">
        <v>4.3557033958899649E-2</v>
      </c>
      <c r="BP336" s="715">
        <v>7.5011868186829839E-2</v>
      </c>
      <c r="BQ336" s="715">
        <v>0.1147537726171199</v>
      </c>
      <c r="BR336" s="715">
        <v>0.16434647016402462</v>
      </c>
      <c r="BS336" s="715">
        <v>0.21316308607513235</v>
      </c>
      <c r="BT336" s="715">
        <v>0.26251835100233362</v>
      </c>
      <c r="BW336" s="1190">
        <f>'2019'!R\Max</f>
        <v>0.40798400405860058</v>
      </c>
      <c r="BX336" s="1190">
        <f>'2020'!R\Max</f>
        <v>0.93623816419138495</v>
      </c>
      <c r="BY336" s="1190">
        <f>'2021'!R\Max</f>
        <v>0.6232506623081171</v>
      </c>
      <c r="BZ336" s="1190">
        <f>'2022'!R\Max</f>
        <v>0.58655498671783757</v>
      </c>
      <c r="CA336" s="1190">
        <f>'2023'!R\Max</f>
        <v>0.58593041727227957</v>
      </c>
      <c r="CB336" s="1190">
        <f>'2024'!R\Max</f>
        <v>0.58514043247326875</v>
      </c>
      <c r="CC336" s="1190">
        <f>'2025'!R\Max</f>
        <v>0.58434850535053506</v>
      </c>
      <c r="CD336" s="1190">
        <f>'2026'!R\Max</f>
        <v>0.58794032454580225</v>
      </c>
      <c r="CE336" s="1191">
        <f>'2027'!R\Max</f>
        <v>0.587572333497415</v>
      </c>
      <c r="CF336" s="1193">
        <f>'2028'!R\Max</f>
        <v>0.58719672314795512</v>
      </c>
    </row>
    <row r="337" spans="1:84" s="6" customFormat="1" ht="11.25" x14ac:dyDescent="0.2">
      <c r="A337" s="11">
        <v>43423</v>
      </c>
      <c r="B337" s="379">
        <f>'2022'!Maxi_hp</f>
        <v>28.562272949049884</v>
      </c>
      <c r="C337" s="13">
        <f>'2022'!An_max</f>
        <v>2020</v>
      </c>
      <c r="D337" s="1045">
        <f t="shared" si="135"/>
        <v>0.99058904142120285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28.833624999597667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28.874944906868041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28.749696874059737</v>
      </c>
      <c r="AZ337" s="735">
        <f t="shared" si="153"/>
        <v>28.812320890463887</v>
      </c>
      <c r="BA337" s="633">
        <f t="shared" si="150"/>
        <v>0.99058904142120285</v>
      </c>
      <c r="BC337" s="11">
        <v>43423</v>
      </c>
      <c r="BD337" s="289">
        <f>[2]!FeuilCaduc*(1-Persistant)+Persistant</f>
        <v>0.60996899239967906</v>
      </c>
      <c r="BE337" s="290">
        <f>[2]!CroissVégét</f>
        <v>0.99904633147520905</v>
      </c>
      <c r="BF337" s="804">
        <f>1+[2]!Salcycl*Ksac</f>
        <v>1.0109968992399678</v>
      </c>
      <c r="BH337" s="1036">
        <f t="shared" si="151"/>
        <v>1.8852382218654012E-2</v>
      </c>
      <c r="BI337" s="11">
        <v>44519</v>
      </c>
      <c r="BJ337" s="715">
        <v>2.3257590260479131E-3</v>
      </c>
      <c r="BK337" s="715">
        <v>3.4293638377497857E-3</v>
      </c>
      <c r="BL337" s="715">
        <v>6.4759154478229537E-3</v>
      </c>
      <c r="BM337" s="715">
        <v>1.2774868852472872E-2</v>
      </c>
      <c r="BN337" s="715">
        <v>2.4951508198706351E-2</v>
      </c>
      <c r="BO337" s="716">
        <v>4.4021465423428129E-2</v>
      </c>
      <c r="BP337" s="715">
        <v>7.5755242936226305E-2</v>
      </c>
      <c r="BQ337" s="715">
        <v>0.11598293499496476</v>
      </c>
      <c r="BR337" s="715">
        <v>0.16552389319747177</v>
      </c>
      <c r="BS337" s="715">
        <v>0.21379696066939446</v>
      </c>
      <c r="BT337" s="715">
        <v>0.26205211639671816</v>
      </c>
      <c r="BW337" s="1190">
        <f>'2019'!R\Max</f>
        <v>0.65604958033953431</v>
      </c>
      <c r="BX337" s="1190">
        <f>'2020'!R\Max</f>
        <v>0.99058904142120285</v>
      </c>
      <c r="BY337" s="1190">
        <f>'2021'!R\Max</f>
        <v>0.9632949998784065</v>
      </c>
      <c r="BZ337" s="1190">
        <f>'2022'!R\Max</f>
        <v>0.27009941919351405</v>
      </c>
      <c r="CA337" s="1190">
        <f>'2023'!R\Max</f>
        <v>0.2696075426228432</v>
      </c>
      <c r="CB337" s="1190">
        <f>'2024'!R\Max</f>
        <v>0.26898436888724825</v>
      </c>
      <c r="CC337" s="1190">
        <f>'2025'!R\Max</f>
        <v>0.26836083583298542</v>
      </c>
      <c r="CD337" s="1190">
        <f>'2026'!R\Max</f>
        <v>0.27119107333336789</v>
      </c>
      <c r="CE337" s="1191">
        <f>'2027'!R\Max</f>
        <v>0.27090111853823118</v>
      </c>
      <c r="CF337" s="1193">
        <f>'2028'!R\Max</f>
        <v>0.27060553238688978</v>
      </c>
    </row>
    <row r="338" spans="1:84" s="6" customFormat="1" ht="11.25" x14ac:dyDescent="0.2">
      <c r="A338" s="11">
        <v>43424</v>
      </c>
      <c r="B338" s="379">
        <f>'2022'!Maxi_hp</f>
        <v>28.66422438766487</v>
      </c>
      <c r="C338" s="13">
        <f>'2022'!An_max</f>
        <v>2018</v>
      </c>
      <c r="D338" s="1045">
        <f t="shared" si="135"/>
        <v>1.0034181070029984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28.566580757924488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28.604319805545469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28.487603570441053</v>
      </c>
      <c r="AZ338" s="735">
        <f t="shared" si="153"/>
        <v>28.545961687993263</v>
      </c>
      <c r="BA338" s="633">
        <f t="shared" si="150"/>
        <v>1.0034181070029984</v>
      </c>
      <c r="BC338" s="11">
        <v>43424</v>
      </c>
      <c r="BD338" s="289">
        <f>[2]!FeuilCaduc*(1-Persistant)+Persistant</f>
        <v>0.60434724335141232</v>
      </c>
      <c r="BE338" s="290">
        <f>[2]!CroissVégét</f>
        <v>0.99909800049508712</v>
      </c>
      <c r="BF338" s="804">
        <f>1+[2]!Salcycl*Ksac</f>
        <v>1.0104347243351413</v>
      </c>
      <c r="BH338" s="1036">
        <f t="shared" si="151"/>
        <v>1.9107939922704494E-2</v>
      </c>
      <c r="BI338" s="11">
        <v>44520</v>
      </c>
      <c r="BJ338" s="715">
        <v>2.2660832470075007E-3</v>
      </c>
      <c r="BK338" s="715">
        <v>3.39084425735766E-3</v>
      </c>
      <c r="BL338" s="715">
        <v>6.5212009892380123E-3</v>
      </c>
      <c r="BM338" s="715">
        <v>1.2947617184128337E-2</v>
      </c>
      <c r="BN338" s="715">
        <v>2.5290169758583253E-2</v>
      </c>
      <c r="BO338" s="716">
        <v>4.446517992139945E-2</v>
      </c>
      <c r="BP338" s="715">
        <v>7.6460062309511412E-2</v>
      </c>
      <c r="BQ338" s="715">
        <v>0.11713449806140415</v>
      </c>
      <c r="BR338" s="715">
        <v>0.16651398285774924</v>
      </c>
      <c r="BS338" s="715">
        <v>0.21418256347193196</v>
      </c>
      <c r="BT338" s="715">
        <v>0.26132898749639427</v>
      </c>
      <c r="BW338" s="1190">
        <f>'2019'!R\Max</f>
        <v>1.0034181070029984</v>
      </c>
      <c r="BX338" s="1190">
        <f>'2020'!R\Max</f>
        <v>0.32833568476600394</v>
      </c>
      <c r="BY338" s="1190">
        <f>'2021'!R\Max</f>
        <v>0.77441078208067549</v>
      </c>
      <c r="BZ338" s="1190">
        <f>'2022'!R\Max</f>
        <v>0.60120131069085814</v>
      </c>
      <c r="CA338" s="1190">
        <f>'2023'!R\Max</f>
        <v>0.60057315215757157</v>
      </c>
      <c r="CB338" s="1190">
        <f>'2024'!R\Max</f>
        <v>0.59977360520382028</v>
      </c>
      <c r="CC338" s="1190">
        <f>'2025'!R\Max</f>
        <v>0.59897198566643128</v>
      </c>
      <c r="CD338" s="1190">
        <f>'2026'!R\Max</f>
        <v>0.60258993521096915</v>
      </c>
      <c r="CE338" s="1191">
        <f>'2027'!R\Max</f>
        <v>0.60222194768970339</v>
      </c>
      <c r="CF338" s="1193">
        <f>'2028'!R\Max</f>
        <v>0.60184657170952338</v>
      </c>
    </row>
    <row r="339" spans="1:84" s="6" customFormat="1" ht="11.25" x14ac:dyDescent="0.2">
      <c r="A339" s="11">
        <v>43425</v>
      </c>
      <c r="B339" s="379">
        <f>'2022'!Maxi_hp</f>
        <v>27.981917732937102</v>
      </c>
      <c r="C339" s="13">
        <f>'2022'!An_max</f>
        <v>2018</v>
      </c>
      <c r="D339" s="1045">
        <f t="shared" si="135"/>
        <v>0.98856947941851248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28.305463920852965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28.337296755744944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28.233898277088468</v>
      </c>
      <c r="AZ339" s="735">
        <f t="shared" si="153"/>
        <v>28.285597516416708</v>
      </c>
      <c r="BA339" s="633">
        <f t="shared" si="150"/>
        <v>0.98856947941851248</v>
      </c>
      <c r="BC339" s="11">
        <v>43425</v>
      </c>
      <c r="BD339" s="289">
        <f>[2]!FeuilCaduc*(1-Persistant)+Persistant</f>
        <v>0.598889719471694</v>
      </c>
      <c r="BE339" s="290">
        <f>[2]!CroissVégét</f>
        <v>0.99914759418945731</v>
      </c>
      <c r="BF339" s="804">
        <f>1+[2]!Salcycl*Ksac</f>
        <v>1.0098889719471693</v>
      </c>
      <c r="BH339" s="1036">
        <f t="shared" si="151"/>
        <v>1.9348857024271637E-2</v>
      </c>
      <c r="BI339" s="11">
        <v>44521</v>
      </c>
      <c r="BJ339" s="715">
        <v>2.2040248552888204E-3</v>
      </c>
      <c r="BK339" s="715">
        <v>3.3630963475612188E-3</v>
      </c>
      <c r="BL339" s="715">
        <v>6.5789211414994586E-3</v>
      </c>
      <c r="BM339" s="715">
        <v>1.3121086668688104E-2</v>
      </c>
      <c r="BN339" s="715">
        <v>2.5598774331719188E-2</v>
      </c>
      <c r="BO339" s="716">
        <v>4.4884107676548525E-2</v>
      </c>
      <c r="BP339" s="715">
        <v>7.7142642296731442E-2</v>
      </c>
      <c r="BQ339" s="715">
        <v>0.11822621556050554</v>
      </c>
      <c r="BR339" s="715">
        <v>0.1673743396177326</v>
      </c>
      <c r="BS339" s="715">
        <v>0.21438419980410794</v>
      </c>
      <c r="BT339" s="715">
        <v>0.26042333182825039</v>
      </c>
      <c r="BW339" s="1190">
        <f>'2019'!R\Max</f>
        <v>0.98856947941851248</v>
      </c>
      <c r="BX339" s="1190">
        <f>'2020'!R\Max</f>
        <v>0.72385411931091592</v>
      </c>
      <c r="BY339" s="1190">
        <f>'2021'!R\Max</f>
        <v>0.35298369577232641</v>
      </c>
      <c r="BZ339" s="1190">
        <f>'2022'!R\Max</f>
        <v>0.12163229627760677</v>
      </c>
      <c r="CA339" s="1190">
        <f>'2023'!R\Max</f>
        <v>0.1214070777965396</v>
      </c>
      <c r="CB339" s="1190">
        <f>'2024'!R\Max</f>
        <v>0.12112040771492029</v>
      </c>
      <c r="CC339" s="1190">
        <f>'2025'!R\Max</f>
        <v>0.12083357571600205</v>
      </c>
      <c r="CD339" s="1190">
        <f>'2026'!R\Max</f>
        <v>0.12213079328345777</v>
      </c>
      <c r="CE339" s="1191">
        <f>'2027'!R\Max</f>
        <v>0.12199864960863981</v>
      </c>
      <c r="CF339" s="1193">
        <f>'2028'!R\Max</f>
        <v>0.12186400575286838</v>
      </c>
    </row>
    <row r="340" spans="1:84" s="6" customFormat="1" ht="11.25" x14ac:dyDescent="0.2">
      <c r="A340" s="11">
        <v>43426</v>
      </c>
      <c r="B340" s="379">
        <f>'2022'!Maxi_hp</f>
        <v>29.203443370360098</v>
      </c>
      <c r="C340" s="13">
        <f>'2022'!An_max</f>
        <v>2020</v>
      </c>
      <c r="D340" s="1045">
        <f t="shared" si="135"/>
        <v>1.0410904176789828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28.050823323747942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28.074439778604678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27.989061225046004</v>
      </c>
      <c r="AZ340" s="735">
        <f t="shared" si="153"/>
        <v>28.031750501825343</v>
      </c>
      <c r="BA340" s="633">
        <f t="shared" si="150"/>
        <v>1.0410904176789828</v>
      </c>
      <c r="BC340" s="11">
        <v>43426</v>
      </c>
      <c r="BD340" s="289">
        <f>[2]!FeuilCaduc*(1-Persistant)+Persistant</f>
        <v>0.59360092813166976</v>
      </c>
      <c r="BE340" s="290">
        <f>[2]!CroissVégét</f>
        <v>0.99919519572159454</v>
      </c>
      <c r="BF340" s="804">
        <f>1+[2]!Salcycl*Ksac</f>
        <v>1.009360092813167</v>
      </c>
      <c r="BH340" s="1036">
        <f t="shared" si="151"/>
        <v>1.9575089404485525E-2</v>
      </c>
      <c r="BI340" s="11">
        <v>44522</v>
      </c>
      <c r="BJ340" s="715">
        <v>2.1395831677732216E-3</v>
      </c>
      <c r="BK340" s="715">
        <v>3.3461277480118456E-3</v>
      </c>
      <c r="BL340" s="715">
        <v>6.6490772182012346E-3</v>
      </c>
      <c r="BM340" s="715">
        <v>1.3295255986855702E-2</v>
      </c>
      <c r="BN340" s="715">
        <v>2.5877254918591833E-2</v>
      </c>
      <c r="BO340" s="716">
        <v>4.5278161986460584E-2</v>
      </c>
      <c r="BP340" s="715">
        <v>7.7802853465982549E-2</v>
      </c>
      <c r="BQ340" s="715">
        <v>0.11925786444751375</v>
      </c>
      <c r="BR340" s="715">
        <v>0.16810464695504948</v>
      </c>
      <c r="BS340" s="715">
        <v>0.21440149880791606</v>
      </c>
      <c r="BT340" s="715">
        <v>0.25933479783433544</v>
      </c>
      <c r="BW340" s="1190">
        <f>'2019'!R\Max</f>
        <v>0.48886482416501664</v>
      </c>
      <c r="BX340" s="1190">
        <f>'2020'!R\Max</f>
        <v>1.0410904176789828</v>
      </c>
      <c r="BY340" s="1190">
        <f>'2021'!R\Max</f>
        <v>0.70484276827808456</v>
      </c>
      <c r="BZ340" s="1190">
        <f>'2022'!R\Max</f>
        <v>0.30368062356355585</v>
      </c>
      <c r="CA340" s="1190">
        <f>'2023'!R\Max</f>
        <v>0.30311769394885263</v>
      </c>
      <c r="CB340" s="1190">
        <f>'2024'!R\Max</f>
        <v>0.30240057710373025</v>
      </c>
      <c r="CC340" s="1190">
        <f>'2025'!R\Max</f>
        <v>0.30168303650405198</v>
      </c>
      <c r="CD340" s="1190">
        <f>'2026'!R\Max</f>
        <v>0.30492506393641722</v>
      </c>
      <c r="CE340" s="1191">
        <f>'2027'!R\Max</f>
        <v>0.30459550202704216</v>
      </c>
      <c r="CF340" s="1193">
        <f>'2028'!R\Max</f>
        <v>0.30425973246362298</v>
      </c>
    </row>
    <row r="341" spans="1:84" s="6" customFormat="1" ht="11.25" x14ac:dyDescent="0.2">
      <c r="A341" s="11">
        <v>43427</v>
      </c>
      <c r="B341" s="379">
        <f>'2022'!Maxi_hp</f>
        <v>29.107219927904186</v>
      </c>
      <c r="C341" s="13">
        <f>'2022'!An_max</f>
        <v>2020</v>
      </c>
      <c r="D341" s="1045">
        <f t="shared" si="135"/>
        <v>1.0469014992264492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27.803207798834354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27.816312898801907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27.75357264039506</v>
      </c>
      <c r="AZ341" s="735">
        <f t="shared" si="153"/>
        <v>27.784942769598484</v>
      </c>
      <c r="BA341" s="633">
        <f t="shared" si="150"/>
        <v>1.0469014992264492</v>
      </c>
      <c r="BC341" s="11">
        <v>43427</v>
      </c>
      <c r="BD341" s="289">
        <f>[2]!FeuilCaduc*(1-Persistant)+Persistant</f>
        <v>0.58848474479836355</v>
      </c>
      <c r="BE341" s="290">
        <f>[2]!CroissVégét</f>
        <v>0.99924088493749397</v>
      </c>
      <c r="BF341" s="804">
        <f>1+[2]!Salcycl*Ksac</f>
        <v>1.0088484744798363</v>
      </c>
      <c r="BH341" s="1036">
        <f t="shared" si="151"/>
        <v>1.9786470633600603E-2</v>
      </c>
      <c r="BI341" s="11">
        <v>44523</v>
      </c>
      <c r="BJ341" s="715">
        <v>2.0727451195904226E-3</v>
      </c>
      <c r="BK341" s="715">
        <v>3.3399241826434574E-3</v>
      </c>
      <c r="BL341" s="715">
        <v>6.7316270005385549E-3</v>
      </c>
      <c r="BM341" s="715">
        <v>1.3470019282384555E-2</v>
      </c>
      <c r="BN341" s="715">
        <v>2.6125384300547571E-2</v>
      </c>
      <c r="BO341" s="716">
        <v>4.5646973462991521E-2</v>
      </c>
      <c r="BP341" s="715">
        <v>7.8440078405790079E-2</v>
      </c>
      <c r="BQ341" s="715">
        <v>0.12022847653427106</v>
      </c>
      <c r="BR341" s="715">
        <v>0.16870355061838516</v>
      </c>
      <c r="BS341" s="715">
        <v>0.21423277745617231</v>
      </c>
      <c r="BT341" s="715">
        <v>0.25806145320118967</v>
      </c>
      <c r="BW341" s="1190">
        <f>'2019'!R\Max</f>
        <v>0.25292596417557645</v>
      </c>
      <c r="BX341" s="1190">
        <f>'2020'!R\Max</f>
        <v>1.0469014992264492</v>
      </c>
      <c r="BY341" s="1190">
        <f>'2021'!R\Max</f>
        <v>0.47720133765432332</v>
      </c>
      <c r="BZ341" s="1190">
        <f>'2022'!R\Max</f>
        <v>0.51462856712252758</v>
      </c>
      <c r="CA341" s="1190">
        <f>'2023'!R\Max</f>
        <v>0.51395758331273622</v>
      </c>
      <c r="CB341" s="1190">
        <f>'2024'!R\Max</f>
        <v>0.51310188361207387</v>
      </c>
      <c r="CC341" s="1190">
        <f>'2025'!R\Max</f>
        <v>0.51224444873109376</v>
      </c>
      <c r="CD341" s="1190">
        <f>'2026'!R\Max</f>
        <v>0.51610756085878584</v>
      </c>
      <c r="CE341" s="1191">
        <f>'2027'!R\Max</f>
        <v>0.51571660144207998</v>
      </c>
      <c r="CF341" s="1193">
        <f>'2028'!R\Max</f>
        <v>0.51531801306986724</v>
      </c>
    </row>
    <row r="342" spans="1:84" s="6" customFormat="1" ht="11.25" x14ac:dyDescent="0.2">
      <c r="A342" s="11">
        <v>43428</v>
      </c>
      <c r="B342" s="379">
        <f>'2022'!Maxi_hp</f>
        <v>27.112988230859333</v>
      </c>
      <c r="C342" s="13">
        <f>'2022'!An_max</f>
        <v>2020</v>
      </c>
      <c r="D342" s="1045">
        <f t="shared" si="135"/>
        <v>0.98366740791809637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27.563166180572342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27.563480140268801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27.527912754804966</v>
      </c>
      <c r="AZ342" s="735">
        <f t="shared" si="153"/>
        <v>27.545696447536884</v>
      </c>
      <c r="BA342" s="633">
        <f t="shared" si="150"/>
        <v>0.98366740791809637</v>
      </c>
      <c r="BC342" s="11">
        <v>43428</v>
      </c>
      <c r="BD342" s="289">
        <f>[2]!FeuilCaduc*(1-Persistant)+Persistant</f>
        <v>0.58354440361693261</v>
      </c>
      <c r="BE342" s="290">
        <f>[2]!CroissVégét</f>
        <v>0.99928473849698995</v>
      </c>
      <c r="BF342" s="804">
        <f>1+[2]!Salcycl*Ksac</f>
        <v>1.0083544403616933</v>
      </c>
      <c r="BH342" s="1036">
        <f t="shared" si="151"/>
        <v>1.9982913184990687E-2</v>
      </c>
      <c r="BI342" s="11">
        <v>44524</v>
      </c>
      <c r="BJ342" s="715">
        <v>2.003508212025982E-3</v>
      </c>
      <c r="BK342" s="715">
        <v>3.3444838880368594E-3</v>
      </c>
      <c r="BL342" s="715">
        <v>6.8265524413019312E-3</v>
      </c>
      <c r="BM342" s="715">
        <v>1.3645322176794671E-2</v>
      </c>
      <c r="BN342" s="715">
        <v>2.6343041684933895E-2</v>
      </c>
      <c r="BO342" s="716">
        <v>4.5990356416848427E-2</v>
      </c>
      <c r="BP342" s="715">
        <v>7.9054012470948135E-2</v>
      </c>
      <c r="BQ342" s="715">
        <v>0.12113756673888465</v>
      </c>
      <c r="BR342" s="715">
        <v>0.16917039930333011</v>
      </c>
      <c r="BS342" s="715">
        <v>0.21387727083761554</v>
      </c>
      <c r="BT342" s="715">
        <v>0.2566024924066781</v>
      </c>
      <c r="BW342" s="1190">
        <f>'2019'!R\Max</f>
        <v>0.51584032825669512</v>
      </c>
      <c r="BX342" s="1190">
        <f>'2020'!R\Max</f>
        <v>0.98366740791809637</v>
      </c>
      <c r="BY342" s="1190">
        <f>'2021'!R\Max</f>
        <v>7.0780836952377746E-2</v>
      </c>
      <c r="BZ342" s="1190">
        <f>'2022'!R\Max</f>
        <v>0.54493894929439024</v>
      </c>
      <c r="CA342" s="1190">
        <f>'2023'!R\Max</f>
        <v>0.5442670866395013</v>
      </c>
      <c r="CB342" s="1190">
        <f>'2024'!R\Max</f>
        <v>0.54341109618078598</v>
      </c>
      <c r="CC342" s="1190">
        <f>'2025'!R\Max</f>
        <v>0.54255319098394694</v>
      </c>
      <c r="CD342" s="1190">
        <f>'2026'!R\Max</f>
        <v>0.54641798840902511</v>
      </c>
      <c r="CE342" s="1191">
        <f>'2027'!R\Max</f>
        <v>0.54602741842485703</v>
      </c>
      <c r="CF342" s="1193">
        <f>'2028'!R\Max</f>
        <v>0.5456291506986003</v>
      </c>
    </row>
    <row r="343" spans="1:84" s="6" customFormat="1" ht="11.25" x14ac:dyDescent="0.2">
      <c r="A343" s="11">
        <v>43429</v>
      </c>
      <c r="B343" s="379">
        <f>'2022'!Maxi_hp</f>
        <v>25.709723482797013</v>
      </c>
      <c r="C343" s="13">
        <f>'2022'!An_max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27.33124730267695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27.316505528720359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27.312561798548057</v>
      </c>
      <c r="AZ343" s="735">
        <f t="shared" si="153"/>
        <v>27.314533663634208</v>
      </c>
      <c r="BA343" s="633">
        <f t="shared" si="150"/>
        <v>0.94067142995990827</v>
      </c>
      <c r="BC343" s="11">
        <v>43429</v>
      </c>
      <c r="BD343" s="289">
        <f>[2]!FeuilCaduc*(1-Persistant)+Persistant</f>
        <v>0.57878249194941001</v>
      </c>
      <c r="BE343" s="290">
        <f>[2]!CroissVégét</f>
        <v>0.99932682999978462</v>
      </c>
      <c r="BF343" s="804">
        <f>1+[2]!Salcycl*Ksac</f>
        <v>1.007878249194941</v>
      </c>
      <c r="BH343" s="1036">
        <f t="shared" si="151"/>
        <v>2.0164432995401563E-2</v>
      </c>
      <c r="BI343" s="11">
        <v>44525</v>
      </c>
      <c r="BJ343" s="715">
        <v>1.9318810878658696E-3</v>
      </c>
      <c r="BK343" s="715">
        <v>3.3598204427163405E-3</v>
      </c>
      <c r="BL343" s="715">
        <v>6.9338677819024393E-3</v>
      </c>
      <c r="BM343" s="715">
        <v>1.3821178895413988E-2</v>
      </c>
      <c r="BN343" s="715">
        <v>2.6530244726000501E-2</v>
      </c>
      <c r="BO343" s="716">
        <v>4.6308362570672744E-2</v>
      </c>
      <c r="BP343" s="715">
        <v>7.9644755600682487E-2</v>
      </c>
      <c r="BQ343" s="715">
        <v>0.12198527439135692</v>
      </c>
      <c r="BR343" s="715">
        <v>0.16950542686308015</v>
      </c>
      <c r="BS343" s="715">
        <v>0.21333534296748113</v>
      </c>
      <c r="BT343" s="715">
        <v>0.25495846527798716</v>
      </c>
      <c r="BW343" s="1190">
        <f>'2019'!R\Max</f>
        <v>0.44118647775324571</v>
      </c>
      <c r="BX343" s="1190">
        <f>'2020'!R\Max</f>
        <v>0.94067142995990827</v>
      </c>
      <c r="BY343" s="1190">
        <f>'2021'!R\Max</f>
        <v>0.65164131858337626</v>
      </c>
      <c r="BZ343" s="1190">
        <f>'2022'!R\Max</f>
        <v>0.19012857960028506</v>
      </c>
      <c r="CA343" s="1190">
        <f>'2023'!R\Max</f>
        <v>0.18976440050698287</v>
      </c>
      <c r="CB343" s="1190">
        <f>'2024'!R\Max</f>
        <v>0.18930209787836361</v>
      </c>
      <c r="CC343" s="1190">
        <f>'2025'!R\Max</f>
        <v>0.18883955438335351</v>
      </c>
      <c r="CD343" s="1190">
        <f>'2026'!R\Max</f>
        <v>0.19093127257488829</v>
      </c>
      <c r="CE343" s="1191">
        <f>'2027'!R\Max</f>
        <v>0.19071925756186117</v>
      </c>
      <c r="CF343" s="1193">
        <f>'2028'!R\Max</f>
        <v>0.19050319408380548</v>
      </c>
    </row>
    <row r="344" spans="1:84" s="6" customFormat="1" ht="11.25" x14ac:dyDescent="0.2">
      <c r="A344" s="11">
        <v>43430</v>
      </c>
      <c r="B344" s="379">
        <f>'2022'!Maxi_hp</f>
        <v>26.915508219914461</v>
      </c>
      <c r="C344" s="13">
        <f>'2022'!An_max</f>
        <v>2020</v>
      </c>
      <c r="D344" s="1045">
        <f t="shared" si="135"/>
        <v>0.99289907847691605</v>
      </c>
      <c r="E344" s="1040">
        <f>AK$13/10</f>
        <v>27.107999999999997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27.108000000566243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27.075953083857893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27.107999999821185</v>
      </c>
      <c r="AZ344" s="735">
        <f t="shared" si="153"/>
        <v>27.091976541839539</v>
      </c>
      <c r="BA344" s="633">
        <f t="shared" si="150"/>
        <v>0.99289907847691605</v>
      </c>
      <c r="BC344" s="11">
        <v>43430</v>
      </c>
      <c r="BD344" s="289">
        <f>[2]!FeuilCaduc*(1-Persistant)+Persistant</f>
        <v>0.57420094888319018</v>
      </c>
      <c r="BE344" s="290">
        <f>[2]!CroissVégét</f>
        <v>0.99936723010658135</v>
      </c>
      <c r="BF344" s="804">
        <f>1+[2]!Salcycl*Ksac</f>
        <v>1.007420094888319</v>
      </c>
      <c r="BH344" s="1036">
        <f t="shared" si="151"/>
        <v>2.0331049889729114E-2</v>
      </c>
      <c r="BI344" s="11">
        <v>44526</v>
      </c>
      <c r="BJ344" s="715">
        <v>1.8578721750378987E-3</v>
      </c>
      <c r="BK344" s="715">
        <v>3.3859457380198397E-3</v>
      </c>
      <c r="BL344" s="715">
        <v>7.0535860584015758E-3</v>
      </c>
      <c r="BM344" s="715">
        <v>1.399760496400851E-2</v>
      </c>
      <c r="BN344" s="715">
        <v>2.668701756306156E-2</v>
      </c>
      <c r="BO344" s="716">
        <v>4.6601050264495993E-2</v>
      </c>
      <c r="BP344" s="715">
        <v>8.0212416075217938E-2</v>
      </c>
      <c r="BQ344" s="715">
        <v>0.12277175542676226</v>
      </c>
      <c r="BR344" s="715">
        <v>0.16970889089935978</v>
      </c>
      <c r="BS344" s="715">
        <v>0.21260738307794505</v>
      </c>
      <c r="BT344" s="715">
        <v>0.25312993712776255</v>
      </c>
      <c r="BW344" s="1190">
        <f>'2019'!R\Max</f>
        <v>0.72872175716111287</v>
      </c>
      <c r="BX344" s="1190">
        <f>'2020'!R\Max</f>
        <v>0.99289907847691605</v>
      </c>
      <c r="BY344" s="1190">
        <f>'2021'!R\Max</f>
        <v>0.29478625293332122</v>
      </c>
      <c r="BZ344" s="1190">
        <f>'2022'!R\Max</f>
        <v>0.44096918038092686</v>
      </c>
      <c r="CA344" s="1190">
        <f>'2023'!R\Max</f>
        <v>0.44029003854958632</v>
      </c>
      <c r="CB344" s="1190">
        <f>'2024'!R\Max</f>
        <v>0.43942976734023392</v>
      </c>
      <c r="CC344" s="1190">
        <f>'2025'!R\Max</f>
        <v>0.43856820430274901</v>
      </c>
      <c r="CD344" s="1190">
        <f>'2026'!R\Max</f>
        <v>0.44246299556978758</v>
      </c>
      <c r="CE344" s="1191">
        <f>'2027'!R\Max</f>
        <v>0.44206901112532487</v>
      </c>
      <c r="CF344" s="1193">
        <f>'2028'!R\Max</f>
        <v>0.44166720936127918</v>
      </c>
    </row>
    <row r="345" spans="1:84" s="6" customFormat="1" ht="11.25" x14ac:dyDescent="0.2">
      <c r="A345" s="11">
        <v>43431</v>
      </c>
      <c r="B345" s="379">
        <f>'2022'!Maxi_hp</f>
        <v>23.300191289146664</v>
      </c>
      <c r="C345" s="13">
        <f>'2022'!An_max</f>
        <v>2020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26.891174051484892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26.842386832647026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26.910385613356318</v>
      </c>
      <c r="AZ345" s="735">
        <f t="shared" si="153"/>
        <v>26.876386223001674</v>
      </c>
      <c r="BA345" s="633">
        <f t="shared" si="150"/>
        <v>0.86646240303740329</v>
      </c>
      <c r="BC345" s="11">
        <v>43431</v>
      </c>
      <c r="BD345" s="289">
        <f>[2]!FeuilCaduc*(1-Persistant)+Persistant</f>
        <v>0.56980106769121786</v>
      </c>
      <c r="BE345" s="290">
        <f>[2]!CroissVégét</f>
        <v>0.9994060066555025</v>
      </c>
      <c r="BF345" s="804">
        <f>1+[2]!Salcycl*Ksac</f>
        <v>1.0069801067691218</v>
      </c>
      <c r="BH345" s="1036">
        <f t="shared" si="151"/>
        <v>2.0482787279983965E-2</v>
      </c>
      <c r="BI345" s="11">
        <v>44527</v>
      </c>
      <c r="BJ345" s="715">
        <v>1.7814896385625466E-3</v>
      </c>
      <c r="BK345" s="715">
        <v>3.4228702041839087E-3</v>
      </c>
      <c r="BL345" s="715">
        <v>7.1857193623525197E-3</v>
      </c>
      <c r="BM345" s="715">
        <v>1.4174617226451925E-2</v>
      </c>
      <c r="BN345" s="715">
        <v>2.6813390199621989E-2</v>
      </c>
      <c r="BO345" s="716">
        <v>4.6868483950425151E-2</v>
      </c>
      <c r="BP345" s="715">
        <v>8.0757110072118804E-2</v>
      </c>
      <c r="BQ345" s="715">
        <v>0.12349718116782826</v>
      </c>
      <c r="BR345" s="715">
        <v>0.16978107010963164</v>
      </c>
      <c r="BS345" s="715">
        <v>0.21169380186085063</v>
      </c>
      <c r="BT345" s="715">
        <v>0.25111748505797499</v>
      </c>
      <c r="BW345" s="1190">
        <f>'2019'!R\Max</f>
        <v>0.72793438194132232</v>
      </c>
      <c r="BX345" s="1190">
        <f>'2020'!R\Max</f>
        <v>0.86646240303740329</v>
      </c>
      <c r="BY345" s="1190">
        <f>'2021'!R\Max</f>
        <v>0.60455057654731337</v>
      </c>
      <c r="BZ345" s="1190">
        <f>'2022'!R\Max</f>
        <v>0.58582602794923488</v>
      </c>
      <c r="CA345" s="1190">
        <f>'2023'!R\Max</f>
        <v>0.58515155137148833</v>
      </c>
      <c r="CB345" s="1190">
        <f>'2024'!R\Max</f>
        <v>0.58429978760835177</v>
      </c>
      <c r="CC345" s="1190">
        <f>'2025'!R\Max</f>
        <v>0.58344588583860313</v>
      </c>
      <c r="CD345" s="1190">
        <f>'2026'!R\Max</f>
        <v>0.58730659175882693</v>
      </c>
      <c r="CE345" s="1191">
        <f>'2027'!R\Max</f>
        <v>0.5869166691070955</v>
      </c>
      <c r="CF345" s="1193">
        <f>'2028'!R\Max</f>
        <v>0.58651867806833025</v>
      </c>
    </row>
    <row r="346" spans="1:84" s="6" customFormat="1" ht="11.25" x14ac:dyDescent="0.2">
      <c r="A346" s="11">
        <v>43432</v>
      </c>
      <c r="B346" s="379">
        <f>'2022'!Maxi_hp</f>
        <v>16.384266753107251</v>
      </c>
      <c r="C346" s="13">
        <f>'2022'!An_max</f>
        <v>2020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26.678592419198583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26.616370798540963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26.715853167112385</v>
      </c>
      <c r="AZ346" s="735">
        <f t="shared" si="153"/>
        <v>26.666111982826674</v>
      </c>
      <c r="BA346" s="633">
        <f t="shared" si="150"/>
        <v>0.61413535225781712</v>
      </c>
      <c r="BC346" s="11">
        <v>43432</v>
      </c>
      <c r="BD346" s="289">
        <f>[2]!FeuilCaduc*(1-Persistant)+Persistant</f>
        <v>0.56558350219481845</v>
      </c>
      <c r="BE346" s="290">
        <f>[2]!CroissVégét</f>
        <v>0.99944322477397196</v>
      </c>
      <c r="BF346" s="804">
        <f>1+[2]!Salcycl*Ksac</f>
        <v>1.0065583502194819</v>
      </c>
      <c r="BH346" s="1036">
        <f t="shared" si="151"/>
        <v>2.061779893071642E-2</v>
      </c>
      <c r="BI346" s="11">
        <v>44528</v>
      </c>
      <c r="BJ346" s="715">
        <v>1.7123123510838351E-3</v>
      </c>
      <c r="BK346" s="715">
        <v>3.4722358771101716E-3</v>
      </c>
      <c r="BL346" s="715">
        <v>7.3220773139313078E-3</v>
      </c>
      <c r="BM346" s="715">
        <v>1.433660861391879E-2</v>
      </c>
      <c r="BN346" s="715">
        <v>2.6921326169341963E-2</v>
      </c>
      <c r="BO346" s="716">
        <v>4.7153321248178448E-2</v>
      </c>
      <c r="BP346" s="715">
        <v>8.1308747577466894E-2</v>
      </c>
      <c r="BQ346" s="715">
        <v>0.12413978858730684</v>
      </c>
      <c r="BR346" s="715">
        <v>0.1696889825381693</v>
      </c>
      <c r="BS346" s="715">
        <v>0.21061047317421097</v>
      </c>
      <c r="BT346" s="715">
        <v>0.24901965713336804</v>
      </c>
      <c r="BW346" s="1190">
        <f>'2019'!R\Max</f>
        <v>0.45294236470243937</v>
      </c>
      <c r="BX346" s="1190">
        <f>'2020'!R\Max</f>
        <v>0.61413535225781712</v>
      </c>
      <c r="BY346" s="1190">
        <f>'2021'!R\Max</f>
        <v>0.25288468791305602</v>
      </c>
      <c r="BZ346" s="1190">
        <f>'2022'!R\Max</f>
        <v>0.42795962483422967</v>
      </c>
      <c r="CA346" s="1190">
        <f>'2023'!R\Max</f>
        <v>0.42727367791128551</v>
      </c>
      <c r="CB346" s="1190">
        <f>'2024'!R\Max</f>
        <v>0.42641320101678182</v>
      </c>
      <c r="CC346" s="1190">
        <f>'2025'!R\Max</f>
        <v>0.4255515337228627</v>
      </c>
      <c r="CD346" s="1190">
        <f>'2026'!R\Max</f>
        <v>0.42946808319699586</v>
      </c>
      <c r="CE346" s="1191">
        <f>'2027'!R\Max</f>
        <v>0.42907049117743329</v>
      </c>
      <c r="CF346" s="1193">
        <f>'2028'!R\Max</f>
        <v>0.42866470723149414</v>
      </c>
    </row>
    <row r="347" spans="1:84" s="6" customFormat="1" ht="11.25" x14ac:dyDescent="0.2">
      <c r="A347" s="11">
        <v>43433</v>
      </c>
      <c r="B347" s="379">
        <f>'2022'!Maxi_hp</f>
        <v>16.653825364085652</v>
      </c>
      <c r="C347" s="13">
        <f>'2022'!An_max</f>
        <v>2022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26.47091370208987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26.398469006908794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26.524847295747275</v>
      </c>
      <c r="AZ347" s="735">
        <f t="shared" si="153"/>
        <v>26.461658151328034</v>
      </c>
      <c r="BA347" s="633">
        <f t="shared" si="150"/>
        <v>0.62913677825827519</v>
      </c>
      <c r="BC347" s="11">
        <v>43433</v>
      </c>
      <c r="BD347" s="289">
        <f>[2]!FeuilCaduc*(1-Persistant)+Persistant</f>
        <v>0.56154827694959564</v>
      </c>
      <c r="BE347" s="290">
        <f>[2]!CroissVégét</f>
        <v>0.9994789469862303</v>
      </c>
      <c r="BF347" s="804">
        <f>1+[2]!Salcycl*Ksac</f>
        <v>1.0061548276949595</v>
      </c>
      <c r="BH347" s="1036">
        <f t="shared" si="151"/>
        <v>2.0731560540195697E-2</v>
      </c>
      <c r="BI347" s="11">
        <v>44529</v>
      </c>
      <c r="BJ347" s="715">
        <v>1.6563846526207473E-3</v>
      </c>
      <c r="BK347" s="715">
        <v>3.5362907965613539E-3</v>
      </c>
      <c r="BL347" s="715">
        <v>7.4530994900447768E-3</v>
      </c>
      <c r="BM347" s="715">
        <v>1.4469979670198503E-2</v>
      </c>
      <c r="BN347" s="715">
        <v>2.7015408597677759E-2</v>
      </c>
      <c r="BO347" s="716">
        <v>4.7486636866583921E-2</v>
      </c>
      <c r="BP347" s="715">
        <v>8.1922075361219565E-2</v>
      </c>
      <c r="BQ347" s="715">
        <v>0.12474926192874382</v>
      </c>
      <c r="BR347" s="715">
        <v>0.16950681650087529</v>
      </c>
      <c r="BS347" s="715">
        <v>0.20945594541444978</v>
      </c>
      <c r="BT347" s="715">
        <v>0.24697626878648374</v>
      </c>
      <c r="BW347" s="1190">
        <f>'2019'!R\Max</f>
        <v>0.61107048756855498</v>
      </c>
      <c r="BX347" s="1190">
        <f>'2020'!R\Max</f>
        <v>0.34799878537238516</v>
      </c>
      <c r="BY347" s="1190">
        <f>'2021'!R\Max</f>
        <v>0.29155838715101384</v>
      </c>
      <c r="BZ347" s="1190">
        <f>'2022'!R\Max</f>
        <v>0.62913677825827519</v>
      </c>
      <c r="CA347" s="1190">
        <f>'2023'!R\Max</f>
        <v>0.62847683020780165</v>
      </c>
      <c r="CB347" s="1190">
        <f>'2024'!R\Max</f>
        <v>0.62765470232177378</v>
      </c>
      <c r="CC347" s="1190">
        <f>'2025'!R\Max</f>
        <v>0.62683028693118059</v>
      </c>
      <c r="CD347" s="1190">
        <f>'2026'!R\Max</f>
        <v>0.63058808145517087</v>
      </c>
      <c r="CE347" s="1191">
        <f>'2027'!R\Max</f>
        <v>0.63020542389837653</v>
      </c>
      <c r="CF347" s="1193">
        <f>'2028'!R\Max</f>
        <v>0.6298144330340395</v>
      </c>
    </row>
    <row r="348" spans="1:84" s="6" customFormat="1" ht="11.25" x14ac:dyDescent="0.2">
      <c r="A348" s="11">
        <v>43434</v>
      </c>
      <c r="B348" s="379">
        <f>'2022'!Maxi_hp</f>
        <v>25.310170680267795</v>
      </c>
      <c r="C348" s="13">
        <f>'2022'!An_max</f>
        <v>2020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26.268796501627993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26.189245477904166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26.337812636366912</v>
      </c>
      <c r="AZ348" s="735">
        <f t="shared" si="153"/>
        <v>26.263529057135539</v>
      </c>
      <c r="BA348" s="633">
        <f t="shared" si="150"/>
        <v>0.96350705212929011</v>
      </c>
      <c r="BC348" s="11">
        <v>43434</v>
      </c>
      <c r="BD348" s="289">
        <f>[2]!FeuilCaduc*(1-Persistant)+Persistant</f>
        <v>0.55769480114511016</v>
      </c>
      <c r="BE348" s="290">
        <f>[2]!CroissVégét</f>
        <v>0.99951323331664843</v>
      </c>
      <c r="BF348" s="804">
        <f>1+[2]!Salcycl*Ksac</f>
        <v>1.0057694801145109</v>
      </c>
      <c r="BH348" s="1036">
        <f t="shared" si="151"/>
        <v>2.0824103005488804E-2</v>
      </c>
      <c r="BI348" s="11">
        <v>44530</v>
      </c>
      <c r="BJ348" s="715">
        <v>1.6137169539707701E-3</v>
      </c>
      <c r="BK348" s="715">
        <v>3.6150432277689305E-3</v>
      </c>
      <c r="BL348" s="715">
        <v>7.5787927958133961E-3</v>
      </c>
      <c r="BM348" s="715">
        <v>1.4574744959541926E-2</v>
      </c>
      <c r="BN348" s="715">
        <v>2.7095684772594653E-2</v>
      </c>
      <c r="BO348" s="716">
        <v>4.786852635794208E-2</v>
      </c>
      <c r="BP348" s="715">
        <v>8.2597249703583647E-2</v>
      </c>
      <c r="BQ348" s="715">
        <v>0.12532581918675242</v>
      </c>
      <c r="BR348" s="715">
        <v>0.16923490962975282</v>
      </c>
      <c r="BS348" s="715">
        <v>0.20823069800765606</v>
      </c>
      <c r="BT348" s="715">
        <v>0.24498796319761929</v>
      </c>
      <c r="BW348" s="1190">
        <f>'2019'!R\Max</f>
        <v>0.45119797132590506</v>
      </c>
      <c r="BX348" s="1190">
        <f>'2020'!R\Max</f>
        <v>0.96350705212929011</v>
      </c>
      <c r="BY348" s="1190">
        <f>'2021'!R\Max</f>
        <v>0.82356539993644706</v>
      </c>
      <c r="BZ348" s="1190">
        <f>'2022'!R\Max</f>
        <v>0.16528794080060319</v>
      </c>
      <c r="CA348" s="1190">
        <f>'2023'!R\Max</f>
        <v>0.16495721744873637</v>
      </c>
      <c r="CB348" s="1190">
        <f>'2024'!R\Max</f>
        <v>0.16455048351555923</v>
      </c>
      <c r="CC348" s="1190">
        <f>'2025'!R\Max</f>
        <v>0.16414357723284614</v>
      </c>
      <c r="CD348" s="1190">
        <f>'2026'!R\Max</f>
        <v>0.16601978643511733</v>
      </c>
      <c r="CE348" s="1191">
        <f>'2027'!R\Max</f>
        <v>0.16582607066254484</v>
      </c>
      <c r="CF348" s="1193">
        <f>'2028'!R\Max</f>
        <v>0.16562824986364794</v>
      </c>
    </row>
    <row r="349" spans="1:84" s="6" customFormat="1" ht="11.25" x14ac:dyDescent="0.2">
      <c r="A349" s="11">
        <v>43435</v>
      </c>
      <c r="B349" s="379">
        <f>'2022'!Maxi_hp</f>
        <v>26.146261330818092</v>
      </c>
      <c r="C349" s="13">
        <f>'2022'!An_max</f>
        <v>2020</v>
      </c>
      <c r="D349" s="1045">
        <f t="shared" si="135"/>
        <v>1.0028137228871641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26.072899416993771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25.989264236949385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26.155193825651491</v>
      </c>
      <c r="AZ349" s="735">
        <f t="shared" si="153"/>
        <v>26.072229031300438</v>
      </c>
      <c r="BA349" s="633">
        <f t="shared" si="150"/>
        <v>1.0028137228871641</v>
      </c>
      <c r="BC349" s="11">
        <v>43435</v>
      </c>
      <c r="BD349" s="289">
        <f>[2]!FeuilCaduc*(1-Persistant)+Persistant</f>
        <v>0.55402188608041736</v>
      </c>
      <c r="BE349" s="290">
        <f>[2]!CroissVégét</f>
        <v>0.99954614138899944</v>
      </c>
      <c r="BF349" s="804">
        <f>1+[2]!Salcycl*Ksac</f>
        <v>1.0054021886080418</v>
      </c>
      <c r="BH349" s="1036">
        <f t="shared" si="151"/>
        <v>2.0895460153584712E-2</v>
      </c>
      <c r="BI349" s="11">
        <v>44531</v>
      </c>
      <c r="BJ349" s="715">
        <v>1.5843179261284385E-3</v>
      </c>
      <c r="BK349" s="715">
        <v>3.7085005543475292E-3</v>
      </c>
      <c r="BL349" s="715">
        <v>7.6991657209347026E-3</v>
      </c>
      <c r="BM349" s="715">
        <v>1.4650922861930924E-2</v>
      </c>
      <c r="BN349" s="715">
        <v>2.7162204023020765E-2</v>
      </c>
      <c r="BO349" s="716">
        <v>4.8299083288432181E-2</v>
      </c>
      <c r="BP349" s="715">
        <v>8.3334425879348029E-2</v>
      </c>
      <c r="BQ349" s="715">
        <v>0.12586968628747666</v>
      </c>
      <c r="BR349" s="715">
        <v>0.16887360622032122</v>
      </c>
      <c r="BS349" s="715">
        <v>0.20693520701881182</v>
      </c>
      <c r="BT349" s="715">
        <v>0.24305536064021777</v>
      </c>
      <c r="BW349" s="1190">
        <f>'2019'!R\Max</f>
        <v>0.31300496918263032</v>
      </c>
      <c r="BX349" s="1190">
        <f>'2020'!R\Max</f>
        <v>1.0028137228871641</v>
      </c>
      <c r="BY349" s="1190">
        <f>'2021'!R\Max</f>
        <v>0.16740436330657857</v>
      </c>
      <c r="BZ349" s="1190">
        <f>'2022'!R\Max</f>
        <v>0.15764131051661912</v>
      </c>
      <c r="CA349" s="1190">
        <f>'2023'!R\Max</f>
        <v>0.15732280270873719</v>
      </c>
      <c r="CB349" s="1190">
        <f>'2024'!R\Max</f>
        <v>0.15693626483044956</v>
      </c>
      <c r="CC349" s="1190">
        <f>'2025'!R\Max</f>
        <v>0.156549574946795</v>
      </c>
      <c r="CD349" s="1190">
        <f>'2026'!R\Max</f>
        <v>0.1583493587881136</v>
      </c>
      <c r="CE349" s="1191">
        <f>'2027'!R\Max</f>
        <v>0.15816129620020117</v>
      </c>
      <c r="CF349" s="1193">
        <f>'2028'!R\Max</f>
        <v>0.15796913992078643</v>
      </c>
    </row>
    <row r="350" spans="1:84" s="6" customFormat="1" ht="11.25" x14ac:dyDescent="0.2">
      <c r="A350" s="11">
        <v>43436</v>
      </c>
      <c r="B350" s="379">
        <f>'2022'!Maxi_hp</f>
        <v>9.9498204075695913</v>
      </c>
      <c r="C350" s="13">
        <f>'2022'!An_max</f>
        <v>2021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25.883881049071039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25.799089312340534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25.977435501505219</v>
      </c>
      <c r="AZ350" s="735">
        <f t="shared" si="153"/>
        <v>25.888262406922877</v>
      </c>
      <c r="BA350" s="633">
        <f t="shared" si="150"/>
        <v>0.38440218407380938</v>
      </c>
      <c r="BC350" s="11">
        <v>43436</v>
      </c>
      <c r="BD350" s="289">
        <f>[2]!FeuilCaduc*(1-Persistant)+Persistant</f>
        <v>0.55052776605019982</v>
      </c>
      <c r="BE350" s="290">
        <f>[2]!CroissVégét</f>
        <v>0.99957772652184329</v>
      </c>
      <c r="BF350" s="804">
        <f>1+[2]!Salcycl*Ksac</f>
        <v>1.0050527766050199</v>
      </c>
      <c r="BH350" s="1036">
        <f t="shared" si="151"/>
        <v>2.0945668307032289E-2</v>
      </c>
      <c r="BI350" s="11">
        <v>44532</v>
      </c>
      <c r="BJ350" s="715">
        <v>1.5681947768517047E-3</v>
      </c>
      <c r="BK350" s="715">
        <v>3.8166695849776895E-3</v>
      </c>
      <c r="BL350" s="715">
        <v>7.8142282310155464E-3</v>
      </c>
      <c r="BM350" s="715">
        <v>1.4698534982799929E-2</v>
      </c>
      <c r="BN350" s="715">
        <v>2.7215017440955804E-2</v>
      </c>
      <c r="BO350" s="716">
        <v>4.8778400263924215E-2</v>
      </c>
      <c r="BP350" s="715">
        <v>8.4133759470909897E-2</v>
      </c>
      <c r="BQ350" s="715">
        <v>0.12638109644604303</v>
      </c>
      <c r="BR350" s="715">
        <v>0.16842325542611278</v>
      </c>
      <c r="BS350" s="715">
        <v>0.20556994375967921</v>
      </c>
      <c r="BT350" s="715">
        <v>0.24117905972171516</v>
      </c>
      <c r="BW350" s="1190">
        <f>'2019'!R\Max</f>
        <v>0.16481572953539741</v>
      </c>
      <c r="BX350" s="1190">
        <f>'2020'!R\Max</f>
        <v>0.18815486456186903</v>
      </c>
      <c r="BY350" s="1190">
        <f>'2021'!R\Max</f>
        <v>0.38440218407380938</v>
      </c>
      <c r="BZ350" s="1190">
        <f>'2022'!R\Max</f>
        <v>0.23857456668753158</v>
      </c>
      <c r="CA350" s="1190">
        <f>'2023'!R\Max</f>
        <v>0.23808763616403034</v>
      </c>
      <c r="CB350" s="1190">
        <f>'2024'!R\Max</f>
        <v>0.23750599471898512</v>
      </c>
      <c r="CC350" s="1190">
        <f>'2025'!R\Max</f>
        <v>0.23692414465802547</v>
      </c>
      <c r="CD350" s="1190">
        <f>'2026'!R\Max</f>
        <v>0.23966338303592749</v>
      </c>
      <c r="CE350" s="1191">
        <f>'2027'!R\Max</f>
        <v>0.23937290276572271</v>
      </c>
      <c r="CF350" s="1193">
        <f>'2028'!R\Max</f>
        <v>0.23907592178400011</v>
      </c>
    </row>
    <row r="351" spans="1:84" s="6" customFormat="1" ht="11.25" x14ac:dyDescent="0.2">
      <c r="A351" s="11">
        <v>43437</v>
      </c>
      <c r="B351" s="379">
        <f>'2022'!Maxi_hp</f>
        <v>16.647333469246274</v>
      </c>
      <c r="C351" s="13">
        <f>'2022'!An_max</f>
        <v>2021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25.70240000113845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25.619284720160067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25.804982299730181</v>
      </c>
      <c r="AZ351" s="735">
        <f t="shared" si="153"/>
        <v>25.712133509945126</v>
      </c>
      <c r="BA351" s="633">
        <f t="shared" si="150"/>
        <v>0.64769568089006879</v>
      </c>
      <c r="BC351" s="11">
        <v>43437</v>
      </c>
      <c r="BD351" s="289">
        <f>[2]!FeuilCaduc*(1-Persistant)+Persistant</f>
        <v>0.54721012245046285</v>
      </c>
      <c r="BE351" s="290">
        <f>[2]!CroissVégét</f>
        <v>0.99960804182016849</v>
      </c>
      <c r="BF351" s="804">
        <f>1+[2]!Salcycl*Ksac</f>
        <v>1.0047210122450463</v>
      </c>
      <c r="BH351" s="1036">
        <f t="shared" si="151"/>
        <v>2.0974765849305153E-2</v>
      </c>
      <c r="BI351" s="11">
        <v>44533</v>
      </c>
      <c r="BJ351" s="715">
        <v>1.5653535272064617E-3</v>
      </c>
      <c r="BK351" s="715">
        <v>3.9395568600416927E-3</v>
      </c>
      <c r="BL351" s="715">
        <v>7.9239916588059126E-3</v>
      </c>
      <c r="BM351" s="715">
        <v>1.4717605562566967E-2</v>
      </c>
      <c r="BN351" s="715">
        <v>2.7254177603223979E-2</v>
      </c>
      <c r="BO351" s="716">
        <v>4.9306569955164158E-2</v>
      </c>
      <c r="BP351" s="715">
        <v>8.4995407680219889E-2</v>
      </c>
      <c r="BQ351" s="715">
        <v>0.12686028952236841</v>
      </c>
      <c r="BR351" s="715">
        <v>0.1678842094509401</v>
      </c>
      <c r="BS351" s="715">
        <v>0.20413537339393459</v>
      </c>
      <c r="BT351" s="715">
        <v>0.23935963862114104</v>
      </c>
      <c r="BW351" s="1190">
        <f>'2019'!R\Max</f>
        <v>0.18527569537311228</v>
      </c>
      <c r="BX351" s="1190">
        <f>'2020'!R\Max</f>
        <v>5.0082254795531606E-2</v>
      </c>
      <c r="BY351" s="1190">
        <f>'2021'!R\Max</f>
        <v>0.64769568089006879</v>
      </c>
      <c r="BZ351" s="1190">
        <f>'2022'!R\Max</f>
        <v>0.40300083162666123</v>
      </c>
      <c r="CA351" s="1190">
        <f>'2023'!R\Max</f>
        <v>0.40229334971700559</v>
      </c>
      <c r="CB351" s="1190">
        <f>'2024'!R\Max</f>
        <v>0.40146314703387709</v>
      </c>
      <c r="CC351" s="1190">
        <f>'2025'!R\Max</f>
        <v>0.4006320792198334</v>
      </c>
      <c r="CD351" s="1190">
        <f>'2026'!R\Max</f>
        <v>0.40459246354580963</v>
      </c>
      <c r="CE351" s="1191">
        <f>'2027'!R\Max</f>
        <v>0.40416578467130543</v>
      </c>
      <c r="CF351" s="1193">
        <f>'2028'!R\Max</f>
        <v>0.40372912048890697</v>
      </c>
    </row>
    <row r="352" spans="1:84" s="6" customFormat="1" ht="11.25" x14ac:dyDescent="0.2">
      <c r="A352" s="11">
        <v>43438</v>
      </c>
      <c r="B352" s="379">
        <f>'2022'!Maxi_hp</f>
        <v>19.047013282161593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25.529114868279017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25.450414488624251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25.638278856873512</v>
      </c>
      <c r="AZ352" s="735">
        <f t="shared" si="153"/>
        <v>25.54434667274888</v>
      </c>
      <c r="BA352" s="633">
        <f t="shared" si="150"/>
        <v>0.74608984214444096</v>
      </c>
      <c r="BC352" s="11">
        <v>43438</v>
      </c>
      <c r="BD352" s="289">
        <f>[2]!FeuilCaduc*(1-Persistant)+Persistant</f>
        <v>0.54406611088876966</v>
      </c>
      <c r="BE352" s="290">
        <f>[2]!CroissVégét</f>
        <v>0.99963713826343847</v>
      </c>
      <c r="BF352" s="804">
        <f>1+[2]!Salcycl*Ksac</f>
        <v>1.004406611088877</v>
      </c>
      <c r="BH352" s="1036">
        <f t="shared" si="151"/>
        <v>2.099194475514048E-2</v>
      </c>
      <c r="BI352" s="11">
        <v>44534</v>
      </c>
      <c r="BJ352" s="715">
        <v>1.5828330623634981E-3</v>
      </c>
      <c r="BK352" s="715">
        <v>4.0712764003978654E-3</v>
      </c>
      <c r="BL352" s="715">
        <v>8.0232659659710756E-3</v>
      </c>
      <c r="BM352" s="715">
        <v>1.470999819646731E-2</v>
      </c>
      <c r="BN352" s="715">
        <v>2.7296230924959159E-2</v>
      </c>
      <c r="BO352" s="716">
        <v>4.9863934498800284E-2</v>
      </c>
      <c r="BP352" s="715">
        <v>8.587557766601267E-2</v>
      </c>
      <c r="BQ352" s="715">
        <v>0.12727003699457956</v>
      </c>
      <c r="BR352" s="715">
        <v>0.16726931316655103</v>
      </c>
      <c r="BS352" s="715">
        <v>0.20268630814268937</v>
      </c>
      <c r="BT352" s="715">
        <v>0.23766087579400336</v>
      </c>
      <c r="BW352" s="1190">
        <f>'2019'!R\Max</f>
        <v>0.24653354837484387</v>
      </c>
      <c r="BX352" s="1190">
        <f>'2020'!R\Max</f>
        <v>0.51151706913007422</v>
      </c>
      <c r="BY352" s="1190">
        <f>'2021'!R\Max</f>
        <v>0.28067032093704392</v>
      </c>
      <c r="BZ352" s="1190">
        <f>'2022'!R\Max</f>
        <v>0.74608984214444096</v>
      </c>
      <c r="CA352" s="1190">
        <f>'2023'!R\Max</f>
        <v>0.74552656948173757</v>
      </c>
      <c r="CB352" s="1190">
        <f>'2024'!R\Max</f>
        <v>0.74487742737032814</v>
      </c>
      <c r="CC352" s="1190">
        <f>'2025'!R\Max</f>
        <v>0.74422611172594433</v>
      </c>
      <c r="CD352" s="1190">
        <f>'2026'!R\Max</f>
        <v>0.74736261181338082</v>
      </c>
      <c r="CE352" s="1191">
        <f>'2027'!R\Max</f>
        <v>0.7470200066897088</v>
      </c>
      <c r="CF352" s="1193">
        <f>'2028'!R\Max</f>
        <v>0.74666874156537089</v>
      </c>
    </row>
    <row r="353" spans="1:84" s="6" customFormat="1" ht="11.25" x14ac:dyDescent="0.2">
      <c r="A353" s="11">
        <v>43439</v>
      </c>
      <c r="B353" s="379">
        <f>'2022'!Maxi_hp</f>
        <v>25.302989911833503</v>
      </c>
      <c r="C353" s="13">
        <f>'2022'!An_max</f>
        <v>2022</v>
      </c>
      <c r="D353" s="1045">
        <f t="shared" si="135"/>
        <v>0.99756770687660556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25.364684258933579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25.29304264076054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25.477769808391379</v>
      </c>
      <c r="AZ353" s="735">
        <f t="shared" si="153"/>
        <v>25.385406224575959</v>
      </c>
      <c r="BA353" s="633">
        <f t="shared" si="150"/>
        <v>0.99756770687660556</v>
      </c>
      <c r="BC353" s="11">
        <v>43439</v>
      </c>
      <c r="BD353" s="289">
        <f>[2]!FeuilCaduc*(1-Persistant)+Persistant</f>
        <v>0.54109239106197982</v>
      </c>
      <c r="BE353" s="290">
        <f>[2]!CroissVégét</f>
        <v>0.99966506479017636</v>
      </c>
      <c r="BF353" s="804">
        <f>1+[2]!Salcycl*Ksac</f>
        <v>1.0041092391061979</v>
      </c>
      <c r="BH353" s="1036">
        <f t="shared" si="151"/>
        <v>2.1016272054228673E-2</v>
      </c>
      <c r="BI353" s="11">
        <v>44535</v>
      </c>
      <c r="BJ353" s="715">
        <v>1.6169127309087006E-3</v>
      </c>
      <c r="BK353" s="715">
        <v>4.1987197573542401E-3</v>
      </c>
      <c r="BL353" s="715">
        <v>8.1090885959772627E-3</v>
      </c>
      <c r="BM353" s="715">
        <v>1.4688504108484665E-2</v>
      </c>
      <c r="BN353" s="715">
        <v>2.7366542559331731E-2</v>
      </c>
      <c r="BO353" s="716">
        <v>5.0443875956713569E-2</v>
      </c>
      <c r="BP353" s="715">
        <v>8.6741111742198937E-2</v>
      </c>
      <c r="BQ353" s="715">
        <v>0.12761958220839578</v>
      </c>
      <c r="BR353" s="715">
        <v>0.16663253052413726</v>
      </c>
      <c r="BS353" s="715">
        <v>0.20130569013609553</v>
      </c>
      <c r="BT353" s="715">
        <v>0.23612174163500321</v>
      </c>
      <c r="BW353" s="1190">
        <f>'2019'!R\Max</f>
        <v>0.36457799517882439</v>
      </c>
      <c r="BX353" s="1190">
        <f>'2020'!R\Max</f>
        <v>0.35630664541261248</v>
      </c>
      <c r="BY353" s="1190">
        <f>'2021'!R\Max</f>
        <v>0.40362792801129593</v>
      </c>
      <c r="BZ353" s="1190">
        <f>'2022'!R\Max</f>
        <v>0.99756770687660556</v>
      </c>
      <c r="CA353" s="1190">
        <f>'2023'!R\Max</f>
        <v>0.99756042208805829</v>
      </c>
      <c r="CB353" s="1190">
        <f>'2024'!R\Max</f>
        <v>0.99755218310167315</v>
      </c>
      <c r="CC353" s="1190">
        <f>'2025'!R\Max</f>
        <v>0.99754390301890683</v>
      </c>
      <c r="CD353" s="1190">
        <f>'2026'!R\Max</f>
        <v>0.99758425775374848</v>
      </c>
      <c r="CE353" s="1191">
        <f>'2027'!R\Max</f>
        <v>0.99757978151623161</v>
      </c>
      <c r="CF353" s="1193">
        <f>'2028'!R\Max</f>
        <v>0.99757518564864822</v>
      </c>
    </row>
    <row r="354" spans="1:84" s="6" customFormat="1" ht="11.25" x14ac:dyDescent="0.2">
      <c r="A354" s="11">
        <v>43440</v>
      </c>
      <c r="B354" s="379">
        <f>'2022'!Maxi_hp</f>
        <v>18.881092862283797</v>
      </c>
      <c r="C354" s="13">
        <f>'2022'!An_max</f>
        <v>2020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25.209766764938831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25.147733202150892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25.323899795753615</v>
      </c>
      <c r="AZ354" s="735">
        <f t="shared" si="153"/>
        <v>25.235816498952254</v>
      </c>
      <c r="BA354" s="633">
        <f t="shared" si="150"/>
        <v>0.74895944251825408</v>
      </c>
      <c r="BC354" s="11">
        <v>43440</v>
      </c>
      <c r="BD354" s="289">
        <f>[2]!FeuilCaduc*(1-Persistant)+Persistant</f>
        <v>0.53828515914463693</v>
      </c>
      <c r="BE354" s="290">
        <f>[2]!CroissVégét</f>
        <v>0.9996918683792223</v>
      </c>
      <c r="BF354" s="804">
        <f>1+[2]!Salcycl*Ksac</f>
        <v>1.0038285159144638</v>
      </c>
      <c r="BH354" s="1036">
        <f t="shared" si="151"/>
        <v>2.1047791699946177E-2</v>
      </c>
      <c r="BI354" s="11">
        <v>44536</v>
      </c>
      <c r="BJ354" s="715">
        <v>1.6675968127266632E-3</v>
      </c>
      <c r="BK354" s="715">
        <v>4.3218931576231977E-3</v>
      </c>
      <c r="BL354" s="715">
        <v>8.1814737837288213E-3</v>
      </c>
      <c r="BM354" s="715">
        <v>1.4653152971385345E-2</v>
      </c>
      <c r="BN354" s="715">
        <v>2.7465170791112426E-2</v>
      </c>
      <c r="BO354" s="716">
        <v>5.1046491613820716E-2</v>
      </c>
      <c r="BP354" s="715">
        <v>8.7592174611306542E-2</v>
      </c>
      <c r="BQ354" s="715">
        <v>0.1279091794351539</v>
      </c>
      <c r="BR354" s="715">
        <v>0.16597421682873012</v>
      </c>
      <c r="BS354" s="715">
        <v>0.19999396729292598</v>
      </c>
      <c r="BT354" s="715">
        <v>0.23474276728833485</v>
      </c>
      <c r="BW354" s="1190">
        <f>'2019'!R\Max</f>
        <v>0.3597999638181944</v>
      </c>
      <c r="BX354" s="1190">
        <f>'2020'!R\Max</f>
        <v>0.74895944251825408</v>
      </c>
      <c r="BY354" s="1190">
        <f>'2021'!R\Max</f>
        <v>0.50169963633716552</v>
      </c>
      <c r="BZ354" s="1190">
        <f>'2022'!R\Max</f>
        <v>0.49149143572910914</v>
      </c>
      <c r="CA354" s="1190">
        <f>'2023'!R\Max</f>
        <v>0.49073634165962893</v>
      </c>
      <c r="CB354" s="1190">
        <f>'2024'!R\Max</f>
        <v>0.48990246543522575</v>
      </c>
      <c r="CC354" s="1190">
        <f>'2025'!R\Max</f>
        <v>0.48906735144757751</v>
      </c>
      <c r="CD354" s="1190">
        <f>'2026'!R\Max</f>
        <v>0.49322984110422763</v>
      </c>
      <c r="CE354" s="1191">
        <f>'2027'!R\Max</f>
        <v>0.49275557583695434</v>
      </c>
      <c r="CF354" s="1193">
        <f>'2028'!R\Max</f>
        <v>0.49226939928265429</v>
      </c>
    </row>
    <row r="355" spans="1:84" s="6" customFormat="1" ht="11.25" x14ac:dyDescent="0.2">
      <c r="A355" s="11">
        <v>43441</v>
      </c>
      <c r="B355" s="379">
        <f>'2022'!Maxi_hp</f>
        <v>22.401278543576364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25.065020991276416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25.015050192975572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25.17711345026536</v>
      </c>
      <c r="AZ355" s="735">
        <f t="shared" si="153"/>
        <v>25.096081821620466</v>
      </c>
      <c r="BA355" s="633">
        <f t="shared" si="150"/>
        <v>0.89372670189954617</v>
      </c>
      <c r="BC355" s="11">
        <v>43441</v>
      </c>
      <c r="BD355" s="289">
        <f>[2]!FeuilCaduc*(1-Persistant)+Persistant</f>
        <v>0.53564018241365929</v>
      </c>
      <c r="BE355" s="290">
        <f>[2]!CroissVégét</f>
        <v>0.99971759412779237</v>
      </c>
      <c r="BF355" s="804">
        <f>1+[2]!Salcycl*Ksac</f>
        <v>1.0035640182413659</v>
      </c>
      <c r="BH355" s="1036">
        <f t="shared" si="151"/>
        <v>2.1086547690983337E-2</v>
      </c>
      <c r="BI355" s="11">
        <v>44537</v>
      </c>
      <c r="BJ355" s="715">
        <v>1.7348895242067046E-3</v>
      </c>
      <c r="BK355" s="715">
        <v>4.440803975726766E-3</v>
      </c>
      <c r="BL355" s="715">
        <v>8.2404367557014409E-3</v>
      </c>
      <c r="BM355" s="715">
        <v>1.460397456338134E-2</v>
      </c>
      <c r="BN355" s="715">
        <v>2.7592173890040237E-2</v>
      </c>
      <c r="BO355" s="716">
        <v>5.1671883089326492E-2</v>
      </c>
      <c r="BP355" s="715">
        <v>8.8428938448762096E-2</v>
      </c>
      <c r="BQ355" s="715">
        <v>0.12813908706220034</v>
      </c>
      <c r="BR355" s="715">
        <v>0.16529472248226912</v>
      </c>
      <c r="BS355" s="715">
        <v>0.19875157454318129</v>
      </c>
      <c r="BT355" s="715">
        <v>0.23352446767506932</v>
      </c>
      <c r="BW355" s="1190">
        <f>'2019'!R\Max</f>
        <v>0.6231499595984471</v>
      </c>
      <c r="BX355" s="1190">
        <f>'2020'!R\Max</f>
        <v>0.52561694065477582</v>
      </c>
      <c r="BY355" s="1190">
        <f>'2021'!R\Max</f>
        <v>0.23537398808186599</v>
      </c>
      <c r="BZ355" s="1190">
        <f>'2022'!R\Max</f>
        <v>0.89372670189954617</v>
      </c>
      <c r="CA355" s="1190">
        <f>'2023'!R\Max</f>
        <v>0.89343747649906502</v>
      </c>
      <c r="CB355" s="1190">
        <f>'2024'!R\Max</f>
        <v>0.89312388167339773</v>
      </c>
      <c r="CC355" s="1190">
        <f>'2025'!R\Max</f>
        <v>0.89280900537647157</v>
      </c>
      <c r="CD355" s="1190">
        <f>'2026'!R\Max</f>
        <v>0.89439556145110144</v>
      </c>
      <c r="CE355" s="1191">
        <f>'2027'!R\Max</f>
        <v>0.894212298120864</v>
      </c>
      <c r="CF355" s="1193">
        <f>'2028'!R\Max</f>
        <v>0.89402409547897244</v>
      </c>
    </row>
    <row r="356" spans="1:84" s="6" customFormat="1" ht="11.25" x14ac:dyDescent="0.2">
      <c r="A356" s="11">
        <v>43442</v>
      </c>
      <c r="B356" s="379">
        <f>'2022'!Maxi_hp</f>
        <v>17.076709643331426</v>
      </c>
      <c r="C356" s="13">
        <f>'2022'!An_max</f>
        <v>2018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24.931105540267058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24.895557640865444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25.03785541164023</v>
      </c>
      <c r="AZ356" s="735">
        <f t="shared" si="153"/>
        <v>24.966706526252835</v>
      </c>
      <c r="BA356" s="633">
        <f t="shared" si="150"/>
        <v>0.68495597260018271</v>
      </c>
      <c r="BC356" s="11">
        <v>43442</v>
      </c>
      <c r="BD356" s="289">
        <f>[2]!FeuilCaduc*(1-Persistant)+Persistant</f>
        <v>0.53315283581999529</v>
      </c>
      <c r="BE356" s="290">
        <f>[2]!CroissVégét</f>
        <v>0.99974228532646048</v>
      </c>
      <c r="BF356" s="804">
        <f>1+[2]!Salcycl*Ksac</f>
        <v>1.0033152835819996</v>
      </c>
      <c r="BH356" s="1036">
        <f t="shared" si="151"/>
        <v>2.1132584222764955E-2</v>
      </c>
      <c r="BI356" s="11">
        <v>44538</v>
      </c>
      <c r="BJ356" s="715">
        <v>1.8187953635873607E-3</v>
      </c>
      <c r="BK356" s="715">
        <v>4.5554606454534371E-3</v>
      </c>
      <c r="BL356" s="715">
        <v>8.2859934511916259E-3</v>
      </c>
      <c r="BM356" s="715">
        <v>1.4540998481373068E-2</v>
      </c>
      <c r="BN356" s="715">
        <v>2.7747610701979054E-2</v>
      </c>
      <c r="BO356" s="716">
        <v>5.2320156812082762E-2</v>
      </c>
      <c r="BP356" s="715">
        <v>8.9251582608898275E-2</v>
      </c>
      <c r="BQ356" s="715">
        <v>0.12830956635764126</v>
      </c>
      <c r="BR356" s="715">
        <v>0.16459439255176075</v>
      </c>
      <c r="BS356" s="715">
        <v>0.19757893528035941</v>
      </c>
      <c r="BT356" s="715">
        <v>0.23246734484631984</v>
      </c>
      <c r="BW356" s="1190">
        <f>'2019'!R\Max</f>
        <v>0.68495597260018271</v>
      </c>
      <c r="BX356" s="1190">
        <f>'2020'!R\Max</f>
        <v>0.11327212671559318</v>
      </c>
      <c r="BY356" s="1190">
        <f>'2021'!R\Max</f>
        <v>0.41613618787503243</v>
      </c>
      <c r="BZ356" s="1190">
        <f>'2022'!R\Max</f>
        <v>0.17960356866473573</v>
      </c>
      <c r="CA356" s="1190">
        <f>'2023'!R\Max</f>
        <v>0.17921837387499162</v>
      </c>
      <c r="CB356" s="1190">
        <f>'2024'!R\Max</f>
        <v>0.17881104418243327</v>
      </c>
      <c r="CC356" s="1190">
        <f>'2025'!R\Max</f>
        <v>0.17840366939217478</v>
      </c>
      <c r="CD356" s="1190">
        <f>'2026'!R\Max</f>
        <v>0.18050772774884377</v>
      </c>
      <c r="CE356" s="1191">
        <f>'2027'!R\Max</f>
        <v>0.18025760155964959</v>
      </c>
      <c r="CF356" s="1193">
        <f>'2028'!R\Max</f>
        <v>0.18000130989129012</v>
      </c>
    </row>
    <row r="357" spans="1:84" s="6" customFormat="1" ht="11.25" x14ac:dyDescent="0.2">
      <c r="A357" s="11">
        <v>43443</v>
      </c>
      <c r="B357" s="379">
        <f>'2022'!Maxi_hp</f>
        <v>11.827516861952027</v>
      </c>
      <c r="C357" s="13">
        <f>'2022'!An_max</f>
        <v>2018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24.808679008430669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24.789819567065152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24.90657031610608</v>
      </c>
      <c r="AZ357" s="735">
        <f t="shared" si="153"/>
        <v>24.848194941585618</v>
      </c>
      <c r="BA357" s="633">
        <f t="shared" si="150"/>
        <v>0.47674915935397899</v>
      </c>
      <c r="BC357" s="11">
        <v>43443</v>
      </c>
      <c r="BD357" s="289">
        <f>[2]!FeuilCaduc*(1-Persistant)+Persistant</f>
        <v>0.53081814020552298</v>
      </c>
      <c r="BE357" s="290">
        <f>[2]!CroissVégét</f>
        <v>0.99976598353118062</v>
      </c>
      <c r="BF357" s="804">
        <f>1+[2]!Salcycl*Ksac</f>
        <v>1.0030818140205524</v>
      </c>
      <c r="BH357" s="1036">
        <f t="shared" si="151"/>
        <v>2.1185945838854997E-2</v>
      </c>
      <c r="BI357" s="11">
        <v>44539</v>
      </c>
      <c r="BJ357" s="715">
        <v>1.919319456300958E-3</v>
      </c>
      <c r="BK357" s="715">
        <v>4.6658725713140748E-3</v>
      </c>
      <c r="BL357" s="715">
        <v>8.318160243560949E-3</v>
      </c>
      <c r="BM357" s="715">
        <v>1.4464253854179465E-2</v>
      </c>
      <c r="BN357" s="715">
        <v>2.7931541240055174E-2</v>
      </c>
      <c r="BO357" s="716">
        <v>5.2991424495920099E-2</v>
      </c>
      <c r="BP357" s="715">
        <v>9.0060293330909355E-2</v>
      </c>
      <c r="BQ357" s="715">
        <v>0.12842088023499648</v>
      </c>
      <c r="BR357" s="715">
        <v>0.16387356633729139</v>
      </c>
      <c r="BS357" s="715">
        <v>0.19647646281353989</v>
      </c>
      <c r="BT357" s="715">
        <v>0.23157189133619493</v>
      </c>
      <c r="BW357" s="1190">
        <f>'2019'!R\Max</f>
        <v>0.47674915935397899</v>
      </c>
      <c r="BX357" s="1190">
        <f>'2020'!R\Max</f>
        <v>0.37529251982155698</v>
      </c>
      <c r="BY357" s="1190">
        <f>'2021'!R\Max</f>
        <v>0.34592283217900027</v>
      </c>
      <c r="BZ357" s="1190">
        <f>'2022'!R\Max</f>
        <v>0.22029062090993368</v>
      </c>
      <c r="CA357" s="1190">
        <f>'2023'!R\Max</f>
        <v>0.21981611388721253</v>
      </c>
      <c r="CB357" s="1190">
        <f>'2024'!R\Max</f>
        <v>0.21932510521242304</v>
      </c>
      <c r="CC357" s="1190">
        <f>'2025'!R\Max</f>
        <v>0.21883406330977637</v>
      </c>
      <c r="CD357" s="1190">
        <f>'2026'!R\Max</f>
        <v>0.22141470387089865</v>
      </c>
      <c r="CE357" s="1191">
        <f>'2027'!R\Max</f>
        <v>0.2211016343706349</v>
      </c>
      <c r="CF357" s="1193">
        <f>'2028'!R\Max</f>
        <v>0.22078085062494218</v>
      </c>
    </row>
    <row r="358" spans="1:84" s="6" customFormat="1" ht="11.25" x14ac:dyDescent="0.2">
      <c r="A358" s="11">
        <v>43444</v>
      </c>
      <c r="B358" s="379">
        <f>'2022'!Maxi_hp</f>
        <v>21.581579026303849</v>
      </c>
      <c r="C358" s="13">
        <f>'2022'!An_max</f>
        <v>2018</v>
      </c>
      <c r="D358" s="1045" t="str">
        <f t="shared" si="135"/>
        <v/>
      </c>
      <c r="E358" s="1040">
        <f>AL$13/10</f>
        <v>24.698399999999999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24.698400001227856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24.698399998247623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24.78370279930532</v>
      </c>
      <c r="AZ358" s="735">
        <f t="shared" si="153"/>
        <v>24.74105139877647</v>
      </c>
      <c r="BA358" s="633">
        <f t="shared" si="150"/>
        <v>0.87380474140960318</v>
      </c>
      <c r="BC358" s="11">
        <v>43444</v>
      </c>
      <c r="BD358" s="289">
        <f>[2]!FeuilCaduc*(1-Persistant)+Persistant</f>
        <v>0.52863080185378175</v>
      </c>
      <c r="BE358" s="290">
        <f>[2]!CroissVégét</f>
        <v>0.9997887286324697</v>
      </c>
      <c r="BF358" s="804">
        <f>1+[2]!Salcycl*Ksac</f>
        <v>1.0028630801853782</v>
      </c>
      <c r="BH358" s="1036">
        <f t="shared" si="151"/>
        <v>2.1246677582106098E-2</v>
      </c>
      <c r="BI358" s="11">
        <v>44540</v>
      </c>
      <c r="BJ358" s="715">
        <v>2.0364679002960497E-3</v>
      </c>
      <c r="BK358" s="715">
        <v>4.7720500399422144E-3</v>
      </c>
      <c r="BL358" s="715">
        <v>8.3369536613798964E-3</v>
      </c>
      <c r="BM358" s="715">
        <v>1.4373769055592756E-2</v>
      </c>
      <c r="BN358" s="715">
        <v>2.8144027275459515E-2</v>
      </c>
      <c r="BO358" s="716">
        <v>5.3685803614345155E-2</v>
      </c>
      <c r="BP358" s="715">
        <v>9.0855263443725368E-2</v>
      </c>
      <c r="BQ358" s="715">
        <v>0.12847329201630323</v>
      </c>
      <c r="BR358" s="715">
        <v>0.16313257693805813</v>
      </c>
      <c r="BS358" s="715">
        <v>0.19544456181709155</v>
      </c>
      <c r="BT358" s="715">
        <v>0.23083859351195454</v>
      </c>
      <c r="BW358" s="1190">
        <f>'2019'!R\Max</f>
        <v>0.87380474140960318</v>
      </c>
      <c r="BX358" s="1190">
        <f>'2020'!R\Max</f>
        <v>0.3600932187473585</v>
      </c>
      <c r="BY358" s="1190">
        <f>'2021'!R\Max</f>
        <v>9.0830206074091549E-2</v>
      </c>
      <c r="BZ358" s="1190">
        <f>'2022'!R\Max</f>
        <v>0.53676354605043419</v>
      </c>
      <c r="CA358" s="1190">
        <f>'2023'!R\Max</f>
        <v>0.53599739962552539</v>
      </c>
      <c r="CB358" s="1190">
        <f>'2024'!R\Max</f>
        <v>0.53522087808087837</v>
      </c>
      <c r="CC358" s="1190">
        <f>'2025'!R\Max</f>
        <v>0.53444318118335421</v>
      </c>
      <c r="CD358" s="1190">
        <f>'2026'!R\Max</f>
        <v>0.53859131062131704</v>
      </c>
      <c r="CE358" s="1191">
        <f>'2027'!R\Max</f>
        <v>0.53807936980180249</v>
      </c>
      <c r="CF358" s="1193">
        <f>'2028'!R\Max</f>
        <v>0.53755434549689995</v>
      </c>
    </row>
    <row r="359" spans="1:84" s="6" customFormat="1" ht="11.25" x14ac:dyDescent="0.2">
      <c r="A359" s="11">
        <v>43445</v>
      </c>
      <c r="B359" s="379">
        <f>'2022'!Maxi_hp</f>
        <v>19.008979262712963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24.598150521836111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24.619312771024376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24.669697500020266</v>
      </c>
      <c r="AZ359" s="735">
        <f t="shared" si="153"/>
        <v>24.644505135522323</v>
      </c>
      <c r="BA359" s="633">
        <f t="shared" si="150"/>
        <v>0.77278083349552784</v>
      </c>
      <c r="BC359" s="11">
        <v>43445</v>
      </c>
      <c r="BD359" s="289">
        <f>[2]!FeuilCaduc*(1-Persistant)+Persistant</f>
        <v>0.52658525305622883</v>
      </c>
      <c r="BE359" s="290">
        <f>[2]!CroissVégét</f>
        <v>0.99981055892185233</v>
      </c>
      <c r="BF359" s="804">
        <f>1+[2]!Salcycl*Ksac</f>
        <v>1.0026585253056228</v>
      </c>
      <c r="BH359" s="1036">
        <f t="shared" si="151"/>
        <v>2.1314825146140769E-2</v>
      </c>
      <c r="BI359" s="11">
        <v>44541</v>
      </c>
      <c r="BJ359" s="715">
        <v>2.1702481113877771E-3</v>
      </c>
      <c r="BK359" s="715">
        <v>4.8740041315651688E-3</v>
      </c>
      <c r="BL359" s="715">
        <v>8.3423901097016365E-3</v>
      </c>
      <c r="BM359" s="715">
        <v>1.4269571417662113E-2</v>
      </c>
      <c r="BN359" s="715">
        <v>2.8385132928684619E-2</v>
      </c>
      <c r="BO359" s="716">
        <v>5.4403417876055384E-2</v>
      </c>
      <c r="BP359" s="715">
        <v>9.163669207228288E-2</v>
      </c>
      <c r="BQ359" s="715">
        <v>0.12846706419723461</v>
      </c>
      <c r="BR359" s="715">
        <v>0.16237175082098843</v>
      </c>
      <c r="BS359" s="715">
        <v>0.19448362978349013</v>
      </c>
      <c r="BT359" s="715">
        <v>0.23026793492782319</v>
      </c>
      <c r="BW359" s="1190">
        <f>'2019'!R\Max</f>
        <v>7.9680788552110887E-2</v>
      </c>
      <c r="BX359" s="1190">
        <f>'2020'!R\Max</f>
        <v>0.19744336930695591</v>
      </c>
      <c r="BY359" s="1190">
        <f>'2021'!R\Max</f>
        <v>0.55709708025384252</v>
      </c>
      <c r="BZ359" s="1190">
        <f>'2022'!R\Max</f>
        <v>0.77278083349552784</v>
      </c>
      <c r="CA359" s="1190">
        <f>'2023'!R\Max</f>
        <v>0.77223834289995463</v>
      </c>
      <c r="CB359" s="1190">
        <f>'2024'!R\Max</f>
        <v>0.77170014367510975</v>
      </c>
      <c r="CC359" s="1190">
        <f>'2025'!R\Max</f>
        <v>0.77116039035512962</v>
      </c>
      <c r="CD359" s="1190">
        <f>'2026'!R\Max</f>
        <v>0.77408458745816189</v>
      </c>
      <c r="CE359" s="1191">
        <f>'2027'!R\Max</f>
        <v>0.77371728344729862</v>
      </c>
      <c r="CF359" s="1193">
        <f>'2028'!R\Max</f>
        <v>0.77334027974559838</v>
      </c>
    </row>
    <row r="360" spans="1:84" s="6" customFormat="1" ht="11.25" x14ac:dyDescent="0.2">
      <c r="A360" s="11">
        <v>43446</v>
      </c>
      <c r="B360" s="379">
        <f>'2022'!Maxi_hp</f>
        <v>23.902821263615333</v>
      </c>
      <c r="C360" s="13">
        <f>'2022'!An_max</f>
        <v>2021</v>
      </c>
      <c r="D360" s="1045">
        <f t="shared" si="135"/>
        <v>0.97539758339048688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24.505721226547443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24.550170576007201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24.564999051924264</v>
      </c>
      <c r="AZ360" s="735">
        <f t="shared" si="153"/>
        <v>24.557584813965732</v>
      </c>
      <c r="BA360" s="633">
        <f t="shared" si="150"/>
        <v>0.97539758339048688</v>
      </c>
      <c r="BC360" s="11">
        <v>43446</v>
      </c>
      <c r="BD360" s="289">
        <f>[2]!FeuilCaduc*(1-Persistant)+Persistant</f>
        <v>0.52467569337161468</v>
      </c>
      <c r="BE360" s="290">
        <f>[2]!CroissVégét</f>
        <v>0.99983151115568181</v>
      </c>
      <c r="BF360" s="804">
        <f>1+[2]!Salcycl*Ksac</f>
        <v>1.0024675693371614</v>
      </c>
      <c r="BH360" s="1036">
        <f t="shared" si="151"/>
        <v>2.1390435026609218E-2</v>
      </c>
      <c r="BI360" s="11">
        <v>44542</v>
      </c>
      <c r="BJ360" s="715">
        <v>2.3206691685886366E-3</v>
      </c>
      <c r="BK360" s="715">
        <v>4.9717466314269767E-3</v>
      </c>
      <c r="BL360" s="715">
        <v>8.3344855912484573E-3</v>
      </c>
      <c r="BM360" s="715">
        <v>1.4151686943824087E-2</v>
      </c>
      <c r="BN360" s="715">
        <v>2.8654925260467961E-2</v>
      </c>
      <c r="BO360" s="716">
        <v>5.5144397699900281E-2</v>
      </c>
      <c r="BP360" s="715">
        <v>9.2404784342852375E-2</v>
      </c>
      <c r="BQ360" s="715">
        <v>0.12840245721086388</v>
      </c>
      <c r="BR360" s="715">
        <v>0.16159140738762431</v>
      </c>
      <c r="BS360" s="715">
        <v>0.19359405847405131</v>
      </c>
      <c r="BT360" s="715">
        <v>0.22986039967634786</v>
      </c>
      <c r="BW360" s="1190">
        <f>'2019'!R\Max</f>
        <v>0.19488909006228575</v>
      </c>
      <c r="BX360" s="1190">
        <f>'2020'!R\Max</f>
        <v>0.29380659647389717</v>
      </c>
      <c r="BY360" s="1190">
        <f>'2021'!R\Max</f>
        <v>0.97539758339048688</v>
      </c>
      <c r="BZ360" s="1190">
        <f>'2022'!R\Max</f>
        <v>0.23612516800157204</v>
      </c>
      <c r="CA360" s="1190">
        <f>'2023'!R\Max</f>
        <v>0.23561347057228879</v>
      </c>
      <c r="CB360" s="1190">
        <f>'2024'!R\Max</f>
        <v>0.2351190802983294</v>
      </c>
      <c r="CC360" s="1190">
        <f>'2025'!R\Max</f>
        <v>0.234624723735601</v>
      </c>
      <c r="CD360" s="1190">
        <f>'2026'!R\Max</f>
        <v>0.23737377256222153</v>
      </c>
      <c r="CE360" s="1191">
        <f>'2027'!R\Max</f>
        <v>0.23701853859634123</v>
      </c>
      <c r="CF360" s="1193">
        <f>'2028'!R\Max</f>
        <v>0.23665475828777344</v>
      </c>
    </row>
    <row r="361" spans="1:84" s="6" customFormat="1" ht="11.25" x14ac:dyDescent="0.2">
      <c r="A361" s="11">
        <v>43447</v>
      </c>
      <c r="B361" s="379">
        <f>'2022'!Maxi_hp</f>
        <v>25.0294040728553</v>
      </c>
      <c r="C361" s="13">
        <f>'2022'!An_max</f>
        <v>2021</v>
      </c>
      <c r="D361" s="1045">
        <f t="shared" si="135"/>
        <v>1.0248865565445491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24.421633704751731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24.490935715005314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24.470052094970431</v>
      </c>
      <c r="AZ361" s="735">
        <f t="shared" si="153"/>
        <v>24.480493904987874</v>
      </c>
      <c r="BA361" s="633">
        <f t="shared" si="150"/>
        <v>1.0248865565445491</v>
      </c>
      <c r="BC361" s="11">
        <v>43447</v>
      </c>
      <c r="BD361" s="289">
        <f>[2]!FeuilCaduc*(1-Persistant)+Persistant</f>
        <v>0.52289613125482126</v>
      </c>
      <c r="BE361" s="290">
        <f>[2]!CroissVégét</f>
        <v>0.99985162061643362</v>
      </c>
      <c r="BF361" s="804">
        <f>1+[2]!Salcycl*Ksac</f>
        <v>1.0022896131254821</v>
      </c>
      <c r="BH361" s="1036">
        <f t="shared" si="151"/>
        <v>2.1466788015946245E-2</v>
      </c>
      <c r="BI361" s="11">
        <v>44543</v>
      </c>
      <c r="BJ361" s="715">
        <v>2.4653281489152011E-3</v>
      </c>
      <c r="BK361" s="715">
        <v>5.0595113552722752E-3</v>
      </c>
      <c r="BL361" s="715">
        <v>8.3240955568233445E-3</v>
      </c>
      <c r="BM361" s="715">
        <v>1.4042941383620514E-2</v>
      </c>
      <c r="BN361" s="715">
        <v>2.8917035039523493E-2</v>
      </c>
      <c r="BO361" s="716">
        <v>5.5824924444662354E-2</v>
      </c>
      <c r="BP361" s="715">
        <v>9.3096588468731478E-2</v>
      </c>
      <c r="BQ361" s="715">
        <v>0.12832136598743735</v>
      </c>
      <c r="BR361" s="715">
        <v>0.16087265925001926</v>
      </c>
      <c r="BS361" s="715">
        <v>0.19279890457285778</v>
      </c>
      <c r="BT361" s="715">
        <v>0.22952099215366886</v>
      </c>
      <c r="BW361" s="1190">
        <f>'2019'!R\Max</f>
        <v>0.10083489420494873</v>
      </c>
      <c r="BX361" s="1190">
        <f>'2020'!R\Max</f>
        <v>0.45395053173594468</v>
      </c>
      <c r="BY361" s="1190">
        <f>'2021'!R\Max</f>
        <v>1.0248865565445491</v>
      </c>
      <c r="BZ361" s="1190">
        <f>'2022'!R\Max</f>
        <v>0.23989826252101809</v>
      </c>
      <c r="CA361" s="1190">
        <f>'2023'!R\Max</f>
        <v>0.23937817351420052</v>
      </c>
      <c r="CB361" s="1190">
        <f>'2024'!R\Max</f>
        <v>0.23888659182140973</v>
      </c>
      <c r="CC361" s="1190">
        <f>'2025'!R\Max</f>
        <v>0.23839506508025732</v>
      </c>
      <c r="CD361" s="1190">
        <f>'2026'!R\Max</f>
        <v>0.24117906878292272</v>
      </c>
      <c r="CE361" s="1191">
        <f>'2027'!R\Max</f>
        <v>0.24081231089577049</v>
      </c>
      <c r="CF361" s="1193">
        <f>'2028'!R\Max</f>
        <v>0.24043683805755106</v>
      </c>
    </row>
    <row r="362" spans="1:84" s="6" customFormat="1" ht="11.25" x14ac:dyDescent="0.2">
      <c r="A362" s="11">
        <v>43448</v>
      </c>
      <c r="B362" s="379">
        <f>'2022'!Maxi_hp</f>
        <v>24.68921870882129</v>
      </c>
      <c r="C362" s="13">
        <f>'2022'!An_max</f>
        <v>2021</v>
      </c>
      <c r="D362" s="1045">
        <f t="shared" si="135"/>
        <v>1.0140804818120215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24.346409532214913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24.441570491318046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24.385301263523953</v>
      </c>
      <c r="AZ362" s="735">
        <f t="shared" si="153"/>
        <v>24.413435877421001</v>
      </c>
      <c r="BA362" s="633">
        <f t="shared" si="150"/>
        <v>1.0140804818120215</v>
      </c>
      <c r="BC362" s="11">
        <v>43448</v>
      </c>
      <c r="BD362" s="289">
        <f>[2]!FeuilCaduc*(1-Persistant)+Persistant</f>
        <v>0.52124042573307883</v>
      </c>
      <c r="BE362" s="290">
        <f>[2]!CroissVégét</f>
        <v>0.99987092117157228</v>
      </c>
      <c r="BF362" s="804">
        <f>1+[2]!Salcycl*Ksac</f>
        <v>1.0021240425733078</v>
      </c>
      <c r="BH362" s="1036">
        <f t="shared" si="151"/>
        <v>2.1543931319671587E-2</v>
      </c>
      <c r="BI362" s="11">
        <v>44544</v>
      </c>
      <c r="BJ362" s="715">
        <v>2.6042340278431483E-3</v>
      </c>
      <c r="BK362" s="715">
        <v>5.1373100813381185E-3</v>
      </c>
      <c r="BL362" s="715">
        <v>8.3112365280338385E-3</v>
      </c>
      <c r="BM362" s="715">
        <v>1.3943361765976827E-2</v>
      </c>
      <c r="BN362" s="715">
        <v>2.9171529719716451E-2</v>
      </c>
      <c r="BO362" s="716">
        <v>5.6445126646965431E-2</v>
      </c>
      <c r="BP362" s="715">
        <v>9.3712308111017648E-2</v>
      </c>
      <c r="BQ362" s="715">
        <v>0.1282240514240971</v>
      </c>
      <c r="BR362" s="715">
        <v>0.1602158264811768</v>
      </c>
      <c r="BS362" s="715">
        <v>0.19209855725051986</v>
      </c>
      <c r="BT362" s="715">
        <v>0.22925018856121288</v>
      </c>
      <c r="BW362" s="1190">
        <f>'2019'!R\Max</f>
        <v>0.77655287239523463</v>
      </c>
      <c r="BX362" s="1190">
        <f>'2020'!R\Max</f>
        <v>0.43901438901744949</v>
      </c>
      <c r="BY362" s="1190">
        <f>'2021'!R\Max</f>
        <v>1.0140804818120215</v>
      </c>
      <c r="BZ362" s="1190">
        <f>'2022'!R\Max</f>
        <v>0.77166281703359052</v>
      </c>
      <c r="CA362" s="1190">
        <f>'2023'!R\Max</f>
        <v>0.77111783776400189</v>
      </c>
      <c r="CB362" s="1190">
        <f>'2024'!R\Max</f>
        <v>0.77061165018887412</v>
      </c>
      <c r="CC362" s="1190">
        <f>'2025'!R\Max</f>
        <v>0.77010416287034333</v>
      </c>
      <c r="CD362" s="1190">
        <f>'2026'!R\Max</f>
        <v>0.77300911898403646</v>
      </c>
      <c r="CE362" s="1191">
        <f>'2027'!R\Max</f>
        <v>0.77262239780866748</v>
      </c>
      <c r="CF362" s="1193">
        <f>'2028'!R\Max</f>
        <v>0.77222577167352435</v>
      </c>
    </row>
    <row r="363" spans="1:84" s="6" customFormat="1" ht="11.25" x14ac:dyDescent="0.2">
      <c r="A363" s="11">
        <v>43449</v>
      </c>
      <c r="B363" s="379">
        <f>'2022'!Maxi_hp</f>
        <v>24.850474320764231</v>
      </c>
      <c r="C363" s="13">
        <f>'2022'!An_max</f>
        <v>2018</v>
      </c>
      <c r="D363" s="1045">
        <f t="shared" si="135"/>
        <v>1.0234716081453485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24.280570289386169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24.402037199817855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24.31119119857571</v>
      </c>
      <c r="AZ363" s="735">
        <f t="shared" si="153"/>
        <v>24.356614199196784</v>
      </c>
      <c r="BA363" s="633">
        <f t="shared" si="150"/>
        <v>1.0234716081453485</v>
      </c>
      <c r="BC363" s="11">
        <v>43449</v>
      </c>
      <c r="BD363" s="289">
        <f>[2]!FeuilCaduc*(1-Persistant)+Persistant</f>
        <v>0.51970232781182812</v>
      </c>
      <c r="BE363" s="290">
        <f>[2]!CroissVégét</f>
        <v>0.99988944533008528</v>
      </c>
      <c r="BF363" s="804">
        <f>1+[2]!Salcycl*Ksac</f>
        <v>1.0019702327811828</v>
      </c>
      <c r="BH363" s="1036">
        <f t="shared" si="151"/>
        <v>2.1621912809198084E-2</v>
      </c>
      <c r="BI363" s="11">
        <v>44545</v>
      </c>
      <c r="BJ363" s="715">
        <v>2.7373965248373849E-3</v>
      </c>
      <c r="BK363" s="715">
        <v>5.2051545231471949E-3</v>
      </c>
      <c r="BL363" s="715">
        <v>8.2959247334735576E-3</v>
      </c>
      <c r="BM363" s="715">
        <v>1.3852974919870002E-2</v>
      </c>
      <c r="BN363" s="715">
        <v>2.9418478289725835E-2</v>
      </c>
      <c r="BO363" s="716">
        <v>5.7005133655658451E-2</v>
      </c>
      <c r="BP363" s="715">
        <v>9.4252146539839085E-2</v>
      </c>
      <c r="BQ363" s="715">
        <v>0.12811077228106879</v>
      </c>
      <c r="BR363" s="715">
        <v>0.15962122784064217</v>
      </c>
      <c r="BS363" s="715">
        <v>0.19149340627954692</v>
      </c>
      <c r="BT363" s="715">
        <v>0.22904846736748072</v>
      </c>
      <c r="BW363" s="1190">
        <f>'2019'!R\Max</f>
        <v>1.0234716081453485</v>
      </c>
      <c r="BX363" s="1190">
        <f>'2020'!R\Max</f>
        <v>0.16029664821201067</v>
      </c>
      <c r="BY363" s="1190">
        <f>'2021'!R\Max</f>
        <v>0.9629561900780349</v>
      </c>
      <c r="BZ363" s="1190">
        <f>'2022'!R\Max</f>
        <v>0.26334285051421452</v>
      </c>
      <c r="CA363" s="1190">
        <f>'2023'!R\Max</f>
        <v>0.26277243657355315</v>
      </c>
      <c r="CB363" s="1190">
        <f>'2024'!R\Max</f>
        <v>0.26225381572155892</v>
      </c>
      <c r="CC363" s="1190">
        <f>'2025'!R\Max</f>
        <v>0.2617352927410857</v>
      </c>
      <c r="CD363" s="1190">
        <f>'2026'!R\Max</f>
        <v>0.26476949508368769</v>
      </c>
      <c r="CE363" s="1191">
        <f>'2027'!R\Max</f>
        <v>0.26435657081949976</v>
      </c>
      <c r="CF363" s="1193">
        <f>'2028'!R\Max</f>
        <v>0.26393409901361625</v>
      </c>
    </row>
    <row r="364" spans="1:84" s="6" customFormat="1" ht="11.25" x14ac:dyDescent="0.2">
      <c r="A364" s="11">
        <v>43450</v>
      </c>
      <c r="B364" s="379">
        <f>'2022'!Maxi_hp</f>
        <v>24.489416018785828</v>
      </c>
      <c r="C364" s="13">
        <f>'2022'!An_max</f>
        <v>2021</v>
      </c>
      <c r="D364" s="1045">
        <f t="shared" si="135"/>
        <v>1.0109301306952165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24.224637564165249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24.37229814467759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24.248166530472893</v>
      </c>
      <c r="AZ364" s="735">
        <f t="shared" si="153"/>
        <v>24.310232337575243</v>
      </c>
      <c r="BA364" s="633">
        <f t="shared" si="150"/>
        <v>1.0109301306952165</v>
      </c>
      <c r="BC364" s="11">
        <v>43450</v>
      </c>
      <c r="BD364" s="289">
        <f>[2]!FeuilCaduc*(1-Persistant)+Persistant</f>
        <v>0.51827552129958876</v>
      </c>
      <c r="BE364" s="290">
        <f>[2]!CroissVégét</f>
        <v>0.9999072242967757</v>
      </c>
      <c r="BF364" s="804">
        <f>1+[2]!Salcycl*Ksac</f>
        <v>1.0018275521299589</v>
      </c>
      <c r="BH364" s="1036">
        <f t="shared" si="151"/>
        <v>2.1700781032330505E-2</v>
      </c>
      <c r="BI364" s="11">
        <v>44546</v>
      </c>
      <c r="BJ364" s="715">
        <v>2.8648259827487674E-3</v>
      </c>
      <c r="BK364" s="715">
        <v>5.2630561207862815E-3</v>
      </c>
      <c r="BL364" s="715">
        <v>8.2781760552041051E-3</v>
      </c>
      <c r="BM364" s="715">
        <v>1.3771807661367945E-2</v>
      </c>
      <c r="BN364" s="715">
        <v>2.9657951106374831E-2</v>
      </c>
      <c r="BO364" s="716">
        <v>5.7505074361307799E-2</v>
      </c>
      <c r="BP364" s="715">
        <v>9.4716305026277814E-2</v>
      </c>
      <c r="BQ364" s="715">
        <v>0.1279817848103588</v>
      </c>
      <c r="BR364" s="715">
        <v>0.15908918202025948</v>
      </c>
      <c r="BS364" s="715">
        <v>0.19098384395542764</v>
      </c>
      <c r="BT364" s="715">
        <v>0.22891631067353366</v>
      </c>
      <c r="BW364" s="1190">
        <f>'2019'!R\Max</f>
        <v>0.60020762053449994</v>
      </c>
      <c r="BX364" s="1190">
        <f>'2020'!R\Max</f>
        <v>0.1050393671438266</v>
      </c>
      <c r="BY364" s="1190">
        <f>'2021'!R\Max</f>
        <v>1.0109301306952165</v>
      </c>
      <c r="BZ364" s="1190">
        <f>'2022'!R\Max</f>
        <v>0.23314567536836489</v>
      </c>
      <c r="CA364" s="1190">
        <f>'2023'!R\Max</f>
        <v>0.23264135635140618</v>
      </c>
      <c r="CB364" s="1190">
        <f>'2024'!R\Max</f>
        <v>0.23219041367719367</v>
      </c>
      <c r="CC364" s="1190">
        <f>'2025'!R\Max</f>
        <v>0.23173957091377065</v>
      </c>
      <c r="CD364" s="1190">
        <f>'2026'!R\Max</f>
        <v>0.23441503152495358</v>
      </c>
      <c r="CE364" s="1191">
        <f>'2027'!R\Max</f>
        <v>0.23404602724154472</v>
      </c>
      <c r="CF364" s="1193">
        <f>'2028'!R\Max</f>
        <v>0.23366861876635886</v>
      </c>
    </row>
    <row r="365" spans="1:84" s="6" customFormat="1" ht="11.25" x14ac:dyDescent="0.2">
      <c r="A365" s="11">
        <v>43451</v>
      </c>
      <c r="B365" s="379">
        <f>'2022'!Maxi_hp</f>
        <v>24.995973707121568</v>
      </c>
      <c r="C365" s="13">
        <f>'2022'!An_max</f>
        <v>2021</v>
      </c>
      <c r="D365" s="1045">
        <f t="shared" si="135"/>
        <v>1.033782881203811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24.179132931679487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24.352315623749949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24.196671899221837</v>
      </c>
      <c r="AZ365" s="735">
        <f t="shared" si="153"/>
        <v>24.274493761485893</v>
      </c>
      <c r="BA365" s="633">
        <f t="shared" si="150"/>
        <v>1.033782881203811</v>
      </c>
      <c r="BC365" s="11">
        <v>43451</v>
      </c>
      <c r="BD365" s="289">
        <f>[2]!FeuilCaduc*(1-Persistant)+Persistant</f>
        <v>0.51695366275090715</v>
      </c>
      <c r="BE365" s="290">
        <f>[2]!CroissVégét</f>
        <v>0.99992428802440059</v>
      </c>
      <c r="BF365" s="804">
        <f>1+[2]!Salcycl*Ksac</f>
        <v>1.0016953662750907</v>
      </c>
      <c r="BH365" s="1036">
        <f t="shared" si="151"/>
        <v>2.1780585224270357E-2</v>
      </c>
      <c r="BI365" s="11">
        <v>44547</v>
      </c>
      <c r="BJ365" s="715">
        <v>2.9865332472742961E-3</v>
      </c>
      <c r="BK365" s="715">
        <v>5.3110258323060683E-3</v>
      </c>
      <c r="BL365" s="715">
        <v>8.2580059754312173E-3</v>
      </c>
      <c r="BM365" s="715">
        <v>1.3699886980993883E-2</v>
      </c>
      <c r="BN365" s="715">
        <v>2.9890019728648853E-2</v>
      </c>
      <c r="BO365" s="716">
        <v>5.7945075927020508E-2</v>
      </c>
      <c r="BP365" s="715">
        <v>9.51049812364958E-2</v>
      </c>
      <c r="BQ365" s="715">
        <v>0.12783734238745167</v>
      </c>
      <c r="BR365" s="715">
        <v>0.1586200088936717</v>
      </c>
      <c r="BS365" s="715">
        <v>0.1905702670222007</v>
      </c>
      <c r="BT365" s="715">
        <v>0.22885420558384612</v>
      </c>
      <c r="BW365" s="1190">
        <f>'2019'!R\Max</f>
        <v>0.53749158074598857</v>
      </c>
      <c r="BX365" s="1190">
        <f>'2020'!R\Max</f>
        <v>0.74977318168309592</v>
      </c>
      <c r="BY365" s="1190">
        <f>'2021'!R\Max</f>
        <v>1.033782881203811</v>
      </c>
      <c r="BZ365" s="1190">
        <f>'2022'!R\Max</f>
        <v>0.15837196967413014</v>
      </c>
      <c r="CA365" s="1190">
        <f>'2023'!R\Max</f>
        <v>0.15803008518423603</v>
      </c>
      <c r="CB365" s="1190">
        <f>'2024'!R\Max</f>
        <v>0.15772886028160016</v>
      </c>
      <c r="CC365" s="1190">
        <f>'2025'!R\Max</f>
        <v>0.15742771078991211</v>
      </c>
      <c r="CD365" s="1190">
        <f>'2026'!R\Max</f>
        <v>0.15923717451536262</v>
      </c>
      <c r="CE365" s="1191">
        <f>'2027'!R\Max</f>
        <v>0.15898471541226208</v>
      </c>
      <c r="CF365" s="1193">
        <f>'2028'!R\Max</f>
        <v>0.15872659880788834</v>
      </c>
    </row>
    <row r="366" spans="1:84" s="6" customFormat="1" ht="11.25" x14ac:dyDescent="0.2">
      <c r="A366" s="11">
        <v>43452</v>
      </c>
      <c r="B366" s="379">
        <f>'2022'!Maxi_hp</f>
        <v>25.161787004742354</v>
      </c>
      <c r="C366" s="13">
        <f>'2022'!An_max</f>
        <v>2021</v>
      </c>
      <c r="D366" s="1045">
        <f t="shared" si="135"/>
        <v>1.0421299155160051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24.144577974506785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24.342051942697886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24.157151943445207</v>
      </c>
      <c r="AZ366" s="735">
        <f t="shared" si="153"/>
        <v>24.249601943071546</v>
      </c>
      <c r="BA366" s="633">
        <f t="shared" si="150"/>
        <v>1.0421299155160051</v>
      </c>
      <c r="BC366" s="11">
        <v>43452</v>
      </c>
      <c r="BD366" s="289">
        <f>[2]!FeuilCaduc*(1-Persistant)+Persistant</f>
        <v>0.51573042023871185</v>
      </c>
      <c r="BE366" s="290">
        <f>[2]!CroissVégét</f>
        <v>0.99994066526373915</v>
      </c>
      <c r="BF366" s="804">
        <f>1+[2]!Salcycl*Ksac</f>
        <v>1.0015730420238711</v>
      </c>
      <c r="BH366" s="1036">
        <f t="shared" si="151"/>
        <v>2.1852730175203356E-2</v>
      </c>
      <c r="BI366" s="11">
        <v>44548</v>
      </c>
      <c r="BJ366" s="715">
        <v>3.0896865283321744E-3</v>
      </c>
      <c r="BK366" s="715">
        <v>5.3449272011691215E-3</v>
      </c>
      <c r="BL366" s="715">
        <v>8.2380637173211559E-3</v>
      </c>
      <c r="BM366" s="715">
        <v>1.3644409514252458E-2</v>
      </c>
      <c r="BN366" s="715">
        <v>3.009024094307583E-2</v>
      </c>
      <c r="BO366" s="716">
        <v>5.8283901577034357E-2</v>
      </c>
      <c r="BP366" s="715">
        <v>9.5384994558828221E-2</v>
      </c>
      <c r="BQ366" s="715">
        <v>0.1276973796050567</v>
      </c>
      <c r="BR366" s="715">
        <v>0.15826155388514507</v>
      </c>
      <c r="BS366" s="715">
        <v>0.19029122252638372</v>
      </c>
      <c r="BT366" s="715">
        <v>0.22886519131019745</v>
      </c>
      <c r="BW366" s="1190">
        <f>'2019'!R\Max</f>
        <v>0.79025894915555794</v>
      </c>
      <c r="BX366" s="1190">
        <f>'2020'!R\Max</f>
        <v>0.39018500049799798</v>
      </c>
      <c r="BY366" s="1190">
        <f>'2021'!R\Max</f>
        <v>1.0421299155160051</v>
      </c>
      <c r="BZ366" s="1190">
        <f>'2022'!R\Max</f>
        <v>0.95173485315951944</v>
      </c>
      <c r="CA366" s="1190">
        <f>'2023'!R\Max</f>
        <v>0.9515936449064416</v>
      </c>
      <c r="CB366" s="1190">
        <f>'2024'!R\Max</f>
        <v>0.95147016590705924</v>
      </c>
      <c r="CC366" s="1190">
        <f>'2025'!R\Max</f>
        <v>0.95134628684965972</v>
      </c>
      <c r="CD366" s="1190">
        <f>'2026'!R\Max</f>
        <v>0.95209112298523768</v>
      </c>
      <c r="CE366" s="1191">
        <f>'2027'!R\Max</f>
        <v>0.95198724947789737</v>
      </c>
      <c r="CF366" s="1193">
        <f>'2028'!R\Max</f>
        <v>0.95188076460880888</v>
      </c>
    </row>
    <row r="367" spans="1:84" s="6" customFormat="1" ht="11.25" x14ac:dyDescent="0.2">
      <c r="A367" s="11">
        <v>43453</v>
      </c>
      <c r="B367" s="379">
        <f>'2022'!Maxi_hp</f>
        <v>24.884744497458982</v>
      </c>
      <c r="C367" s="13">
        <f>'2022'!An_max</f>
        <v>2021</v>
      </c>
      <c r="D367" s="1045">
        <f t="shared" si="135"/>
        <v>1.0316419128835221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24.121494276928047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24.341469395366211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24.130051295006915</v>
      </c>
      <c r="AZ367" s="735">
        <f t="shared" si="153"/>
        <v>24.235760345186563</v>
      </c>
      <c r="BA367" s="633">
        <f t="shared" si="150"/>
        <v>1.0316419128835221</v>
      </c>
      <c r="BC367" s="11">
        <v>43453</v>
      </c>
      <c r="BD367" s="289">
        <f>[2]!FeuilCaduc*(1-Persistant)+Persistant</f>
        <v>0.51459951068204202</v>
      </c>
      <c r="BE367" s="290">
        <f>[2]!CroissVégét</f>
        <v>0.99995638361167161</v>
      </c>
      <c r="BF367" s="804">
        <f>1+[2]!Salcycl*Ksac</f>
        <v>1.0014599510682043</v>
      </c>
      <c r="BH367" s="1036">
        <f t="shared" si="151"/>
        <v>2.1908101769020506E-2</v>
      </c>
      <c r="BI367" s="11">
        <v>44549</v>
      </c>
      <c r="BJ367" s="715">
        <v>3.1672507373637264E-3</v>
      </c>
      <c r="BK367" s="715">
        <v>5.3706657328233169E-3</v>
      </c>
      <c r="BL367" s="715">
        <v>8.2235726112766302E-3</v>
      </c>
      <c r="BM367" s="715">
        <v>1.3603567552693116E-2</v>
      </c>
      <c r="BN367" s="715">
        <v>3.024216824312892E-2</v>
      </c>
      <c r="BO367" s="716">
        <v>5.8541421665157932E-2</v>
      </c>
      <c r="BP367" s="715">
        <v>9.5600509131033393E-2</v>
      </c>
      <c r="BQ367" s="715">
        <v>0.12759966220214322</v>
      </c>
      <c r="BR367" s="715">
        <v>0.15800166252630085</v>
      </c>
      <c r="BS367" s="715">
        <v>0.19009273420091657</v>
      </c>
      <c r="BT367" s="715">
        <v>0.22888649107800468</v>
      </c>
      <c r="BW367" s="1190">
        <f>'2019'!R\Max</f>
        <v>0.45649846160290392</v>
      </c>
      <c r="BX367" s="1190">
        <f>'2020'!R\Max</f>
        <v>0.4978267952358521</v>
      </c>
      <c r="BY367" s="1190">
        <f>'2021'!R\Max</f>
        <v>1.0316419128835221</v>
      </c>
      <c r="BZ367" s="1190">
        <f>'2022'!R\Max</f>
        <v>0.80968577399332087</v>
      </c>
      <c r="CA367" s="1190">
        <f>'2023'!R\Max</f>
        <v>0.80921340611009196</v>
      </c>
      <c r="CB367" s="1190">
        <f>'2024'!R\Max</f>
        <v>0.80880422248822936</v>
      </c>
      <c r="CC367" s="1190">
        <f>'2025'!R\Max</f>
        <v>0.80839404551478455</v>
      </c>
      <c r="CD367" s="1190">
        <f>'2026'!R\Max</f>
        <v>0.81088302857415973</v>
      </c>
      <c r="CE367" s="1191">
        <f>'2027'!R\Max</f>
        <v>0.81053295597275543</v>
      </c>
      <c r="CF367" s="1193">
        <f>'2028'!R\Max</f>
        <v>0.8101744043121466</v>
      </c>
    </row>
    <row r="368" spans="1:84" s="6" customFormat="1" ht="11.25" x14ac:dyDescent="0.2">
      <c r="A368" s="11">
        <v>43454</v>
      </c>
      <c r="B368" s="379">
        <f>'2022'!Maxi_hp</f>
        <v>24.174700505084488</v>
      </c>
      <c r="C368" s="13">
        <f>'2022'!An_max</f>
        <v>2021</v>
      </c>
      <c r="D368" s="1045">
        <f t="shared" si="135"/>
        <v>1.0026667776975977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24.110403418966701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24.350530284643174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24.115814598117559</v>
      </c>
      <c r="AZ368" s="735">
        <f t="shared" si="153"/>
        <v>24.233172441380368</v>
      </c>
      <c r="BA368" s="633">
        <f t="shared" si="150"/>
        <v>1.0026667776975977</v>
      </c>
      <c r="BC368" s="11">
        <v>43454</v>
      </c>
      <c r="BD368" s="289">
        <f>[2]!FeuilCaduc*(1-Persistant)+Persistant</f>
        <v>0.51355473547198693</v>
      </c>
      <c r="BE368" s="290">
        <f>[2]!CroissVégét</f>
        <v>0.99997146955734828</v>
      </c>
      <c r="BF368" s="804">
        <f>1+[2]!Salcycl*Ksac</f>
        <v>1.0013554735471988</v>
      </c>
      <c r="BH368" s="1036">
        <f t="shared" si="151"/>
        <v>2.1946740852487302E-2</v>
      </c>
      <c r="BI368" s="11">
        <v>44550</v>
      </c>
      <c r="BJ368" s="715">
        <v>3.2192255258168272E-3</v>
      </c>
      <c r="BK368" s="715">
        <v>5.3882503470033503E-3</v>
      </c>
      <c r="BL368" s="715">
        <v>8.2145511613058511E-3</v>
      </c>
      <c r="BM368" s="715">
        <v>1.3577393222704391E-2</v>
      </c>
      <c r="BN368" s="715">
        <v>3.0345851226961634E-2</v>
      </c>
      <c r="BO368" s="716">
        <v>5.8717735489456052E-2</v>
      </c>
      <c r="BP368" s="715">
        <v>9.5751705543882196E-2</v>
      </c>
      <c r="BQ368" s="715">
        <v>0.12754446586316684</v>
      </c>
      <c r="BR368" s="715">
        <v>0.15784068867355475</v>
      </c>
      <c r="BS368" s="715">
        <v>0.18997521750634971</v>
      </c>
      <c r="BT368" s="715">
        <v>0.2289185817321846</v>
      </c>
      <c r="BW368" s="1190">
        <f>'2019'!R\Max</f>
        <v>0.36962654238960319</v>
      </c>
      <c r="BX368" s="1190">
        <f>'2020'!R\Max</f>
        <v>0.38619243017617116</v>
      </c>
      <c r="BY368" s="1190">
        <f>'2021'!R\Max</f>
        <v>1.0026667776975977</v>
      </c>
      <c r="BZ368" s="1190">
        <f>'2022'!R\Max</f>
        <v>0.20553679013989365</v>
      </c>
      <c r="CA368" s="1190">
        <f>'2023'!R\Max</f>
        <v>0.20509623047716305</v>
      </c>
      <c r="CB368" s="1190">
        <f>'2024'!R\Max</f>
        <v>0.20471790826457381</v>
      </c>
      <c r="CC368" s="1190">
        <f>'2025'!R\Max</f>
        <v>0.20433969853596637</v>
      </c>
      <c r="CD368" s="1190">
        <f>'2026'!R\Max</f>
        <v>0.20666191352706118</v>
      </c>
      <c r="CE368" s="1191">
        <f>'2027'!R\Max</f>
        <v>0.20633154630115633</v>
      </c>
      <c r="CF368" s="1193">
        <f>'2028'!R\Max</f>
        <v>0.20599403164249708</v>
      </c>
    </row>
    <row r="369" spans="1:84" s="6" customFormat="1" ht="11.25" x14ac:dyDescent="0.2">
      <c r="A369" s="11">
        <v>43455</v>
      </c>
      <c r="B369" s="379">
        <f>'2022'!Maxi_hp</f>
        <v>22.824855300763012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24.111826979368924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24.369196914855774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24.114886481527769</v>
      </c>
      <c r="AZ369" s="735">
        <f t="shared" si="153"/>
        <v>24.24204169819177</v>
      </c>
      <c r="BA369" s="633">
        <f t="shared" si="150"/>
        <v>0.94662487916377724</v>
      </c>
      <c r="BC369" s="11">
        <v>43455</v>
      </c>
      <c r="BD369" s="289">
        <f>[2]!FeuilCaduc*(1-Persistant)+Persistant</f>
        <v>0.51259001415760874</v>
      </c>
      <c r="BE369" s="290">
        <f>[2]!CroissVégét</f>
        <v>0.99998594852652212</v>
      </c>
      <c r="BF369" s="804">
        <f>1+[2]!Salcycl*Ksac</f>
        <v>1.001259001415761</v>
      </c>
      <c r="BH369" s="1036">
        <f t="shared" si="151"/>
        <v>2.1968686046884699E-2</v>
      </c>
      <c r="BI369" s="11">
        <v>44551</v>
      </c>
      <c r="BJ369" s="715">
        <v>3.2456072383249515E-3</v>
      </c>
      <c r="BK369" s="715">
        <v>5.3976888958491365E-3</v>
      </c>
      <c r="BL369" s="715">
        <v>8.211018549875871E-3</v>
      </c>
      <c r="BM369" s="715">
        <v>1.3565920496978447E-2</v>
      </c>
      <c r="BN369" s="715">
        <v>3.0401333180974859E-2</v>
      </c>
      <c r="BO369" s="716">
        <v>5.8812931699528941E-2</v>
      </c>
      <c r="BP369" s="715">
        <v>9.5838755797309202E-2</v>
      </c>
      <c r="BQ369" s="715">
        <v>0.12753207134403058</v>
      </c>
      <c r="BR369" s="715">
        <v>0.15777899842352708</v>
      </c>
      <c r="BS369" s="715">
        <v>0.18993909772918535</v>
      </c>
      <c r="BT369" s="715">
        <v>0.22896194077850168</v>
      </c>
      <c r="BW369" s="1190">
        <f>'2019'!R\Max</f>
        <v>0.81706733516379426</v>
      </c>
      <c r="BX369" s="1190">
        <f>'2020'!R\Max</f>
        <v>0.28266786957656909</v>
      </c>
      <c r="BY369" s="1190">
        <f>'2021'!R\Max</f>
        <v>0.7522635110011423</v>
      </c>
      <c r="BZ369" s="1190">
        <f>'2022'!R\Max</f>
        <v>0.94662487916377724</v>
      </c>
      <c r="CA369" s="1190">
        <f>'2023'!R\Max</f>
        <v>0.94647061223555096</v>
      </c>
      <c r="CB369" s="1190">
        <f>'2024'!R\Max</f>
        <v>0.94633803695425989</v>
      </c>
      <c r="CC369" s="1190">
        <f>'2025'!R\Max</f>
        <v>0.94620505071017769</v>
      </c>
      <c r="CD369" s="1190">
        <f>'2026'!R\Max</f>
        <v>0.94701649539148303</v>
      </c>
      <c r="CE369" s="1191">
        <f>'2027'!R\Max</f>
        <v>0.94690183547432694</v>
      </c>
      <c r="CF369" s="1193">
        <f>'2028'!R\Max</f>
        <v>0.94678435432955366</v>
      </c>
    </row>
    <row r="370" spans="1:84" s="6" customFormat="1" ht="11.25" x14ac:dyDescent="0.2">
      <c r="A370" s="11">
        <v>43456</v>
      </c>
      <c r="B370" s="379">
        <f>'2022'!Maxi_hp</f>
        <v>24.5370383220707</v>
      </c>
      <c r="C370" s="13">
        <f>'2022'!An_max</f>
        <v>2021</v>
      </c>
      <c r="D370" s="1045">
        <f t="shared" si="135"/>
        <v>1.0170250725966241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24.126286542202745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24.397431581390315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24.12771158617522</v>
      </c>
      <c r="AZ370" s="735">
        <f t="shared" si="153"/>
        <v>24.262571583782766</v>
      </c>
      <c r="BA370" s="633">
        <f t="shared" si="150"/>
        <v>1.0170250725966241</v>
      </c>
      <c r="BC370" s="11">
        <v>43456</v>
      </c>
      <c r="BD370" s="289">
        <f>[2]!FeuilCaduc*(1-Persistant)+Persistant</f>
        <v>0.51169941597441659</v>
      </c>
      <c r="BE370" s="290">
        <f>[2]!CroissVégét</f>
        <v>0.99999984492411664</v>
      </c>
      <c r="BF370" s="804">
        <f>1+[2]!Salcycl*Ksac</f>
        <v>1.0011699415974418</v>
      </c>
      <c r="BH370" s="1036">
        <f t="shared" si="151"/>
        <v>2.1973973387676895E-2</v>
      </c>
      <c r="BI370" s="11">
        <v>44552</v>
      </c>
      <c r="BJ370" s="717">
        <v>3.2463883788770094E-3</v>
      </c>
      <c r="BK370" s="717">
        <v>5.3989879913262937E-3</v>
      </c>
      <c r="BL370" s="717">
        <v>8.2129947469607393E-3</v>
      </c>
      <c r="BM370" s="717">
        <v>1.3569185491738451E-2</v>
      </c>
      <c r="BN370" s="717">
        <v>3.0408650059586619E-2</v>
      </c>
      <c r="BO370" s="718">
        <v>5.8827086574891996E-2</v>
      </c>
      <c r="BP370" s="717">
        <v>9.5861821908860848E-2</v>
      </c>
      <c r="BQ370" s="717">
        <v>0.12756276528365409</v>
      </c>
      <c r="BR370" s="717">
        <v>0.15781697207988213</v>
      </c>
      <c r="BS370" s="717">
        <v>0.1899848115573731</v>
      </c>
      <c r="BT370" s="717">
        <v>0.22901704647789373</v>
      </c>
      <c r="BW370" s="1190">
        <f>'2019'!R\Max</f>
        <v>0.30653070233822127</v>
      </c>
      <c r="BX370" s="1190">
        <f>'2020'!R\Max</f>
        <v>0.35302901295655575</v>
      </c>
      <c r="BY370" s="1190">
        <f>'2021'!R\Max</f>
        <v>1.0170250725966241</v>
      </c>
      <c r="BZ370" s="1190">
        <f>'2022'!R\Max</f>
        <v>0.79886341542825179</v>
      </c>
      <c r="CA370" s="1190">
        <f>'2023'!R\Max</f>
        <v>0.79837407854383546</v>
      </c>
      <c r="CB370" s="1190">
        <f>'2024'!R\Max</f>
        <v>0.79795390384341636</v>
      </c>
      <c r="CC370" s="1190">
        <f>'2025'!R\Max</f>
        <v>0.79753275494678533</v>
      </c>
      <c r="CD370" s="1190">
        <f>'2026'!R\Max</f>
        <v>0.80010763090477444</v>
      </c>
      <c r="CE370" s="1191">
        <f>'2027'!R\Max</f>
        <v>0.79974304306303146</v>
      </c>
      <c r="CF370" s="1193">
        <f>'2028'!R\Max</f>
        <v>0.79936974216742784</v>
      </c>
    </row>
    <row r="371" spans="1:84" s="6" customFormat="1" ht="11.25" x14ac:dyDescent="0.2">
      <c r="A371" s="11">
        <v>43457</v>
      </c>
      <c r="B371" s="379">
        <f>'2022'!Maxi_hp</f>
        <v>20.621523847427799</v>
      </c>
      <c r="C371" s="13">
        <f>'2022'!An_max</f>
        <v>2020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24.154303688768827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24.435196587289202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24.154734545866294</v>
      </c>
      <c r="AZ371" s="735">
        <f t="shared" si="153"/>
        <v>24.294965566577748</v>
      </c>
      <c r="BA371" s="633">
        <f t="shared" si="150"/>
        <v>0.85374118472379368</v>
      </c>
      <c r="BC371" s="11">
        <v>43457</v>
      </c>
      <c r="BD371" s="289">
        <f>[2]!FeuilCaduc*(1-Persistant)+Persistant</f>
        <v>0.51087718902040757</v>
      </c>
      <c r="BE371" s="290">
        <f>[2]!CroissVégét</f>
        <v>0.99999984492411664</v>
      </c>
      <c r="BF371" s="804">
        <f>1+[2]!Salcycl*Ksac</f>
        <v>1.0010877189020408</v>
      </c>
      <c r="BH371" s="1036">
        <f t="shared" si="151"/>
        <v>2.1962651142741312E-2</v>
      </c>
      <c r="BI371" s="11">
        <v>44553</v>
      </c>
      <c r="BJ371" s="715">
        <v>3.2215593034311484E-3</v>
      </c>
      <c r="BK371" s="715">
        <v>5.3921565592085384E-3</v>
      </c>
      <c r="BL371" s="715">
        <v>8.2205063003472807E-3</v>
      </c>
      <c r="BM371" s="715">
        <v>1.3587236154213811E-2</v>
      </c>
      <c r="BN371" s="715">
        <v>3.0367850452462639E-2</v>
      </c>
      <c r="BO371" s="716">
        <v>5.8760302913064631E-2</v>
      </c>
      <c r="BP371" s="715">
        <v>9.5821120744879876E-2</v>
      </c>
      <c r="BQ371" s="715">
        <v>0.12763692922644321</v>
      </c>
      <c r="BR371" s="715">
        <v>0.15795511528421047</v>
      </c>
      <c r="BS371" s="715">
        <v>0.19011294004437532</v>
      </c>
      <c r="BT371" s="715">
        <v>0.22908453626294498</v>
      </c>
      <c r="BW371" s="1190">
        <f>'2019'!R\Max</f>
        <v>0.28496031086119317</v>
      </c>
      <c r="BX371" s="1190">
        <f>'2020'!R\Max</f>
        <v>0.85374118472379368</v>
      </c>
      <c r="BY371" s="1190">
        <f>'2021'!R\Max</f>
        <v>0.27370748466889461</v>
      </c>
      <c r="BZ371" s="1190">
        <f>'2022'!R\Max</f>
        <v>0.80878910966408446</v>
      </c>
      <c r="CA371" s="1190">
        <f>'2023'!R\Max</f>
        <v>0.80831910554697772</v>
      </c>
      <c r="CB371" s="1190">
        <f>'2024'!R\Max</f>
        <v>0.80791433446861072</v>
      </c>
      <c r="CC371" s="1190">
        <f>'2025'!R\Max</f>
        <v>0.80750860048980155</v>
      </c>
      <c r="CD371" s="1190">
        <f>'2026'!R\Max</f>
        <v>0.80998285265370495</v>
      </c>
      <c r="CE371" s="1191">
        <f>'2027'!R\Max</f>
        <v>0.80963331194634192</v>
      </c>
      <c r="CF371" s="1193">
        <f>'2028'!R\Max</f>
        <v>0.8092753756572626</v>
      </c>
    </row>
    <row r="372" spans="1:84" s="6" customFormat="1" ht="11.25" x14ac:dyDescent="0.2">
      <c r="A372" s="11">
        <v>43458</v>
      </c>
      <c r="B372" s="379">
        <f>'2022'!Maxi_hp</f>
        <v>23.251123518369042</v>
      </c>
      <c r="C372" s="13">
        <f>'2022'!An_max</f>
        <v>2022</v>
      </c>
      <c r="D372" s="1045" t="str">
        <f t="shared" si="135"/>
        <v/>
      </c>
      <c r="E372" s="1040">
        <f>AM$13/10</f>
        <v>24.196400000000001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24.196399998664855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24.482454231175883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24.196400003135203</v>
      </c>
      <c r="AZ372" s="735">
        <f t="shared" si="153"/>
        <v>24.339427117155545</v>
      </c>
      <c r="BA372" s="633">
        <f t="shared" si="150"/>
        <v>0.96093317682184232</v>
      </c>
      <c r="BC372" s="11">
        <v>43458</v>
      </c>
      <c r="BD372" s="289">
        <f>[2]!FeuilCaduc*(1-Persistant)+Persistant</f>
        <v>0.51011778690856846</v>
      </c>
      <c r="BE372" s="290">
        <f>[2]!CroissVégét</f>
        <v>0.99999984492411664</v>
      </c>
      <c r="BF372" s="804">
        <f>1+[2]!Salcycl*Ksac</f>
        <v>1.0010117786908568</v>
      </c>
      <c r="BH372" s="1036">
        <f t="shared" si="151"/>
        <v>2.1934700161882405E-2</v>
      </c>
      <c r="BI372" s="11">
        <v>44554</v>
      </c>
      <c r="BJ372" s="715">
        <v>3.1710960627275003E-3</v>
      </c>
      <c r="BK372" s="715">
        <v>5.3771862008491498E-3</v>
      </c>
      <c r="BL372" s="715">
        <v>8.2335567631374017E-3</v>
      </c>
      <c r="BM372" s="715">
        <v>1.3620083499072436E-2</v>
      </c>
      <c r="BN372" s="715">
        <v>3.0278884937272817E-2</v>
      </c>
      <c r="BO372" s="716">
        <v>5.8612496181268937E-2</v>
      </c>
      <c r="BP372" s="715">
        <v>9.5716576690262123E-2</v>
      </c>
      <c r="BQ372" s="715">
        <v>0.12775457959206962</v>
      </c>
      <c r="BR372" s="715">
        <v>0.15819349066079724</v>
      </c>
      <c r="BS372" s="715">
        <v>0.19032352376350747</v>
      </c>
      <c r="BT372" s="715">
        <v>0.22916437972735731</v>
      </c>
      <c r="BW372" s="1190">
        <f>'2019'!R\Max</f>
        <v>0.56477770048972176</v>
      </c>
      <c r="BX372" s="1190">
        <f>'2020'!R\Max</f>
        <v>0.41884937360200686</v>
      </c>
      <c r="BY372" s="1190">
        <f>'2021'!R\Max</f>
        <v>0.55962256734410998</v>
      </c>
      <c r="BZ372" s="1190">
        <f>'2022'!R\Max</f>
        <v>0.96093317682184232</v>
      </c>
      <c r="CA372" s="1190">
        <f>'2023'!R\Max</f>
        <v>0.9608192697932717</v>
      </c>
      <c r="CB372" s="1190">
        <f>'2024'!R\Max</f>
        <v>0.96072051826910565</v>
      </c>
      <c r="CC372" s="1190">
        <f>'2025'!R\Max</f>
        <v>0.96062145034394086</v>
      </c>
      <c r="CD372" s="1190">
        <f>'2026'!R\Max</f>
        <v>0.96122143554332917</v>
      </c>
      <c r="CE372" s="1191">
        <f>'2027'!R\Max</f>
        <v>0.96113721582475364</v>
      </c>
      <c r="CF372" s="1193">
        <f>'2028'!R\Max</f>
        <v>0.96105090063862608</v>
      </c>
    </row>
    <row r="373" spans="1:84" s="6" customFormat="1" ht="11.25" x14ac:dyDescent="0.2">
      <c r="A373" s="11">
        <v>43459</v>
      </c>
      <c r="B373" s="379">
        <f>'2022'!Maxi_hp</f>
        <v>13.087340065687096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24.252993285655975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24.539166817274584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24.253606869717096</v>
      </c>
      <c r="AZ373" s="735">
        <f t="shared" si="153"/>
        <v>24.39638684349584</v>
      </c>
      <c r="BA373" s="633">
        <f t="shared" si="150"/>
        <v>0.53961751902299759</v>
      </c>
      <c r="BC373" s="11">
        <v>43459</v>
      </c>
      <c r="BD373" s="289">
        <f>[2]!FeuilCaduc*(1-Persistant)+Persistant</f>
        <v>0.5094158927498017</v>
      </c>
      <c r="BE373" s="290">
        <f>[2]!CroissVégét</f>
        <v>0.99999984492411664</v>
      </c>
      <c r="BF373" s="804">
        <f>1+[2]!Salcycl*Ksac</f>
        <v>1.0009415892749802</v>
      </c>
      <c r="BH373" s="1036">
        <f t="shared" si="151"/>
        <v>2.1890045309891987E-2</v>
      </c>
      <c r="BI373" s="11">
        <v>44555</v>
      </c>
      <c r="BJ373" s="715">
        <v>3.0949623940032382E-3</v>
      </c>
      <c r="BK373" s="715">
        <v>5.3540540551966715E-3</v>
      </c>
      <c r="BL373" s="715">
        <v>8.2521308135018491E-3</v>
      </c>
      <c r="BM373" s="715">
        <v>1.3667708341204015E-2</v>
      </c>
      <c r="BN373" s="715">
        <v>3.014162222974354E-2</v>
      </c>
      <c r="BO373" s="716">
        <v>5.8383425600810279E-2</v>
      </c>
      <c r="BP373" s="715">
        <v>9.5547871411775231E-2</v>
      </c>
      <c r="BQ373" s="715">
        <v>0.12791543221821505</v>
      </c>
      <c r="BR373" s="715">
        <v>0.15853179706079901</v>
      </c>
      <c r="BS373" s="715">
        <v>0.19061615870331472</v>
      </c>
      <c r="BT373" s="715">
        <v>0.22925599535943106</v>
      </c>
      <c r="BW373" s="1190">
        <f>'2019'!R\Max</f>
        <v>0.47487121395044568</v>
      </c>
      <c r="BX373" s="1190">
        <f>'2020'!R\Max</f>
        <v>0.47806381635244627</v>
      </c>
      <c r="BY373" s="1190">
        <f>'2021'!R\Max</f>
        <v>0.41096578811072726</v>
      </c>
      <c r="BZ373" s="1190">
        <f>'2022'!R\Max</f>
        <v>0.53961751902299759</v>
      </c>
      <c r="CA373" s="1190">
        <f>'2023'!R\Max</f>
        <v>0.53886627382053742</v>
      </c>
      <c r="CB373" s="1190">
        <f>'2024'!R\Max</f>
        <v>0.53821092623829281</v>
      </c>
      <c r="CC373" s="1190">
        <f>'2025'!R\Max</f>
        <v>0.53755491651349663</v>
      </c>
      <c r="CD373" s="1190">
        <f>'2026'!R\Max</f>
        <v>0.5415215050195753</v>
      </c>
      <c r="CE373" s="1191">
        <f>'2027'!R\Max</f>
        <v>0.54096510376575058</v>
      </c>
      <c r="CF373" s="1193">
        <f>'2028'!R\Max</f>
        <v>0.54039581648695356</v>
      </c>
    </row>
    <row r="374" spans="1:84" s="6" customFormat="1" ht="11.25" x14ac:dyDescent="0.2">
      <c r="A374" s="11">
        <v>43460</v>
      </c>
      <c r="B374" s="379">
        <f>'2022'!Maxi_hp</f>
        <v>22.706326287460659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24.323810731669266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24.605296643232474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24.326585735020966</v>
      </c>
      <c r="AZ374" s="735">
        <f t="shared" si="153"/>
        <v>24.46594118912672</v>
      </c>
      <c r="BA374" s="633">
        <f t="shared" si="150"/>
        <v>0.93350201323090121</v>
      </c>
      <c r="BC374" s="11">
        <v>43460</v>
      </c>
      <c r="BD374" s="289">
        <f>[2]!FeuilCaduc*(1-Persistant)+Persistant</f>
        <v>0.50876644034625396</v>
      </c>
      <c r="BE374" s="290">
        <f>[2]!CroissVégét</f>
        <v>0.99999984492411664</v>
      </c>
      <c r="BF374" s="804">
        <f>1+[2]!Salcycl*Ksac</f>
        <v>1.0008766440346255</v>
      </c>
      <c r="BH374" s="1036">
        <f t="shared" si="151"/>
        <v>2.1828608873192944E-2</v>
      </c>
      <c r="BI374" s="11">
        <v>44556</v>
      </c>
      <c r="BJ374" s="715">
        <v>2.993118204596881E-3</v>
      </c>
      <c r="BK374" s="715">
        <v>5.3227360245421025E-3</v>
      </c>
      <c r="BL374" s="715">
        <v>8.2762139150104903E-3</v>
      </c>
      <c r="BM374" s="715">
        <v>1.3730093633197204E-2</v>
      </c>
      <c r="BN374" s="715">
        <v>2.9955923734393309E-2</v>
      </c>
      <c r="BO374" s="716">
        <v>5.8072838058040345E-2</v>
      </c>
      <c r="BP374" s="715">
        <v>9.5314676622669403E-2</v>
      </c>
      <c r="BQ374" s="715">
        <v>0.12811920881054348</v>
      </c>
      <c r="BR374" s="715">
        <v>0.15896974750449283</v>
      </c>
      <c r="BS374" s="715">
        <v>0.19099045222403632</v>
      </c>
      <c r="BT374" s="715">
        <v>0.22935880240299722</v>
      </c>
      <c r="BW374" s="1190">
        <f>'2019'!R\Max</f>
        <v>0.34746193166324379</v>
      </c>
      <c r="BX374" s="1190">
        <f>'2020'!R\Max</f>
        <v>0.17539862836235062</v>
      </c>
      <c r="BY374" s="1190">
        <f>'2021'!R\Max</f>
        <v>0.49878548408363221</v>
      </c>
      <c r="BZ374" s="1190">
        <f>'2022'!R\Max</f>
        <v>0.93350201323090121</v>
      </c>
      <c r="CA374" s="1190">
        <f>'2023'!R\Max</f>
        <v>0.93331447620091146</v>
      </c>
      <c r="CB374" s="1190">
        <f>'2024'!R\Max</f>
        <v>0.93314864662796504</v>
      </c>
      <c r="CC374" s="1190">
        <f>'2025'!R\Max</f>
        <v>0.93298229427967905</v>
      </c>
      <c r="CD374" s="1190">
        <f>'2026'!R\Max</f>
        <v>0.93397342512297687</v>
      </c>
      <c r="CE374" s="1191">
        <f>'2027'!R\Max</f>
        <v>0.93383633983786407</v>
      </c>
      <c r="CF374" s="1193">
        <f>'2028'!R\Max</f>
        <v>0.93369578690823951</v>
      </c>
    </row>
    <row r="375" spans="1:84" s="6" customFormat="1" ht="11.25" x14ac:dyDescent="0.2">
      <c r="A375" s="11">
        <v>43461</v>
      </c>
      <c r="B375" s="379">
        <f>'2022'!Maxi_hp</f>
        <v>21.290446008401918</v>
      </c>
      <c r="C375" s="13">
        <f>'2022'!An_max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24.408337970077991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24.680806010293551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24.414778733587468</v>
      </c>
      <c r="AZ375" s="735">
        <f t="shared" si="153"/>
        <v>24.54779237194051</v>
      </c>
      <c r="BA375" s="633">
        <f t="shared" si="150"/>
        <v>0.87226119347010544</v>
      </c>
      <c r="BC375" s="11">
        <v>43461</v>
      </c>
      <c r="BD375" s="289">
        <f>[2]!FeuilCaduc*(1-Persistant)+Persistant</f>
        <v>0.5081646325017376</v>
      </c>
      <c r="BE375" s="290">
        <f>[2]!CroissVégét</f>
        <v>0.99999984492411664</v>
      </c>
      <c r="BF375" s="804">
        <f>1+[2]!Salcycl*Ksac</f>
        <v>1.0008164632501737</v>
      </c>
      <c r="BH375" s="1036">
        <f t="shared" si="151"/>
        <v>2.1759492607775939E-2</v>
      </c>
      <c r="BI375" s="11">
        <v>44557</v>
      </c>
      <c r="BJ375" s="715">
        <v>2.8725767842786112E-3</v>
      </c>
      <c r="BK375" s="715">
        <v>5.2772953463721614E-3</v>
      </c>
      <c r="BL375" s="715">
        <v>8.3005727033842649E-3</v>
      </c>
      <c r="BM375" s="715">
        <v>1.3809067358303541E-2</v>
      </c>
      <c r="BN375" s="715">
        <v>2.9738190846656288E-2</v>
      </c>
      <c r="BO375" s="716">
        <v>5.7660654637742524E-2</v>
      </c>
      <c r="BP375" s="715">
        <v>9.4972560479949189E-2</v>
      </c>
      <c r="BQ375" s="715">
        <v>0.12832804019182825</v>
      </c>
      <c r="BR375" s="715">
        <v>0.15951959862594844</v>
      </c>
      <c r="BS375" s="715">
        <v>0.19150055173412658</v>
      </c>
      <c r="BT375" s="715">
        <v>0.22953564493734543</v>
      </c>
      <c r="BW375" s="1190">
        <f>'2019'!R\Max</f>
        <v>0.87226119347010544</v>
      </c>
      <c r="BX375" s="1190">
        <f>'2020'!R\Max</f>
        <v>0.63204556899059194</v>
      </c>
      <c r="BY375" s="1190">
        <f>'2021'!R\Max</f>
        <v>0.45435049204959149</v>
      </c>
      <c r="BZ375" s="1190">
        <f>'2022'!R\Max</f>
        <v>0.31351567310904432</v>
      </c>
      <c r="CA375" s="1190">
        <f>'2023'!R\Max</f>
        <v>0.31286850044230158</v>
      </c>
      <c r="CB375" s="1190">
        <f>'2024'!R\Max</f>
        <v>0.31228977927342377</v>
      </c>
      <c r="CC375" s="1190">
        <f>'2025'!R\Max</f>
        <v>0.31171113219821001</v>
      </c>
      <c r="CD375" s="1190">
        <f>'2026'!R\Max</f>
        <v>0.3151443575855899</v>
      </c>
      <c r="CE375" s="1191">
        <f>'2027'!R\Max</f>
        <v>0.31467092560952892</v>
      </c>
      <c r="CF375" s="1193">
        <f>'2028'!R\Max</f>
        <v>0.31418669768354274</v>
      </c>
    </row>
    <row r="376" spans="1:84" s="6" customFormat="1" ht="11.25" x14ac:dyDescent="0.2">
      <c r="A376" s="11">
        <v>43462</v>
      </c>
      <c r="B376" s="379">
        <f>'2022'!Maxi_hp</f>
        <v>23.895018418941333</v>
      </c>
      <c r="C376" s="13">
        <f>'2022'!An_max</f>
        <v>2022</v>
      </c>
      <c r="D376" s="1045">
        <f t="shared" si="135"/>
        <v>0.97506566943623574</v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24.506060635646186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24.765657218365835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24.517628001447381</v>
      </c>
      <c r="AZ376" s="735">
        <f t="shared" si="153"/>
        <v>24.641642609906608</v>
      </c>
      <c r="BA376" s="633">
        <f t="shared" si="150"/>
        <v>0.97506566943623574</v>
      </c>
      <c r="BC376" s="11">
        <v>43462</v>
      </c>
      <c r="BD376" s="289">
        <f>[2]!FeuilCaduc*(1-Persistant)+Persistant</f>
        <v>0.50760595638308248</v>
      </c>
      <c r="BE376" s="290">
        <f>[2]!CroissVégét</f>
        <v>0.99999984492411664</v>
      </c>
      <c r="BF376" s="804">
        <f>1+[2]!Salcycl*Ksac</f>
        <v>1.0007605956383083</v>
      </c>
      <c r="BH376" s="1036">
        <f t="shared" si="151"/>
        <v>2.1691295958327986E-2</v>
      </c>
      <c r="BI376" s="11">
        <v>44558</v>
      </c>
      <c r="BJ376" s="715">
        <v>2.7461806316361908E-3</v>
      </c>
      <c r="BK376" s="715">
        <v>5.2218574862805062E-3</v>
      </c>
      <c r="BL376" s="715">
        <v>8.3225457539185307E-3</v>
      </c>
      <c r="BM376" s="715">
        <v>1.3897428111095027E-2</v>
      </c>
      <c r="BN376" s="715">
        <v>2.9512880051695875E-2</v>
      </c>
      <c r="BO376" s="716">
        <v>5.7188058992769152E-2</v>
      </c>
      <c r="BP376" s="715">
        <v>9.4554594838326581E-2</v>
      </c>
      <c r="BQ376" s="715">
        <v>0.12852187045248237</v>
      </c>
      <c r="BR376" s="715">
        <v>0.16013344077727254</v>
      </c>
      <c r="BS376" s="715">
        <v>0.19210789472386414</v>
      </c>
      <c r="BT376" s="715">
        <v>0.22978346727750593</v>
      </c>
      <c r="BW376" s="1190">
        <f>'2019'!R\Max</f>
        <v>0.18235903545330487</v>
      </c>
      <c r="BX376" s="1190">
        <f>'2020'!R\Max</f>
        <v>0.26638910034539881</v>
      </c>
      <c r="BY376" s="1190">
        <f>'2021'!R\Max</f>
        <v>0.20803877618563271</v>
      </c>
      <c r="BZ376" s="1190">
        <f>'2022'!R\Max</f>
        <v>0.97506566943623574</v>
      </c>
      <c r="CA376" s="1190">
        <f>'2023'!R\Max</f>
        <v>0.97499268549301654</v>
      </c>
      <c r="CB376" s="1190">
        <f>'2024'!R\Max</f>
        <v>0.97492607126565223</v>
      </c>
      <c r="CC376" s="1190">
        <f>'2025'!R\Max</f>
        <v>0.97485922189876861</v>
      </c>
      <c r="CD376" s="1190">
        <f>'2026'!R\Max</f>
        <v>0.97524692255118084</v>
      </c>
      <c r="CE376" s="1191">
        <f>'2027'!R\Max</f>
        <v>0.97519464827744107</v>
      </c>
      <c r="CF376" s="1193">
        <f>'2028'!R\Max</f>
        <v>0.97514100946452043</v>
      </c>
    </row>
    <row r="377" spans="1:84" s="6" customFormat="1" ht="11.25" x14ac:dyDescent="0.2">
      <c r="A377" s="11">
        <v>43463</v>
      </c>
      <c r="B377" s="379">
        <f>'2022'!Maxi_hp</f>
        <v>25.022994124609578</v>
      </c>
      <c r="C377" s="13">
        <f>'2022'!An_max</f>
        <v>2018</v>
      </c>
      <c r="D377" s="1045">
        <f t="shared" si="135"/>
        <v>1.0165145469522567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24.616464368005595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24.859812570132057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24.634575679358736</v>
      </c>
      <c r="AZ377" s="735">
        <f t="shared" si="153"/>
        <v>24.747194124745398</v>
      </c>
      <c r="BA377" s="633">
        <f t="shared" si="150"/>
        <v>1.0165145469522567</v>
      </c>
      <c r="BC377" s="11">
        <v>43463</v>
      </c>
      <c r="BD377" s="289">
        <f>[2]!FeuilCaduc*(1-Persistant)+Persistant</f>
        <v>0.50708619589358506</v>
      </c>
      <c r="BE377" s="290">
        <f>[2]!CroissVégét</f>
        <v>0.99999984492411664</v>
      </c>
      <c r="BF377" s="804">
        <f>1+[2]!Salcycl*Ksac</f>
        <v>1.0007086195893584</v>
      </c>
      <c r="BH377" s="1036">
        <f t="shared" si="151"/>
        <v>2.1623959321634415E-2</v>
      </c>
      <c r="BI377" s="11">
        <v>44559</v>
      </c>
      <c r="BJ377" s="715">
        <v>2.6139078261299825E-3</v>
      </c>
      <c r="BK377" s="715">
        <v>5.1563933514791457E-3</v>
      </c>
      <c r="BL377" s="715">
        <v>8.3421098001079889E-3</v>
      </c>
      <c r="BM377" s="715">
        <v>1.3995156369580914E-2</v>
      </c>
      <c r="BN377" s="715">
        <v>2.9279891522538223E-2</v>
      </c>
      <c r="BO377" s="716">
        <v>5.6654800110878256E-2</v>
      </c>
      <c r="BP377" s="715">
        <v>9.4060415829435862E-2</v>
      </c>
      <c r="BQ377" s="715">
        <v>0.12870035792947851</v>
      </c>
      <c r="BR377" s="715">
        <v>0.16081097099244826</v>
      </c>
      <c r="BS377" s="715">
        <v>0.19281213470714054</v>
      </c>
      <c r="BT377" s="715">
        <v>0.23010177104483337</v>
      </c>
      <c r="BW377" s="1190">
        <f>'2019'!R\Max</f>
        <v>1.0165145469522567</v>
      </c>
      <c r="BX377" s="1190">
        <f>'2020'!R\Max</f>
        <v>0</v>
      </c>
      <c r="BY377" s="1190">
        <f>'2021'!R\Max</f>
        <v>0.17689301206727356</v>
      </c>
      <c r="BZ377" s="1190">
        <f>'2022'!R\Max</f>
        <v>0.45902008782481696</v>
      </c>
      <c r="CA377" s="1190">
        <f>'2023'!R\Max</f>
        <v>0.45827916773647265</v>
      </c>
      <c r="CB377" s="1190">
        <f>'2024'!R\Max</f>
        <v>0.4575922975525914</v>
      </c>
      <c r="CC377" s="1190">
        <f>'2025'!R\Max</f>
        <v>0.4569049138238207</v>
      </c>
      <c r="CD377" s="1190">
        <f>'2026'!R\Max</f>
        <v>0.46085676039159301</v>
      </c>
      <c r="CE377" s="1191">
        <f>'2027'!R\Max</f>
        <v>0.46032825124153326</v>
      </c>
      <c r="CF377" s="1193">
        <f>'2028'!R\Max</f>
        <v>0.45978700476268491</v>
      </c>
    </row>
    <row r="378" spans="1:84" s="6" customFormat="1" ht="11.25" x14ac:dyDescent="0.2">
      <c r="A378" s="11">
        <v>43464</v>
      </c>
      <c r="B378" s="379">
        <f>'2022'!Maxi_hp</f>
        <v>25.027651179472095</v>
      </c>
      <c r="C378" s="13">
        <f>'2022'!An_max</f>
        <v>2018</v>
      </c>
      <c r="D378" s="1045">
        <f t="shared" si="135"/>
        <v>1.0116664366368666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24.739034797549248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24.963234362828324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24.76506390288986</v>
      </c>
      <c r="AZ378" s="735">
        <f t="shared" si="153"/>
        <v>24.86414913285909</v>
      </c>
      <c r="BA378" s="633">
        <f t="shared" si="150"/>
        <v>1.0116664366368666</v>
      </c>
      <c r="BC378" s="11">
        <v>43464</v>
      </c>
      <c r="BD378" s="289">
        <f>[2]!FeuilCaduc*(1-Persistant)+Persistant</f>
        <v>0.50660144104696869</v>
      </c>
      <c r="BE378" s="290">
        <f>[2]!CroissVégét</f>
        <v>0.99999984492411664</v>
      </c>
      <c r="BF378" s="804">
        <f>1+[2]!Salcycl*Ksac</f>
        <v>1.0006601441046969</v>
      </c>
      <c r="BH378" s="1036">
        <f t="shared" si="151"/>
        <v>2.1557423937563533E-2</v>
      </c>
      <c r="BI378" s="11">
        <v>44560</v>
      </c>
      <c r="BJ378" s="715">
        <v>2.4757371252697434E-3</v>
      </c>
      <c r="BK378" s="715">
        <v>5.0808733528975173E-3</v>
      </c>
      <c r="BL378" s="715">
        <v>8.3592411068638319E-3</v>
      </c>
      <c r="BM378" s="715">
        <v>1.4102232737947785E-2</v>
      </c>
      <c r="BN378" s="715">
        <v>2.9039126994747519E-2</v>
      </c>
      <c r="BO378" s="716">
        <v>5.6060625448114694E-2</v>
      </c>
      <c r="BP378" s="715">
        <v>9.3489655894050061E-2</v>
      </c>
      <c r="BQ378" s="715">
        <v>0.12886315758014416</v>
      </c>
      <c r="BR378" s="715">
        <v>0.16155188716820226</v>
      </c>
      <c r="BS378" s="715">
        <v>0.19361292977261202</v>
      </c>
      <c r="BT378" s="715">
        <v>0.23049006338309111</v>
      </c>
      <c r="BW378" s="1190">
        <f>'2019'!R\Max</f>
        <v>1.0116664366368666</v>
      </c>
      <c r="BX378" s="1190">
        <f>'2020'!R\Max</f>
        <v>0.32389552751688094</v>
      </c>
      <c r="BY378" s="1190">
        <f>'2021'!R\Max</f>
        <v>0.73470395171227598</v>
      </c>
      <c r="BZ378" s="1190">
        <f>'2022'!R\Max</f>
        <v>0.61971596122762007</v>
      </c>
      <c r="CA378" s="1190">
        <f>'2023'!R\Max</f>
        <v>0.61901621354237946</v>
      </c>
      <c r="CB378" s="1190">
        <f>'2024'!R\Max</f>
        <v>0.61835359724295447</v>
      </c>
      <c r="CC378" s="1190">
        <f>'2025'!R\Max</f>
        <v>0.61768985168961099</v>
      </c>
      <c r="CD378" s="1190">
        <f>'2026'!R\Max</f>
        <v>0.62143359202949877</v>
      </c>
      <c r="CE378" s="1191">
        <f>'2027'!R\Max</f>
        <v>0.6209425571733338</v>
      </c>
      <c r="CF378" s="1193">
        <f>'2028'!R\Max</f>
        <v>0.62043920493831295</v>
      </c>
    </row>
    <row r="379" spans="1:84" s="6" customFormat="1" ht="11.25" x14ac:dyDescent="0.2">
      <c r="A379" s="11">
        <v>43465</v>
      </c>
      <c r="B379" s="379">
        <f>'2022'!Maxi_hp</f>
        <v>25.278911318099443</v>
      </c>
      <c r="C379" s="13">
        <f>'2022'!An_max</f>
        <v>2021</v>
      </c>
      <c r="D379" s="1045">
        <f t="shared" si="135"/>
        <v>1.0163088310105435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24.873257563809553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25.075884898623517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24.908534812028037</v>
      </c>
      <c r="AZ379" s="735">
        <f t="shared" si="153"/>
        <v>24.992209855325775</v>
      </c>
      <c r="BA379" s="633">
        <f t="shared" si="150"/>
        <v>1.0163088310105435</v>
      </c>
      <c r="BC379" s="11">
        <v>43465</v>
      </c>
      <c r="BD379" s="289">
        <f>[2]!FeuilCaduc*(1-Persistant)+Persistant</f>
        <v>0.50614809435719088</v>
      </c>
      <c r="BE379" s="290">
        <f>[2]!CroissVégét</f>
        <v>0.99999984492411664</v>
      </c>
      <c r="BF379" s="804">
        <f>1+[2]!Salcycl*Ksac</f>
        <v>1.000614809435719</v>
      </c>
      <c r="BH379" s="1036">
        <f t="shared" si="151"/>
        <v>2.1491631876247617E-2</v>
      </c>
      <c r="BI379" s="11">
        <v>44561</v>
      </c>
      <c r="BJ379" s="715">
        <v>2.3316481135526815E-3</v>
      </c>
      <c r="BK379" s="715">
        <v>4.9952676629382515E-3</v>
      </c>
      <c r="BL379" s="715">
        <v>8.3739155366488998E-3</v>
      </c>
      <c r="BM379" s="715">
        <v>1.4218637715699574E-2</v>
      </c>
      <c r="BN379" s="715">
        <v>2.8790489972423366E-2</v>
      </c>
      <c r="BO379" s="716">
        <v>5.5405282497965141E-2</v>
      </c>
      <c r="BP379" s="715">
        <v>9.2841945768292286E-2</v>
      </c>
      <c r="BQ379" s="715">
        <v>0.12900992144146062</v>
      </c>
      <c r="BR379" s="715">
        <v>0.16235588652682462</v>
      </c>
      <c r="BS379" s="715">
        <v>0.19450994021287124</v>
      </c>
      <c r="BT379" s="715">
        <v>0.23094785527390504</v>
      </c>
      <c r="BW379" s="1190">
        <f>'2019'!R\Max</f>
        <v>0.72165676703149995</v>
      </c>
      <c r="BX379" s="1190">
        <f>'2020'!R\Max</f>
        <v>0.51711999031532863</v>
      </c>
      <c r="BY379" s="1190">
        <f>'2021'!R\Max</f>
        <v>1.0163088310105435</v>
      </c>
      <c r="BZ379" s="1190">
        <f>'2022'!R\Max</f>
        <v>0.50951801172418509</v>
      </c>
      <c r="CA379" s="1190">
        <f>'2023'!R\Max</f>
        <v>0.50878078023310302</v>
      </c>
      <c r="CB379" s="1190">
        <f>'2024'!R\Max</f>
        <v>0.50806761504843867</v>
      </c>
      <c r="CC379" s="1190">
        <f>'2025'!R\Max</f>
        <v>0.50735363451876381</v>
      </c>
      <c r="CD379" s="1190">
        <f>'2026'!R\Max</f>
        <v>0.51131317419773059</v>
      </c>
      <c r="CE379" s="1191">
        <f>'2027'!R\Max</f>
        <v>0.51080297835235222</v>
      </c>
      <c r="CF379" s="1193">
        <f>'2028'!R\Max</f>
        <v>0.51028009186766177</v>
      </c>
    </row>
    <row r="380" spans="1:84" s="6" customFormat="1" ht="12" customHeight="1" thickBot="1" x14ac:dyDescent="0.25">
      <c r="A380" s="11">
        <v>43466</v>
      </c>
      <c r="B380" s="380">
        <f>'2022'!Maxi_hp</f>
        <v>14.71093936617153</v>
      </c>
      <c r="C380" s="14">
        <f>'2022'!An_max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25.018618300755818</v>
      </c>
      <c r="M380" s="794" t="s">
        <v>241</v>
      </c>
      <c r="N380" s="795">
        <f>$AZ22*10</f>
        <v>263.80767593982404</v>
      </c>
      <c r="O380" s="795">
        <f>$AZ36*10</f>
        <v>302.19580035656691</v>
      </c>
      <c r="P380" s="795">
        <f>$AZ50*10</f>
        <v>351.39071846450679</v>
      </c>
      <c r="Q380" s="795">
        <f>$AZ64*10</f>
        <v>404.39237499760929</v>
      </c>
      <c r="R380" s="795">
        <f>$AZ78*10</f>
        <v>458.51424999907607</v>
      </c>
      <c r="S380" s="795">
        <f>$AZ92*10</f>
        <v>512.35374999634223</v>
      </c>
      <c r="T380" s="795">
        <f>$AZ106*10</f>
        <v>561.42424999084324</v>
      </c>
      <c r="U380" s="795">
        <f>$AZ120*10</f>
        <v>599.92137499712408</v>
      </c>
      <c r="V380" s="795">
        <f>$AZ134*10</f>
        <v>625.02137499675155</v>
      </c>
      <c r="W380" s="795">
        <f>$AZ148*10</f>
        <v>637.60275000054389</v>
      </c>
      <c r="X380" s="795">
        <f>$AZ162*10</f>
        <v>640.48924999963504</v>
      </c>
      <c r="Y380" s="795">
        <f>$AZ176*10</f>
        <v>636.97525000199676</v>
      </c>
      <c r="Z380" s="795">
        <f>$AZ190*10</f>
        <v>629.6962500042282</v>
      </c>
      <c r="AA380" s="795">
        <f>$AZ204*10</f>
        <v>619.65625000139698</v>
      </c>
      <c r="AB380" s="795">
        <f>$AZ218*10</f>
        <v>606.29050000058487</v>
      </c>
      <c r="AC380" s="795">
        <f>$AZ232*10</f>
        <v>588.46950000245124</v>
      </c>
      <c r="AD380" s="795">
        <f>$AZ246*10</f>
        <v>565.06374999787658</v>
      </c>
      <c r="AE380" s="795">
        <f>$AZ260*10</f>
        <v>535.03787500038743</v>
      </c>
      <c r="AF380" s="795">
        <f>$AZ274*10</f>
        <v>497.70162499882281</v>
      </c>
      <c r="AG380" s="795">
        <f>$AZ288*10</f>
        <v>453.18050000135554</v>
      </c>
      <c r="AH380" s="795">
        <f>$AZ302*10</f>
        <v>403.63937499886379</v>
      </c>
      <c r="AI380" s="795">
        <f>$AZ316*10</f>
        <v>353.62762499821838</v>
      </c>
      <c r="AJ380" s="795">
        <f>$AZ330*10</f>
        <v>308.00837500020862</v>
      </c>
      <c r="AK380" s="795">
        <f>$AZ344*10</f>
        <v>270.9197654183954</v>
      </c>
      <c r="AL380" s="795">
        <f>$AZ358*10</f>
        <v>247.41051398776472</v>
      </c>
      <c r="AM380" s="795">
        <f>$AZ372*10</f>
        <v>243.39427117155543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25.197726475370342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25.064430541827761</v>
      </c>
      <c r="AZ380" s="736">
        <f t="shared" si="153"/>
        <v>25.131078508599053</v>
      </c>
      <c r="BA380" s="633">
        <f t="shared" si="150"/>
        <v>0.58799967245701612</v>
      </c>
      <c r="BC380" s="11">
        <v>43466</v>
      </c>
      <c r="BD380" s="291">
        <f>[2]!FeuilCaduc*(1-Persistant)+Persistant</f>
        <v>0.50572287428576723</v>
      </c>
      <c r="BE380" s="292">
        <f>[2]!CroissVégét</f>
        <v>0.99999984492411664</v>
      </c>
      <c r="BF380" s="805">
        <f>1+[2]!Salcycl*Ksac</f>
        <v>1.0005722874285767</v>
      </c>
      <c r="BH380" s="1037">
        <f t="shared" si="151"/>
        <v>2.142652602499313E-2</v>
      </c>
      <c r="BI380" s="11">
        <v>44562</v>
      </c>
      <c r="BJ380" s="810">
        <v>2.1816213513607811E-3</v>
      </c>
      <c r="BK380" s="719">
        <v>4.8995464731651159E-3</v>
      </c>
      <c r="BL380" s="719">
        <v>8.3861086155112702E-3</v>
      </c>
      <c r="BM380" s="719">
        <v>1.4344351466631365E-2</v>
      </c>
      <c r="BN380" s="719">
        <v>2.8533885933822417E-2</v>
      </c>
      <c r="BO380" s="720">
        <v>5.4688520359780314E-2</v>
      </c>
      <c r="BP380" s="719">
        <v>9.2116916468655663E-2</v>
      </c>
      <c r="BQ380" s="719">
        <v>0.12914029908778735</v>
      </c>
      <c r="BR380" s="719">
        <v>0.16322266407705069</v>
      </c>
      <c r="BS380" s="719">
        <v>0.19550282615128889</v>
      </c>
      <c r="BT380" s="719">
        <v>0.2314746598494026</v>
      </c>
      <c r="BW380" s="1194">
        <f>'2019'!R\Max</f>
        <v>0</v>
      </c>
      <c r="BX380" s="1194">
        <f>'2020'!R\Max</f>
        <v>0.58799967245701612</v>
      </c>
      <c r="BY380" s="1194">
        <f>'2021'!R\Max</f>
        <v>0</v>
      </c>
      <c r="BZ380" s="1194">
        <f>'2022'!R\Max</f>
        <v>0</v>
      </c>
      <c r="CA380" s="1194">
        <f>'2023'!R\Max</f>
        <v>0</v>
      </c>
      <c r="CB380" s="1194">
        <f>'2024'!R\Max</f>
        <v>0.68070950051486434</v>
      </c>
      <c r="CC380" s="1194">
        <f>'2025'!R\Max</f>
        <v>0</v>
      </c>
      <c r="CD380" s="1194">
        <f>'2026'!R\Max</f>
        <v>0</v>
      </c>
      <c r="CE380" s="1195">
        <f>'2027'!R\Max</f>
        <v>0</v>
      </c>
      <c r="CF380" s="1196">
        <f>'2028'!R\Max</f>
        <v>0.68262053570305714</v>
      </c>
    </row>
    <row r="381" spans="1:84" ht="12" customHeight="1" x14ac:dyDescent="0.25">
      <c r="B381" s="625" t="s">
        <v>166</v>
      </c>
      <c r="M381" s="136" t="s">
        <v>242</v>
      </c>
      <c r="N381" s="796">
        <f t="shared" ref="N381:AM381" si="154">1-N3/N380*Ajust_M</f>
        <v>2.879658209783531E-3</v>
      </c>
      <c r="O381" s="796">
        <f t="shared" si="154"/>
        <v>-2.7133545282387317E-5</v>
      </c>
      <c r="P381" s="796">
        <f t="shared" si="154"/>
        <v>-2.8836320433305307E-3</v>
      </c>
      <c r="Q381" s="796">
        <f t="shared" si="154"/>
        <v>-5.4309877230496184E-4</v>
      </c>
      <c r="R381" s="796">
        <f t="shared" si="154"/>
        <v>1.5054057732719617E-3</v>
      </c>
      <c r="S381" s="796">
        <f t="shared" si="154"/>
        <v>6.1236986426760343E-4</v>
      </c>
      <c r="T381" s="796">
        <f t="shared" si="154"/>
        <v>-1.4530010222573164E-3</v>
      </c>
      <c r="U381" s="796">
        <f t="shared" si="154"/>
        <v>-7.8447780407575607E-4</v>
      </c>
      <c r="V381" s="796">
        <f t="shared" si="154"/>
        <v>-7.52974253481975E-4</v>
      </c>
      <c r="W381" s="796">
        <f t="shared" si="154"/>
        <v>9.8415511137317502E-5</v>
      </c>
      <c r="X381" s="796">
        <f t="shared" si="154"/>
        <v>-9.7971980583588802E-5</v>
      </c>
      <c r="Y381" s="796">
        <f t="shared" si="154"/>
        <v>6.8958723591761029E-4</v>
      </c>
      <c r="Z381" s="796">
        <f t="shared" si="154"/>
        <v>2.9895366889498565E-4</v>
      </c>
      <c r="AA381" s="796">
        <f t="shared" si="154"/>
        <v>3.0379747060815809E-4</v>
      </c>
      <c r="AB381" s="796">
        <f t="shared" si="154"/>
        <v>-2.0699648009503413E-4</v>
      </c>
      <c r="AC381" s="796">
        <f t="shared" si="154"/>
        <v>2.1326509266950122E-4</v>
      </c>
      <c r="AD381" s="796">
        <f t="shared" si="154"/>
        <v>-3.3314825473085286E-4</v>
      </c>
      <c r="AE381" s="796">
        <f t="shared" si="154"/>
        <v>-1.7592212441508437E-4</v>
      </c>
      <c r="AF381" s="796">
        <f t="shared" si="154"/>
        <v>-5.673580052663052E-4</v>
      </c>
      <c r="AG381" s="796">
        <f t="shared" si="154"/>
        <v>-1.3846579864813524E-3</v>
      </c>
      <c r="AH381" s="796">
        <f t="shared" si="154"/>
        <v>7.7730273127851746E-5</v>
      </c>
      <c r="AI381" s="796">
        <f t="shared" si="154"/>
        <v>6.2106289976493478E-4</v>
      </c>
      <c r="AJ381" s="796">
        <f t="shared" si="154"/>
        <v>-7.1304879223244022E-4</v>
      </c>
      <c r="AK381" s="796">
        <f t="shared" si="154"/>
        <v>-5.9144662759158528E-4</v>
      </c>
      <c r="AL381" s="796">
        <f t="shared" si="154"/>
        <v>1.7239121365142385E-3</v>
      </c>
      <c r="AM381" s="796">
        <f t="shared" si="154"/>
        <v>5.8763551199086939E-3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Q2" sqref="Q2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5" t="s">
        <v>24</v>
      </c>
      <c r="I1" s="1265"/>
      <c r="J1" s="1265"/>
      <c r="K1" s="1265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58">
        <v>0.1</v>
      </c>
      <c r="AA1" s="1259"/>
      <c r="AB1" s="619"/>
      <c r="AC1" s="620"/>
      <c r="AE1" s="535" t="s">
        <v>245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9" t="str">
        <f>Station</f>
        <v>MdS Escalquens</v>
      </c>
      <c r="C2" s="1220"/>
      <c r="D2" s="1220"/>
      <c r="E2" s="1220"/>
      <c r="F2" s="1221"/>
      <c r="G2" s="807" t="s">
        <v>246</v>
      </c>
      <c r="K2" s="81"/>
      <c r="L2" s="533"/>
      <c r="M2" s="38"/>
      <c r="U2" s="35"/>
      <c r="V2" s="35"/>
      <c r="W2" s="35">
        <f>+U5/Recap!L38</f>
        <v>0.13270331244324388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196</v>
      </c>
      <c r="AM2" s="1267">
        <v>0.5</v>
      </c>
      <c r="AN2" s="1268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2">
        <f>'2019'!An</f>
        <v>2019</v>
      </c>
      <c r="B3" s="1263"/>
      <c r="C3" s="1263"/>
      <c r="D3" s="1263"/>
      <c r="E3" s="1263"/>
      <c r="F3" s="1264"/>
      <c r="G3" s="1262">
        <f>'2020'!An</f>
        <v>2020</v>
      </c>
      <c r="H3" s="1263"/>
      <c r="I3" s="1263"/>
      <c r="J3" s="1263"/>
      <c r="K3" s="1263"/>
      <c r="L3" s="1264"/>
      <c r="M3" s="1262">
        <f>'2021'!An</f>
        <v>2021</v>
      </c>
      <c r="N3" s="1263"/>
      <c r="O3" s="1263"/>
      <c r="P3" s="1263"/>
      <c r="Q3" s="1263"/>
      <c r="R3" s="1264"/>
      <c r="S3" s="1262">
        <f>'2022'!An</f>
        <v>2022</v>
      </c>
      <c r="T3" s="1263"/>
      <c r="U3" s="1263"/>
      <c r="V3" s="1263"/>
      <c r="W3" s="1263"/>
      <c r="X3" s="1264"/>
      <c r="Y3" s="1262">
        <f>'2023'!An</f>
        <v>2023</v>
      </c>
      <c r="Z3" s="1263"/>
      <c r="AA3" s="1263"/>
      <c r="AB3" s="1263"/>
      <c r="AC3" s="1263"/>
      <c r="AD3" s="1264"/>
      <c r="AE3" s="1262">
        <f>'2024'!An</f>
        <v>2024</v>
      </c>
      <c r="AF3" s="1263"/>
      <c r="AG3" s="1263"/>
      <c r="AH3" s="1263"/>
      <c r="AI3" s="1263"/>
      <c r="AJ3" s="1264"/>
      <c r="AK3" s="1262">
        <f>'2025'!An</f>
        <v>2025</v>
      </c>
      <c r="AL3" s="1263"/>
      <c r="AM3" s="1270"/>
      <c r="AN3" s="1270"/>
      <c r="AO3" s="1263"/>
      <c r="AP3" s="1264"/>
      <c r="AQ3" s="1262">
        <f>'2026'!An</f>
        <v>2026</v>
      </c>
      <c r="AR3" s="1263"/>
      <c r="AS3" s="1263"/>
      <c r="AT3" s="1263"/>
      <c r="AU3" s="1263"/>
      <c r="AV3" s="1264"/>
      <c r="AW3" s="1262">
        <f>'2027'!An</f>
        <v>2027</v>
      </c>
      <c r="AX3" s="1263"/>
      <c r="AY3" s="1263"/>
      <c r="AZ3" s="1263"/>
      <c r="BA3" s="1263"/>
      <c r="BB3" s="1264"/>
      <c r="BC3" s="1262">
        <f>'2028'!An</f>
        <v>2028</v>
      </c>
      <c r="BD3" s="1263"/>
      <c r="BE3" s="1263"/>
      <c r="BF3" s="1263"/>
      <c r="BG3" s="1263"/>
      <c r="BH3" s="1264"/>
      <c r="BI3" s="1271" t="e">
        <v>#NAME?</v>
      </c>
      <c r="BJ3" s="1272"/>
      <c r="BK3" s="1272"/>
      <c r="BL3" s="1272"/>
      <c r="BM3" s="1272"/>
      <c r="BN3" s="1273"/>
      <c r="BO3" s="1271" t="e">
        <v>#NAME?</v>
      </c>
      <c r="BP3" s="1272"/>
      <c r="BQ3" s="1272"/>
      <c r="BR3" s="1272"/>
      <c r="BS3" s="1272"/>
      <c r="BT3" s="1273"/>
      <c r="BU3" s="1271" t="e">
        <v>#NAME?</v>
      </c>
      <c r="BV3" s="1272"/>
      <c r="BW3" s="1272"/>
      <c r="BX3" s="1272"/>
      <c r="BY3" s="1272"/>
      <c r="BZ3" s="1273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7" t="s">
        <v>93</v>
      </c>
      <c r="N5" s="431">
        <v>44197</v>
      </c>
      <c r="O5" s="437" t="s">
        <v>355</v>
      </c>
      <c r="P5" s="1154">
        <v>0.15</v>
      </c>
      <c r="Q5" s="439" t="s">
        <v>135</v>
      </c>
      <c r="R5" s="187"/>
      <c r="S5" s="357" t="s">
        <v>93</v>
      </c>
      <c r="T5" s="431">
        <v>44683</v>
      </c>
      <c r="U5" s="437">
        <v>0.01</v>
      </c>
      <c r="V5" s="438">
        <v>0.1</v>
      </c>
      <c r="W5" s="439" t="s">
        <v>135</v>
      </c>
      <c r="X5" s="187"/>
      <c r="Y5" s="357" t="s">
        <v>93</v>
      </c>
      <c r="Z5" s="431" t="s">
        <v>135</v>
      </c>
      <c r="AA5" s="437" t="s">
        <v>135</v>
      </c>
      <c r="AB5" s="438" t="s">
        <v>135</v>
      </c>
      <c r="AC5" s="439" t="s">
        <v>135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69" t="s">
        <v>135</v>
      </c>
      <c r="E6" s="1269"/>
      <c r="F6" s="188"/>
      <c r="G6" s="357" t="s">
        <v>94</v>
      </c>
      <c r="H6" s="418" t="s">
        <v>135</v>
      </c>
      <c r="I6" s="432" t="s">
        <v>135</v>
      </c>
      <c r="J6" s="1269" t="s">
        <v>135</v>
      </c>
      <c r="K6" s="1269"/>
      <c r="L6" s="188"/>
      <c r="M6" s="357" t="s">
        <v>94</v>
      </c>
      <c r="N6" s="418" t="s">
        <v>135</v>
      </c>
      <c r="O6" s="432" t="s">
        <v>135</v>
      </c>
      <c r="P6" s="1269" t="s">
        <v>135</v>
      </c>
      <c r="Q6" s="1269"/>
      <c r="R6" s="188"/>
      <c r="S6" s="357" t="s">
        <v>94</v>
      </c>
      <c r="T6" s="418" t="s">
        <v>135</v>
      </c>
      <c r="U6" s="432" t="s">
        <v>135</v>
      </c>
      <c r="V6" s="1269" t="s">
        <v>135</v>
      </c>
      <c r="W6" s="1269"/>
      <c r="X6" s="188"/>
      <c r="Y6" s="357" t="s">
        <v>94</v>
      </c>
      <c r="Z6" s="418" t="s">
        <v>135</v>
      </c>
      <c r="AA6" s="432" t="s">
        <v>135</v>
      </c>
      <c r="AB6" s="1269" t="s">
        <v>135</v>
      </c>
      <c r="AC6" s="1269"/>
      <c r="AD6" s="188"/>
      <c r="AE6" s="357" t="s">
        <v>94</v>
      </c>
      <c r="AF6" s="418" t="s">
        <v>135</v>
      </c>
      <c r="AG6" s="432" t="s">
        <v>135</v>
      </c>
      <c r="AH6" s="1269" t="s">
        <v>135</v>
      </c>
      <c r="AI6" s="1269"/>
      <c r="AJ6" s="188"/>
      <c r="AK6" s="357" t="s">
        <v>94</v>
      </c>
      <c r="AL6" s="418" t="s">
        <v>135</v>
      </c>
      <c r="AM6" s="432" t="s">
        <v>135</v>
      </c>
      <c r="AN6" s="1269" t="s">
        <v>135</v>
      </c>
      <c r="AO6" s="1269"/>
      <c r="AP6" s="188"/>
      <c r="AQ6" s="357" t="s">
        <v>94</v>
      </c>
      <c r="AR6" s="418" t="s">
        <v>135</v>
      </c>
      <c r="AS6" s="432" t="s">
        <v>135</v>
      </c>
      <c r="AT6" s="1269" t="s">
        <v>135</v>
      </c>
      <c r="AU6" s="1269"/>
      <c r="AV6" s="188"/>
      <c r="AW6" s="357" t="s">
        <v>94</v>
      </c>
      <c r="AX6" s="418" t="s">
        <v>135</v>
      </c>
      <c r="AY6" s="432" t="s">
        <v>135</v>
      </c>
      <c r="AZ6" s="1269" t="s">
        <v>135</v>
      </c>
      <c r="BA6" s="1269"/>
      <c r="BB6" s="188"/>
      <c r="BC6" s="357" t="s">
        <v>94</v>
      </c>
      <c r="BD6" s="418" t="s">
        <v>135</v>
      </c>
      <c r="BE6" s="432" t="s">
        <v>135</v>
      </c>
      <c r="BF6" s="1269" t="s">
        <v>135</v>
      </c>
      <c r="BG6" s="1269"/>
      <c r="BH6" s="188"/>
      <c r="BI6" s="357" t="s">
        <v>94</v>
      </c>
      <c r="BJ6" s="418" t="s">
        <v>135</v>
      </c>
      <c r="BK6" s="432" t="s">
        <v>135</v>
      </c>
      <c r="BL6" s="1269" t="s">
        <v>135</v>
      </c>
      <c r="BM6" s="1269"/>
      <c r="BN6" s="188"/>
      <c r="BO6" s="357" t="s">
        <v>94</v>
      </c>
      <c r="BP6" s="418" t="s">
        <v>135</v>
      </c>
      <c r="BQ6" s="432" t="s">
        <v>135</v>
      </c>
      <c r="BR6" s="1269" t="s">
        <v>135</v>
      </c>
      <c r="BS6" s="1269"/>
      <c r="BT6" s="188"/>
      <c r="BU6" s="357" t="s">
        <v>94</v>
      </c>
      <c r="BV6" s="418" t="s">
        <v>135</v>
      </c>
      <c r="BW6" s="432" t="s">
        <v>135</v>
      </c>
      <c r="BX6" s="1269" t="s">
        <v>135</v>
      </c>
      <c r="BY6" s="1269"/>
      <c r="BZ6" s="188"/>
    </row>
    <row r="7" spans="1:78" ht="15.75" x14ac:dyDescent="0.25">
      <c r="A7" s="816" t="s">
        <v>251</v>
      </c>
      <c r="B7" s="429"/>
      <c r="C7" s="429"/>
      <c r="D7" s="220"/>
      <c r="E7" s="1260">
        <f>'2019'!Dépas_env</f>
        <v>3.1291800185761387E-2</v>
      </c>
      <c r="F7" s="1261"/>
      <c r="G7" s="816" t="s">
        <v>250</v>
      </c>
      <c r="H7" s="429"/>
      <c r="I7" s="429"/>
      <c r="J7" s="220"/>
      <c r="K7" s="1260">
        <f>'2020'!Dépas_env</f>
        <v>4.690149922644915E-2</v>
      </c>
      <c r="L7" s="1261"/>
      <c r="M7" s="816" t="s">
        <v>250</v>
      </c>
      <c r="N7" s="429"/>
      <c r="O7" s="429"/>
      <c r="P7" s="220"/>
      <c r="Q7" s="1260">
        <f>'2021'!Dépas_env</f>
        <v>4.212991551600509E-2</v>
      </c>
      <c r="R7" s="1261"/>
      <c r="S7" s="816" t="s">
        <v>250</v>
      </c>
      <c r="T7" s="429"/>
      <c r="U7" s="429"/>
      <c r="V7" s="220"/>
      <c r="W7" s="1260">
        <f>'2022'!Dépas_env</f>
        <v>4.4677328976523656E-2</v>
      </c>
      <c r="X7" s="1261"/>
      <c r="Y7" s="816" t="s">
        <v>250</v>
      </c>
      <c r="Z7" s="429"/>
      <c r="AA7" s="429"/>
      <c r="AB7" s="220"/>
      <c r="AC7" s="1260">
        <f>'2023'!Dépas_env</f>
        <v>4.4677328976523656E-2</v>
      </c>
      <c r="AD7" s="1261"/>
      <c r="AE7" s="816" t="s">
        <v>250</v>
      </c>
      <c r="AF7" s="429"/>
      <c r="AG7" s="429"/>
      <c r="AH7" s="220"/>
      <c r="AI7" s="1260">
        <f>'2024'!Dépas_env</f>
        <v>4.4677328976523656E-2</v>
      </c>
      <c r="AJ7" s="1261"/>
      <c r="AK7" s="816" t="s">
        <v>250</v>
      </c>
      <c r="AL7" s="429"/>
      <c r="AM7" s="429"/>
      <c r="AN7" s="220"/>
      <c r="AO7" s="1260">
        <f>'2025'!Dépas_env</f>
        <v>4.4677328976523656E-2</v>
      </c>
      <c r="AP7" s="1261"/>
      <c r="AQ7" s="816" t="s">
        <v>250</v>
      </c>
      <c r="AR7" s="429"/>
      <c r="AS7" s="429"/>
      <c r="AT7" s="220"/>
      <c r="AU7" s="1260">
        <f>'2026'!Dépas_env</f>
        <v>4.4677328976523656E-2</v>
      </c>
      <c r="AV7" s="1261"/>
      <c r="AW7" s="816" t="s">
        <v>250</v>
      </c>
      <c r="AX7" s="429"/>
      <c r="AY7" s="429"/>
      <c r="AZ7" s="220"/>
      <c r="BA7" s="1260">
        <f>'2027'!Dépas_env</f>
        <v>4.4677328976523656E-2</v>
      </c>
      <c r="BB7" s="1261"/>
      <c r="BC7" s="816" t="s">
        <v>250</v>
      </c>
      <c r="BD7" s="429"/>
      <c r="BE7" s="429"/>
      <c r="BF7" s="220"/>
      <c r="BG7" s="1260">
        <f>'2028'!Dépas_env</f>
        <v>4.4677328976523434E-2</v>
      </c>
      <c r="BH7" s="1261"/>
      <c r="BI7" s="816" t="s">
        <v>250</v>
      </c>
      <c r="BJ7" s="429"/>
      <c r="BK7" s="429"/>
      <c r="BL7" s="220"/>
      <c r="BM7" s="1260"/>
      <c r="BN7" s="1261"/>
      <c r="BO7" s="816" t="s">
        <v>250</v>
      </c>
      <c r="BP7" s="429"/>
      <c r="BQ7" s="429"/>
      <c r="BR7" s="220"/>
      <c r="BS7" s="1260"/>
      <c r="BT7" s="1261"/>
      <c r="BU7" s="816" t="s">
        <v>250</v>
      </c>
      <c r="BV7" s="429"/>
      <c r="BW7" s="429"/>
      <c r="BX7" s="220"/>
      <c r="BY7" s="1260"/>
      <c r="BZ7" s="1261"/>
    </row>
    <row r="8" spans="1:78" ht="15.75" x14ac:dyDescent="0.25">
      <c r="A8" s="425" t="s">
        <v>134</v>
      </c>
      <c r="T8" s="645" t="s">
        <v>193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43481</v>
      </c>
      <c r="C9" s="579">
        <f>IF(B9&gt;T0,IF(C4="D",0,C4),0)</f>
        <v>0</v>
      </c>
      <c r="D9" s="580" t="s">
        <v>80</v>
      </c>
      <c r="E9" s="461" t="s">
        <v>80</v>
      </c>
      <c r="F9" s="1201">
        <f>IF(C5="I",T0,B10)</f>
        <v>43481</v>
      </c>
      <c r="G9" s="445" t="s">
        <v>92</v>
      </c>
      <c r="H9" s="578">
        <f>IF(H4="D",B9,IF(YEAR(H4)=G3,H4, "err."))</f>
        <v>43481</v>
      </c>
      <c r="I9" s="579">
        <f>IF(YEAR(H9)=G3,IF(I4="D",C9,I4),C9)</f>
        <v>0</v>
      </c>
      <c r="J9" s="581" t="s">
        <v>80</v>
      </c>
      <c r="K9" s="449" t="s">
        <v>80</v>
      </c>
      <c r="L9" s="1201">
        <f>IF(I5="I",F9,IF(YEAR(H10)=G3,H10,F9))</f>
        <v>43481</v>
      </c>
      <c r="M9" s="447" t="s">
        <v>92</v>
      </c>
      <c r="N9" s="578">
        <f>IF(N4="D",H9,IF(YEAR(N4)=M3,N4, "err."))</f>
        <v>43481</v>
      </c>
      <c r="O9" s="579">
        <f>IF(YEAR(N9)=M3,IF(O4="D",I9,O4),I9)</f>
        <v>0</v>
      </c>
      <c r="P9" s="581" t="s">
        <v>80</v>
      </c>
      <c r="Q9" s="449" t="s">
        <v>80</v>
      </c>
      <c r="R9" s="1201">
        <f>IF(O5="I",L9,IF(YEAR(N10)=M3,N10,L9))</f>
        <v>43481</v>
      </c>
      <c r="S9" s="445" t="s">
        <v>92</v>
      </c>
      <c r="T9" s="578">
        <f>IF(T4="D",N9,IF(YEAR(T4)=S3,T4, "err."))</f>
        <v>43481</v>
      </c>
      <c r="U9" s="579">
        <f>IF(YEAR(T9)=S3,IF(U4="D",O9,U4),O9)</f>
        <v>0</v>
      </c>
      <c r="V9" s="581" t="s">
        <v>80</v>
      </c>
      <c r="W9" s="449" t="s">
        <v>80</v>
      </c>
      <c r="X9" s="1201">
        <f>IF(U5="I",R9,IF(YEAR(T10)=S3,T10,R9))</f>
        <v>44683</v>
      </c>
      <c r="Y9" s="445" t="s">
        <v>92</v>
      </c>
      <c r="Z9" s="578">
        <f>IF(Z4="D",T9,IF(YEAR(Z4)=Y3,Z4, "err."))</f>
        <v>43481</v>
      </c>
      <c r="AA9" s="579">
        <f>IF(YEAR(Z9)=Y3,IF(AA4="D",U9,AA4),U9)</f>
        <v>0</v>
      </c>
      <c r="AB9" s="581" t="s">
        <v>80</v>
      </c>
      <c r="AC9" s="449" t="s">
        <v>80</v>
      </c>
      <c r="AD9" s="1201">
        <f>IF(AA5="I",X9,IF(YEAR(Z10)=Y3,Z10,X9))</f>
        <v>44683</v>
      </c>
      <c r="AE9" s="445" t="s">
        <v>92</v>
      </c>
      <c r="AF9" s="578">
        <f>IF(AF4="D",Z9,IF(YEAR(AF4)=AE3,AF4, "err."))</f>
        <v>43481</v>
      </c>
      <c r="AG9" s="579">
        <f>IF(YEAR(AF9)=AE3,IF(AG4="D",AA9,AG4),AA9)</f>
        <v>0</v>
      </c>
      <c r="AH9" s="581" t="s">
        <v>80</v>
      </c>
      <c r="AI9" s="449" t="s">
        <v>80</v>
      </c>
      <c r="AJ9" s="1201">
        <f>IF(AG5="I",AD9,IF(YEAR(AF10)=AE3,AF10,AD9))</f>
        <v>45412</v>
      </c>
      <c r="AK9" s="445" t="s">
        <v>92</v>
      </c>
      <c r="AL9" s="594">
        <f>IF(AL4="D",AF9,AL4)</f>
        <v>43481</v>
      </c>
      <c r="AM9" s="595">
        <f>IF(AM4="D",AG9,AM4)</f>
        <v>0</v>
      </c>
      <c r="AN9" s="581" t="s">
        <v>80</v>
      </c>
      <c r="AO9" s="596" t="s">
        <v>80</v>
      </c>
      <c r="AP9" s="1201">
        <f>IF(AM5="I",AJ9,IF(YEAR(AL10)=AK3,AL10,AJ9))</f>
        <v>45412</v>
      </c>
      <c r="AQ9" s="445" t="s">
        <v>92</v>
      </c>
      <c r="AR9" s="578">
        <f>IF(AR4="D",AL9,AR4)</f>
        <v>43481</v>
      </c>
      <c r="AS9" s="579">
        <f>IF(AS4="D",AM9,AS4)</f>
        <v>0</v>
      </c>
      <c r="AT9" s="581" t="s">
        <v>80</v>
      </c>
      <c r="AU9" s="449" t="s">
        <v>80</v>
      </c>
      <c r="AV9" s="1201">
        <f>IF(AS5="I",AP9,IF(YEAR(AR10)=AQ3,AR10,AP9))</f>
        <v>46142</v>
      </c>
      <c r="AW9" s="445" t="s">
        <v>92</v>
      </c>
      <c r="AX9" s="578">
        <f>IF(AX4="D",AR9,AX4)</f>
        <v>43481</v>
      </c>
      <c r="AY9" s="579">
        <f>IF(AY4="D",AS9,AY4)</f>
        <v>0</v>
      </c>
      <c r="AZ9" s="581" t="s">
        <v>80</v>
      </c>
      <c r="BA9" s="449" t="s">
        <v>80</v>
      </c>
      <c r="BB9" s="1201">
        <f>IF(AY5="I",AV9,IF(YEAR(AX10)=AW3,AX10,AV9))</f>
        <v>46142</v>
      </c>
      <c r="BC9" s="445" t="s">
        <v>92</v>
      </c>
      <c r="BD9" s="578">
        <f>IF(BD4="D",AX9,BD4)</f>
        <v>43481</v>
      </c>
      <c r="BE9" s="579">
        <f>IF(BE4="D",AY9,BE4)</f>
        <v>0</v>
      </c>
      <c r="BF9" s="581" t="s">
        <v>80</v>
      </c>
      <c r="BG9" s="449" t="s">
        <v>80</v>
      </c>
      <c r="BH9" s="1201">
        <f>IF(BE5="I",BB9,IF(YEAR(BD10)=BC3,BD10,BB9))</f>
        <v>46873</v>
      </c>
      <c r="BI9" s="445" t="s">
        <v>92</v>
      </c>
      <c r="BJ9" s="578">
        <f>IF(BJ4="D",BD9,BJ4)</f>
        <v>43481</v>
      </c>
      <c r="BK9" s="579">
        <f>IF(BK4="D",BE9,BK4)</f>
        <v>0</v>
      </c>
      <c r="BL9" s="581" t="s">
        <v>80</v>
      </c>
      <c r="BM9" s="449" t="s">
        <v>80</v>
      </c>
      <c r="BN9" s="1201" t="e">
        <f>IF(BK5="I",BH9,IF(YEAR(BJ10)=BI3,BJ10,BH9))</f>
        <v>#NAME?</v>
      </c>
      <c r="BO9" s="445" t="s">
        <v>92</v>
      </c>
      <c r="BP9" s="578">
        <f>IF(BP4="D",BJ9,BP4)</f>
        <v>43481</v>
      </c>
      <c r="BQ9" s="579">
        <f>IF(BQ4="D",BK9,BQ4)</f>
        <v>0</v>
      </c>
      <c r="BR9" s="581" t="s">
        <v>80</v>
      </c>
      <c r="BS9" s="449" t="s">
        <v>80</v>
      </c>
      <c r="BT9" s="1201" t="e">
        <f>IF(BQ5="I",BN9,IF(YEAR(BP10)=BO3,BP10,BN9))</f>
        <v>#NAME?</v>
      </c>
      <c r="BU9" s="445" t="s">
        <v>92</v>
      </c>
      <c r="BV9" s="578">
        <f>IF(BV4="D",BP9,BV4)</f>
        <v>43481</v>
      </c>
      <c r="BW9" s="579">
        <f>IF(BW4="D",BQ9,BW4)</f>
        <v>0</v>
      </c>
      <c r="BX9" s="581" t="s">
        <v>80</v>
      </c>
      <c r="BY9" s="449" t="s">
        <v>80</v>
      </c>
      <c r="BZ9" s="1201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43481</v>
      </c>
      <c r="C10" s="582">
        <f>IF(B10&gt;T0,IF(C5="D",0,C5),0)</f>
        <v>0</v>
      </c>
      <c r="D10" s="583">
        <f>IF(YEAR(B10)=A3,IF(D5="D",Salim_i,D5),Salim_i)</f>
        <v>0.1</v>
      </c>
      <c r="E10" s="584">
        <f>IF(E5="D",Tau_i,IF(YEAR(B10)=A3,E5,Tau_i))</f>
        <v>3</v>
      </c>
      <c r="F10" s="1202">
        <f>C10</f>
        <v>0</v>
      </c>
      <c r="G10" s="447" t="s">
        <v>93</v>
      </c>
      <c r="H10" s="576">
        <f>IF(H5="D",IF(AND(G3&gt;=YEAR(F9)+Inter_net,G3&gt;Amaj),DATE(G3,4,30),B10),IF(YEAR(H5)=G3,H5,"err."))</f>
        <v>43481</v>
      </c>
      <c r="I10" s="582">
        <f>IF(G3=YEAR(H10),IF(I5="D",F10,I5),C13)</f>
        <v>0</v>
      </c>
      <c r="J10" s="583">
        <f>IF(G3=YEAR(H10),IF(J5="D",D10,J5),D10)</f>
        <v>0.1</v>
      </c>
      <c r="K10" s="584">
        <f>IF(G3=YEAR(H10),IF(K5="D",E10,K5),E10)</f>
        <v>3</v>
      </c>
      <c r="L10" s="1202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44197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3</v>
      </c>
      <c r="R10" s="1202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0.01</v>
      </c>
      <c r="V10" s="583">
        <f>IF(S3=YEAR(T10),IF(V5="D",P10,V5),P10)</f>
        <v>0.1</v>
      </c>
      <c r="W10" s="584">
        <f>IF(S3=YEAR(T10),IF(W5="D",Q10,W5),Q10)</f>
        <v>3</v>
      </c>
      <c r="X10" s="1202">
        <f>IF(U5="I",R10,IF(U5="D",R10,U5))</f>
        <v>0.01</v>
      </c>
      <c r="Y10" s="447" t="s">
        <v>93</v>
      </c>
      <c r="Z10" s="576">
        <f>IF(Z5="D",IF(AND(Y3&gt;=YEAR(X9)+Inter_net,Y3&gt;Amaj),DATE(Y3,4,30),T10),IF(YEAR(Z5)=Y3,Z5,"err."))</f>
        <v>44683</v>
      </c>
      <c r="AA10" s="582">
        <f>IF(Y3=YEAR(Z10),IF(AA5="D",X10,AA5),U13)</f>
        <v>0.01</v>
      </c>
      <c r="AB10" s="583">
        <f>IF(Y3=YEAR(Z10),IF(AB5="D",V10,AB5),V10)</f>
        <v>0.1</v>
      </c>
      <c r="AC10" s="584">
        <f>IF(Y3=YEAR(Z10),IF(AC5="D",W10,AC5),W10)</f>
        <v>3</v>
      </c>
      <c r="AD10" s="1202">
        <f>IF(AA5="I",X10,IF(AA5="D",X10,AA5))</f>
        <v>0.01</v>
      </c>
      <c r="AE10" s="447" t="s">
        <v>93</v>
      </c>
      <c r="AF10" s="576">
        <f>IF(AF5="D",IF(AND(AE3&gt;=YEAR(AD9)+Inter_net,AE3&gt;Amaj),DATE(AE3,4,30),Z10),IF(YEAR(AF5)=AE3,AF5,"err."))</f>
        <v>45412</v>
      </c>
      <c r="AG10" s="582">
        <f>IF(AE3=YEAR(AF10),IF(AG5="D",AD10,AG5),AA13)</f>
        <v>0.01</v>
      </c>
      <c r="AH10" s="583">
        <f>IF(AE3=YEAR(AF10),IF(AH5="D",AB10,AH5),AB10)</f>
        <v>0.1</v>
      </c>
      <c r="AI10" s="584">
        <f>IF(AE3=YEAR(AF10),IF(AI5="D",AC10,AI5),AC10)</f>
        <v>3</v>
      </c>
      <c r="AJ10" s="1202">
        <f>IF(AG5="I",AD10,IF(AG5="D",AD10,AG5))</f>
        <v>0.01</v>
      </c>
      <c r="AK10" s="447" t="s">
        <v>93</v>
      </c>
      <c r="AL10" s="576">
        <f>IF(AL5="D",IF(AND(AK3&gt;=YEAR(AJ9)+Inter_net,AK3&gt;Amaj),DATE(AK3,4,30),AF10),IF(YEAR(AL5)=AK3,AL5,"err."))</f>
        <v>45412</v>
      </c>
      <c r="AM10" s="582">
        <f>IF(AK3=YEAR(AL10),IF(AM5="D",AJ10,AM5),AG13)</f>
        <v>0.01</v>
      </c>
      <c r="AN10" s="583">
        <f>IF(AN5="D",AH10,AN5)</f>
        <v>0.1</v>
      </c>
      <c r="AO10" s="584">
        <f>IF(AO5="D",AI10,AO5)</f>
        <v>3</v>
      </c>
      <c r="AP10" s="1202">
        <f>IF(AM5="I",AJ10,IF(AM5="D",AJ10,AM5))</f>
        <v>0.01</v>
      </c>
      <c r="AQ10" s="447" t="s">
        <v>93</v>
      </c>
      <c r="AR10" s="576">
        <f>IF(AR5="D",IF(AND(AQ3&gt;=YEAR(AP9)+Inter_net,AQ3&gt;Amaj),DATE(AQ3,4,30),AL10),IF(YEAR(AR5)=AQ3,AR5,"err."))</f>
        <v>46142</v>
      </c>
      <c r="AS10" s="582">
        <f>IF(AQ3=YEAR(AR10),IF(AS5="D",AP10,AS5),AM13)</f>
        <v>0.01</v>
      </c>
      <c r="AT10" s="583">
        <f>IF(AT5="D",AN10,AT5)</f>
        <v>0.1</v>
      </c>
      <c r="AU10" s="584">
        <f>IF(AU5="D",AO10,AU5)</f>
        <v>3</v>
      </c>
      <c r="AV10" s="1202">
        <f>IF(AS5="I",AP10,IF(AS5="D",AP10,AS5))</f>
        <v>0.01</v>
      </c>
      <c r="AW10" s="447" t="s">
        <v>93</v>
      </c>
      <c r="AX10" s="576">
        <f>IF(AX5="D",IF(AND(AW3&gt;=YEAR(AV9)+Inter_net,AW3&gt;Amaj),DATE(AW3,4,30),AR10),IF(YEAR(AX5)=AW3,AX5,"err."))</f>
        <v>46142</v>
      </c>
      <c r="AY10" s="582">
        <f>IF(AW3=YEAR(AX10),IF(AY5="D",AV10,AY5),AS13)</f>
        <v>0.01</v>
      </c>
      <c r="AZ10" s="583">
        <f>IF(AZ5="D",AT10,AZ5)</f>
        <v>0.1</v>
      </c>
      <c r="BA10" s="584">
        <f>IF(BA5="D",AU10,BA5)</f>
        <v>3</v>
      </c>
      <c r="BB10" s="1202">
        <f>IF(AY5="I",AV10,IF(AY5="D",AV10,AY5))</f>
        <v>0.01</v>
      </c>
      <c r="BC10" s="447" t="s">
        <v>93</v>
      </c>
      <c r="BD10" s="576">
        <f>IF(BD5="D",IF(AND(BC3&gt;=YEAR(BB9)+Inter_net,BC3&gt;Amaj),DATE(BC3,4,30),AX10),IF(YEAR(BD5)=BC3,BD5,"err."))</f>
        <v>46873</v>
      </c>
      <c r="BE10" s="582">
        <f>IF(BC3=YEAR(BD10),IF(BE5="D",BB10,BE5),AY13)</f>
        <v>0.01</v>
      </c>
      <c r="BF10" s="583">
        <f>IF(BF5="D",AZ10,BF5)</f>
        <v>0.1</v>
      </c>
      <c r="BG10" s="584">
        <f>IF(BG5="D",BA10,BG5)</f>
        <v>3</v>
      </c>
      <c r="BH10" s="1202">
        <f>IF(BE5="I",BB10,IF(BE5="D",BB10,BE5))</f>
        <v>0.01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</v>
      </c>
      <c r="BM10" s="584">
        <f>IF(BM5="D",BG10,BM5)</f>
        <v>3</v>
      </c>
      <c r="BN10" s="1202">
        <f>IF(BK5="I",BH10,IF(BK5="D",BH10,BK5))</f>
        <v>0.01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</v>
      </c>
      <c r="BS10" s="584">
        <f>IF(BS5="D",BM10,BS5)</f>
        <v>3</v>
      </c>
      <c r="BT10" s="1202">
        <f>IF(BQ5="I",BN10,IF(BQ5="D",BN10,BQ5))</f>
        <v>0.01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</v>
      </c>
      <c r="BY10" s="584">
        <f>IF(BY5="D",BS10,BY5)</f>
        <v>3</v>
      </c>
      <c r="BZ10" s="1202">
        <f>IF(BW5="I",BT10,IF(BW5="D",BT10,BW5))</f>
        <v>0.01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6">
        <f>IF(D6="D",IF(B11&gt;DATE(A3,1,1),H_i,H_i+PousHi),D6)</f>
        <v>-1.0008874621829826</v>
      </c>
      <c r="E11" s="1266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6">
        <f>IF(J6="D",IF(G3=YEAR(H11),H_i,D16+E16),J6)</f>
        <v>-0.50088753972092426</v>
      </c>
      <c r="K11" s="1266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6">
        <f>IF(P6="D",IF(M3=YEAR(N11),H_i,J16+K16),P6)</f>
        <v>-8.8761725886588039E-4</v>
      </c>
      <c r="Q11" s="1266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6">
        <f>IF(V6="D",IF(S3=YEAR(T11),H_i,P16+Q16),V6)</f>
        <v>0.49911230520319244</v>
      </c>
      <c r="W11" s="1266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6">
        <f>IF(AB6="D",IF(Y3=YEAR(Z11),H_i,V16+W16),AB6)</f>
        <v>0.99911222766525076</v>
      </c>
      <c r="AC11" s="1266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6">
        <f>IF(AH6="D",IF(AE3=YEAR(AF11),H_i,AB16+AC16),AH6)</f>
        <v>1.499112150127309</v>
      </c>
      <c r="AI11" s="1266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6">
        <f>IF(AN6="D",IF(AK3=YEAR(AL11),H_i,AH16+PousHi),AN6)</f>
        <v>1.9991120725893674</v>
      </c>
      <c r="AO11" s="1266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6">
        <f>IF(AT6="D",IF(AQ3=YEAR(AR11),H_i,AN16+PousHi),AT6)</f>
        <v>-1.5008874621829826</v>
      </c>
      <c r="AU11" s="1266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6">
        <f>IF(AZ6="D",IF(AW3=YEAR(AX11),H_i,AT16+PousHi),AZ6)</f>
        <v>-0.52587564886049476</v>
      </c>
      <c r="BA11" s="1266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6">
        <f>IF(BF6="D",IF(BC3=YEAR(BD11),H_i,AZ16+PousHi),BF6)</f>
        <v>-2.5875726398436383E-2</v>
      </c>
      <c r="BG11" s="1266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6" t="e">
        <f>IF(BL6="D",IF(BI3=YEAR(BJ11),H_i,BF16+PousHi),BL6)</f>
        <v>#NAME?</v>
      </c>
      <c r="BM11" s="1266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6" t="e">
        <f>IF(BR6="D",IF(BO3=YEAR(BP11),H_i,BL16+PousHi),BR6)</f>
        <v>#NAME?</v>
      </c>
      <c r="BS11" s="1266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6" t="e">
        <f>IF(BX6="D",IF(BU3=YEAR(BV11),H_i,BR16+PousHi),BX6)</f>
        <v>#NAME?</v>
      </c>
      <c r="BY11" s="1266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43481</v>
      </c>
      <c r="C13" s="587">
        <f>+'2019'!Resal</f>
        <v>0</v>
      </c>
      <c r="D13" s="588">
        <f>+'2019'!Salim</f>
        <v>0.1</v>
      </c>
      <c r="E13" s="589">
        <f>+'2019'!Tau_j/365</f>
        <v>3</v>
      </c>
      <c r="F13" s="463"/>
      <c r="G13" s="465" t="s">
        <v>93</v>
      </c>
      <c r="H13" s="586">
        <f>+'2020'!Tnet</f>
        <v>43481</v>
      </c>
      <c r="I13" s="587">
        <f>+'2020'!Resal</f>
        <v>0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44197</v>
      </c>
      <c r="O13" s="587">
        <f>+'2021'!Resal</f>
        <v>4.7997650125778057E-2</v>
      </c>
      <c r="P13" s="588">
        <f>+'2021'!Salim</f>
        <v>0.15</v>
      </c>
      <c r="Q13" s="589">
        <f>+'2021'!Tau_j/365</f>
        <v>3</v>
      </c>
      <c r="R13" s="466"/>
      <c r="S13" s="447" t="s">
        <v>93</v>
      </c>
      <c r="T13" s="586">
        <f>+'2022'!Tnet</f>
        <v>44683</v>
      </c>
      <c r="U13" s="587">
        <f>+'2022'!Resal</f>
        <v>0.01</v>
      </c>
      <c r="V13" s="588">
        <f>+'2022'!Salim</f>
        <v>0.1</v>
      </c>
      <c r="W13" s="589">
        <f>+'2022'!Tau_j/365</f>
        <v>3</v>
      </c>
      <c r="X13" s="466"/>
      <c r="Y13" s="447" t="s">
        <v>93</v>
      </c>
      <c r="Z13" s="586">
        <f>+'2023'!Tnet</f>
        <v>44683</v>
      </c>
      <c r="AA13" s="587">
        <f>+'2023'!Resal</f>
        <v>0.01</v>
      </c>
      <c r="AB13" s="588">
        <f>+'2023'!Salim</f>
        <v>0.1</v>
      </c>
      <c r="AC13" s="589">
        <f>+'2023'!Tau_j/365</f>
        <v>3</v>
      </c>
      <c r="AD13" s="466"/>
      <c r="AE13" s="447" t="s">
        <v>93</v>
      </c>
      <c r="AF13" s="586">
        <f>+'2024'!Tnet</f>
        <v>45412</v>
      </c>
      <c r="AG13" s="587">
        <f>+'2024'!Resal</f>
        <v>0.01</v>
      </c>
      <c r="AH13" s="588">
        <f>+'2024'!Salim</f>
        <v>0.1</v>
      </c>
      <c r="AI13" s="589">
        <f>+'2024'!Tau_j/365</f>
        <v>3</v>
      </c>
      <c r="AJ13" s="466"/>
      <c r="AK13" s="447" t="s">
        <v>93</v>
      </c>
      <c r="AL13" s="586">
        <f>+'2025'!Tnet</f>
        <v>45412</v>
      </c>
      <c r="AM13" s="587">
        <f>+'2025'!Resal</f>
        <v>0.01</v>
      </c>
      <c r="AN13" s="588">
        <f>+'2025'!Salim</f>
        <v>0.1</v>
      </c>
      <c r="AO13" s="589">
        <f>+'2025'!Tau_j/365</f>
        <v>3</v>
      </c>
      <c r="AP13" s="463"/>
      <c r="AQ13" s="447" t="s">
        <v>93</v>
      </c>
      <c r="AR13" s="586">
        <f>+'2026'!Tnet</f>
        <v>46142</v>
      </c>
      <c r="AS13" s="587">
        <f>+'2026'!Resal</f>
        <v>0.01</v>
      </c>
      <c r="AT13" s="588">
        <f>+'2026'!Salim</f>
        <v>0.1</v>
      </c>
      <c r="AU13" s="589">
        <f>+'2026'!Tau_j/365</f>
        <v>3</v>
      </c>
      <c r="AV13" s="463"/>
      <c r="AW13" s="447" t="s">
        <v>93</v>
      </c>
      <c r="AX13" s="586">
        <f>+'2027'!Tnet</f>
        <v>46142</v>
      </c>
      <c r="AY13" s="587">
        <f>+'2027'!Resal</f>
        <v>0.01</v>
      </c>
      <c r="AZ13" s="588">
        <f>+'2027'!Salim</f>
        <v>0.1</v>
      </c>
      <c r="BA13" s="589">
        <f>+'2027'!Tau_j/365</f>
        <v>3</v>
      </c>
      <c r="BB13" s="463"/>
      <c r="BC13" s="447" t="s">
        <v>93</v>
      </c>
      <c r="BD13" s="586">
        <f>+'2028'!Tnet</f>
        <v>46873</v>
      </c>
      <c r="BE13" s="587">
        <f>+'2028'!Resal</f>
        <v>0.01</v>
      </c>
      <c r="BF13" s="588">
        <f>+'2028'!Salim</f>
        <v>0.1</v>
      </c>
      <c r="BG13" s="589">
        <f>+'2028'!Tau_j/365</f>
        <v>3</v>
      </c>
      <c r="BH13" s="463"/>
      <c r="BI13" s="447" t="s">
        <v>93</v>
      </c>
      <c r="BJ13" s="586">
        <f>+'2019'!Tnet</f>
        <v>43481</v>
      </c>
      <c r="BK13" s="587">
        <f>+'2019'!Resal</f>
        <v>0</v>
      </c>
      <c r="BL13" s="588">
        <f>+'2019'!Salim</f>
        <v>0.1</v>
      </c>
      <c r="BM13" s="589">
        <f>+'2019'!Tau_j/365</f>
        <v>3</v>
      </c>
      <c r="BN13" s="463"/>
      <c r="BO13" s="447" t="s">
        <v>93</v>
      </c>
      <c r="BP13" s="586">
        <f>+'2019'!Tnet</f>
        <v>43481</v>
      </c>
      <c r="BQ13" s="587">
        <f>+'2019'!Resal</f>
        <v>0</v>
      </c>
      <c r="BR13" s="588">
        <f>+'2019'!Salim</f>
        <v>0.1</v>
      </c>
      <c r="BS13" s="589">
        <f>+'2019'!Tau_j/365</f>
        <v>3</v>
      </c>
      <c r="BT13" s="463"/>
      <c r="BU13" s="447" t="s">
        <v>93</v>
      </c>
      <c r="BV13" s="586">
        <f>+'2019'!Tnet</f>
        <v>43481</v>
      </c>
      <c r="BW13" s="587">
        <f>+'2019'!Resal</f>
        <v>0</v>
      </c>
      <c r="BX13" s="588">
        <f>+'2019'!Salim</f>
        <v>0.1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6.6922702677487345E-7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3.4371451234297856E-2</v>
      </c>
      <c r="AG20" s="48">
        <f>'2024'!O29</f>
        <v>4.9057052633628133E-2</v>
      </c>
      <c r="AH20" s="66">
        <f>'2024'!P29</f>
        <v>5.8846586929520057E-3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5.7478341398575772E-4</v>
      </c>
      <c r="C21" s="48">
        <f>'2019'!O60</f>
        <v>2.7029807853834751E-3</v>
      </c>
      <c r="D21" s="66">
        <f>'2019'!P60</f>
        <v>1.9306096186591396E-6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3.4944973922070188E-2</v>
      </c>
      <c r="AG21" s="48">
        <f>'2024'!O60</f>
        <v>5.0479751476418325E-2</v>
      </c>
      <c r="AH21" s="66">
        <f>'2024'!P60</f>
        <v>2.7870285948310845E-3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1.1109498573533827E-3</v>
      </c>
      <c r="C22" s="48">
        <f>'2019'!O88</f>
        <v>5.1621695965339215E-3</v>
      </c>
      <c r="D22" s="66">
        <f>'2019'!P88</f>
        <v>2.1137938231352497E-6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3.5462701624352722E-2</v>
      </c>
      <c r="AG22" s="48">
        <f>'2024'!O88</f>
        <v>5.1753976581155985E-2</v>
      </c>
      <c r="AH22" s="66">
        <f>'2024'!P88</f>
        <v>8.5775173396458206E-4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1.7042271931948516E-3</v>
      </c>
      <c r="C23" s="48">
        <f>'2019'!O119</f>
        <v>7.8449781295631456E-3</v>
      </c>
      <c r="D23" s="66">
        <f>'2019'!P119</f>
        <v>3.2216916749331E-6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3.6035576177956385E-2</v>
      </c>
      <c r="AG23" s="48">
        <f>'2024'!O119</f>
        <v>5.333233411678949E-2</v>
      </c>
      <c r="AH23" s="66">
        <f>'2024'!P119</f>
        <v>3.5472202516900259E-4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2.2780310456562702E-3</v>
      </c>
      <c r="C24" s="48">
        <f>'2019'!O149</f>
        <v>1.0505159673692E-2</v>
      </c>
      <c r="D24" s="66">
        <f>'2019'!P149</f>
        <v>5.5249475450964976E-6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3.6589646940441534E-2</v>
      </c>
      <c r="AG24" s="48">
        <f>'2024'!O149</f>
        <v>1.1367656421450618E-2</v>
      </c>
      <c r="AH24" s="66">
        <f>'2024'!P149</f>
        <v>2.2951381360634488E-4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2.8706152085993253E-3</v>
      </c>
      <c r="C25" s="48">
        <f>'2019'!O180</f>
        <v>1.3325519994466515E-2</v>
      </c>
      <c r="D25" s="66">
        <f>'2019'!P180</f>
        <v>7.0218468852208054E-6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3.7161852159333209E-2</v>
      </c>
      <c r="AG25" s="48">
        <f>'2024'!O180</f>
        <v>1.4181022545380678E-2</v>
      </c>
      <c r="AH25" s="66">
        <f>'2024'!P180</f>
        <v>1.9364816384223696E-4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3.4437486405752837E-3</v>
      </c>
      <c r="C26" s="48">
        <f>'2019'!O210</f>
        <v>1.5909162922213498E-2</v>
      </c>
      <c r="D26" s="66">
        <f>'2019'!P210</f>
        <v>1.6928605388400049E-5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3.7715275557064776E-2</v>
      </c>
      <c r="AG26" s="48">
        <f>'2024'!O210</f>
        <v>1.6748438593902806E-2</v>
      </c>
      <c r="AH26" s="66">
        <f>'2024'!P210</f>
        <v>2.9583831620036411E-4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4.0356404405086366E-3</v>
      </c>
      <c r="C27" s="48">
        <f>'2019'!O241</f>
        <v>1.8394482297894095E-2</v>
      </c>
      <c r="D27" s="66">
        <f>'2019'!P241</f>
        <v>4.2835681251954153E-5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3.8286812223281008E-2</v>
      </c>
      <c r="AG27" s="48">
        <f>'2024'!O241</f>
        <v>1.9210321453336596E-2</v>
      </c>
      <c r="AH27" s="66">
        <f>'2024'!P241</f>
        <v>5.9525402504974898E-4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4.6271806939013338E-3</v>
      </c>
      <c r="C28" s="48">
        <f>'2019'!O272</f>
        <v>2.0741759249206924E-2</v>
      </c>
      <c r="D28" s="66">
        <f>'2019'!P272</f>
        <v>1.0339693074486773E-4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3.8858009432627072E-2</v>
      </c>
      <c r="AG28" s="48">
        <f>'2024'!O272</f>
        <v>2.153220182058618E-2</v>
      </c>
      <c r="AH28" s="66">
        <f>'2024'!P272</f>
        <v>1.4404359911264783E-3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5.1993044811706746E-3</v>
      </c>
      <c r="C29" s="48">
        <f>'2019'!O302</f>
        <v>2.2755621259663166E-2</v>
      </c>
      <c r="D29" s="66">
        <f>'2019'!P302</f>
        <v>2.6898122360666308E-4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3.9410457907290475E-2</v>
      </c>
      <c r="AG29" s="48">
        <f>'2024'!O302</f>
        <v>2.3516259488941569E-2</v>
      </c>
      <c r="AH29" s="66">
        <f>'2024'!P302</f>
        <v>4.3697121963424609E-3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5.7901535912359137E-3</v>
      </c>
      <c r="C30" s="48">
        <f>'2019'!O333</f>
        <v>2.4496622984871232E-2</v>
      </c>
      <c r="D30" s="66">
        <f>'2019'!P333</f>
        <v>6.477324616902721E-4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3.9980987741698559E-2</v>
      </c>
      <c r="AG30" s="48">
        <f>'2024'!O333</f>
        <v>2.5220901652986016E-2</v>
      </c>
      <c r="AH30" s="66">
        <f>'2024'!P333</f>
        <v>8.4154570976751972E-3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6.3616089209730387E-3</v>
      </c>
      <c r="C31" s="49">
        <f>'2019'!O363</f>
        <v>2.6273662500495131E-2</v>
      </c>
      <c r="D31" s="67">
        <f>'2019'!P363</f>
        <v>8.9944517648747331E-4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4.0532790747055625E-2</v>
      </c>
      <c r="AG31" s="49">
        <f>'2024'!O363</f>
        <v>2.6970420075899761E-2</v>
      </c>
      <c r="AH31" s="67">
        <f>'2024'!P363</f>
        <v>1.0347764762820361E-2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6.9517676952283169E-3</v>
      </c>
      <c r="C32" s="48">
        <f>'2020'!O29</f>
        <v>2.8285913644493815E-2</v>
      </c>
      <c r="D32" s="66">
        <f>'2020'!P29</f>
        <v>6.1775876930340835E-4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4.1121031035149525E-2</v>
      </c>
      <c r="AG32" s="48">
        <f>'2025'!O29</f>
        <v>2.9026858095877864E-2</v>
      </c>
      <c r="AH32" s="66">
        <f>'2025'!P29</f>
        <v>7.9711488514366598E-3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7.5415759522511339E-3</v>
      </c>
      <c r="C33" s="48">
        <f>'2020'!O60</f>
        <v>3.0288305250327382E-2</v>
      </c>
      <c r="D33" s="66">
        <f>'2020'!P60</f>
        <v>2.6396558962764869E-4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4.1690544896594517E-2</v>
      </c>
      <c r="AG33" s="48">
        <f>'2025'!O60</f>
        <v>3.1008571002459111E-2</v>
      </c>
      <c r="AH33" s="66">
        <f>'2025'!P60</f>
        <v>3.8328824635280125E-3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8.0740048869839542E-3</v>
      </c>
      <c r="C34" s="48">
        <f>'2020'!O88</f>
        <v>3.2063320396163247E-2</v>
      </c>
      <c r="D34" s="66">
        <f>'2020'!P88</f>
        <v>8.530544520425688E-5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4.2204653770036349E-2</v>
      </c>
      <c r="AG34" s="48">
        <f>'2025'!O88</f>
        <v>3.2765722053193877E-2</v>
      </c>
      <c r="AH34" s="66">
        <f>'2025'!P88</f>
        <v>1.2147361989174304E-3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8.6631466056247275E-3</v>
      </c>
      <c r="C35" s="48">
        <f>'2020'!O119</f>
        <v>3.4108441645641745E-2</v>
      </c>
      <c r="D35" s="66">
        <f>'2020'!P119</f>
        <v>4.1315169929050899E-5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4.2773524027660659E-2</v>
      </c>
      <c r="AG35" s="48">
        <f>'2025'!O119</f>
        <v>3.4794192988789163E-2</v>
      </c>
      <c r="AH35" s="66">
        <f>'2025'!P119</f>
        <v>4.8777942568848878E-4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9.2329505866286521E-3</v>
      </c>
      <c r="C36" s="48">
        <f>'2020'!O149</f>
        <v>3.6444717323084588E-2</v>
      </c>
      <c r="D36" s="66">
        <f>'2020'!P149</f>
        <v>3.1211118811315736E-5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4.3323721929477532E-2</v>
      </c>
      <c r="AG36" s="48">
        <f>'2025'!O149</f>
        <v>3.7122011332225105E-2</v>
      </c>
      <c r="AH36" s="66">
        <f>'2025'!P149</f>
        <v>3.0853981658075476E-4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9.8214039643401696E-3</v>
      </c>
      <c r="C37" s="48">
        <f>'2020'!O180</f>
        <v>3.9054727433577886E-2</v>
      </c>
      <c r="D37" s="66">
        <f>'2020'!P180</f>
        <v>2.7574523756124097E-5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4.3891927530925856E-2</v>
      </c>
      <c r="AG37" s="48">
        <f>'2025'!O180</f>
        <v>3.9726529100128367E-2</v>
      </c>
      <c r="AH37" s="66">
        <f>'2025'!P180</f>
        <v>2.5961265707396023E-4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1.0390542198225217E-2</v>
      </c>
      <c r="C38" s="48">
        <f>'2020'!O210</f>
        <v>4.1150347571422427E-2</v>
      </c>
      <c r="D38" s="66">
        <f>'2020'!P210</f>
        <v>5.3145664706758833E-5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4.4441482592958992E-2</v>
      </c>
      <c r="AG38" s="48">
        <f>'2025'!O210</f>
        <v>4.1809406734172612E-2</v>
      </c>
      <c r="AH38" s="66">
        <f>'2025'!P210</f>
        <v>3.8423694120036291E-4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1.0978308039250595E-2</v>
      </c>
      <c r="C39" s="48">
        <f>'2020'!O241</f>
        <v>4.2930814591584265E-2</v>
      </c>
      <c r="D39" s="66">
        <f>'2020'!P241</f>
        <v>1.1870375784803206E-4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4.5009024314801804E-2</v>
      </c>
      <c r="AG39" s="48">
        <f>'2025'!O241</f>
        <v>4.3571469728939174E-2</v>
      </c>
      <c r="AH39" s="66">
        <f>'2025'!P241</f>
        <v>7.6271387301020117E-4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1.1565724784295628E-2</v>
      </c>
      <c r="C40" s="48">
        <f>'2020'!O272</f>
        <v>4.4514290220610368E-2</v>
      </c>
      <c r="D40" s="66">
        <f>'2020'!P272</f>
        <v>2.8151092069500023E-4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4.5576228952520337E-2</v>
      </c>
      <c r="AG40" s="48">
        <f>'2025'!O272</f>
        <v>4.5135002147415955E-2</v>
      </c>
      <c r="AH40" s="66">
        <f>'2025'!P272</f>
        <v>1.8576965718794744E-3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1.213386041150466E-2</v>
      </c>
      <c r="C41" s="48">
        <f>'2020'!O302</f>
        <v>4.5631787749534844E-2</v>
      </c>
      <c r="D41" s="66">
        <f>'2020'!P302</f>
        <v>8.0589328078297566E-4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4.6124815906032124E-2</v>
      </c>
      <c r="AG41" s="48">
        <f>'2025'!O302</f>
        <v>4.6229095179565527E-2</v>
      </c>
      <c r="AH41" s="66">
        <f>'2025'!P302</f>
        <v>5.6500174207878579E-3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1.2720590831043599E-2</v>
      </c>
      <c r="C42" s="48">
        <f>'2020'!O333</f>
        <v>4.6279277023407582E-2</v>
      </c>
      <c r="D42" s="66">
        <f>'2020'!P333</f>
        <v>1.7032851000596391E-3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4.6691357833650415E-2</v>
      </c>
      <c r="AG42" s="48">
        <f>'2025'!O333</f>
        <v>4.684803233076059E-2</v>
      </c>
      <c r="AH42" s="66">
        <f>'2025'!P333</f>
        <v>1.0604690722803879E-2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1.328806266040361E-2</v>
      </c>
      <c r="C43" s="49">
        <f>'2020'!O363</f>
        <v>4.7228620698108924E-2</v>
      </c>
      <c r="D43" s="67">
        <f>'2020'!P363</f>
        <v>2.4923930165003253E-3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4.7239303829576862E-2</v>
      </c>
      <c r="AG43" s="49">
        <f>'2025'!O363</f>
        <v>4.7775764479081072E-2</v>
      </c>
      <c r="AH43" s="67">
        <f>'2025'!P363</f>
        <v>1.2304485297983347E-2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1.38930064340822E-2</v>
      </c>
      <c r="C44" s="48">
        <f>'2021'!O29</f>
        <v>4.9301351142919371E-2</v>
      </c>
      <c r="D44" s="66">
        <f>'2021'!P29</f>
        <v>1.5967009608356978E-3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4.7805183821391539E-2</v>
      </c>
      <c r="AG44" s="48">
        <f>'2026'!O29</f>
        <v>4.9150043298724376E-2</v>
      </c>
      <c r="AH44" s="66">
        <f>'2026'!P29</f>
        <v>1.0057937732391362E-2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1.447869203141039E-2</v>
      </c>
      <c r="C45" s="48">
        <f>'2021'!O60</f>
        <v>5.2113137451392053E-2</v>
      </c>
      <c r="D45" s="66">
        <f>'2021'!P60</f>
        <v>7.6811260767529988E-4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4.8370727716045225E-2</v>
      </c>
      <c r="AG45" s="48">
        <f>'2026'!O60</f>
        <v>5.0570146905133215E-2</v>
      </c>
      <c r="AH45" s="66">
        <f>'2026'!P60</f>
        <v>4.8806049803694785E-3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1.5007399378180741E-2</v>
      </c>
      <c r="C46" s="48">
        <f>'2021'!O88</f>
        <v>5.4609965362457623E-2</v>
      </c>
      <c r="D46" s="66">
        <f>'2021'!P88</f>
        <v>2.32008526993194E-4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4.8881252839743761E-2</v>
      </c>
      <c r="AG46" s="48">
        <f>'2026'!O88</f>
        <v>5.1842130014426155E-2</v>
      </c>
      <c r="AH46" s="66">
        <f>'2026'!P88</f>
        <v>1.5754819430308722E-3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1.5592423096117303E-2</v>
      </c>
      <c r="C47" s="48">
        <f>'2021'!O119</f>
        <v>5.7523210611634304E-2</v>
      </c>
      <c r="D47" s="66">
        <f>'2021'!P119</f>
        <v>1.0227952402652951E-4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4.9446157617009545E-2</v>
      </c>
      <c r="AG47" s="48">
        <f>'2026'!O119</f>
        <v>5.3418397887657613E-2</v>
      </c>
      <c r="AH47" s="66">
        <f>'2026'!P119</f>
        <v>1.4282114672234836E-6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1.6158244243923536E-2</v>
      </c>
      <c r="C48" s="48">
        <f>'2021'!O149</f>
        <v>6.0949179833592979E-2</v>
      </c>
      <c r="D48" s="66">
        <f>'2021'!P149</f>
        <v>6.8702302550241771E-5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4.9992520199711787E-2</v>
      </c>
      <c r="AG48" s="48">
        <f>'2026'!O149</f>
        <v>1.1450399608284888E-2</v>
      </c>
      <c r="AH48" s="66">
        <f>'2026'!P149</f>
        <v>4.4410263499838001E-6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1.674258443231702E-2</v>
      </c>
      <c r="C49" s="48">
        <f>'2021'!O180</f>
        <v>6.4813251884438719E-2</v>
      </c>
      <c r="D49" s="66">
        <f>'2021'!P180</f>
        <v>5.4538037366502991E-5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5.0556764953986422E-2</v>
      </c>
      <c r="AG49" s="48">
        <f>'2026'!O180</f>
        <v>1.4263094747497894E-2</v>
      </c>
      <c r="AH49" s="66">
        <f>'2026'!P180</f>
        <v>6.38466679130438E-6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1.7307744486463772E-2</v>
      </c>
      <c r="C50" s="48">
        <f>'2021'!O210</f>
        <v>6.7838491569675891E-2</v>
      </c>
      <c r="D50" s="66">
        <f>'2021'!P210</f>
        <v>9.3028378512933769E-5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5.1102489178011856E-2</v>
      </c>
      <c r="AG50" s="48">
        <f>'2026'!O210</f>
        <v>1.6828954078614497E-2</v>
      </c>
      <c r="AH50" s="66">
        <f>'2026'!P210</f>
        <v>1.5881801295193388E-5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1.7891401943936125E-2</v>
      </c>
      <c r="C51" s="48">
        <f>'2021'!O241</f>
        <v>7.033848927778856E-2</v>
      </c>
      <c r="D51" s="66">
        <f>'2021'!P241</f>
        <v>1.9662991184854077E-4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5.1666074680452478E-2</v>
      </c>
      <c r="AG51" s="48">
        <f>'2026'!O241</f>
        <v>1.9288588567781862E-2</v>
      </c>
      <c r="AH51" s="66">
        <f>'2026'!P241</f>
        <v>4.0553352488815157E-5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1.8474712745549682E-2</v>
      </c>
      <c r="C52" s="48">
        <f>'2021'!O272</f>
        <v>7.2528723498033409E-2</v>
      </c>
      <c r="D52" s="66">
        <f>'2021'!P272</f>
        <v>4.6108885298999717E-4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5.2229325448514663E-2</v>
      </c>
      <c r="AG52" s="48">
        <f>'2026'!O272</f>
        <v>2.1608032526655937E-2</v>
      </c>
      <c r="AH52" s="66">
        <f>'2026'!P272</f>
        <v>9.81352004140767E-5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1.9038877201071114E-2</v>
      </c>
      <c r="C53" s="48">
        <f>'2021'!O302</f>
        <v>7.3987886106508527E-2</v>
      </c>
      <c r="D53" s="66">
        <f>'2021'!P302</f>
        <v>1.3446400070285694E-3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5.2774088312508849E-2</v>
      </c>
      <c r="AG53" s="48">
        <f>'2026'!O302</f>
        <v>2.3589230930610213E-2</v>
      </c>
      <c r="AH53" s="66">
        <f>'2026'!P302</f>
        <v>2.5547018368631805E-4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1.9621506474477468E-2</v>
      </c>
      <c r="C54" s="48">
        <f>'2021'!O333</f>
        <v>7.4694290567553015E-2</v>
      </c>
      <c r="D54" s="66">
        <f>'2021'!P333</f>
        <v>2.7600452960499368E-3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5.3336680990089813E-2</v>
      </c>
      <c r="AG54" s="48">
        <f>'2026'!O333</f>
        <v>2.5290384958646748E-2</v>
      </c>
      <c r="AH54" s="66">
        <f>'2026'!P333</f>
        <v>6.1532290602033576E-4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2.0185011771984285E-2</v>
      </c>
      <c r="C55" s="49">
        <f>'2021'!O363</f>
        <v>7.5917852729616819E-2</v>
      </c>
      <c r="D55" s="67">
        <f>'2021'!P363</f>
        <v>4.0866507239315482E-3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5.3880807364485306E-2</v>
      </c>
      <c r="AG55" s="49">
        <f>'2026'!O363</f>
        <v>2.7037263159528455E-2</v>
      </c>
      <c r="AH55" s="67">
        <f>'2026'!P363</f>
        <v>8.5448933793932339E-4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2.076696031346692E-2</v>
      </c>
      <c r="C56" s="48">
        <f>'2022'!O29</f>
        <v>7.7853047685662993E-2</v>
      </c>
      <c r="D56" s="66">
        <f>'2022'!P29</f>
        <v>2.5758932170198835E-3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5.4442742720484216E-2</v>
      </c>
      <c r="AG56" s="48">
        <f>'2027'!O29</f>
        <v>2.9026858095877864E-2</v>
      </c>
      <c r="AH56" s="66">
        <f>'2027'!P29</f>
        <v>5.8691896285830586E-4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2.134856321407963E-2</v>
      </c>
      <c r="C57" s="48">
        <f>'2022'!O60</f>
        <v>7.9867997004739136E-2</v>
      </c>
      <c r="D57" s="66">
        <f>'2022'!P60</f>
        <v>1.2736770483463881E-3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5.5004344322187926E-2</v>
      </c>
      <c r="AG57" s="48">
        <f>'2027'!O60</f>
        <v>3.1008571002459111E-2</v>
      </c>
      <c r="AH57" s="66">
        <f>'2027'!P60</f>
        <v>2.4956743654979167E-4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2.1873585048079902E-2</v>
      </c>
      <c r="C58" s="48">
        <f>'2022'!O88</f>
        <v>8.167644642618295E-2</v>
      </c>
      <c r="D58" s="66">
        <f>'2022'!P88</f>
        <v>3.8088936633589752E-4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5.5511310677743175E-2</v>
      </c>
      <c r="AG58" s="48">
        <f>'2027'!O88</f>
        <v>3.2765722053193877E-2</v>
      </c>
      <c r="AH58" s="66">
        <f>'2027'!P88</f>
        <v>7.9656383356569021E-5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2.2454530683129192E-2</v>
      </c>
      <c r="C59" s="48">
        <f>'2022'!O119</f>
        <v>8.3948085265531172E-2</v>
      </c>
      <c r="D59" s="66">
        <f>'2022'!P119</f>
        <v>1.6602487176759273E-4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5.6072277617218114E-2</v>
      </c>
      <c r="AG59" s="48">
        <f>'2027'!O119</f>
        <v>3.4794192988789163E-2</v>
      </c>
      <c r="AH59" s="66">
        <f>'2027'!P119</f>
        <v>3.8268401588948151E-5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2.301640760530943E-2</v>
      </c>
      <c r="C60" s="48">
        <f>'2022'!O149</f>
        <v>1.1284837635547294E-2</v>
      </c>
      <c r="D60" s="66">
        <f>'2022'!P149</f>
        <v>1.1097842855960867E-4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5.661483161604508E-2</v>
      </c>
      <c r="AG60" s="48">
        <f>'2027'!O149</f>
        <v>3.7122011332225105E-2</v>
      </c>
      <c r="AH60" s="66">
        <f>'2027'!P149</f>
        <v>2.9337450938675076E-5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2.3596674475562907E-2</v>
      </c>
      <c r="C61" s="48">
        <f>'2022'!O180</f>
        <v>1.4098875357245725E-2</v>
      </c>
      <c r="D61" s="66">
        <f>'2022'!P180</f>
        <v>9.160514790676236E-5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5.717514313341665E-2</v>
      </c>
      <c r="AG61" s="48">
        <f>'2027'!O180</f>
        <v>3.9726529100128367E-2</v>
      </c>
      <c r="AH61" s="66">
        <f>'2027'!P180</f>
        <v>2.6226989105389081E-5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2.4157894912434918E-2</v>
      </c>
      <c r="C62" s="48">
        <f>'2022'!O210</f>
        <v>1.666784954548246E-2</v>
      </c>
      <c r="D62" s="66">
        <f>'2022'!P210</f>
        <v>1.5066750744315927E-4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5.7717063223436949E-2</v>
      </c>
      <c r="AG62" s="48">
        <f>'2027'!O210</f>
        <v>4.1809406734172612E-2</v>
      </c>
      <c r="AH62" s="66">
        <f>'2027'!P210</f>
        <v>5.1152477186921597E-5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2.4737483810947314E-2</v>
      </c>
      <c r="C63" s="48">
        <f>'2022'!O241</f>
        <v>1.9131982829426727E-2</v>
      </c>
      <c r="D63" s="66">
        <f>'2022'!P241</f>
        <v>3.1248350576878981E-4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5.8276720084486699E-2</v>
      </c>
      <c r="AG63" s="48">
        <f>'2027'!O241</f>
        <v>4.3571469728939174E-2</v>
      </c>
      <c r="AH63" s="66">
        <f>'2027'!P241</f>
        <v>1.1480930276211263E-4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2.5316728470069494E-2</v>
      </c>
      <c r="C64" s="48">
        <f>'2022'!O272</f>
        <v>2.1456301831098631E-2</v>
      </c>
      <c r="D64" s="66">
        <f>'2022'!P272</f>
        <v>7.4242840396851798E-4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5.8836044544523958E-2</v>
      </c>
      <c r="AG64" s="48">
        <f>'2027'!O272</f>
        <v>4.5135002147415955E-2</v>
      </c>
      <c r="AH64" s="66">
        <f>'2027'!P272</f>
        <v>2.7253629336076036E-4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2.5876960248434222E-2</v>
      </c>
      <c r="C65" s="48">
        <f>'2022'!O302</f>
        <v>2.3443221376248161E-2</v>
      </c>
      <c r="D65" s="66">
        <f>'2022'!P302</f>
        <v>2.217260129676899E-3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5.9377009975960959E-2</v>
      </c>
      <c r="AG65" s="48">
        <f>'2027'!O302</f>
        <v>4.6229095179565527E-2</v>
      </c>
      <c r="AH65" s="66">
        <f>'2027'!P302</f>
        <v>7.7896875261960802E-4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2.6455528130145511E-2</v>
      </c>
      <c r="C66" s="48">
        <f>'2022'!O333</f>
        <v>2.5151354863267885E-2</v>
      </c>
      <c r="D66" s="66">
        <f>'2022'!P333</f>
        <v>4.4928038338547501E-3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5.9935680932933666E-2</v>
      </c>
      <c r="AG66" s="48">
        <f>'2027'!O333</f>
        <v>4.684803233076059E-2</v>
      </c>
      <c r="AH66" s="66">
        <f>'2027'!P333</f>
        <v>1.6504722136461152E-3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2.7015105345353785E-2</v>
      </c>
      <c r="C67" s="49">
        <f>'2022'!O363</f>
        <v>2.690351592047667E-2</v>
      </c>
      <c r="D67" s="67">
        <f>'2022'!P363</f>
        <v>6.2381364097027778E-3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6.0476014311613202E-2</v>
      </c>
      <c r="AG67" s="49">
        <f>'2027'!O363</f>
        <v>4.7775764479081072E-2</v>
      </c>
      <c r="AH67" s="67">
        <f>'2027'!P363</f>
        <v>2.4127180329648703E-3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2.7592997240386885E-2</v>
      </c>
      <c r="C68" s="48">
        <f>'2023'!O29</f>
        <v>2.8897079168252522E-2</v>
      </c>
      <c r="D68" s="66">
        <f>'2023'!P29</f>
        <v>4.2300426296511505E-3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6.10340325290607E-2</v>
      </c>
      <c r="AG68" s="48">
        <f>'2028'!O29</f>
        <v>4.9150043298724376E-2</v>
      </c>
      <c r="AH68" s="66">
        <f>'2028'!P29</f>
        <v>1.5477646273145476E-3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2.8170545903943189E-2</v>
      </c>
      <c r="C69" s="48">
        <f>'2023'!O60</f>
        <v>3.0882414018973615E-2</v>
      </c>
      <c r="D69" s="66">
        <f>'2023'!P60</f>
        <v>2.0295363692571702E-3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6.1591719318747074E-2</v>
      </c>
      <c r="AG69" s="48">
        <f>'2028'!O60</f>
        <v>5.0570146905133215E-2</v>
      </c>
      <c r="AH69" s="66">
        <f>'2028'!P60</f>
        <v>7.4291724234937869E-4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2.8691907916143067E-2</v>
      </c>
      <c r="C70" s="48">
        <f>'2023'!O88</f>
        <v>3.2642694026408035E-2</v>
      </c>
      <c r="D70" s="66">
        <f>'2023'!P88</f>
        <v>6.1787323873995924E-4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6.2095151713617347E-2</v>
      </c>
      <c r="AG70" s="48">
        <f>'2028'!O88</f>
        <v>5.1842130014426155E-2</v>
      </c>
      <c r="AH70" s="66">
        <f>'2028'!P88</f>
        <v>2.2467686061852275E-4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2.9268803895802109E-2</v>
      </c>
      <c r="C71" s="48">
        <f>'2023'!O119</f>
        <v>3.4674081320815849E-2</v>
      </c>
      <c r="D71" s="66">
        <f>'2023'!P119</f>
        <v>2.5859190563324002E-4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6.2652208265178033E-2</v>
      </c>
      <c r="AG71" s="48">
        <f>'2028'!O119</f>
        <v>5.3418397887657613E-2</v>
      </c>
      <c r="AH71" s="66">
        <f>'2028'!P119</f>
        <v>9.9232755686426752E-5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2.9826764086761326E-2</v>
      </c>
      <c r="C72" s="48">
        <f>'2023'!O149</f>
        <v>3.7003380994918247E-2</v>
      </c>
      <c r="D72" s="66">
        <f>'2023'!P149</f>
        <v>1.6738521547744994E-4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6.319098022900338E-2</v>
      </c>
      <c r="AG72" s="48">
        <f>'2028'!O149</f>
        <v>1.1367656421450618E-2</v>
      </c>
      <c r="AH72" s="66">
        <f>'2028'!P149</f>
        <v>6.6828634677601129E-5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3.0402986033157831E-2</v>
      </c>
      <c r="C73" s="48">
        <f>'2023'!O180</f>
        <v>3.9608860765209357E-2</v>
      </c>
      <c r="D73" s="66">
        <f>'2023'!P180</f>
        <v>1.3697323055610432E-4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6.3747385927276468E-2</v>
      </c>
      <c r="AG73" s="48">
        <f>'2028'!O180</f>
        <v>1.4181022545380678E-2</v>
      </c>
      <c r="AH73" s="66">
        <f>'2028'!P180</f>
        <v>5.3190502715767971E-5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3.0960294315036108E-2</v>
      </c>
      <c r="C74" s="48">
        <f>'2023'!O210</f>
        <v>4.1693970291908133E-2</v>
      </c>
      <c r="D74" s="66">
        <f>'2023'!P210</f>
        <v>2.1256889393379873E-4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6.4285528401146319E-2</v>
      </c>
      <c r="AG74" s="48">
        <f>'2028'!O210</f>
        <v>1.6748438593902806E-2</v>
      </c>
      <c r="AH74" s="66">
        <f>'2028'!P210</f>
        <v>9.1035190993096554E-5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3.1535843015696452E-2</v>
      </c>
      <c r="C75" s="48">
        <f>'2023'!O241</f>
        <v>4.3459256813992202E-2</v>
      </c>
      <c r="D75" s="66">
        <f>'2023'!P241</f>
        <v>4.3092182031703144E-4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6.4841284006575406E-2</v>
      </c>
      <c r="AG75" s="48">
        <f>'2028'!O241</f>
        <v>1.9210321453336596E-2</v>
      </c>
      <c r="AH75" s="66">
        <f>'2028'!P241</f>
        <v>1.927354567626213E-4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3.2111049876590081E-2</v>
      </c>
      <c r="C76" s="48">
        <f>'2023'!O272</f>
        <v>4.5026282353274015E-2</v>
      </c>
      <c r="D76" s="66">
        <f>'2023'!P272</f>
        <v>1.0258134982695955E-3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6.5396709528092845E-2</v>
      </c>
      <c r="AG76" s="48">
        <f>'2028'!O272</f>
        <v>2.153220182058618E-2</v>
      </c>
      <c r="AH76" s="66">
        <f>'2028'!P272</f>
        <v>4.5211422565575752E-4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3.2667376391701142E-2</v>
      </c>
      <c r="C77" s="48">
        <f>'2023'!O302</f>
        <v>4.6124474762222187E-2</v>
      </c>
      <c r="D77" s="66">
        <f>'2023'!P302</f>
        <v>3.0921783050808713E-3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6.5933903998112497E-2</v>
      </c>
      <c r="AG77" s="48">
        <f>'2028'!O302</f>
        <v>2.3516259488941569E-2</v>
      </c>
      <c r="AH77" s="66">
        <f>'2028'!P302</f>
        <v>1.317715478865202E-3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3.3241911192863349E-2</v>
      </c>
      <c r="C78" s="48">
        <f>'2023'!O333</f>
        <v>4.6748412914309576E-2</v>
      </c>
      <c r="D78" s="66">
        <f>'2023'!P333</f>
        <v>6.2275679887303466E-3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6.6488680572004077E-2</v>
      </c>
      <c r="AG78" s="48">
        <f>'2028'!O333</f>
        <v>2.5220901652986016E-2</v>
      </c>
      <c r="AH78" s="66">
        <f>'2028'!P333</f>
        <v>2.7072324096364137E-3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3.3797587707646293E-2</v>
      </c>
      <c r="C79" s="49">
        <f>'2023'!O363</f>
        <v>4.7679930394597683E-2</v>
      </c>
      <c r="D79" s="67">
        <f>'2023'!P363</f>
        <v>8.390674895492771E-3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6.7025247395179233E-2</v>
      </c>
      <c r="AG79" s="49">
        <f>'2028'!O363</f>
        <v>2.6970420075899761E-2</v>
      </c>
      <c r="AH79" s="67">
        <f>'2028'!P363</f>
        <v>4.0069757403960928E-3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YEAR(E6)</f>
        <v>2019</v>
      </c>
      <c r="K1" s="1279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265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3">
        <v>44926</v>
      </c>
      <c r="F3" s="1284"/>
      <c r="G3" s="605">
        <f>YEAR(Tmaj)</f>
        <v>2022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thickBot="1" x14ac:dyDescent="0.3">
      <c r="D4" s="105" t="s">
        <v>133</v>
      </c>
      <c r="E4" s="1285" t="s">
        <v>323</v>
      </c>
      <c r="F4" s="1286"/>
      <c r="G4" s="1286"/>
      <c r="H4" s="1286"/>
      <c r="I4" s="1287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3">
        <v>43481</v>
      </c>
      <c r="F5" s="1284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3">
        <v>43476</v>
      </c>
      <c r="F6" s="1284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10258.270000000002</v>
      </c>
      <c r="AK6" s="514">
        <f>SUMIF(AK15:AK380,"FAUX",Wh)</f>
        <v>10258.270000000002</v>
      </c>
      <c r="AL6" s="514">
        <f>SUMIF(AJ15:AJ380,"FAUX",Wh_s)</f>
        <v>10258.270000000002</v>
      </c>
      <c r="AM6" s="514">
        <f>SUMIF(AK15:AK380,"FAUX",Wh_s)</f>
        <v>10258.270000000002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6" t="s">
        <v>102</v>
      </c>
      <c r="Y8" s="1277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10293.377345778135</v>
      </c>
      <c r="AK8" s="514">
        <f>SUMIF(AK15:AK380,"FAUX",Wh_sa)</f>
        <v>10454.151360930353</v>
      </c>
      <c r="AL8" s="514">
        <f>SUMIF(AJ15:AJ380,"FAUX",Wh_pvt_s)</f>
        <v>10293.377345778135</v>
      </c>
      <c r="AM8" s="514">
        <f>SUMIF(AK15:AK380,"FAUX",Wh_sa_s)</f>
        <v>10454.151360930353</v>
      </c>
      <c r="AN8" s="820" t="s">
        <v>256</v>
      </c>
    </row>
    <row r="9" spans="1:40" s="19" customFormat="1" ht="15" customHeight="1" x14ac:dyDescent="0.25">
      <c r="A9" s="183"/>
      <c r="D9" s="73">
        <f>SUM(D$15:D$380)</f>
        <v>10293.377345778135</v>
      </c>
      <c r="E9" s="73">
        <f>SUM(E$15:E$380)</f>
        <v>10454.151360930353</v>
      </c>
      <c r="F9" s="73">
        <f>SUM(F$15:F$380)</f>
        <v>10454.766750172004</v>
      </c>
      <c r="H9" s="1280">
        <f>+SUM(Wh)</f>
        <v>10258.270000000002</v>
      </c>
      <c r="I9" s="1281"/>
      <c r="J9" s="1282"/>
      <c r="K9" s="191"/>
      <c r="L9" s="114"/>
      <c r="M9" s="114"/>
      <c r="N9" s="114"/>
      <c r="O9" s="324">
        <f>MAX(T0,Tnet_2019)</f>
        <v>43481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4">
        <f>+SUM(Wh_s)</f>
        <v>10258.270000000002</v>
      </c>
      <c r="Y9" s="1275"/>
      <c r="Z9" s="514">
        <f>SUM(Z$15:Z$380)</f>
        <v>10293.377345778135</v>
      </c>
      <c r="AA9" s="514">
        <f>SUM(AA$15:AA$380)</f>
        <v>10454.151360930353</v>
      </c>
      <c r="AB9" s="514">
        <f>F9</f>
        <v>10454.766750172004</v>
      </c>
      <c r="AC9" s="324">
        <f>IF(An_Tnet,Tnet,T0)</f>
        <v>43481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10454.151360930353</v>
      </c>
      <c r="AK10" s="514">
        <f>SUMIF(AK15:AK380,"FAUX",Wh_hp)</f>
        <v>10454.766750172004</v>
      </c>
      <c r="AL10" s="514">
        <f>SUMIF(AJ15:AJ380,"FAUX",Wh_sa_s)</f>
        <v>10454.151360930353</v>
      </c>
      <c r="AM10" s="514">
        <f>SUMIF(AK15:AK380,"FAUX",Wh_hp)</f>
        <v>10454.766750172004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35.107345778133094</v>
      </c>
      <c r="E11" s="218">
        <f>(E$9-D$9)*Prod_an/D$9</f>
        <v>160.22566753486308</v>
      </c>
      <c r="F11" s="219">
        <f>(F$9-E$9)*Prod_an/E$9</f>
        <v>0.60385858000374271</v>
      </c>
      <c r="G11" s="185" t="s">
        <v>6</v>
      </c>
      <c r="K11" s="194"/>
      <c r="L11" s="182">
        <f>Tvie_2019</f>
        <v>43481</v>
      </c>
      <c r="M11" s="831"/>
      <c r="N11" s="831"/>
      <c r="O11" s="317">
        <f>Salim_2019</f>
        <v>0.1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35.107345778133094</v>
      </c>
      <c r="Z11" s="51">
        <f>(AA$9-Z$9)*Prod_an_s/Z$9</f>
        <v>160.22566753486308</v>
      </c>
      <c r="AA11" s="186">
        <f>(AB$9-AA$9)*Prod_an_s/AA$9</f>
        <v>0.60385858000374271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3.1291800185761387E-2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160.22566753486308</v>
      </c>
      <c r="AK12" s="822">
        <f>IF($AK8=0,0,($AK10-$AK8)*$AK6/$AK8)</f>
        <v>0.60385858000374271</v>
      </c>
      <c r="AL12" s="821">
        <f>IF($AL8=0,0,($AL10-$AL8)*$AL6/$AL8)</f>
        <v>160.22566753486308</v>
      </c>
      <c r="AM12" s="822">
        <f>IF($AM8=0,0,($AM10-$AM8)*$AM6/$AM8)</f>
        <v>0.60385858000374271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160.22566753486308</v>
      </c>
      <c r="AK13" s="73">
        <f>+AK11+AK12</f>
        <v>0.60385858000374271</v>
      </c>
      <c r="AL13" s="73">
        <f>+AL11+AL12</f>
        <v>160.22566753486308</v>
      </c>
      <c r="AM13" s="73">
        <f>+AM11+AM12</f>
        <v>0.60385858000374271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206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1.8516552066306652E-9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25.018618251549075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1.8516552066306652E-9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4.5651007778837731E-8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25.174601492515322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4.5651007778837731E-8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8.8725201488858312E-8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25.340693976211895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8.8725201488858312E-8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1.3141304052316225E-7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25.51638132927096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1.3141304052316225E-7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1.7407842117838315E-7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25.701149181333957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1.7407842117838315E-7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2.1711054441215938E-7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25.894483154260282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2.1711054441215938E-7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2.609242375537569E-7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26.095868869910046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2.609242375537569E-7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3.0596040409811967E-7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26.304791951069429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3.0596040409811967E-7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3.5264393211867623E-7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26.523948318244525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3.5264393211867623E-7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4.0100659019948482E-7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26.755811064052672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4.0100659019948482E-7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4.5086525775856344E-7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26.99953157808778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4.5086525775856344E-7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5.0240729549172289E-7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27.254261245615417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5.0240729549172289E-7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5.5583456950997384E-7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27.519151445203097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5.5583456950997384E-7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6.1136380558712467E-7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27.79335356028735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6.1136380558712467E-7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6.6922702677487345E-7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28.076018969718046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6.6922702677487345E-7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7.2863003267357001E-7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28.366299082122644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7.2863003267357001E-7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1.9164771863366958E-5</v>
      </c>
      <c r="M31" s="842"/>
      <c r="N31" s="842"/>
      <c r="O31" s="323">
        <f t="shared" si="3"/>
        <v>9.1293501279315307E-5</v>
      </c>
      <c r="P31" s="169">
        <f>(INDEX(Models!$BJ31:$BT31,,T31)*(1-R31)+INDEX(Models!$BJ31:$BT31,,T31+1)*R31-ERP_i)*Q31*Ramure*Pc/MaxiM</f>
        <v>7.8788124965235689E-7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28.660179281325362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9.1293501279315307E-5</v>
      </c>
      <c r="AD31" s="169">
        <f>(INDEX(Models!$BJ31:$BT31,,AH31)*(1-AF31)+INDEX(Models!$BJ31:$BT31,,AH31+1)*AF31-ERP_i)*AE31*Ramure*Pc/MaxiM</f>
        <v>7.8788124965235689E-7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3.8329176438200996E-5</v>
      </c>
      <c r="M32" s="842"/>
      <c r="N32" s="842"/>
      <c r="O32" s="323">
        <f t="shared" si="3"/>
        <v>1.8250042900123481E-4</v>
      </c>
      <c r="P32" s="169">
        <f>(INDEX(Models!$BJ32:$BT32,,T32)*(1-R32)+INDEX(Models!$BJ32:$BT32,,T32+1)*R32-ERP_i)*Q32*Ramure*Pc/MaxiM</f>
        <v>8.4661659616561848E-7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28.959912708445561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1.8250042900123481E-4</v>
      </c>
      <c r="AD32" s="169">
        <f>(INDEX(Models!$BJ32:$BT32,,AH32)*(1-AF32)+INDEX(Models!$BJ32:$BT32,,AH32+1)*AF32-ERP_i)*AE32*Ramure*Pc/MaxiM</f>
        <v>8.4661659616561848E-7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5.749321373160754E-5</v>
      </c>
      <c r="M33" s="842"/>
      <c r="N33" s="842"/>
      <c r="O33" s="323">
        <f t="shared" si="3"/>
        <v>2.7362121190877215E-4</v>
      </c>
      <c r="P33" s="169">
        <f>(INDEX(Models!$BJ33:$BT33,,T33)*(1-R33)+INDEX(Models!$BJ33:$BT33,,T33+1)*R33-ERP_i)*Q33*Ramure*Pc/MaxiM</f>
        <v>9.0445983687129819E-7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29.26464915783362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2.7362121190877215E-4</v>
      </c>
      <c r="AD33" s="169">
        <f>(INDEX(Models!$BJ33:$BT33,,AH33)*(1-AF33)+INDEX(Models!$BJ33:$BT33,,AH33+1)*AF33-ERP_i)*AE33*Ramure*Pc/MaxiM</f>
        <v>9.0445983687129819E-7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7.6656883750580995E-5</v>
      </c>
      <c r="M34" s="842"/>
      <c r="N34" s="842"/>
      <c r="O34" s="323">
        <f t="shared" si="3"/>
        <v>3.6465629537574127E-4</v>
      </c>
      <c r="P34" s="169">
        <f>(INDEX(Models!$BJ34:$BT34,,T34)*(1-R34)+INDEX(Models!$BJ34:$BT34,,T34+1)*R34-ERP_i)*Q34*Ramure*Pc/MaxiM</f>
        <v>9.6102658774587707E-7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29.573538799464682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3.6465629537574127E-4</v>
      </c>
      <c r="AD34" s="169">
        <f>(INDEX(Models!$BJ34:$BT34,,AH34)*(1-AF34)+INDEX(Models!$BJ34:$BT34,,AH34+1)*AF34-ERP_i)*AE34*Ramure*Pc/MaxiM</f>
        <v>9.6102658774587707E-7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9.582018650222679E-5</v>
      </c>
      <c r="M35" s="842"/>
      <c r="N35" s="842"/>
      <c r="O35" s="323">
        <f t="shared" si="3"/>
        <v>4.556061415582823E-4</v>
      </c>
      <c r="P35" s="169">
        <f>(INDEX(Models!$BJ35:$BT35,,T35)*(1-R35)+INDEX(Models!$BJ35:$BT35,,T35+1)*R35-ERP_i)*Q35*Ramure*Pc/MaxiM</f>
        <v>1.0159211319353825E-6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29.885732173987371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4.556061415582823E-4</v>
      </c>
      <c r="AD35" s="169">
        <f>(INDEX(Models!$BJ35:$BT35,,AH35)*(1-AF35)+INDEX(Models!$BJ35:$BT35,,AH35+1)*AF35-ERP_i)*AE35*Ramure*Pc/MaxiM</f>
        <v>1.0159211319353825E-6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1.1498312199365035E-4</v>
      </c>
      <c r="M36" s="842"/>
      <c r="N36" s="842"/>
      <c r="O36" s="323">
        <f t="shared" si="3"/>
        <v>5.4647122854590289E-4</v>
      </c>
      <c r="P36" s="169">
        <f>(INDEX(Models!$BJ36:$BT36,,T36)*(1-R36)+INDEX(Models!$BJ36:$BT36,,T36+1)*R36-ERP_i)*Q36*Ramure*Pc/MaxiM</f>
        <v>1.0687278026378978E-6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30.200380206696568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5.4647122854590289E-4</v>
      </c>
      <c r="AD36" s="169">
        <f>(INDEX(Models!$BJ36:$BT36,,AH36)*(1-AF36)+INDEX(Models!$BJ36:$BT36,,AH36+1)*AF36-ERP_i)*AE36*Ramure*Pc/MaxiM</f>
        <v>1.0687278026378978E-6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1.3414569023162404E-4</v>
      </c>
      <c r="M37" s="842"/>
      <c r="N37" s="842"/>
      <c r="O37" s="323">
        <f t="shared" si="3"/>
        <v>6.3725204859682333E-4</v>
      </c>
      <c r="P37" s="169">
        <f>(INDEX(Models!$BJ37:$BT37,,T37)*(1-R37)+INDEX(Models!$BJ37:$BT37,,T37+1)*R37-ERP_i)*Q37*Ramure*Pc/MaxiM</f>
        <v>1.1188562578825868E-6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30.520892884718513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6.3725204859682333E-4</v>
      </c>
      <c r="AD37" s="169">
        <f>(INDEX(Models!$BJ37:$BT37,,AH37)*(1-AF37)+INDEX(Models!$BJ37:$BT37,,AH37+1)*AF37-ERP_i)*AE37*Ramure*Pc/MaxiM</f>
        <v>1.1188562578825868E-6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1.5330789122347532E-4</v>
      </c>
      <c r="M38" s="842"/>
      <c r="N38" s="842"/>
      <c r="O38" s="323">
        <f t="shared" si="3"/>
        <v>7.2794910555262771E-4</v>
      </c>
      <c r="P38" s="169">
        <f>(INDEX(Models!$BJ38:$BT38,,T38)*(1-R38)+INDEX(Models!$BJ38:$BT38,,T38+1)*R38-ERP_i)*Q38*Ramure*Pc/MaxiM</f>
        <v>1.1663158923168083E-6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30.850585898067663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7.2794910555262771E-4</v>
      </c>
      <c r="AD38" s="169">
        <f>(INDEX(Models!$BJ38:$BT38,,AH38)*(1-AF38)+INDEX(Models!$BJ38:$BT38,,AH38+1)*AF38-ERP_i)*AE38*Ramure*Pc/MaxiM</f>
        <v>1.1663158923168083E-6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1.7246972497597657E-4</v>
      </c>
      <c r="M39" s="842"/>
      <c r="N39" s="842"/>
      <c r="O39" s="323">
        <f t="shared" si="3"/>
        <v>8.1856291153689458E-4</v>
      </c>
      <c r="P39" s="169">
        <f>(INDEX(Models!$BJ39:$BT39,,T39)*(1-R39)+INDEX(Models!$BJ39:$BT39,,T39+1)*R39-ERP_i)*Q39*Ramure*Pc/MaxiM</f>
        <v>1.2120042827731872E-6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31.188469321405812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8.1856291153689458E-4</v>
      </c>
      <c r="AD39" s="169">
        <f>(INDEX(Models!$BJ39:$BT39,,AH39)*(1-AF39)+INDEX(Models!$BJ39:$BT39,,AH39+1)*AF39-ERP_i)*AE39*Ramure*Pc/MaxiM</f>
        <v>1.2120042827731872E-6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1.9163119149645524E-4</v>
      </c>
      <c r="M40" s="842"/>
      <c r="N40" s="842"/>
      <c r="O40" s="323">
        <f t="shared" si="3"/>
        <v>9.0909398304914071E-4</v>
      </c>
      <c r="P40" s="169">
        <f>(INDEX(Models!$BJ40:$BT40,,T40)*(1-R40)+INDEX(Models!$BJ40:$BT40,,T40+1)*R40-ERP_i)*Q40*Ramure*Pc/MaxiM</f>
        <v>1.2557306511299889E-6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31.533553699747994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9.0909398304914071E-4</v>
      </c>
      <c r="AD40" s="169">
        <f>(INDEX(Models!$BJ40:$BT40,,AH40)*(1-AF40)+INDEX(Models!$BJ40:$BT40,,AH40+1)*AF40-ERP_i)*AE40*Ramure*Pc/MaxiM</f>
        <v>1.2557306511299889E-6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2.1079229079168371E-4</v>
      </c>
      <c r="M41" s="842"/>
      <c r="N41" s="842"/>
      <c r="O41" s="323">
        <f t="shared" si="3"/>
        <v>9.9954283657203275E-4</v>
      </c>
      <c r="P41" s="169">
        <f>(INDEX(Models!$BJ41:$BT41,,T41)*(1-R41)+INDEX(Models!$BJ41:$BT41,,T41+1)*R41-ERP_i)*Q41*Ramure*Pc/MaxiM</f>
        <v>1.2972985514803386E-6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31.884850013424042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9.9954283657203275E-4</v>
      </c>
      <c r="AD41" s="169">
        <f>(INDEX(Models!$BJ41:$BT41,,AH41)*(1-AF41)+INDEX(Models!$BJ41:$BT41,,AH41+1)*AF41-ERP_i)*AE41*Ramure*Pc/MaxiM</f>
        <v>1.2972985514803386E-6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2.2995302286887842E-4</v>
      </c>
      <c r="M42" s="842"/>
      <c r="N42" s="842"/>
      <c r="O42" s="323">
        <f t="shared" si="3"/>
        <v>1.0899099838131809E-3</v>
      </c>
      <c r="P42" s="169">
        <f>(INDEX(Models!$BJ42:$BT42,,T42)*(1-R42)+INDEX(Models!$BJ42:$BT42,,T42+1)*R42-ERP_i)*Q42*Ramure*Pc/MaxiM</f>
        <v>1.3365043223902658E-6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32.241369683337041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1.0899099838131809E-3</v>
      </c>
      <c r="AD42" s="169">
        <f>(INDEX(Models!$BJ42:$BT42,,AH42)*(1-AF42)+INDEX(Models!$BJ42:$BT42,,AH42+1)*AF42-ERP_i)*AE42*Ramure*Pc/MaxiM</f>
        <v>1.3365043223902658E-6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2.4911338773492275E-4</v>
      </c>
      <c r="M43" s="842"/>
      <c r="N43" s="842"/>
      <c r="O43" s="323">
        <f t="shared" si="3"/>
        <v>1.1801959267056545E-3</v>
      </c>
      <c r="P43" s="169">
        <f>(INDEX(Models!$BJ43:$BT43,,T43)*(1-R43)+INDEX(Models!$BJ43:$BT43,,T43+1)*R43-ERP_i)*Q43*Ramure*Pc/MaxiM</f>
        <v>1.3731354380692626E-6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32.602124561914685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1.1801959267056545E-3</v>
      </c>
      <c r="AD43" s="169">
        <f>(INDEX(Models!$BJ43:$BT43,,AH43)*(1-AF43)+INDEX(Models!$BJ43:$BT43,,AH43+1)*AF43-ERP_i)*AE43*Ramure*Pc/MaxiM</f>
        <v>1.3731354380692626E-6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2.6827338539703316E-4</v>
      </c>
      <c r="M44" s="842"/>
      <c r="N44" s="842"/>
      <c r="O44" s="323">
        <f t="shared" si="3"/>
        <v>1.2704011522918644E-3</v>
      </c>
      <c r="P44" s="169">
        <f>(INDEX(Models!$BJ44:$BT44,,T44)*(1-R44)+INDEX(Models!$BJ44:$BT44,,T44+1)*R44-ERP_i)*Q44*Ramure*Pc/MaxiM</f>
        <v>1.4071691221389143E-6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32.966126932102121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1.2704011522918644E-3</v>
      </c>
      <c r="AD44" s="169">
        <f>(INDEX(Models!$BJ44:$BT44,,AH44)*(1-AF44)+INDEX(Models!$BJ44:$BT44,,AH44+1)*AF44-ERP_i)*AE44*Ramure*Pc/MaxiM</f>
        <v>1.4071691221389143E-6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2.8743301586220404E-4</v>
      </c>
      <c r="M45" s="842"/>
      <c r="N45" s="842"/>
      <c r="O45" s="323">
        <f t="shared" si="3"/>
        <v>1.3605261276143068E-3</v>
      </c>
      <c r="P45" s="169">
        <f>(INDEX(Models!$BJ45:$BT45,,T45)*(1-R45)+INDEX(Models!$BJ45:$BT45,,T45+1)*R45-ERP_i)*Q45*Ramure*Pc/MaxiM</f>
        <v>1.4409125062373904E-6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33.332389435145735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1.3605261276143068E-3</v>
      </c>
      <c r="AD45" s="169">
        <f>(INDEX(Models!$BJ45:$BT45,,AH45)*(1-AF45)+INDEX(Models!$BJ45:$BT45,,AH45+1)*AF45-ERP_i)*AE45*Ramure*Pc/MaxiM</f>
        <v>1.4409125062373904E-6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3.0659227913731879E-4</v>
      </c>
      <c r="M46" s="842"/>
      <c r="N46" s="842"/>
      <c r="O46" s="323">
        <f t="shared" si="3"/>
        <v>1.4505712947342215E-3</v>
      </c>
      <c r="P46" s="169">
        <f>(INDEX(Models!$BJ46:$BT46,,T46)*(1-R46)+INDEX(Models!$BJ46:$BT46,,T46+1)*R46-ERP_i)*Q46*Ramure*Pc/MaxiM</f>
        <v>1.474503041462885E-6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33.699925211157385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1.4505712947342215E-3</v>
      </c>
      <c r="AD46" s="169">
        <f>(INDEX(Models!$BJ46:$BT46,,AH46)*(1-AF46)+INDEX(Models!$BJ46:$BT46,,AH46+1)*AF46-ERP_i)*AE46*Ramure*Pc/MaxiM</f>
        <v>1.474503041462885E-6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3.2575117522959385E-4</v>
      </c>
      <c r="M47" s="842"/>
      <c r="N47" s="842"/>
      <c r="O47" s="323">
        <f t="shared" si="3"/>
        <v>1.540537065994793E-3</v>
      </c>
      <c r="P47" s="169">
        <f>(INDEX(Models!$BJ47:$BT47,,T47)*(1-R47)+INDEX(Models!$BJ47:$BT47,,T47+1)*R47-ERP_i)*Q47*Ramure*Pc/MaxiM</f>
        <v>1.5080842562707391E-6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34.067747837007737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1.540537065994793E-3</v>
      </c>
      <c r="AD47" s="169">
        <f>(INDEX(Models!$BJ47:$BT47,,AH47)*(1-AF47)+INDEX(Models!$BJ47:$BT47,,AH47+1)*AF47-ERP_i)*AE47*Ramure*Pc/MaxiM</f>
        <v>1.5080842562707391E-6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3.4490970414602362E-4</v>
      </c>
      <c r="M48" s="842"/>
      <c r="N48" s="842"/>
      <c r="O48" s="323">
        <f t="shared" si="3"/>
        <v>1.630423819640057E-3</v>
      </c>
      <c r="P48" s="169">
        <f>(INDEX(Models!$BJ48:$BT48,,T48)*(1-R48)+INDEX(Models!$BJ48:$BT48,,T48+1)*R48-ERP_i)*Q48*Ramure*Pc/MaxiM</f>
        <v>1.5418059833522579E-6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34.434871317767637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1.630423819640057E-3</v>
      </c>
      <c r="AD48" s="169">
        <f>(INDEX(Models!$BJ48:$BT48,,AH48)*(1-AF48)+INDEX(Models!$BJ48:$BT48,,AH48+1)*AF48-ERP_i)*AE48*Ramure*Pc/MaxiM</f>
        <v>1.5418059833522579E-6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3.6406786589349149E-4</v>
      </c>
      <c r="M49" s="842"/>
      <c r="N49" s="842"/>
      <c r="O49" s="323">
        <f t="shared" si="3"/>
        <v>1.7202318958932413E-3</v>
      </c>
      <c r="P49" s="169">
        <f>(INDEX(Models!$BJ49:$BT49,,T49)*(1-R49)+INDEX(Models!$BJ49:$BT49,,T49+1)*R49-ERP_i)*Q49*Ramure*Pc/MaxiM</f>
        <v>1.575824703495928E-6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34.800310090860819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1.7202318958932413E-3</v>
      </c>
      <c r="AD49" s="169">
        <f>(INDEX(Models!$BJ49:$BT49,,AH49)*(1-AF49)+INDEX(Models!$BJ49:$BT49,,AH49+1)*AF49-ERP_i)*AE49*Ramure*Pc/MaxiM</f>
        <v>1.575824703495928E-6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3.8322566047921391E-4</v>
      </c>
      <c r="M50" s="842"/>
      <c r="N50" s="842"/>
      <c r="O50" s="323">
        <f t="shared" si="3"/>
        <v>1.8099615935904126E-3</v>
      </c>
      <c r="P50" s="169">
        <f>(INDEX(Models!$BJ50:$BT50,,T50)*(1-R50)+INDEX(Models!$BJ50:$BT50,,T50+1)*R50-ERP_i)*Q50*Ramure*Pc/MaxiM</f>
        <v>1.6103040080393987E-6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35.163079024047754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1.8099615935904126E-3</v>
      </c>
      <c r="AD50" s="169">
        <f>(INDEX(Models!$BJ50:$BT50,,AH50)*(1-AF50)+INDEX(Models!$BJ50:$BT50,,AH50+1)*AF50-ERP_i)*AE50*Ramure*Pc/MaxiM</f>
        <v>1.6103040080393987E-6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4.0238308791029631E-4</v>
      </c>
      <c r="M51" s="842"/>
      <c r="N51" s="842"/>
      <c r="O51" s="323">
        <f t="shared" si="3"/>
        <v>1.8996131674554461E-3</v>
      </c>
      <c r="P51" s="169">
        <f>(INDEX(Models!$BJ51:$BT51,,T51)*(1-R51)+INDEX(Models!$BJ51:$BT51,,T51+1)*R51-ERP_i)*Q51*Ramure*Pc/MaxiM</f>
        <v>1.6452900621698505E-6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35.524894763722145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1.8996131674554461E-3</v>
      </c>
      <c r="AD51" s="169">
        <f>(INDEX(Models!$BJ51:$BT51,,AH51)*(1-AF51)+INDEX(Models!$BJ51:$BT51,,AH51+1)*AF51-ERP_i)*AE51*Ramure*Pc/MaxiM</f>
        <v>1.6452900621698505E-6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4.2154014819351104E-4</v>
      </c>
      <c r="M52" s="842"/>
      <c r="N52" s="842"/>
      <c r="O52" s="323">
        <f t="shared" si="3"/>
        <v>1.989186826092248E-3</v>
      </c>
      <c r="P52" s="169">
        <f>(INDEX(Models!$BJ52:$BT52,,T52)*(1-R52)+INDEX(Models!$BJ52:$BT52,,T52+1)*R52-ERP_i)*Q52*Ramure*Pc/MaxiM</f>
        <v>1.6807531285386279E-6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35.888057222709477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1.989186826092248E-3</v>
      </c>
      <c r="AD52" s="169">
        <f>(INDEX(Models!$BJ52:$BT52,,AH52)*(1-AF52)+INDEX(Models!$BJ52:$BT52,,AH52+1)*AF52-ERP_i)*AE52*Ramure*Pc/MaxiM</f>
        <v>1.6807531285386279E-6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4.4069684133607456E-4</v>
      </c>
      <c r="M53" s="842"/>
      <c r="N53" s="842"/>
      <c r="O53" s="323">
        <f t="shared" si="3"/>
        <v>2.0786827307586434E-3</v>
      </c>
      <c r="P53" s="169">
        <f>(INDEX(Models!$BJ53:$BT53,,T53)*(1-R53)+INDEX(Models!$BJ53:$BT53,,T53+1)*R53-ERP_i)*Q53*Ramure*Pc/MaxiM</f>
        <v>1.7155333965010911E-6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36.252456571201733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2.0786827307586434E-3</v>
      </c>
      <c r="AD53" s="169">
        <f>(INDEX(Models!$BJ53:$BT53,,AH53)*(1-AF53)+INDEX(Models!$BJ53:$BT53,,AH53+1)*AF53-ERP_i)*AE53*Ramure*Pc/MaxiM</f>
        <v>1.7155333965010911E-6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4.5985316734498127E-4</v>
      </c>
      <c r="M54" s="842"/>
      <c r="N54" s="842"/>
      <c r="O54" s="323">
        <f t="shared" si="3"/>
        <v>2.168100994974719E-3</v>
      </c>
      <c r="P54" s="169">
        <f>(INDEX(Models!$BJ54:$BT54,,T54)*(1-R54)+INDEX(Models!$BJ54:$BT54,,T54+1)*R54-ERP_i)*Q54*Ramure*Pc/MaxiM</f>
        <v>1.7496049551329137E-6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36.617982989499041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2.168100994974719E-3</v>
      </c>
      <c r="AD54" s="169">
        <f>(INDEX(Models!$BJ54:$BT54,,AH54)*(1-AF54)+INDEX(Models!$BJ54:$BT54,,AH54+1)*AF54-ERP_i)*AE54*Ramure*Pc/MaxiM</f>
        <v>1.7496049551329137E-6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4.7900912622722558E-4</v>
      </c>
      <c r="M55" s="842"/>
      <c r="N55" s="842"/>
      <c r="O55" s="323">
        <f t="shared" si="3"/>
        <v>2.2574416850058465E-3</v>
      </c>
      <c r="P55" s="169">
        <f>(INDEX(Models!$BJ55:$BT55,,T55)*(1-R55)+INDEX(Models!$BJ55:$BT55,,T55+1)*R55-ERP_i)*Q55*Ramure*Pc/MaxiM</f>
        <v>1.7829394327040369E-6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36.984526707665466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2.2574416850058465E-3</v>
      </c>
      <c r="AD55" s="169">
        <f>(INDEX(Models!$BJ55:$BT55,,AH55)*(1-AF55)+INDEX(Models!$BJ55:$BT55,,AH55+1)*AF55-ERP_i)*AE55*Ramure*Pc/MaxiM</f>
        <v>1.7829394327040369E-6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4.9816471799002393E-4</v>
      </c>
      <c r="M56" s="842"/>
      <c r="N56" s="842"/>
      <c r="O56" s="323">
        <f t="shared" si="3"/>
        <v>2.3467048212479943E-3</v>
      </c>
      <c r="P56" s="169">
        <f>(INDEX(Models!$BJ56:$BT56,,T56)*(1-R56)+INDEX(Models!$BJ56:$BT56,,T56+1)*R56-ERP_i)*Q56*Ramure*Pc/MaxiM</f>
        <v>1.8155059310331036E-6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37.351978005978353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2.3467048212479943E-3</v>
      </c>
      <c r="AD56" s="169">
        <f>(INDEX(Models!$BJ56:$BT56,,AH56)*(1-AF56)+INDEX(Models!$BJ56:$BT56,,AH56+1)*AF56-ERP_i)*AE56*Ramure*Pc/MaxiM</f>
        <v>1.8155059310331036E-6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5.1731994264014869E-4</v>
      </c>
      <c r="M57" s="842"/>
      <c r="N57" s="842"/>
      <c r="O57" s="323">
        <f t="shared" si="3"/>
        <v>2.4358903805301139E-3</v>
      </c>
      <c r="P57" s="169">
        <f>(INDEX(Models!$BJ57:$BT57,,T57)*(1-R57)+INDEX(Models!$BJ57:$BT57,,T57+1)*R57-ERP_i)*Q57*Ramure*Pc/MaxiM</f>
        <v>1.8472709658356803E-6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37.720227214544551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2.4358903805301139E-3</v>
      </c>
      <c r="AD57" s="169">
        <f>(INDEX(Models!$BJ57:$BT57,,AH57)*(1-AF57)+INDEX(Models!$BJ57:$BT57,,AH57+1)*AF57-ERP_i)*AE57*Ramure*Pc/MaxiM</f>
        <v>1.8472709658356803E-6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5.364748001848163E-4</v>
      </c>
      <c r="M58" s="842"/>
      <c r="N58" s="842"/>
      <c r="O58" s="323">
        <f t="shared" si="3"/>
        <v>2.5249982993354597E-3</v>
      </c>
      <c r="P58" s="169">
        <f>(INDEX(Models!$BJ58:$BT58,,T58)*(1-R58)+INDEX(Models!$BJ58:$BT58,,T58+1)*R58-ERP_i)*Q58*Ramure*Pc/MaxiM</f>
        <v>1.8773377857463105E-6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38.089164745538142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2.5249982993354597E-3</v>
      </c>
      <c r="AD58" s="169">
        <f>(INDEX(Models!$BJ58:$BT58,,AH58)*(1-AF58)+INDEX(Models!$BJ58:$BT58,,AH58+1)*AF58-ERP_i)*AE58*Ramure*Pc/MaxiM</f>
        <v>1.8773377857463105E-6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5.5562929063102118E-4</v>
      </c>
      <c r="M59" s="842"/>
      <c r="N59" s="842"/>
      <c r="O59" s="323">
        <f t="shared" si="3"/>
        <v>2.6140284779312406E-3</v>
      </c>
      <c r="P59" s="169">
        <f>(INDEX(Models!$BJ59:$BT59,,T59)*(1-R59)+INDEX(Models!$BJ59:$BT59,,T59+1)*R59-ERP_i)*Q59*Ramure*Pc/MaxiM</f>
        <v>1.9051832130619105E-6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38.458681048261731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2.6140284779312406E-3</v>
      </c>
      <c r="AD59" s="169">
        <f>(INDEX(Models!$BJ59:$BT59,,AH59)*(1-AF59)+INDEX(Models!$BJ59:$BT59,,AH59+1)*AF59-ERP_i)*AE59*Ramure*Pc/MaxiM</f>
        <v>1.9051832130619105E-6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5.7478341398575772E-4</v>
      </c>
      <c r="M60" s="842"/>
      <c r="N60" s="842"/>
      <c r="O60" s="323">
        <f t="shared" si="3"/>
        <v>2.7029807853834751E-3</v>
      </c>
      <c r="P60" s="169">
        <f>(INDEX(Models!$BJ60:$BT60,,T60)*(1-R60)+INDEX(Models!$BJ60:$BT60,,T60+1)*R60-ERP_i)*Q60*Ramure*Pc/MaxiM</f>
        <v>1.9306096186591396E-6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38.828666608329492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2.7029807853834751E-3</v>
      </c>
      <c r="AD60" s="169">
        <f>(INDEX(Models!$BJ60:$BT60,,AH60)*(1-AF60)+INDEX(Models!$BJ60:$BT60,,AH60+1)*AF60-ERP_i)*AE60*Ramure*Pc/MaxiM</f>
        <v>1.9306096186591396E-6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5.9393717025602033E-4</v>
      </c>
      <c r="M61" s="842"/>
      <c r="N61" s="842"/>
      <c r="O61" s="323">
        <f t="shared" si="3"/>
        <v>2.7918550654223695E-3</v>
      </c>
      <c r="P61" s="169">
        <f>(INDEX(Models!$BJ61:$BT61,,T61)*(1-R61)+INDEX(Models!$BJ61:$BT61,,T61+1)*R61-ERP_i)*Q61*Ramure*Pc/MaxiM</f>
        <v>1.9534066853118773E-6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39.199011961912262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2.7918550654223695E-3</v>
      </c>
      <c r="AD61" s="169">
        <f>(INDEX(Models!$BJ61:$BT61,,AH61)*(1-AF61)+INDEX(Models!$BJ61:$BT61,,AH61+1)*AF61-ERP_i)*AE61*Ramure*Pc/MaxiM</f>
        <v>1.9534066853118773E-6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6.1309055944902546E-4</v>
      </c>
      <c r="M62" s="842"/>
      <c r="N62" s="842"/>
      <c r="O62" s="323">
        <f t="shared" si="3"/>
        <v>2.8806511431122834E-3</v>
      </c>
      <c r="P62" s="169">
        <f>(INDEX(Models!$BJ62:$BT62,,T62)*(1-R62)+INDEX(Models!$BJ62:$BT62,,T62+1)*R62-ERP_i)*Q62*Ramure*Pc/MaxiM</f>
        <v>1.9733507369753094E-6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39.56960769404045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2.8806511431122834E-3</v>
      </c>
      <c r="AD62" s="169">
        <f>(INDEX(Models!$BJ62:$BT62,,AH62)*(1-AF62)+INDEX(Models!$BJ62:$BT62,,AH62+1)*AF62-ERP_i)*AE62*Ramure*Pc/MaxiM</f>
        <v>1.9733507369753094E-6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6.322435815716565E-4</v>
      </c>
      <c r="M63" s="842"/>
      <c r="N63" s="842"/>
      <c r="O63" s="323">
        <f t="shared" si="3"/>
        <v>2.9693688322700224E-3</v>
      </c>
      <c r="P63" s="169">
        <f>(INDEX(Models!$BJ63:$BT63,,T63)*(1-R63)+INDEX(Models!$BJ63:$BT63,,T63+1)*R63-ERP_i)*Q63*Ramure*Pc/MaxiM</f>
        <v>1.9902040290810879E-6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39.940344439490133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2.9693688322700224E-3</v>
      </c>
      <c r="AD63" s="169">
        <f>(INDEX(Models!$BJ63:$BT63,,AH63)*(1-AF63)+INDEX(Models!$BJ63:$BT63,,AH63+1)*AF63-ERP_i)*AE63*Ramure*Pc/MaxiM</f>
        <v>1.9902040290810879E-6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6.5139623663101887E-4</v>
      </c>
      <c r="M64" s="842"/>
      <c r="N64" s="842"/>
      <c r="O64" s="323">
        <f t="shared" si="3"/>
        <v>3.0580079435656203E-3</v>
      </c>
      <c r="P64" s="169">
        <f>(INDEX(Models!$BJ64:$BT64,,T64)*(1-R64)+INDEX(Models!$BJ64:$BT64,,T64+1)*R64-ERP_i)*Q64*Ramure*Pc/MaxiM</f>
        <v>2.003713994877317E-6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40.311112881148084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3.0580079435656203E-3</v>
      </c>
      <c r="AD64" s="169">
        <f>(INDEX(Models!$BJ64:$BT64,,AH64)*(1-AF64)+INDEX(Models!$BJ64:$BT64,,AH64+1)*AF64-ERP_i)*AE64*Ramure*Pc/MaxiM</f>
        <v>2.003713994877317E-6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6.7054852463410697E-4</v>
      </c>
      <c r="M65" s="842"/>
      <c r="N65" s="842"/>
      <c r="O65" s="323">
        <f t="shared" si="3"/>
        <v>3.1465682932316158E-3</v>
      </c>
      <c r="P65" s="169">
        <f>(INDEX(Models!$BJ65:$BT65,,T65)*(1-R65)+INDEX(Models!$BJ65:$BT65,,T65+1)*R65-ERP_i)*Q65*Ramure*Pc/MaxiM</f>
        <v>2.0135989109572528E-6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40.68207712091013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3.1465682932316158E-3</v>
      </c>
      <c r="AD65" s="169">
        <f>(INDEX(Models!$BJ65:$BT65,,AH65)*(1-AF65)+INDEX(Models!$BJ65:$BT65,,AH65+1)*AF65-ERP_i)*AE65*Ramure*Pc/MaxiM</f>
        <v>2.0135989109572528E-6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6.8970044558791521E-4</v>
      </c>
      <c r="M66" s="842"/>
      <c r="N66" s="842"/>
      <c r="O66" s="323">
        <f t="shared" si="3"/>
        <v>3.2350497122991375E-3</v>
      </c>
      <c r="P66" s="169">
        <f>(INDEX(Models!$BJ66:$BT66,,T66)*(1-R66)+INDEX(Models!$BJ66:$BT66,,T66+1)*R66-ERP_i)*Q66*Ramure*Pc/MaxiM</f>
        <v>2.0204561583494849E-6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41.053474044070121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3.2350497122991375E-3</v>
      </c>
      <c r="AD66" s="169">
        <f>(INDEX(Models!$BJ66:$BT66,,AH66)*(1-AF66)+INDEX(Models!$BJ66:$BT66,,AH66+1)*AF66-ERP_i)*AE66*Ramure*Pc/MaxiM</f>
        <v>2.0204561583494849E-6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7.0885199949954902E-4</v>
      </c>
      <c r="M67" s="842"/>
      <c r="N67" s="842"/>
      <c r="O67" s="323">
        <f t="shared" si="3"/>
        <v>3.3234520562730745E-3</v>
      </c>
      <c r="P67" s="169">
        <f>(INDEX(Models!$BJ67:$BT67,,T67)*(1-R67)+INDEX(Models!$BJ67:$BT67,,T67+1)*R67-ERP_i)*Q67*Ramure*Pc/MaxiM</f>
        <v>2.024163270389885E-6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41.425303593332941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3.3234520562730745E-3</v>
      </c>
      <c r="AD67" s="169">
        <f>(INDEX(Models!$BJ67:$BT67,,AH67)*(1-AF67)+INDEX(Models!$BJ67:$BT67,,AH67+1)*AF67-ERP_i)*AE67*Ramure*Pc/MaxiM</f>
        <v>2.024163270389885E-6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7.2800318637600281E-4</v>
      </c>
      <c r="M68" s="842"/>
      <c r="N68" s="842"/>
      <c r="O68" s="323">
        <f t="shared" si="3"/>
        <v>3.4117752151536949E-3</v>
      </c>
      <c r="P68" s="169">
        <f>(INDEX(Models!$BJ68:$BT68,,T68)*(1-R68)+INDEX(Models!$BJ68:$BT68,,T68+1)*R68-ERP_i)*Q68*Ramure*Pc/MaxiM</f>
        <v>2.0245025354868566E-6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41.797565714553059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3.4117752151536949E-3</v>
      </c>
      <c r="AD68" s="169">
        <f>(INDEX(Models!$BJ68:$BT68,,AH68)*(1-AF68)+INDEX(Models!$BJ68:$BT68,,AH68+1)*AF68-ERP_i)*AE68*Ramure*Pc/MaxiM</f>
        <v>2.0245025354868566E-6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7.4715400622438199E-4</v>
      </c>
      <c r="M69" s="842"/>
      <c r="N69" s="842"/>
      <c r="O69" s="323">
        <f t="shared" si="3"/>
        <v>3.5000191237083986E-3</v>
      </c>
      <c r="P69" s="169">
        <f>(INDEX(Models!$BJ69:$BT69,,T69)*(1-R69)+INDEX(Models!$BJ69:$BT69,,T69+1)*R69-ERP_i)*Q69*Ramure*Pc/MaxiM</f>
        <v>2.0212555274363941E-6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42.170260352142314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3.5000191237083986E-3</v>
      </c>
      <c r="AD69" s="169">
        <f>(INDEX(Models!$BJ69:$BT69,,AH69)*(1-AF69)+INDEX(Models!$BJ69:$BT69,,AH69+1)*AF69-ERP_i)*AE69*Ramure*Pc/MaxiM</f>
        <v>2.0212555274363941E-6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7.6630445905168099E-4</v>
      </c>
      <c r="M70" s="842"/>
      <c r="N70" s="842"/>
      <c r="O70" s="323">
        <f t="shared" si="3"/>
        <v>3.5881837718946675E-3</v>
      </c>
      <c r="P70" s="169">
        <f>(INDEX(Models!$BJ70:$BT70,,T70)*(1-R70)+INDEX(Models!$BJ70:$BT70,,T70+1)*R70-ERP_i)*Q70*Ramure*Pc/MaxiM</f>
        <v>2.0141926855285809E-6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42.543387449721628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3.5881837718946675E-3</v>
      </c>
      <c r="AD70" s="169">
        <f>(INDEX(Models!$BJ70:$BT70,,AH70)*(1-AF70)+INDEX(Models!$BJ70:$BT70,,AH70+1)*AF70-ERP_i)*AE70*Ramure*Pc/MaxiM</f>
        <v>2.0141926855285809E-6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7.8545454486489419E-4</v>
      </c>
      <c r="M71" s="842"/>
      <c r="N71" s="842"/>
      <c r="O71" s="323">
        <f t="shared" si="3"/>
        <v>3.6762692153344072E-3</v>
      </c>
      <c r="P71" s="169">
        <f>(INDEX(Models!$BJ71:$BT71,,T71)*(1-R71)+INDEX(Models!$BJ71:$BT71,,T71+1)*R71-ERP_i)*Q71*Ramure*Pc/MaxiM</f>
        <v>2.0030728355403047E-6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42.916946948813049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3.6762692153344072E-3</v>
      </c>
      <c r="AD71" s="169">
        <f>(INDEX(Models!$BJ71:$BT71,,AH71)*(1-AF71)+INDEX(Models!$BJ71:$BT71,,AH71+1)*AF71-ERP_i)*AE71*Ramure*Pc/MaxiM</f>
        <v>2.0030728355403047E-6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8.0460426367101601E-4</v>
      </c>
      <c r="M72" s="842"/>
      <c r="N72" s="842"/>
      <c r="O72" s="323">
        <f t="shared" si="3"/>
        <v>3.7642755857400785E-3</v>
      </c>
      <c r="P72" s="169">
        <f>(INDEX(Models!$BJ72:$BT72,,T72)*(1-R72)+INDEX(Models!$BJ72:$BT72,,T72+1)*R72-ERP_i)*Q72*Ramure*Pc/MaxiM</f>
        <v>1.9911610075215112E-6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43.290938636683784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3.7642755857400785E-3</v>
      </c>
      <c r="AD72" s="169">
        <f>(INDEX(Models!$BJ72:$BT72,,AH72)*(1-AF72)+INDEX(Models!$BJ72:$BT72,,AH72+1)*AF72-ERP_i)*AE72*Ramure*Pc/MaxiM</f>
        <v>1.9911610075215112E-6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8.2375361547726289E-4</v>
      </c>
      <c r="M73" s="842"/>
      <c r="N73" s="842"/>
      <c r="O73" s="323">
        <f t="shared" si="3"/>
        <v>3.8522031011941917E-3</v>
      </c>
      <c r="P73" s="169">
        <f>(INDEX(Models!$BJ73:$BT73,,T73)*(1-R73)+INDEX(Models!$BJ73:$BT73,,T73+1)*R73-ERP_i)*Q73*Ramure*Pc/MaxiM</f>
        <v>1.980096660630013E-6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43.665362362891607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3.8522031011941917E-3</v>
      </c>
      <c r="AD73" s="169">
        <f>(INDEX(Models!$BJ73:$BT73,,AH73)*(1-AF73)+INDEX(Models!$BJ73:$BT73,,AH73+1)*AF73-ERP_i)*AE73*Ramure*Pc/MaxiM</f>
        <v>1.980096660630013E-6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8.429026002904072E-4</v>
      </c>
      <c r="M74" s="842"/>
      <c r="N74" s="842"/>
      <c r="O74" s="323">
        <f t="shared" si="3"/>
        <v>3.9400520761865565E-3</v>
      </c>
      <c r="P74" s="169">
        <f>(INDEX(Models!$BJ74:$BT74,,T74)*(1-R74)+INDEX(Models!$BJ74:$BT74,,T74+1)*R74-ERP_i)*Q74*Ramure*Pc/MaxiM</f>
        <v>1.9701834080473751E-6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44.04021802890297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3.9400520761865565E-3</v>
      </c>
      <c r="AD74" s="169">
        <f>(INDEX(Models!$BJ74:$BT74,,AH74)*(1-AF74)+INDEX(Models!$BJ74:$BT74,,AH74+1)*AF74-ERP_i)*AE74*Ramure*Pc/MaxiM</f>
        <v>1.9701834080473751E-6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8.6205121811777641E-4</v>
      </c>
      <c r="M75" s="842"/>
      <c r="N75" s="842"/>
      <c r="O75" s="323">
        <f t="shared" si="3"/>
        <v>4.0278229313174471E-3</v>
      </c>
      <c r="P75" s="169">
        <f>(INDEX(Models!$BJ75:$BT75,,T75)*(1-R75)+INDEX(Models!$BJ75:$BT75,,T75+1)*R75-ERP_i)*Q75*Ramure*Pc/MaxiM</f>
        <v>1.9617486642114132E-6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44.415505529824017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4.0278229313174471E-3</v>
      </c>
      <c r="AD75" s="169">
        <f>(INDEX(Models!$BJ75:$BT75,,AH75)*(1-AF75)+INDEX(Models!$BJ75:$BT75,,AH75+1)*AF75-ERP_i)*AE75*Ramure*Pc/MaxiM</f>
        <v>1.9617486642114132E-6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8.8119946896614287E-4</v>
      </c>
      <c r="M76" s="842"/>
      <c r="N76" s="842"/>
      <c r="O76" s="323">
        <f t="shared" si="3"/>
        <v>4.1155162025795855E-3</v>
      </c>
      <c r="P76" s="169">
        <f>(INDEX(Models!$BJ76:$BT76,,T76)*(1-R76)+INDEX(Models!$BJ76:$BT76,,T76+1)*R76-ERP_i)*Q76*Ramure*Pc/MaxiM</f>
        <v>1.9551451264088579E-6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44.791224753388924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4.1155162025795855E-3</v>
      </c>
      <c r="AD76" s="169">
        <f>(INDEX(Models!$BJ76:$BT76,,AH76)*(1-AF76)+INDEX(Models!$BJ76:$BT76,,AH76+1)*AF76-ERP_i)*AE76*Ramure*Pc/MaxiM</f>
        <v>1.9551451264088579E-6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9.0034735284272305E-4</v>
      </c>
      <c r="M77" s="842"/>
      <c r="N77" s="842"/>
      <c r="O77" s="323">
        <f t="shared" si="3"/>
        <v>4.2031325501377193E-3</v>
      </c>
      <c r="P77" s="169">
        <f>(INDEX(Models!$BJ77:$BT77,,T77)*(1-R77)+INDEX(Models!$BJ77:$BT77,,T77+1)*R77-ERP_i)*Q77*Ramure*Pc/MaxiM</f>
        <v>1.9507523423384703E-6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45.167375579815179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4.2031325501377193E-3</v>
      </c>
      <c r="AD77" s="169">
        <f>(INDEX(Models!$BJ77:$BT77,,AH77)*(1-AF77)+INDEX(Models!$BJ77:$BT77,,AH77+1)*AF77-ERP_i)*AE77*Ramure*Pc/MaxiM</f>
        <v>1.9507523423384703E-6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9.1949486975440031E-4</v>
      </c>
      <c r="M78" s="842"/>
      <c r="N78" s="842"/>
      <c r="O78" s="323">
        <f t="shared" si="3"/>
        <v>4.2906727665312115E-3</v>
      </c>
      <c r="P78" s="169">
        <f>(INDEX(Models!$BJ78:$BT78,,T78)*(1-R78)+INDEX(Models!$BJ78:$BT78,,T78+1)*R78-ERP_i)*Q78*Ramure*Pc/MaxiM</f>
        <v>1.948978373021591E-6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45.543957879842857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4.2906727665312115E-3</v>
      </c>
      <c r="AD78" s="169">
        <f>(INDEX(Models!$BJ78:$BT78,,AH78)*(1-AF78)+INDEX(Models!$BJ78:$BT78,,AH78+1)*AF78-ERP_i)*AE78*Ramure*Pc/MaxiM</f>
        <v>1.948978373021591E-6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9.3864201970839112E-4</v>
      </c>
      <c r="M79" s="842"/>
      <c r="N79" s="842"/>
      <c r="O79" s="323">
        <f t="shared" ref="O79:O142" si="27">IF(t&lt;T0,0,IF(t&lt;Tnet,Salim_i*(1-EXP((T0-t)/Tau_ij)),Resal+(Salim-Resal)*(1-EXP((Tnet-t)/(Tau_j)))))*Salcycl</f>
        <v>4.3781377842324184E-3</v>
      </c>
      <c r="P79" s="169">
        <f>(INDEX(Models!$BJ79:$BT79,,T79)*(1-R79)+INDEX(Models!$BJ79:$BT79,,T79+1)*R79-ERP_i)*Q79*Ramure*Pc/MaxiM</f>
        <v>1.9502113278343127E-6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45.922154338235494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4.3781377842324184E-3</v>
      </c>
      <c r="AD79" s="169">
        <f>(INDEX(Models!$BJ79:$BT79,,AH79)*(1-AF79)+INDEX(Models!$BJ79:$BT79,,AH79+1)*AF79-ERP_i)*AE79*Ramure*Pc/MaxiM</f>
        <v>1.9502113278343127E-6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9.5778880271157885E-4</v>
      </c>
      <c r="M80" s="842"/>
      <c r="N80" s="842"/>
      <c r="O80" s="323">
        <f t="shared" si="27"/>
        <v>4.4655286825018492E-3</v>
      </c>
      <c r="P80" s="169">
        <f>(INDEX(Models!$BJ80:$BT80,,T80)*(1-R80)+INDEX(Models!$BJ80:$BT80,,T80+1)*R80-ERP_i)*Q80*Ramure*Pc/MaxiM</f>
        <v>1.9551540269797785E-6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46.302783203760043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4.4655286825018492E-3</v>
      </c>
      <c r="AD80" s="169">
        <f>(INDEX(Models!$BJ80:$BT80,,AH80)*(1-AF80)+INDEX(Models!$BJ80:$BT80,,AH80+1)*AF80-ERP_i)*AE80*Ramure*Pc/MaxiM</f>
        <v>1.9551540269797785E-6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9.769352187709579E-4</v>
      </c>
      <c r="M81" s="842"/>
      <c r="N81" s="842"/>
      <c r="O81" s="323">
        <f t="shared" si="27"/>
        <v>4.55284669348947E-3</v>
      </c>
      <c r="P81" s="169">
        <f>(INDEX(Models!$BJ81:$BT81,,T81)*(1-R81)+INDEX(Models!$BJ81:$BT81,,T81+1)*R81-ERP_i)*Q81*Ramure*Pc/MaxiM</f>
        <v>1.9628158835027325E-6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46.685297945259755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4.55284669348947E-3</v>
      </c>
      <c r="AD81" s="169">
        <f>(INDEX(Models!$BJ81:$BT81,,AH81)*(1-AF81)+INDEX(Models!$BJ81:$BT81,,AH81+1)*AF81-ERP_i)*AE81*Ramure*Pc/MaxiM</f>
        <v>1.9628158835027325E-6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9.9608126789374474E-4</v>
      </c>
      <c r="M82" s="842"/>
      <c r="N82" s="842"/>
      <c r="O82" s="323">
        <f t="shared" si="27"/>
        <v>4.6400932075405434E-3</v>
      </c>
      <c r="P82" s="169">
        <f>(INDEX(Models!$BJ82:$BT82,,T82)*(1-R82)+INDEX(Models!$BJ82:$BT82,,T82+1)*R82-ERP_i)*Q82*Ramure*Pc/MaxiM</f>
        <v>1.9736246855359013E-6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47.069152190858418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4.6400932075405434E-3</v>
      </c>
      <c r="AD82" s="169">
        <f>(INDEX(Models!$BJ82:$BT82,,AH82)*(1-AF82)+INDEX(Models!$BJ82:$BT82,,AH82+1)*AF82-ERP_i)*AE82*Ramure*Pc/MaxiM</f>
        <v>1.9736246855359013E-6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1.0152269500868227E-3</v>
      </c>
      <c r="M83" s="842"/>
      <c r="N83" s="842"/>
      <c r="O83" s="323">
        <f t="shared" si="27"/>
        <v>4.7272697776735966E-3</v>
      </c>
      <c r="P83" s="169">
        <f>(INDEX(Models!$BJ83:$BT83,,T83)*(1-R83)+INDEX(Models!$BJ83:$BT83,,T83+1)*R83-ERP_i)*Q83*Ramure*Pc/MaxiM</f>
        <v>1.9880368556215822E-6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47.453799790514132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4.7272697776735966E-3</v>
      </c>
      <c r="AD83" s="169">
        <f>(INDEX(Models!$BJ83:$BT83,,AH83)*(1-AF83)+INDEX(Models!$BJ83:$BT83,,AH83+1)*AF83-ERP_i)*AE83*Ramure*Pc/MaxiM</f>
        <v>1.9880368556215822E-6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10.439</v>
      </c>
      <c r="C84" s="388"/>
      <c r="D84" s="391">
        <f t="shared" ref="D84:D143" si="48">Wh/(1-Ppv)</f>
        <v>10.449808992600227</v>
      </c>
      <c r="E84" s="383">
        <f t="shared" ref="E84:E143" si="49">Wh_pvt/(1-Psa)</f>
        <v>10.500361704275051</v>
      </c>
      <c r="F84" s="383">
        <f t="shared" ref="F84:F143" si="50">Wh_sa/(1-Pvg*MEDIAN((-Sdif+Wh/Env_an)/Csdif,0,1))</f>
        <v>10.500361704275051</v>
      </c>
      <c r="G84" s="110">
        <f t="shared" ref="G84:G143" si="51">+Wh_hp/MaxiM</f>
        <v>0.21821203722196406</v>
      </c>
      <c r="I84" s="379">
        <f t="shared" si="24"/>
        <v>10.500361704275051</v>
      </c>
      <c r="J84" s="85">
        <v>2018</v>
      </c>
      <c r="K84" s="197">
        <f t="shared" si="25"/>
        <v>43535</v>
      </c>
      <c r="L84" s="435">
        <f t="shared" si="26"/>
        <v>1.0343722653572973E-3</v>
      </c>
      <c r="M84" s="842"/>
      <c r="N84" s="842"/>
      <c r="O84" s="323">
        <f t="shared" si="27"/>
        <v>4.8143781232071262E-3</v>
      </c>
      <c r="P84" s="169">
        <f>(INDEX(Models!$BJ84:$BT84,,T84)*(1-R84)+INDEX(Models!$BJ84:$BT84,,T84+1)*R84-ERP_i)*Q84*Ramure*Pc/MaxiM</f>
        <v>2.0065396735981421E-6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47.838694815510451</v>
      </c>
      <c r="W84" s="58"/>
      <c r="X84" s="157">
        <f t="shared" si="33"/>
        <v>43535</v>
      </c>
      <c r="Y84" s="383">
        <f t="shared" si="34"/>
        <v>10.439</v>
      </c>
      <c r="Z84" s="383">
        <f t="shared" si="35"/>
        <v>10.449808992600227</v>
      </c>
      <c r="AA84" s="384">
        <f t="shared" si="36"/>
        <v>10.500361704275051</v>
      </c>
      <c r="AB84" s="197">
        <f t="shared" si="37"/>
        <v>43535</v>
      </c>
      <c r="AC84" s="424">
        <f t="shared" si="38"/>
        <v>4.8143781232071262E-3</v>
      </c>
      <c r="AD84" s="169">
        <f>(INDEX(Models!$BJ84:$BT84,,AH84)*(1-AF84)+INDEX(Models!$BJ84:$BT84,,AH84+1)*AF84-ERP_i)*AE84*Ramure*Pc/MaxiM</f>
        <v>2.0065396735981421E-6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40.956000000000003</v>
      </c>
      <c r="C85" s="388"/>
      <c r="D85" s="391">
        <f t="shared" si="48"/>
        <v>40.999193355948805</v>
      </c>
      <c r="E85" s="383">
        <f t="shared" si="49"/>
        <v>41.201137440482356</v>
      </c>
      <c r="F85" s="383">
        <f t="shared" si="50"/>
        <v>41.201203061464355</v>
      </c>
      <c r="G85" s="110">
        <f t="shared" si="51"/>
        <v>0.84929876791191117</v>
      </c>
      <c r="I85" s="379">
        <f t="shared" si="24"/>
        <v>41.201203061464355</v>
      </c>
      <c r="J85" s="85">
        <v>2018</v>
      </c>
      <c r="K85" s="197">
        <f t="shared" si="25"/>
        <v>43536</v>
      </c>
      <c r="L85" s="435">
        <f t="shared" si="26"/>
        <v>1.0535172137120519E-3</v>
      </c>
      <c r="M85" s="842"/>
      <c r="N85" s="842"/>
      <c r="O85" s="323">
        <f t="shared" si="27"/>
        <v>4.9014201325211842E-3</v>
      </c>
      <c r="P85" s="169">
        <f>(INDEX(Models!$BJ85:$BT85,,T85)*(1-R85)+INDEX(Models!$BJ85:$BT85,,T85+1)*R85-ERP_i)*Q85*Ramure*Pc/MaxiM</f>
        <v>2.0296537215164736E-6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48.223291556887943</v>
      </c>
      <c r="W85" s="58"/>
      <c r="X85" s="157">
        <f t="shared" si="33"/>
        <v>43536</v>
      </c>
      <c r="Y85" s="383">
        <f t="shared" si="34"/>
        <v>40.956000000000003</v>
      </c>
      <c r="Z85" s="383">
        <f t="shared" si="35"/>
        <v>40.999193355948805</v>
      </c>
      <c r="AA85" s="384">
        <f t="shared" si="36"/>
        <v>41.201137440482356</v>
      </c>
      <c r="AB85" s="197">
        <f t="shared" si="37"/>
        <v>43536</v>
      </c>
      <c r="AC85" s="424">
        <f t="shared" si="38"/>
        <v>4.9014201325211842E-3</v>
      </c>
      <c r="AD85" s="169">
        <f>(INDEX(Models!$BJ85:$BT85,,AH85)*(1-AF85)+INDEX(Models!$BJ85:$BT85,,AH85+1)*AF85-ERP_i)*AE85*Ramure*Pc/MaxiM</f>
        <v>2.0296537215164736E-6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27.803999999999998</v>
      </c>
      <c r="C86" s="388"/>
      <c r="D86" s="391">
        <f t="shared" si="48"/>
        <v>27.833856314280254</v>
      </c>
      <c r="E86" s="383">
        <f t="shared" si="49"/>
        <v>27.973398756914605</v>
      </c>
      <c r="F86" s="383">
        <f t="shared" si="50"/>
        <v>27.973421127248677</v>
      </c>
      <c r="G86" s="110">
        <f t="shared" si="51"/>
        <v>0.57201513253990144</v>
      </c>
      <c r="I86" s="379">
        <f t="shared" si="24"/>
        <v>27.973421127248677</v>
      </c>
      <c r="J86" s="85">
        <v>2018</v>
      </c>
      <c r="K86" s="197">
        <f t="shared" si="25"/>
        <v>43537</v>
      </c>
      <c r="L86" s="435">
        <f t="shared" si="26"/>
        <v>1.0726617951584139E-3</v>
      </c>
      <c r="M86" s="842"/>
      <c r="N86" s="842"/>
      <c r="O86" s="323">
        <f t="shared" si="27"/>
        <v>4.9883978649486677E-3</v>
      </c>
      <c r="P86" s="169">
        <f>(INDEX(Models!$BJ86:$BT86,,T86)*(1-R86)+INDEX(Models!$BJ86:$BT86,,T86+1)*R86-ERP_i)*Q86*Ramure*Pc/MaxiM</f>
        <v>2.0579305395794063E-6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48.607044524612938</v>
      </c>
      <c r="W86" s="58"/>
      <c r="X86" s="157">
        <f t="shared" si="33"/>
        <v>43537</v>
      </c>
      <c r="Y86" s="383">
        <f t="shared" si="34"/>
        <v>27.803999999999998</v>
      </c>
      <c r="Z86" s="383">
        <f t="shared" si="35"/>
        <v>27.833856314280254</v>
      </c>
      <c r="AA86" s="384">
        <f t="shared" si="36"/>
        <v>27.973398756914605</v>
      </c>
      <c r="AB86" s="197">
        <f t="shared" si="37"/>
        <v>43537</v>
      </c>
      <c r="AC86" s="424">
        <f t="shared" si="38"/>
        <v>4.9883978649486677E-3</v>
      </c>
      <c r="AD86" s="169">
        <f>(INDEX(Models!$BJ86:$BT86,,AH86)*(1-AF86)+INDEX(Models!$BJ86:$BT86,,AH86+1)*AF86-ERP_i)*AE86*Ramure*Pc/MaxiM</f>
        <v>2.0579305395794063E-6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23.11</v>
      </c>
      <c r="C87" s="388"/>
      <c r="D87" s="391">
        <f t="shared" si="48"/>
        <v>23.135259215047029</v>
      </c>
      <c r="E87" s="383">
        <f t="shared" si="49"/>
        <v>23.253276886352094</v>
      </c>
      <c r="F87" s="383">
        <f t="shared" si="50"/>
        <v>23.253288786540622</v>
      </c>
      <c r="G87" s="110">
        <f t="shared" si="51"/>
        <v>0.47173387502200764</v>
      </c>
      <c r="I87" s="379">
        <f t="shared" si="24"/>
        <v>23.253288786540622</v>
      </c>
      <c r="J87" s="85">
        <v>2018</v>
      </c>
      <c r="K87" s="197">
        <f t="shared" si="25"/>
        <v>43538</v>
      </c>
      <c r="L87" s="435">
        <f t="shared" si="26"/>
        <v>1.0918060097031557E-3</v>
      </c>
      <c r="M87" s="842"/>
      <c r="N87" s="842"/>
      <c r="O87" s="323">
        <f t="shared" si="27"/>
        <v>5.0753135518001157E-3</v>
      </c>
      <c r="P87" s="169">
        <f>(INDEX(Models!$BJ87:$BT87,,T87)*(1-R87)+INDEX(Models!$BJ87:$BT87,,T87+1)*R87-ERP_i)*Q87*Ramure*Pc/MaxiM</f>
        <v>2.0859776408109212E-6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48.9894087398716</v>
      </c>
      <c r="W87" s="58"/>
      <c r="X87" s="157">
        <f t="shared" si="33"/>
        <v>43538</v>
      </c>
      <c r="Y87" s="383">
        <f t="shared" si="34"/>
        <v>23.11</v>
      </c>
      <c r="Z87" s="383">
        <f t="shared" si="35"/>
        <v>23.135259215047029</v>
      </c>
      <c r="AA87" s="384">
        <f t="shared" si="36"/>
        <v>23.253276886352094</v>
      </c>
      <c r="AB87" s="197">
        <f t="shared" si="37"/>
        <v>43538</v>
      </c>
      <c r="AC87" s="424">
        <f t="shared" si="38"/>
        <v>5.0753135518001157E-3</v>
      </c>
      <c r="AD87" s="169">
        <f>(INDEX(Models!$BJ87:$BT87,,AH87)*(1-AF87)+INDEX(Models!$BJ87:$BT87,,AH87+1)*AF87-ERP_i)*AE87*Ramure*Pc/MaxiM</f>
        <v>2.0859776408109212E-6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12.707000000000001</v>
      </c>
      <c r="C88" s="388"/>
      <c r="D88" s="391">
        <f t="shared" si="48"/>
        <v>12.721132540381111</v>
      </c>
      <c r="E88" s="383">
        <f t="shared" si="49"/>
        <v>12.787141935708188</v>
      </c>
      <c r="F88" s="383">
        <f t="shared" si="50"/>
        <v>12.787141935708188</v>
      </c>
      <c r="G88" s="110">
        <f t="shared" si="51"/>
        <v>0.25738332045498141</v>
      </c>
      <c r="I88" s="379">
        <f t="shared" si="24"/>
        <v>12.787141935708188</v>
      </c>
      <c r="J88" s="85">
        <v>2018</v>
      </c>
      <c r="K88" s="197">
        <f t="shared" si="25"/>
        <v>43539</v>
      </c>
      <c r="L88" s="435">
        <f t="shared" si="26"/>
        <v>1.1109498573533827E-3</v>
      </c>
      <c r="M88" s="842"/>
      <c r="N88" s="842"/>
      <c r="O88" s="323">
        <f t="shared" si="27"/>
        <v>5.1621695965339215E-3</v>
      </c>
      <c r="P88" s="169">
        <f>(INDEX(Models!$BJ88:$BT88,,T88)*(1-R88)+INDEX(Models!$BJ88:$BT88,,T88+1)*R88-ERP_i)*Q88*Ramure*Pc/MaxiM</f>
        <v>2.1137938231352497E-6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49.369839186002928</v>
      </c>
      <c r="W88" s="58"/>
      <c r="X88" s="157">
        <f t="shared" si="33"/>
        <v>43539</v>
      </c>
      <c r="Y88" s="383">
        <f t="shared" si="34"/>
        <v>12.707000000000001</v>
      </c>
      <c r="Z88" s="383">
        <f t="shared" si="35"/>
        <v>12.721132540381111</v>
      </c>
      <c r="AA88" s="384">
        <f t="shared" si="36"/>
        <v>12.787141935708188</v>
      </c>
      <c r="AB88" s="197">
        <f t="shared" si="37"/>
        <v>43539</v>
      </c>
      <c r="AC88" s="424">
        <f t="shared" si="38"/>
        <v>5.1621695965339215E-3</v>
      </c>
      <c r="AD88" s="169">
        <f>(INDEX(Models!$BJ88:$BT88,,AH88)*(1-AF88)+INDEX(Models!$BJ88:$BT88,,AH88+1)*AF88-ERP_i)*AE88*Ramure*Pc/MaxiM</f>
        <v>2.1137938231352497E-6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47.841999999999999</v>
      </c>
      <c r="C89" s="388"/>
      <c r="D89" s="391">
        <f t="shared" si="48"/>
        <v>47.896127094150664</v>
      </c>
      <c r="E89" s="383">
        <f t="shared" si="49"/>
        <v>48.148858941613561</v>
      </c>
      <c r="F89" s="383">
        <f t="shared" si="50"/>
        <v>48.148956404027338</v>
      </c>
      <c r="G89" s="110">
        <f t="shared" si="51"/>
        <v>0.9616908282641915</v>
      </c>
      <c r="I89" s="379">
        <f t="shared" si="24"/>
        <v>48.148956404027338</v>
      </c>
      <c r="J89" s="85">
        <v>2018</v>
      </c>
      <c r="K89" s="197">
        <f t="shared" si="25"/>
        <v>43540</v>
      </c>
      <c r="L89" s="435">
        <f t="shared" si="26"/>
        <v>1.1300933381162004E-3</v>
      </c>
      <c r="M89" s="842"/>
      <c r="N89" s="842"/>
      <c r="O89" s="323">
        <f t="shared" si="27"/>
        <v>5.2489685740915093E-3</v>
      </c>
      <c r="P89" s="169">
        <f>(INDEX(Models!$BJ89:$BT89,,T89)*(1-R89)+INDEX(Models!$BJ89:$BT89,,T89+1)*R89-ERP_i)*Q89*Ramure*Pc/MaxiM</f>
        <v>2.1413770094219387E-6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49.747791064680861</v>
      </c>
      <c r="W89" s="58"/>
      <c r="X89" s="157">
        <f t="shared" si="33"/>
        <v>43540</v>
      </c>
      <c r="Y89" s="383">
        <f t="shared" si="34"/>
        <v>47.841999999999999</v>
      </c>
      <c r="Z89" s="383">
        <f t="shared" si="35"/>
        <v>47.896127094150664</v>
      </c>
      <c r="AA89" s="384">
        <f t="shared" si="36"/>
        <v>48.148858941613561</v>
      </c>
      <c r="AB89" s="197">
        <f t="shared" si="37"/>
        <v>43540</v>
      </c>
      <c r="AC89" s="424">
        <f t="shared" si="38"/>
        <v>5.2489685740915093E-3</v>
      </c>
      <c r="AD89" s="169">
        <f>(INDEX(Models!$BJ89:$BT89,,AH89)*(1-AF89)+INDEX(Models!$BJ89:$BT89,,AH89+1)*AF89-ERP_i)*AE89*Ramure*Pc/MaxiM</f>
        <v>2.1413770094219387E-6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15.763999999999999</v>
      </c>
      <c r="C90" s="388"/>
      <c r="D90" s="391">
        <f t="shared" si="48"/>
        <v>15.782137407599262</v>
      </c>
      <c r="E90" s="383">
        <f t="shared" si="49"/>
        <v>15.866798092087821</v>
      </c>
      <c r="F90" s="383">
        <f t="shared" si="50"/>
        <v>15.866798805277901</v>
      </c>
      <c r="G90" s="110">
        <f t="shared" si="51"/>
        <v>0.31450740470575872</v>
      </c>
      <c r="I90" s="379">
        <f t="shared" si="24"/>
        <v>15.866798805277901</v>
      </c>
      <c r="J90" s="85">
        <v>2018</v>
      </c>
      <c r="K90" s="197">
        <f t="shared" si="25"/>
        <v>43541</v>
      </c>
      <c r="L90" s="435">
        <f t="shared" si="26"/>
        <v>1.1492364519984921E-3</v>
      </c>
      <c r="M90" s="842"/>
      <c r="N90" s="842"/>
      <c r="O90" s="323">
        <f t="shared" si="27"/>
        <v>5.3357132294245381E-3</v>
      </c>
      <c r="P90" s="169">
        <f>(INDEX(Models!$BJ90:$BT90,,T90)*(1-R90)+INDEX(Models!$BJ90:$BT90,,T90+1)*R90-ERP_i)*Q90*Ramure*Pc/MaxiM</f>
        <v>2.1687240578290636E-6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50.122719799077672</v>
      </c>
      <c r="W90" s="58"/>
      <c r="X90" s="157">
        <f t="shared" si="33"/>
        <v>43541</v>
      </c>
      <c r="Y90" s="383">
        <f t="shared" si="34"/>
        <v>15.763999999999999</v>
      </c>
      <c r="Z90" s="383">
        <f t="shared" si="35"/>
        <v>15.782137407599262</v>
      </c>
      <c r="AA90" s="384">
        <f t="shared" si="36"/>
        <v>15.866798092087821</v>
      </c>
      <c r="AB90" s="197">
        <f t="shared" si="37"/>
        <v>43541</v>
      </c>
      <c r="AC90" s="424">
        <f t="shared" si="38"/>
        <v>5.3357132294245381E-3</v>
      </c>
      <c r="AD90" s="169">
        <f>(INDEX(Models!$BJ90:$BT90,,AH90)*(1-AF90)+INDEX(Models!$BJ90:$BT90,,AH90+1)*AF90-ERP_i)*AE90*Ramure*Pc/MaxiM</f>
        <v>2.1687240578290636E-6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33.887999999999998</v>
      </c>
      <c r="C91" s="388"/>
      <c r="D91" s="391">
        <f t="shared" si="48"/>
        <v>33.927640349255469</v>
      </c>
      <c r="E91" s="383">
        <f t="shared" si="49"/>
        <v>34.112612801799528</v>
      </c>
      <c r="F91" s="383">
        <f t="shared" si="50"/>
        <v>34.112652515484889</v>
      </c>
      <c r="G91" s="110">
        <f t="shared" si="51"/>
        <v>0.67112747374194404</v>
      </c>
      <c r="I91" s="379">
        <f t="shared" si="24"/>
        <v>34.112652515484889</v>
      </c>
      <c r="J91" s="85">
        <v>2018</v>
      </c>
      <c r="K91" s="197">
        <f t="shared" si="25"/>
        <v>43542</v>
      </c>
      <c r="L91" s="435">
        <f t="shared" si="26"/>
        <v>1.1683791990073633E-3</v>
      </c>
      <c r="M91" s="842"/>
      <c r="N91" s="842"/>
      <c r="O91" s="323">
        <f t="shared" si="27"/>
        <v>5.4224064752467016E-3</v>
      </c>
      <c r="P91" s="169">
        <f>(INDEX(Models!$BJ91:$BT91,,T91)*(1-R91)+INDEX(Models!$BJ91:$BT91,,T91+1)*R91-ERP_i)*Q91*Ramure*Pc/MaxiM</f>
        <v>2.1958305584819295E-6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50.494081028830408</v>
      </c>
      <c r="W91" s="58"/>
      <c r="X91" s="157">
        <f t="shared" si="33"/>
        <v>43542</v>
      </c>
      <c r="Y91" s="383">
        <f t="shared" si="34"/>
        <v>33.887999999999998</v>
      </c>
      <c r="Z91" s="383">
        <f t="shared" si="35"/>
        <v>33.927640349255469</v>
      </c>
      <c r="AA91" s="384">
        <f t="shared" si="36"/>
        <v>34.112612801799528</v>
      </c>
      <c r="AB91" s="197">
        <f t="shared" si="37"/>
        <v>43542</v>
      </c>
      <c r="AC91" s="424">
        <f t="shared" si="38"/>
        <v>5.4224064752467016E-3</v>
      </c>
      <c r="AD91" s="169">
        <f>(INDEX(Models!$BJ91:$BT91,,AH91)*(1-AF91)+INDEX(Models!$BJ91:$BT91,,AH91+1)*AF91-ERP_i)*AE91*Ramure*Pc/MaxiM</f>
        <v>2.1958305584819295E-6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12.301</v>
      </c>
      <c r="C92" s="388"/>
      <c r="D92" s="391">
        <f t="shared" si="48"/>
        <v>12.315625070531977</v>
      </c>
      <c r="E92" s="383">
        <f t="shared" si="49"/>
        <v>12.383848327361603</v>
      </c>
      <c r="F92" s="383">
        <f t="shared" si="50"/>
        <v>12.383848327361603</v>
      </c>
      <c r="G92" s="110">
        <f t="shared" si="51"/>
        <v>0.24185314286565754</v>
      </c>
      <c r="I92" s="379">
        <f t="shared" si="24"/>
        <v>12.383848327361603</v>
      </c>
      <c r="J92" s="85">
        <v>2018</v>
      </c>
      <c r="K92" s="197">
        <f t="shared" si="25"/>
        <v>43543</v>
      </c>
      <c r="L92" s="435">
        <f t="shared" si="26"/>
        <v>1.1875215791499194E-3</v>
      </c>
      <c r="M92" s="842"/>
      <c r="N92" s="842"/>
      <c r="O92" s="323">
        <f t="shared" si="27"/>
        <v>5.5090513890491645E-3</v>
      </c>
      <c r="P92" s="169">
        <f>(INDEX(Models!$BJ92:$BT92,,T92)*(1-R92)+INDEX(Models!$BJ92:$BT92,,T92+1)*R92-ERP_i)*Q92*Ramure*Pc/MaxiM</f>
        <v>2.2226906150894381E-6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50.861330611343689</v>
      </c>
      <c r="W92" s="58"/>
      <c r="X92" s="157">
        <f t="shared" si="33"/>
        <v>43543</v>
      </c>
      <c r="Y92" s="383">
        <f t="shared" si="34"/>
        <v>12.301</v>
      </c>
      <c r="Z92" s="383">
        <f t="shared" si="35"/>
        <v>12.315625070531977</v>
      </c>
      <c r="AA92" s="384">
        <f t="shared" si="36"/>
        <v>12.383848327361603</v>
      </c>
      <c r="AB92" s="197">
        <f t="shared" si="37"/>
        <v>43543</v>
      </c>
      <c r="AC92" s="424">
        <f t="shared" si="38"/>
        <v>5.5090513890491645E-3</v>
      </c>
      <c r="AD92" s="169">
        <f>(INDEX(Models!$BJ92:$BT92,,AH92)*(1-AF92)+INDEX(Models!$BJ92:$BT92,,AH92+1)*AF92-ERP_i)*AE92*Ramure*Pc/MaxiM</f>
        <v>2.2226906150894381E-6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50.628</v>
      </c>
      <c r="C93" s="388"/>
      <c r="D93" s="391">
        <f t="shared" si="48"/>
        <v>50.68916476965839</v>
      </c>
      <c r="E93" s="383">
        <f t="shared" si="49"/>
        <v>50.974399731163643</v>
      </c>
      <c r="F93" s="383">
        <f t="shared" si="50"/>
        <v>50.974512464979433</v>
      </c>
      <c r="G93" s="110">
        <f t="shared" si="51"/>
        <v>0.98830349406252582</v>
      </c>
      <c r="I93" s="379">
        <f t="shared" si="24"/>
        <v>50.974512464979433</v>
      </c>
      <c r="J93" s="85">
        <v>2018</v>
      </c>
      <c r="K93" s="197">
        <f t="shared" si="25"/>
        <v>43544</v>
      </c>
      <c r="L93" s="435">
        <f t="shared" si="26"/>
        <v>1.2066635924331548E-3</v>
      </c>
      <c r="M93" s="842"/>
      <c r="N93" s="842"/>
      <c r="O93" s="323">
        <f t="shared" si="27"/>
        <v>5.5956512094222349E-3</v>
      </c>
      <c r="P93" s="169">
        <f>(INDEX(Models!$BJ93:$BT93,,T93)*(1-R93)+INDEX(Models!$BJ93:$BT93,,T93+1)*R93-ERP_i)*Q93*Ramure*Pc/MaxiM</f>
        <v>2.2491538762476821E-6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51.227177078166605</v>
      </c>
      <c r="W93" s="58"/>
      <c r="X93" s="157">
        <f t="shared" si="33"/>
        <v>43544</v>
      </c>
      <c r="Y93" s="383">
        <f t="shared" si="34"/>
        <v>50.628</v>
      </c>
      <c r="Z93" s="383">
        <f t="shared" si="35"/>
        <v>50.68916476965839</v>
      </c>
      <c r="AA93" s="384">
        <f t="shared" si="36"/>
        <v>50.974399731163643</v>
      </c>
      <c r="AB93" s="197">
        <f t="shared" si="37"/>
        <v>43544</v>
      </c>
      <c r="AC93" s="424">
        <f t="shared" si="38"/>
        <v>5.5956512094222349E-3</v>
      </c>
      <c r="AD93" s="169">
        <f>(INDEX(Models!$BJ93:$BT93,,AH93)*(1-AF93)+INDEX(Models!$BJ93:$BT93,,AH93+1)*AF93-ERP_i)*AE93*Ramure*Pc/MaxiM</f>
        <v>2.2491538762476821E-6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50.87</v>
      </c>
      <c r="C94" s="388"/>
      <c r="D94" s="391">
        <f t="shared" si="48"/>
        <v>50.932433243497968</v>
      </c>
      <c r="E94" s="383">
        <f t="shared" si="49"/>
        <v>51.223495869732815</v>
      </c>
      <c r="F94" s="383">
        <f t="shared" si="50"/>
        <v>51.223610109316816</v>
      </c>
      <c r="G94" s="110">
        <f t="shared" si="51"/>
        <v>0.9859652184737282</v>
      </c>
      <c r="I94" s="379">
        <f t="shared" si="24"/>
        <v>51.223610109316816</v>
      </c>
      <c r="J94" s="85">
        <v>2018</v>
      </c>
      <c r="K94" s="197">
        <f t="shared" si="25"/>
        <v>43545</v>
      </c>
      <c r="L94" s="435">
        <f t="shared" si="26"/>
        <v>1.2258052388639529E-3</v>
      </c>
      <c r="M94" s="842"/>
      <c r="N94" s="842"/>
      <c r="O94" s="323">
        <f t="shared" si="27"/>
        <v>5.6822093317304102E-3</v>
      </c>
      <c r="P94" s="169">
        <f>(INDEX(Models!$BJ94:$BT94,,T94)*(1-R94)+INDEX(Models!$BJ94:$BT94,,T94+1)*R94-ERP_i)*Q94*Ramure*Pc/MaxiM</f>
        <v>2.2758432462446077E-6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51.594109737008267</v>
      </c>
      <c r="W94" s="58"/>
      <c r="X94" s="157">
        <f t="shared" si="33"/>
        <v>43545</v>
      </c>
      <c r="Y94" s="383">
        <f t="shared" si="34"/>
        <v>50.87</v>
      </c>
      <c r="Z94" s="383">
        <f t="shared" si="35"/>
        <v>50.932433243497968</v>
      </c>
      <c r="AA94" s="384">
        <f t="shared" si="36"/>
        <v>51.223495869732815</v>
      </c>
      <c r="AB94" s="197">
        <f t="shared" si="37"/>
        <v>43545</v>
      </c>
      <c r="AC94" s="424">
        <f t="shared" si="38"/>
        <v>5.6822093317304102E-3</v>
      </c>
      <c r="AD94" s="169">
        <f>(INDEX(Models!$BJ94:$BT94,,AH94)*(1-AF94)+INDEX(Models!$BJ94:$BT94,,AH94+1)*AF94-ERP_i)*AE94*Ramure*Pc/MaxiM</f>
        <v>2.2758432462446077E-6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49.661999999999999</v>
      </c>
      <c r="C95" s="388"/>
      <c r="D95" s="391">
        <f t="shared" si="48"/>
        <v>49.723903600671377</v>
      </c>
      <c r="E95" s="383">
        <f t="shared" si="49"/>
        <v>50.012411665368589</v>
      </c>
      <c r="F95" s="383">
        <f t="shared" si="50"/>
        <v>50.01251953505664</v>
      </c>
      <c r="G95" s="110">
        <f t="shared" si="51"/>
        <v>0.95575042786737663</v>
      </c>
      <c r="I95" s="379">
        <f t="shared" si="24"/>
        <v>50.01251953505664</v>
      </c>
      <c r="J95" s="85">
        <v>2018</v>
      </c>
      <c r="K95" s="197">
        <f t="shared" si="25"/>
        <v>43546</v>
      </c>
      <c r="L95" s="435">
        <f t="shared" si="26"/>
        <v>1.2449465184496411E-3</v>
      </c>
      <c r="M95" s="842"/>
      <c r="N95" s="842"/>
      <c r="O95" s="323">
        <f t="shared" si="27"/>
        <v>5.7687293031899274E-3</v>
      </c>
      <c r="P95" s="169">
        <f>(INDEX(Models!$BJ95:$BT95,,T95)*(1-R95)+INDEX(Models!$BJ95:$BT95,,T95+1)*R95-ERP_i)*Q95*Ramure*Pc/MaxiM</f>
        <v>2.3023961692424367E-6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51.961256122969601</v>
      </c>
      <c r="W95" s="58"/>
      <c r="X95" s="157">
        <f t="shared" si="33"/>
        <v>43546</v>
      </c>
      <c r="Y95" s="383">
        <f t="shared" si="34"/>
        <v>49.661999999999999</v>
      </c>
      <c r="Z95" s="383">
        <f t="shared" si="35"/>
        <v>49.723903600671377</v>
      </c>
      <c r="AA95" s="384">
        <f t="shared" si="36"/>
        <v>50.012411665368589</v>
      </c>
      <c r="AB95" s="197">
        <f t="shared" si="37"/>
        <v>43546</v>
      </c>
      <c r="AC95" s="424">
        <f t="shared" si="38"/>
        <v>5.7687293031899274E-3</v>
      </c>
      <c r="AD95" s="169">
        <f>(INDEX(Models!$BJ95:$BT95,,AH95)*(1-AF95)+INDEX(Models!$BJ95:$BT95,,AH95+1)*AF95-ERP_i)*AE95*Ramure*Pc/MaxiM</f>
        <v>2.3023961692424367E-6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46.54</v>
      </c>
      <c r="C96" s="388"/>
      <c r="D96" s="391">
        <f t="shared" si="48"/>
        <v>46.598905090232101</v>
      </c>
      <c r="E96" s="383">
        <f t="shared" si="49"/>
        <v>46.873358674484244</v>
      </c>
      <c r="F96" s="383">
        <f t="shared" si="50"/>
        <v>46.873450587353432</v>
      </c>
      <c r="G96" s="110">
        <f t="shared" si="51"/>
        <v>0.88939402354310892</v>
      </c>
      <c r="I96" s="379">
        <f t="shared" si="24"/>
        <v>46.873450587353432</v>
      </c>
      <c r="J96" s="85">
        <v>2018</v>
      </c>
      <c r="K96" s="197">
        <f t="shared" si="25"/>
        <v>43547</v>
      </c>
      <c r="L96" s="435">
        <f t="shared" si="26"/>
        <v>1.2640874311968808E-3</v>
      </c>
      <c r="M96" s="842"/>
      <c r="N96" s="842"/>
      <c r="O96" s="323">
        <f t="shared" si="27"/>
        <v>5.855214817399871E-3</v>
      </c>
      <c r="P96" s="169">
        <f>(INDEX(Models!$BJ96:$BT96,,T96)*(1-R96)+INDEX(Models!$BJ96:$BT96,,T96+1)*R96-ERP_i)*Q96*Ramure*Pc/MaxiM</f>
        <v>2.3288497450990537E-6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52.327744107062266</v>
      </c>
      <c r="W96" s="58"/>
      <c r="X96" s="157">
        <f t="shared" si="33"/>
        <v>43547</v>
      </c>
      <c r="Y96" s="383">
        <f t="shared" si="34"/>
        <v>46.54</v>
      </c>
      <c r="Z96" s="383">
        <f t="shared" si="35"/>
        <v>46.598905090232101</v>
      </c>
      <c r="AA96" s="384">
        <f t="shared" si="36"/>
        <v>46.873358674484244</v>
      </c>
      <c r="AB96" s="197">
        <f t="shared" si="37"/>
        <v>43547</v>
      </c>
      <c r="AC96" s="424">
        <f t="shared" si="38"/>
        <v>5.855214817399871E-3</v>
      </c>
      <c r="AD96" s="169">
        <f>(INDEX(Models!$BJ96:$BT96,,AH96)*(1-AF96)+INDEX(Models!$BJ96:$BT96,,AH96+1)*AF96-ERP_i)*AE96*Ramure*Pc/MaxiM</f>
        <v>2.3288497450990537E-6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50.965000000000003</v>
      </c>
      <c r="C97" s="388"/>
      <c r="D97" s="391">
        <f t="shared" si="48"/>
        <v>51.030483744426462</v>
      </c>
      <c r="E97" s="383">
        <f t="shared" si="49"/>
        <v>51.335502343666214</v>
      </c>
      <c r="F97" s="383">
        <f t="shared" si="50"/>
        <v>51.335617588086507</v>
      </c>
      <c r="G97" s="110">
        <f t="shared" si="51"/>
        <v>0.96721163506250185</v>
      </c>
      <c r="I97" s="379">
        <f t="shared" si="24"/>
        <v>51.335617588086507</v>
      </c>
      <c r="J97" s="85">
        <v>2018</v>
      </c>
      <c r="K97" s="197">
        <f t="shared" si="25"/>
        <v>43548</v>
      </c>
      <c r="L97" s="435">
        <f t="shared" si="26"/>
        <v>1.2832279771129995E-3</v>
      </c>
      <c r="M97" s="842"/>
      <c r="N97" s="842"/>
      <c r="O97" s="323">
        <f t="shared" si="27"/>
        <v>5.9416697083784099E-3</v>
      </c>
      <c r="P97" s="169">
        <f>(INDEX(Models!$BJ97:$BT97,,T97)*(1-R97)+INDEX(Models!$BJ97:$BT97,,T97+1)*R97-ERP_i)*Q97*Ramure*Pc/MaxiM</f>
        <v>2.3552416675765766E-6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52.692701917523344</v>
      </c>
      <c r="W97" s="58"/>
      <c r="X97" s="157">
        <f t="shared" si="33"/>
        <v>43548</v>
      </c>
      <c r="Y97" s="383">
        <f t="shared" si="34"/>
        <v>50.965000000000003</v>
      </c>
      <c r="Z97" s="383">
        <f t="shared" si="35"/>
        <v>51.030483744426462</v>
      </c>
      <c r="AA97" s="384">
        <f t="shared" si="36"/>
        <v>51.335502343666214</v>
      </c>
      <c r="AB97" s="197">
        <f t="shared" si="37"/>
        <v>43548</v>
      </c>
      <c r="AC97" s="424">
        <f t="shared" si="38"/>
        <v>5.9416697083784099E-3</v>
      </c>
      <c r="AD97" s="169">
        <f>(INDEX(Models!$BJ97:$BT97,,AH97)*(1-AF97)+INDEX(Models!$BJ97:$BT97,,AH97+1)*AF97-ERP_i)*AE97*Ramure*Pc/MaxiM</f>
        <v>2.3552416675765766E-6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44.454000000000001</v>
      </c>
      <c r="C98" s="388"/>
      <c r="D98" s="391">
        <f t="shared" si="48"/>
        <v>44.511970973565887</v>
      </c>
      <c r="E98" s="383">
        <f t="shared" si="49"/>
        <v>44.781920778143949</v>
      </c>
      <c r="F98" s="383">
        <f t="shared" si="50"/>
        <v>44.782002730690941</v>
      </c>
      <c r="G98" s="110">
        <f t="shared" si="51"/>
        <v>0.83788067458202176</v>
      </c>
      <c r="I98" s="379">
        <f t="shared" si="24"/>
        <v>44.782002730690941</v>
      </c>
      <c r="J98" s="85">
        <v>2018</v>
      </c>
      <c r="K98" s="197">
        <f t="shared" si="25"/>
        <v>43549</v>
      </c>
      <c r="L98" s="435">
        <f t="shared" si="26"/>
        <v>1.3023681562048806E-3</v>
      </c>
      <c r="M98" s="842"/>
      <c r="N98" s="842"/>
      <c r="O98" s="323">
        <f t="shared" si="27"/>
        <v>6.0280979441554436E-3</v>
      </c>
      <c r="P98" s="169">
        <f>(INDEX(Models!$BJ98:$BT98,,T98)*(1-R98)+INDEX(Models!$BJ98:$BT98,,T98+1)*R98-ERP_i)*Q98*Ramure*Pc/MaxiM</f>
        <v>2.3816101328273688E-6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53.055258139621571</v>
      </c>
      <c r="W98" s="58"/>
      <c r="X98" s="157">
        <f t="shared" si="33"/>
        <v>43549</v>
      </c>
      <c r="Y98" s="383">
        <f t="shared" si="34"/>
        <v>44.454000000000001</v>
      </c>
      <c r="Z98" s="383">
        <f t="shared" si="35"/>
        <v>44.511970973565887</v>
      </c>
      <c r="AA98" s="384">
        <f t="shared" si="36"/>
        <v>44.781920778143949</v>
      </c>
      <c r="AB98" s="197">
        <f t="shared" si="37"/>
        <v>43549</v>
      </c>
      <c r="AC98" s="424">
        <f t="shared" si="38"/>
        <v>6.0280979441554436E-3</v>
      </c>
      <c r="AD98" s="169">
        <f>(INDEX(Models!$BJ98:$BT98,,AH98)*(1-AF98)+INDEX(Models!$BJ98:$BT98,,AH98+1)*AF98-ERP_i)*AE98*Ramure*Pc/MaxiM</f>
        <v>2.3816101328273688E-6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54.258000000000003</v>
      </c>
      <c r="C99" s="388"/>
      <c r="D99" s="391">
        <f t="shared" si="48"/>
        <v>54.32979726000498</v>
      </c>
      <c r="E99" s="383">
        <f t="shared" si="49"/>
        <v>54.664040734961162</v>
      </c>
      <c r="F99" s="383">
        <f t="shared" si="50"/>
        <v>54.664172365947202</v>
      </c>
      <c r="G99" s="110">
        <f t="shared" si="51"/>
        <v>1.0157907988534678</v>
      </c>
      <c r="I99" s="379">
        <f t="shared" si="24"/>
        <v>54.664172365947202</v>
      </c>
      <c r="J99" s="85">
        <v>2018</v>
      </c>
      <c r="K99" s="197">
        <f t="shared" si="25"/>
        <v>43550</v>
      </c>
      <c r="L99" s="435">
        <f t="shared" si="26"/>
        <v>1.3215079684796294E-3</v>
      </c>
      <c r="M99" s="842"/>
      <c r="N99" s="842"/>
      <c r="O99" s="323">
        <f t="shared" si="27"/>
        <v>6.1145036199713653E-3</v>
      </c>
      <c r="P99" s="169">
        <f>(INDEX(Models!$BJ99:$BT99,,T99)*(1-R99)+INDEX(Models!$BJ99:$BT99,,T99+1)*R99-ERP_i)*Q99*Ramure*Pc/MaxiM</f>
        <v>2.4079937616291797E-6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53.414541715913842</v>
      </c>
      <c r="W99" s="58"/>
      <c r="X99" s="157">
        <f t="shared" si="33"/>
        <v>43550</v>
      </c>
      <c r="Y99" s="383">
        <f t="shared" si="34"/>
        <v>54.258000000000003</v>
      </c>
      <c r="Z99" s="383">
        <f t="shared" si="35"/>
        <v>54.32979726000498</v>
      </c>
      <c r="AA99" s="384">
        <f t="shared" si="36"/>
        <v>54.664040734961162</v>
      </c>
      <c r="AB99" s="197">
        <f t="shared" si="37"/>
        <v>43550</v>
      </c>
      <c r="AC99" s="424">
        <f t="shared" si="38"/>
        <v>6.1145036199713653E-3</v>
      </c>
      <c r="AD99" s="169">
        <f>(INDEX(Models!$BJ99:$BT99,,AH99)*(1-AF99)+INDEX(Models!$BJ99:$BT99,,AH99+1)*AF99-ERP_i)*AE99*Ramure*Pc/MaxiM</f>
        <v>2.4079937616291797E-6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53.420999999999999</v>
      </c>
      <c r="C100" s="388"/>
      <c r="D100" s="391">
        <f t="shared" si="48"/>
        <v>53.492714869855128</v>
      </c>
      <c r="E100" s="383">
        <f t="shared" si="49"/>
        <v>53.826487046311691</v>
      </c>
      <c r="F100" s="383">
        <f t="shared" si="50"/>
        <v>53.82661692337178</v>
      </c>
      <c r="G100" s="110">
        <f t="shared" si="51"/>
        <v>0.99351524717267803</v>
      </c>
      <c r="I100" s="379">
        <f t="shared" si="24"/>
        <v>53.82661692337178</v>
      </c>
      <c r="J100" s="85">
        <v>2018</v>
      </c>
      <c r="K100" s="197">
        <f t="shared" si="25"/>
        <v>43551</v>
      </c>
      <c r="L100" s="435">
        <f t="shared" si="26"/>
        <v>1.3406474139442404E-3</v>
      </c>
      <c r="M100" s="842"/>
      <c r="N100" s="842"/>
      <c r="O100" s="323">
        <f t="shared" si="27"/>
        <v>6.2008909511294874E-3</v>
      </c>
      <c r="P100" s="169">
        <f>(INDEX(Models!$BJ100:$BT100,,T100)*(1-R100)+INDEX(Models!$BJ100:$BT100,,T100+1)*R100-ERP_i)*Q100*Ramure*Pc/MaxiM</f>
        <v>2.4354396767191224E-6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53.769681891399514</v>
      </c>
      <c r="W100" s="58"/>
      <c r="X100" s="157">
        <f t="shared" si="33"/>
        <v>43551</v>
      </c>
      <c r="Y100" s="383">
        <f t="shared" si="34"/>
        <v>53.420999999999999</v>
      </c>
      <c r="Z100" s="383">
        <f t="shared" si="35"/>
        <v>53.492714869855128</v>
      </c>
      <c r="AA100" s="384">
        <f t="shared" si="36"/>
        <v>53.826487046311691</v>
      </c>
      <c r="AB100" s="197">
        <f t="shared" si="37"/>
        <v>43551</v>
      </c>
      <c r="AC100" s="424">
        <f t="shared" si="38"/>
        <v>6.2008909511294874E-3</v>
      </c>
      <c r="AD100" s="169">
        <f>(INDEX(Models!$BJ100:$BT100,,AH100)*(1-AF100)+INDEX(Models!$BJ100:$BT100,,AH100+1)*AF100-ERP_i)*AE100*Ramure*Pc/MaxiM</f>
        <v>2.4354396767191224E-6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52.405000000000001</v>
      </c>
      <c r="C101" s="388"/>
      <c r="D101" s="391">
        <f t="shared" si="48"/>
        <v>52.476356640941518</v>
      </c>
      <c r="E101" s="383">
        <f t="shared" si="49"/>
        <v>52.808376861705639</v>
      </c>
      <c r="F101" s="383">
        <f t="shared" si="50"/>
        <v>52.80850109732495</v>
      </c>
      <c r="G101" s="110">
        <f t="shared" si="51"/>
        <v>0.96831448198304848</v>
      </c>
      <c r="I101" s="379">
        <f t="shared" si="24"/>
        <v>52.80850109732495</v>
      </c>
      <c r="J101" s="85">
        <v>2018</v>
      </c>
      <c r="K101" s="197">
        <f t="shared" si="25"/>
        <v>43552</v>
      </c>
      <c r="L101" s="435">
        <f t="shared" si="26"/>
        <v>1.359786492605819E-3</v>
      </c>
      <c r="M101" s="842"/>
      <c r="N101" s="842"/>
      <c r="O101" s="323">
        <f t="shared" si="27"/>
        <v>6.2872642655465698E-3</v>
      </c>
      <c r="P101" s="169">
        <f>(INDEX(Models!$BJ101:$BT101,,T101)*(1-R101)+INDEX(Models!$BJ101:$BT101,,T101+1)*R101-ERP_i)*Q101*Ramure*Pc/MaxiM</f>
        <v>2.4641059999089355E-6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54.119808316348255</v>
      </c>
      <c r="W101" s="58"/>
      <c r="X101" s="157">
        <f t="shared" si="33"/>
        <v>43552</v>
      </c>
      <c r="Y101" s="383">
        <f t="shared" si="34"/>
        <v>52.405000000000001</v>
      </c>
      <c r="Z101" s="383">
        <f t="shared" si="35"/>
        <v>52.476356640941518</v>
      </c>
      <c r="AA101" s="384">
        <f t="shared" si="36"/>
        <v>52.808376861705639</v>
      </c>
      <c r="AB101" s="197">
        <f t="shared" si="37"/>
        <v>43552</v>
      </c>
      <c r="AC101" s="424">
        <f t="shared" si="38"/>
        <v>6.2872642655465698E-3</v>
      </c>
      <c r="AD101" s="169">
        <f>(INDEX(Models!$BJ101:$BT101,,AH101)*(1-AF101)+INDEX(Models!$BJ101:$BT101,,AH101+1)*AF101-ERP_i)*AE101*Ramure*Pc/MaxiM</f>
        <v>2.4641059999089355E-6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52.863999999999997</v>
      </c>
      <c r="C102" s="388"/>
      <c r="D102" s="391">
        <f t="shared" si="48"/>
        <v>52.93699615825161</v>
      </c>
      <c r="E102" s="383">
        <f t="shared" si="49"/>
        <v>53.276561139865478</v>
      </c>
      <c r="F102" s="383">
        <f t="shared" si="50"/>
        <v>53.276688443249576</v>
      </c>
      <c r="G102" s="110">
        <f t="shared" si="51"/>
        <v>0.97062178631443585</v>
      </c>
      <c r="I102" s="379">
        <f t="shared" si="24"/>
        <v>53.276688443249576</v>
      </c>
      <c r="J102" s="85">
        <v>2018</v>
      </c>
      <c r="K102" s="197">
        <f t="shared" si="25"/>
        <v>43553</v>
      </c>
      <c r="L102" s="435">
        <f t="shared" si="26"/>
        <v>1.3789252044712486E-3</v>
      </c>
      <c r="M102" s="842"/>
      <c r="N102" s="842"/>
      <c r="O102" s="323">
        <f t="shared" si="27"/>
        <v>6.3736279960415467E-3</v>
      </c>
      <c r="P102" s="169">
        <f>(INDEX(Models!$BJ102:$BT102,,T102)*(1-R102)+INDEX(Models!$BJ102:$BT102,,T102+1)*R102-ERP_i)*Q102*Ramure*Pc/MaxiM</f>
        <v>2.4941527206426928E-6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54.464050994675226</v>
      </c>
      <c r="W102" s="58"/>
      <c r="X102" s="157">
        <f t="shared" si="33"/>
        <v>43553</v>
      </c>
      <c r="Y102" s="383">
        <f t="shared" si="34"/>
        <v>52.863999999999997</v>
      </c>
      <c r="Z102" s="383">
        <f t="shared" si="35"/>
        <v>52.93699615825161</v>
      </c>
      <c r="AA102" s="384">
        <f t="shared" si="36"/>
        <v>53.276561139865478</v>
      </c>
      <c r="AB102" s="197">
        <f t="shared" si="37"/>
        <v>43553</v>
      </c>
      <c r="AC102" s="424">
        <f t="shared" si="38"/>
        <v>6.3736279960415467E-3</v>
      </c>
      <c r="AD102" s="169">
        <f>(INDEX(Models!$BJ102:$BT102,,AH102)*(1-AF102)+INDEX(Models!$BJ102:$BT102,,AH102+1)*AF102-ERP_i)*AE102*Ramure*Pc/MaxiM</f>
        <v>2.4941527206426928E-6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53.802999999999997</v>
      </c>
      <c r="C103" s="388"/>
      <c r="D103" s="391">
        <f t="shared" si="48"/>
        <v>53.878325322744388</v>
      </c>
      <c r="E103" s="383">
        <f t="shared" si="49"/>
        <v>54.228641624903531</v>
      </c>
      <c r="F103" s="383">
        <f t="shared" si="50"/>
        <v>54.228775027955102</v>
      </c>
      <c r="G103" s="110">
        <f t="shared" si="51"/>
        <v>0.9817789094325583</v>
      </c>
      <c r="I103" s="379">
        <f t="shared" si="24"/>
        <v>54.228775027955102</v>
      </c>
      <c r="J103" s="85">
        <v>2018</v>
      </c>
      <c r="K103" s="197">
        <f t="shared" si="25"/>
        <v>43554</v>
      </c>
      <c r="L103" s="435">
        <f t="shared" si="26"/>
        <v>1.3980635495475235E-3</v>
      </c>
      <c r="M103" s="842"/>
      <c r="N103" s="842"/>
      <c r="O103" s="323">
        <f t="shared" si="27"/>
        <v>6.4599866723982959E-3</v>
      </c>
      <c r="P103" s="169">
        <f>(INDEX(Models!$BJ103:$BT103,,T103)*(1-R103)+INDEX(Models!$BJ103:$BT103,,T103+1)*R103-ERP_i)*Q103*Ramure*Pc/MaxiM</f>
        <v>2.5257502597839092E-6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54.80154029158119</v>
      </c>
      <c r="W103" s="58"/>
      <c r="X103" s="157">
        <f t="shared" si="33"/>
        <v>43554</v>
      </c>
      <c r="Y103" s="383">
        <f t="shared" si="34"/>
        <v>53.802999999999997</v>
      </c>
      <c r="Z103" s="383">
        <f t="shared" si="35"/>
        <v>53.878325322744388</v>
      </c>
      <c r="AA103" s="384">
        <f t="shared" si="36"/>
        <v>54.228641624903531</v>
      </c>
      <c r="AB103" s="197">
        <f t="shared" si="37"/>
        <v>43554</v>
      </c>
      <c r="AC103" s="424">
        <f t="shared" si="38"/>
        <v>6.4599866723982959E-3</v>
      </c>
      <c r="AD103" s="169">
        <f>(INDEX(Models!$BJ103:$BT103,,AH103)*(1-AF103)+INDEX(Models!$BJ103:$BT103,,AH103+1)*AF103-ERP_i)*AE103*Ramure*Pc/MaxiM</f>
        <v>2.5257502597839092E-6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45.543999999999997</v>
      </c>
      <c r="C104" s="388"/>
      <c r="D104" s="391">
        <f t="shared" si="48"/>
        <v>45.60863662951413</v>
      </c>
      <c r="E104" s="383">
        <f t="shared" si="49"/>
        <v>45.909173916654126</v>
      </c>
      <c r="F104" s="383">
        <f t="shared" si="50"/>
        <v>45.909262215228203</v>
      </c>
      <c r="G104" s="110">
        <f t="shared" si="51"/>
        <v>0.82609847244485823</v>
      </c>
      <c r="I104" s="379">
        <f t="shared" si="24"/>
        <v>45.909262215228203</v>
      </c>
      <c r="J104" s="85">
        <v>2018</v>
      </c>
      <c r="K104" s="197">
        <f t="shared" si="25"/>
        <v>43555</v>
      </c>
      <c r="L104" s="435">
        <f t="shared" si="26"/>
        <v>1.4172015278419714E-3</v>
      </c>
      <c r="M104" s="842"/>
      <c r="N104" s="842"/>
      <c r="O104" s="323">
        <f t="shared" si="27"/>
        <v>6.5463449132325893E-3</v>
      </c>
      <c r="P104" s="169">
        <f>(INDEX(Models!$BJ104:$BT104,,T104)*(1-R104)+INDEX(Models!$BJ104:$BT104,,T104+1)*R104-ERP_i)*Q104*Ramure*Pc/MaxiM</f>
        <v>2.5590804699395531E-6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55.131406925919975</v>
      </c>
      <c r="W104" s="58"/>
      <c r="X104" s="157">
        <f t="shared" si="33"/>
        <v>43555</v>
      </c>
      <c r="Y104" s="383">
        <f t="shared" si="34"/>
        <v>45.543999999999997</v>
      </c>
      <c r="Z104" s="383">
        <f t="shared" si="35"/>
        <v>45.60863662951413</v>
      </c>
      <c r="AA104" s="384">
        <f t="shared" si="36"/>
        <v>45.909173916654126</v>
      </c>
      <c r="AB104" s="197">
        <f t="shared" si="37"/>
        <v>43555</v>
      </c>
      <c r="AC104" s="424">
        <f t="shared" si="38"/>
        <v>6.5463449132325893E-3</v>
      </c>
      <c r="AD104" s="169">
        <f>(INDEX(Models!$BJ104:$BT104,,AH104)*(1-AF104)+INDEX(Models!$BJ104:$BT104,,AH104+1)*AF104-ERP_i)*AE104*Ramure*Pc/MaxiM</f>
        <v>2.5590804699395531E-6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39.637999999999998</v>
      </c>
      <c r="C105" s="388"/>
      <c r="D105" s="391">
        <f t="shared" si="48"/>
        <v>39.695015504406534</v>
      </c>
      <c r="E105" s="383">
        <f t="shared" si="49"/>
        <v>39.960058883373527</v>
      </c>
      <c r="F105" s="383">
        <f t="shared" si="50"/>
        <v>39.960120316220873</v>
      </c>
      <c r="G105" s="110">
        <f t="shared" si="51"/>
        <v>0.7148055821498458</v>
      </c>
      <c r="I105" s="379">
        <f t="shared" si="24"/>
        <v>39.960120316220873</v>
      </c>
      <c r="J105" s="85">
        <v>2018</v>
      </c>
      <c r="K105" s="197">
        <f t="shared" si="25"/>
        <v>43556</v>
      </c>
      <c r="L105" s="435">
        <f t="shared" si="26"/>
        <v>1.4363391393613645E-3</v>
      </c>
      <c r="M105" s="842"/>
      <c r="N105" s="842"/>
      <c r="O105" s="323">
        <f t="shared" si="27"/>
        <v>6.6327074176877419E-3</v>
      </c>
      <c r="P105" s="169">
        <f>(INDEX(Models!$BJ105:$BT105,,T105)*(1-R105)+INDEX(Models!$BJ105:$BT105,,T105+1)*R105-ERP_i)*Q105*Ramure*Pc/MaxiM</f>
        <v>2.5943377463979261E-6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55.452781977437112</v>
      </c>
      <c r="W105" s="58"/>
      <c r="X105" s="157">
        <f t="shared" si="33"/>
        <v>43556</v>
      </c>
      <c r="Y105" s="383">
        <f t="shared" si="34"/>
        <v>39.637999999999998</v>
      </c>
      <c r="Z105" s="383">
        <f t="shared" si="35"/>
        <v>39.695015504406534</v>
      </c>
      <c r="AA105" s="384">
        <f t="shared" si="36"/>
        <v>39.960058883373527</v>
      </c>
      <c r="AB105" s="197">
        <f t="shared" si="37"/>
        <v>43556</v>
      </c>
      <c r="AC105" s="424">
        <f t="shared" si="38"/>
        <v>6.6327074176877419E-3</v>
      </c>
      <c r="AD105" s="169">
        <f>(INDEX(Models!$BJ105:$BT105,,AH105)*(1-AF105)+INDEX(Models!$BJ105:$BT105,,AH105+1)*AF105-ERP_i)*AE105*Ramure*Pc/MaxiM</f>
        <v>2.5943377463979261E-6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16.885000000000002</v>
      </c>
      <c r="C106" s="388"/>
      <c r="D106" s="391">
        <f t="shared" si="48"/>
        <v>16.90961154026137</v>
      </c>
      <c r="E106" s="383">
        <f t="shared" si="49"/>
        <v>17.023997121081266</v>
      </c>
      <c r="F106" s="383">
        <f t="shared" si="50"/>
        <v>17.023997299625282</v>
      </c>
      <c r="G106" s="110">
        <f t="shared" si="51"/>
        <v>0.3027887965915288</v>
      </c>
      <c r="I106" s="379">
        <f t="shared" si="24"/>
        <v>17.023997299625282</v>
      </c>
      <c r="J106" s="85">
        <v>2018</v>
      </c>
      <c r="K106" s="197">
        <f t="shared" si="25"/>
        <v>43557</v>
      </c>
      <c r="L106" s="435">
        <f t="shared" si="26"/>
        <v>1.4554763841126972E-3</v>
      </c>
      <c r="M106" s="842"/>
      <c r="N106" s="842"/>
      <c r="O106" s="323">
        <f t="shared" si="27"/>
        <v>6.7190789569771285E-3</v>
      </c>
      <c r="P106" s="169">
        <f>(INDEX(Models!$BJ106:$BT106,,T106)*(1-R106)+INDEX(Models!$BJ106:$BT106,,T106+1)*R106-ERP_i)*Q106*Ramure*Pc/MaxiM</f>
        <v>2.6317302593424769E-6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55.764796882820804</v>
      </c>
      <c r="W106" s="58"/>
      <c r="X106" s="157">
        <f t="shared" si="33"/>
        <v>43557</v>
      </c>
      <c r="Y106" s="383">
        <f t="shared" si="34"/>
        <v>16.885000000000002</v>
      </c>
      <c r="Z106" s="383">
        <f t="shared" si="35"/>
        <v>16.90961154026137</v>
      </c>
      <c r="AA106" s="384">
        <f t="shared" si="36"/>
        <v>17.023997121081266</v>
      </c>
      <c r="AB106" s="197">
        <f t="shared" si="37"/>
        <v>43557</v>
      </c>
      <c r="AC106" s="424">
        <f t="shared" si="38"/>
        <v>6.7190789569771285E-3</v>
      </c>
      <c r="AD106" s="169">
        <f>(INDEX(Models!$BJ106:$BT106,,AH106)*(1-AF106)+INDEX(Models!$BJ106:$BT106,,AH106+1)*AF106-ERP_i)*AE106*Ramure*Pc/MaxiM</f>
        <v>2.6317302593424769E-6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15.369</v>
      </c>
      <c r="C107" s="388"/>
      <c r="D107" s="391">
        <f t="shared" si="48"/>
        <v>15.391696800227887</v>
      </c>
      <c r="E107" s="383">
        <f t="shared" si="49"/>
        <v>15.497162185250405</v>
      </c>
      <c r="F107" s="383">
        <f t="shared" si="50"/>
        <v>15.497162185250405</v>
      </c>
      <c r="G107" s="110">
        <f t="shared" si="51"/>
        <v>0.27410797247267282</v>
      </c>
      <c r="I107" s="379">
        <f t="shared" si="24"/>
        <v>15.497162185250405</v>
      </c>
      <c r="J107" s="85">
        <v>2018</v>
      </c>
      <c r="K107" s="197">
        <f t="shared" si="25"/>
        <v>43558</v>
      </c>
      <c r="L107" s="435">
        <f t="shared" si="26"/>
        <v>1.474613262103186E-3</v>
      </c>
      <c r="M107" s="842"/>
      <c r="N107" s="842"/>
      <c r="O107" s="323">
        <f t="shared" si="27"/>
        <v>6.8054643657853376E-3</v>
      </c>
      <c r="P107" s="169">
        <f>(INDEX(Models!$BJ107:$BT107,,T107)*(1-R107)+INDEX(Models!$BJ107:$BT107,,T107+1)*R107-ERP_i)*Q107*Ramure*Pc/MaxiM</f>
        <v>2.6713663447560987E-6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56.06899648022042</v>
      </c>
      <c r="W107" s="58"/>
      <c r="X107" s="157">
        <f t="shared" si="33"/>
        <v>43558</v>
      </c>
      <c r="Y107" s="383">
        <f t="shared" si="34"/>
        <v>15.369</v>
      </c>
      <c r="Z107" s="383">
        <f t="shared" si="35"/>
        <v>15.391696800227887</v>
      </c>
      <c r="AA107" s="384">
        <f t="shared" si="36"/>
        <v>15.497162185250405</v>
      </c>
      <c r="AB107" s="197">
        <f t="shared" si="37"/>
        <v>43558</v>
      </c>
      <c r="AC107" s="424">
        <f t="shared" si="38"/>
        <v>6.8054643657853376E-3</v>
      </c>
      <c r="AD107" s="169">
        <f>(INDEX(Models!$BJ107:$BT107,,AH107)*(1-AF107)+INDEX(Models!$BJ107:$BT107,,AH107+1)*AF107-ERP_i)*AE107*Ramure*Pc/MaxiM</f>
        <v>2.6713663447560987E-6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40.959000000000003</v>
      </c>
      <c r="C108" s="388"/>
      <c r="D108" s="391">
        <f t="shared" si="48"/>
        <v>41.020274025027227</v>
      </c>
      <c r="E108" s="383">
        <f t="shared" si="49"/>
        <v>41.30494225684658</v>
      </c>
      <c r="F108" s="383">
        <f t="shared" si="50"/>
        <v>41.305010556880433</v>
      </c>
      <c r="G108" s="110">
        <f t="shared" si="51"/>
        <v>0.72664222028680781</v>
      </c>
      <c r="I108" s="379">
        <f t="shared" si="24"/>
        <v>41.305010556880433</v>
      </c>
      <c r="J108" s="85">
        <v>2018</v>
      </c>
      <c r="K108" s="197">
        <f t="shared" si="25"/>
        <v>43559</v>
      </c>
      <c r="L108" s="435">
        <f t="shared" si="26"/>
        <v>1.4937497733398253E-3</v>
      </c>
      <c r="M108" s="842"/>
      <c r="N108" s="842"/>
      <c r="O108" s="323">
        <f t="shared" si="27"/>
        <v>6.8918685335328756E-3</v>
      </c>
      <c r="P108" s="169">
        <f>(INDEX(Models!$BJ108:$BT108,,T108)*(1-R108)+INDEX(Models!$BJ108:$BT108,,T108+1)*R108-ERP_i)*Q108*Ramure*Pc/MaxiM</f>
        <v>2.7130113272485718E-6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56.367432915496785</v>
      </c>
      <c r="W108" s="58"/>
      <c r="X108" s="157">
        <f t="shared" si="33"/>
        <v>43559</v>
      </c>
      <c r="Y108" s="383">
        <f t="shared" si="34"/>
        <v>40.959000000000003</v>
      </c>
      <c r="Z108" s="383">
        <f t="shared" si="35"/>
        <v>41.020274025027227</v>
      </c>
      <c r="AA108" s="384">
        <f t="shared" si="36"/>
        <v>41.30494225684658</v>
      </c>
      <c r="AB108" s="197">
        <f t="shared" si="37"/>
        <v>43559</v>
      </c>
      <c r="AC108" s="424">
        <f t="shared" si="38"/>
        <v>6.8918685335328756E-3</v>
      </c>
      <c r="AD108" s="169">
        <f>(INDEX(Models!$BJ108:$BT108,,AH108)*(1-AF108)+INDEX(Models!$BJ108:$BT108,,AH108+1)*AF108-ERP_i)*AE108*Ramure*Pc/MaxiM</f>
        <v>2.7130113272485718E-6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51.905000000000001</v>
      </c>
      <c r="C109" s="388"/>
      <c r="D109" s="391">
        <f t="shared" si="48"/>
        <v>51.983645324969594</v>
      </c>
      <c r="E109" s="383">
        <f t="shared" si="49"/>
        <v>52.348951826810989</v>
      </c>
      <c r="F109" s="383">
        <f t="shared" si="50"/>
        <v>52.349078782661046</v>
      </c>
      <c r="G109" s="110">
        <f t="shared" si="51"/>
        <v>0.91607807674078257</v>
      </c>
      <c r="I109" s="379">
        <f t="shared" si="24"/>
        <v>52.349078782661046</v>
      </c>
      <c r="J109" s="85">
        <v>2018</v>
      </c>
      <c r="K109" s="197">
        <f t="shared" si="25"/>
        <v>43560</v>
      </c>
      <c r="L109" s="435">
        <f t="shared" si="26"/>
        <v>1.5128859178294984E-3</v>
      </c>
      <c r="M109" s="842"/>
      <c r="N109" s="842"/>
      <c r="O109" s="323">
        <f t="shared" si="27"/>
        <v>6.9782963955029795E-3</v>
      </c>
      <c r="P109" s="169">
        <f>(INDEX(Models!$BJ109:$BT109,,T109)*(1-R109)+INDEX(Models!$BJ109:$BT109,,T109+1)*R109-ERP_i)*Q109*Ramure*Pc/MaxiM</f>
        <v>2.755533823408912E-6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56.65999893537721</v>
      </c>
      <c r="W109" s="58"/>
      <c r="X109" s="157">
        <f t="shared" si="33"/>
        <v>43560</v>
      </c>
      <c r="Y109" s="383">
        <f t="shared" si="34"/>
        <v>51.905000000000001</v>
      </c>
      <c r="Z109" s="383">
        <f t="shared" si="35"/>
        <v>51.983645324969594</v>
      </c>
      <c r="AA109" s="384">
        <f t="shared" si="36"/>
        <v>52.348951826810989</v>
      </c>
      <c r="AB109" s="197">
        <f t="shared" si="37"/>
        <v>43560</v>
      </c>
      <c r="AC109" s="424">
        <f t="shared" si="38"/>
        <v>6.9782963955029795E-3</v>
      </c>
      <c r="AD109" s="169">
        <f>(INDEX(Models!$BJ109:$BT109,,AH109)*(1-AF109)+INDEX(Models!$BJ109:$BT109,,AH109+1)*AF109-ERP_i)*AE109*Ramure*Pc/MaxiM</f>
        <v>2.755533823408912E-6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20.521000000000001</v>
      </c>
      <c r="C110" s="388"/>
      <c r="D110" s="391">
        <f t="shared" si="48"/>
        <v>20.552486855761138</v>
      </c>
      <c r="E110" s="383">
        <f t="shared" si="49"/>
        <v>20.698718185582106</v>
      </c>
      <c r="F110" s="383">
        <f t="shared" si="50"/>
        <v>20.698723180849782</v>
      </c>
      <c r="G110" s="110">
        <f t="shared" si="51"/>
        <v>0.36035429868764596</v>
      </c>
      <c r="I110" s="379">
        <f t="shared" si="24"/>
        <v>20.698723180849782</v>
      </c>
      <c r="J110" s="85">
        <v>2018</v>
      </c>
      <c r="K110" s="197">
        <f t="shared" si="25"/>
        <v>43561</v>
      </c>
      <c r="L110" s="435">
        <f t="shared" si="26"/>
        <v>1.5320216955794219E-3</v>
      </c>
      <c r="M110" s="842"/>
      <c r="N110" s="842"/>
      <c r="O110" s="323">
        <f t="shared" si="27"/>
        <v>7.064752923822375E-3</v>
      </c>
      <c r="P110" s="169">
        <f>(INDEX(Models!$BJ110:$BT110,,T110)*(1-R110)+INDEX(Models!$BJ110:$BT110,,T110+1)*R110-ERP_i)*Q110*Ramure*Pc/MaxiM</f>
        <v>2.7989710680464524E-6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56.946587259853679</v>
      </c>
      <c r="W110" s="58"/>
      <c r="X110" s="157">
        <f t="shared" si="33"/>
        <v>43561</v>
      </c>
      <c r="Y110" s="383">
        <f t="shared" si="34"/>
        <v>20.521000000000001</v>
      </c>
      <c r="Z110" s="383">
        <f t="shared" si="35"/>
        <v>20.552486855761138</v>
      </c>
      <c r="AA110" s="384">
        <f t="shared" si="36"/>
        <v>20.698718185582106</v>
      </c>
      <c r="AB110" s="197">
        <f t="shared" si="37"/>
        <v>43561</v>
      </c>
      <c r="AC110" s="424">
        <f t="shared" si="38"/>
        <v>7.064752923822375E-3</v>
      </c>
      <c r="AD110" s="169">
        <f>(INDEX(Models!$BJ110:$BT110,,AH110)*(1-AF110)+INDEX(Models!$BJ110:$BT110,,AH110+1)*AF110-ERP_i)*AE110*Ramure*Pc/MaxiM</f>
        <v>2.7989710680464524E-6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32.926000000000002</v>
      </c>
      <c r="C111" s="388"/>
      <c r="D111" s="391">
        <f t="shared" si="48"/>
        <v>32.977152744835472</v>
      </c>
      <c r="E111" s="383">
        <f t="shared" si="49"/>
        <v>33.21467898938424</v>
      </c>
      <c r="F111" s="383">
        <f t="shared" si="50"/>
        <v>33.214716139528342</v>
      </c>
      <c r="G111" s="110">
        <f t="shared" si="51"/>
        <v>0.57535588186074604</v>
      </c>
      <c r="I111" s="379">
        <f t="shared" si="24"/>
        <v>33.214716139528342</v>
      </c>
      <c r="J111" s="85">
        <v>2018</v>
      </c>
      <c r="K111" s="197">
        <f t="shared" si="25"/>
        <v>43562</v>
      </c>
      <c r="L111" s="435">
        <f t="shared" si="26"/>
        <v>1.5511571065964791E-3</v>
      </c>
      <c r="M111" s="842"/>
      <c r="N111" s="842"/>
      <c r="O111" s="323">
        <f t="shared" si="27"/>
        <v>7.1512431182816708E-3</v>
      </c>
      <c r="P111" s="169">
        <f>(INDEX(Models!$BJ111:$BT111,,T111)*(1-R111)+INDEX(Models!$BJ111:$BT111,,T111+1)*R111-ERP_i)*Q111*Ramure*Pc/MaxiM</f>
        <v>2.8433614720488761E-6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57.2270906489235</v>
      </c>
      <c r="W111" s="58"/>
      <c r="X111" s="157">
        <f t="shared" si="33"/>
        <v>43562</v>
      </c>
      <c r="Y111" s="383">
        <f t="shared" si="34"/>
        <v>32.926000000000002</v>
      </c>
      <c r="Z111" s="383">
        <f t="shared" si="35"/>
        <v>32.977152744835472</v>
      </c>
      <c r="AA111" s="384">
        <f t="shared" si="36"/>
        <v>33.21467898938424</v>
      </c>
      <c r="AB111" s="197">
        <f t="shared" si="37"/>
        <v>43562</v>
      </c>
      <c r="AC111" s="424">
        <f t="shared" si="38"/>
        <v>7.1512431182816708E-3</v>
      </c>
      <c r="AD111" s="169">
        <f>(INDEX(Models!$BJ111:$BT111,,AH111)*(1-AF111)+INDEX(Models!$BJ111:$BT111,,AH111+1)*AF111-ERP_i)*AE111*Ramure*Pc/MaxiM</f>
        <v>2.8433614720488761E-6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34.781999999999996</v>
      </c>
      <c r="C112" s="388"/>
      <c r="D112" s="391">
        <f t="shared" si="48"/>
        <v>34.83670380254393</v>
      </c>
      <c r="E112" s="383">
        <f t="shared" si="49"/>
        <v>35.090682159230759</v>
      </c>
      <c r="F112" s="383">
        <f t="shared" si="50"/>
        <v>35.090726310794409</v>
      </c>
      <c r="G112" s="110">
        <f t="shared" si="51"/>
        <v>0.60488861376644643</v>
      </c>
      <c r="I112" s="379">
        <f t="shared" si="24"/>
        <v>35.090726310794409</v>
      </c>
      <c r="J112" s="85">
        <v>2018</v>
      </c>
      <c r="K112" s="197">
        <f t="shared" si="25"/>
        <v>43563</v>
      </c>
      <c r="L112" s="435">
        <f t="shared" si="26"/>
        <v>1.5702921508876644E-3</v>
      </c>
      <c r="M112" s="842"/>
      <c r="N112" s="842"/>
      <c r="O112" s="323">
        <f t="shared" si="27"/>
        <v>7.2377719969750004E-3</v>
      </c>
      <c r="P112" s="169">
        <f>(INDEX(Models!$BJ112:$BT112,,T112)*(1-R112)+INDEX(Models!$BJ112:$BT112,,T112+1)*R112-ERP_i)*Q112*Ramure*Pc/MaxiM</f>
        <v>2.8887446953881681E-6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57.501401902997117</v>
      </c>
      <c r="W112" s="58"/>
      <c r="X112" s="157">
        <f t="shared" si="33"/>
        <v>43563</v>
      </c>
      <c r="Y112" s="383">
        <f t="shared" si="34"/>
        <v>34.781999999999996</v>
      </c>
      <c r="Z112" s="383">
        <f t="shared" si="35"/>
        <v>34.83670380254393</v>
      </c>
      <c r="AA112" s="384">
        <f t="shared" si="36"/>
        <v>35.090682159230759</v>
      </c>
      <c r="AB112" s="197">
        <f t="shared" si="37"/>
        <v>43563</v>
      </c>
      <c r="AC112" s="424">
        <f t="shared" si="38"/>
        <v>7.2377719969750004E-3</v>
      </c>
      <c r="AD112" s="169">
        <f>(INDEX(Models!$BJ112:$BT112,,AH112)*(1-AF112)+INDEX(Models!$BJ112:$BT112,,AH112+1)*AF112-ERP_i)*AE112*Ramure*Pc/MaxiM</f>
        <v>2.8887446953881681E-6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41.207000000000001</v>
      </c>
      <c r="C113" s="388"/>
      <c r="D113" s="391">
        <f t="shared" si="48"/>
        <v>41.272599777366445</v>
      </c>
      <c r="E113" s="383">
        <f t="shared" si="49"/>
        <v>41.577124967554511</v>
      </c>
      <c r="F113" s="383">
        <f t="shared" si="50"/>
        <v>41.577197021208846</v>
      </c>
      <c r="G113" s="110">
        <f t="shared" si="51"/>
        <v>0.71330047699587851</v>
      </c>
      <c r="I113" s="379">
        <f t="shared" si="24"/>
        <v>41.577197021208846</v>
      </c>
      <c r="J113" s="85">
        <v>2018</v>
      </c>
      <c r="K113" s="197">
        <f t="shared" si="25"/>
        <v>43564</v>
      </c>
      <c r="L113" s="435">
        <f t="shared" si="26"/>
        <v>1.5894268284601942E-3</v>
      </c>
      <c r="M113" s="842"/>
      <c r="N113" s="842"/>
      <c r="O113" s="323">
        <f t="shared" si="27"/>
        <v>7.3243445867337935E-3</v>
      </c>
      <c r="P113" s="169">
        <f>(INDEX(Models!$BJ113:$BT113,,T113)*(1-R113)+INDEX(Models!$BJ113:$BT113,,T113+1)*R113-ERP_i)*Q113*Ramure*Pc/MaxiM</f>
        <v>2.9351617331105643E-6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57.769413860972783</v>
      </c>
      <c r="W113" s="58"/>
      <c r="X113" s="157">
        <f t="shared" si="33"/>
        <v>43564</v>
      </c>
      <c r="Y113" s="383">
        <f t="shared" si="34"/>
        <v>41.207000000000001</v>
      </c>
      <c r="Z113" s="383">
        <f t="shared" si="35"/>
        <v>41.272599777366445</v>
      </c>
      <c r="AA113" s="384">
        <f t="shared" si="36"/>
        <v>41.577124967554511</v>
      </c>
      <c r="AB113" s="197">
        <f t="shared" si="37"/>
        <v>43564</v>
      </c>
      <c r="AC113" s="424">
        <f t="shared" si="38"/>
        <v>7.3243445867337935E-3</v>
      </c>
      <c r="AD113" s="169">
        <f>(INDEX(Models!$BJ113:$BT113,,AH113)*(1-AF113)+INDEX(Models!$BJ113:$BT113,,AH113+1)*AF113-ERP_i)*AE113*Ramure*Pc/MaxiM</f>
        <v>2.9351617331105643E-6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33.856000000000002</v>
      </c>
      <c r="C114" s="388"/>
      <c r="D114" s="391">
        <f t="shared" si="48"/>
        <v>33.910547188420402</v>
      </c>
      <c r="E114" s="383">
        <f t="shared" si="49"/>
        <v>34.163733452508836</v>
      </c>
      <c r="F114" s="383">
        <f t="shared" si="50"/>
        <v>34.163774716694135</v>
      </c>
      <c r="G114" s="110">
        <f t="shared" si="51"/>
        <v>0.58341108353049131</v>
      </c>
      <c r="I114" s="379">
        <f t="shared" si="24"/>
        <v>34.163774716694135</v>
      </c>
      <c r="J114" s="85">
        <v>2018</v>
      </c>
      <c r="K114" s="197">
        <f t="shared" si="25"/>
        <v>43565</v>
      </c>
      <c r="L114" s="435">
        <f t="shared" si="26"/>
        <v>1.608561139320952E-3</v>
      </c>
      <c r="M114" s="842"/>
      <c r="N114" s="842"/>
      <c r="O114" s="323">
        <f t="shared" si="27"/>
        <v>7.4109659133241275E-3</v>
      </c>
      <c r="P114" s="169">
        <f>(INDEX(Models!$BJ114:$BT114,,T114)*(1-R114)+INDEX(Models!$BJ114:$BT114,,T114+1)*R114-ERP_i)*Q114*Ramure*Pc/MaxiM</f>
        <v>2.9832321311680279E-6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58.031019375200643</v>
      </c>
      <c r="W114" s="58"/>
      <c r="X114" s="157">
        <f t="shared" si="33"/>
        <v>43565</v>
      </c>
      <c r="Y114" s="383">
        <f t="shared" si="34"/>
        <v>33.856000000000002</v>
      </c>
      <c r="Z114" s="383">
        <f t="shared" si="35"/>
        <v>33.910547188420402</v>
      </c>
      <c r="AA114" s="384">
        <f t="shared" si="36"/>
        <v>34.163733452508836</v>
      </c>
      <c r="AB114" s="197">
        <f t="shared" si="37"/>
        <v>43565</v>
      </c>
      <c r="AC114" s="424">
        <f t="shared" si="38"/>
        <v>7.4109659133241275E-3</v>
      </c>
      <c r="AD114" s="169">
        <f>(INDEX(Models!$BJ114:$BT114,,AH114)*(1-AF114)+INDEX(Models!$BJ114:$BT114,,AH114+1)*AF114-ERP_i)*AE114*Ramure*Pc/MaxiM</f>
        <v>2.9832321311680279E-6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9.7829999999999995</v>
      </c>
      <c r="C115" s="388"/>
      <c r="D115" s="391">
        <f t="shared" si="48"/>
        <v>9.7989497022535961</v>
      </c>
      <c r="E115" s="383">
        <f t="shared" si="49"/>
        <v>9.8729737146835621</v>
      </c>
      <c r="F115" s="383">
        <f t="shared" si="50"/>
        <v>9.8729737146835621</v>
      </c>
      <c r="G115" s="110">
        <f t="shared" si="51"/>
        <v>0.16784393568214034</v>
      </c>
      <c r="I115" s="379">
        <f t="shared" si="24"/>
        <v>9.8729737146835621</v>
      </c>
      <c r="J115" s="85">
        <v>2018</v>
      </c>
      <c r="K115" s="197">
        <f t="shared" si="25"/>
        <v>43566</v>
      </c>
      <c r="L115" s="435">
        <f t="shared" si="26"/>
        <v>1.6276950834770432E-3</v>
      </c>
      <c r="M115" s="842"/>
      <c r="N115" s="842"/>
      <c r="O115" s="323">
        <f t="shared" si="27"/>
        <v>7.4976409913737824E-3</v>
      </c>
      <c r="P115" s="169">
        <f>(INDEX(Models!$BJ115:$BT115,,T115)*(1-R115)+INDEX(Models!$BJ115:$BT115,,T115+1)*R115-ERP_i)*Q115*Ramure*Pc/MaxiM</f>
        <v>3.031305836699197E-6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58.286111470013431</v>
      </c>
      <c r="W115" s="58"/>
      <c r="X115" s="157">
        <f t="shared" si="33"/>
        <v>43566</v>
      </c>
      <c r="Y115" s="383">
        <f t="shared" si="34"/>
        <v>9.7829999999999995</v>
      </c>
      <c r="Z115" s="383">
        <f t="shared" si="35"/>
        <v>9.7989497022535961</v>
      </c>
      <c r="AA115" s="384">
        <f t="shared" si="36"/>
        <v>9.8729737146835621</v>
      </c>
      <c r="AB115" s="197">
        <f t="shared" si="37"/>
        <v>43566</v>
      </c>
      <c r="AC115" s="424">
        <f t="shared" si="38"/>
        <v>7.4976409913737824E-3</v>
      </c>
      <c r="AD115" s="169">
        <f>(INDEX(Models!$BJ115:$BT115,,AH115)*(1-AF115)+INDEX(Models!$BJ115:$BT115,,AH115+1)*AF115-ERP_i)*AE115*Ramure*Pc/MaxiM</f>
        <v>3.031305836699197E-6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58.314999999999998</v>
      </c>
      <c r="C116" s="388"/>
      <c r="D116" s="391">
        <f t="shared" si="48"/>
        <v>58.411193227125871</v>
      </c>
      <c r="E116" s="383">
        <f t="shared" si="49"/>
        <v>58.85759125988961</v>
      </c>
      <c r="F116" s="383">
        <f t="shared" si="50"/>
        <v>58.857771528976158</v>
      </c>
      <c r="G116" s="110">
        <f t="shared" si="51"/>
        <v>0.99624864350391995</v>
      </c>
      <c r="I116" s="379">
        <f t="shared" si="24"/>
        <v>58.857771528976158</v>
      </c>
      <c r="J116" s="85">
        <v>2018</v>
      </c>
      <c r="K116" s="197">
        <f t="shared" si="25"/>
        <v>43567</v>
      </c>
      <c r="L116" s="435">
        <f t="shared" si="26"/>
        <v>1.6468286609354621E-3</v>
      </c>
      <c r="M116" s="842"/>
      <c r="N116" s="842"/>
      <c r="O116" s="323">
        <f t="shared" si="27"/>
        <v>7.584374813992001E-3</v>
      </c>
      <c r="P116" s="169">
        <f>(INDEX(Models!$BJ116:$BT116,,T116)*(1-R116)+INDEX(Models!$BJ116:$BT116,,T116+1)*R116-ERP_i)*Q116*Ramure*Pc/MaxiM</f>
        <v>3.0792936823703076E-6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58.534583126332748</v>
      </c>
      <c r="W116" s="58"/>
      <c r="X116" s="157">
        <f t="shared" si="33"/>
        <v>43567</v>
      </c>
      <c r="Y116" s="383">
        <f t="shared" si="34"/>
        <v>58.314999999999998</v>
      </c>
      <c r="Z116" s="383">
        <f t="shared" si="35"/>
        <v>58.411193227125871</v>
      </c>
      <c r="AA116" s="384">
        <f t="shared" si="36"/>
        <v>58.85759125988961</v>
      </c>
      <c r="AB116" s="197">
        <f t="shared" si="37"/>
        <v>43567</v>
      </c>
      <c r="AC116" s="424">
        <f t="shared" si="38"/>
        <v>7.584374813992001E-3</v>
      </c>
      <c r="AD116" s="169">
        <f>(INDEX(Models!$BJ116:$BT116,,AH116)*(1-AF116)+INDEX(Models!$BJ116:$BT116,,AH116+1)*AF116-ERP_i)*AE116*Ramure*Pc/MaxiM</f>
        <v>3.0792936823703076E-6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58.268000000000001</v>
      </c>
      <c r="C117" s="388"/>
      <c r="D117" s="391">
        <f t="shared" si="48"/>
        <v>58.365234254901694</v>
      </c>
      <c r="E117" s="383">
        <f t="shared" si="49"/>
        <v>58.816425189069903</v>
      </c>
      <c r="F117" s="383">
        <f t="shared" si="50"/>
        <v>58.816606841862637</v>
      </c>
      <c r="G117" s="110">
        <f t="shared" si="51"/>
        <v>0.99135145660029855</v>
      </c>
      <c r="I117" s="379">
        <f t="shared" si="24"/>
        <v>58.816606841862637</v>
      </c>
      <c r="J117" s="85">
        <v>2018</v>
      </c>
      <c r="K117" s="197">
        <f t="shared" si="25"/>
        <v>43568</v>
      </c>
      <c r="L117" s="435">
        <f t="shared" si="26"/>
        <v>1.6659618717032032E-3</v>
      </c>
      <c r="M117" s="842"/>
      <c r="N117" s="842"/>
      <c r="O117" s="323">
        <f t="shared" si="27"/>
        <v>7.6711723420426637E-3</v>
      </c>
      <c r="P117" s="169">
        <f>(INDEX(Models!$BJ117:$BT117,,T117)*(1-R117)+INDEX(Models!$BJ117:$BT117,,T117+1)*R117-ERP_i)*Q117*Ramure*Pc/MaxiM</f>
        <v>3.1270962346428601E-6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58.776327366899267</v>
      </c>
      <c r="W117" s="58"/>
      <c r="X117" s="157">
        <f t="shared" si="33"/>
        <v>43568</v>
      </c>
      <c r="Y117" s="383">
        <f t="shared" si="34"/>
        <v>58.268000000000001</v>
      </c>
      <c r="Z117" s="383">
        <f t="shared" si="35"/>
        <v>58.365234254901694</v>
      </c>
      <c r="AA117" s="384">
        <f t="shared" si="36"/>
        <v>58.816425189069903</v>
      </c>
      <c r="AB117" s="197">
        <f t="shared" si="37"/>
        <v>43568</v>
      </c>
      <c r="AC117" s="424">
        <f t="shared" si="38"/>
        <v>7.6711723420426637E-3</v>
      </c>
      <c r="AD117" s="169">
        <f>(INDEX(Models!$BJ117:$BT117,,AH117)*(1-AF117)+INDEX(Models!$BJ117:$BT117,,AH117+1)*AF117-ERP_i)*AE117*Ramure*Pc/MaxiM</f>
        <v>3.1270962346428601E-6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28.927</v>
      </c>
      <c r="C118" s="388"/>
      <c r="D118" s="391">
        <f t="shared" si="48"/>
        <v>28.97582701298515</v>
      </c>
      <c r="E118" s="383">
        <f t="shared" si="49"/>
        <v>29.20238020268571</v>
      </c>
      <c r="F118" s="383">
        <f t="shared" si="50"/>
        <v>29.202405391549902</v>
      </c>
      <c r="G118" s="110">
        <f t="shared" si="51"/>
        <v>0.49019363869382071</v>
      </c>
      <c r="I118" s="379">
        <f t="shared" si="24"/>
        <v>29.202405391549902</v>
      </c>
      <c r="J118" s="85">
        <v>2018</v>
      </c>
      <c r="K118" s="197">
        <f t="shared" si="25"/>
        <v>43569</v>
      </c>
      <c r="L118" s="435">
        <f t="shared" si="26"/>
        <v>1.6850947157873719E-3</v>
      </c>
      <c r="M118" s="842"/>
      <c r="N118" s="842"/>
      <c r="O118" s="323">
        <f t="shared" si="27"/>
        <v>7.7580384930308966E-3</v>
      </c>
      <c r="P118" s="169">
        <f>(INDEX(Models!$BJ118:$BT118,,T118)*(1-R118)+INDEX(Models!$BJ118:$BT118,,T118+1)*R118-ERP_i)*Q118*Ramure*Pc/MaxiM</f>
        <v>3.1746030130767017E-6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59.01123726654302</v>
      </c>
      <c r="W118" s="58"/>
      <c r="X118" s="157">
        <f t="shared" si="33"/>
        <v>43569</v>
      </c>
      <c r="Y118" s="383">
        <f t="shared" si="34"/>
        <v>28.927</v>
      </c>
      <c r="Z118" s="383">
        <f t="shared" si="35"/>
        <v>28.97582701298515</v>
      </c>
      <c r="AA118" s="384">
        <f t="shared" si="36"/>
        <v>29.20238020268571</v>
      </c>
      <c r="AB118" s="197">
        <f t="shared" si="37"/>
        <v>43569</v>
      </c>
      <c r="AC118" s="424">
        <f t="shared" si="38"/>
        <v>7.7580384930308966E-3</v>
      </c>
      <c r="AD118" s="169">
        <f>(INDEX(Models!$BJ118:$BT118,,AH118)*(1-AF118)+INDEX(Models!$BJ118:$BT118,,AH118+1)*AF118-ERP_i)*AE118*Ramure*Pc/MaxiM</f>
        <v>3.1746030130767017E-6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39.384999999999998</v>
      </c>
      <c r="C119" s="388"/>
      <c r="D119" s="391">
        <f t="shared" si="48"/>
        <v>39.452235572695315</v>
      </c>
      <c r="E119" s="383">
        <f t="shared" si="49"/>
        <v>39.764184732259807</v>
      </c>
      <c r="F119" s="383">
        <f t="shared" si="50"/>
        <v>39.764251503487039</v>
      </c>
      <c r="G119" s="110">
        <f t="shared" si="51"/>
        <v>0.66484583342314574</v>
      </c>
      <c r="I119" s="379">
        <f t="shared" si="24"/>
        <v>39.764251503487039</v>
      </c>
      <c r="J119" s="85">
        <v>2018</v>
      </c>
      <c r="K119" s="197">
        <f t="shared" si="25"/>
        <v>43570</v>
      </c>
      <c r="L119" s="435">
        <f t="shared" si="26"/>
        <v>1.7042271931948516E-3</v>
      </c>
      <c r="M119" s="842"/>
      <c r="N119" s="842"/>
      <c r="O119" s="323">
        <f t="shared" si="27"/>
        <v>7.8449781295631456E-3</v>
      </c>
      <c r="P119" s="169">
        <f>(INDEX(Models!$BJ119:$BT119,,T119)*(1-R119)+INDEX(Models!$BJ119:$BT119,,T119+1)*R119-ERP_i)*Q119*Ramure*Pc/MaxiM</f>
        <v>3.2216916749331E-6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59.239205945209378</v>
      </c>
      <c r="W119" s="58"/>
      <c r="X119" s="157">
        <f t="shared" si="33"/>
        <v>43570</v>
      </c>
      <c r="Y119" s="383">
        <f t="shared" si="34"/>
        <v>39.384999999999998</v>
      </c>
      <c r="Z119" s="383">
        <f t="shared" si="35"/>
        <v>39.452235572695315</v>
      </c>
      <c r="AA119" s="384">
        <f t="shared" si="36"/>
        <v>39.764184732259807</v>
      </c>
      <c r="AB119" s="197">
        <f t="shared" si="37"/>
        <v>43570</v>
      </c>
      <c r="AC119" s="424">
        <f t="shared" si="38"/>
        <v>7.8449781295631456E-3</v>
      </c>
      <c r="AD119" s="169">
        <f>(INDEX(Models!$BJ119:$BT119,,AH119)*(1-AF119)+INDEX(Models!$BJ119:$BT119,,AH119+1)*AF119-ERP_i)*AE119*Ramure*Pc/MaxiM</f>
        <v>3.2216916749331E-6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35.451000000000001</v>
      </c>
      <c r="C120" s="388"/>
      <c r="D120" s="391">
        <f t="shared" si="48"/>
        <v>35.512200280756971</v>
      </c>
      <c r="E120" s="383">
        <f t="shared" si="49"/>
        <v>35.796135082743405</v>
      </c>
      <c r="F120" s="383">
        <f t="shared" si="50"/>
        <v>35.796184588705344</v>
      </c>
      <c r="G120" s="110">
        <f t="shared" si="51"/>
        <v>0.59621355029501344</v>
      </c>
      <c r="I120" s="379">
        <f t="shared" si="24"/>
        <v>35.796184588705344</v>
      </c>
      <c r="J120" s="85">
        <v>2018</v>
      </c>
      <c r="K120" s="197">
        <f t="shared" si="25"/>
        <v>43571</v>
      </c>
      <c r="L120" s="435">
        <f t="shared" si="26"/>
        <v>1.7233593039328587E-3</v>
      </c>
      <c r="M120" s="842"/>
      <c r="N120" s="842"/>
      <c r="O120" s="323">
        <f t="shared" si="27"/>
        <v>7.9319960473416985E-3</v>
      </c>
      <c r="P120" s="169">
        <f>(INDEX(Models!$BJ120:$BT120,,T120)*(1-R120)+INDEX(Models!$BJ120:$BT120,,T120+1)*R120-ERP_i)*Q120*Ramure*Pc/MaxiM</f>
        <v>3.2682271637066947E-6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59.460126575483002</v>
      </c>
      <c r="W120" s="58"/>
      <c r="X120" s="157">
        <f t="shared" si="33"/>
        <v>43571</v>
      </c>
      <c r="Y120" s="383">
        <f t="shared" si="34"/>
        <v>35.451000000000001</v>
      </c>
      <c r="Z120" s="383">
        <f t="shared" si="35"/>
        <v>35.512200280756971</v>
      </c>
      <c r="AA120" s="384">
        <f t="shared" si="36"/>
        <v>35.796135082743405</v>
      </c>
      <c r="AB120" s="197">
        <f t="shared" si="37"/>
        <v>43571</v>
      </c>
      <c r="AC120" s="424">
        <f t="shared" si="38"/>
        <v>7.9319960473416985E-3</v>
      </c>
      <c r="AD120" s="169">
        <f>(INDEX(Models!$BJ120:$BT120,,AH120)*(1-AF120)+INDEX(Models!$BJ120:$BT120,,AH120+1)*AF120-ERP_i)*AE120*Ramure*Pc/MaxiM</f>
        <v>3.2682271637066947E-6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38.002000000000002</v>
      </c>
      <c r="C121" s="388"/>
      <c r="D121" s="391">
        <f t="shared" si="48"/>
        <v>38.068333730738402</v>
      </c>
      <c r="E121" s="383">
        <f t="shared" si="49"/>
        <v>38.376075198803861</v>
      </c>
      <c r="F121" s="383">
        <f t="shared" si="50"/>
        <v>38.376136395226318</v>
      </c>
      <c r="G121" s="110">
        <f t="shared" si="51"/>
        <v>0.63682391232540292</v>
      </c>
      <c r="I121" s="379">
        <f t="shared" si="24"/>
        <v>38.376136395226318</v>
      </c>
      <c r="J121" s="85">
        <v>2018</v>
      </c>
      <c r="K121" s="197">
        <f t="shared" si="25"/>
        <v>43572</v>
      </c>
      <c r="L121" s="435">
        <f t="shared" si="26"/>
        <v>1.7424910480082767E-3</v>
      </c>
      <c r="M121" s="842"/>
      <c r="N121" s="842"/>
      <c r="O121" s="323">
        <f t="shared" si="27"/>
        <v>8.0190969626578665E-3</v>
      </c>
      <c r="P121" s="169">
        <f>(INDEX(Models!$BJ121:$BT121,,T121)*(1-R121)+INDEX(Models!$BJ121:$BT121,,T121+1)*R121-ERP_i)*Q121*Ramure*Pc/MaxiM</f>
        <v>3.314045732542701E-6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59.674164119513144</v>
      </c>
      <c r="W121" s="58"/>
      <c r="X121" s="157">
        <f t="shared" si="33"/>
        <v>43572</v>
      </c>
      <c r="Y121" s="383">
        <f t="shared" si="34"/>
        <v>38.002000000000002</v>
      </c>
      <c r="Z121" s="383">
        <f t="shared" si="35"/>
        <v>38.068333730738402</v>
      </c>
      <c r="AA121" s="384">
        <f t="shared" si="36"/>
        <v>38.376075198803861</v>
      </c>
      <c r="AB121" s="197">
        <f t="shared" si="37"/>
        <v>43572</v>
      </c>
      <c r="AC121" s="424">
        <f t="shared" si="38"/>
        <v>8.0190969626578665E-3</v>
      </c>
      <c r="AD121" s="169">
        <f>(INDEX(Models!$BJ121:$BT121,,AH121)*(1-AF121)+INDEX(Models!$BJ121:$BT121,,AH121+1)*AF121-ERP_i)*AE121*Ramure*Pc/MaxiM</f>
        <v>3.314045732542701E-6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28.565999999999999</v>
      </c>
      <c r="C122" s="388"/>
      <c r="D122" s="391">
        <f t="shared" si="48"/>
        <v>28.616411311902322</v>
      </c>
      <c r="E122" s="383">
        <f t="shared" si="49"/>
        <v>28.850279917650983</v>
      </c>
      <c r="F122" s="383">
        <f t="shared" si="50"/>
        <v>28.850304439571868</v>
      </c>
      <c r="G122" s="110">
        <f t="shared" si="51"/>
        <v>0.47704051578242007</v>
      </c>
      <c r="H122" s="17"/>
      <c r="I122" s="379">
        <f t="shared" si="24"/>
        <v>28.850304439571868</v>
      </c>
      <c r="J122" s="85">
        <v>2018</v>
      </c>
      <c r="K122" s="197">
        <f t="shared" si="25"/>
        <v>43573</v>
      </c>
      <c r="L122" s="451">
        <f t="shared" si="26"/>
        <v>1.7616224254282109E-3</v>
      </c>
      <c r="M122" s="842"/>
      <c r="N122" s="842"/>
      <c r="O122" s="323">
        <f t="shared" si="27"/>
        <v>8.1062854993506871E-3</v>
      </c>
      <c r="P122" s="169">
        <f>(INDEX(Models!$BJ122:$BT122,,T122)*(1-R122)+INDEX(Models!$BJ122:$BT122,,T122+1)*R122-ERP_i)*Q122*Ramure*Pc/MaxiM</f>
        <v>3.3606750547451592E-6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59.881555830353854</v>
      </c>
      <c r="W122" s="433"/>
      <c r="X122" s="157">
        <f t="shared" si="33"/>
        <v>43573</v>
      </c>
      <c r="Y122" s="383">
        <f t="shared" si="34"/>
        <v>28.565999999999999</v>
      </c>
      <c r="Z122" s="383">
        <f t="shared" si="35"/>
        <v>28.616411311902322</v>
      </c>
      <c r="AA122" s="384">
        <f t="shared" si="36"/>
        <v>28.850279917650983</v>
      </c>
      <c r="AB122" s="197">
        <f t="shared" si="37"/>
        <v>43573</v>
      </c>
      <c r="AC122" s="450">
        <f t="shared" si="38"/>
        <v>8.1062854993506871E-3</v>
      </c>
      <c r="AD122" s="169">
        <f>(INDEX(Models!$BJ122:$BT122,,AH122)*(1-AF122)+INDEX(Models!$BJ122:$BT122,,AH122+1)*AF122-ERP_i)*AE122*Ramure*Pc/MaxiM</f>
        <v>3.3606750547451592E-6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51.302</v>
      </c>
      <c r="C123" s="388"/>
      <c r="D123" s="391">
        <f t="shared" si="48"/>
        <v>51.393519185888664</v>
      </c>
      <c r="E123" s="383">
        <f t="shared" si="49"/>
        <v>51.818094169539734</v>
      </c>
      <c r="F123" s="383">
        <f t="shared" si="50"/>
        <v>51.818233928199938</v>
      </c>
      <c r="G123" s="110">
        <f t="shared" si="51"/>
        <v>0.8538614622921098</v>
      </c>
      <c r="H123" s="434"/>
      <c r="I123" s="379">
        <f t="shared" si="24"/>
        <v>51.818233928199938</v>
      </c>
      <c r="J123" s="85">
        <v>2018</v>
      </c>
      <c r="K123" s="197">
        <f t="shared" si="25"/>
        <v>43574</v>
      </c>
      <c r="L123" s="435">
        <f t="shared" si="26"/>
        <v>1.7807534361996558E-3</v>
      </c>
      <c r="M123" s="842"/>
      <c r="N123" s="842"/>
      <c r="O123" s="323">
        <f t="shared" si="27"/>
        <v>8.1935661752038213E-3</v>
      </c>
      <c r="P123" s="169">
        <f>(INDEX(Models!$BJ123:$BT123,,T123)*(1-R123)+INDEX(Models!$BJ123:$BT123,,T123+1)*R123-ERP_i)*Q123*Ramure*Pc/MaxiM</f>
        <v>3.4087294830422652E-6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60.082303461588495</v>
      </c>
      <c r="W123" s="433"/>
      <c r="X123" s="157">
        <f t="shared" si="33"/>
        <v>43574</v>
      </c>
      <c r="Y123" s="383">
        <f t="shared" si="34"/>
        <v>51.302</v>
      </c>
      <c r="Z123" s="383">
        <f t="shared" si="35"/>
        <v>51.393519185888664</v>
      </c>
      <c r="AA123" s="384">
        <f t="shared" si="36"/>
        <v>51.818094169539734</v>
      </c>
      <c r="AB123" s="197">
        <f t="shared" si="37"/>
        <v>43574</v>
      </c>
      <c r="AC123" s="436">
        <f t="shared" si="38"/>
        <v>8.1935661752038213E-3</v>
      </c>
      <c r="AD123" s="169">
        <f>(INDEX(Models!$BJ123:$BT123,,AH123)*(1-AF123)+INDEX(Models!$BJ123:$BT123,,AH123+1)*AF123-ERP_i)*AE123*Ramure*Pc/MaxiM</f>
        <v>3.4087294830422652E-6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52.051000000000002</v>
      </c>
      <c r="C124" s="388"/>
      <c r="D124" s="391">
        <f t="shared" si="48"/>
        <v>52.144854693834539</v>
      </c>
      <c r="E124" s="383">
        <f t="shared" si="49"/>
        <v>52.580268924108218</v>
      </c>
      <c r="F124" s="383">
        <f t="shared" si="50"/>
        <v>52.580415314681325</v>
      </c>
      <c r="G124" s="110">
        <f t="shared" si="51"/>
        <v>0.86353792369314031</v>
      </c>
      <c r="I124" s="379">
        <f t="shared" si="24"/>
        <v>52.580415314681325</v>
      </c>
      <c r="J124" s="85">
        <v>2018</v>
      </c>
      <c r="K124" s="197">
        <f t="shared" si="25"/>
        <v>43575</v>
      </c>
      <c r="L124" s="435">
        <f t="shared" si="26"/>
        <v>1.7998840803296057E-3</v>
      </c>
      <c r="M124" s="842"/>
      <c r="N124" s="842"/>
      <c r="O124" s="323">
        <f t="shared" si="27"/>
        <v>8.2809433877588136E-3</v>
      </c>
      <c r="P124" s="169">
        <f>(INDEX(Models!$BJ124:$BT124,,T124)*(1-R124)+INDEX(Models!$BJ124:$BT124,,T124+1)*R124-ERP_i)*Q124*Ramure*Pc/MaxiM</f>
        <v>3.4583069920194859E-6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60.276408806192634</v>
      </c>
      <c r="W124" s="58"/>
      <c r="X124" s="157">
        <f t="shared" si="33"/>
        <v>43575</v>
      </c>
      <c r="Y124" s="383">
        <f t="shared" si="34"/>
        <v>52.051000000000002</v>
      </c>
      <c r="Z124" s="383">
        <f t="shared" si="35"/>
        <v>52.144854693834539</v>
      </c>
      <c r="AA124" s="384">
        <f t="shared" si="36"/>
        <v>52.580268924108218</v>
      </c>
      <c r="AB124" s="197">
        <f t="shared" si="37"/>
        <v>43575</v>
      </c>
      <c r="AC124" s="424">
        <f t="shared" si="38"/>
        <v>8.2809433877588136E-3</v>
      </c>
      <c r="AD124" s="169">
        <f>(INDEX(Models!$BJ124:$BT124,,AH124)*(1-AF124)+INDEX(Models!$BJ124:$BT124,,AH124+1)*AF124-ERP_i)*AE124*Ramure*Pc/MaxiM</f>
        <v>3.4583069920194859E-6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19.22</v>
      </c>
      <c r="C125" s="388"/>
      <c r="D125" s="391">
        <f t="shared" si="48"/>
        <v>19.255025167239491</v>
      </c>
      <c r="E125" s="383">
        <f t="shared" si="49"/>
        <v>19.417519150020308</v>
      </c>
      <c r="F125" s="383">
        <f t="shared" si="50"/>
        <v>19.41752089025811</v>
      </c>
      <c r="G125" s="110">
        <f t="shared" si="51"/>
        <v>0.31787467631758964</v>
      </c>
      <c r="I125" s="379">
        <f t="shared" si="24"/>
        <v>19.41752089025811</v>
      </c>
      <c r="J125" s="85">
        <v>2018</v>
      </c>
      <c r="K125" s="197">
        <f t="shared" si="25"/>
        <v>43576</v>
      </c>
      <c r="L125" s="435">
        <f t="shared" si="26"/>
        <v>1.8190143578251661E-3</v>
      </c>
      <c r="M125" s="842"/>
      <c r="N125" s="842"/>
      <c r="O125" s="323">
        <f t="shared" si="27"/>
        <v>8.3684213995301494E-3</v>
      </c>
      <c r="P125" s="169">
        <f>(INDEX(Models!$BJ125:$BT125,,T125)*(1-R125)+INDEX(Models!$BJ125:$BT125,,T125+1)*R125-ERP_i)*Q125*Ramure*Pc/MaxiM</f>
        <v>3.5095243431885927E-6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60.463873662805113</v>
      </c>
      <c r="W125" s="58"/>
      <c r="X125" s="157">
        <f t="shared" si="33"/>
        <v>43576</v>
      </c>
      <c r="Y125" s="383">
        <f t="shared" si="34"/>
        <v>19.22</v>
      </c>
      <c r="Z125" s="383">
        <f t="shared" si="35"/>
        <v>19.255025167239491</v>
      </c>
      <c r="AA125" s="384">
        <f t="shared" si="36"/>
        <v>19.417519150020308</v>
      </c>
      <c r="AB125" s="197">
        <f t="shared" si="37"/>
        <v>43576</v>
      </c>
      <c r="AC125" s="424">
        <f t="shared" si="38"/>
        <v>8.3684213995301494E-3</v>
      </c>
      <c r="AD125" s="169">
        <f>(INDEX(Models!$BJ125:$BT125,,AH125)*(1-AF125)+INDEX(Models!$BJ125:$BT125,,AH125+1)*AF125-ERP_i)*AE125*Ramure*Pc/MaxiM</f>
        <v>3.5095243431885927E-6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33.32</v>
      </c>
      <c r="C126" s="388"/>
      <c r="D126" s="391">
        <f t="shared" si="48"/>
        <v>33.381359755115056</v>
      </c>
      <c r="E126" s="383">
        <f t="shared" si="49"/>
        <v>33.666039934325077</v>
      </c>
      <c r="F126" s="383">
        <f t="shared" si="50"/>
        <v>33.666082670797877</v>
      </c>
      <c r="G126" s="110">
        <f t="shared" si="51"/>
        <v>0.54942845266719453</v>
      </c>
      <c r="I126" s="379">
        <f t="shared" si="24"/>
        <v>33.666082670797877</v>
      </c>
      <c r="J126" s="85">
        <v>2018</v>
      </c>
      <c r="K126" s="197">
        <f t="shared" si="25"/>
        <v>43577</v>
      </c>
      <c r="L126" s="435">
        <f t="shared" si="26"/>
        <v>1.8381442686933314E-3</v>
      </c>
      <c r="M126" s="842"/>
      <c r="N126" s="842"/>
      <c r="O126" s="323">
        <f t="shared" si="27"/>
        <v>8.4560043226160897E-3</v>
      </c>
      <c r="P126" s="169">
        <f>(INDEX(Models!$BJ126:$BT126,,T126)*(1-R126)+INDEX(Models!$BJ126:$BT126,,T126+1)*R126-ERP_i)*Q126*Ramure*Pc/MaxiM</f>
        <v>3.5625087820507149E-6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60.644699837634825</v>
      </c>
      <c r="W126" s="58"/>
      <c r="X126" s="157">
        <f t="shared" si="33"/>
        <v>43577</v>
      </c>
      <c r="Y126" s="383">
        <f t="shared" si="34"/>
        <v>33.32</v>
      </c>
      <c r="Z126" s="383">
        <f t="shared" si="35"/>
        <v>33.381359755115056</v>
      </c>
      <c r="AA126" s="384">
        <f t="shared" si="36"/>
        <v>33.666039934325077</v>
      </c>
      <c r="AB126" s="197">
        <f t="shared" si="37"/>
        <v>43577</v>
      </c>
      <c r="AC126" s="424">
        <f t="shared" si="38"/>
        <v>8.4560043226160897E-3</v>
      </c>
      <c r="AD126" s="169">
        <f>(INDEX(Models!$BJ126:$BT126,,AH126)*(1-AF126)+INDEX(Models!$BJ126:$BT126,,AH126+1)*AF126-ERP_i)*AE126*Ramure*Pc/MaxiM</f>
        <v>3.5625087820507149E-6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37.042999999999999</v>
      </c>
      <c r="C127" s="388"/>
      <c r="D127" s="391">
        <f t="shared" si="48"/>
        <v>37.111927010183798</v>
      </c>
      <c r="E127" s="383">
        <f t="shared" si="49"/>
        <v>37.431732356031645</v>
      </c>
      <c r="F127" s="383">
        <f t="shared" si="50"/>
        <v>37.431792141481438</v>
      </c>
      <c r="G127" s="110">
        <f t="shared" si="51"/>
        <v>0.60906941385712143</v>
      </c>
      <c r="I127" s="379">
        <f t="shared" si="24"/>
        <v>37.431792141481438</v>
      </c>
      <c r="J127" s="85">
        <v>2018</v>
      </c>
      <c r="K127" s="197">
        <f t="shared" si="25"/>
        <v>43578</v>
      </c>
      <c r="L127" s="435">
        <f t="shared" si="26"/>
        <v>1.8572738129410959E-3</v>
      </c>
      <c r="M127" s="842"/>
      <c r="N127" s="842"/>
      <c r="O127" s="323">
        <f t="shared" si="27"/>
        <v>8.5436961027081856E-3</v>
      </c>
      <c r="P127" s="169">
        <f>(INDEX(Models!$BJ127:$BT127,,T127)*(1-R127)+INDEX(Models!$BJ127:$BT127,,T127+1)*R127-ERP_i)*Q127*Ramure*Pc/MaxiM</f>
        <v>3.6173885779656898E-6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60.818889149016442</v>
      </c>
      <c r="W127" s="58"/>
      <c r="X127" s="157">
        <f t="shared" si="33"/>
        <v>43578</v>
      </c>
      <c r="Y127" s="383">
        <f t="shared" si="34"/>
        <v>37.042999999999999</v>
      </c>
      <c r="Z127" s="383">
        <f t="shared" si="35"/>
        <v>37.111927010183798</v>
      </c>
      <c r="AA127" s="384">
        <f t="shared" si="36"/>
        <v>37.431732356031645</v>
      </c>
      <c r="AB127" s="197">
        <f t="shared" si="37"/>
        <v>43578</v>
      </c>
      <c r="AC127" s="424">
        <f t="shared" si="38"/>
        <v>8.5436961027081856E-3</v>
      </c>
      <c r="AD127" s="169">
        <f>(INDEX(Models!$BJ127:$BT127,,AH127)*(1-AF127)+INDEX(Models!$BJ127:$BT127,,AH127+1)*AF127-ERP_i)*AE127*Ramure*Pc/MaxiM</f>
        <v>3.6173885779656898E-6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51.851999999999997</v>
      </c>
      <c r="C128" s="388"/>
      <c r="D128" s="391">
        <f t="shared" si="48"/>
        <v>51.949478156171075</v>
      </c>
      <c r="E128" s="383">
        <f t="shared" si="49"/>
        <v>52.401784182676415</v>
      </c>
      <c r="F128" s="383">
        <f t="shared" si="50"/>
        <v>52.401935556214717</v>
      </c>
      <c r="G128" s="110">
        <f t="shared" si="51"/>
        <v>0.85022107126179514</v>
      </c>
      <c r="I128" s="379">
        <f t="shared" si="24"/>
        <v>52.401935556214717</v>
      </c>
      <c r="J128" s="85">
        <v>2018</v>
      </c>
      <c r="K128" s="197">
        <f t="shared" si="25"/>
        <v>43579</v>
      </c>
      <c r="L128" s="435">
        <f t="shared" si="26"/>
        <v>1.8764029905755653E-3</v>
      </c>
      <c r="M128" s="842"/>
      <c r="N128" s="842"/>
      <c r="O128" s="323">
        <f t="shared" si="27"/>
        <v>8.6315005025128268E-3</v>
      </c>
      <c r="P128" s="169">
        <f>(INDEX(Models!$BJ128:$BT128,,T128)*(1-R128)+INDEX(Models!$BJ128:$BT128,,T128+1)*R128-ERP_i)*Q128*Ramure*Pc/MaxiM</f>
        <v>3.6750472571258574E-6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60.986443383858024</v>
      </c>
      <c r="W128" s="58"/>
      <c r="X128" s="157">
        <f t="shared" si="33"/>
        <v>43579</v>
      </c>
      <c r="Y128" s="383">
        <f t="shared" si="34"/>
        <v>51.851999999999997</v>
      </c>
      <c r="Z128" s="383">
        <f t="shared" si="35"/>
        <v>51.949478156171075</v>
      </c>
      <c r="AA128" s="384">
        <f t="shared" si="36"/>
        <v>52.401784182676415</v>
      </c>
      <c r="AB128" s="197">
        <f t="shared" si="37"/>
        <v>43579</v>
      </c>
      <c r="AC128" s="424">
        <f t="shared" si="38"/>
        <v>8.6315005025128268E-3</v>
      </c>
      <c r="AD128" s="169">
        <f>(INDEX(Models!$BJ128:$BT128,,AH128)*(1-AF128)+INDEX(Models!$BJ128:$BT128,,AH128+1)*AF128-ERP_i)*AE128*Ramure*Pc/MaxiM</f>
        <v>3.6750472571258574E-6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35.655999999999999</v>
      </c>
      <c r="C129" s="388"/>
      <c r="D129" s="391">
        <f t="shared" si="48"/>
        <v>35.723715438685467</v>
      </c>
      <c r="E129" s="383">
        <f t="shared" si="49"/>
        <v>36.037945460176921</v>
      </c>
      <c r="F129" s="383">
        <f t="shared" si="50"/>
        <v>36.037999895469746</v>
      </c>
      <c r="G129" s="110">
        <f t="shared" si="51"/>
        <v>0.58311459567107538</v>
      </c>
      <c r="I129" s="379">
        <f t="shared" si="24"/>
        <v>36.037999895469746</v>
      </c>
      <c r="J129" s="85">
        <v>2018</v>
      </c>
      <c r="K129" s="197">
        <f t="shared" si="25"/>
        <v>43580</v>
      </c>
      <c r="L129" s="435">
        <f t="shared" si="26"/>
        <v>1.8955318016036227E-3</v>
      </c>
      <c r="M129" s="842"/>
      <c r="N129" s="842"/>
      <c r="O129" s="323">
        <f t="shared" si="27"/>
        <v>8.7194210846089706E-3</v>
      </c>
      <c r="P129" s="169">
        <f>(INDEX(Models!$BJ129:$BT129,,T129)*(1-R129)+INDEX(Models!$BJ129:$BT129,,T129+1)*R129-ERP_i)*Q129*Ramure*Pc/MaxiM</f>
        <v>3.7346823978528711E-6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61.147364444364911</v>
      </c>
      <c r="W129" s="58"/>
      <c r="X129" s="157">
        <f t="shared" si="33"/>
        <v>43580</v>
      </c>
      <c r="Y129" s="383">
        <f t="shared" si="34"/>
        <v>35.655999999999999</v>
      </c>
      <c r="Z129" s="383">
        <f t="shared" si="35"/>
        <v>35.723715438685467</v>
      </c>
      <c r="AA129" s="384">
        <f t="shared" si="36"/>
        <v>36.037945460176921</v>
      </c>
      <c r="AB129" s="197">
        <f t="shared" si="37"/>
        <v>43580</v>
      </c>
      <c r="AC129" s="424">
        <f t="shared" si="38"/>
        <v>8.7194210846089706E-3</v>
      </c>
      <c r="AD129" s="169">
        <f>(INDEX(Models!$BJ129:$BT129,,AH129)*(1-AF129)+INDEX(Models!$BJ129:$BT129,,AH129+1)*AF129-ERP_i)*AE129*Ramure*Pc/MaxiM</f>
        <v>3.7346823978528711E-6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28.896000000000001</v>
      </c>
      <c r="C130" s="388"/>
      <c r="D130" s="391">
        <f t="shared" si="48"/>
        <v>28.951432156215212</v>
      </c>
      <c r="E130" s="383">
        <f t="shared" si="49"/>
        <v>29.20868652934363</v>
      </c>
      <c r="F130" s="383">
        <f t="shared" si="50"/>
        <v>29.208713677134376</v>
      </c>
      <c r="G130" s="110">
        <f t="shared" si="51"/>
        <v>0.47137255164800457</v>
      </c>
      <c r="I130" s="379">
        <f t="shared" si="24"/>
        <v>29.208713677134376</v>
      </c>
      <c r="J130" s="85">
        <v>2018</v>
      </c>
      <c r="K130" s="197">
        <f t="shared" si="25"/>
        <v>43581</v>
      </c>
      <c r="L130" s="435">
        <f t="shared" si="26"/>
        <v>1.9146602460324846E-3</v>
      </c>
      <c r="M130" s="842"/>
      <c r="N130" s="842"/>
      <c r="O130" s="323">
        <f t="shared" si="27"/>
        <v>8.8074611937779858E-3</v>
      </c>
      <c r="P130" s="169">
        <f>(INDEX(Models!$BJ130:$BT130,,T130)*(1-R130)+INDEX(Models!$BJ130:$BT130,,T130+1)*R130-ERP_i)*Q130*Ramure*Pc/MaxiM</f>
        <v>3.7964301481103174E-6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61.301654189226142</v>
      </c>
      <c r="W130" s="58"/>
      <c r="X130" s="157">
        <f t="shared" si="33"/>
        <v>43581</v>
      </c>
      <c r="Y130" s="383">
        <f t="shared" si="34"/>
        <v>28.896000000000001</v>
      </c>
      <c r="Z130" s="383">
        <f t="shared" si="35"/>
        <v>28.951432156215212</v>
      </c>
      <c r="AA130" s="384">
        <f t="shared" si="36"/>
        <v>29.20868652934363</v>
      </c>
      <c r="AB130" s="197">
        <f t="shared" si="37"/>
        <v>43581</v>
      </c>
      <c r="AC130" s="424">
        <f t="shared" si="38"/>
        <v>8.8074611937779858E-3</v>
      </c>
      <c r="AD130" s="169">
        <f>(INDEX(Models!$BJ130:$BT130,,AH130)*(1-AF130)+INDEX(Models!$BJ130:$BT130,,AH130+1)*AF130-ERP_i)*AE130*Ramure*Pc/MaxiM</f>
        <v>3.7964301481103174E-6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29.513000000000002</v>
      </c>
      <c r="C131" s="388"/>
      <c r="D131" s="391">
        <f t="shared" si="48"/>
        <v>29.570182473602131</v>
      </c>
      <c r="E131" s="383">
        <f t="shared" si="49"/>
        <v>29.8355886502289</v>
      </c>
      <c r="F131" s="383">
        <f t="shared" si="50"/>
        <v>29.835618313978816</v>
      </c>
      <c r="G131" s="110">
        <f t="shared" si="51"/>
        <v>0.48028062887493878</v>
      </c>
      <c r="I131" s="379">
        <f t="shared" si="24"/>
        <v>29.835618313978816</v>
      </c>
      <c r="J131" s="85">
        <v>2018</v>
      </c>
      <c r="K131" s="197">
        <f t="shared" si="25"/>
        <v>43582</v>
      </c>
      <c r="L131" s="435">
        <f t="shared" si="26"/>
        <v>1.9337883238690345E-3</v>
      </c>
      <c r="M131" s="842"/>
      <c r="N131" s="842"/>
      <c r="O131" s="323">
        <f t="shared" si="27"/>
        <v>8.8956239388537205E-3</v>
      </c>
      <c r="P131" s="169">
        <f>(INDEX(Models!$BJ131:$BT131,,T131)*(1-R131)+INDEX(Models!$BJ131:$BT131,,T131+1)*R131-ERP_i)*Q131*Ramure*Pc/MaxiM</f>
        <v>3.8604387651490018E-6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61.449314495383504</v>
      </c>
      <c r="W131" s="58"/>
      <c r="X131" s="157">
        <f t="shared" si="33"/>
        <v>43582</v>
      </c>
      <c r="Y131" s="383">
        <f t="shared" si="34"/>
        <v>29.513000000000002</v>
      </c>
      <c r="Z131" s="383">
        <f t="shared" si="35"/>
        <v>29.570182473602131</v>
      </c>
      <c r="AA131" s="384">
        <f t="shared" si="36"/>
        <v>29.8355886502289</v>
      </c>
      <c r="AB131" s="197">
        <f t="shared" si="37"/>
        <v>43582</v>
      </c>
      <c r="AC131" s="424">
        <f t="shared" si="38"/>
        <v>8.8956239388537205E-3</v>
      </c>
      <c r="AD131" s="169">
        <f>(INDEX(Models!$BJ131:$BT131,,AH131)*(1-AF131)+INDEX(Models!$BJ131:$BT131,,AH131+1)*AF131-ERP_i)*AE131*Ramure*Pc/MaxiM</f>
        <v>3.8604387651490018E-6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46.210999999999999</v>
      </c>
      <c r="C132" s="388"/>
      <c r="D132" s="391">
        <f t="shared" si="48"/>
        <v>46.301422791017458</v>
      </c>
      <c r="E132" s="383">
        <f t="shared" si="49"/>
        <v>46.721161603538064</v>
      </c>
      <c r="F132" s="383">
        <f t="shared" si="50"/>
        <v>46.721279625112096</v>
      </c>
      <c r="G132" s="110">
        <f t="shared" si="51"/>
        <v>0.75029509210478296</v>
      </c>
      <c r="I132" s="379">
        <f t="shared" si="24"/>
        <v>46.721279625112096</v>
      </c>
      <c r="J132" s="85">
        <v>2018</v>
      </c>
      <c r="K132" s="197">
        <f t="shared" si="25"/>
        <v>43583</v>
      </c>
      <c r="L132" s="435">
        <f t="shared" si="26"/>
        <v>1.9529160351202668E-3</v>
      </c>
      <c r="M132" s="842"/>
      <c r="N132" s="842"/>
      <c r="O132" s="323">
        <f t="shared" si="27"/>
        <v>8.9839121741532198E-3</v>
      </c>
      <c r="P132" s="169">
        <f>(INDEX(Models!$BJ132:$BT132,,T132)*(1-R132)+INDEX(Models!$BJ132:$BT132,,T132+1)*R132-ERP_i)*Q132*Ramure*Pc/MaxiM</f>
        <v>3.9268696588475787E-6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61.590347256832651</v>
      </c>
      <c r="W132" s="58"/>
      <c r="X132" s="157">
        <f t="shared" si="33"/>
        <v>43583</v>
      </c>
      <c r="Y132" s="383">
        <f t="shared" si="34"/>
        <v>46.210999999999999</v>
      </c>
      <c r="Z132" s="383">
        <f t="shared" si="35"/>
        <v>46.301422791017458</v>
      </c>
      <c r="AA132" s="384">
        <f t="shared" si="36"/>
        <v>46.721161603538064</v>
      </c>
      <c r="AB132" s="197">
        <f t="shared" si="37"/>
        <v>43583</v>
      </c>
      <c r="AC132" s="424">
        <f t="shared" si="38"/>
        <v>8.9839121741532198E-3</v>
      </c>
      <c r="AD132" s="169">
        <f>(INDEX(Models!$BJ132:$BT132,,AH132)*(1-AF132)+INDEX(Models!$BJ132:$BT132,,AH132+1)*AF132-ERP_i)*AE132*Ramure*Pc/MaxiM</f>
        <v>3.9268696588475787E-6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51.212000000000003</v>
      </c>
      <c r="C133" s="388"/>
      <c r="D133" s="391">
        <f t="shared" si="48"/>
        <v>51.313191840264658</v>
      </c>
      <c r="E133" s="383">
        <f t="shared" si="49"/>
        <v>51.782984081556236</v>
      </c>
      <c r="F133" s="383">
        <f t="shared" si="50"/>
        <v>51.783140656081144</v>
      </c>
      <c r="G133" s="110">
        <f t="shared" si="51"/>
        <v>0.82968252713284929</v>
      </c>
      <c r="I133" s="379">
        <f t="shared" si="24"/>
        <v>51.783140656081144</v>
      </c>
      <c r="J133" s="85">
        <v>2018</v>
      </c>
      <c r="K133" s="197">
        <f t="shared" si="25"/>
        <v>43584</v>
      </c>
      <c r="L133" s="435">
        <f t="shared" si="26"/>
        <v>1.9720433797932868E-3</v>
      </c>
      <c r="M133" s="842"/>
      <c r="N133" s="842"/>
      <c r="O133" s="323">
        <f t="shared" si="27"/>
        <v>9.0723284805617095E-3</v>
      </c>
      <c r="P133" s="169">
        <f>(INDEX(Models!$BJ133:$BT133,,T133)*(1-R133)+INDEX(Models!$BJ133:$BT133,,T133+1)*R133-ERP_i)*Q133*Ramure*Pc/MaxiM</f>
        <v>3.9958984929898954E-6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61.724754390647121</v>
      </c>
      <c r="W133" s="58"/>
      <c r="X133" s="157">
        <f t="shared" si="33"/>
        <v>43584</v>
      </c>
      <c r="Y133" s="383">
        <f t="shared" si="34"/>
        <v>51.212000000000003</v>
      </c>
      <c r="Z133" s="383">
        <f t="shared" si="35"/>
        <v>51.313191840264658</v>
      </c>
      <c r="AA133" s="384">
        <f t="shared" si="36"/>
        <v>51.782984081556236</v>
      </c>
      <c r="AB133" s="197">
        <f t="shared" si="37"/>
        <v>43584</v>
      </c>
      <c r="AC133" s="424">
        <f t="shared" si="38"/>
        <v>9.0723284805617095E-3</v>
      </c>
      <c r="AD133" s="169">
        <f>(INDEX(Models!$BJ133:$BT133,,AH133)*(1-AF133)+INDEX(Models!$BJ133:$BT133,,AH133+1)*AF133-ERP_i)*AE133*Ramure*Pc/MaxiM</f>
        <v>3.9958984929898954E-6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60.962000000000003</v>
      </c>
      <c r="C134" s="388"/>
      <c r="D134" s="391">
        <f t="shared" si="48"/>
        <v>61.083627909245592</v>
      </c>
      <c r="E134" s="383">
        <f t="shared" si="49"/>
        <v>61.648381030844249</v>
      </c>
      <c r="F134" s="383">
        <f t="shared" si="50"/>
        <v>61.648626642094747</v>
      </c>
      <c r="G134" s="110">
        <f t="shared" si="51"/>
        <v>0.98560216025503111</v>
      </c>
      <c r="I134" s="379">
        <f t="shared" si="24"/>
        <v>61.648626642094747</v>
      </c>
      <c r="J134" s="85">
        <v>2018</v>
      </c>
      <c r="K134" s="197">
        <f t="shared" si="25"/>
        <v>43585</v>
      </c>
      <c r="L134" s="435">
        <f t="shared" si="26"/>
        <v>1.9911703578952E-3</v>
      </c>
      <c r="M134" s="842"/>
      <c r="N134" s="842"/>
      <c r="O134" s="323">
        <f t="shared" si="27"/>
        <v>9.1608751463578119E-3</v>
      </c>
      <c r="P134" s="169">
        <f>(INDEX(Models!$BJ134:$BT134,,T134)*(1-R134)+INDEX(Models!$BJ134:$BT134,,T134+1)*R134-ERP_i)*Q134*Ramure*Pc/MaxiM</f>
        <v>4.0677163448924246E-6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61.852537827003886</v>
      </c>
      <c r="W134" s="58"/>
      <c r="X134" s="157">
        <f t="shared" si="33"/>
        <v>43585</v>
      </c>
      <c r="Y134" s="383">
        <f t="shared" si="34"/>
        <v>60.962000000000003</v>
      </c>
      <c r="Z134" s="383">
        <f t="shared" si="35"/>
        <v>61.083627909245592</v>
      </c>
      <c r="AA134" s="384">
        <f t="shared" si="36"/>
        <v>61.648381030844249</v>
      </c>
      <c r="AB134" s="197">
        <f t="shared" si="37"/>
        <v>43585</v>
      </c>
      <c r="AC134" s="424">
        <f t="shared" si="38"/>
        <v>9.1608751463578119E-3</v>
      </c>
      <c r="AD134" s="169">
        <f>(INDEX(Models!$BJ134:$BT134,,AH134)*(1-AF134)+INDEX(Models!$BJ134:$BT134,,AH134+1)*AF134-ERP_i)*AE134*Ramure*Pc/MaxiM</f>
        <v>4.0677163448924246E-6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56.456000000000003</v>
      </c>
      <c r="C135" s="388"/>
      <c r="D135" s="391">
        <f t="shared" si="48"/>
        <v>56.569721940578809</v>
      </c>
      <c r="E135" s="383">
        <f t="shared" si="49"/>
        <v>57.097851610780225</v>
      </c>
      <c r="F135" s="383">
        <f t="shared" si="50"/>
        <v>57.098058064772587</v>
      </c>
      <c r="G135" s="110">
        <f t="shared" si="51"/>
        <v>0.91098042516498157</v>
      </c>
      <c r="I135" s="379">
        <f t="shared" si="24"/>
        <v>57.098058064772587</v>
      </c>
      <c r="J135" s="85">
        <v>2018</v>
      </c>
      <c r="K135" s="197">
        <f t="shared" si="25"/>
        <v>43586</v>
      </c>
      <c r="L135" s="435">
        <f t="shared" si="26"/>
        <v>2.0102969694328898E-3</v>
      </c>
      <c r="M135" s="842"/>
      <c r="N135" s="842"/>
      <c r="O135" s="323">
        <f t="shared" si="27"/>
        <v>9.2495541478779305E-3</v>
      </c>
      <c r="P135" s="169">
        <f>(INDEX(Models!$BJ135:$BT135,,T135)*(1-R135)+INDEX(Models!$BJ135:$BT135,,T135+1)*R135-ERP_i)*Q135*Ramure*Pc/MaxiM</f>
        <v>4.1425937935858865E-6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61.972758907355029</v>
      </c>
      <c r="W135" s="58"/>
      <c r="X135" s="157">
        <f t="shared" si="33"/>
        <v>43586</v>
      </c>
      <c r="Y135" s="383">
        <f t="shared" si="34"/>
        <v>56.456000000000003</v>
      </c>
      <c r="Z135" s="383">
        <f t="shared" si="35"/>
        <v>56.569721940578809</v>
      </c>
      <c r="AA135" s="384">
        <f t="shared" si="36"/>
        <v>57.097851610780225</v>
      </c>
      <c r="AB135" s="197">
        <f t="shared" si="37"/>
        <v>43586</v>
      </c>
      <c r="AC135" s="424">
        <f t="shared" si="38"/>
        <v>9.2495541478779305E-3</v>
      </c>
      <c r="AD135" s="169">
        <f>(INDEX(Models!$BJ135:$BT135,,AH135)*(1-AF135)+INDEX(Models!$BJ135:$BT135,,AH135+1)*AF135-ERP_i)*AE135*Ramure*Pc/MaxiM</f>
        <v>4.1425937935858865E-6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31.757999999999999</v>
      </c>
      <c r="C136" s="388"/>
      <c r="D136" s="391">
        <f t="shared" si="48"/>
        <v>31.822581485609458</v>
      </c>
      <c r="E136" s="383">
        <f t="shared" si="49"/>
        <v>32.12255368507806</v>
      </c>
      <c r="F136" s="383">
        <f t="shared" si="50"/>
        <v>32.122594679155981</v>
      </c>
      <c r="G136" s="110">
        <f t="shared" si="51"/>
        <v>0.51152492153656359</v>
      </c>
      <c r="I136" s="379">
        <f t="shared" si="24"/>
        <v>32.122594679155981</v>
      </c>
      <c r="J136" s="85">
        <v>2018</v>
      </c>
      <c r="K136" s="197">
        <f t="shared" si="25"/>
        <v>43587</v>
      </c>
      <c r="L136" s="435">
        <f t="shared" si="26"/>
        <v>2.0294232144134616E-3</v>
      </c>
      <c r="M136" s="842"/>
      <c r="N136" s="842"/>
      <c r="O136" s="323">
        <f t="shared" si="27"/>
        <v>9.3383671301310745E-3</v>
      </c>
      <c r="P136" s="169">
        <f>(INDEX(Models!$BJ136:$BT136,,T136)*(1-R136)+INDEX(Models!$BJ136:$BT136,,T136+1)*R136-ERP_i)*Q136*Ramure*Pc/MaxiM</f>
        <v>4.2232219545246085E-6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62.08476864077619</v>
      </c>
      <c r="W136" s="58"/>
      <c r="X136" s="157">
        <f t="shared" si="33"/>
        <v>43587</v>
      </c>
      <c r="Y136" s="383">
        <f t="shared" si="34"/>
        <v>31.757999999999999</v>
      </c>
      <c r="Z136" s="383">
        <f t="shared" si="35"/>
        <v>31.822581485609458</v>
      </c>
      <c r="AA136" s="384">
        <f t="shared" si="36"/>
        <v>32.12255368507806</v>
      </c>
      <c r="AB136" s="197">
        <f t="shared" si="37"/>
        <v>43587</v>
      </c>
      <c r="AC136" s="424">
        <f t="shared" si="38"/>
        <v>9.3383671301310745E-3</v>
      </c>
      <c r="AD136" s="169">
        <f>(INDEX(Models!$BJ136:$BT136,,AH136)*(1-AF136)+INDEX(Models!$BJ136:$BT136,,AH136+1)*AF136-ERP_i)*AE136*Ramure*Pc/MaxiM</f>
        <v>4.2232219545246085E-6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20.169</v>
      </c>
      <c r="C137" s="388"/>
      <c r="D137" s="391">
        <f t="shared" si="48"/>
        <v>20.21040200068451</v>
      </c>
      <c r="E137" s="383">
        <f t="shared" si="49"/>
        <v>20.402745113641313</v>
      </c>
      <c r="F137" s="383">
        <f t="shared" si="50"/>
        <v>20.402748166363175</v>
      </c>
      <c r="G137" s="110">
        <f t="shared" si="51"/>
        <v>0.3243164374307646</v>
      </c>
      <c r="I137" s="379">
        <f t="shared" si="24"/>
        <v>20.402748166363175</v>
      </c>
      <c r="J137" s="85">
        <v>2018</v>
      </c>
      <c r="K137" s="197">
        <f t="shared" si="25"/>
        <v>43588</v>
      </c>
      <c r="L137" s="435">
        <f t="shared" si="26"/>
        <v>2.0485490928437988E-3</v>
      </c>
      <c r="M137" s="842"/>
      <c r="N137" s="842"/>
      <c r="O137" s="323">
        <f t="shared" si="27"/>
        <v>9.4273153874867999E-3</v>
      </c>
      <c r="P137" s="169">
        <f>(INDEX(Models!$BJ137:$BT137,,T137)*(1-R137)+INDEX(Models!$BJ137:$BT137,,T137+1)*R137-ERP_i)*Q137*Ramure*Pc/MaxiM</f>
        <v>4.3069772733495303E-6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62.189003770788688</v>
      </c>
      <c r="W137" s="58"/>
      <c r="X137" s="157">
        <f t="shared" si="33"/>
        <v>43588</v>
      </c>
      <c r="Y137" s="383">
        <f t="shared" si="34"/>
        <v>20.169</v>
      </c>
      <c r="Z137" s="383">
        <f t="shared" si="35"/>
        <v>20.21040200068451</v>
      </c>
      <c r="AA137" s="384">
        <f t="shared" si="36"/>
        <v>20.402745113641313</v>
      </c>
      <c r="AB137" s="197">
        <f t="shared" si="37"/>
        <v>43588</v>
      </c>
      <c r="AC137" s="424">
        <f t="shared" si="38"/>
        <v>9.4273153874867999E-3</v>
      </c>
      <c r="AD137" s="169">
        <f>(INDEX(Models!$BJ137:$BT137,,AH137)*(1-AF137)+INDEX(Models!$BJ137:$BT137,,AH137+1)*AF137-ERP_i)*AE137*Ramure*Pc/MaxiM</f>
        <v>4.3069772733495303E-6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34.542999999999999</v>
      </c>
      <c r="C138" s="388"/>
      <c r="D138" s="391">
        <f t="shared" si="48"/>
        <v>34.614571670797353</v>
      </c>
      <c r="E138" s="383">
        <f t="shared" si="49"/>
        <v>34.947142653715368</v>
      </c>
      <c r="F138" s="383">
        <f t="shared" si="50"/>
        <v>34.947198502690853</v>
      </c>
      <c r="G138" s="110">
        <f t="shared" si="51"/>
        <v>0.55458623913878669</v>
      </c>
      <c r="I138" s="379">
        <f t="shared" si="24"/>
        <v>34.947198502690853</v>
      </c>
      <c r="J138" s="85">
        <v>2018</v>
      </c>
      <c r="K138" s="197">
        <f t="shared" si="25"/>
        <v>43589</v>
      </c>
      <c r="L138" s="435">
        <f t="shared" si="26"/>
        <v>2.0676746047311179E-3</v>
      </c>
      <c r="M138" s="842"/>
      <c r="N138" s="842"/>
      <c r="O138" s="323">
        <f t="shared" si="27"/>
        <v>9.5163998445708785E-3</v>
      </c>
      <c r="P138" s="169">
        <f>(INDEX(Models!$BJ138:$BT138,,T138)*(1-R138)+INDEX(Models!$BJ138:$BT138,,T138+1)*R138-ERP_i)*Q138*Ramure*Pc/MaxiM</f>
        <v>4.3940329894524536E-6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62.285900698569549</v>
      </c>
      <c r="W138" s="58"/>
      <c r="X138" s="157">
        <f t="shared" si="33"/>
        <v>43589</v>
      </c>
      <c r="Y138" s="383">
        <f t="shared" si="34"/>
        <v>34.542999999999999</v>
      </c>
      <c r="Z138" s="383">
        <f t="shared" si="35"/>
        <v>34.614571670797353</v>
      </c>
      <c r="AA138" s="384">
        <f t="shared" si="36"/>
        <v>34.947142653715368</v>
      </c>
      <c r="AB138" s="197">
        <f t="shared" si="37"/>
        <v>43589</v>
      </c>
      <c r="AC138" s="424">
        <f t="shared" si="38"/>
        <v>9.5163998445708785E-3</v>
      </c>
      <c r="AD138" s="169">
        <f>(INDEX(Models!$BJ138:$BT138,,AH138)*(1-AF138)+INDEX(Models!$BJ138:$BT138,,AH138+1)*AF138-ERP_i)*AE138*Ramure*Pc/MaxiM</f>
        <v>4.3940329894524536E-6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48.722999999999999</v>
      </c>
      <c r="C139" s="388"/>
      <c r="D139" s="391">
        <f t="shared" si="48"/>
        <v>48.824887763582844</v>
      </c>
      <c r="E139" s="383">
        <f t="shared" si="49"/>
        <v>49.298429797966527</v>
      </c>
      <c r="F139" s="383">
        <f t="shared" si="50"/>
        <v>49.298581751348131</v>
      </c>
      <c r="G139" s="110">
        <f t="shared" si="51"/>
        <v>0.78111794871464058</v>
      </c>
      <c r="I139" s="379">
        <f t="shared" si="24"/>
        <v>49.298581751348131</v>
      </c>
      <c r="J139" s="85">
        <v>2018</v>
      </c>
      <c r="K139" s="197">
        <f t="shared" si="25"/>
        <v>43590</v>
      </c>
      <c r="L139" s="435">
        <f t="shared" si="26"/>
        <v>2.0867997500824131E-3</v>
      </c>
      <c r="M139" s="842"/>
      <c r="N139" s="842"/>
      <c r="O139" s="323">
        <f t="shared" si="27"/>
        <v>9.605621037512637E-3</v>
      </c>
      <c r="P139" s="169">
        <f>(INDEX(Models!$BJ139:$BT139,,T139)*(1-R139)+INDEX(Models!$BJ139:$BT139,,T139+1)*R139-ERP_i)*Q139*Ramure*Pc/MaxiM</f>
        <v>4.4845764931044506E-6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62.375895672613979</v>
      </c>
      <c r="W139" s="58"/>
      <c r="X139" s="157">
        <f t="shared" si="33"/>
        <v>43590</v>
      </c>
      <c r="Y139" s="383">
        <f t="shared" si="34"/>
        <v>48.722999999999999</v>
      </c>
      <c r="Z139" s="383">
        <f t="shared" si="35"/>
        <v>48.824887763582844</v>
      </c>
      <c r="AA139" s="384">
        <f t="shared" si="36"/>
        <v>49.298429797966527</v>
      </c>
      <c r="AB139" s="197">
        <f t="shared" si="37"/>
        <v>43590</v>
      </c>
      <c r="AC139" s="424">
        <f t="shared" si="38"/>
        <v>9.605621037512637E-3</v>
      </c>
      <c r="AD139" s="169">
        <f>(INDEX(Models!$BJ139:$BT139,,AH139)*(1-AF139)+INDEX(Models!$BJ139:$BT139,,AH139+1)*AF139-ERP_i)*AE139*Ramure*Pc/MaxiM</f>
        <v>4.4845764931044506E-6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63.206000000000003</v>
      </c>
      <c r="C140" s="388"/>
      <c r="D140" s="391">
        <f t="shared" si="48"/>
        <v>63.339387970773458</v>
      </c>
      <c r="E140" s="383">
        <f t="shared" si="49"/>
        <v>63.959473731572892</v>
      </c>
      <c r="F140" s="383">
        <f t="shared" si="50"/>
        <v>63.959766591204975</v>
      </c>
      <c r="G140" s="110">
        <f t="shared" si="51"/>
        <v>1.0119529634538784</v>
      </c>
      <c r="I140" s="379">
        <f t="shared" si="24"/>
        <v>63.959766591204975</v>
      </c>
      <c r="J140" s="85">
        <v>2018</v>
      </c>
      <c r="K140" s="197">
        <f t="shared" si="25"/>
        <v>43591</v>
      </c>
      <c r="L140" s="435">
        <f t="shared" si="26"/>
        <v>2.105924528904568E-3</v>
      </c>
      <c r="M140" s="842"/>
      <c r="N140" s="842"/>
      <c r="O140" s="323">
        <f t="shared" si="27"/>
        <v>9.6949790956978293E-3</v>
      </c>
      <c r="P140" s="169">
        <f>(INDEX(Models!$BJ140:$BT140,,T140)*(1-R140)+INDEX(Models!$BJ140:$BT140,,T140+1)*R140-ERP_i)*Q140*Ramure*Pc/MaxiM</f>
        <v>4.5788102066671834E-6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62.459424778275014</v>
      </c>
      <c r="W140" s="58"/>
      <c r="X140" s="157">
        <f t="shared" si="33"/>
        <v>43591</v>
      </c>
      <c r="Y140" s="383">
        <f t="shared" si="34"/>
        <v>63.206000000000003</v>
      </c>
      <c r="Z140" s="383">
        <f t="shared" si="35"/>
        <v>63.339387970773458</v>
      </c>
      <c r="AA140" s="384">
        <f t="shared" si="36"/>
        <v>63.959473731572892</v>
      </c>
      <c r="AB140" s="197">
        <f t="shared" si="37"/>
        <v>43591</v>
      </c>
      <c r="AC140" s="424">
        <f t="shared" si="38"/>
        <v>9.6949790956978293E-3</v>
      </c>
      <c r="AD140" s="169">
        <f>(INDEX(Models!$BJ140:$BT140,,AH140)*(1-AF140)+INDEX(Models!$BJ140:$BT140,,AH140+1)*AF140-ERP_i)*AE140*Ramure*Pc/MaxiM</f>
        <v>4.5788102066671834E-6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46.204000000000001</v>
      </c>
      <c r="C141" s="388"/>
      <c r="D141" s="391">
        <f t="shared" si="48"/>
        <v>46.302394855162213</v>
      </c>
      <c r="E141" s="383">
        <f t="shared" si="49"/>
        <v>46.75991602485265</v>
      </c>
      <c r="F141" s="383">
        <f t="shared" si="50"/>
        <v>46.76005312368644</v>
      </c>
      <c r="G141" s="110">
        <f t="shared" si="51"/>
        <v>0.73882622392357056</v>
      </c>
      <c r="I141" s="379">
        <f t="shared" si="24"/>
        <v>46.76005312368644</v>
      </c>
      <c r="J141" s="85">
        <v>2018</v>
      </c>
      <c r="K141" s="197">
        <f t="shared" si="25"/>
        <v>43592</v>
      </c>
      <c r="L141" s="435">
        <f t="shared" si="26"/>
        <v>2.125048941204799E-3</v>
      </c>
      <c r="M141" s="842"/>
      <c r="N141" s="842"/>
      <c r="O141" s="323">
        <f t="shared" si="27"/>
        <v>9.7844737241885166E-3</v>
      </c>
      <c r="P141" s="169">
        <f>(INDEX(Models!$BJ141:$BT141,,T141)*(1-R141)+INDEX(Models!$BJ141:$BT141,,T141+1)*R141-ERP_i)*Q141*Ramure*Pc/MaxiM</f>
        <v>4.6769524653888264E-6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62.536923945375719</v>
      </c>
      <c r="W141" s="58"/>
      <c r="X141" s="157">
        <f t="shared" si="33"/>
        <v>43592</v>
      </c>
      <c r="Y141" s="383">
        <f t="shared" si="34"/>
        <v>46.204000000000001</v>
      </c>
      <c r="Z141" s="383">
        <f t="shared" si="35"/>
        <v>46.302394855162213</v>
      </c>
      <c r="AA141" s="384">
        <f t="shared" si="36"/>
        <v>46.75991602485265</v>
      </c>
      <c r="AB141" s="197">
        <f t="shared" si="37"/>
        <v>43592</v>
      </c>
      <c r="AC141" s="424">
        <f t="shared" si="38"/>
        <v>9.7844737241885166E-3</v>
      </c>
      <c r="AD141" s="169">
        <f>(INDEX(Models!$BJ141:$BT141,,AH141)*(1-AF141)+INDEX(Models!$BJ141:$BT141,,AH141+1)*AF141-ERP_i)*AE141*Ramure*Pc/MaxiM</f>
        <v>4.6769524653888264E-6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31.92</v>
      </c>
      <c r="C142" s="388"/>
      <c r="D142" s="391">
        <f t="shared" si="48"/>
        <v>31.988589068572757</v>
      </c>
      <c r="E142" s="383">
        <f t="shared" si="49"/>
        <v>32.307597653837718</v>
      </c>
      <c r="F142" s="383">
        <f t="shared" si="50"/>
        <v>32.307643926183182</v>
      </c>
      <c r="G142" s="110">
        <f t="shared" si="51"/>
        <v>0.5098305415546398</v>
      </c>
      <c r="I142" s="379">
        <f t="shared" si="24"/>
        <v>32.307643926183182</v>
      </c>
      <c r="J142" s="85">
        <v>2018</v>
      </c>
      <c r="K142" s="197">
        <f t="shared" si="25"/>
        <v>43593</v>
      </c>
      <c r="L142" s="435">
        <f t="shared" si="26"/>
        <v>2.1441729869899895E-3</v>
      </c>
      <c r="M142" s="842"/>
      <c r="N142" s="842"/>
      <c r="O142" s="323">
        <f t="shared" si="27"/>
        <v>9.8741041869781204E-3</v>
      </c>
      <c r="P142" s="169">
        <f>(INDEX(Models!$BJ142:$BT142,,T142)*(1-R142)+INDEX(Models!$BJ142:$BT142,,T142+1)*R142-ERP_i)*Q142*Ramure*Pc/MaxiM</f>
        <v>4.7779547679292127E-6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62.60882901864305</v>
      </c>
      <c r="W142" s="58"/>
      <c r="X142" s="157">
        <f t="shared" si="33"/>
        <v>43593</v>
      </c>
      <c r="Y142" s="383">
        <f t="shared" si="34"/>
        <v>31.919999999999998</v>
      </c>
      <c r="Z142" s="383">
        <f t="shared" si="35"/>
        <v>31.988589068572754</v>
      </c>
      <c r="AA142" s="384">
        <f t="shared" si="36"/>
        <v>32.307597653837718</v>
      </c>
      <c r="AB142" s="197">
        <f t="shared" si="37"/>
        <v>43593</v>
      </c>
      <c r="AC142" s="424">
        <f t="shared" si="38"/>
        <v>9.8741041869781204E-3</v>
      </c>
      <c r="AD142" s="169">
        <f>(INDEX(Models!$BJ142:$BT142,,AH142)*(1-AF142)+INDEX(Models!$BJ142:$BT142,,AH142+1)*AF142-ERP_i)*AE142*Ramure*Pc/MaxiM</f>
        <v>4.7779547679292127E-6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47.125</v>
      </c>
      <c r="C143" s="388"/>
      <c r="D143" s="391">
        <f t="shared" si="48"/>
        <v>47.227166371568863</v>
      </c>
      <c r="E143" s="383">
        <f t="shared" si="49"/>
        <v>47.702467522836734</v>
      </c>
      <c r="F143" s="383">
        <f t="shared" si="50"/>
        <v>47.702617817068138</v>
      </c>
      <c r="G143" s="110">
        <f t="shared" si="51"/>
        <v>0.75188648761037113</v>
      </c>
      <c r="I143" s="379">
        <f t="shared" ref="I143:I206" si="52">Wh_hp</f>
        <v>47.702617817068138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2.1632966662672448E-3</v>
      </c>
      <c r="M143" s="842"/>
      <c r="N143" s="842"/>
      <c r="O143" s="323">
        <f t="shared" ref="O143:O206" si="55">IF(t&lt;T0,0,IF(t&lt;Tnet,Salim_i*(1-EXP((T0-t)/Tau_ij)),Resal+(Salim-Resal)*(1-EXP((Tnet-t)/(Tau_j)))))*Salcycl</f>
        <v>9.963869291254774E-3</v>
      </c>
      <c r="P143" s="169">
        <f>(INDEX(Models!$BJ143:$BT143,,T143)*(1-R143)+INDEX(Models!$BJ143:$BT143,,T143+1)*R143-ERP_i)*Q143*Ramure*Pc/MaxiM</f>
        <v>4.8805361481052781E-6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62.675575709052339</v>
      </c>
      <c r="W143" s="58"/>
      <c r="X143" s="157">
        <f t="shared" ref="X143:X206" si="61">t</f>
        <v>43594</v>
      </c>
      <c r="Y143" s="383">
        <f t="shared" ref="Y143:Y206" si="62">Wh_pvt_s*(1-Ppv)</f>
        <v>47.125</v>
      </c>
      <c r="Z143" s="383">
        <f t="shared" ref="Z143:Z206" si="63">Wh_sa_s*(1-Psa_s)</f>
        <v>47.227166371568863</v>
      </c>
      <c r="AA143" s="384">
        <f t="shared" ref="AA143:AA206" si="64">Wh_hp*(1-Pvg_s*MEDIAN((-Sdif+Wh/Env_an)/Csdif,0,1))</f>
        <v>47.702467522836734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9.963869291254774E-3</v>
      </c>
      <c r="AD143" s="169">
        <f>(INDEX(Models!$BJ143:$BT143,,AH143)*(1-AF143)+INDEX(Models!$BJ143:$BT143,,AH143+1)*AF143-ERP_i)*AE143*Ramure*Pc/MaxiM</f>
        <v>4.8805361481052781E-6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39.503999999999998</v>
      </c>
      <c r="C144" s="388"/>
      <c r="D144" s="391">
        <f t="shared" ref="D144:D200" si="75">Wh/(1-Ppv)</f>
        <v>39.5904028862373</v>
      </c>
      <c r="E144" s="383">
        <f t="shared" ref="E144:E200" si="76">Wh_pvt/(1-Psa)</f>
        <v>39.99247795627349</v>
      </c>
      <c r="F144" s="383">
        <f t="shared" ref="F144:F200" si="77">Wh_sa/(1-Pvg*MEDIAN((-Sdif+Wh/Env_an)/Csdif,0,1))</f>
        <v>39.99257184070521</v>
      </c>
      <c r="G144" s="110">
        <f t="shared" ref="G144:G200" si="78">+Wh_hp/MaxiM</f>
        <v>0.62966859019713883</v>
      </c>
      <c r="I144" s="379">
        <f t="shared" si="52"/>
        <v>39.99257184070521</v>
      </c>
      <c r="J144" s="85">
        <v>2018</v>
      </c>
      <c r="K144" s="197">
        <f t="shared" si="53"/>
        <v>43595</v>
      </c>
      <c r="L144" s="435">
        <f t="shared" si="54"/>
        <v>2.1824199790434484E-3</v>
      </c>
      <c r="M144" s="842"/>
      <c r="N144" s="842"/>
      <c r="O144" s="323">
        <f t="shared" si="55"/>
        <v>1.0053767372849735E-2</v>
      </c>
      <c r="P144" s="169">
        <f>(INDEX(Models!$BJ144:$BT144,,T144)*(1-R144)+INDEX(Models!$BJ144:$BT144,,T144+1)*R144-ERP_i)*Q144*Ramure*Pc/MaxiM</f>
        <v>4.9846254425430314E-6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62.737599492187506</v>
      </c>
      <c r="W144" s="58"/>
      <c r="X144" s="157">
        <f t="shared" si="61"/>
        <v>43595</v>
      </c>
      <c r="Y144" s="383">
        <f t="shared" si="62"/>
        <v>39.503999999999998</v>
      </c>
      <c r="Z144" s="383">
        <f t="shared" si="63"/>
        <v>39.5904028862373</v>
      </c>
      <c r="AA144" s="384">
        <f t="shared" si="64"/>
        <v>39.99247795627349</v>
      </c>
      <c r="AB144" s="197">
        <f t="shared" si="65"/>
        <v>43595</v>
      </c>
      <c r="AC144" s="424">
        <f t="shared" si="66"/>
        <v>1.0053767372849735E-2</v>
      </c>
      <c r="AD144" s="169">
        <f>(INDEX(Models!$BJ144:$BT144,,AH144)*(1-AF144)+INDEX(Models!$BJ144:$BT144,,AH144+1)*AF144-ERP_i)*AE144*Ramure*Pc/MaxiM</f>
        <v>4.9846254425430314E-6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37.426000000000002</v>
      </c>
      <c r="C145" s="388"/>
      <c r="D145" s="391">
        <f t="shared" si="75"/>
        <v>37.508576741764877</v>
      </c>
      <c r="E145" s="383">
        <f t="shared" si="76"/>
        <v>37.892955159465195</v>
      </c>
      <c r="F145" s="383">
        <f t="shared" si="77"/>
        <v>37.893036720520001</v>
      </c>
      <c r="G145" s="110">
        <f t="shared" si="78"/>
        <v>0.59599792950214425</v>
      </c>
      <c r="I145" s="379">
        <f t="shared" si="52"/>
        <v>37.893036720520001</v>
      </c>
      <c r="J145" s="85">
        <v>2018</v>
      </c>
      <c r="K145" s="197">
        <f t="shared" si="53"/>
        <v>43596</v>
      </c>
      <c r="L145" s="435">
        <f t="shared" si="54"/>
        <v>2.2015429253258167E-3</v>
      </c>
      <c r="M145" s="842"/>
      <c r="N145" s="842"/>
      <c r="O145" s="323">
        <f t="shared" si="55"/>
        <v>1.0143796283048848E-2</v>
      </c>
      <c r="P145" s="169">
        <f>(INDEX(Models!$BJ145:$BT145,,T145)*(1-R145)+INDEX(Models!$BJ145:$BT145,,T145+1)*R145-ERP_i)*Q145*Ramure*Pc/MaxiM</f>
        <v>5.0901457841767036E-6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62.795335686877642</v>
      </c>
      <c r="W145" s="58"/>
      <c r="X145" s="157">
        <f t="shared" si="61"/>
        <v>43596</v>
      </c>
      <c r="Y145" s="383">
        <f t="shared" si="62"/>
        <v>37.426000000000002</v>
      </c>
      <c r="Z145" s="383">
        <f t="shared" si="63"/>
        <v>37.508576741764877</v>
      </c>
      <c r="AA145" s="384">
        <f t="shared" si="64"/>
        <v>37.892955159465195</v>
      </c>
      <c r="AB145" s="197">
        <f t="shared" si="65"/>
        <v>43596</v>
      </c>
      <c r="AC145" s="424">
        <f t="shared" si="66"/>
        <v>1.0143796283048848E-2</v>
      </c>
      <c r="AD145" s="169">
        <f>(INDEX(Models!$BJ145:$BT145,,AH145)*(1-AF145)+INDEX(Models!$BJ145:$BT145,,AH145+1)*AF145-ERP_i)*AE145*Ramure*Pc/MaxiM</f>
        <v>5.0901457841767036E-6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55.429000000000002</v>
      </c>
      <c r="C146" s="388"/>
      <c r="D146" s="391">
        <f t="shared" si="75"/>
        <v>55.552363216723343</v>
      </c>
      <c r="E146" s="383">
        <f t="shared" si="76"/>
        <v>56.126761881012527</v>
      </c>
      <c r="F146" s="383">
        <f t="shared" si="77"/>
        <v>56.127004376201441</v>
      </c>
      <c r="G146" s="110">
        <f t="shared" si="78"/>
        <v>0.88193539857360925</v>
      </c>
      <c r="I146" s="379">
        <f t="shared" si="52"/>
        <v>56.127004376201441</v>
      </c>
      <c r="J146" s="85">
        <v>2018</v>
      </c>
      <c r="K146" s="197">
        <f t="shared" si="53"/>
        <v>43597</v>
      </c>
      <c r="L146" s="435">
        <f t="shared" si="54"/>
        <v>2.2206655051212332E-3</v>
      </c>
      <c r="M146" s="842"/>
      <c r="N146" s="842"/>
      <c r="O146" s="323">
        <f t="shared" si="55"/>
        <v>1.0233953376945156E-2</v>
      </c>
      <c r="P146" s="169">
        <f>(INDEX(Models!$BJ146:$BT146,,T146)*(1-R146)+INDEX(Models!$BJ146:$BT146,,T146+1)*R146-ERP_i)*Q146*Ramure*Pc/MaxiM</f>
        <v>5.197014762422536E-6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62.849219459369067</v>
      </c>
      <c r="W146" s="58"/>
      <c r="X146" s="157">
        <f t="shared" si="61"/>
        <v>43597</v>
      </c>
      <c r="Y146" s="383">
        <f t="shared" si="62"/>
        <v>55.429000000000002</v>
      </c>
      <c r="Z146" s="383">
        <f t="shared" si="63"/>
        <v>55.552363216723343</v>
      </c>
      <c r="AA146" s="384">
        <f t="shared" si="64"/>
        <v>56.126761881012527</v>
      </c>
      <c r="AB146" s="197">
        <f t="shared" si="65"/>
        <v>43597</v>
      </c>
      <c r="AC146" s="424">
        <f t="shared" si="66"/>
        <v>1.0233953376945156E-2</v>
      </c>
      <c r="AD146" s="169">
        <f>(INDEX(Models!$BJ146:$BT146,,AH146)*(1-AF146)+INDEX(Models!$BJ146:$BT146,,AH146+1)*AF146-ERP_i)*AE146*Ramure*Pc/MaxiM</f>
        <v>5.197014762422536E-6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63.923000000000002</v>
      </c>
      <c r="C147" s="388"/>
      <c r="D147" s="391">
        <f t="shared" si="75"/>
        <v>64.066495349446981</v>
      </c>
      <c r="E147" s="383">
        <f t="shared" si="76"/>
        <v>64.734833010730028</v>
      </c>
      <c r="F147" s="383">
        <f t="shared" si="77"/>
        <v>64.735176440204555</v>
      </c>
      <c r="G147" s="110">
        <f t="shared" si="78"/>
        <v>1.0162689871646022</v>
      </c>
      <c r="I147" s="379">
        <f t="shared" si="52"/>
        <v>64.735176440204555</v>
      </c>
      <c r="J147" s="85">
        <v>2018</v>
      </c>
      <c r="K147" s="197">
        <f t="shared" si="53"/>
        <v>43598</v>
      </c>
      <c r="L147" s="435">
        <f t="shared" si="54"/>
        <v>2.2397877184368031E-3</v>
      </c>
      <c r="M147" s="842"/>
      <c r="N147" s="842"/>
      <c r="O147" s="323">
        <f t="shared" si="55"/>
        <v>1.0324235503508151E-2</v>
      </c>
      <c r="P147" s="169">
        <f>(INDEX(Models!$BJ147:$BT147,,T147)*(1-R147)+INDEX(Models!$BJ147:$BT147,,T147+1)*R147-ERP_i)*Q147*Ramure*Pc/MaxiM</f>
        <v>5.3051446433970472E-6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62.899685818757114</v>
      </c>
      <c r="W147" s="58"/>
      <c r="X147" s="157">
        <f t="shared" si="61"/>
        <v>43598</v>
      </c>
      <c r="Y147" s="383">
        <f t="shared" si="62"/>
        <v>63.923000000000002</v>
      </c>
      <c r="Z147" s="383">
        <f t="shared" si="63"/>
        <v>64.066495349446981</v>
      </c>
      <c r="AA147" s="384">
        <f t="shared" si="64"/>
        <v>64.734833010730028</v>
      </c>
      <c r="AB147" s="197">
        <f t="shared" si="65"/>
        <v>43598</v>
      </c>
      <c r="AC147" s="424">
        <f t="shared" si="66"/>
        <v>1.0324235503508151E-2</v>
      </c>
      <c r="AD147" s="169">
        <f>(INDEX(Models!$BJ147:$BT147,,AH147)*(1-AF147)+INDEX(Models!$BJ147:$BT147,,AH147+1)*AF147-ERP_i)*AE147*Ramure*Pc/MaxiM</f>
        <v>5.3051446433970472E-6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62.378</v>
      </c>
      <c r="C148" s="388"/>
      <c r="D148" s="391">
        <f t="shared" si="75"/>
        <v>62.51922527598979</v>
      </c>
      <c r="E148" s="383">
        <f t="shared" si="76"/>
        <v>63.177192933267783</v>
      </c>
      <c r="F148" s="383">
        <f t="shared" si="77"/>
        <v>63.17753058579234</v>
      </c>
      <c r="G148" s="110">
        <f t="shared" si="78"/>
        <v>0.99095790987045429</v>
      </c>
      <c r="I148" s="379">
        <f t="shared" si="52"/>
        <v>63.17753058579234</v>
      </c>
      <c r="J148" s="85">
        <v>2018</v>
      </c>
      <c r="K148" s="197">
        <f t="shared" si="53"/>
        <v>43599</v>
      </c>
      <c r="L148" s="435">
        <f t="shared" si="54"/>
        <v>2.25890956527941E-3</v>
      </c>
      <c r="M148" s="842"/>
      <c r="N148" s="842"/>
      <c r="O148" s="323">
        <f t="shared" si="55"/>
        <v>1.0414638997541152E-2</v>
      </c>
      <c r="P148" s="169">
        <f>(INDEX(Models!$BJ148:$BT148,,T148)*(1-R148)+INDEX(Models!$BJ148:$BT148,,T148+1)*R148-ERP_i)*Q148*Ramure*Pc/MaxiM</f>
        <v>5.4144426512692388E-6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62.947169618392955</v>
      </c>
      <c r="W148" s="58"/>
      <c r="X148" s="157">
        <f t="shared" si="61"/>
        <v>43599</v>
      </c>
      <c r="Y148" s="383">
        <f t="shared" si="62"/>
        <v>62.378</v>
      </c>
      <c r="Z148" s="383">
        <f t="shared" si="63"/>
        <v>62.51922527598979</v>
      </c>
      <c r="AA148" s="384">
        <f t="shared" si="64"/>
        <v>63.177192933267783</v>
      </c>
      <c r="AB148" s="197">
        <f t="shared" si="65"/>
        <v>43599</v>
      </c>
      <c r="AC148" s="424">
        <f t="shared" si="66"/>
        <v>1.0414638997541152E-2</v>
      </c>
      <c r="AD148" s="169">
        <f>(INDEX(Models!$BJ148:$BT148,,AH148)*(1-AF148)+INDEX(Models!$BJ148:$BT148,,AH148+1)*AF148-ERP_i)*AE148*Ramure*Pc/MaxiM</f>
        <v>5.4144426512692388E-6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62.936</v>
      </c>
      <c r="C149" s="388"/>
      <c r="D149" s="391">
        <f t="shared" si="75"/>
        <v>63.079697509276741</v>
      </c>
      <c r="E149" s="383">
        <f t="shared" si="76"/>
        <v>63.74939508373263</v>
      </c>
      <c r="F149" s="383">
        <f t="shared" si="77"/>
        <v>63.749746861981109</v>
      </c>
      <c r="G149" s="110">
        <f t="shared" si="78"/>
        <v>0.99913395361062396</v>
      </c>
      <c r="I149" s="379">
        <f t="shared" si="52"/>
        <v>63.749746861981109</v>
      </c>
      <c r="J149" s="85">
        <v>2018</v>
      </c>
      <c r="K149" s="197">
        <f t="shared" si="53"/>
        <v>43600</v>
      </c>
      <c r="L149" s="435">
        <f t="shared" si="54"/>
        <v>2.2780310456562702E-3</v>
      </c>
      <c r="M149" s="842"/>
      <c r="N149" s="842"/>
      <c r="O149" s="323">
        <f t="shared" si="55"/>
        <v>1.0505159673692E-2</v>
      </c>
      <c r="P149" s="169">
        <f>(INDEX(Models!$BJ149:$BT149,,T149)*(1-R149)+INDEX(Models!$BJ149:$BT149,,T149+1)*R149-ERP_i)*Q149*Ramure*Pc/MaxiM</f>
        <v>5.5249475450964976E-6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62.990552310194055</v>
      </c>
      <c r="W149" s="58"/>
      <c r="X149" s="157">
        <f t="shared" si="61"/>
        <v>43600</v>
      </c>
      <c r="Y149" s="383">
        <f t="shared" si="62"/>
        <v>62.936</v>
      </c>
      <c r="Z149" s="383">
        <f t="shared" si="63"/>
        <v>63.079697509276741</v>
      </c>
      <c r="AA149" s="384">
        <f t="shared" si="64"/>
        <v>63.74939508373263</v>
      </c>
      <c r="AB149" s="197">
        <f t="shared" si="65"/>
        <v>43600</v>
      </c>
      <c r="AC149" s="424">
        <f t="shared" si="66"/>
        <v>1.0505159673692E-2</v>
      </c>
      <c r="AD149" s="169">
        <f>(INDEX(Models!$BJ149:$BT149,,AH149)*(1-AF149)+INDEX(Models!$BJ149:$BT149,,AH149+1)*AF149-ERP_i)*AE149*Ramure*Pc/MaxiM</f>
        <v>5.5249475450964976E-6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54.081000000000003</v>
      </c>
      <c r="C150" s="388"/>
      <c r="D150" s="391">
        <f t="shared" si="75"/>
        <v>54.205518323477627</v>
      </c>
      <c r="E150" s="383">
        <f t="shared" si="76"/>
        <v>54.786019637131588</v>
      </c>
      <c r="F150" s="383">
        <f t="shared" si="77"/>
        <v>54.786265720122543</v>
      </c>
      <c r="G150" s="110">
        <f t="shared" si="78"/>
        <v>0.85803845574671445</v>
      </c>
      <c r="I150" s="379">
        <f t="shared" si="52"/>
        <v>54.786265720122543</v>
      </c>
      <c r="J150" s="85">
        <v>2018</v>
      </c>
      <c r="K150" s="197">
        <f t="shared" si="53"/>
        <v>43601</v>
      </c>
      <c r="L150" s="435">
        <f t="shared" si="54"/>
        <v>2.2971521595743782E-3</v>
      </c>
      <c r="M150" s="842"/>
      <c r="N150" s="842"/>
      <c r="O150" s="323">
        <f t="shared" si="55"/>
        <v>1.0595792822673455E-2</v>
      </c>
      <c r="P150" s="169">
        <f>(INDEX(Models!$BJ150:$BT150,,T150)*(1-R150)+INDEX(Models!$BJ150:$BT150,,T150+1)*R150-ERP_i)*Q150*Ramure*Pc/MaxiM</f>
        <v>5.6343399385841828E-6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63.028571554027785</v>
      </c>
      <c r="W150" s="58"/>
      <c r="X150" s="157">
        <f t="shared" si="61"/>
        <v>43601</v>
      </c>
      <c r="Y150" s="383">
        <f t="shared" si="62"/>
        <v>54.081000000000003</v>
      </c>
      <c r="Z150" s="383">
        <f t="shared" si="63"/>
        <v>54.205518323477627</v>
      </c>
      <c r="AA150" s="384">
        <f t="shared" si="64"/>
        <v>54.786019637131588</v>
      </c>
      <c r="AB150" s="197">
        <f t="shared" si="65"/>
        <v>43601</v>
      </c>
      <c r="AC150" s="424">
        <f t="shared" si="66"/>
        <v>1.0595792822673455E-2</v>
      </c>
      <c r="AD150" s="169">
        <f>(INDEX(Models!$BJ150:$BT150,,AH150)*(1-AF150)+INDEX(Models!$BJ150:$BT150,,AH150+1)*AF150-ERP_i)*AE150*Ramure*Pc/MaxiM</f>
        <v>5.6343399385841828E-6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6.5140000000000002</v>
      </c>
      <c r="C151" s="388"/>
      <c r="D151" s="391">
        <f t="shared" si="75"/>
        <v>6.5291232312472678</v>
      </c>
      <c r="E151" s="383">
        <f t="shared" si="76"/>
        <v>6.5996506167363611</v>
      </c>
      <c r="F151" s="383">
        <f t="shared" si="77"/>
        <v>6.5996506167363611</v>
      </c>
      <c r="G151" s="110">
        <f t="shared" si="78"/>
        <v>0.10329548388939132</v>
      </c>
      <c r="I151" s="379">
        <f t="shared" si="52"/>
        <v>6.5996506167363611</v>
      </c>
      <c r="J151" s="85">
        <v>2018</v>
      </c>
      <c r="K151" s="197">
        <f t="shared" si="53"/>
        <v>43602</v>
      </c>
      <c r="L151" s="435">
        <f t="shared" si="54"/>
        <v>2.3162729070406174E-3</v>
      </c>
      <c r="M151" s="842"/>
      <c r="N151" s="842"/>
      <c r="O151" s="323">
        <f t="shared" si="55"/>
        <v>1.0686533209839894E-2</v>
      </c>
      <c r="P151" s="169">
        <f>(INDEX(Models!$BJ151:$BT151,,T151)*(1-R151)+INDEX(Models!$BJ151:$BT151,,T151+1)*R151-ERP_i)*Q151*Ramure*Pc/MaxiM</f>
        <v>5.7378401752896972E-6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63.061446429586802</v>
      </c>
      <c r="W151" s="58"/>
      <c r="X151" s="157">
        <f t="shared" si="61"/>
        <v>43602</v>
      </c>
      <c r="Y151" s="383">
        <f t="shared" si="62"/>
        <v>6.5140000000000002</v>
      </c>
      <c r="Z151" s="383">
        <f t="shared" si="63"/>
        <v>6.5291232312472678</v>
      </c>
      <c r="AA151" s="384">
        <f t="shared" si="64"/>
        <v>6.5996506167363611</v>
      </c>
      <c r="AB151" s="197">
        <f t="shared" si="65"/>
        <v>43602</v>
      </c>
      <c r="AC151" s="424">
        <f t="shared" si="66"/>
        <v>1.0686533209839894E-2</v>
      </c>
      <c r="AD151" s="169">
        <f>(INDEX(Models!$BJ151:$BT151,,AH151)*(1-AF151)+INDEX(Models!$BJ151:$BT151,,AH151+1)*AF151-ERP_i)*AE151*Ramure*Pc/MaxiM</f>
        <v>5.7378401752896972E-6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36.835000000000001</v>
      </c>
      <c r="C152" s="388"/>
      <c r="D152" s="391">
        <f t="shared" si="75"/>
        <v>36.921225582412191</v>
      </c>
      <c r="E152" s="383">
        <f t="shared" si="76"/>
        <v>37.323474668058921</v>
      </c>
      <c r="F152" s="383">
        <f t="shared" si="77"/>
        <v>37.323562973554012</v>
      </c>
      <c r="G152" s="110">
        <f t="shared" si="78"/>
        <v>0.58385203747522085</v>
      </c>
      <c r="I152" s="379">
        <f t="shared" si="52"/>
        <v>37.323562973554012</v>
      </c>
      <c r="J152" s="85">
        <v>2018</v>
      </c>
      <c r="K152" s="197">
        <f t="shared" si="53"/>
        <v>43603</v>
      </c>
      <c r="L152" s="435">
        <f t="shared" si="54"/>
        <v>2.3353932880620931E-3</v>
      </c>
      <c r="M152" s="842"/>
      <c r="N152" s="842"/>
      <c r="O152" s="323">
        <f t="shared" si="55"/>
        <v>1.0777375076253846E-2</v>
      </c>
      <c r="P152" s="169">
        <f>(INDEX(Models!$BJ152:$BT152,,T152)*(1-R152)+INDEX(Models!$BJ152:$BT152,,T152+1)*R152-ERP_i)*Q152*Ramure*Pc/MaxiM</f>
        <v>5.8345526045623033E-6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63.089395718855926</v>
      </c>
      <c r="W152" s="58"/>
      <c r="X152" s="157">
        <f t="shared" si="61"/>
        <v>43603</v>
      </c>
      <c r="Y152" s="383">
        <f t="shared" si="62"/>
        <v>36.835000000000001</v>
      </c>
      <c r="Z152" s="383">
        <f t="shared" si="63"/>
        <v>36.921225582412191</v>
      </c>
      <c r="AA152" s="384">
        <f t="shared" si="64"/>
        <v>37.323474668058921</v>
      </c>
      <c r="AB152" s="197">
        <f t="shared" si="65"/>
        <v>43603</v>
      </c>
      <c r="AC152" s="424">
        <f t="shared" si="66"/>
        <v>1.0777375076253846E-2</v>
      </c>
      <c r="AD152" s="169">
        <f>(INDEX(Models!$BJ152:$BT152,,AH152)*(1-AF152)+INDEX(Models!$BJ152:$BT152,,AH152+1)*AF152-ERP_i)*AE152*Ramure*Pc/MaxiM</f>
        <v>5.8345526045623033E-6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26.331</v>
      </c>
      <c r="C153" s="388"/>
      <c r="D153" s="391">
        <f t="shared" si="75"/>
        <v>26.393143006306985</v>
      </c>
      <c r="E153" s="383">
        <f t="shared" si="76"/>
        <v>26.683143741428339</v>
      </c>
      <c r="F153" s="383">
        <f t="shared" si="77"/>
        <v>26.683170206403478</v>
      </c>
      <c r="G153" s="110">
        <f t="shared" si="78"/>
        <v>0.41720439705384349</v>
      </c>
      <c r="I153" s="379">
        <f t="shared" si="52"/>
        <v>26.683170206403478</v>
      </c>
      <c r="J153" s="85">
        <v>2018</v>
      </c>
      <c r="K153" s="197">
        <f t="shared" si="53"/>
        <v>43604</v>
      </c>
      <c r="L153" s="435">
        <f t="shared" si="54"/>
        <v>2.3545133026459109E-3</v>
      </c>
      <c r="M153" s="842"/>
      <c r="N153" s="842"/>
      <c r="O153" s="323">
        <f t="shared" si="55"/>
        <v>1.0868312142361891E-2</v>
      </c>
      <c r="P153" s="169">
        <f>(INDEX(Models!$BJ153:$BT153,,T153)*(1-R153)+INDEX(Models!$BJ153:$BT153,,T153+1)*R153-ERP_i)*Q153*Ramure*Pc/MaxiM</f>
        <v>5.9235297613494477E-6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63.112638143398023</v>
      </c>
      <c r="W153" s="58"/>
      <c r="X153" s="157">
        <f t="shared" si="61"/>
        <v>43604</v>
      </c>
      <c r="Y153" s="383">
        <f t="shared" si="62"/>
        <v>26.331</v>
      </c>
      <c r="Z153" s="383">
        <f t="shared" si="63"/>
        <v>26.393143006306985</v>
      </c>
      <c r="AA153" s="384">
        <f t="shared" si="64"/>
        <v>26.683143741428339</v>
      </c>
      <c r="AB153" s="197">
        <f t="shared" si="65"/>
        <v>43604</v>
      </c>
      <c r="AC153" s="424">
        <f t="shared" si="66"/>
        <v>1.0868312142361891E-2</v>
      </c>
      <c r="AD153" s="169">
        <f>(INDEX(Models!$BJ153:$BT153,,AH153)*(1-AF153)+INDEX(Models!$BJ153:$BT153,,AH153+1)*AF153-ERP_i)*AE153*Ramure*Pc/MaxiM</f>
        <v>5.9235297613494477E-6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52.524999999999999</v>
      </c>
      <c r="C154" s="388"/>
      <c r="D154" s="391">
        <f t="shared" si="75"/>
        <v>52.64997170770404</v>
      </c>
      <c r="E154" s="383">
        <f t="shared" si="76"/>
        <v>53.233374228223937</v>
      </c>
      <c r="F154" s="383">
        <f t="shared" si="77"/>
        <v>53.233617123861052</v>
      </c>
      <c r="G154" s="110">
        <f t="shared" si="78"/>
        <v>0.83199375688718558</v>
      </c>
      <c r="I154" s="379">
        <f t="shared" si="52"/>
        <v>53.233617123861052</v>
      </c>
      <c r="J154" s="85">
        <v>2018</v>
      </c>
      <c r="K154" s="197">
        <f t="shared" si="53"/>
        <v>43605</v>
      </c>
      <c r="L154" s="435">
        <f t="shared" si="54"/>
        <v>2.373632950798954E-3</v>
      </c>
      <c r="M154" s="842"/>
      <c r="N154" s="842"/>
      <c r="O154" s="323">
        <f t="shared" si="55"/>
        <v>1.0959337614382973E-2</v>
      </c>
      <c r="P154" s="169">
        <f>(INDEX(Models!$BJ154:$BT154,,T154)*(1-R154)+INDEX(Models!$BJ154:$BT154,,T154+1)*R154-ERP_i)*Q154*Ramure*Pc/MaxiM</f>
        <v>6.0037729943268921E-6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63.131392368058371</v>
      </c>
      <c r="W154" s="58"/>
      <c r="X154" s="157">
        <f t="shared" si="61"/>
        <v>43605</v>
      </c>
      <c r="Y154" s="383">
        <f t="shared" si="62"/>
        <v>52.524999999999999</v>
      </c>
      <c r="Z154" s="383">
        <f t="shared" si="63"/>
        <v>52.64997170770404</v>
      </c>
      <c r="AA154" s="384">
        <f t="shared" si="64"/>
        <v>53.233374228223937</v>
      </c>
      <c r="AB154" s="197">
        <f t="shared" si="65"/>
        <v>43605</v>
      </c>
      <c r="AC154" s="424">
        <f t="shared" si="66"/>
        <v>1.0959337614382973E-2</v>
      </c>
      <c r="AD154" s="169">
        <f>(INDEX(Models!$BJ154:$BT154,,AH154)*(1-AF154)+INDEX(Models!$BJ154:$BT154,,AH154+1)*AF154-ERP_i)*AE154*Ramure*Pc/MaxiM</f>
        <v>6.0037729943268921E-6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50.362000000000002</v>
      </c>
      <c r="C155" s="388"/>
      <c r="D155" s="391">
        <f t="shared" si="75"/>
        <v>50.482792815212861</v>
      </c>
      <c r="E155" s="383">
        <f t="shared" si="76"/>
        <v>51.046883553168946</v>
      </c>
      <c r="F155" s="383">
        <f t="shared" si="77"/>
        <v>51.047103947978172</v>
      </c>
      <c r="G155" s="110">
        <f t="shared" si="78"/>
        <v>0.79754869069709089</v>
      </c>
      <c r="I155" s="379">
        <f t="shared" si="52"/>
        <v>51.047103947978172</v>
      </c>
      <c r="J155" s="85">
        <v>2018</v>
      </c>
      <c r="K155" s="197">
        <f t="shared" si="53"/>
        <v>43606</v>
      </c>
      <c r="L155" s="435">
        <f t="shared" si="54"/>
        <v>2.3927522325282169E-3</v>
      </c>
      <c r="M155" s="842"/>
      <c r="N155" s="842"/>
      <c r="O155" s="323">
        <f t="shared" si="55"/>
        <v>1.1050444193494114E-2</v>
      </c>
      <c r="P155" s="169">
        <f>(INDEX(Models!$BJ155:$BT155,,T155)*(1-R155)+INDEX(Models!$BJ155:$BT155,,T155+1)*R155-ERP_i)*Q155*Ramure*Pc/MaxiM</f>
        <v>6.0742335009225944E-6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63.145877002116585</v>
      </c>
      <c r="W155" s="58"/>
      <c r="X155" s="157">
        <f t="shared" si="61"/>
        <v>43606</v>
      </c>
      <c r="Y155" s="383">
        <f t="shared" si="62"/>
        <v>50.362000000000002</v>
      </c>
      <c r="Z155" s="383">
        <f t="shared" si="63"/>
        <v>50.482792815212861</v>
      </c>
      <c r="AA155" s="384">
        <f t="shared" si="64"/>
        <v>51.046883553168946</v>
      </c>
      <c r="AB155" s="197">
        <f t="shared" si="65"/>
        <v>43606</v>
      </c>
      <c r="AC155" s="424">
        <f t="shared" si="66"/>
        <v>1.1050444193494114E-2</v>
      </c>
      <c r="AD155" s="169">
        <f>(INDEX(Models!$BJ155:$BT155,,AH155)*(1-AF155)+INDEX(Models!$BJ155:$BT155,,AH155+1)*AF155-ERP_i)*AE155*Ramure*Pc/MaxiM</f>
        <v>6.0742335009225944E-6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59.935000000000002</v>
      </c>
      <c r="C156" s="388"/>
      <c r="D156" s="391">
        <f t="shared" si="75"/>
        <v>60.07990498940898</v>
      </c>
      <c r="E156" s="383">
        <f t="shared" si="76"/>
        <v>60.756834803559613</v>
      </c>
      <c r="F156" s="383">
        <f t="shared" si="77"/>
        <v>60.757180610940942</v>
      </c>
      <c r="G156" s="110">
        <f t="shared" si="78"/>
        <v>0.94899421664077199</v>
      </c>
      <c r="I156" s="379">
        <f t="shared" si="52"/>
        <v>60.757180610940942</v>
      </c>
      <c r="J156" s="85">
        <v>2018</v>
      </c>
      <c r="K156" s="197">
        <f t="shared" si="53"/>
        <v>43607</v>
      </c>
      <c r="L156" s="435">
        <f t="shared" si="54"/>
        <v>2.4118711478409161E-3</v>
      </c>
      <c r="M156" s="842"/>
      <c r="N156" s="842"/>
      <c r="O156" s="323">
        <f t="shared" si="55"/>
        <v>1.1141624087879118E-2</v>
      </c>
      <c r="P156" s="169">
        <f>(INDEX(Models!$BJ156:$BT156,,T156)*(1-R156)+INDEX(Models!$BJ156:$BT156,,T156+1)*R156-ERP_i)*Q156*Ramure*Pc/MaxiM</f>
        <v>6.1389426443595578E-6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63.15631026952947</v>
      </c>
      <c r="W156" s="58"/>
      <c r="X156" s="157">
        <f t="shared" si="61"/>
        <v>43607</v>
      </c>
      <c r="Y156" s="383">
        <f t="shared" si="62"/>
        <v>59.935000000000002</v>
      </c>
      <c r="Z156" s="383">
        <f t="shared" si="63"/>
        <v>60.07990498940898</v>
      </c>
      <c r="AA156" s="384">
        <f t="shared" si="64"/>
        <v>60.756834803559613</v>
      </c>
      <c r="AB156" s="197">
        <f t="shared" si="65"/>
        <v>43607</v>
      </c>
      <c r="AC156" s="424">
        <f t="shared" si="66"/>
        <v>1.1141624087879118E-2</v>
      </c>
      <c r="AD156" s="169">
        <f>(INDEX(Models!$BJ156:$BT156,,AH156)*(1-AF156)+INDEX(Models!$BJ156:$BT156,,AH156+1)*AF156-ERP_i)*AE156*Ramure*Pc/MaxiM</f>
        <v>6.1389426443595578E-6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51.996000000000002</v>
      </c>
      <c r="C157" s="388"/>
      <c r="D157" s="391">
        <f t="shared" si="75"/>
        <v>52.122709770418261</v>
      </c>
      <c r="E157" s="383">
        <f t="shared" si="76"/>
        <v>52.714848762380271</v>
      </c>
      <c r="F157" s="383">
        <f t="shared" si="77"/>
        <v>52.715093033856327</v>
      </c>
      <c r="G157" s="110">
        <f t="shared" si="78"/>
        <v>0.8232033355026902</v>
      </c>
      <c r="I157" s="379">
        <f t="shared" si="52"/>
        <v>52.715093033856327</v>
      </c>
      <c r="J157" s="85">
        <v>2018</v>
      </c>
      <c r="K157" s="197">
        <f t="shared" si="53"/>
        <v>43608</v>
      </c>
      <c r="L157" s="435">
        <f t="shared" si="54"/>
        <v>2.4309896967439348E-3</v>
      </c>
      <c r="M157" s="842"/>
      <c r="N157" s="842"/>
      <c r="O157" s="323">
        <f t="shared" si="55"/>
        <v>1.1232869027684398E-2</v>
      </c>
      <c r="P157" s="169">
        <f>(INDEX(Models!$BJ157:$BT157,,T157)*(1-R157)+INDEX(Models!$BJ157:$BT157,,T157+1)*R157-ERP_i)*Q157*Ramure*Pc/MaxiM</f>
        <v>6.199608220503969E-6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63.162910476281404</v>
      </c>
      <c r="W157" s="58"/>
      <c r="X157" s="157">
        <f t="shared" si="61"/>
        <v>43608</v>
      </c>
      <c r="Y157" s="383">
        <f t="shared" si="62"/>
        <v>51.996000000000002</v>
      </c>
      <c r="Z157" s="383">
        <f t="shared" si="63"/>
        <v>52.122709770418261</v>
      </c>
      <c r="AA157" s="384">
        <f t="shared" si="64"/>
        <v>52.714848762380271</v>
      </c>
      <c r="AB157" s="197">
        <f t="shared" si="65"/>
        <v>43608</v>
      </c>
      <c r="AC157" s="424">
        <f t="shared" si="66"/>
        <v>1.1232869027684398E-2</v>
      </c>
      <c r="AD157" s="169">
        <f>(INDEX(Models!$BJ157:$BT157,,AH157)*(1-AF157)+INDEX(Models!$BJ157:$BT157,,AH157+1)*AF157-ERP_i)*AE157*Ramure*Pc/MaxiM</f>
        <v>6.199608220503969E-6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12.366</v>
      </c>
      <c r="C158" s="388"/>
      <c r="D158" s="391">
        <f t="shared" si="75"/>
        <v>12.396372449813335</v>
      </c>
      <c r="E158" s="383">
        <f t="shared" si="76"/>
        <v>12.538358961764528</v>
      </c>
      <c r="F158" s="383">
        <f t="shared" si="77"/>
        <v>12.538358961764528</v>
      </c>
      <c r="G158" s="110">
        <f t="shared" si="78"/>
        <v>0.1957689738233466</v>
      </c>
      <c r="I158" s="379">
        <f t="shared" si="52"/>
        <v>12.538358961764528</v>
      </c>
      <c r="J158" s="85">
        <v>2018</v>
      </c>
      <c r="K158" s="197">
        <f t="shared" si="53"/>
        <v>43609</v>
      </c>
      <c r="L158" s="435">
        <f t="shared" si="54"/>
        <v>2.4501078792443787E-3</v>
      </c>
      <c r="M158" s="842"/>
      <c r="N158" s="842"/>
      <c r="O158" s="323">
        <f t="shared" si="55"/>
        <v>1.1324170282903816E-2</v>
      </c>
      <c r="P158" s="169">
        <f>(INDEX(Models!$BJ158:$BT158,,T158)*(1-R158)+INDEX(Models!$BJ158:$BT158,,T158+1)*R158-ERP_i)*Q158*Ramure*Pc/MaxiM</f>
        <v>6.2558803579513674E-6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63.165895996073218</v>
      </c>
      <c r="W158" s="58"/>
      <c r="X158" s="157">
        <f t="shared" si="61"/>
        <v>43609</v>
      </c>
      <c r="Y158" s="383">
        <f t="shared" si="62"/>
        <v>12.366</v>
      </c>
      <c r="Z158" s="383">
        <f t="shared" si="63"/>
        <v>12.396372449813335</v>
      </c>
      <c r="AA158" s="384">
        <f t="shared" si="64"/>
        <v>12.538358961764528</v>
      </c>
      <c r="AB158" s="197">
        <f t="shared" si="65"/>
        <v>43609</v>
      </c>
      <c r="AC158" s="424">
        <f t="shared" si="66"/>
        <v>1.1324170282903816E-2</v>
      </c>
      <c r="AD158" s="169">
        <f>(INDEX(Models!$BJ158:$BT158,,AH158)*(1-AF158)+INDEX(Models!$BJ158:$BT158,,AH158+1)*AF158-ERP_i)*AE158*Ramure*Pc/MaxiM</f>
        <v>6.2558803579513674E-6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25.402000000000001</v>
      </c>
      <c r="C159" s="388"/>
      <c r="D159" s="391">
        <f t="shared" si="75"/>
        <v>25.464878532401151</v>
      </c>
      <c r="E159" s="383">
        <f t="shared" si="76"/>
        <v>25.758930080014323</v>
      </c>
      <c r="F159" s="383">
        <f t="shared" si="77"/>
        <v>25.758953789503959</v>
      </c>
      <c r="G159" s="110">
        <f t="shared" si="78"/>
        <v>0.40214783607060522</v>
      </c>
      <c r="I159" s="379">
        <f t="shared" si="52"/>
        <v>25.758953789503959</v>
      </c>
      <c r="J159" s="85">
        <v>2018</v>
      </c>
      <c r="K159" s="197">
        <f t="shared" si="53"/>
        <v>43610</v>
      </c>
      <c r="L159" s="435">
        <f t="shared" si="54"/>
        <v>2.4692256953491309E-3</v>
      </c>
      <c r="M159" s="842"/>
      <c r="N159" s="842"/>
      <c r="O159" s="323">
        <f t="shared" si="55"/>
        <v>1.1415518684191047E-2</v>
      </c>
      <c r="P159" s="169">
        <f>(INDEX(Models!$BJ159:$BT159,,T159)*(1-R159)+INDEX(Models!$BJ159:$BT159,,T159+1)*R159-ERP_i)*Q159*Ramure*Pc/MaxiM</f>
        <v>6.3074474967366996E-6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63.165485129128342</v>
      </c>
      <c r="W159" s="58"/>
      <c r="X159" s="157">
        <f t="shared" si="61"/>
        <v>43610</v>
      </c>
      <c r="Y159" s="383">
        <f t="shared" si="62"/>
        <v>25.402000000000001</v>
      </c>
      <c r="Z159" s="383">
        <f t="shared" si="63"/>
        <v>25.464878532401151</v>
      </c>
      <c r="AA159" s="384">
        <f t="shared" si="64"/>
        <v>25.758930080014323</v>
      </c>
      <c r="AB159" s="197">
        <f t="shared" si="65"/>
        <v>43610</v>
      </c>
      <c r="AC159" s="424">
        <f t="shared" si="66"/>
        <v>1.1415518684191047E-2</v>
      </c>
      <c r="AD159" s="169">
        <f>(INDEX(Models!$BJ159:$BT159,,AH159)*(1-AF159)+INDEX(Models!$BJ159:$BT159,,AH159+1)*AF159-ERP_i)*AE159*Ramure*Pc/MaxiM</f>
        <v>6.3074474967366996E-6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26.045000000000002</v>
      </c>
      <c r="C160" s="388"/>
      <c r="D160" s="391">
        <f t="shared" si="75"/>
        <v>26.109970566276456</v>
      </c>
      <c r="E160" s="383">
        <f t="shared" si="76"/>
        <v>26.413912943864396</v>
      </c>
      <c r="F160" s="383">
        <f t="shared" si="77"/>
        <v>26.41393988198563</v>
      </c>
      <c r="G160" s="110">
        <f t="shared" si="78"/>
        <v>0.4123508424521663</v>
      </c>
      <c r="I160" s="379">
        <f t="shared" si="52"/>
        <v>26.41393988198563</v>
      </c>
      <c r="J160" s="85">
        <v>2018</v>
      </c>
      <c r="K160" s="197">
        <f t="shared" si="53"/>
        <v>43611</v>
      </c>
      <c r="L160" s="435">
        <f t="shared" si="54"/>
        <v>2.4883431450654081E-3</v>
      </c>
      <c r="M160" s="842"/>
      <c r="N160" s="842"/>
      <c r="O160" s="323">
        <f t="shared" si="55"/>
        <v>1.1506904646573403E-2</v>
      </c>
      <c r="P160" s="169">
        <f>(INDEX(Models!$BJ160:$BT160,,T160)*(1-R160)+INDEX(Models!$BJ160:$BT160,,T160+1)*R160-ERP_i)*Q160*Ramure*Pc/MaxiM</f>
        <v>6.354001638132314E-6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63.161896109783513</v>
      </c>
      <c r="W160" s="58"/>
      <c r="X160" s="157">
        <f t="shared" si="61"/>
        <v>43611</v>
      </c>
      <c r="Y160" s="383">
        <f t="shared" si="62"/>
        <v>26.045000000000002</v>
      </c>
      <c r="Z160" s="383">
        <f t="shared" si="63"/>
        <v>26.109970566276456</v>
      </c>
      <c r="AA160" s="384">
        <f t="shared" si="64"/>
        <v>26.413912943864396</v>
      </c>
      <c r="AB160" s="197">
        <f t="shared" si="65"/>
        <v>43611</v>
      </c>
      <c r="AC160" s="424">
        <f t="shared" si="66"/>
        <v>1.1506904646573403E-2</v>
      </c>
      <c r="AD160" s="169">
        <f>(INDEX(Models!$BJ160:$BT160,,AH160)*(1-AF160)+INDEX(Models!$BJ160:$BT160,,AH160+1)*AF160-ERP_i)*AE160*Ramure*Pc/MaxiM</f>
        <v>6.354001638132314E-6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31.324999999999999</v>
      </c>
      <c r="C161" s="388"/>
      <c r="D161" s="391">
        <f t="shared" si="75"/>
        <v>31.403743638195643</v>
      </c>
      <c r="E161" s="383">
        <f t="shared" si="76"/>
        <v>31.772248283591559</v>
      </c>
      <c r="F161" s="383">
        <f t="shared" si="77"/>
        <v>31.772305176978726</v>
      </c>
      <c r="G161" s="110">
        <f t="shared" si="78"/>
        <v>0.49599689020593535</v>
      </c>
      <c r="I161" s="379">
        <f t="shared" si="52"/>
        <v>31.772305176978726</v>
      </c>
      <c r="J161" s="85">
        <v>2018</v>
      </c>
      <c r="K161" s="197">
        <f t="shared" si="53"/>
        <v>43612</v>
      </c>
      <c r="L161" s="435">
        <f t="shared" si="54"/>
        <v>2.5074602283999825E-3</v>
      </c>
      <c r="M161" s="842"/>
      <c r="N161" s="842"/>
      <c r="O161" s="323">
        <f t="shared" si="55"/>
        <v>1.1598318196016033E-2</v>
      </c>
      <c r="P161" s="169">
        <f>(INDEX(Models!$BJ161:$BT161,,T161)*(1-R161)+INDEX(Models!$BJ161:$BT161,,T161+1)*R161-ERP_i)*Q161*Ramure*Pc/MaxiM</f>
        <v>6.395240242931955E-6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63.155347099557389</v>
      </c>
      <c r="W161" s="58"/>
      <c r="X161" s="157">
        <f t="shared" si="61"/>
        <v>43612</v>
      </c>
      <c r="Y161" s="383">
        <f t="shared" si="62"/>
        <v>31.324999999999999</v>
      </c>
      <c r="Z161" s="383">
        <f t="shared" si="63"/>
        <v>31.403743638195643</v>
      </c>
      <c r="AA161" s="384">
        <f t="shared" si="64"/>
        <v>31.772248283591559</v>
      </c>
      <c r="AB161" s="197">
        <f t="shared" si="65"/>
        <v>43612</v>
      </c>
      <c r="AC161" s="424">
        <f t="shared" si="66"/>
        <v>1.1598318196016033E-2</v>
      </c>
      <c r="AD161" s="169">
        <f>(INDEX(Models!$BJ161:$BT161,,AH161)*(1-AF161)+INDEX(Models!$BJ161:$BT161,,AH161+1)*AF161-ERP_i)*AE161*Ramure*Pc/MaxiM</f>
        <v>6.395240242931955E-6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27.669</v>
      </c>
      <c r="C162" s="388"/>
      <c r="D162" s="391">
        <f t="shared" si="75"/>
        <v>27.73908493247578</v>
      </c>
      <c r="E162" s="383">
        <f t="shared" si="76"/>
        <v>28.067183259886054</v>
      </c>
      <c r="F162" s="383">
        <f t="shared" si="77"/>
        <v>28.067218888528078</v>
      </c>
      <c r="G162" s="110">
        <f t="shared" si="78"/>
        <v>0.43817237146213056</v>
      </c>
      <c r="I162" s="379">
        <f t="shared" si="52"/>
        <v>28.067218888528078</v>
      </c>
      <c r="J162" s="85">
        <v>2018</v>
      </c>
      <c r="K162" s="197">
        <f t="shared" si="53"/>
        <v>43613</v>
      </c>
      <c r="L162" s="435">
        <f t="shared" si="54"/>
        <v>2.5265769453600706E-3</v>
      </c>
      <c r="M162" s="842"/>
      <c r="N162" s="842"/>
      <c r="O162" s="323">
        <f t="shared" si="55"/>
        <v>1.168974899876031E-2</v>
      </c>
      <c r="P162" s="169">
        <f>(INDEX(Models!$BJ162:$BT162,,T162)*(1-R162)+INDEX(Models!$BJ162:$BT162,,T162+1)*R162-ERP_i)*Q162*Ramure*Pc/MaxiM</f>
        <v>6.4308681880451104E-6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63.146056185469618</v>
      </c>
      <c r="W162" s="58"/>
      <c r="X162" s="157">
        <f t="shared" si="61"/>
        <v>43613</v>
      </c>
      <c r="Y162" s="383">
        <f t="shared" si="62"/>
        <v>27.669</v>
      </c>
      <c r="Z162" s="383">
        <f t="shared" si="63"/>
        <v>27.73908493247578</v>
      </c>
      <c r="AA162" s="384">
        <f t="shared" si="64"/>
        <v>28.067183259886054</v>
      </c>
      <c r="AB162" s="197">
        <f t="shared" si="65"/>
        <v>43613</v>
      </c>
      <c r="AC162" s="424">
        <f t="shared" si="66"/>
        <v>1.168974899876031E-2</v>
      </c>
      <c r="AD162" s="169">
        <f>(INDEX(Models!$BJ162:$BT162,,AH162)*(1-AF162)+INDEX(Models!$BJ162:$BT162,,AH162+1)*AF162-ERP_i)*AE162*Ramure*Pc/MaxiM</f>
        <v>6.4308681880451104E-6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40.127000000000002</v>
      </c>
      <c r="C163" s="388"/>
      <c r="D163" s="391">
        <f t="shared" si="75"/>
        <v>40.229411743776254</v>
      </c>
      <c r="E163" s="383">
        <f t="shared" si="76"/>
        <v>40.709012204445351</v>
      </c>
      <c r="F163" s="383">
        <f t="shared" si="77"/>
        <v>40.709138298630698</v>
      </c>
      <c r="G163" s="110">
        <f t="shared" si="78"/>
        <v>0.63559494842436171</v>
      </c>
      <c r="I163" s="379">
        <f t="shared" si="52"/>
        <v>40.709138298630698</v>
      </c>
      <c r="J163" s="85">
        <v>2018</v>
      </c>
      <c r="K163" s="197">
        <f t="shared" si="53"/>
        <v>43614</v>
      </c>
      <c r="L163" s="435">
        <f t="shared" si="54"/>
        <v>2.5456932959526668E-3</v>
      </c>
      <c r="M163" s="842"/>
      <c r="N163" s="842"/>
      <c r="O163" s="323">
        <f t="shared" si="55"/>
        <v>1.1781186393334342E-2</v>
      </c>
      <c r="P163" s="169">
        <f>(INDEX(Models!$BJ163:$BT163,,T163)*(1-R163)+INDEX(Models!$BJ163:$BT163,,T163+1)*R163-ERP_i)*Q163*Ramure*Pc/MaxiM</f>
        <v>6.4607510848989409E-6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63.132762680923534</v>
      </c>
      <c r="W163" s="58"/>
      <c r="X163" s="157">
        <f t="shared" si="61"/>
        <v>43614</v>
      </c>
      <c r="Y163" s="383">
        <f t="shared" si="62"/>
        <v>40.127000000000002</v>
      </c>
      <c r="Z163" s="383">
        <f t="shared" si="63"/>
        <v>40.229411743776254</v>
      </c>
      <c r="AA163" s="384">
        <f t="shared" si="64"/>
        <v>40.709012204445351</v>
      </c>
      <c r="AB163" s="197">
        <f t="shared" si="65"/>
        <v>43614</v>
      </c>
      <c r="AC163" s="424">
        <f t="shared" si="66"/>
        <v>1.1781186393334342E-2</v>
      </c>
      <c r="AD163" s="169">
        <f>(INDEX(Models!$BJ163:$BT163,,AH163)*(1-AF163)+INDEX(Models!$BJ163:$BT163,,AH163+1)*AF163-ERP_i)*AE163*Ramure*Pc/MaxiM</f>
        <v>6.4607510848989409E-6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56.734999999999999</v>
      </c>
      <c r="C164" s="388"/>
      <c r="D164" s="391">
        <f t="shared" si="75"/>
        <v>56.880888631026011</v>
      </c>
      <c r="E164" s="383">
        <f t="shared" si="76"/>
        <v>57.564327989709938</v>
      </c>
      <c r="F164" s="383">
        <f t="shared" si="77"/>
        <v>57.564647443854589</v>
      </c>
      <c r="G164" s="110">
        <f t="shared" si="78"/>
        <v>0.89892308617541383</v>
      </c>
      <c r="I164" s="379">
        <f t="shared" si="52"/>
        <v>57.564647443854589</v>
      </c>
      <c r="J164" s="85">
        <v>2018</v>
      </c>
      <c r="K164" s="197">
        <f t="shared" si="53"/>
        <v>43615</v>
      </c>
      <c r="L164" s="435">
        <f t="shared" si="54"/>
        <v>2.5648092801847655E-3</v>
      </c>
      <c r="M164" s="842"/>
      <c r="N164" s="842"/>
      <c r="O164" s="323">
        <f t="shared" si="55"/>
        <v>1.1872619425108153E-2</v>
      </c>
      <c r="P164" s="169">
        <f>(INDEX(Models!$BJ164:$BT164,,T164)*(1-R164)+INDEX(Models!$BJ164:$BT164,,T164+1)*R164-ERP_i)*Q164*Ramure*Pc/MaxiM</f>
        <v>6.4860315025557099E-6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63.114350646085583</v>
      </c>
      <c r="W164" s="58"/>
      <c r="X164" s="157">
        <f t="shared" si="61"/>
        <v>43615</v>
      </c>
      <c r="Y164" s="383">
        <f t="shared" si="62"/>
        <v>56.734999999999999</v>
      </c>
      <c r="Z164" s="383">
        <f t="shared" si="63"/>
        <v>56.880888631026011</v>
      </c>
      <c r="AA164" s="384">
        <f t="shared" si="64"/>
        <v>57.564327989709938</v>
      </c>
      <c r="AB164" s="197">
        <f t="shared" si="65"/>
        <v>43615</v>
      </c>
      <c r="AC164" s="424">
        <f t="shared" si="66"/>
        <v>1.1872619425108153E-2</v>
      </c>
      <c r="AD164" s="169">
        <f>(INDEX(Models!$BJ164:$BT164,,AH164)*(1-AF164)+INDEX(Models!$BJ164:$BT164,,AH164+1)*AF164-ERP_i)*AE164*Ramure*Pc/MaxiM</f>
        <v>6.4860315025557099E-6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61.771999999999998</v>
      </c>
      <c r="C165" s="388"/>
      <c r="D165" s="391">
        <f t="shared" si="75"/>
        <v>61.932027708383238</v>
      </c>
      <c r="E165" s="383">
        <f t="shared" si="76"/>
        <v>62.681956953286097</v>
      </c>
      <c r="F165" s="383">
        <f t="shared" si="77"/>
        <v>62.682352866116169</v>
      </c>
      <c r="G165" s="110">
        <f t="shared" si="78"/>
        <v>0.97908954307686946</v>
      </c>
      <c r="I165" s="379">
        <f t="shared" si="52"/>
        <v>62.682352866116169</v>
      </c>
      <c r="J165" s="85">
        <v>2018</v>
      </c>
      <c r="K165" s="197">
        <f t="shared" si="53"/>
        <v>43616</v>
      </c>
      <c r="L165" s="435">
        <f t="shared" si="54"/>
        <v>2.5839248980633611E-3</v>
      </c>
      <c r="M165" s="842"/>
      <c r="N165" s="842"/>
      <c r="O165" s="323">
        <f t="shared" si="55"/>
        <v>1.1964036883241328E-2</v>
      </c>
      <c r="P165" s="169">
        <f>(INDEX(Models!$BJ165:$BT165,,T165)*(1-R165)+INDEX(Models!$BJ165:$BT165,,T165+1)*R165-ERP_i)*Q165*Ramure*Pc/MaxiM</f>
        <v>6.5106621724566141E-6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63.091254955146553</v>
      </c>
      <c r="W165" s="58"/>
      <c r="X165" s="157">
        <f t="shared" si="61"/>
        <v>43616</v>
      </c>
      <c r="Y165" s="383">
        <f t="shared" si="62"/>
        <v>61.771999999999998</v>
      </c>
      <c r="Z165" s="383">
        <f t="shared" si="63"/>
        <v>61.932027708383238</v>
      </c>
      <c r="AA165" s="384">
        <f t="shared" si="64"/>
        <v>62.681956953286097</v>
      </c>
      <c r="AB165" s="197">
        <f t="shared" si="65"/>
        <v>43616</v>
      </c>
      <c r="AC165" s="424">
        <f t="shared" si="66"/>
        <v>1.1964036883241328E-2</v>
      </c>
      <c r="AD165" s="169">
        <f>(INDEX(Models!$BJ165:$BT165,,AH165)*(1-AF165)+INDEX(Models!$BJ165:$BT165,,AH165+1)*AF165-ERP_i)*AE165*Ramure*Pc/MaxiM</f>
        <v>6.5106621724566141E-6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62.201000000000001</v>
      </c>
      <c r="C166" s="388"/>
      <c r="D166" s="391">
        <f t="shared" si="75"/>
        <v>62.363334262949103</v>
      </c>
      <c r="E166" s="383">
        <f t="shared" si="76"/>
        <v>63.124324976075002</v>
      </c>
      <c r="F166" s="383">
        <f t="shared" si="77"/>
        <v>63.124729427681508</v>
      </c>
      <c r="G166" s="110">
        <f t="shared" si="78"/>
        <v>0.98631676232582044</v>
      </c>
      <c r="I166" s="379">
        <f t="shared" si="52"/>
        <v>63.124729427681508</v>
      </c>
      <c r="J166" s="85">
        <v>2018</v>
      </c>
      <c r="K166" s="197">
        <f t="shared" si="53"/>
        <v>43617</v>
      </c>
      <c r="L166" s="435">
        <f t="shared" si="54"/>
        <v>2.6030401495955591E-3</v>
      </c>
      <c r="M166" s="842"/>
      <c r="N166" s="842"/>
      <c r="O166" s="323">
        <f t="shared" si="55"/>
        <v>1.2055427339846027E-2</v>
      </c>
      <c r="P166" s="169">
        <f>(INDEX(Models!$BJ166:$BT166,,T166)*(1-R166)+INDEX(Models!$BJ166:$BT166,,T166+1)*R166-ERP_i)*Q166*Ramure*Pc/MaxiM</f>
        <v>6.5349217165402091E-6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63.063910530844431</v>
      </c>
      <c r="W166" s="58"/>
      <c r="X166" s="157">
        <f t="shared" si="61"/>
        <v>43617</v>
      </c>
      <c r="Y166" s="383">
        <f t="shared" si="62"/>
        <v>62.201000000000001</v>
      </c>
      <c r="Z166" s="383">
        <f t="shared" si="63"/>
        <v>62.363334262949103</v>
      </c>
      <c r="AA166" s="384">
        <f t="shared" si="64"/>
        <v>63.124324976075002</v>
      </c>
      <c r="AB166" s="197">
        <f t="shared" si="65"/>
        <v>43617</v>
      </c>
      <c r="AC166" s="424">
        <f t="shared" si="66"/>
        <v>1.2055427339846027E-2</v>
      </c>
      <c r="AD166" s="169">
        <f>(INDEX(Models!$BJ166:$BT166,,AH166)*(1-AF166)+INDEX(Models!$BJ166:$BT166,,AH166+1)*AF166-ERP_i)*AE166*Ramure*Pc/MaxiM</f>
        <v>6.5349217165402091E-6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61.433999999999997</v>
      </c>
      <c r="C167" s="388"/>
      <c r="D167" s="391">
        <f t="shared" si="75"/>
        <v>61.59551298449265</v>
      </c>
      <c r="E167" s="383">
        <f t="shared" si="76"/>
        <v>62.352899891402345</v>
      </c>
      <c r="F167" s="383">
        <f t="shared" si="77"/>
        <v>62.353294055215706</v>
      </c>
      <c r="G167" s="110">
        <f t="shared" si="78"/>
        <v>0.9746359367417412</v>
      </c>
      <c r="I167" s="379">
        <f t="shared" si="52"/>
        <v>62.353294055215706</v>
      </c>
      <c r="J167" s="85">
        <v>2018</v>
      </c>
      <c r="K167" s="197">
        <f t="shared" si="53"/>
        <v>43618</v>
      </c>
      <c r="L167" s="435">
        <f t="shared" si="54"/>
        <v>2.6221550347882427E-3</v>
      </c>
      <c r="M167" s="842"/>
      <c r="N167" s="842"/>
      <c r="O167" s="323">
        <f t="shared" si="55"/>
        <v>1.2146779191165259E-2</v>
      </c>
      <c r="P167" s="169">
        <f>(INDEX(Models!$BJ167:$BT167,,T167)*(1-R167)+INDEX(Models!$BJ167:$BT167,,T167+1)*R167-ERP_i)*Q167*Ramure*Pc/MaxiM</f>
        <v>6.5591228998544637E-6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63.032752111174823</v>
      </c>
      <c r="W167" s="58"/>
      <c r="X167" s="157">
        <f t="shared" si="61"/>
        <v>43618</v>
      </c>
      <c r="Y167" s="383">
        <f t="shared" si="62"/>
        <v>61.433999999999997</v>
      </c>
      <c r="Z167" s="383">
        <f t="shared" si="63"/>
        <v>61.59551298449265</v>
      </c>
      <c r="AA167" s="384">
        <f t="shared" si="64"/>
        <v>62.352899891402345</v>
      </c>
      <c r="AB167" s="197">
        <f t="shared" si="65"/>
        <v>43618</v>
      </c>
      <c r="AC167" s="424">
        <f t="shared" si="66"/>
        <v>1.2146779191165259E-2</v>
      </c>
      <c r="AD167" s="169">
        <f>(INDEX(Models!$BJ167:$BT167,,AH167)*(1-AF167)+INDEX(Models!$BJ167:$BT167,,AH167+1)*AF167-ERP_i)*AE167*Ramure*Pc/MaxiM</f>
        <v>6.5591228998544637E-6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47.531999999999996</v>
      </c>
      <c r="C168" s="388"/>
      <c r="D168" s="391">
        <f t="shared" si="75"/>
        <v>47.657877300304811</v>
      </c>
      <c r="E168" s="383">
        <f t="shared" si="76"/>
        <v>48.248344433145277</v>
      </c>
      <c r="F168" s="383">
        <f t="shared" si="77"/>
        <v>48.248550677509407</v>
      </c>
      <c r="G168" s="110">
        <f t="shared" si="78"/>
        <v>0.75449583480779336</v>
      </c>
      <c r="I168" s="379">
        <f t="shared" si="52"/>
        <v>48.248550677509407</v>
      </c>
      <c r="J168" s="85">
        <v>2018</v>
      </c>
      <c r="K168" s="197">
        <f t="shared" si="53"/>
        <v>43619</v>
      </c>
      <c r="L168" s="435">
        <f t="shared" si="54"/>
        <v>2.6412695536486286E-3</v>
      </c>
      <c r="M168" s="842"/>
      <c r="N168" s="842"/>
      <c r="O168" s="323">
        <f t="shared" si="55"/>
        <v>1.2238080700543875E-2</v>
      </c>
      <c r="P168" s="169">
        <f>(INDEX(Models!$BJ168:$BT168,,T168)*(1-R168)+INDEX(Models!$BJ168:$BT168,,T168+1)*R168-ERP_i)*Q168*Ramure*Pc/MaxiM</f>
        <v>6.5836128665978297E-6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62.998214245586752</v>
      </c>
      <c r="W168" s="58"/>
      <c r="X168" s="157">
        <f t="shared" si="61"/>
        <v>43619</v>
      </c>
      <c r="Y168" s="383">
        <f t="shared" si="62"/>
        <v>47.531999999999996</v>
      </c>
      <c r="Z168" s="383">
        <f t="shared" si="63"/>
        <v>47.657877300304811</v>
      </c>
      <c r="AA168" s="384">
        <f t="shared" si="64"/>
        <v>48.248344433145277</v>
      </c>
      <c r="AB168" s="197">
        <f t="shared" si="65"/>
        <v>43619</v>
      </c>
      <c r="AC168" s="424">
        <f t="shared" si="66"/>
        <v>1.2238080700543875E-2</v>
      </c>
      <c r="AD168" s="169">
        <f>(INDEX(Models!$BJ168:$BT168,,AH168)*(1-AF168)+INDEX(Models!$BJ168:$BT168,,AH168+1)*AF168-ERP_i)*AE168*Ramure*Pc/MaxiM</f>
        <v>6.5836128665978297E-6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56.350999999999999</v>
      </c>
      <c r="C169" s="388"/>
      <c r="D169" s="391">
        <f t="shared" si="75"/>
        <v>56.501315178278226</v>
      </c>
      <c r="E169" s="383">
        <f t="shared" si="76"/>
        <v>57.206634078410801</v>
      </c>
      <c r="F169" s="383">
        <f t="shared" si="77"/>
        <v>57.206955445857666</v>
      </c>
      <c r="G169" s="110">
        <f t="shared" si="78"/>
        <v>0.89501730671803104</v>
      </c>
      <c r="I169" s="379">
        <f t="shared" si="52"/>
        <v>57.206955445857666</v>
      </c>
      <c r="J169" s="85">
        <v>2018</v>
      </c>
      <c r="K169" s="197">
        <f t="shared" si="53"/>
        <v>43620</v>
      </c>
      <c r="L169" s="435">
        <f t="shared" si="54"/>
        <v>2.660383706183489E-3</v>
      </c>
      <c r="M169" s="842"/>
      <c r="N169" s="842"/>
      <c r="O169" s="323">
        <f t="shared" si="55"/>
        <v>1.2329320042948616E-2</v>
      </c>
      <c r="P169" s="169">
        <f>(INDEX(Models!$BJ169:$BT169,,T169)*(1-R169)+INDEX(Models!$BJ169:$BT169,,T169+1)*R169-ERP_i)*Q169*Ramure*Pc/MaxiM</f>
        <v>6.6087731082507171E-6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62.960731289492919</v>
      </c>
      <c r="W169" s="58"/>
      <c r="X169" s="157">
        <f t="shared" si="61"/>
        <v>43620</v>
      </c>
      <c r="Y169" s="383">
        <f t="shared" si="62"/>
        <v>56.350999999999999</v>
      </c>
      <c r="Z169" s="383">
        <f t="shared" si="63"/>
        <v>56.501315178278226</v>
      </c>
      <c r="AA169" s="384">
        <f t="shared" si="64"/>
        <v>57.206634078410801</v>
      </c>
      <c r="AB169" s="197">
        <f t="shared" si="65"/>
        <v>43620</v>
      </c>
      <c r="AC169" s="424">
        <f t="shared" si="66"/>
        <v>1.2329320042948616E-2</v>
      </c>
      <c r="AD169" s="169">
        <f>(INDEX(Models!$BJ169:$BT169,,AH169)*(1-AF169)+INDEX(Models!$BJ169:$BT169,,AH169+1)*AF169-ERP_i)*AE169*Ramure*Pc/MaxiM</f>
        <v>6.6087731082507171E-6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10.319000000000001</v>
      </c>
      <c r="C170" s="388"/>
      <c r="D170" s="391">
        <f t="shared" si="75"/>
        <v>10.34672402106901</v>
      </c>
      <c r="E170" s="383">
        <f t="shared" si="76"/>
        <v>10.476851602925388</v>
      </c>
      <c r="F170" s="383">
        <f t="shared" si="77"/>
        <v>10.476851602925388</v>
      </c>
      <c r="G170" s="110">
        <f t="shared" si="78"/>
        <v>0.16399889700216233</v>
      </c>
      <c r="I170" s="379">
        <f t="shared" si="52"/>
        <v>10.476851602925388</v>
      </c>
      <c r="J170" s="85">
        <v>2018</v>
      </c>
      <c r="K170" s="197">
        <f t="shared" si="53"/>
        <v>43621</v>
      </c>
      <c r="L170" s="435">
        <f t="shared" si="54"/>
        <v>2.6794974924000403E-3</v>
      </c>
      <c r="M170" s="842"/>
      <c r="N170" s="842"/>
      <c r="O170" s="323">
        <f t="shared" si="55"/>
        <v>1.242048535077501E-2</v>
      </c>
      <c r="P170" s="169">
        <f>(INDEX(Models!$BJ170:$BT170,,T170)*(1-R170)+INDEX(Models!$BJ170:$BT170,,T170+1)*R170-ERP_i)*Q170*Ramure*Pc/MaxiM</f>
        <v>6.6408954762371179E-6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62.920737036807786</v>
      </c>
      <c r="W170" s="58"/>
      <c r="X170" s="157">
        <f t="shared" si="61"/>
        <v>43621</v>
      </c>
      <c r="Y170" s="383">
        <f t="shared" si="62"/>
        <v>10.319000000000001</v>
      </c>
      <c r="Z170" s="383">
        <f t="shared" si="63"/>
        <v>10.34672402106901</v>
      </c>
      <c r="AA170" s="384">
        <f t="shared" si="64"/>
        <v>10.476851602925388</v>
      </c>
      <c r="AB170" s="197">
        <f t="shared" si="65"/>
        <v>43621</v>
      </c>
      <c r="AC170" s="424">
        <f t="shared" si="66"/>
        <v>1.242048535077501E-2</v>
      </c>
      <c r="AD170" s="169">
        <f>(INDEX(Models!$BJ170:$BT170,,AH170)*(1-AF170)+INDEX(Models!$BJ170:$BT170,,AH170+1)*AF170-ERP_i)*AE170*Ramure*Pc/MaxiM</f>
        <v>6.6408954762371179E-6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57.976999999999997</v>
      </c>
      <c r="C171" s="388"/>
      <c r="D171" s="391">
        <f t="shared" si="75"/>
        <v>58.133880724898859</v>
      </c>
      <c r="E171" s="383">
        <f t="shared" si="76"/>
        <v>58.870442073388809</v>
      </c>
      <c r="F171" s="383">
        <f t="shared" si="77"/>
        <v>58.87079114151684</v>
      </c>
      <c r="G171" s="110">
        <f t="shared" si="78"/>
        <v>0.92204495819663179</v>
      </c>
      <c r="I171" s="379">
        <f t="shared" si="52"/>
        <v>58.87079114151684</v>
      </c>
      <c r="J171" s="85">
        <v>2018</v>
      </c>
      <c r="K171" s="197">
        <f t="shared" si="53"/>
        <v>43622</v>
      </c>
      <c r="L171" s="435">
        <f t="shared" si="54"/>
        <v>2.6986109123052771E-3</v>
      </c>
      <c r="M171" s="842"/>
      <c r="N171" s="842"/>
      <c r="O171" s="323">
        <f t="shared" si="55"/>
        <v>1.251156476066106E-2</v>
      </c>
      <c r="P171" s="169">
        <f>(INDEX(Models!$BJ171:$BT171,,T171)*(1-R171)+INDEX(Models!$BJ171:$BT171,,T171+1)*R171-ERP_i)*Q171*Ramure*Pc/MaxiM</f>
        <v>6.6724620455823753E-6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62.878665951705798</v>
      </c>
      <c r="W171" s="58"/>
      <c r="X171" s="157">
        <f t="shared" si="61"/>
        <v>43622</v>
      </c>
      <c r="Y171" s="383">
        <f t="shared" si="62"/>
        <v>57.976999999999997</v>
      </c>
      <c r="Z171" s="383">
        <f t="shared" si="63"/>
        <v>58.133880724898859</v>
      </c>
      <c r="AA171" s="384">
        <f t="shared" si="64"/>
        <v>58.870442073388809</v>
      </c>
      <c r="AB171" s="197">
        <f t="shared" si="65"/>
        <v>43622</v>
      </c>
      <c r="AC171" s="424">
        <f t="shared" si="66"/>
        <v>1.251156476066106E-2</v>
      </c>
      <c r="AD171" s="169">
        <f>(INDEX(Models!$BJ171:$BT171,,AH171)*(1-AF171)+INDEX(Models!$BJ171:$BT171,,AH171+1)*AF171-ERP_i)*AE171*Ramure*Pc/MaxiM</f>
        <v>6.6724620455823753E-6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22.622</v>
      </c>
      <c r="C172" s="388"/>
      <c r="D172" s="391">
        <f t="shared" si="75"/>
        <v>22.683647893514379</v>
      </c>
      <c r="E172" s="383">
        <f t="shared" si="76"/>
        <v>22.973168314555235</v>
      </c>
      <c r="F172" s="383">
        <f t="shared" si="77"/>
        <v>22.973181520050968</v>
      </c>
      <c r="G172" s="110">
        <f t="shared" si="78"/>
        <v>0.36002035013179234</v>
      </c>
      <c r="I172" s="379">
        <f t="shared" si="52"/>
        <v>22.973181520050968</v>
      </c>
      <c r="J172" s="85">
        <v>2018</v>
      </c>
      <c r="K172" s="197">
        <f t="shared" si="53"/>
        <v>43623</v>
      </c>
      <c r="L172" s="435">
        <f t="shared" si="54"/>
        <v>2.7177239659060826E-3</v>
      </c>
      <c r="M172" s="842"/>
      <c r="N172" s="842"/>
      <c r="O172" s="323">
        <f t="shared" si="55"/>
        <v>1.2602546461013017E-2</v>
      </c>
      <c r="P172" s="169">
        <f>(INDEX(Models!$BJ172:$BT172,,T172)*(1-R172)+INDEX(Models!$BJ172:$BT172,,T172+1)*R172-ERP_i)*Q172*Ramure*Pc/MaxiM</f>
        <v>6.7037392677212114E-6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62.834951811135703</v>
      </c>
      <c r="W172" s="58"/>
      <c r="X172" s="157">
        <f t="shared" si="61"/>
        <v>43623</v>
      </c>
      <c r="Y172" s="383">
        <f t="shared" si="62"/>
        <v>22.622</v>
      </c>
      <c r="Z172" s="383">
        <f t="shared" si="63"/>
        <v>22.683647893514379</v>
      </c>
      <c r="AA172" s="384">
        <f t="shared" si="64"/>
        <v>22.973168314555235</v>
      </c>
      <c r="AB172" s="197">
        <f t="shared" si="65"/>
        <v>43623</v>
      </c>
      <c r="AC172" s="424">
        <f t="shared" si="66"/>
        <v>1.2602546461013017E-2</v>
      </c>
      <c r="AD172" s="169">
        <f>(INDEX(Models!$BJ172:$BT172,,AH172)*(1-AF172)+INDEX(Models!$BJ172:$BT172,,AH172+1)*AF172-ERP_i)*AE172*Ramure*Pc/MaxiM</f>
        <v>6.7037392677212114E-6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62.765999999999998</v>
      </c>
      <c r="C173" s="388"/>
      <c r="D173" s="391">
        <f t="shared" si="75"/>
        <v>62.938251714180304</v>
      </c>
      <c r="E173" s="383">
        <f t="shared" si="76"/>
        <v>63.74742446652634</v>
      </c>
      <c r="F173" s="383">
        <f t="shared" si="77"/>
        <v>63.747853574878313</v>
      </c>
      <c r="G173" s="110">
        <f t="shared" si="78"/>
        <v>0.99961732111053003</v>
      </c>
      <c r="I173" s="379">
        <f t="shared" si="52"/>
        <v>63.747853574878313</v>
      </c>
      <c r="J173" s="85">
        <v>2018</v>
      </c>
      <c r="K173" s="197">
        <f t="shared" si="53"/>
        <v>43624</v>
      </c>
      <c r="L173" s="435">
        <f t="shared" si="54"/>
        <v>2.7368366532096733E-3</v>
      </c>
      <c r="M173" s="842"/>
      <c r="N173" s="842"/>
      <c r="O173" s="323">
        <f t="shared" si="55"/>
        <v>1.2693418739935661E-2</v>
      </c>
      <c r="P173" s="169">
        <f>(INDEX(Models!$BJ173:$BT173,,T173)*(1-R173)+INDEX(Models!$BJ173:$BT173,,T173+1)*R173-ERP_i)*Q173*Ramure*Pc/MaxiM</f>
        <v>6.735019936866664E-6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62.790028187157183</v>
      </c>
      <c r="W173" s="58"/>
      <c r="X173" s="157">
        <f t="shared" si="61"/>
        <v>43624</v>
      </c>
      <c r="Y173" s="383">
        <f t="shared" si="62"/>
        <v>62.765999999999998</v>
      </c>
      <c r="Z173" s="383">
        <f t="shared" si="63"/>
        <v>62.938251714180304</v>
      </c>
      <c r="AA173" s="384">
        <f t="shared" si="64"/>
        <v>63.74742446652634</v>
      </c>
      <c r="AB173" s="197">
        <f t="shared" si="65"/>
        <v>43624</v>
      </c>
      <c r="AC173" s="424">
        <f t="shared" si="66"/>
        <v>1.2693418739935661E-2</v>
      </c>
      <c r="AD173" s="169">
        <f>(INDEX(Models!$BJ173:$BT173,,AH173)*(1-AF173)+INDEX(Models!$BJ173:$BT173,,AH173+1)*AF173-ERP_i)*AE173*Ramure*Pc/MaxiM</f>
        <v>6.735019936866664E-6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51.468000000000004</v>
      </c>
      <c r="C174" s="388"/>
      <c r="D174" s="391">
        <f t="shared" si="75"/>
        <v>51.610235174689088</v>
      </c>
      <c r="E174" s="383">
        <f t="shared" si="76"/>
        <v>52.278573345432797</v>
      </c>
      <c r="F174" s="383">
        <f t="shared" si="77"/>
        <v>52.278836274168064</v>
      </c>
      <c r="G174" s="110">
        <f t="shared" si="78"/>
        <v>0.82027988600165169</v>
      </c>
      <c r="I174" s="379">
        <f t="shared" si="52"/>
        <v>52.278836274168064</v>
      </c>
      <c r="J174" s="85">
        <v>2018</v>
      </c>
      <c r="K174" s="197">
        <f t="shared" si="53"/>
        <v>43625</v>
      </c>
      <c r="L174" s="435">
        <f t="shared" si="54"/>
        <v>2.7559489742228216E-3</v>
      </c>
      <c r="M174" s="842"/>
      <c r="N174" s="842"/>
      <c r="O174" s="323">
        <f t="shared" si="55"/>
        <v>1.2784170033249283E-2</v>
      </c>
      <c r="P174" s="169">
        <f>(INDEX(Models!$BJ174:$BT174,,T174)*(1-R174)+INDEX(Models!$BJ174:$BT174,,T174+1)*R174-ERP_i)*Q174*Ramure*Pc/MaxiM</f>
        <v>6.7666225983742757E-6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62.744328447019853</v>
      </c>
      <c r="W174" s="58"/>
      <c r="X174" s="157">
        <f t="shared" si="61"/>
        <v>43625</v>
      </c>
      <c r="Y174" s="383">
        <f t="shared" si="62"/>
        <v>51.468000000000004</v>
      </c>
      <c r="Z174" s="383">
        <f t="shared" si="63"/>
        <v>51.610235174689088</v>
      </c>
      <c r="AA174" s="384">
        <f t="shared" si="64"/>
        <v>52.278573345432797</v>
      </c>
      <c r="AB174" s="197">
        <f t="shared" si="65"/>
        <v>43625</v>
      </c>
      <c r="AC174" s="424">
        <f t="shared" si="66"/>
        <v>1.2784170033249283E-2</v>
      </c>
      <c r="AD174" s="169">
        <f>(INDEX(Models!$BJ174:$BT174,,AH174)*(1-AF174)+INDEX(Models!$BJ174:$BT174,,AH174+1)*AF174-ERP_i)*AE174*Ramure*Pc/MaxiM</f>
        <v>6.7666225983742757E-6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20.850999999999999</v>
      </c>
      <c r="C175" s="388"/>
      <c r="D175" s="391">
        <f t="shared" si="75"/>
        <v>20.909023815051693</v>
      </c>
      <c r="E175" s="383">
        <f t="shared" si="76"/>
        <v>21.181734172590478</v>
      </c>
      <c r="F175" s="383">
        <f t="shared" si="77"/>
        <v>21.181740871412291</v>
      </c>
      <c r="G175" s="110">
        <f t="shared" si="78"/>
        <v>0.33255877065050149</v>
      </c>
      <c r="I175" s="379">
        <f t="shared" si="52"/>
        <v>21.181740871412291</v>
      </c>
      <c r="J175" s="85">
        <v>2018</v>
      </c>
      <c r="K175" s="197">
        <f t="shared" si="53"/>
        <v>43626</v>
      </c>
      <c r="L175" s="435">
        <f t="shared" si="54"/>
        <v>2.7750609289528549E-3</v>
      </c>
      <c r="M175" s="842"/>
      <c r="N175" s="842"/>
      <c r="O175" s="323">
        <f t="shared" si="55"/>
        <v>1.2874788972268118E-2</v>
      </c>
      <c r="P175" s="169">
        <f>(INDEX(Models!$BJ175:$BT175,,T175)*(1-R175)+INDEX(Models!$BJ175:$BT175,,T175+1)*R175-ERP_i)*Q175*Ramure*Pc/MaxiM</f>
        <v>6.7988907236781572E-6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62.698285748786468</v>
      </c>
      <c r="W175" s="58"/>
      <c r="X175" s="157">
        <f t="shared" si="61"/>
        <v>43626</v>
      </c>
      <c r="Y175" s="383">
        <f t="shared" si="62"/>
        <v>20.850999999999999</v>
      </c>
      <c r="Z175" s="383">
        <f t="shared" si="63"/>
        <v>20.909023815051693</v>
      </c>
      <c r="AA175" s="384">
        <f t="shared" si="64"/>
        <v>21.181734172590478</v>
      </c>
      <c r="AB175" s="197">
        <f t="shared" si="65"/>
        <v>43626</v>
      </c>
      <c r="AC175" s="424">
        <f t="shared" si="66"/>
        <v>1.2874788972268118E-2</v>
      </c>
      <c r="AD175" s="169">
        <f>(INDEX(Models!$BJ175:$BT175,,AH175)*(1-AF175)+INDEX(Models!$BJ175:$BT175,,AH175+1)*AF175-ERP_i)*AE175*Ramure*Pc/MaxiM</f>
        <v>6.7988907236781572E-6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32.375999999999998</v>
      </c>
      <c r="C176" s="388"/>
      <c r="D176" s="391">
        <f t="shared" si="75"/>
        <v>32.466717610076472</v>
      </c>
      <c r="E176" s="383">
        <f t="shared" si="76"/>
        <v>32.893186470646938</v>
      </c>
      <c r="F176" s="383">
        <f t="shared" si="77"/>
        <v>32.893256059709344</v>
      </c>
      <c r="G176" s="110">
        <f t="shared" si="78"/>
        <v>0.51675405726615498</v>
      </c>
      <c r="I176" s="379">
        <f t="shared" si="52"/>
        <v>32.893256059709344</v>
      </c>
      <c r="J176" s="85">
        <v>2018</v>
      </c>
      <c r="K176" s="197">
        <f t="shared" si="53"/>
        <v>43627</v>
      </c>
      <c r="L176" s="435">
        <f t="shared" si="54"/>
        <v>2.7941725174065457E-3</v>
      </c>
      <c r="M176" s="842"/>
      <c r="N176" s="842"/>
      <c r="O176" s="323">
        <f t="shared" si="55"/>
        <v>1.2965264431010209E-2</v>
      </c>
      <c r="P176" s="169">
        <f>(INDEX(Models!$BJ176:$BT176,,T176)*(1-R176)+INDEX(Models!$BJ176:$BT176,,T176+1)*R176-ERP_i)*Q176*Ramure*Pc/MaxiM</f>
        <v>6.8321916513093973E-6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62.652333039581499</v>
      </c>
      <c r="W176" s="58"/>
      <c r="X176" s="157">
        <f t="shared" si="61"/>
        <v>43627</v>
      </c>
      <c r="Y176" s="383">
        <f t="shared" si="62"/>
        <v>32.375999999999998</v>
      </c>
      <c r="Z176" s="383">
        <f t="shared" si="63"/>
        <v>32.466717610076472</v>
      </c>
      <c r="AA176" s="384">
        <f t="shared" si="64"/>
        <v>32.893186470646938</v>
      </c>
      <c r="AB176" s="197">
        <f t="shared" si="65"/>
        <v>43627</v>
      </c>
      <c r="AC176" s="424">
        <f t="shared" si="66"/>
        <v>1.2965264431010209E-2</v>
      </c>
      <c r="AD176" s="169">
        <f>(INDEX(Models!$BJ176:$BT176,,AH176)*(1-AF176)+INDEX(Models!$BJ176:$BT176,,AH176+1)*AF176-ERP_i)*AE176*Ramure*Pc/MaxiM</f>
        <v>6.8321916513093973E-6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55.523000000000003</v>
      </c>
      <c r="C177" s="388"/>
      <c r="D177" s="391">
        <f t="shared" si="75"/>
        <v>55.67964263324636</v>
      </c>
      <c r="E177" s="383">
        <f t="shared" si="76"/>
        <v>56.416189016627669</v>
      </c>
      <c r="F177" s="383">
        <f t="shared" si="77"/>
        <v>56.41651381708197</v>
      </c>
      <c r="G177" s="110">
        <f t="shared" si="78"/>
        <v>0.88686540527191748</v>
      </c>
      <c r="I177" s="379">
        <f t="shared" si="52"/>
        <v>56.41651381708197</v>
      </c>
      <c r="J177" s="85">
        <v>2018</v>
      </c>
      <c r="K177" s="197">
        <f t="shared" si="53"/>
        <v>43628</v>
      </c>
      <c r="L177" s="435">
        <f t="shared" si="54"/>
        <v>2.8132837395911103E-3</v>
      </c>
      <c r="M177" s="842"/>
      <c r="N177" s="842"/>
      <c r="O177" s="323">
        <f t="shared" si="55"/>
        <v>1.3055585572506922E-2</v>
      </c>
      <c r="P177" s="169">
        <f>(INDEX(Models!$BJ177:$BT177,,T177)*(1-R177)+INDEX(Models!$BJ177:$BT177,,T177+1)*R177-ERP_i)*Q177*Ramure*Pc/MaxiM</f>
        <v>6.8670337885098781E-6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62.605822763638187</v>
      </c>
      <c r="W177" s="58"/>
      <c r="X177" s="157">
        <f t="shared" si="61"/>
        <v>43628</v>
      </c>
      <c r="Y177" s="383">
        <f t="shared" si="62"/>
        <v>55.523000000000003</v>
      </c>
      <c r="Z177" s="383">
        <f t="shared" si="63"/>
        <v>55.67964263324636</v>
      </c>
      <c r="AA177" s="384">
        <f t="shared" si="64"/>
        <v>56.416189016627669</v>
      </c>
      <c r="AB177" s="197">
        <f t="shared" si="65"/>
        <v>43628</v>
      </c>
      <c r="AC177" s="424">
        <f t="shared" si="66"/>
        <v>1.3055585572506922E-2</v>
      </c>
      <c r="AD177" s="169">
        <f>(INDEX(Models!$BJ177:$BT177,,AH177)*(1-AF177)+INDEX(Models!$BJ177:$BT177,,AH177+1)*AF177-ERP_i)*AE177*Ramure*Pc/MaxiM</f>
        <v>6.8670337885098781E-6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63.253999999999998</v>
      </c>
      <c r="C178" s="388"/>
      <c r="D178" s="391">
        <f t="shared" si="75"/>
        <v>63.433669181764003</v>
      </c>
      <c r="E178" s="383">
        <f t="shared" si="76"/>
        <v>64.27865985348248</v>
      </c>
      <c r="F178" s="383">
        <f t="shared" si="77"/>
        <v>64.279104061315721</v>
      </c>
      <c r="G178" s="110">
        <f t="shared" si="78"/>
        <v>1.0111285981565341</v>
      </c>
      <c r="I178" s="379">
        <f t="shared" si="52"/>
        <v>64.279104061315721</v>
      </c>
      <c r="J178" s="85">
        <v>2018</v>
      </c>
      <c r="K178" s="197">
        <f t="shared" si="53"/>
        <v>43629</v>
      </c>
      <c r="L178" s="435">
        <f t="shared" si="54"/>
        <v>2.8323945955133212E-3</v>
      </c>
      <c r="M178" s="842"/>
      <c r="N178" s="842"/>
      <c r="O178" s="323">
        <f t="shared" si="55"/>
        <v>1.3145741893881435E-2</v>
      </c>
      <c r="P178" s="169">
        <f>(INDEX(Models!$BJ178:$BT178,,T178)*(1-R178)+INDEX(Models!$BJ178:$BT178,,T178+1)*R178-ERP_i)*Q178*Ramure*Pc/MaxiM</f>
        <v>6.9106102165105213E-6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62.557819168919956</v>
      </c>
      <c r="W178" s="58"/>
      <c r="X178" s="157">
        <f t="shared" si="61"/>
        <v>43629</v>
      </c>
      <c r="Y178" s="383">
        <f t="shared" si="62"/>
        <v>63.253999999999998</v>
      </c>
      <c r="Z178" s="383">
        <f t="shared" si="63"/>
        <v>63.433669181764003</v>
      </c>
      <c r="AA178" s="384">
        <f t="shared" si="64"/>
        <v>64.27865985348248</v>
      </c>
      <c r="AB178" s="197">
        <f t="shared" si="65"/>
        <v>43629</v>
      </c>
      <c r="AC178" s="424">
        <f t="shared" si="66"/>
        <v>1.3145741893881435E-2</v>
      </c>
      <c r="AD178" s="169">
        <f>(INDEX(Models!$BJ178:$BT178,,AH178)*(1-AF178)+INDEX(Models!$BJ178:$BT178,,AH178+1)*AF178-ERP_i)*AE178*Ramure*Pc/MaxiM</f>
        <v>6.9106102165105213E-6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25.574999999999999</v>
      </c>
      <c r="C179" s="388"/>
      <c r="D179" s="391">
        <f t="shared" si="75"/>
        <v>25.648135789629524</v>
      </c>
      <c r="E179" s="383">
        <f t="shared" si="76"/>
        <v>25.99216083766278</v>
      </c>
      <c r="F179" s="383">
        <f t="shared" si="77"/>
        <v>25.992189052666514</v>
      </c>
      <c r="G179" s="110">
        <f t="shared" si="78"/>
        <v>0.40914310772389823</v>
      </c>
      <c r="I179" s="379">
        <f t="shared" si="52"/>
        <v>25.992189052666514</v>
      </c>
      <c r="J179" s="85">
        <v>2018</v>
      </c>
      <c r="K179" s="197">
        <f t="shared" si="53"/>
        <v>43630</v>
      </c>
      <c r="L179" s="435">
        <f t="shared" si="54"/>
        <v>2.8515050851803947E-3</v>
      </c>
      <c r="M179" s="842"/>
      <c r="N179" s="842"/>
      <c r="O179" s="323">
        <f t="shared" si="55"/>
        <v>1.3235723269870008E-2</v>
      </c>
      <c r="P179" s="169">
        <f>(INDEX(Models!$BJ179:$BT179,,T179)*(1-R179)+INDEX(Models!$BJ179:$BT179,,T179+1)*R179-ERP_i)*Q179*Ramure*Pc/MaxiM</f>
        <v>6.9619261531254503E-6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62.508323439659208</v>
      </c>
      <c r="W179" s="58"/>
      <c r="X179" s="157">
        <f t="shared" si="61"/>
        <v>43630</v>
      </c>
      <c r="Y179" s="383">
        <f t="shared" si="62"/>
        <v>25.574999999999999</v>
      </c>
      <c r="Z179" s="383">
        <f t="shared" si="63"/>
        <v>25.648135789629524</v>
      </c>
      <c r="AA179" s="384">
        <f t="shared" si="64"/>
        <v>25.99216083766278</v>
      </c>
      <c r="AB179" s="197">
        <f t="shared" si="65"/>
        <v>43630</v>
      </c>
      <c r="AC179" s="424">
        <f t="shared" si="66"/>
        <v>1.3235723269870008E-2</v>
      </c>
      <c r="AD179" s="169">
        <f>(INDEX(Models!$BJ179:$BT179,,AH179)*(1-AF179)+INDEX(Models!$BJ179:$BT179,,AH179+1)*AF179-ERP_i)*AE179*Ramure*Pc/MaxiM</f>
        <v>6.9619261531254503E-6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25.265999999999998</v>
      </c>
      <c r="C180" s="388"/>
      <c r="D180" s="391">
        <f t="shared" si="75"/>
        <v>25.338737765997781</v>
      </c>
      <c r="E180" s="383">
        <f t="shared" si="76"/>
        <v>25.680949775710907</v>
      </c>
      <c r="F180" s="383">
        <f t="shared" si="77"/>
        <v>25.68097670436768</v>
      </c>
      <c r="G180" s="110">
        <f t="shared" si="78"/>
        <v>0.40452972299341117</v>
      </c>
      <c r="I180" s="379">
        <f t="shared" si="52"/>
        <v>25.68097670436768</v>
      </c>
      <c r="J180" s="85">
        <v>2018</v>
      </c>
      <c r="K180" s="197">
        <f t="shared" si="53"/>
        <v>43631</v>
      </c>
      <c r="L180" s="435">
        <f t="shared" si="54"/>
        <v>2.8706152085993253E-3</v>
      </c>
      <c r="M180" s="842"/>
      <c r="N180" s="842"/>
      <c r="O180" s="323">
        <f t="shared" si="55"/>
        <v>1.3325519994466515E-2</v>
      </c>
      <c r="P180" s="169">
        <f>(INDEX(Models!$BJ180:$BT180,,T180)*(1-R180)+INDEX(Models!$BJ180:$BT180,,T180+1)*R180-ERP_i)*Q180*Ramure*Pc/MaxiM</f>
        <v>7.0218468852208054E-6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62.457336614023731</v>
      </c>
      <c r="W180" s="58"/>
      <c r="X180" s="157">
        <f t="shared" si="61"/>
        <v>43631</v>
      </c>
      <c r="Y180" s="383">
        <f t="shared" si="62"/>
        <v>25.265999999999998</v>
      </c>
      <c r="Z180" s="383">
        <f t="shared" si="63"/>
        <v>25.338737765997781</v>
      </c>
      <c r="AA180" s="384">
        <f t="shared" si="64"/>
        <v>25.680949775710907</v>
      </c>
      <c r="AB180" s="197">
        <f t="shared" si="65"/>
        <v>43631</v>
      </c>
      <c r="AC180" s="424">
        <f t="shared" si="66"/>
        <v>1.3325519994466515E-2</v>
      </c>
      <c r="AD180" s="169">
        <f>(INDEX(Models!$BJ180:$BT180,,AH180)*(1-AF180)+INDEX(Models!$BJ180:$BT180,,AH180+1)*AF180-ERP_i)*AE180*Ramure*Pc/MaxiM</f>
        <v>7.0218468852208054E-6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62.722999999999999</v>
      </c>
      <c r="C181" s="388"/>
      <c r="D181" s="391">
        <f t="shared" si="75"/>
        <v>62.904777506025816</v>
      </c>
      <c r="E181" s="383">
        <f t="shared" si="76"/>
        <v>63.760127446767399</v>
      </c>
      <c r="F181" s="383">
        <f t="shared" si="77"/>
        <v>63.760579589282713</v>
      </c>
      <c r="G181" s="110">
        <f t="shared" si="78"/>
        <v>1.0050980052427825</v>
      </c>
      <c r="I181" s="379">
        <f t="shared" si="52"/>
        <v>63.760579589282713</v>
      </c>
      <c r="J181" s="85">
        <v>2018</v>
      </c>
      <c r="K181" s="197">
        <f t="shared" si="53"/>
        <v>43632</v>
      </c>
      <c r="L181" s="435">
        <f t="shared" si="54"/>
        <v>2.8897249657771074E-3</v>
      </c>
      <c r="M181" s="842"/>
      <c r="N181" s="842"/>
      <c r="O181" s="323">
        <f t="shared" si="55"/>
        <v>1.3415122820381873E-2</v>
      </c>
      <c r="P181" s="169">
        <f>(INDEX(Models!$BJ181:$BT181,,T181)*(1-R181)+INDEX(Models!$BJ181:$BT181,,T181+1)*R181-ERP_i)*Q181*Ramure*Pc/MaxiM</f>
        <v>7.0912547882582596E-6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62.404859698084067</v>
      </c>
      <c r="W181" s="58"/>
      <c r="X181" s="157">
        <f t="shared" si="61"/>
        <v>43632</v>
      </c>
      <c r="Y181" s="383">
        <f t="shared" si="62"/>
        <v>62.722999999999999</v>
      </c>
      <c r="Z181" s="383">
        <f t="shared" si="63"/>
        <v>62.904777506025816</v>
      </c>
      <c r="AA181" s="384">
        <f t="shared" si="64"/>
        <v>63.760127446767399</v>
      </c>
      <c r="AB181" s="197">
        <f t="shared" si="65"/>
        <v>43632</v>
      </c>
      <c r="AC181" s="424">
        <f t="shared" si="66"/>
        <v>1.3415122820381873E-2</v>
      </c>
      <c r="AD181" s="169">
        <f>(INDEX(Models!$BJ181:$BT181,,AH181)*(1-AF181)+INDEX(Models!$BJ181:$BT181,,AH181+1)*AF181-ERP_i)*AE181*Ramure*Pc/MaxiM</f>
        <v>7.0912547882582596E-6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61.219000000000001</v>
      </c>
      <c r="C182" s="388"/>
      <c r="D182" s="391">
        <f t="shared" si="75"/>
        <v>61.397595435021429</v>
      </c>
      <c r="E182" s="383">
        <f t="shared" si="76"/>
        <v>62.238091168434075</v>
      </c>
      <c r="F182" s="383">
        <f t="shared" si="77"/>
        <v>62.238525909161851</v>
      </c>
      <c r="G182" s="110">
        <f t="shared" si="78"/>
        <v>0.98184620974260184</v>
      </c>
      <c r="I182" s="379">
        <f t="shared" si="52"/>
        <v>62.238525909161851</v>
      </c>
      <c r="J182" s="85">
        <v>2018</v>
      </c>
      <c r="K182" s="197">
        <f t="shared" si="53"/>
        <v>43633</v>
      </c>
      <c r="L182" s="435">
        <f t="shared" si="54"/>
        <v>2.9088343567207353E-3</v>
      </c>
      <c r="M182" s="842"/>
      <c r="N182" s="842"/>
      <c r="O182" s="323">
        <f t="shared" si="55"/>
        <v>1.3504522996022235E-2</v>
      </c>
      <c r="P182" s="169">
        <f>(INDEX(Models!$BJ182:$BT182,,T182)*(1-R182)+INDEX(Models!$BJ182:$BT182,,T182+1)*R182-ERP_i)*Q182*Ramure*Pc/MaxiM</f>
        <v>7.1710462424377799E-6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62.350893660783306</v>
      </c>
      <c r="W182" s="58"/>
      <c r="X182" s="157">
        <f t="shared" si="61"/>
        <v>43633</v>
      </c>
      <c r="Y182" s="383">
        <f t="shared" si="62"/>
        <v>61.219000000000001</v>
      </c>
      <c r="Z182" s="383">
        <f t="shared" si="63"/>
        <v>61.397595435021429</v>
      </c>
      <c r="AA182" s="384">
        <f t="shared" si="64"/>
        <v>62.238091168434075</v>
      </c>
      <c r="AB182" s="197">
        <f t="shared" si="65"/>
        <v>43633</v>
      </c>
      <c r="AC182" s="424">
        <f t="shared" si="66"/>
        <v>1.3504522996022235E-2</v>
      </c>
      <c r="AD182" s="169">
        <f>(INDEX(Models!$BJ182:$BT182,,AH182)*(1-AF182)+INDEX(Models!$BJ182:$BT182,,AH182+1)*AF182-ERP_i)*AE182*Ramure*Pc/MaxiM</f>
        <v>7.1710462424377799E-6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58.319000000000003</v>
      </c>
      <c r="C183" s="388"/>
      <c r="D183" s="391">
        <f t="shared" si="75"/>
        <v>58.49025615839755</v>
      </c>
      <c r="E183" s="383">
        <f t="shared" si="76"/>
        <v>59.296313180202539</v>
      </c>
      <c r="F183" s="383">
        <f t="shared" si="77"/>
        <v>59.296704532872539</v>
      </c>
      <c r="G183" s="110">
        <f t="shared" si="78"/>
        <v>0.93616742908075534</v>
      </c>
      <c r="I183" s="379">
        <f t="shared" si="52"/>
        <v>59.296704532872539</v>
      </c>
      <c r="J183" s="85">
        <v>2018</v>
      </c>
      <c r="K183" s="197">
        <f t="shared" si="53"/>
        <v>43634</v>
      </c>
      <c r="L183" s="435">
        <f t="shared" si="54"/>
        <v>2.9279433814372036E-3</v>
      </c>
      <c r="M183" s="842"/>
      <c r="N183" s="842"/>
      <c r="O183" s="323">
        <f t="shared" si="55"/>
        <v>1.3593712299706802E-2</v>
      </c>
      <c r="P183" s="169">
        <f>(INDEX(Models!$BJ183:$BT183,,T183)*(1-R183)+INDEX(Models!$BJ183:$BT183,,T183+1)*R183-ERP_i)*Q183*Ramure*Pc/MaxiM</f>
        <v>7.2621285144096025E-6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62.295439435282553</v>
      </c>
      <c r="W183" s="58"/>
      <c r="X183" s="157">
        <f t="shared" si="61"/>
        <v>43634</v>
      </c>
      <c r="Y183" s="383">
        <f t="shared" si="62"/>
        <v>58.319000000000003</v>
      </c>
      <c r="Z183" s="383">
        <f t="shared" si="63"/>
        <v>58.49025615839755</v>
      </c>
      <c r="AA183" s="384">
        <f t="shared" si="64"/>
        <v>59.296313180202539</v>
      </c>
      <c r="AB183" s="197">
        <f t="shared" si="65"/>
        <v>43634</v>
      </c>
      <c r="AC183" s="424">
        <f t="shared" si="66"/>
        <v>1.3593712299706802E-2</v>
      </c>
      <c r="AD183" s="169">
        <f>(INDEX(Models!$BJ183:$BT183,,AH183)*(1-AF183)+INDEX(Models!$BJ183:$BT183,,AH183+1)*AF183-ERP_i)*AE183*Ramure*Pc/MaxiM</f>
        <v>7.2621285144096025E-6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50.813000000000002</v>
      </c>
      <c r="C184" s="388"/>
      <c r="D184" s="391">
        <f t="shared" si="75"/>
        <v>50.963191176518286</v>
      </c>
      <c r="E184" s="383">
        <f t="shared" si="76"/>
        <v>51.670177844175342</v>
      </c>
      <c r="F184" s="383">
        <f t="shared" si="77"/>
        <v>51.670458904015952</v>
      </c>
      <c r="G184" s="110">
        <f t="shared" si="78"/>
        <v>0.81642237263465034</v>
      </c>
      <c r="I184" s="379">
        <f t="shared" si="52"/>
        <v>51.670458904015952</v>
      </c>
      <c r="J184" s="85">
        <v>2018</v>
      </c>
      <c r="K184" s="197">
        <f t="shared" si="53"/>
        <v>43635</v>
      </c>
      <c r="L184" s="435">
        <f t="shared" si="54"/>
        <v>2.9470520399336175E-3</v>
      </c>
      <c r="M184" s="842"/>
      <c r="N184" s="842"/>
      <c r="O184" s="323">
        <f t="shared" si="55"/>
        <v>1.3682683070864539E-2</v>
      </c>
      <c r="P184" s="169">
        <f>(INDEX(Models!$BJ184:$BT184,,T184)*(1-R184)+INDEX(Models!$BJ184:$BT184,,T184+1)*R184-ERP_i)*Q184*Ramure*Pc/MaxiM</f>
        <v>7.3730663259998744E-6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62.238497438022733</v>
      </c>
      <c r="W184" s="58"/>
      <c r="X184" s="157">
        <f t="shared" si="61"/>
        <v>43635</v>
      </c>
      <c r="Y184" s="383">
        <f t="shared" si="62"/>
        <v>50.813000000000002</v>
      </c>
      <c r="Z184" s="383">
        <f t="shared" si="63"/>
        <v>50.963191176518286</v>
      </c>
      <c r="AA184" s="384">
        <f t="shared" si="64"/>
        <v>51.670177844175342</v>
      </c>
      <c r="AB184" s="197">
        <f t="shared" si="65"/>
        <v>43635</v>
      </c>
      <c r="AC184" s="424">
        <f t="shared" si="66"/>
        <v>1.3682683070864539E-2</v>
      </c>
      <c r="AD184" s="169">
        <f>(INDEX(Models!$BJ184:$BT184,,AH184)*(1-AF184)+INDEX(Models!$BJ184:$BT184,,AH184+1)*AF184-ERP_i)*AE184*Ramure*Pc/MaxiM</f>
        <v>7.3730663259998744E-6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31.356000000000002</v>
      </c>
      <c r="C185" s="388"/>
      <c r="D185" s="391">
        <f t="shared" si="75"/>
        <v>31.449283617542999</v>
      </c>
      <c r="E185" s="383">
        <f t="shared" si="76"/>
        <v>31.888432882607162</v>
      </c>
      <c r="F185" s="383">
        <f t="shared" si="77"/>
        <v>31.888502644974217</v>
      </c>
      <c r="G185" s="110">
        <f t="shared" si="78"/>
        <v>0.50427466585731584</v>
      </c>
      <c r="I185" s="379">
        <f t="shared" si="52"/>
        <v>31.888502644974217</v>
      </c>
      <c r="J185" s="85">
        <v>2018</v>
      </c>
      <c r="K185" s="197">
        <f t="shared" si="53"/>
        <v>43636</v>
      </c>
      <c r="L185" s="435">
        <f t="shared" si="54"/>
        <v>2.9661603322169716E-3</v>
      </c>
      <c r="M185" s="842"/>
      <c r="N185" s="842"/>
      <c r="O185" s="323">
        <f t="shared" si="55"/>
        <v>1.3771428237970521E-2</v>
      </c>
      <c r="P185" s="169">
        <f>(INDEX(Models!$BJ185:$BT185,,T185)*(1-R185)+INDEX(Models!$BJ185:$BT185,,T185+1)*R185-ERP_i)*Q185*Ramure*Pc/MaxiM</f>
        <v>7.4966100435076129E-6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62.180069030507795</v>
      </c>
      <c r="W185" s="58"/>
      <c r="X185" s="157">
        <f t="shared" si="61"/>
        <v>43636</v>
      </c>
      <c r="Y185" s="383">
        <f t="shared" si="62"/>
        <v>31.356000000000002</v>
      </c>
      <c r="Z185" s="383">
        <f t="shared" si="63"/>
        <v>31.449283617542999</v>
      </c>
      <c r="AA185" s="384">
        <f t="shared" si="64"/>
        <v>31.888432882607162</v>
      </c>
      <c r="AB185" s="197">
        <f t="shared" si="65"/>
        <v>43636</v>
      </c>
      <c r="AC185" s="424">
        <f t="shared" si="66"/>
        <v>1.3771428237970521E-2</v>
      </c>
      <c r="AD185" s="169">
        <f>(INDEX(Models!$BJ185:$BT185,,AH185)*(1-AF185)+INDEX(Models!$BJ185:$BT185,,AH185+1)*AF185-ERP_i)*AE185*Ramure*Pc/MaxiM</f>
        <v>7.4966100435076129E-6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11.305</v>
      </c>
      <c r="C186" s="388"/>
      <c r="D186" s="391">
        <f t="shared" si="75"/>
        <v>11.338849507520376</v>
      </c>
      <c r="E186" s="383">
        <f t="shared" si="76"/>
        <v>11.498214080221585</v>
      </c>
      <c r="F186" s="383">
        <f t="shared" si="77"/>
        <v>11.498214080221585</v>
      </c>
      <c r="G186" s="110">
        <f t="shared" si="78"/>
        <v>0.18198463440656651</v>
      </c>
      <c r="I186" s="379">
        <f t="shared" si="52"/>
        <v>11.498214080221585</v>
      </c>
      <c r="J186" s="85">
        <v>2018</v>
      </c>
      <c r="K186" s="197">
        <f t="shared" si="53"/>
        <v>43637</v>
      </c>
      <c r="L186" s="435">
        <f t="shared" si="54"/>
        <v>2.9852682582942602E-3</v>
      </c>
      <c r="M186" s="842"/>
      <c r="N186" s="842"/>
      <c r="O186" s="323">
        <f t="shared" si="55"/>
        <v>1.3859941343007064E-2</v>
      </c>
      <c r="P186" s="169">
        <f>(INDEX(Models!$BJ186:$BT186,,T186)*(1-R186)+INDEX(Models!$BJ186:$BT186,,T186+1)*R186-ERP_i)*Q186*Ramure*Pc/MaxiM</f>
        <v>7.6336232956741285E-6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62.120155027114365</v>
      </c>
      <c r="W186" s="58"/>
      <c r="X186" s="157">
        <f t="shared" si="61"/>
        <v>43637</v>
      </c>
      <c r="Y186" s="383">
        <f t="shared" si="62"/>
        <v>11.305</v>
      </c>
      <c r="Z186" s="383">
        <f t="shared" si="63"/>
        <v>11.338849507520376</v>
      </c>
      <c r="AA186" s="384">
        <f t="shared" si="64"/>
        <v>11.498214080221585</v>
      </c>
      <c r="AB186" s="197">
        <f t="shared" si="65"/>
        <v>43637</v>
      </c>
      <c r="AC186" s="424">
        <f t="shared" si="66"/>
        <v>1.3859941343007064E-2</v>
      </c>
      <c r="AD186" s="169">
        <f>(INDEX(Models!$BJ186:$BT186,,AH186)*(1-AF186)+INDEX(Models!$BJ186:$BT186,,AH186+1)*AF186-ERP_i)*AE186*Ramure*Pc/MaxiM</f>
        <v>7.6336232956741285E-6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54.603000000000002</v>
      </c>
      <c r="C187" s="388"/>
      <c r="D187" s="391">
        <f t="shared" si="75"/>
        <v>54.76754227964571</v>
      </c>
      <c r="E187" s="383">
        <f t="shared" si="76"/>
        <v>55.542257718662491</v>
      </c>
      <c r="F187" s="383">
        <f t="shared" si="77"/>
        <v>55.542615904239312</v>
      </c>
      <c r="G187" s="110">
        <f t="shared" si="78"/>
        <v>0.87985854677364961</v>
      </c>
      <c r="I187" s="379">
        <f t="shared" si="52"/>
        <v>55.542615904239312</v>
      </c>
      <c r="J187" s="85">
        <v>2018</v>
      </c>
      <c r="K187" s="197">
        <f t="shared" si="53"/>
        <v>43638</v>
      </c>
      <c r="L187" s="435">
        <f t="shared" si="54"/>
        <v>3.0043758181724778E-3</v>
      </c>
      <c r="M187" s="842"/>
      <c r="N187" s="842"/>
      <c r="O187" s="323">
        <f t="shared" si="55"/>
        <v>1.3948216562260335E-2</v>
      </c>
      <c r="P187" s="169">
        <f>(INDEX(Models!$BJ187:$BT187,,T187)*(1-R187)+INDEX(Models!$BJ187:$BT187,,T187+1)*R187-ERP_i)*Q187*Ramure*Pc/MaxiM</f>
        <v>7.7849685199082877E-6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62.058756198094173</v>
      </c>
      <c r="W187" s="58"/>
      <c r="X187" s="157">
        <f t="shared" si="61"/>
        <v>43638</v>
      </c>
      <c r="Y187" s="383">
        <f t="shared" si="62"/>
        <v>54.603000000000002</v>
      </c>
      <c r="Z187" s="383">
        <f t="shared" si="63"/>
        <v>54.76754227964571</v>
      </c>
      <c r="AA187" s="384">
        <f t="shared" si="64"/>
        <v>55.542257718662491</v>
      </c>
      <c r="AB187" s="197">
        <f t="shared" si="65"/>
        <v>43638</v>
      </c>
      <c r="AC187" s="424">
        <f t="shared" si="66"/>
        <v>1.3948216562260335E-2</v>
      </c>
      <c r="AD187" s="169">
        <f>(INDEX(Models!$BJ187:$BT187,,AH187)*(1-AF187)+INDEX(Models!$BJ187:$BT187,,AH187+1)*AF187-ERP_i)*AE187*Ramure*Pc/MaxiM</f>
        <v>7.7849685199082877E-6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53.482999999999997</v>
      </c>
      <c r="C188" s="388"/>
      <c r="D188" s="391">
        <f t="shared" si="75"/>
        <v>53.645195336768552</v>
      </c>
      <c r="E188" s="383">
        <f t="shared" si="76"/>
        <v>54.408892078744564</v>
      </c>
      <c r="F188" s="383">
        <f t="shared" si="77"/>
        <v>54.409239843799597</v>
      </c>
      <c r="G188" s="110">
        <f t="shared" si="78"/>
        <v>0.86268510712420743</v>
      </c>
      <c r="I188" s="379">
        <f t="shared" si="52"/>
        <v>54.409239843799597</v>
      </c>
      <c r="J188" s="85">
        <v>2018</v>
      </c>
      <c r="K188" s="197">
        <f t="shared" si="53"/>
        <v>43639</v>
      </c>
      <c r="L188" s="435">
        <f t="shared" si="54"/>
        <v>3.0234830118586187E-3</v>
      </c>
      <c r="M188" s="842"/>
      <c r="N188" s="842"/>
      <c r="O188" s="323">
        <f t="shared" si="55"/>
        <v>1.4036248723291974E-2</v>
      </c>
      <c r="P188" s="169">
        <f>(INDEX(Models!$BJ188:$BT188,,T188)*(1-R188)+INDEX(Models!$BJ188:$BT188,,T188+1)*R188-ERP_i)*Q188*Ramure*Pc/MaxiM</f>
        <v>7.9514230879877304E-6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61.995873275989595</v>
      </c>
      <c r="W188" s="58"/>
      <c r="X188" s="157">
        <f t="shared" si="61"/>
        <v>43639</v>
      </c>
      <c r="Y188" s="383">
        <f t="shared" si="62"/>
        <v>53.482999999999997</v>
      </c>
      <c r="Z188" s="383">
        <f t="shared" si="63"/>
        <v>53.645195336768552</v>
      </c>
      <c r="AA188" s="384">
        <f t="shared" si="64"/>
        <v>54.408892078744564</v>
      </c>
      <c r="AB188" s="197">
        <f t="shared" si="65"/>
        <v>43639</v>
      </c>
      <c r="AC188" s="424">
        <f t="shared" si="66"/>
        <v>1.4036248723291974E-2</v>
      </c>
      <c r="AD188" s="169">
        <f>(INDEX(Models!$BJ188:$BT188,,AH188)*(1-AF188)+INDEX(Models!$BJ188:$BT188,,AH188+1)*AF188-ERP_i)*AE188*Ramure*Pc/MaxiM</f>
        <v>7.9514230879877304E-6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38.765999999999998</v>
      </c>
      <c r="C189" s="388"/>
      <c r="D189" s="391">
        <f t="shared" si="75"/>
        <v>38.884309003484525</v>
      </c>
      <c r="E189" s="383">
        <f t="shared" si="76"/>
        <v>39.441380373992921</v>
      </c>
      <c r="F189" s="383">
        <f t="shared" si="77"/>
        <v>39.44152975546838</v>
      </c>
      <c r="G189" s="110">
        <f t="shared" si="78"/>
        <v>0.62594684707954173</v>
      </c>
      <c r="I189" s="379">
        <f t="shared" si="52"/>
        <v>39.44152975546838</v>
      </c>
      <c r="J189" s="85">
        <v>2018</v>
      </c>
      <c r="K189" s="197">
        <f t="shared" si="53"/>
        <v>43640</v>
      </c>
      <c r="L189" s="435">
        <f t="shared" si="54"/>
        <v>3.0425898393597883E-3</v>
      </c>
      <c r="M189" s="842"/>
      <c r="N189" s="842"/>
      <c r="O189" s="323">
        <f t="shared" si="55"/>
        <v>1.4124033317954593E-2</v>
      </c>
      <c r="P189" s="169">
        <f>(INDEX(Models!$BJ189:$BT189,,T189)*(1-R189)+INDEX(Models!$BJ189:$BT189,,T189+1)*R189-ERP_i)*Q189*Ramure*Pc/MaxiM</f>
        <v>8.1337463434669547E-6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61.93150694884531</v>
      </c>
      <c r="W189" s="58"/>
      <c r="X189" s="157">
        <f t="shared" si="61"/>
        <v>43640</v>
      </c>
      <c r="Y189" s="383">
        <f t="shared" si="62"/>
        <v>38.765999999999998</v>
      </c>
      <c r="Z189" s="383">
        <f t="shared" si="63"/>
        <v>38.884309003484525</v>
      </c>
      <c r="AA189" s="384">
        <f t="shared" si="64"/>
        <v>39.441380373992921</v>
      </c>
      <c r="AB189" s="197">
        <f t="shared" si="65"/>
        <v>43640</v>
      </c>
      <c r="AC189" s="424">
        <f t="shared" si="66"/>
        <v>1.4124033317954593E-2</v>
      </c>
      <c r="AD189" s="169">
        <f>(INDEX(Models!$BJ189:$BT189,,AH189)*(1-AF189)+INDEX(Models!$BJ189:$BT189,,AH189+1)*AF189-ERP_i)*AE189*Ramure*Pc/MaxiM</f>
        <v>8.1337463434669547E-6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55.1</v>
      </c>
      <c r="C190" s="388"/>
      <c r="D190" s="391">
        <f t="shared" si="75"/>
        <v>55.269217558941854</v>
      </c>
      <c r="E190" s="383">
        <f t="shared" si="76"/>
        <v>56.066003293777058</v>
      </c>
      <c r="F190" s="383">
        <f t="shared" si="77"/>
        <v>56.066397493327777</v>
      </c>
      <c r="G190" s="110">
        <f t="shared" si="78"/>
        <v>0.89063836350837122</v>
      </c>
      <c r="I190" s="379">
        <f t="shared" si="52"/>
        <v>56.066397493327777</v>
      </c>
      <c r="J190" s="85">
        <v>2018</v>
      </c>
      <c r="K190" s="197">
        <f t="shared" si="53"/>
        <v>43641</v>
      </c>
      <c r="L190" s="435">
        <f t="shared" si="54"/>
        <v>3.0616963006829812E-3</v>
      </c>
      <c r="M190" s="842"/>
      <c r="N190" s="842"/>
      <c r="O190" s="323">
        <f t="shared" si="55"/>
        <v>1.4211566511352088E-2</v>
      </c>
      <c r="P190" s="169">
        <f>(INDEX(Models!$BJ190:$BT190,,T190)*(1-R190)+INDEX(Models!$BJ190:$BT190,,T190+1)*R190-ERP_i)*Q190*Ramure*Pc/MaxiM</f>
        <v>8.3327625931344404E-6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61.86565785477255</v>
      </c>
      <c r="W190" s="58"/>
      <c r="X190" s="157">
        <f t="shared" si="61"/>
        <v>43641</v>
      </c>
      <c r="Y190" s="383">
        <f t="shared" si="62"/>
        <v>55.1</v>
      </c>
      <c r="Z190" s="383">
        <f t="shared" si="63"/>
        <v>55.269217558941854</v>
      </c>
      <c r="AA190" s="384">
        <f t="shared" si="64"/>
        <v>56.066003293777058</v>
      </c>
      <c r="AB190" s="197">
        <f t="shared" si="65"/>
        <v>43641</v>
      </c>
      <c r="AC190" s="424">
        <f t="shared" si="66"/>
        <v>1.4211566511352088E-2</v>
      </c>
      <c r="AD190" s="169">
        <f>(INDEX(Models!$BJ190:$BT190,,AH190)*(1-AF190)+INDEX(Models!$BJ190:$BT190,,AH190+1)*AF190-ERP_i)*AE190*Ramure*Pc/MaxiM</f>
        <v>8.3327625931344404E-6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58.689</v>
      </c>
      <c r="C191" s="388"/>
      <c r="D191" s="391">
        <f t="shared" si="75"/>
        <v>58.870367970687795</v>
      </c>
      <c r="E191" s="383">
        <f t="shared" si="76"/>
        <v>59.724357307309859</v>
      </c>
      <c r="F191" s="383">
        <f t="shared" si="77"/>
        <v>59.724831210924705</v>
      </c>
      <c r="G191" s="110">
        <f t="shared" si="78"/>
        <v>0.94968532603512323</v>
      </c>
      <c r="I191" s="379">
        <f t="shared" si="52"/>
        <v>59.724831210924705</v>
      </c>
      <c r="J191" s="85">
        <v>2018</v>
      </c>
      <c r="K191" s="197">
        <f t="shared" si="53"/>
        <v>43642</v>
      </c>
      <c r="L191" s="435">
        <f t="shared" si="54"/>
        <v>3.0808023958351916E-3</v>
      </c>
      <c r="M191" s="842"/>
      <c r="N191" s="842"/>
      <c r="O191" s="323">
        <f t="shared" si="55"/>
        <v>1.4298845146677588E-2</v>
      </c>
      <c r="P191" s="169">
        <f>(INDEX(Models!$BJ191:$BT191,,T191)*(1-R191)+INDEX(Models!$BJ191:$BT191,,T191+1)*R191-ERP_i)*Q191*Ramure*Pc/MaxiM</f>
        <v>8.5492827848512696E-6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61.798326589289843</v>
      </c>
      <c r="W191" s="58"/>
      <c r="X191" s="157">
        <f t="shared" si="61"/>
        <v>43642</v>
      </c>
      <c r="Y191" s="383">
        <f t="shared" si="62"/>
        <v>58.689</v>
      </c>
      <c r="Z191" s="383">
        <f t="shared" si="63"/>
        <v>58.870367970687795</v>
      </c>
      <c r="AA191" s="384">
        <f t="shared" si="64"/>
        <v>59.724357307309859</v>
      </c>
      <c r="AB191" s="197">
        <f t="shared" si="65"/>
        <v>43642</v>
      </c>
      <c r="AC191" s="424">
        <f t="shared" si="66"/>
        <v>1.4298845146677588E-2</v>
      </c>
      <c r="AD191" s="169">
        <f>(INDEX(Models!$BJ191:$BT191,,AH191)*(1-AF191)+INDEX(Models!$BJ191:$BT191,,AH191+1)*AF191-ERP_i)*AE191*Ramure*Pc/MaxiM</f>
        <v>8.5492827848512696E-6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58.25</v>
      </c>
      <c r="C192" s="388"/>
      <c r="D192" s="391">
        <f t="shared" si="75"/>
        <v>58.431131138157802</v>
      </c>
      <c r="E192" s="383">
        <f t="shared" si="76"/>
        <v>59.283982612182683</v>
      </c>
      <c r="F192" s="383">
        <f t="shared" si="77"/>
        <v>59.284461981263078</v>
      </c>
      <c r="G192" s="110">
        <f t="shared" si="78"/>
        <v>0.9436322406847516</v>
      </c>
      <c r="I192" s="379">
        <f t="shared" si="52"/>
        <v>59.284461981263078</v>
      </c>
      <c r="J192" s="85">
        <v>2018</v>
      </c>
      <c r="K192" s="197">
        <f t="shared" si="53"/>
        <v>43643</v>
      </c>
      <c r="L192" s="435">
        <f t="shared" si="54"/>
        <v>3.099908124823525E-3</v>
      </c>
      <c r="M192" s="842"/>
      <c r="N192" s="842"/>
      <c r="O192" s="323">
        <f t="shared" si="55"/>
        <v>1.4385866745896021E-2</v>
      </c>
      <c r="P192" s="169">
        <f>(INDEX(Models!$BJ192:$BT192,,T192)*(1-R192)+INDEX(Models!$BJ192:$BT192,,T192+1)*R192-ERP_i)*Q192*Ramure*Pc/MaxiM</f>
        <v>8.7940500700305658E-6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61.729513087100486</v>
      </c>
      <c r="W192" s="58"/>
      <c r="X192" s="157">
        <f t="shared" si="61"/>
        <v>43643</v>
      </c>
      <c r="Y192" s="383">
        <f t="shared" si="62"/>
        <v>58.25</v>
      </c>
      <c r="Z192" s="383">
        <f t="shared" si="63"/>
        <v>58.431131138157802</v>
      </c>
      <c r="AA192" s="384">
        <f t="shared" si="64"/>
        <v>59.283982612182683</v>
      </c>
      <c r="AB192" s="197">
        <f t="shared" si="65"/>
        <v>43643</v>
      </c>
      <c r="AC192" s="424">
        <f t="shared" si="66"/>
        <v>1.4385866745896021E-2</v>
      </c>
      <c r="AD192" s="169">
        <f>(INDEX(Models!$BJ192:$BT192,,AH192)*(1-AF192)+INDEX(Models!$BJ192:$BT192,,AH192+1)*AF192-ERP_i)*AE192*Ramure*Pc/MaxiM</f>
        <v>8.7940500700305658E-6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57.737000000000002</v>
      </c>
      <c r="C193" s="388"/>
      <c r="D193" s="391">
        <f t="shared" si="75"/>
        <v>57.917645918793937</v>
      </c>
      <c r="E193" s="383">
        <f t="shared" si="76"/>
        <v>58.768175956166935</v>
      </c>
      <c r="F193" s="383">
        <f t="shared" si="77"/>
        <v>58.768659974881878</v>
      </c>
      <c r="G193" s="110">
        <f t="shared" si="78"/>
        <v>0.93638800455001625</v>
      </c>
      <c r="I193" s="379">
        <f t="shared" si="52"/>
        <v>58.768659974881878</v>
      </c>
      <c r="J193" s="85">
        <v>2018</v>
      </c>
      <c r="K193" s="197">
        <f t="shared" si="53"/>
        <v>43644</v>
      </c>
      <c r="L193" s="435">
        <f t="shared" si="54"/>
        <v>3.1190134876548647E-3</v>
      </c>
      <c r="M193" s="842"/>
      <c r="N193" s="842"/>
      <c r="O193" s="323">
        <f t="shared" si="55"/>
        <v>1.4472629506271846E-2</v>
      </c>
      <c r="P193" s="169">
        <f>(INDEX(Models!$BJ193:$BT193,,T193)*(1-R193)+INDEX(Models!$BJ193:$BT193,,T193+1)*R193-ERP_i)*Q193*Ramure*Pc/MaxiM</f>
        <v>9.0592427089332625E-6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61.659218387596425</v>
      </c>
      <c r="W193" s="58"/>
      <c r="X193" s="157">
        <f t="shared" si="61"/>
        <v>43644</v>
      </c>
      <c r="Y193" s="383">
        <f t="shared" si="62"/>
        <v>57.737000000000002</v>
      </c>
      <c r="Z193" s="383">
        <f t="shared" si="63"/>
        <v>57.917645918793937</v>
      </c>
      <c r="AA193" s="384">
        <f t="shared" si="64"/>
        <v>58.768175956166935</v>
      </c>
      <c r="AB193" s="197">
        <f t="shared" si="65"/>
        <v>43644</v>
      </c>
      <c r="AC193" s="424">
        <f t="shared" si="66"/>
        <v>1.4472629506271846E-2</v>
      </c>
      <c r="AD193" s="169">
        <f>(INDEX(Models!$BJ193:$BT193,,AH193)*(1-AF193)+INDEX(Models!$BJ193:$BT193,,AH193+1)*AF193-ERP_i)*AE193*Ramure*Pc/MaxiM</f>
        <v>9.0592427089332625E-6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56.094000000000001</v>
      </c>
      <c r="C194" s="388"/>
      <c r="D194" s="391">
        <f t="shared" si="75"/>
        <v>56.270583759018564</v>
      </c>
      <c r="E194" s="383">
        <f t="shared" si="76"/>
        <v>57.101938434865765</v>
      </c>
      <c r="F194" s="383">
        <f t="shared" si="77"/>
        <v>57.102404093147875</v>
      </c>
      <c r="G194" s="110">
        <f t="shared" si="78"/>
        <v>0.91080146391397221</v>
      </c>
      <c r="I194" s="379">
        <f t="shared" si="52"/>
        <v>57.102404093147875</v>
      </c>
      <c r="J194" s="85">
        <v>2018</v>
      </c>
      <c r="K194" s="197">
        <f t="shared" si="53"/>
        <v>43645</v>
      </c>
      <c r="L194" s="435">
        <f t="shared" si="54"/>
        <v>3.1381184843362053E-3</v>
      </c>
      <c r="M194" s="842"/>
      <c r="N194" s="842"/>
      <c r="O194" s="323">
        <f t="shared" si="55"/>
        <v>1.4559132292776769E-2</v>
      </c>
      <c r="P194" s="169">
        <f>(INDEX(Models!$BJ194:$BT194,,T194)*(1-R194)+INDEX(Models!$BJ194:$BT194,,T194+1)*R194-ERP_i)*Q194*Ramure*Pc/MaxiM</f>
        <v>9.3456634648343814E-6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61.587442951302293</v>
      </c>
      <c r="W194" s="58"/>
      <c r="X194" s="157">
        <f t="shared" si="61"/>
        <v>43645</v>
      </c>
      <c r="Y194" s="383">
        <f t="shared" si="62"/>
        <v>56.094000000000001</v>
      </c>
      <c r="Z194" s="383">
        <f t="shared" si="63"/>
        <v>56.270583759018564</v>
      </c>
      <c r="AA194" s="384">
        <f t="shared" si="64"/>
        <v>57.101938434865765</v>
      </c>
      <c r="AB194" s="197">
        <f t="shared" si="65"/>
        <v>43645</v>
      </c>
      <c r="AC194" s="424">
        <f t="shared" si="66"/>
        <v>1.4559132292776769E-2</v>
      </c>
      <c r="AD194" s="169">
        <f>(INDEX(Models!$BJ194:$BT194,,AH194)*(1-AF194)+INDEX(Models!$BJ194:$BT194,,AH194+1)*AF194-ERP_i)*AE194*Ramure*Pc/MaxiM</f>
        <v>9.3456634648343814E-6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51.765999999999998</v>
      </c>
      <c r="C195" s="388"/>
      <c r="D195" s="391">
        <f t="shared" si="75"/>
        <v>51.929954452551989</v>
      </c>
      <c r="E195" s="383">
        <f t="shared" si="76"/>
        <v>52.701791938983455</v>
      </c>
      <c r="F195" s="383">
        <f t="shared" si="77"/>
        <v>52.702185547178217</v>
      </c>
      <c r="G195" s="110">
        <f t="shared" si="78"/>
        <v>0.84152760884786848</v>
      </c>
      <c r="I195" s="379">
        <f t="shared" si="52"/>
        <v>52.702185547178217</v>
      </c>
      <c r="J195" s="85">
        <v>2018</v>
      </c>
      <c r="K195" s="197">
        <f t="shared" si="53"/>
        <v>43646</v>
      </c>
      <c r="L195" s="435">
        <f t="shared" si="54"/>
        <v>3.1572231148747631E-3</v>
      </c>
      <c r="M195" s="842"/>
      <c r="N195" s="842"/>
      <c r="O195" s="323">
        <f t="shared" si="55"/>
        <v>1.4645374626446727E-2</v>
      </c>
      <c r="P195" s="169">
        <f>(INDEX(Models!$BJ195:$BT195,,T195)*(1-R195)+INDEX(Models!$BJ195:$BT195,,T195+1)*R195-ERP_i)*Q195*Ramure*Pc/MaxiM</f>
        <v>9.654092768261056E-6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61.514187196448702</v>
      </c>
      <c r="W195" s="58"/>
      <c r="X195" s="157">
        <f t="shared" si="61"/>
        <v>43646</v>
      </c>
      <c r="Y195" s="383">
        <f t="shared" si="62"/>
        <v>51.765999999999998</v>
      </c>
      <c r="Z195" s="383">
        <f t="shared" si="63"/>
        <v>51.929954452551989</v>
      </c>
      <c r="AA195" s="384">
        <f t="shared" si="64"/>
        <v>52.701791938983455</v>
      </c>
      <c r="AB195" s="197">
        <f t="shared" si="65"/>
        <v>43646</v>
      </c>
      <c r="AC195" s="424">
        <f t="shared" si="66"/>
        <v>1.4645374626446727E-2</v>
      </c>
      <c r="AD195" s="169">
        <f>(INDEX(Models!$BJ195:$BT195,,AH195)*(1-AF195)+INDEX(Models!$BJ195:$BT195,,AH195+1)*AF195-ERP_i)*AE195*Ramure*Pc/MaxiM</f>
        <v>9.654092768261056E-6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17.638000000000002</v>
      </c>
      <c r="C196" s="388"/>
      <c r="D196" s="391">
        <f t="shared" si="75"/>
        <v>17.694202580109685</v>
      </c>
      <c r="E196" s="383">
        <f t="shared" si="76"/>
        <v>17.958759471209085</v>
      </c>
      <c r="F196" s="383">
        <f t="shared" si="77"/>
        <v>17.958759471209085</v>
      </c>
      <c r="G196" s="110">
        <f t="shared" si="78"/>
        <v>0.28707651921228838</v>
      </c>
      <c r="I196" s="379">
        <f t="shared" si="52"/>
        <v>17.958759471209085</v>
      </c>
      <c r="J196" s="85">
        <v>2018</v>
      </c>
      <c r="K196" s="197">
        <f t="shared" si="53"/>
        <v>43647</v>
      </c>
      <c r="L196" s="435">
        <f t="shared" si="54"/>
        <v>3.1763273792774216E-3</v>
      </c>
      <c r="M196" s="842"/>
      <c r="N196" s="842"/>
      <c r="O196" s="323">
        <f t="shared" si="55"/>
        <v>1.4731356668790479E-2</v>
      </c>
      <c r="P196" s="169">
        <f>(INDEX(Models!$BJ196:$BT196,,T196)*(1-R196)+INDEX(Models!$BJ196:$BT196,,T196+1)*R196-ERP_i)*Q196*Ramure*Pc/MaxiM</f>
        <v>9.9852875437820589E-6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61.439451501971924</v>
      </c>
      <c r="W196" s="58"/>
      <c r="X196" s="157">
        <f t="shared" si="61"/>
        <v>43647</v>
      </c>
      <c r="Y196" s="383">
        <f t="shared" si="62"/>
        <v>17.638000000000002</v>
      </c>
      <c r="Z196" s="383">
        <f t="shared" si="63"/>
        <v>17.694202580109685</v>
      </c>
      <c r="AA196" s="384">
        <f t="shared" si="64"/>
        <v>17.958759471209085</v>
      </c>
      <c r="AB196" s="197">
        <f t="shared" si="65"/>
        <v>43647</v>
      </c>
      <c r="AC196" s="424">
        <f t="shared" si="66"/>
        <v>1.4731356668790479E-2</v>
      </c>
      <c r="AD196" s="169">
        <f>(INDEX(Models!$BJ196:$BT196,,AH196)*(1-AF196)+INDEX(Models!$BJ196:$BT196,,AH196+1)*AF196-ERP_i)*AE196*Ramure*Pc/MaxiM</f>
        <v>9.9852875437820589E-6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31.012</v>
      </c>
      <c r="C197" s="388"/>
      <c r="D197" s="391">
        <f t="shared" si="75"/>
        <v>31.111414386619856</v>
      </c>
      <c r="E197" s="383">
        <f t="shared" si="76"/>
        <v>31.579327787606918</v>
      </c>
      <c r="F197" s="383">
        <f t="shared" si="77"/>
        <v>31.579423593573196</v>
      </c>
      <c r="G197" s="110">
        <f t="shared" si="78"/>
        <v>0.50538034395637954</v>
      </c>
      <c r="I197" s="379">
        <f t="shared" si="52"/>
        <v>31.579423593573196</v>
      </c>
      <c r="J197" s="85">
        <v>2018</v>
      </c>
      <c r="K197" s="197">
        <f t="shared" si="53"/>
        <v>43648</v>
      </c>
      <c r="L197" s="435">
        <f t="shared" si="54"/>
        <v>3.195431277551064E-3</v>
      </c>
      <c r="M197" s="842"/>
      <c r="N197" s="842"/>
      <c r="O197" s="323">
        <f t="shared" si="55"/>
        <v>1.4817079202385437E-2</v>
      </c>
      <c r="P197" s="169">
        <f>(INDEX(Models!$BJ197:$BT197,,T197)*(1-R197)+INDEX(Models!$BJ197:$BT197,,T197+1)*R197-ERP_i)*Q197*Ramure*Pc/MaxiM</f>
        <v>1.0339980315119907E-5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61.363236206572282</v>
      </c>
      <c r="W197" s="58"/>
      <c r="X197" s="157">
        <f t="shared" si="61"/>
        <v>43648</v>
      </c>
      <c r="Y197" s="383">
        <f t="shared" si="62"/>
        <v>31.012</v>
      </c>
      <c r="Z197" s="383">
        <f t="shared" si="63"/>
        <v>31.111414386619856</v>
      </c>
      <c r="AA197" s="384">
        <f t="shared" si="64"/>
        <v>31.579327787606918</v>
      </c>
      <c r="AB197" s="197">
        <f t="shared" si="65"/>
        <v>43648</v>
      </c>
      <c r="AC197" s="424">
        <f t="shared" si="66"/>
        <v>1.4817079202385437E-2</v>
      </c>
      <c r="AD197" s="169">
        <f>(INDEX(Models!$BJ197:$BT197,,AH197)*(1-AF197)+INDEX(Models!$BJ197:$BT197,,AH197+1)*AF197-ERP_i)*AE197*Ramure*Pc/MaxiM</f>
        <v>1.0339980315119907E-5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48.728999999999999</v>
      </c>
      <c r="C198" s="388"/>
      <c r="D198" s="391">
        <f t="shared" si="75"/>
        <v>48.886146218732343</v>
      </c>
      <c r="E198" s="383">
        <f t="shared" si="76"/>
        <v>49.625695307115407</v>
      </c>
      <c r="F198" s="383">
        <f t="shared" si="77"/>
        <v>49.626071649823778</v>
      </c>
      <c r="G198" s="110">
        <f t="shared" si="78"/>
        <v>0.79511163541387164</v>
      </c>
      <c r="I198" s="379">
        <f t="shared" si="52"/>
        <v>49.626071649823778</v>
      </c>
      <c r="J198" s="85">
        <v>2018</v>
      </c>
      <c r="K198" s="197">
        <f t="shared" si="53"/>
        <v>43649</v>
      </c>
      <c r="L198" s="435">
        <f t="shared" si="54"/>
        <v>3.214534809703018E-3</v>
      </c>
      <c r="M198" s="842"/>
      <c r="N198" s="842"/>
      <c r="O198" s="323">
        <f t="shared" si="55"/>
        <v>1.4902543607827889E-2</v>
      </c>
      <c r="P198" s="169">
        <f>(INDEX(Models!$BJ198:$BT198,,T198)*(1-R198)+INDEX(Models!$BJ198:$BT198,,T198+1)*R198-ERP_i)*Q198*Ramure*Pc/MaxiM</f>
        <v>1.0721766044330401E-5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61.285541434999303</v>
      </c>
      <c r="W198" s="58"/>
      <c r="X198" s="157">
        <f t="shared" si="61"/>
        <v>43649</v>
      </c>
      <c r="Y198" s="383">
        <f t="shared" si="62"/>
        <v>48.728999999999999</v>
      </c>
      <c r="Z198" s="383">
        <f t="shared" si="63"/>
        <v>48.886146218732343</v>
      </c>
      <c r="AA198" s="384">
        <f t="shared" si="64"/>
        <v>49.625695307115407</v>
      </c>
      <c r="AB198" s="197">
        <f t="shared" si="65"/>
        <v>43649</v>
      </c>
      <c r="AC198" s="424">
        <f t="shared" si="66"/>
        <v>1.4902543607827889E-2</v>
      </c>
      <c r="AD198" s="169">
        <f>(INDEX(Models!$BJ198:$BT198,,AH198)*(1-AF198)+INDEX(Models!$BJ198:$BT198,,AH198+1)*AF198-ERP_i)*AE198*Ramure*Pc/MaxiM</f>
        <v>1.0721766044330401E-5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57.026000000000003</v>
      </c>
      <c r="C199" s="388"/>
      <c r="D199" s="391">
        <f t="shared" si="75"/>
        <v>57.210999661134302</v>
      </c>
      <c r="E199" s="383">
        <f t="shared" si="76"/>
        <v>58.081510933334776</v>
      </c>
      <c r="F199" s="383">
        <f t="shared" si="77"/>
        <v>58.082093863284776</v>
      </c>
      <c r="G199" s="110">
        <f t="shared" si="78"/>
        <v>0.93169942813038131</v>
      </c>
      <c r="I199" s="379">
        <f t="shared" si="52"/>
        <v>58.082093863284776</v>
      </c>
      <c r="J199" s="85">
        <v>2018</v>
      </c>
      <c r="K199" s="197">
        <f t="shared" si="53"/>
        <v>43650</v>
      </c>
      <c r="L199" s="435">
        <f t="shared" si="54"/>
        <v>3.2336379757400557E-3</v>
      </c>
      <c r="M199" s="842"/>
      <c r="N199" s="842"/>
      <c r="O199" s="323">
        <f t="shared" si="55"/>
        <v>1.498775183723495E-2</v>
      </c>
      <c r="P199" s="169">
        <f>(INDEX(Models!$BJ199:$BT199,,T199)*(1-R199)+INDEX(Models!$BJ199:$BT199,,T199+1)*R199-ERP_i)*Q199*Ramure*Pc/MaxiM</f>
        <v>1.1121438539000402E-5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61.206368059408469</v>
      </c>
      <c r="W199" s="58"/>
      <c r="X199" s="157">
        <f t="shared" si="61"/>
        <v>43650</v>
      </c>
      <c r="Y199" s="383">
        <f t="shared" si="62"/>
        <v>57.026000000000003</v>
      </c>
      <c r="Z199" s="383">
        <f t="shared" si="63"/>
        <v>57.210999661134302</v>
      </c>
      <c r="AA199" s="384">
        <f t="shared" si="64"/>
        <v>58.081510933334776</v>
      </c>
      <c r="AB199" s="197">
        <f t="shared" si="65"/>
        <v>43650</v>
      </c>
      <c r="AC199" s="424">
        <f t="shared" si="66"/>
        <v>1.498775183723495E-2</v>
      </c>
      <c r="AD199" s="169">
        <f>(INDEX(Models!$BJ199:$BT199,,AH199)*(1-AF199)+INDEX(Models!$BJ199:$BT199,,AH199+1)*AF199-ERP_i)*AE199*Ramure*Pc/MaxiM</f>
        <v>1.1121438539000402E-5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55.598999999999997</v>
      </c>
      <c r="C200" s="388"/>
      <c r="D200" s="391">
        <f t="shared" si="75"/>
        <v>55.780439309426512</v>
      </c>
      <c r="E200" s="383">
        <f t="shared" si="76"/>
        <v>56.634067987564229</v>
      </c>
      <c r="F200" s="383">
        <f t="shared" si="77"/>
        <v>56.634637101864094</v>
      </c>
      <c r="G200" s="110">
        <f t="shared" si="78"/>
        <v>0.90958307680189165</v>
      </c>
      <c r="I200" s="379">
        <f t="shared" si="52"/>
        <v>56.634637101864094</v>
      </c>
      <c r="J200" s="85">
        <v>2018</v>
      </c>
      <c r="K200" s="197">
        <f t="shared" si="53"/>
        <v>43651</v>
      </c>
      <c r="L200" s="435">
        <f t="shared" si="54"/>
        <v>3.2527407756692828E-3</v>
      </c>
      <c r="M200" s="842"/>
      <c r="N200" s="842"/>
      <c r="O200" s="323">
        <f t="shared" si="55"/>
        <v>1.5072706384523897E-2</v>
      </c>
      <c r="P200" s="169">
        <f>(INDEX(Models!$BJ200:$BT200,,T200)*(1-R200)+INDEX(Models!$BJ200:$BT200,,T200+1)*R200-ERP_i)*Q200*Ramure*Pc/MaxiM</f>
        <v>1.1539355377258414E-5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61.125716328571109</v>
      </c>
      <c r="W200" s="58"/>
      <c r="X200" s="157">
        <f t="shared" si="61"/>
        <v>43651</v>
      </c>
      <c r="Y200" s="383">
        <f t="shared" si="62"/>
        <v>55.598999999999997</v>
      </c>
      <c r="Z200" s="383">
        <f t="shared" si="63"/>
        <v>55.780439309426512</v>
      </c>
      <c r="AA200" s="384">
        <f t="shared" si="64"/>
        <v>56.634067987564229</v>
      </c>
      <c r="AB200" s="197">
        <f t="shared" si="65"/>
        <v>43651</v>
      </c>
      <c r="AC200" s="424">
        <f t="shared" si="66"/>
        <v>1.5072706384523897E-2</v>
      </c>
      <c r="AD200" s="169">
        <f>(INDEX(Models!$BJ200:$BT200,,AH200)*(1-AF200)+INDEX(Models!$BJ200:$BT200,,AH200+1)*AF200-ERP_i)*AE200*Ramure*Pc/MaxiM</f>
        <v>1.1539355377258414E-5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54.688000000000002</v>
      </c>
      <c r="C201" s="388"/>
      <c r="D201" s="391">
        <f t="shared" ref="D201:D206" si="81">Wh/(1-Ppv)</f>
        <v>54.867517915915187</v>
      </c>
      <c r="E201" s="383">
        <f t="shared" ref="E201:E232" si="82">Wh_pvt/(1-Psa)</f>
        <v>55.711967056577826</v>
      </c>
      <c r="F201" s="383">
        <f t="shared" ref="F201:F228" si="83">Wh_sa/(1-Pvg*MEDIAN((-Sdif+Wh/Env_an)/Csdif,0,1))</f>
        <v>55.712535024285991</v>
      </c>
      <c r="G201" s="110">
        <f t="shared" ref="G201:G232" si="84">+Wh_hp/MaxiM</f>
        <v>0.89588285612071461</v>
      </c>
      <c r="I201" s="379">
        <f t="shared" si="52"/>
        <v>55.712535024285991</v>
      </c>
      <c r="J201" s="85">
        <v>2018</v>
      </c>
      <c r="K201" s="197">
        <f t="shared" si="53"/>
        <v>43652</v>
      </c>
      <c r="L201" s="435">
        <f t="shared" si="54"/>
        <v>3.2718432094978045E-3</v>
      </c>
      <c r="M201" s="842"/>
      <c r="N201" s="842"/>
      <c r="O201" s="323">
        <f t="shared" si="55"/>
        <v>1.5157410252721252E-2</v>
      </c>
      <c r="P201" s="169">
        <f>(INDEX(Models!$BJ201:$BT201,,T201)*(1-R201)+INDEX(Models!$BJ201:$BT201,,T201+1)*R201-ERP_i)*Q201*Ramure*Pc/MaxiM</f>
        <v>1.1975860008664216E-5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61.043586460567852</v>
      </c>
      <c r="W201" s="58"/>
      <c r="X201" s="157">
        <f t="shared" si="61"/>
        <v>43652</v>
      </c>
      <c r="Y201" s="383">
        <f t="shared" si="62"/>
        <v>54.688000000000002</v>
      </c>
      <c r="Z201" s="383">
        <f t="shared" si="63"/>
        <v>54.867517915915187</v>
      </c>
      <c r="AA201" s="384">
        <f t="shared" si="64"/>
        <v>55.711967056577826</v>
      </c>
      <c r="AB201" s="197">
        <f t="shared" si="65"/>
        <v>43652</v>
      </c>
      <c r="AC201" s="424">
        <f t="shared" si="66"/>
        <v>1.5157410252721252E-2</v>
      </c>
      <c r="AD201" s="169">
        <f>(INDEX(Models!$BJ201:$BT201,,AH201)*(1-AF201)+INDEX(Models!$BJ201:$BT201,,AH201+1)*AF201-ERP_i)*AE201*Ramure*Pc/MaxiM</f>
        <v>1.1975860008664216E-5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51.244</v>
      </c>
      <c r="C202" s="388"/>
      <c r="D202" s="391">
        <f t="shared" si="81"/>
        <v>51.413198021215329</v>
      </c>
      <c r="E202" s="383">
        <f t="shared" si="82"/>
        <v>52.208960042134883</v>
      </c>
      <c r="F202" s="383">
        <f t="shared" si="83"/>
        <v>52.209461295007706</v>
      </c>
      <c r="G202" s="110">
        <f t="shared" si="84"/>
        <v>0.84061471304727897</v>
      </c>
      <c r="I202" s="379">
        <f t="shared" si="52"/>
        <v>52.209461295007706</v>
      </c>
      <c r="J202" s="85">
        <v>2018</v>
      </c>
      <c r="K202" s="197">
        <f t="shared" si="53"/>
        <v>43653</v>
      </c>
      <c r="L202" s="435">
        <f t="shared" si="54"/>
        <v>3.2909452772323933E-3</v>
      </c>
      <c r="M202" s="842"/>
      <c r="N202" s="842"/>
      <c r="O202" s="323">
        <f t="shared" si="55"/>
        <v>1.5241866918577573E-2</v>
      </c>
      <c r="P202" s="169">
        <f>(INDEX(Models!$BJ202:$BT202,,T202)*(1-R202)+INDEX(Models!$BJ202:$BT202,,T202+1)*R202-ERP_i)*Q202*Ramure*Pc/MaxiM</f>
        <v>1.2431282335968127E-5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60.959978642153729</v>
      </c>
      <c r="W202" s="58"/>
      <c r="X202" s="157">
        <f t="shared" si="61"/>
        <v>43653</v>
      </c>
      <c r="Y202" s="383">
        <f t="shared" si="62"/>
        <v>51.244</v>
      </c>
      <c r="Z202" s="383">
        <f t="shared" si="63"/>
        <v>51.413198021215329</v>
      </c>
      <c r="AA202" s="384">
        <f t="shared" si="64"/>
        <v>52.208960042134883</v>
      </c>
      <c r="AB202" s="197">
        <f t="shared" si="65"/>
        <v>43653</v>
      </c>
      <c r="AC202" s="424">
        <f t="shared" si="66"/>
        <v>1.5241866918577573E-2</v>
      </c>
      <c r="AD202" s="169">
        <f>(INDEX(Models!$BJ202:$BT202,,AH202)*(1-AF202)+INDEX(Models!$BJ202:$BT202,,AH202+1)*AF202-ERP_i)*AE202*Ramure*Pc/MaxiM</f>
        <v>1.2431282335968127E-5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35.637999999999998</v>
      </c>
      <c r="C203" s="388"/>
      <c r="D203" s="391">
        <f t="shared" si="81"/>
        <v>35.756355215557022</v>
      </c>
      <c r="E203" s="383">
        <f t="shared" si="82"/>
        <v>36.312889475392559</v>
      </c>
      <c r="F203" s="383">
        <f t="shared" si="83"/>
        <v>36.313080572703775</v>
      </c>
      <c r="G203" s="110">
        <f t="shared" si="84"/>
        <v>0.58542571206081251</v>
      </c>
      <c r="I203" s="379">
        <f t="shared" si="52"/>
        <v>36.313080572703775</v>
      </c>
      <c r="J203" s="85">
        <v>2018</v>
      </c>
      <c r="K203" s="197">
        <f t="shared" si="53"/>
        <v>43654</v>
      </c>
      <c r="L203" s="435">
        <f t="shared" si="54"/>
        <v>3.3100469788802656E-3</v>
      </c>
      <c r="M203" s="842"/>
      <c r="N203" s="842"/>
      <c r="O203" s="323">
        <f t="shared" si="55"/>
        <v>1.5326080294785495E-2</v>
      </c>
      <c r="P203" s="169">
        <f>(INDEX(Models!$BJ203:$BT203,,T203)*(1-R203)+INDEX(Models!$BJ203:$BT203,,T203+1)*R203-ERP_i)*Q203*Ramure*Pc/MaxiM</f>
        <v>1.290593939833952E-5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60.874893034594095</v>
      </c>
      <c r="W203" s="58"/>
      <c r="X203" s="157">
        <f t="shared" si="61"/>
        <v>43654</v>
      </c>
      <c r="Y203" s="383">
        <f t="shared" si="62"/>
        <v>35.637999999999998</v>
      </c>
      <c r="Z203" s="383">
        <f t="shared" si="63"/>
        <v>35.756355215557022</v>
      </c>
      <c r="AA203" s="384">
        <f t="shared" si="64"/>
        <v>36.312889475392559</v>
      </c>
      <c r="AB203" s="197">
        <f t="shared" si="65"/>
        <v>43654</v>
      </c>
      <c r="AC203" s="424">
        <f t="shared" si="66"/>
        <v>1.5326080294785495E-2</v>
      </c>
      <c r="AD203" s="169">
        <f>(INDEX(Models!$BJ203:$BT203,,AH203)*(1-AF203)+INDEX(Models!$BJ203:$BT203,,AH203+1)*AF203-ERP_i)*AE203*Ramure*Pc/MaxiM</f>
        <v>1.290593939833952E-5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20.32</v>
      </c>
      <c r="C204" s="388"/>
      <c r="D204" s="391">
        <f t="shared" si="81"/>
        <v>20.387874257218606</v>
      </c>
      <c r="E204" s="383">
        <f t="shared" si="82"/>
        <v>20.706969794214046</v>
      </c>
      <c r="F204" s="383">
        <f t="shared" si="83"/>
        <v>20.706983380524125</v>
      </c>
      <c r="G204" s="110">
        <f t="shared" si="84"/>
        <v>0.33427042850498606</v>
      </c>
      <c r="I204" s="379">
        <f t="shared" si="52"/>
        <v>20.706983380524125</v>
      </c>
      <c r="J204" s="85">
        <v>2018</v>
      </c>
      <c r="K204" s="197">
        <f t="shared" si="53"/>
        <v>43655</v>
      </c>
      <c r="L204" s="435">
        <f t="shared" si="54"/>
        <v>3.3291483144484157E-3</v>
      </c>
      <c r="M204" s="842"/>
      <c r="N204" s="842"/>
      <c r="O204" s="323">
        <f t="shared" si="55"/>
        <v>1.541005469011714E-2</v>
      </c>
      <c r="P204" s="169">
        <f>(INDEX(Models!$BJ204:$BT204,,T204)*(1-R204)+INDEX(Models!$BJ204:$BT204,,T204+1)*R204-ERP_i)*Q204*Ramure*Pc/MaxiM</f>
        <v>1.3400136143181264E-5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60.788329773425609</v>
      </c>
      <c r="W204" s="58"/>
      <c r="X204" s="157">
        <f t="shared" si="61"/>
        <v>43655</v>
      </c>
      <c r="Y204" s="383">
        <f t="shared" si="62"/>
        <v>20.32</v>
      </c>
      <c r="Z204" s="383">
        <f t="shared" si="63"/>
        <v>20.387874257218606</v>
      </c>
      <c r="AA204" s="384">
        <f t="shared" si="64"/>
        <v>20.706969794214046</v>
      </c>
      <c r="AB204" s="197">
        <f t="shared" si="65"/>
        <v>43655</v>
      </c>
      <c r="AC204" s="424">
        <f t="shared" si="66"/>
        <v>1.541005469011714E-2</v>
      </c>
      <c r="AD204" s="169">
        <f>(INDEX(Models!$BJ204:$BT204,,AH204)*(1-AF204)+INDEX(Models!$BJ204:$BT204,,AH204+1)*AF204-ERP_i)*AE204*Ramure*Pc/MaxiM</f>
        <v>1.3400136143181264E-5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59.000999999999998</v>
      </c>
      <c r="C205" s="388"/>
      <c r="D205" s="391">
        <f t="shared" si="81"/>
        <v>59.19921372496465</v>
      </c>
      <c r="E205" s="383">
        <f t="shared" si="82"/>
        <v>60.130869069538264</v>
      </c>
      <c r="F205" s="383">
        <f t="shared" si="83"/>
        <v>60.131672275516188</v>
      </c>
      <c r="G205" s="110">
        <f t="shared" si="84"/>
        <v>0.97199724265309939</v>
      </c>
      <c r="I205" s="379">
        <f t="shared" si="52"/>
        <v>60.131672275516188</v>
      </c>
      <c r="J205" s="85">
        <v>2018</v>
      </c>
      <c r="K205" s="197">
        <f t="shared" si="53"/>
        <v>43656</v>
      </c>
      <c r="L205" s="435">
        <f t="shared" si="54"/>
        <v>3.3482492839438383E-3</v>
      </c>
      <c r="M205" s="842"/>
      <c r="N205" s="842"/>
      <c r="O205" s="323">
        <f t="shared" si="55"/>
        <v>1.5493794767812258E-2</v>
      </c>
      <c r="P205" s="169">
        <f>(INDEX(Models!$BJ205:$BT205,,T205)*(1-R205)+INDEX(Models!$BJ205:$BT205,,T205+1)*R205-ERP_i)*Q205*Ramure*Pc/MaxiM</f>
        <v>1.3914059287560371E-5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60.700755691631876</v>
      </c>
      <c r="W205" s="58"/>
      <c r="X205" s="157">
        <f t="shared" si="61"/>
        <v>43656</v>
      </c>
      <c r="Y205" s="383">
        <f t="shared" si="62"/>
        <v>59.000999999999998</v>
      </c>
      <c r="Z205" s="383">
        <f t="shared" si="63"/>
        <v>59.19921372496465</v>
      </c>
      <c r="AA205" s="384">
        <f t="shared" si="64"/>
        <v>60.130869069538264</v>
      </c>
      <c r="AB205" s="197">
        <f t="shared" si="65"/>
        <v>43656</v>
      </c>
      <c r="AC205" s="424">
        <f t="shared" si="66"/>
        <v>1.5493794767812258E-2</v>
      </c>
      <c r="AD205" s="169">
        <f>(INDEX(Models!$BJ205:$BT205,,AH205)*(1-AF205)+INDEX(Models!$BJ205:$BT205,,AH205+1)*AF205-ERP_i)*AE205*Ramure*Pc/MaxiM</f>
        <v>1.3914059287560371E-5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59.831000000000003</v>
      </c>
      <c r="C206" s="388"/>
      <c r="D206" s="391">
        <f t="shared" si="81"/>
        <v>60.033152629746461</v>
      </c>
      <c r="E206" s="383">
        <f t="shared" si="82"/>
        <v>60.983105088200148</v>
      </c>
      <c r="F206" s="383">
        <f t="shared" si="83"/>
        <v>60.983970970198122</v>
      </c>
      <c r="G206" s="110">
        <f t="shared" si="84"/>
        <v>0.98710647442972987</v>
      </c>
      <c r="I206" s="379">
        <f t="shared" si="52"/>
        <v>60.983970970198122</v>
      </c>
      <c r="J206" s="85">
        <v>2018</v>
      </c>
      <c r="K206" s="197">
        <f t="shared" si="53"/>
        <v>43657</v>
      </c>
      <c r="L206" s="435">
        <f t="shared" si="54"/>
        <v>3.3673498873735275E-3</v>
      </c>
      <c r="M206" s="842"/>
      <c r="N206" s="842"/>
      <c r="O206" s="323">
        <f t="shared" si="55"/>
        <v>1.5577305502561218E-2</v>
      </c>
      <c r="P206" s="169">
        <f>(INDEX(Models!$BJ206:$BT206,,T206)*(1-R206)+INDEX(Models!$BJ206:$BT206,,T206+1)*R206-ERP_i)*Q206*Ramure*Pc/MaxiM</f>
        <v>1.4464946893916821E-5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60.612492784651891</v>
      </c>
      <c r="W206" s="58"/>
      <c r="X206" s="157">
        <f t="shared" si="61"/>
        <v>43657</v>
      </c>
      <c r="Y206" s="383">
        <f t="shared" si="62"/>
        <v>59.831000000000003</v>
      </c>
      <c r="Z206" s="383">
        <f t="shared" si="63"/>
        <v>60.033152629746461</v>
      </c>
      <c r="AA206" s="384">
        <f t="shared" si="64"/>
        <v>60.983105088200148</v>
      </c>
      <c r="AB206" s="197">
        <f t="shared" si="65"/>
        <v>43657</v>
      </c>
      <c r="AC206" s="424">
        <f t="shared" si="66"/>
        <v>1.5577305502561218E-2</v>
      </c>
      <c r="AD206" s="169">
        <f>(INDEX(Models!$BJ206:$BT206,,AH206)*(1-AF206)+INDEX(Models!$BJ206:$BT206,,AH206+1)*AF206-ERP_i)*AE206*Ramure*Pc/MaxiM</f>
        <v>1.4464946893916821E-5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60.23</v>
      </c>
      <c r="C207" s="388"/>
      <c r="D207" s="391">
        <f t="shared" ref="D207:D270" si="85">Wh/(1-Ppv)</f>
        <v>60.434658958368452</v>
      </c>
      <c r="E207" s="383">
        <f t="shared" si="82"/>
        <v>61.396159165807838</v>
      </c>
      <c r="F207" s="383">
        <f t="shared" si="83"/>
        <v>61.397076269848142</v>
      </c>
      <c r="G207" s="110">
        <f t="shared" si="84"/>
        <v>0.9951533974279515</v>
      </c>
      <c r="I207" s="379">
        <f t="shared" ref="I207:I270" si="86">Wh_hp</f>
        <v>61.397076269848142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3.3864501247444778E-3</v>
      </c>
      <c r="M207" s="842"/>
      <c r="N207" s="842"/>
      <c r="O207" s="323">
        <f t="shared" ref="O207:O270" si="89">IF(t&lt;T0,0,IF(t&lt;Tnet,Salim_i*(1-EXP((T0-t)/Tau_ij)),Resal+(Salim-Resal)*(1-EXP((Tnet-t)/(Tau_j)))))*Salcycl</f>
        <v>1.566059213643534E-2</v>
      </c>
      <c r="P207" s="169">
        <f>(INDEX(Models!$BJ207:$BT207,,T207)*(1-R207)+INDEX(Models!$BJ207:$BT207,,T207+1)*R207-ERP_i)*Q207*Ramure*Pc/MaxiM</f>
        <v>1.5041399346390446E-5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60.523326236148314</v>
      </c>
      <c r="W207" s="58"/>
      <c r="X207" s="157">
        <f t="shared" ref="X207:X270" si="95">t</f>
        <v>43658</v>
      </c>
      <c r="Y207" s="383">
        <f t="shared" ref="Y207:Y270" si="96">Wh_pvt_s*(1-Ppv)</f>
        <v>60.23</v>
      </c>
      <c r="Z207" s="383">
        <f t="shared" ref="Z207:Z270" si="97">Wh_sa_s*(1-Psa_s)</f>
        <v>60.434658958368452</v>
      </c>
      <c r="AA207" s="384">
        <f t="shared" ref="AA207:AA270" si="98">Wh_hp*(1-Pvg_s*MEDIAN((-Sdif+Wh/Env_an)/Csdif,0,1))</f>
        <v>61.396159165807838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1.566059213643534E-2</v>
      </c>
      <c r="AD207" s="169">
        <f>(INDEX(Models!$BJ207:$BT207,,AH207)*(1-AF207)+INDEX(Models!$BJ207:$BT207,,AH207+1)*AF207-ERP_i)*AE207*Ramure*Pc/MaxiM</f>
        <v>1.5041399346390446E-5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52.652999999999999</v>
      </c>
      <c r="C208" s="388"/>
      <c r="D208" s="391">
        <f t="shared" si="85"/>
        <v>52.832925168098249</v>
      </c>
      <c r="E208" s="383">
        <f t="shared" si="82"/>
        <v>53.678013570425868</v>
      </c>
      <c r="F208" s="383">
        <f t="shared" si="83"/>
        <v>53.678698874330564</v>
      </c>
      <c r="G208" s="110">
        <f t="shared" si="84"/>
        <v>0.87125929789853196</v>
      </c>
      <c r="I208" s="379">
        <f t="shared" si="86"/>
        <v>53.678698874330564</v>
      </c>
      <c r="J208" s="85">
        <v>2018</v>
      </c>
      <c r="K208" s="197">
        <f t="shared" si="87"/>
        <v>43659</v>
      </c>
      <c r="L208" s="435">
        <f t="shared" si="88"/>
        <v>3.4055499960636837E-3</v>
      </c>
      <c r="M208" s="842"/>
      <c r="N208" s="842"/>
      <c r="O208" s="323">
        <f t="shared" si="89"/>
        <v>1.574366013412291E-2</v>
      </c>
      <c r="P208" s="169">
        <f>(INDEX(Models!$BJ208:$BT208,,T208)*(1-R208)+INDEX(Models!$BJ208:$BT208,,T208+1)*R208-ERP_i)*Q208*Ramure*Pc/MaxiM</f>
        <v>1.5643865683606802E-5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60.433040585783736</v>
      </c>
      <c r="W208" s="58"/>
      <c r="X208" s="157">
        <f t="shared" si="95"/>
        <v>43659</v>
      </c>
      <c r="Y208" s="383">
        <f t="shared" si="96"/>
        <v>52.652999999999999</v>
      </c>
      <c r="Z208" s="383">
        <f t="shared" si="97"/>
        <v>52.832925168098249</v>
      </c>
      <c r="AA208" s="384">
        <f t="shared" si="98"/>
        <v>53.678013570425868</v>
      </c>
      <c r="AB208" s="197">
        <f t="shared" si="99"/>
        <v>43659</v>
      </c>
      <c r="AC208" s="424">
        <f t="shared" si="100"/>
        <v>1.574366013412291E-2</v>
      </c>
      <c r="AD208" s="169">
        <f>(INDEX(Models!$BJ208:$BT208,,AH208)*(1-AF208)+INDEX(Models!$BJ208:$BT208,,AH208+1)*AF208-ERP_i)*AE208*Ramure*Pc/MaxiM</f>
        <v>1.5643865683606802E-5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59.987000000000002</v>
      </c>
      <c r="C209" s="388"/>
      <c r="D209" s="391">
        <f t="shared" si="85"/>
        <v>60.19314040828322</v>
      </c>
      <c r="E209" s="383">
        <f t="shared" si="82"/>
        <v>61.161107603618419</v>
      </c>
      <c r="F209" s="383">
        <f t="shared" si="83"/>
        <v>61.162094530225126</v>
      </c>
      <c r="G209" s="110">
        <f t="shared" si="84"/>
        <v>0.99412627939890086</v>
      </c>
      <c r="I209" s="379">
        <f t="shared" si="86"/>
        <v>61.162094530225126</v>
      </c>
      <c r="J209" s="85">
        <v>2018</v>
      </c>
      <c r="K209" s="197">
        <f t="shared" si="87"/>
        <v>43660</v>
      </c>
      <c r="L209" s="435">
        <f t="shared" si="88"/>
        <v>3.4246495013383615E-3</v>
      </c>
      <c r="M209" s="842"/>
      <c r="N209" s="842"/>
      <c r="O209" s="323">
        <f t="shared" si="89"/>
        <v>1.5826515137831312E-2</v>
      </c>
      <c r="P209" s="169">
        <f>(INDEX(Models!$BJ209:$BT209,,T209)*(1-R209)+INDEX(Models!$BJ209:$BT209,,T209+1)*R209-ERP_i)*Q209*Ramure*Pc/MaxiM</f>
        <v>1.6272788347505931E-5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60.3414204535229</v>
      </c>
      <c r="W209" s="58"/>
      <c r="X209" s="157">
        <f t="shared" si="95"/>
        <v>43660</v>
      </c>
      <c r="Y209" s="383">
        <f t="shared" si="96"/>
        <v>59.987000000000002</v>
      </c>
      <c r="Z209" s="383">
        <f t="shared" si="97"/>
        <v>60.19314040828322</v>
      </c>
      <c r="AA209" s="384">
        <f t="shared" si="98"/>
        <v>61.161107603618419</v>
      </c>
      <c r="AB209" s="197">
        <f t="shared" si="99"/>
        <v>43660</v>
      </c>
      <c r="AC209" s="424">
        <f t="shared" si="100"/>
        <v>1.5826515137831312E-2</v>
      </c>
      <c r="AD209" s="169">
        <f>(INDEX(Models!$BJ209:$BT209,,AH209)*(1-AF209)+INDEX(Models!$BJ209:$BT209,,AH209+1)*AF209-ERP_i)*AE209*Ramure*Pc/MaxiM</f>
        <v>1.6272788347505931E-5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61.298999999999999</v>
      </c>
      <c r="C210" s="388"/>
      <c r="D210" s="391">
        <f t="shared" si="85"/>
        <v>61.510827829719254</v>
      </c>
      <c r="E210" s="383">
        <f t="shared" si="82"/>
        <v>62.505233777374542</v>
      </c>
      <c r="F210" s="383">
        <f t="shared" si="83"/>
        <v>62.506291921724774</v>
      </c>
      <c r="G210" s="110">
        <f t="shared" si="84"/>
        <v>1.0174403314450691</v>
      </c>
      <c r="I210" s="379">
        <f t="shared" si="86"/>
        <v>62.506291921724774</v>
      </c>
      <c r="J210" s="85">
        <v>2018</v>
      </c>
      <c r="K210" s="197">
        <f t="shared" si="87"/>
        <v>43661</v>
      </c>
      <c r="L210" s="435">
        <f t="shared" si="88"/>
        <v>3.4437486405752837E-3</v>
      </c>
      <c r="M210" s="842"/>
      <c r="N210" s="842"/>
      <c r="O210" s="323">
        <f t="shared" si="89"/>
        <v>1.5909162922213498E-2</v>
      </c>
      <c r="P210" s="169">
        <f>(INDEX(Models!$BJ210:$BT210,,T210)*(1-R210)+INDEX(Models!$BJ210:$BT210,,T210+1)*R210-ERP_i)*Q210*Ramure*Pc/MaxiM</f>
        <v>1.6928605388400049E-5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60.248250541569455</v>
      </c>
      <c r="W210" s="58"/>
      <c r="X210" s="157">
        <f t="shared" si="95"/>
        <v>43661</v>
      </c>
      <c r="Y210" s="383">
        <f t="shared" si="96"/>
        <v>61.298999999999999</v>
      </c>
      <c r="Z210" s="383">
        <f t="shared" si="97"/>
        <v>61.510827829719254</v>
      </c>
      <c r="AA210" s="384">
        <f t="shared" si="98"/>
        <v>62.505233777374542</v>
      </c>
      <c r="AB210" s="197">
        <f t="shared" si="99"/>
        <v>43661</v>
      </c>
      <c r="AC210" s="424">
        <f t="shared" si="100"/>
        <v>1.5909162922213498E-2</v>
      </c>
      <c r="AD210" s="169">
        <f>(INDEX(Models!$BJ210:$BT210,,AH210)*(1-AF210)+INDEX(Models!$BJ210:$BT210,,AH210+1)*AF210-ERP_i)*AE210*Ramure*Pc/MaxiM</f>
        <v>1.6928605388400049E-5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59.646000000000001</v>
      </c>
      <c r="C211" s="388"/>
      <c r="D211" s="391">
        <f t="shared" si="85"/>
        <v>59.853262716002497</v>
      </c>
      <c r="E211" s="383">
        <f t="shared" si="82"/>
        <v>60.825967831885777</v>
      </c>
      <c r="F211" s="383">
        <f t="shared" si="83"/>
        <v>60.8270261955942</v>
      </c>
      <c r="G211" s="110">
        <f t="shared" si="84"/>
        <v>0.99156607931230223</v>
      </c>
      <c r="I211" s="379">
        <f t="shared" si="86"/>
        <v>60.8270261955942</v>
      </c>
      <c r="J211" s="85">
        <v>2018</v>
      </c>
      <c r="K211" s="197">
        <f t="shared" si="87"/>
        <v>43662</v>
      </c>
      <c r="L211" s="435">
        <f t="shared" si="88"/>
        <v>3.4628474137815557E-3</v>
      </c>
      <c r="M211" s="842"/>
      <c r="N211" s="842"/>
      <c r="O211" s="323">
        <f t="shared" si="89"/>
        <v>1.5991609349672833E-2</v>
      </c>
      <c r="P211" s="169">
        <f>(INDEX(Models!$BJ211:$BT211,,T211)*(1-R211)+INDEX(Models!$BJ211:$BT211,,T211+1)*R211-ERP_i)*Q211*Ramure*Pc/MaxiM</f>
        <v>1.7611752731075521E-5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60.153315636726653</v>
      </c>
      <c r="W211" s="58"/>
      <c r="X211" s="157">
        <f t="shared" si="95"/>
        <v>43662</v>
      </c>
      <c r="Y211" s="383">
        <f t="shared" si="96"/>
        <v>59.646000000000001</v>
      </c>
      <c r="Z211" s="383">
        <f t="shared" si="97"/>
        <v>59.853262716002497</v>
      </c>
      <c r="AA211" s="384">
        <f t="shared" si="98"/>
        <v>60.825967831885777</v>
      </c>
      <c r="AB211" s="197">
        <f t="shared" si="99"/>
        <v>43662</v>
      </c>
      <c r="AC211" s="424">
        <f t="shared" si="100"/>
        <v>1.5991609349672833E-2</v>
      </c>
      <c r="AD211" s="169">
        <f>(INDEX(Models!$BJ211:$BT211,,AH211)*(1-AF211)+INDEX(Models!$BJ211:$BT211,,AH211+1)*AF211-ERP_i)*AE211*Ramure*Pc/MaxiM</f>
        <v>1.7611752731075521E-5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52.259</v>
      </c>
      <c r="C212" s="388"/>
      <c r="D212" s="391">
        <f t="shared" si="85"/>
        <v>52.441598805806557</v>
      </c>
      <c r="E212" s="383">
        <f t="shared" si="82"/>
        <v>53.298308370181772</v>
      </c>
      <c r="F212" s="383">
        <f t="shared" si="83"/>
        <v>53.299103359044103</v>
      </c>
      <c r="G212" s="110">
        <f t="shared" si="84"/>
        <v>0.87016240423870816</v>
      </c>
      <c r="I212" s="379">
        <f t="shared" si="86"/>
        <v>53.299103359044103</v>
      </c>
      <c r="J212" s="85">
        <v>2018</v>
      </c>
      <c r="K212" s="197">
        <f t="shared" si="87"/>
        <v>43663</v>
      </c>
      <c r="L212" s="435">
        <f t="shared" si="88"/>
        <v>3.4819458209641718E-3</v>
      </c>
      <c r="M212" s="842"/>
      <c r="N212" s="842"/>
      <c r="O212" s="323">
        <f t="shared" si="89"/>
        <v>1.6073860326390872E-2</v>
      </c>
      <c r="P212" s="169">
        <f>(INDEX(Models!$BJ212:$BT212,,T212)*(1-R212)+INDEX(Models!$BJ212:$BT212,,T212+1)*R212-ERP_i)*Q212*Ramure*Pc/MaxiM</f>
        <v>1.8312108501676234E-5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60.056401248082715</v>
      </c>
      <c r="W212" s="58"/>
      <c r="X212" s="157">
        <f t="shared" si="95"/>
        <v>43663</v>
      </c>
      <c r="Y212" s="383">
        <f t="shared" si="96"/>
        <v>52.259</v>
      </c>
      <c r="Z212" s="383">
        <f t="shared" si="97"/>
        <v>52.441598805806557</v>
      </c>
      <c r="AA212" s="384">
        <f t="shared" si="98"/>
        <v>53.298308370181772</v>
      </c>
      <c r="AB212" s="197">
        <f t="shared" si="99"/>
        <v>43663</v>
      </c>
      <c r="AC212" s="424">
        <f t="shared" si="100"/>
        <v>1.6073860326390872E-2</v>
      </c>
      <c r="AD212" s="169">
        <f>(INDEX(Models!$BJ212:$BT212,,AH212)*(1-AF212)+INDEX(Models!$BJ212:$BT212,,AH212+1)*AF212-ERP_i)*AE212*Ramure*Pc/MaxiM</f>
        <v>1.8312108501676234E-5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40.54</v>
      </c>
      <c r="C213" s="388"/>
      <c r="D213" s="391">
        <f t="shared" si="85"/>
        <v>40.682430975262477</v>
      </c>
      <c r="E213" s="383">
        <f t="shared" si="82"/>
        <v>41.350486194941567</v>
      </c>
      <c r="F213" s="383">
        <f t="shared" si="83"/>
        <v>41.350908962990601</v>
      </c>
      <c r="G213" s="110">
        <f t="shared" si="84"/>
        <v>0.67614199065450609</v>
      </c>
      <c r="I213" s="379">
        <f t="shared" si="86"/>
        <v>41.350908962990601</v>
      </c>
      <c r="J213" s="85">
        <v>2018</v>
      </c>
      <c r="K213" s="197">
        <f t="shared" si="87"/>
        <v>43664</v>
      </c>
      <c r="L213" s="435">
        <f t="shared" si="88"/>
        <v>3.5010438621302375E-3</v>
      </c>
      <c r="M213" s="842"/>
      <c r="N213" s="842"/>
      <c r="O213" s="323">
        <f t="shared" si="89"/>
        <v>1.6155921759411152E-2</v>
      </c>
      <c r="P213" s="169">
        <f>(INDEX(Models!$BJ213:$BT213,,T213)*(1-R213)+INDEX(Models!$BJ213:$BT213,,T213+1)*R213-ERP_i)*Q213*Ramure*Pc/MaxiM</f>
        <v>1.9026392281605684E-5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59.957292557075604</v>
      </c>
      <c r="W213" s="58"/>
      <c r="X213" s="157">
        <f t="shared" si="95"/>
        <v>43664</v>
      </c>
      <c r="Y213" s="383">
        <f t="shared" si="96"/>
        <v>40.54</v>
      </c>
      <c r="Z213" s="383">
        <f t="shared" si="97"/>
        <v>40.682430975262477</v>
      </c>
      <c r="AA213" s="384">
        <f t="shared" si="98"/>
        <v>41.350486194941567</v>
      </c>
      <c r="AB213" s="197">
        <f t="shared" si="99"/>
        <v>43664</v>
      </c>
      <c r="AC213" s="424">
        <f t="shared" si="100"/>
        <v>1.6155921759411152E-2</v>
      </c>
      <c r="AD213" s="169">
        <f>(INDEX(Models!$BJ213:$BT213,,AH213)*(1-AF213)+INDEX(Models!$BJ213:$BT213,,AH213+1)*AF213-ERP_i)*AE213*Ramure*Pc/MaxiM</f>
        <v>1.9026392281605684E-5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58.03</v>
      </c>
      <c r="C214" s="388"/>
      <c r="D214" s="391">
        <f t="shared" si="85"/>
        <v>58.234995426323898</v>
      </c>
      <c r="E214" s="383">
        <f t="shared" si="82"/>
        <v>59.196211643036769</v>
      </c>
      <c r="F214" s="383">
        <f t="shared" si="83"/>
        <v>59.19733010900363</v>
      </c>
      <c r="G214" s="110">
        <f t="shared" si="84"/>
        <v>0.96949626661256205</v>
      </c>
      <c r="I214" s="379">
        <f t="shared" si="86"/>
        <v>59.19733010900363</v>
      </c>
      <c r="J214" s="85">
        <v>2018</v>
      </c>
      <c r="K214" s="197">
        <f t="shared" si="87"/>
        <v>43665</v>
      </c>
      <c r="L214" s="435">
        <f t="shared" si="88"/>
        <v>3.5201415372866363E-3</v>
      </c>
      <c r="M214" s="842"/>
      <c r="N214" s="842"/>
      <c r="O214" s="323">
        <f t="shared" si="89"/>
        <v>1.623779951509681E-2</v>
      </c>
      <c r="P214" s="169">
        <f>(INDEX(Models!$BJ214:$BT214,,T214)*(1-R214)+INDEX(Models!$BJ214:$BT214,,T214+1)*R214-ERP_i)*Q214*Ramure*Pc/MaxiM</f>
        <v>1.9754679724580198E-5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59.855774636808718</v>
      </c>
      <c r="W214" s="58"/>
      <c r="X214" s="157">
        <f t="shared" si="95"/>
        <v>43665</v>
      </c>
      <c r="Y214" s="383">
        <f t="shared" si="96"/>
        <v>58.03</v>
      </c>
      <c r="Z214" s="383">
        <f t="shared" si="97"/>
        <v>58.234995426323898</v>
      </c>
      <c r="AA214" s="384">
        <f t="shared" si="98"/>
        <v>59.196211643036769</v>
      </c>
      <c r="AB214" s="197">
        <f t="shared" si="99"/>
        <v>43665</v>
      </c>
      <c r="AC214" s="424">
        <f t="shared" si="100"/>
        <v>1.623779951509681E-2</v>
      </c>
      <c r="AD214" s="169">
        <f>(INDEX(Models!$BJ214:$BT214,,AH214)*(1-AF214)+INDEX(Models!$BJ214:$BT214,,AH214+1)*AF214-ERP_i)*AE214*Ramure*Pc/MaxiM</f>
        <v>1.9754679724580198E-5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27.936</v>
      </c>
      <c r="C215" s="388"/>
      <c r="D215" s="391">
        <f t="shared" si="85"/>
        <v>28.035223351554457</v>
      </c>
      <c r="E215" s="383">
        <f t="shared" si="82"/>
        <v>28.500334543444939</v>
      </c>
      <c r="F215" s="383">
        <f t="shared" si="83"/>
        <v>28.500474357948246</v>
      </c>
      <c r="G215" s="110">
        <f t="shared" si="84"/>
        <v>0.46752805232670025</v>
      </c>
      <c r="I215" s="379">
        <f t="shared" si="86"/>
        <v>28.500474357948246</v>
      </c>
      <c r="J215" s="85">
        <v>2018</v>
      </c>
      <c r="K215" s="197">
        <f t="shared" si="87"/>
        <v>43666</v>
      </c>
      <c r="L215" s="435">
        <f t="shared" si="88"/>
        <v>3.5392388464404734E-3</v>
      </c>
      <c r="M215" s="842"/>
      <c r="N215" s="842"/>
      <c r="O215" s="323">
        <f t="shared" si="89"/>
        <v>1.6319499379260971E-2</v>
      </c>
      <c r="P215" s="169">
        <f>(INDEX(Models!$BJ215:$BT215,,T215)*(1-R215)+INDEX(Models!$BJ215:$BT215,,T215+1)*R215-ERP_i)*Q215*Ramure*Pc/MaxiM</f>
        <v>2.0497067888736008E-5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59.751632652024739</v>
      </c>
      <c r="W215" s="58"/>
      <c r="X215" s="157">
        <f t="shared" si="95"/>
        <v>43666</v>
      </c>
      <c r="Y215" s="383">
        <f t="shared" si="96"/>
        <v>27.936</v>
      </c>
      <c r="Z215" s="383">
        <f t="shared" si="97"/>
        <v>28.035223351554457</v>
      </c>
      <c r="AA215" s="384">
        <f t="shared" si="98"/>
        <v>28.500334543444939</v>
      </c>
      <c r="AB215" s="197">
        <f t="shared" si="99"/>
        <v>43666</v>
      </c>
      <c r="AC215" s="424">
        <f t="shared" si="100"/>
        <v>1.6319499379260971E-2</v>
      </c>
      <c r="AD215" s="169">
        <f>(INDEX(Models!$BJ215:$BT215,,AH215)*(1-AF215)+INDEX(Models!$BJ215:$BT215,,AH215+1)*AF215-ERP_i)*AE215*Ramure*Pc/MaxiM</f>
        <v>2.0497067888736008E-5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46.731000000000002</v>
      </c>
      <c r="C216" s="388"/>
      <c r="D216" s="391">
        <f t="shared" si="85"/>
        <v>46.897878399164</v>
      </c>
      <c r="E216" s="383">
        <f t="shared" si="82"/>
        <v>47.67987735595343</v>
      </c>
      <c r="F216" s="383">
        <f t="shared" si="83"/>
        <v>47.680577303016797</v>
      </c>
      <c r="G216" s="110">
        <f t="shared" si="84"/>
        <v>0.78348504585530465</v>
      </c>
      <c r="I216" s="379">
        <f t="shared" si="86"/>
        <v>47.680577303016797</v>
      </c>
      <c r="J216" s="85">
        <v>2018</v>
      </c>
      <c r="K216" s="197">
        <f t="shared" si="87"/>
        <v>43667</v>
      </c>
      <c r="L216" s="435">
        <f t="shared" si="88"/>
        <v>3.5583357895988543E-3</v>
      </c>
      <c r="M216" s="842"/>
      <c r="N216" s="842"/>
      <c r="O216" s="323">
        <f t="shared" si="89"/>
        <v>1.6401027019248129E-2</v>
      </c>
      <c r="P216" s="169">
        <f>(INDEX(Models!$BJ216:$BT216,,T216)*(1-R216)+INDEX(Models!$BJ216:$BT216,,T216+1)*R216-ERP_i)*Q216*Ramure*Pc/MaxiM</f>
        <v>2.125367612523722E-5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59.644651859668095</v>
      </c>
      <c r="W216" s="58"/>
      <c r="X216" s="157">
        <f t="shared" si="95"/>
        <v>43667</v>
      </c>
      <c r="Y216" s="383">
        <f t="shared" si="96"/>
        <v>46.731000000000002</v>
      </c>
      <c r="Z216" s="383">
        <f t="shared" si="97"/>
        <v>46.897878399164</v>
      </c>
      <c r="AA216" s="384">
        <f t="shared" si="98"/>
        <v>47.67987735595343</v>
      </c>
      <c r="AB216" s="197">
        <f t="shared" si="99"/>
        <v>43667</v>
      </c>
      <c r="AC216" s="424">
        <f t="shared" si="100"/>
        <v>1.6401027019248129E-2</v>
      </c>
      <c r="AD216" s="169">
        <f>(INDEX(Models!$BJ216:$BT216,,AH216)*(1-AF216)+INDEX(Models!$BJ216:$BT216,,AH216+1)*AF216-ERP_i)*AE216*Ramure*Pc/MaxiM</f>
        <v>2.125367612523722E-5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50.674999999999997</v>
      </c>
      <c r="C217" s="388"/>
      <c r="D217" s="391">
        <f t="shared" si="85"/>
        <v>50.856937253405043</v>
      </c>
      <c r="E217" s="383">
        <f t="shared" si="82"/>
        <v>51.709228823375213</v>
      </c>
      <c r="F217" s="383">
        <f t="shared" si="83"/>
        <v>51.710125599934457</v>
      </c>
      <c r="G217" s="110">
        <f t="shared" si="84"/>
        <v>0.85118145965769199</v>
      </c>
      <c r="I217" s="379">
        <f t="shared" si="86"/>
        <v>51.710125599934457</v>
      </c>
      <c r="J217" s="85">
        <v>2018</v>
      </c>
      <c r="K217" s="197">
        <f t="shared" si="87"/>
        <v>43668</v>
      </c>
      <c r="L217" s="435">
        <f t="shared" si="88"/>
        <v>3.5774323667685515E-3</v>
      </c>
      <c r="M217" s="842"/>
      <c r="N217" s="842"/>
      <c r="O217" s="323">
        <f t="shared" si="89"/>
        <v>1.6482387948220288E-2</v>
      </c>
      <c r="P217" s="169">
        <f>(INDEX(Models!$BJ217:$BT217,,T217)*(1-R217)+INDEX(Models!$BJ217:$BT217,,T217+1)*R217-ERP_i)*Q217*Ramure*Pc/MaxiM</f>
        <v>2.2024646884375169E-5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59.534617615264864</v>
      </c>
      <c r="W217" s="58"/>
      <c r="X217" s="157">
        <f t="shared" si="95"/>
        <v>43668</v>
      </c>
      <c r="Y217" s="383">
        <f t="shared" si="96"/>
        <v>50.674999999999997</v>
      </c>
      <c r="Z217" s="383">
        <f t="shared" si="97"/>
        <v>50.856937253405043</v>
      </c>
      <c r="AA217" s="384">
        <f t="shared" si="98"/>
        <v>51.709228823375213</v>
      </c>
      <c r="AB217" s="197">
        <f t="shared" si="99"/>
        <v>43668</v>
      </c>
      <c r="AC217" s="424">
        <f t="shared" si="100"/>
        <v>1.6482387948220288E-2</v>
      </c>
      <c r="AD217" s="169">
        <f>(INDEX(Models!$BJ217:$BT217,,AH217)*(1-AF217)+INDEX(Models!$BJ217:$BT217,,AH217+1)*AF217-ERP_i)*AE217*Ramure*Pc/MaxiM</f>
        <v>2.2024646884375169E-5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54.981000000000002</v>
      </c>
      <c r="C218" s="388"/>
      <c r="D218" s="391">
        <f t="shared" si="85"/>
        <v>55.179454484971259</v>
      </c>
      <c r="E218" s="383">
        <f t="shared" si="82"/>
        <v>56.108817797627957</v>
      </c>
      <c r="F218" s="383">
        <f t="shared" si="83"/>
        <v>56.109961045476417</v>
      </c>
      <c r="G218" s="110">
        <f t="shared" si="84"/>
        <v>0.92527177788376824</v>
      </c>
      <c r="I218" s="379">
        <f t="shared" si="86"/>
        <v>56.109961045476417</v>
      </c>
      <c r="J218" s="85">
        <v>2018</v>
      </c>
      <c r="K218" s="197">
        <f t="shared" si="87"/>
        <v>43669</v>
      </c>
      <c r="L218" s="435">
        <f t="shared" si="88"/>
        <v>3.5965285779566702E-3</v>
      </c>
      <c r="M218" s="842"/>
      <c r="N218" s="842"/>
      <c r="O218" s="323">
        <f t="shared" si="89"/>
        <v>1.6563587491875253E-2</v>
      </c>
      <c r="P218" s="169">
        <f>(INDEX(Models!$BJ218:$BT218,,T218)*(1-R218)+INDEX(Models!$BJ218:$BT218,,T218+1)*R218-ERP_i)*Q218*Ramure*Pc/MaxiM</f>
        <v>2.2810146454354883E-5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59.42131537122814</v>
      </c>
      <c r="W218" s="58"/>
      <c r="X218" s="157">
        <f t="shared" si="95"/>
        <v>43669</v>
      </c>
      <c r="Y218" s="383">
        <f t="shared" si="96"/>
        <v>54.981000000000002</v>
      </c>
      <c r="Z218" s="383">
        <f t="shared" si="97"/>
        <v>55.179454484971259</v>
      </c>
      <c r="AA218" s="384">
        <f t="shared" si="98"/>
        <v>56.108817797627957</v>
      </c>
      <c r="AB218" s="197">
        <f t="shared" si="99"/>
        <v>43669</v>
      </c>
      <c r="AC218" s="424">
        <f t="shared" si="100"/>
        <v>1.6563587491875253E-2</v>
      </c>
      <c r="AD218" s="169">
        <f>(INDEX(Models!$BJ218:$BT218,,AH218)*(1-AF218)+INDEX(Models!$BJ218:$BT218,,AH218+1)*AF218-ERP_i)*AE218*Ramure*Pc/MaxiM</f>
        <v>2.2810146454354883E-5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55.203000000000003</v>
      </c>
      <c r="C219" s="388"/>
      <c r="D219" s="391">
        <f t="shared" si="85"/>
        <v>55.403317588196551</v>
      </c>
      <c r="E219" s="383">
        <f t="shared" si="82"/>
        <v>56.34109429929854</v>
      </c>
      <c r="F219" s="383">
        <f t="shared" si="83"/>
        <v>56.342293101754187</v>
      </c>
      <c r="G219" s="110">
        <f t="shared" si="84"/>
        <v>0.9308288932456803</v>
      </c>
      <c r="I219" s="379">
        <f t="shared" si="86"/>
        <v>56.342293101754187</v>
      </c>
      <c r="J219" s="85">
        <v>2018</v>
      </c>
      <c r="K219" s="197">
        <f t="shared" si="87"/>
        <v>43670</v>
      </c>
      <c r="L219" s="435">
        <f t="shared" si="88"/>
        <v>3.6156244231703161E-3</v>
      </c>
      <c r="M219" s="842"/>
      <c r="N219" s="842"/>
      <c r="O219" s="323">
        <f t="shared" si="89"/>
        <v>1.6644630757795993E-2</v>
      </c>
      <c r="P219" s="169">
        <f>(INDEX(Models!$BJ219:$BT219,,T219)*(1-R219)+INDEX(Models!$BJ219:$BT219,,T219+1)*R219-ERP_i)*Q219*Ramure*Pc/MaxiM</f>
        <v>2.361011343084146E-5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59.305068429115536</v>
      </c>
      <c r="W219" s="58"/>
      <c r="X219" s="157">
        <f t="shared" si="95"/>
        <v>43670</v>
      </c>
      <c r="Y219" s="383">
        <f t="shared" si="96"/>
        <v>55.203000000000003</v>
      </c>
      <c r="Z219" s="383">
        <f t="shared" si="97"/>
        <v>55.403317588196551</v>
      </c>
      <c r="AA219" s="384">
        <f t="shared" si="98"/>
        <v>56.34109429929854</v>
      </c>
      <c r="AB219" s="197">
        <f t="shared" si="99"/>
        <v>43670</v>
      </c>
      <c r="AC219" s="424">
        <f t="shared" si="100"/>
        <v>1.6644630757795993E-2</v>
      </c>
      <c r="AD219" s="169">
        <f>(INDEX(Models!$BJ219:$BT219,,AH219)*(1-AF219)+INDEX(Models!$BJ219:$BT219,,AH219+1)*AF219-ERP_i)*AE219*Ramure*Pc/MaxiM</f>
        <v>2.361011343084146E-5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55.747</v>
      </c>
      <c r="C220" s="388"/>
      <c r="D220" s="391">
        <f t="shared" si="85"/>
        <v>55.950363901219205</v>
      </c>
      <c r="E220" s="383">
        <f t="shared" si="82"/>
        <v>56.902080942441458</v>
      </c>
      <c r="F220" s="383">
        <f t="shared" si="83"/>
        <v>56.903354958573793</v>
      </c>
      <c r="G220" s="110">
        <f t="shared" si="84"/>
        <v>0.94188766148540914</v>
      </c>
      <c r="I220" s="379">
        <f t="shared" si="86"/>
        <v>56.903354958573793</v>
      </c>
      <c r="J220" s="85">
        <v>2018</v>
      </c>
      <c r="K220" s="197">
        <f t="shared" si="87"/>
        <v>43671</v>
      </c>
      <c r="L220" s="435">
        <f t="shared" si="88"/>
        <v>3.6347199024164834E-3</v>
      </c>
      <c r="M220" s="842"/>
      <c r="N220" s="842"/>
      <c r="O220" s="323">
        <f t="shared" si="89"/>
        <v>1.6725522607599335E-2</v>
      </c>
      <c r="P220" s="169">
        <f>(INDEX(Models!$BJ220:$BT220,,T220)*(1-R220)+INDEX(Models!$BJ220:$BT220,,T220+1)*R220-ERP_i)*Q220*Ramure*Pc/MaxiM</f>
        <v>2.4416014562550589E-5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59.186343853736176</v>
      </c>
      <c r="W220" s="58"/>
      <c r="X220" s="157">
        <f t="shared" si="95"/>
        <v>43671</v>
      </c>
      <c r="Y220" s="383">
        <f t="shared" si="96"/>
        <v>55.747</v>
      </c>
      <c r="Z220" s="383">
        <f t="shared" si="97"/>
        <v>55.950363901219205</v>
      </c>
      <c r="AA220" s="384">
        <f t="shared" si="98"/>
        <v>56.902080942441458</v>
      </c>
      <c r="AB220" s="197">
        <f t="shared" si="99"/>
        <v>43671</v>
      </c>
      <c r="AC220" s="424">
        <f t="shared" si="100"/>
        <v>1.6725522607599335E-2</v>
      </c>
      <c r="AD220" s="169">
        <f>(INDEX(Models!$BJ220:$BT220,,AH220)*(1-AF220)+INDEX(Models!$BJ220:$BT220,,AH220+1)*AF220-ERP_i)*AE220*Ramure*Pc/MaxiM</f>
        <v>2.4416014562550589E-5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22.702999999999999</v>
      </c>
      <c r="C221" s="388"/>
      <c r="D221" s="391">
        <f t="shared" si="85"/>
        <v>22.786256767127373</v>
      </c>
      <c r="E221" s="383">
        <f t="shared" si="82"/>
        <v>23.175754703244149</v>
      </c>
      <c r="F221" s="383">
        <f t="shared" si="83"/>
        <v>23.175825120494107</v>
      </c>
      <c r="G221" s="110">
        <f t="shared" si="84"/>
        <v>0.3843636945366829</v>
      </c>
      <c r="I221" s="379">
        <f t="shared" si="86"/>
        <v>23.175825120494107</v>
      </c>
      <c r="J221" s="85">
        <v>2018</v>
      </c>
      <c r="K221" s="197">
        <f t="shared" si="87"/>
        <v>43672</v>
      </c>
      <c r="L221" s="435">
        <f t="shared" si="88"/>
        <v>3.6538150157020555E-3</v>
      </c>
      <c r="M221" s="842"/>
      <c r="N221" s="842"/>
      <c r="O221" s="323">
        <f t="shared" si="89"/>
        <v>1.6806267632020314E-2</v>
      </c>
      <c r="P221" s="169">
        <f>(INDEX(Models!$BJ221:$BT221,,T221)*(1-R221)+INDEX(Models!$BJ221:$BT221,,T221+1)*R221-ERP_i)*Q221*Ramure*Pc/MaxiM</f>
        <v>2.5208235023356099E-5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59.065143246420782</v>
      </c>
      <c r="W221" s="58"/>
      <c r="X221" s="157">
        <f t="shared" si="95"/>
        <v>43672</v>
      </c>
      <c r="Y221" s="383">
        <f t="shared" si="96"/>
        <v>22.702999999999999</v>
      </c>
      <c r="Z221" s="383">
        <f t="shared" si="97"/>
        <v>22.786256767127373</v>
      </c>
      <c r="AA221" s="384">
        <f t="shared" si="98"/>
        <v>23.175754703244149</v>
      </c>
      <c r="AB221" s="197">
        <f t="shared" si="99"/>
        <v>43672</v>
      </c>
      <c r="AC221" s="424">
        <f t="shared" si="100"/>
        <v>1.6806267632020314E-2</v>
      </c>
      <c r="AD221" s="169">
        <f>(INDEX(Models!$BJ221:$BT221,,AH221)*(1-AF221)+INDEX(Models!$BJ221:$BT221,,AH221+1)*AF221-ERP_i)*AE221*Ramure*Pc/MaxiM</f>
        <v>2.5208235023356099E-5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12.829000000000001</v>
      </c>
      <c r="C222" s="388"/>
      <c r="D222" s="391">
        <f t="shared" si="85"/>
        <v>12.87629346397553</v>
      </c>
      <c r="E222" s="383">
        <f t="shared" si="82"/>
        <v>13.097468717222368</v>
      </c>
      <c r="F222" s="383">
        <f t="shared" si="83"/>
        <v>13.097468717222368</v>
      </c>
      <c r="G222" s="110">
        <f t="shared" si="84"/>
        <v>0.21765095535446735</v>
      </c>
      <c r="I222" s="379">
        <f t="shared" si="86"/>
        <v>13.097468717222368</v>
      </c>
      <c r="J222" s="85">
        <v>2018</v>
      </c>
      <c r="K222" s="197">
        <f t="shared" si="87"/>
        <v>43673</v>
      </c>
      <c r="L222" s="435">
        <f t="shared" si="88"/>
        <v>3.6729097630342489E-3</v>
      </c>
      <c r="M222" s="842"/>
      <c r="N222" s="842"/>
      <c r="O222" s="323">
        <f t="shared" si="89"/>
        <v>1.6886870129035312E-2</v>
      </c>
      <c r="P222" s="169">
        <f>(INDEX(Models!$BJ222:$BT222,,T222)*(1-R222)+INDEX(Models!$BJ222:$BT222,,T222+1)*R222-ERP_i)*Q222*Ramure*Pc/MaxiM</f>
        <v>2.5986245607125717E-5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58.9414670914827</v>
      </c>
      <c r="W222" s="58"/>
      <c r="X222" s="157">
        <f t="shared" si="95"/>
        <v>43673</v>
      </c>
      <c r="Y222" s="383">
        <f t="shared" si="96"/>
        <v>12.829000000000001</v>
      </c>
      <c r="Z222" s="383">
        <f t="shared" si="97"/>
        <v>12.87629346397553</v>
      </c>
      <c r="AA222" s="384">
        <f t="shared" si="98"/>
        <v>13.097468717222368</v>
      </c>
      <c r="AB222" s="197">
        <f t="shared" si="99"/>
        <v>43673</v>
      </c>
      <c r="AC222" s="424">
        <f t="shared" si="100"/>
        <v>1.6886870129035312E-2</v>
      </c>
      <c r="AD222" s="169">
        <f>(INDEX(Models!$BJ222:$BT222,,AH222)*(1-AF222)+INDEX(Models!$BJ222:$BT222,,AH222+1)*AF222-ERP_i)*AE222*Ramure*Pc/MaxiM</f>
        <v>2.5986245607125717E-5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53.551000000000002</v>
      </c>
      <c r="C223" s="388"/>
      <c r="D223" s="391">
        <f t="shared" si="85"/>
        <v>53.749443166932572</v>
      </c>
      <c r="E223" s="383">
        <f t="shared" si="82"/>
        <v>54.677168959495432</v>
      </c>
      <c r="F223" s="383">
        <f t="shared" si="83"/>
        <v>54.678444563825806</v>
      </c>
      <c r="G223" s="110">
        <f t="shared" si="84"/>
        <v>0.91049101793703624</v>
      </c>
      <c r="I223" s="379">
        <f t="shared" si="86"/>
        <v>54.678444563825806</v>
      </c>
      <c r="J223" s="85">
        <v>2018</v>
      </c>
      <c r="K223" s="197">
        <f t="shared" si="87"/>
        <v>43674</v>
      </c>
      <c r="L223" s="435">
        <f t="shared" si="88"/>
        <v>3.6920041444198359E-3</v>
      </c>
      <c r="M223" s="842"/>
      <c r="N223" s="842"/>
      <c r="O223" s="323">
        <f t="shared" si="89"/>
        <v>1.696733408509345E-2</v>
      </c>
      <c r="P223" s="169">
        <f>(INDEX(Models!$BJ223:$BT223,,T223)*(1-R223)+INDEX(Models!$BJ223:$BT223,,T223+1)*R223-ERP_i)*Q223*Ramure*Pc/MaxiM</f>
        <v>2.6749543762772044E-5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58.815315887677976</v>
      </c>
      <c r="W223" s="58"/>
      <c r="X223" s="157">
        <f t="shared" si="95"/>
        <v>43674</v>
      </c>
      <c r="Y223" s="383">
        <f t="shared" si="96"/>
        <v>53.551000000000002</v>
      </c>
      <c r="Z223" s="383">
        <f t="shared" si="97"/>
        <v>53.749443166932572</v>
      </c>
      <c r="AA223" s="384">
        <f t="shared" si="98"/>
        <v>54.677168959495432</v>
      </c>
      <c r="AB223" s="197">
        <f t="shared" si="99"/>
        <v>43674</v>
      </c>
      <c r="AC223" s="424">
        <f t="shared" si="100"/>
        <v>1.696733408509345E-2</v>
      </c>
      <c r="AD223" s="169">
        <f>(INDEX(Models!$BJ223:$BT223,,AH223)*(1-AF223)+INDEX(Models!$BJ223:$BT223,,AH223+1)*AF223-ERP_i)*AE223*Ramure*Pc/MaxiM</f>
        <v>2.6749543762772044E-5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57.978000000000002</v>
      </c>
      <c r="C224" s="388"/>
      <c r="D224" s="391">
        <f t="shared" si="85"/>
        <v>58.193963510900616</v>
      </c>
      <c r="E224" s="383">
        <f t="shared" si="82"/>
        <v>59.20324041138425</v>
      </c>
      <c r="F224" s="383">
        <f t="shared" si="83"/>
        <v>59.204840320642759</v>
      </c>
      <c r="G224" s="110">
        <f t="shared" si="84"/>
        <v>0.9879237071538276</v>
      </c>
      <c r="I224" s="379">
        <f t="shared" si="86"/>
        <v>59.204840320642759</v>
      </c>
      <c r="J224" s="85">
        <v>2018</v>
      </c>
      <c r="K224" s="197">
        <f t="shared" si="87"/>
        <v>43675</v>
      </c>
      <c r="L224" s="435">
        <f t="shared" si="88"/>
        <v>3.7110981598660331E-3</v>
      </c>
      <c r="M224" s="842"/>
      <c r="N224" s="842"/>
      <c r="O224" s="323">
        <f t="shared" si="89"/>
        <v>1.7047663159490793E-2</v>
      </c>
      <c r="P224" s="169">
        <f>(INDEX(Models!$BJ224:$BT224,,T224)*(1-R224)+INDEX(Models!$BJ224:$BT224,,T224+1)*R224-ERP_i)*Q224*Ramure*Pc/MaxiM</f>
        <v>2.7497651615854287E-5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58.686690152873247</v>
      </c>
      <c r="W224" s="58"/>
      <c r="X224" s="157">
        <f t="shared" si="95"/>
        <v>43675</v>
      </c>
      <c r="Y224" s="383">
        <f t="shared" si="96"/>
        <v>57.978000000000002</v>
      </c>
      <c r="Z224" s="383">
        <f t="shared" si="97"/>
        <v>58.193963510900616</v>
      </c>
      <c r="AA224" s="384">
        <f t="shared" si="98"/>
        <v>59.20324041138425</v>
      </c>
      <c r="AB224" s="197">
        <f t="shared" si="99"/>
        <v>43675</v>
      </c>
      <c r="AC224" s="424">
        <f t="shared" si="100"/>
        <v>1.7047663159490793E-2</v>
      </c>
      <c r="AD224" s="169">
        <f>(INDEX(Models!$BJ224:$BT224,,AH224)*(1-AF224)+INDEX(Models!$BJ224:$BT224,,AH224+1)*AF224-ERP_i)*AE224*Ramure*Pc/MaxiM</f>
        <v>2.7497651615854287E-5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28.265000000000001</v>
      </c>
      <c r="C225" s="388"/>
      <c r="D225" s="391">
        <f t="shared" si="85"/>
        <v>28.370828632590609</v>
      </c>
      <c r="E225" s="383">
        <f t="shared" si="82"/>
        <v>28.865228240150149</v>
      </c>
      <c r="F225" s="383">
        <f t="shared" si="83"/>
        <v>28.865440926747926</v>
      </c>
      <c r="G225" s="110">
        <f t="shared" si="84"/>
        <v>0.48269362720222336</v>
      </c>
      <c r="I225" s="379">
        <f t="shared" si="86"/>
        <v>28.865440926747926</v>
      </c>
      <c r="J225" s="85">
        <v>2018</v>
      </c>
      <c r="K225" s="197">
        <f t="shared" si="87"/>
        <v>43676</v>
      </c>
      <c r="L225" s="435">
        <f t="shared" si="88"/>
        <v>3.7301918093798347E-3</v>
      </c>
      <c r="M225" s="842"/>
      <c r="N225" s="842"/>
      <c r="O225" s="323">
        <f t="shared" si="89"/>
        <v>1.712786067188805E-2</v>
      </c>
      <c r="P225" s="169">
        <f>(INDEX(Models!$BJ225:$BT225,,T225)*(1-R225)+INDEX(Models!$BJ225:$BT225,,T225+1)*R225-ERP_i)*Q225*Ramure*Pc/MaxiM</f>
        <v>2.8230114005639384E-5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58.555590422297314</v>
      </c>
      <c r="W225" s="58"/>
      <c r="X225" s="157">
        <f t="shared" si="95"/>
        <v>43676</v>
      </c>
      <c r="Y225" s="383">
        <f t="shared" si="96"/>
        <v>28.265000000000001</v>
      </c>
      <c r="Z225" s="383">
        <f t="shared" si="97"/>
        <v>28.370828632590609</v>
      </c>
      <c r="AA225" s="384">
        <f t="shared" si="98"/>
        <v>28.865228240150149</v>
      </c>
      <c r="AB225" s="197">
        <f t="shared" si="99"/>
        <v>43676</v>
      </c>
      <c r="AC225" s="424">
        <f t="shared" si="100"/>
        <v>1.712786067188805E-2</v>
      </c>
      <c r="AD225" s="169">
        <f>(INDEX(Models!$BJ225:$BT225,,AH225)*(1-AF225)+INDEX(Models!$BJ225:$BT225,,AH225+1)*AF225-ERP_i)*AE225*Ramure*Pc/MaxiM</f>
        <v>2.8230114005639384E-5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55.725000000000001</v>
      </c>
      <c r="C226" s="388"/>
      <c r="D226" s="391">
        <f t="shared" si="85"/>
        <v>55.934715193855745</v>
      </c>
      <c r="E226" s="383">
        <f t="shared" si="82"/>
        <v>56.914088827241137</v>
      </c>
      <c r="F226" s="383">
        <f t="shared" si="83"/>
        <v>56.915628803098912</v>
      </c>
      <c r="G226" s="110">
        <f t="shared" si="84"/>
        <v>0.95383379994248441</v>
      </c>
      <c r="I226" s="379">
        <f t="shared" si="86"/>
        <v>56.915628803098912</v>
      </c>
      <c r="J226" s="85">
        <v>2018</v>
      </c>
      <c r="K226" s="197">
        <f t="shared" si="87"/>
        <v>43677</v>
      </c>
      <c r="L226" s="435">
        <f t="shared" si="88"/>
        <v>3.7492850929681243E-3</v>
      </c>
      <c r="M226" s="842"/>
      <c r="N226" s="842"/>
      <c r="O226" s="323">
        <f t="shared" si="89"/>
        <v>1.720792959293814E-2</v>
      </c>
      <c r="P226" s="169">
        <f>(INDEX(Models!$BJ226:$BT226,,T226)*(1-R226)+INDEX(Models!$BJ226:$BT226,,T226+1)*R226-ERP_i)*Q226*Ramure*Pc/MaxiM</f>
        <v>2.8967554725519574E-5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58.422016020300582</v>
      </c>
      <c r="W226" s="58"/>
      <c r="X226" s="157">
        <f t="shared" si="95"/>
        <v>43677</v>
      </c>
      <c r="Y226" s="383">
        <f t="shared" si="96"/>
        <v>55.725000000000001</v>
      </c>
      <c r="Z226" s="383">
        <f t="shared" si="97"/>
        <v>55.934715193855745</v>
      </c>
      <c r="AA226" s="384">
        <f t="shared" si="98"/>
        <v>56.914088827241137</v>
      </c>
      <c r="AB226" s="197">
        <f t="shared" si="99"/>
        <v>43677</v>
      </c>
      <c r="AC226" s="424">
        <f t="shared" si="100"/>
        <v>1.720792959293814E-2</v>
      </c>
      <c r="AD226" s="169">
        <f>(INDEX(Models!$BJ226:$BT226,,AH226)*(1-AF226)+INDEX(Models!$BJ226:$BT226,,AH226+1)*AF226-ERP_i)*AE226*Ramure*Pc/MaxiM</f>
        <v>2.8967554725519574E-5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50.238</v>
      </c>
      <c r="C227" s="388"/>
      <c r="D227" s="391">
        <f t="shared" si="85"/>
        <v>50.428031886480767</v>
      </c>
      <c r="E227" s="383">
        <f t="shared" si="82"/>
        <v>51.315161864051092</v>
      </c>
      <c r="F227" s="383">
        <f t="shared" si="83"/>
        <v>51.316386225590399</v>
      </c>
      <c r="G227" s="110">
        <f t="shared" si="84"/>
        <v>0.86191768288677073</v>
      </c>
      <c r="I227" s="379">
        <f t="shared" si="86"/>
        <v>51.316386225590399</v>
      </c>
      <c r="J227" s="85">
        <v>2018</v>
      </c>
      <c r="K227" s="197">
        <f t="shared" si="87"/>
        <v>43678</v>
      </c>
      <c r="L227" s="435">
        <f t="shared" si="88"/>
        <v>3.7683780106380071E-3</v>
      </c>
      <c r="M227" s="842"/>
      <c r="N227" s="842"/>
      <c r="O227" s="323">
        <f t="shared" si="89"/>
        <v>1.728787253795663E-2</v>
      </c>
      <c r="P227" s="169">
        <f>(INDEX(Models!$BJ227:$BT227,,T227)*(1-R227)+INDEX(Models!$BJ227:$BT227,,T227+1)*R227-ERP_i)*Q227*Ramure*Pc/MaxiM</f>
        <v>2.9721795995836582E-5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58.285966814566251</v>
      </c>
      <c r="W227" s="58"/>
      <c r="X227" s="157">
        <f t="shared" si="95"/>
        <v>43678</v>
      </c>
      <c r="Y227" s="383">
        <f t="shared" si="96"/>
        <v>50.238</v>
      </c>
      <c r="Z227" s="383">
        <f t="shared" si="97"/>
        <v>50.428031886480767</v>
      </c>
      <c r="AA227" s="384">
        <f t="shared" si="98"/>
        <v>51.315161864051092</v>
      </c>
      <c r="AB227" s="197">
        <f t="shared" si="99"/>
        <v>43678</v>
      </c>
      <c r="AC227" s="424">
        <f t="shared" si="100"/>
        <v>1.728787253795663E-2</v>
      </c>
      <c r="AD227" s="169">
        <f>(INDEX(Models!$BJ227:$BT227,,AH227)*(1-AF227)+INDEX(Models!$BJ227:$BT227,,AH227+1)*AF227-ERP_i)*AE227*Ramure*Pc/MaxiM</f>
        <v>2.9721795995836582E-5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55.216000000000001</v>
      </c>
      <c r="C228" s="388"/>
      <c r="D228" s="391">
        <f t="shared" si="85"/>
        <v>55.425924055754798</v>
      </c>
      <c r="E228" s="383">
        <f t="shared" si="82"/>
        <v>56.405558407933924</v>
      </c>
      <c r="F228" s="383">
        <f t="shared" si="83"/>
        <v>56.407154558267514</v>
      </c>
      <c r="G228" s="110">
        <f t="shared" si="84"/>
        <v>0.94958394608510044</v>
      </c>
      <c r="I228" s="379">
        <f t="shared" si="86"/>
        <v>56.407154558267514</v>
      </c>
      <c r="J228" s="85">
        <v>2018</v>
      </c>
      <c r="K228" s="197">
        <f t="shared" si="87"/>
        <v>43679</v>
      </c>
      <c r="L228" s="435">
        <f t="shared" si="88"/>
        <v>3.7874705623964777E-3</v>
      </c>
      <c r="M228" s="842"/>
      <c r="N228" s="842"/>
      <c r="O228" s="323">
        <f t="shared" si="89"/>
        <v>1.7367691763536069E-2</v>
      </c>
      <c r="P228" s="169">
        <f>(INDEX(Models!$BJ228:$BT228,,T228)*(1-R228)+INDEX(Models!$BJ228:$BT228,,T228+1)*R228-ERP_i)*Q228*Ramure*Pc/MaxiM</f>
        <v>3.0493056831393315E-5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58.147443376521586</v>
      </c>
      <c r="W228" s="58"/>
      <c r="X228" s="157">
        <f t="shared" si="95"/>
        <v>43679</v>
      </c>
      <c r="Y228" s="383">
        <f t="shared" si="96"/>
        <v>55.216000000000001</v>
      </c>
      <c r="Z228" s="383">
        <f t="shared" si="97"/>
        <v>55.425924055754798</v>
      </c>
      <c r="AA228" s="384">
        <f t="shared" si="98"/>
        <v>56.405558407933924</v>
      </c>
      <c r="AB228" s="197">
        <f t="shared" si="99"/>
        <v>43679</v>
      </c>
      <c r="AC228" s="424">
        <f t="shared" si="100"/>
        <v>1.7367691763536069E-2</v>
      </c>
      <c r="AD228" s="169">
        <f>(INDEX(Models!$BJ228:$BT228,,AH228)*(1-AF228)+INDEX(Models!$BJ228:$BT228,,AH228+1)*AF228-ERP_i)*AE228*Ramure*Pc/MaxiM</f>
        <v>3.0493056831393315E-5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55.725000000000001</v>
      </c>
      <c r="C229" s="388"/>
      <c r="D229" s="391">
        <f t="shared" si="85"/>
        <v>55.937931245292532</v>
      </c>
      <c r="E229" s="383">
        <f t="shared" si="82"/>
        <v>56.931232616508289</v>
      </c>
      <c r="F229" s="383">
        <f t="shared" ref="F229:F260" si="110">Wh_sa/(1-Pvg*MEDIAN((-Sdif+Wh/Env_an)/Csdif,0,1))</f>
        <v>56.932913500318811</v>
      </c>
      <c r="G229" s="110">
        <f t="shared" si="84"/>
        <v>0.9606674018379463</v>
      </c>
      <c r="I229" s="379">
        <f t="shared" si="86"/>
        <v>56.932913500318811</v>
      </c>
      <c r="J229" s="85">
        <v>2018</v>
      </c>
      <c r="K229" s="197">
        <f t="shared" si="87"/>
        <v>43680</v>
      </c>
      <c r="L229" s="435">
        <f t="shared" si="88"/>
        <v>3.8065627482505304E-3</v>
      </c>
      <c r="M229" s="842"/>
      <c r="N229" s="842"/>
      <c r="O229" s="323">
        <f t="shared" si="89"/>
        <v>1.7447389166974223E-2</v>
      </c>
      <c r="P229" s="169">
        <f>(INDEX(Models!$BJ229:$BT229,,T229)*(1-R229)+INDEX(Models!$BJ229:$BT229,,T229+1)*R229-ERP_i)*Q229*Ramure*Pc/MaxiM</f>
        <v>3.1281555210937413E-5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58.006446296895852</v>
      </c>
      <c r="W229" s="58"/>
      <c r="X229" s="157">
        <f t="shared" si="95"/>
        <v>43680</v>
      </c>
      <c r="Y229" s="383">
        <f t="shared" si="96"/>
        <v>55.725000000000001</v>
      </c>
      <c r="Z229" s="383">
        <f t="shared" si="97"/>
        <v>55.937931245292532</v>
      </c>
      <c r="AA229" s="384">
        <f t="shared" si="98"/>
        <v>56.931232616508289</v>
      </c>
      <c r="AB229" s="197">
        <f t="shared" si="99"/>
        <v>43680</v>
      </c>
      <c r="AC229" s="424">
        <f t="shared" si="100"/>
        <v>1.7447389166974223E-2</v>
      </c>
      <c r="AD229" s="169">
        <f>(INDEX(Models!$BJ229:$BT229,,AH229)*(1-AF229)+INDEX(Models!$BJ229:$BT229,,AH229+1)*AF229-ERP_i)*AE229*Ramure*Pc/MaxiM</f>
        <v>3.1281555210937413E-5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53.005000000000003</v>
      </c>
      <c r="C230" s="388"/>
      <c r="D230" s="391">
        <f t="shared" si="85"/>
        <v>53.208557561302115</v>
      </c>
      <c r="E230" s="383">
        <f t="shared" si="82"/>
        <v>54.157779130372461</v>
      </c>
      <c r="F230" s="383">
        <f t="shared" si="110"/>
        <v>54.159308534997784</v>
      </c>
      <c r="G230" s="110">
        <f t="shared" si="84"/>
        <v>0.91603991873171631</v>
      </c>
      <c r="I230" s="379">
        <f t="shared" si="86"/>
        <v>54.159308534997784</v>
      </c>
      <c r="J230" s="85">
        <v>2018</v>
      </c>
      <c r="K230" s="197">
        <f t="shared" si="87"/>
        <v>43681</v>
      </c>
      <c r="L230" s="435">
        <f t="shared" si="88"/>
        <v>3.8256545682071597E-3</v>
      </c>
      <c r="M230" s="842"/>
      <c r="N230" s="842"/>
      <c r="O230" s="323">
        <f t="shared" si="89"/>
        <v>1.7526966288357537E-2</v>
      </c>
      <c r="P230" s="169">
        <f>(INDEX(Models!$BJ230:$BT230,,T230)*(1-R230)+INDEX(Models!$BJ230:$BT230,,T230+1)*R230-ERP_i)*Q230*Ramure*Pc/MaxiM</f>
        <v>3.2087507857630027E-5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57.862976187086396</v>
      </c>
      <c r="W230" s="58"/>
      <c r="X230" s="157">
        <f t="shared" si="95"/>
        <v>43681</v>
      </c>
      <c r="Y230" s="383">
        <f t="shared" si="96"/>
        <v>53.005000000000003</v>
      </c>
      <c r="Z230" s="383">
        <f t="shared" si="97"/>
        <v>53.208557561302115</v>
      </c>
      <c r="AA230" s="384">
        <f t="shared" si="98"/>
        <v>54.157779130372461</v>
      </c>
      <c r="AB230" s="197">
        <f t="shared" si="99"/>
        <v>43681</v>
      </c>
      <c r="AC230" s="424">
        <f t="shared" si="100"/>
        <v>1.7526966288357537E-2</v>
      </c>
      <c r="AD230" s="169">
        <f>(INDEX(Models!$BJ230:$BT230,,AH230)*(1-AF230)+INDEX(Models!$BJ230:$BT230,,AH230+1)*AF230-ERP_i)*AE230*Ramure*Pc/MaxiM</f>
        <v>3.2087507857630027E-5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53.173000000000002</v>
      </c>
      <c r="C231" s="388"/>
      <c r="D231" s="391">
        <f t="shared" si="85"/>
        <v>53.378225721016896</v>
      </c>
      <c r="E231" s="383">
        <f t="shared" si="82"/>
        <v>54.334868470412907</v>
      </c>
      <c r="F231" s="383">
        <f t="shared" si="110"/>
        <v>54.336455616076229</v>
      </c>
      <c r="G231" s="110">
        <f t="shared" si="84"/>
        <v>0.92126708151362335</v>
      </c>
      <c r="I231" s="379">
        <f t="shared" si="86"/>
        <v>54.336455616076229</v>
      </c>
      <c r="J231" s="85">
        <v>2018</v>
      </c>
      <c r="K231" s="197">
        <f t="shared" si="87"/>
        <v>43682</v>
      </c>
      <c r="L231" s="435">
        <f t="shared" si="88"/>
        <v>3.8447460222734708E-3</v>
      </c>
      <c r="M231" s="842"/>
      <c r="N231" s="842"/>
      <c r="O231" s="323">
        <f t="shared" si="89"/>
        <v>1.7606424315114312E-2</v>
      </c>
      <c r="P231" s="169">
        <f>(INDEX(Models!$BJ231:$BT231,,T231)*(1-R231)+INDEX(Models!$BJ231:$BT231,,T231+1)*R231-ERP_i)*Q231*Ramure*Pc/MaxiM</f>
        <v>3.2911130029483753E-5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57.717033680365596</v>
      </c>
      <c r="W231" s="58"/>
      <c r="X231" s="157">
        <f t="shared" si="95"/>
        <v>43682</v>
      </c>
      <c r="Y231" s="383">
        <f t="shared" si="96"/>
        <v>53.173000000000002</v>
      </c>
      <c r="Z231" s="383">
        <f t="shared" si="97"/>
        <v>53.378225721016896</v>
      </c>
      <c r="AA231" s="384">
        <f t="shared" si="98"/>
        <v>54.334868470412907</v>
      </c>
      <c r="AB231" s="197">
        <f t="shared" si="99"/>
        <v>43682</v>
      </c>
      <c r="AC231" s="424">
        <f t="shared" si="100"/>
        <v>1.7606424315114312E-2</v>
      </c>
      <c r="AD231" s="169">
        <f>(INDEX(Models!$BJ231:$BT231,,AH231)*(1-AF231)+INDEX(Models!$BJ231:$BT231,,AH231+1)*AF231-ERP_i)*AE231*Ramure*Pc/MaxiM</f>
        <v>3.2911130029483753E-5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39.363999999999997</v>
      </c>
      <c r="C232" s="388"/>
      <c r="D232" s="391">
        <f t="shared" si="85"/>
        <v>39.516686037995861</v>
      </c>
      <c r="E232" s="383">
        <f t="shared" si="82"/>
        <v>40.228151637587835</v>
      </c>
      <c r="F232" s="383">
        <f t="shared" si="110"/>
        <v>40.228896069156605</v>
      </c>
      <c r="G232" s="110">
        <f t="shared" si="84"/>
        <v>0.68376487343079362</v>
      </c>
      <c r="I232" s="379">
        <f t="shared" si="86"/>
        <v>40.228896069156605</v>
      </c>
      <c r="J232" s="85">
        <v>2018</v>
      </c>
      <c r="K232" s="197">
        <f t="shared" si="87"/>
        <v>43683</v>
      </c>
      <c r="L232" s="435">
        <f t="shared" si="88"/>
        <v>3.8638371104564584E-3</v>
      </c>
      <c r="M232" s="842"/>
      <c r="N232" s="842"/>
      <c r="O232" s="323">
        <f t="shared" si="89"/>
        <v>1.7685764088827841E-2</v>
      </c>
      <c r="P232" s="169">
        <f>(INDEX(Models!$BJ232:$BT232,,T232)*(1-R232)+INDEX(Models!$BJ232:$BT232,,T232+1)*R232-ERP_i)*Q232*Ramure*Pc/MaxiM</f>
        <v>3.3752635325659769E-5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57.568619428205217</v>
      </c>
      <c r="W232" s="58"/>
      <c r="X232" s="157">
        <f t="shared" si="95"/>
        <v>43683</v>
      </c>
      <c r="Y232" s="383">
        <f t="shared" si="96"/>
        <v>39.363999999999997</v>
      </c>
      <c r="Z232" s="383">
        <f t="shared" si="97"/>
        <v>39.516686037995861</v>
      </c>
      <c r="AA232" s="384">
        <f t="shared" si="98"/>
        <v>40.228151637587835</v>
      </c>
      <c r="AB232" s="197">
        <f t="shared" si="99"/>
        <v>43683</v>
      </c>
      <c r="AC232" s="424">
        <f t="shared" si="100"/>
        <v>1.7685764088827841E-2</v>
      </c>
      <c r="AD232" s="169">
        <f>(INDEX(Models!$BJ232:$BT232,,AH232)*(1-AF232)+INDEX(Models!$BJ232:$BT232,,AH232+1)*AF232-ERP_i)*AE232*Ramure*Pc/MaxiM</f>
        <v>3.3752635325659769E-5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43.362000000000002</v>
      </c>
      <c r="C233" s="388"/>
      <c r="D233" s="391">
        <f t="shared" si="85"/>
        <v>43.531027839587118</v>
      </c>
      <c r="E233" s="383">
        <f t="shared" ref="E233:E296" si="111">Wh_pvt/(1-Psa)</f>
        <v>44.318342580121943</v>
      </c>
      <c r="F233" s="383">
        <f t="shared" si="110"/>
        <v>44.319340096195276</v>
      </c>
      <c r="G233" s="110">
        <f t="shared" ref="G233:G296" si="112">+Wh_hp/MaxiM</f>
        <v>0.75518695286175819</v>
      </c>
      <c r="I233" s="379">
        <f t="shared" si="86"/>
        <v>44.319340096195276</v>
      </c>
      <c r="J233" s="85">
        <v>2018</v>
      </c>
      <c r="K233" s="197">
        <f t="shared" si="87"/>
        <v>43684</v>
      </c>
      <c r="L233" s="435">
        <f t="shared" si="88"/>
        <v>3.8829278327631167E-3</v>
      </c>
      <c r="M233" s="842"/>
      <c r="N233" s="842"/>
      <c r="O233" s="323">
        <f t="shared" si="89"/>
        <v>1.7764986114078191E-2</v>
      </c>
      <c r="P233" s="169">
        <f>(INDEX(Models!$BJ233:$BT233,,T233)*(1-R233)+INDEX(Models!$BJ233:$BT233,,T233+1)*R233-ERP_i)*Q233*Ramure*Pc/MaxiM</f>
        <v>3.4611954973019226E-5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57.418199492258893</v>
      </c>
      <c r="W233" s="58"/>
      <c r="X233" s="157">
        <f t="shared" si="95"/>
        <v>43684</v>
      </c>
      <c r="Y233" s="383">
        <f t="shared" si="96"/>
        <v>43.362000000000002</v>
      </c>
      <c r="Z233" s="383">
        <f t="shared" si="97"/>
        <v>43.531027839587118</v>
      </c>
      <c r="AA233" s="384">
        <f t="shared" si="98"/>
        <v>44.318342580121943</v>
      </c>
      <c r="AB233" s="197">
        <f t="shared" si="99"/>
        <v>43684</v>
      </c>
      <c r="AC233" s="424">
        <f t="shared" si="100"/>
        <v>1.7764986114078191E-2</v>
      </c>
      <c r="AD233" s="169">
        <f>(INDEX(Models!$BJ233:$BT233,,AH233)*(1-AF233)+INDEX(Models!$BJ233:$BT233,,AH233+1)*AF233-ERP_i)*AE233*Ramure*Pc/MaxiM</f>
        <v>3.4611954973019226E-5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53.883000000000003</v>
      </c>
      <c r="C234" s="388"/>
      <c r="D234" s="391">
        <f t="shared" si="85"/>
        <v>54.094076068748244</v>
      </c>
      <c r="E234" s="383">
        <f t="shared" si="111"/>
        <v>55.076872774802581</v>
      </c>
      <c r="F234" s="383">
        <f t="shared" si="110"/>
        <v>55.078662974016289</v>
      </c>
      <c r="G234" s="110">
        <f t="shared" si="112"/>
        <v>0.94092040994313997</v>
      </c>
      <c r="I234" s="379">
        <f t="shared" si="86"/>
        <v>55.078662974016289</v>
      </c>
      <c r="J234" s="85">
        <v>2018</v>
      </c>
      <c r="K234" s="197">
        <f t="shared" si="87"/>
        <v>43685</v>
      </c>
      <c r="L234" s="435">
        <f t="shared" si="88"/>
        <v>3.9020181892003292E-3</v>
      </c>
      <c r="M234" s="842"/>
      <c r="N234" s="842"/>
      <c r="O234" s="323">
        <f t="shared" si="89"/>
        <v>1.784409056906297E-2</v>
      </c>
      <c r="P234" s="169">
        <f>(INDEX(Models!$BJ234:$BT234,,T234)*(1-R234)+INDEX(Models!$BJ234:$BT234,,T234+1)*R234-ERP_i)*Q234*Ramure*Pc/MaxiM</f>
        <v>3.5498499884836295E-5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57.26609604462702</v>
      </c>
      <c r="W234" s="58"/>
      <c r="X234" s="157">
        <f t="shared" si="95"/>
        <v>43685</v>
      </c>
      <c r="Y234" s="383">
        <f t="shared" si="96"/>
        <v>53.883000000000003</v>
      </c>
      <c r="Z234" s="383">
        <f t="shared" si="97"/>
        <v>54.094076068748244</v>
      </c>
      <c r="AA234" s="384">
        <f t="shared" si="98"/>
        <v>55.076872774802581</v>
      </c>
      <c r="AB234" s="197">
        <f t="shared" si="99"/>
        <v>43685</v>
      </c>
      <c r="AC234" s="424">
        <f t="shared" si="100"/>
        <v>1.784409056906297E-2</v>
      </c>
      <c r="AD234" s="169">
        <f>(INDEX(Models!$BJ234:$BT234,,AH234)*(1-AF234)+INDEX(Models!$BJ234:$BT234,,AH234+1)*AF234-ERP_i)*AE234*Ramure*Pc/MaxiM</f>
        <v>3.5498499884836295E-5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50.292000000000002</v>
      </c>
      <c r="C235" s="388"/>
      <c r="D235" s="391">
        <f t="shared" si="85"/>
        <v>50.489976660480075</v>
      </c>
      <c r="E235" s="383">
        <f t="shared" si="111"/>
        <v>51.41142765332561</v>
      </c>
      <c r="F235" s="383">
        <f t="shared" si="110"/>
        <v>51.41298076631432</v>
      </c>
      <c r="G235" s="110">
        <f t="shared" si="112"/>
        <v>0.88057859109189307</v>
      </c>
      <c r="I235" s="379">
        <f t="shared" si="86"/>
        <v>51.41298076631432</v>
      </c>
      <c r="J235" s="85">
        <v>2018</v>
      </c>
      <c r="K235" s="197">
        <f t="shared" si="87"/>
        <v>43686</v>
      </c>
      <c r="L235" s="435">
        <f t="shared" si="88"/>
        <v>3.9211081797753122E-3</v>
      </c>
      <c r="M235" s="842"/>
      <c r="N235" s="842"/>
      <c r="O235" s="323">
        <f t="shared" si="89"/>
        <v>1.7923077317731923E-2</v>
      </c>
      <c r="P235" s="169">
        <f>(INDEX(Models!$BJ235:$BT235,,T235)*(1-R235)+INDEX(Models!$BJ235:$BT235,,T235+1)*R235-ERP_i)*Q235*Ramure*Pc/MaxiM</f>
        <v>3.6421950353283708E-5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57.112094271139945</v>
      </c>
      <c r="W235" s="58"/>
      <c r="X235" s="157">
        <f t="shared" si="95"/>
        <v>43686</v>
      </c>
      <c r="Y235" s="383">
        <f t="shared" si="96"/>
        <v>50.292000000000002</v>
      </c>
      <c r="Z235" s="383">
        <f t="shared" si="97"/>
        <v>50.489976660480075</v>
      </c>
      <c r="AA235" s="384">
        <f t="shared" si="98"/>
        <v>51.41142765332561</v>
      </c>
      <c r="AB235" s="197">
        <f t="shared" si="99"/>
        <v>43686</v>
      </c>
      <c r="AC235" s="424">
        <f t="shared" si="100"/>
        <v>1.7923077317731923E-2</v>
      </c>
      <c r="AD235" s="169">
        <f>(INDEX(Models!$BJ235:$BT235,,AH235)*(1-AF235)+INDEX(Models!$BJ235:$BT235,,AH235+1)*AF235-ERP_i)*AE235*Ramure*Pc/MaxiM</f>
        <v>3.6421950353283708E-5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40.381</v>
      </c>
      <c r="C236" s="388"/>
      <c r="D236" s="391">
        <f t="shared" si="85"/>
        <v>40.540738528944345</v>
      </c>
      <c r="E236" s="383">
        <f t="shared" si="111"/>
        <v>41.283929597045855</v>
      </c>
      <c r="F236" s="383">
        <f t="shared" si="110"/>
        <v>41.28483132245502</v>
      </c>
      <c r="G236" s="110">
        <f t="shared" si="112"/>
        <v>0.70897511416100756</v>
      </c>
      <c r="I236" s="379">
        <f t="shared" si="86"/>
        <v>41.28483132245502</v>
      </c>
      <c r="J236" s="85">
        <v>2018</v>
      </c>
      <c r="K236" s="197">
        <f t="shared" si="87"/>
        <v>43687</v>
      </c>
      <c r="L236" s="435">
        <f t="shared" si="88"/>
        <v>3.9401978044948383E-3</v>
      </c>
      <c r="M236" s="842"/>
      <c r="N236" s="842"/>
      <c r="O236" s="323">
        <f t="shared" si="89"/>
        <v>1.8001945923158669E-2</v>
      </c>
      <c r="P236" s="169">
        <f>(INDEX(Models!$BJ236:$BT236,,T236)*(1-R236)+INDEX(Models!$BJ236:$BT236,,T236+1)*R236-ERP_i)*Q236*Ramure*Pc/MaxiM</f>
        <v>3.7382922456156283E-5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56.955979983307579</v>
      </c>
      <c r="W236" s="58"/>
      <c r="X236" s="157">
        <f t="shared" si="95"/>
        <v>43687</v>
      </c>
      <c r="Y236" s="383">
        <f t="shared" si="96"/>
        <v>40.381</v>
      </c>
      <c r="Z236" s="383">
        <f t="shared" si="97"/>
        <v>40.540738528944345</v>
      </c>
      <c r="AA236" s="384">
        <f t="shared" si="98"/>
        <v>41.283929597045855</v>
      </c>
      <c r="AB236" s="197">
        <f t="shared" si="99"/>
        <v>43687</v>
      </c>
      <c r="AC236" s="424">
        <f t="shared" si="100"/>
        <v>1.8001945923158669E-2</v>
      </c>
      <c r="AD236" s="169">
        <f>(INDEX(Models!$BJ236:$BT236,,AH236)*(1-AF236)+INDEX(Models!$BJ236:$BT236,,AH236+1)*AF236-ERP_i)*AE236*Ramure*Pc/MaxiM</f>
        <v>3.7382922456156283E-5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24.216000000000001</v>
      </c>
      <c r="C237" s="388"/>
      <c r="D237" s="391">
        <f t="shared" si="85"/>
        <v>24.312259213384763</v>
      </c>
      <c r="E237" s="383">
        <f t="shared" si="111"/>
        <v>24.759936082295969</v>
      </c>
      <c r="F237" s="383">
        <f t="shared" si="110"/>
        <v>24.760107628102855</v>
      </c>
      <c r="G237" s="110">
        <f t="shared" si="112"/>
        <v>0.42634308983078789</v>
      </c>
      <c r="I237" s="379">
        <f t="shared" si="86"/>
        <v>24.760107628102855</v>
      </c>
      <c r="J237" s="85">
        <v>2018</v>
      </c>
      <c r="K237" s="197">
        <f t="shared" si="87"/>
        <v>43688</v>
      </c>
      <c r="L237" s="435">
        <f t="shared" si="88"/>
        <v>3.9592870633662347E-3</v>
      </c>
      <c r="M237" s="842"/>
      <c r="N237" s="842"/>
      <c r="O237" s="323">
        <f t="shared" si="89"/>
        <v>1.8080695661864373E-2</v>
      </c>
      <c r="P237" s="169">
        <f>(INDEX(Models!$BJ237:$BT237,,T237)*(1-R237)+INDEX(Models!$BJ237:$BT237,,T237+1)*R237-ERP_i)*Q237*Ramure*Pc/MaxiM</f>
        <v>3.8382037880006199E-5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56.797539092195812</v>
      </c>
      <c r="W237" s="58"/>
      <c r="X237" s="157">
        <f t="shared" si="95"/>
        <v>43688</v>
      </c>
      <c r="Y237" s="383">
        <f t="shared" si="96"/>
        <v>24.216000000000001</v>
      </c>
      <c r="Z237" s="383">
        <f t="shared" si="97"/>
        <v>24.312259213384763</v>
      </c>
      <c r="AA237" s="384">
        <f t="shared" si="98"/>
        <v>24.759936082295969</v>
      </c>
      <c r="AB237" s="197">
        <f t="shared" si="99"/>
        <v>43688</v>
      </c>
      <c r="AC237" s="424">
        <f t="shared" si="100"/>
        <v>1.8080695661864373E-2</v>
      </c>
      <c r="AD237" s="169">
        <f>(INDEX(Models!$BJ237:$BT237,,AH237)*(1-AF237)+INDEX(Models!$BJ237:$BT237,,AH237+1)*AF237-ERP_i)*AE237*Ramure*Pc/MaxiM</f>
        <v>3.8382037880006199E-5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28.332999999999998</v>
      </c>
      <c r="C238" s="388"/>
      <c r="D238" s="391">
        <f t="shared" si="85"/>
        <v>28.446169557017207</v>
      </c>
      <c r="E238" s="383">
        <f t="shared" si="111"/>
        <v>28.972286743597767</v>
      </c>
      <c r="F238" s="383">
        <f t="shared" si="110"/>
        <v>28.972613481475392</v>
      </c>
      <c r="G238" s="110">
        <f t="shared" si="112"/>
        <v>0.50024584519396775</v>
      </c>
      <c r="I238" s="379">
        <f t="shared" si="86"/>
        <v>28.972613481475392</v>
      </c>
      <c r="J238" s="85">
        <v>2018</v>
      </c>
      <c r="K238" s="197">
        <f t="shared" si="87"/>
        <v>43689</v>
      </c>
      <c r="L238" s="435">
        <f t="shared" si="88"/>
        <v>3.9783759563962739E-3</v>
      </c>
      <c r="M238" s="842"/>
      <c r="N238" s="842"/>
      <c r="O238" s="323">
        <f t="shared" si="89"/>
        <v>1.8159325538803697E-2</v>
      </c>
      <c r="P238" s="169">
        <f>(INDEX(Models!$BJ238:$BT238,,T238)*(1-R238)+INDEX(Models!$BJ238:$BT238,,T238+1)*R238-ERP_i)*Q238*Ramure*Pc/MaxiM</f>
        <v>3.9419925967484868E-5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56.636557610814727</v>
      </c>
      <c r="W238" s="58"/>
      <c r="X238" s="157">
        <f t="shared" si="95"/>
        <v>43689</v>
      </c>
      <c r="Y238" s="383">
        <f t="shared" si="96"/>
        <v>28.332999999999998</v>
      </c>
      <c r="Z238" s="383">
        <f t="shared" si="97"/>
        <v>28.446169557017207</v>
      </c>
      <c r="AA238" s="384">
        <f t="shared" si="98"/>
        <v>28.972286743597767</v>
      </c>
      <c r="AB238" s="197">
        <f t="shared" si="99"/>
        <v>43689</v>
      </c>
      <c r="AC238" s="424">
        <f t="shared" si="100"/>
        <v>1.8159325538803697E-2</v>
      </c>
      <c r="AD238" s="169">
        <f>(INDEX(Models!$BJ238:$BT238,,AH238)*(1-AF238)+INDEX(Models!$BJ238:$BT238,,AH238+1)*AF238-ERP_i)*AE238*Ramure*Pc/MaxiM</f>
        <v>3.9419925967484868E-5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48.764000000000003</v>
      </c>
      <c r="C239" s="388"/>
      <c r="D239" s="391">
        <f t="shared" si="85"/>
        <v>48.959714720722886</v>
      </c>
      <c r="E239" s="383">
        <f t="shared" si="111"/>
        <v>49.869221315887849</v>
      </c>
      <c r="F239" s="383">
        <f t="shared" si="110"/>
        <v>49.870847104426645</v>
      </c>
      <c r="G239" s="110">
        <f t="shared" si="112"/>
        <v>0.8634881959312799</v>
      </c>
      <c r="I239" s="379">
        <f t="shared" si="86"/>
        <v>49.870847104426645</v>
      </c>
      <c r="J239" s="85">
        <v>2018</v>
      </c>
      <c r="K239" s="197">
        <f t="shared" si="87"/>
        <v>43690</v>
      </c>
      <c r="L239" s="435">
        <f t="shared" si="88"/>
        <v>3.9974644835919504E-3</v>
      </c>
      <c r="M239" s="842"/>
      <c r="N239" s="842"/>
      <c r="O239" s="323">
        <f t="shared" si="89"/>
        <v>1.8237834302722578E-2</v>
      </c>
      <c r="P239" s="169">
        <f>(INDEX(Models!$BJ239:$BT239,,T239)*(1-R239)+INDEX(Models!$BJ239:$BT239,,T239+1)*R239-ERP_i)*Q239*Ramure*Pc/MaxiM</f>
        <v>4.0497225818306039E-5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56.472821650422887</v>
      </c>
      <c r="W239" s="58"/>
      <c r="X239" s="157">
        <f t="shared" si="95"/>
        <v>43690</v>
      </c>
      <c r="Y239" s="383">
        <f t="shared" si="96"/>
        <v>48.764000000000003</v>
      </c>
      <c r="Z239" s="383">
        <f t="shared" si="97"/>
        <v>48.959714720722886</v>
      </c>
      <c r="AA239" s="384">
        <f t="shared" si="98"/>
        <v>49.869221315887849</v>
      </c>
      <c r="AB239" s="197">
        <f t="shared" si="99"/>
        <v>43690</v>
      </c>
      <c r="AC239" s="424">
        <f t="shared" si="100"/>
        <v>1.8237834302722578E-2</v>
      </c>
      <c r="AD239" s="169">
        <f>(INDEX(Models!$BJ239:$BT239,,AH239)*(1-AF239)+INDEX(Models!$BJ239:$BT239,,AH239+1)*AF239-ERP_i)*AE239*Ramure*Pc/MaxiM</f>
        <v>4.0497225818306039E-5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55.723999999999997</v>
      </c>
      <c r="C240" s="388"/>
      <c r="D240" s="391">
        <f t="shared" si="85"/>
        <v>55.948720983247412</v>
      </c>
      <c r="E240" s="383">
        <f t="shared" si="111"/>
        <v>56.992610196284602</v>
      </c>
      <c r="F240" s="383">
        <f t="shared" si="110"/>
        <v>56.99494858795164</v>
      </c>
      <c r="G240" s="110">
        <f t="shared" si="112"/>
        <v>0.98966097943922959</v>
      </c>
      <c r="I240" s="379">
        <f t="shared" si="86"/>
        <v>56.99494858795164</v>
      </c>
      <c r="J240" s="85">
        <v>2018</v>
      </c>
      <c r="K240" s="197">
        <f t="shared" si="87"/>
        <v>43691</v>
      </c>
      <c r="L240" s="435">
        <f t="shared" si="88"/>
        <v>4.0165526449604805E-3</v>
      </c>
      <c r="M240" s="842"/>
      <c r="N240" s="842"/>
      <c r="O240" s="323">
        <f t="shared" si="89"/>
        <v>1.8316220461600159E-2</v>
      </c>
      <c r="P240" s="169">
        <f>(INDEX(Models!$BJ240:$BT240,,T240)*(1-R240)+INDEX(Models!$BJ240:$BT240,,T240+1)*R240-ERP_i)*Q240*Ramure*Pc/MaxiM</f>
        <v>4.1643084539021929E-5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56.306115815588797</v>
      </c>
      <c r="W240" s="58"/>
      <c r="X240" s="157">
        <f t="shared" si="95"/>
        <v>43691</v>
      </c>
      <c r="Y240" s="383">
        <f t="shared" si="96"/>
        <v>55.723999999999997</v>
      </c>
      <c r="Z240" s="383">
        <f t="shared" si="97"/>
        <v>55.948720983247412</v>
      </c>
      <c r="AA240" s="384">
        <f t="shared" si="98"/>
        <v>56.992610196284602</v>
      </c>
      <c r="AB240" s="197">
        <f t="shared" si="99"/>
        <v>43691</v>
      </c>
      <c r="AC240" s="424">
        <f t="shared" si="100"/>
        <v>1.8316220461600159E-2</v>
      </c>
      <c r="AD240" s="169">
        <f>(INDEX(Models!$BJ240:$BT240,,AH240)*(1-AF240)+INDEX(Models!$BJ240:$BT240,,AH240+1)*AF240-ERP_i)*AE240*Ramure*Pc/MaxiM</f>
        <v>4.1643084539021929E-5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28.463999999999999</v>
      </c>
      <c r="C241" s="388"/>
      <c r="D241" s="391">
        <f t="shared" si="85"/>
        <v>28.579335923817037</v>
      </c>
      <c r="E241" s="383">
        <f t="shared" si="111"/>
        <v>29.114889238520142</v>
      </c>
      <c r="F241" s="383">
        <f t="shared" si="110"/>
        <v>29.115258138147656</v>
      </c>
      <c r="G241" s="110">
        <f t="shared" si="112"/>
        <v>0.50703694450668646</v>
      </c>
      <c r="I241" s="379">
        <f t="shared" si="86"/>
        <v>29.115258138147656</v>
      </c>
      <c r="J241" s="85">
        <v>2018</v>
      </c>
      <c r="K241" s="197">
        <f t="shared" si="87"/>
        <v>43692</v>
      </c>
      <c r="L241" s="435">
        <f t="shared" si="88"/>
        <v>4.0356404405086366E-3</v>
      </c>
      <c r="M241" s="842"/>
      <c r="N241" s="842"/>
      <c r="O241" s="323">
        <f t="shared" si="89"/>
        <v>1.8394482297894095E-2</v>
      </c>
      <c r="P241" s="169">
        <f>(INDEX(Models!$BJ241:$BT241,,T241)*(1-R241)+INDEX(Models!$BJ241:$BT241,,T241+1)*R241-ERP_i)*Q241*Ramure*Pc/MaxiM</f>
        <v>4.2835681251954153E-5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56.136227686448194</v>
      </c>
      <c r="W241" s="58"/>
      <c r="X241" s="157">
        <f t="shared" si="95"/>
        <v>43692</v>
      </c>
      <c r="Y241" s="383">
        <f t="shared" si="96"/>
        <v>28.463999999999999</v>
      </c>
      <c r="Z241" s="383">
        <f t="shared" si="97"/>
        <v>28.579335923817037</v>
      </c>
      <c r="AA241" s="384">
        <f t="shared" si="98"/>
        <v>29.114889238520142</v>
      </c>
      <c r="AB241" s="197">
        <f t="shared" si="99"/>
        <v>43692</v>
      </c>
      <c r="AC241" s="424">
        <f t="shared" si="100"/>
        <v>1.8394482297894095E-2</v>
      </c>
      <c r="AD241" s="169">
        <f>(INDEX(Models!$BJ241:$BT241,,AH241)*(1-AF241)+INDEX(Models!$BJ241:$BT241,,AH241+1)*AF241-ERP_i)*AE241*Ramure*Pc/MaxiM</f>
        <v>4.2835681251954153E-5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54.634</v>
      </c>
      <c r="C242" s="388"/>
      <c r="D242" s="391">
        <f t="shared" si="85"/>
        <v>54.856427887015492</v>
      </c>
      <c r="E242" s="383">
        <f t="shared" si="111"/>
        <v>55.888841092457994</v>
      </c>
      <c r="F242" s="383">
        <f t="shared" si="110"/>
        <v>55.891220971481495</v>
      </c>
      <c r="G242" s="110">
        <f t="shared" si="112"/>
        <v>0.97625168962570441</v>
      </c>
      <c r="I242" s="379">
        <f t="shared" si="86"/>
        <v>55.891220971481495</v>
      </c>
      <c r="J242" s="85">
        <v>2018</v>
      </c>
      <c r="K242" s="197">
        <f t="shared" si="87"/>
        <v>43693</v>
      </c>
      <c r="L242" s="435">
        <f t="shared" si="88"/>
        <v>4.0547278702436351E-3</v>
      </c>
      <c r="M242" s="842"/>
      <c r="N242" s="842"/>
      <c r="O242" s="323">
        <f t="shared" si="89"/>
        <v>1.8472617883318762E-2</v>
      </c>
      <c r="P242" s="169">
        <f>(INDEX(Models!$BJ242:$BT242,,T242)*(1-R242)+INDEX(Models!$BJ242:$BT242,,T242+1)*R242-ERP_i)*Q242*Ramure*Pc/MaxiM</f>
        <v>4.4075781691824382E-5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55.962943661661782</v>
      </c>
      <c r="W242" s="58"/>
      <c r="X242" s="157">
        <f t="shared" si="95"/>
        <v>43693</v>
      </c>
      <c r="Y242" s="383">
        <f t="shared" si="96"/>
        <v>54.634</v>
      </c>
      <c r="Z242" s="383">
        <f t="shared" si="97"/>
        <v>54.856427887015492</v>
      </c>
      <c r="AA242" s="384">
        <f t="shared" si="98"/>
        <v>55.888841092457994</v>
      </c>
      <c r="AB242" s="197">
        <f t="shared" si="99"/>
        <v>43693</v>
      </c>
      <c r="AC242" s="424">
        <f t="shared" si="100"/>
        <v>1.8472617883318762E-2</v>
      </c>
      <c r="AD242" s="169">
        <f>(INDEX(Models!$BJ242:$BT242,,AH242)*(1-AF242)+INDEX(Models!$BJ242:$BT242,,AH242+1)*AF242-ERP_i)*AE242*Ramure*Pc/MaxiM</f>
        <v>4.4075781691824382E-5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53.731999999999999</v>
      </c>
      <c r="C243" s="388"/>
      <c r="D243" s="391">
        <f t="shared" si="85"/>
        <v>53.951789606223159</v>
      </c>
      <c r="E243" s="383">
        <f t="shared" si="111"/>
        <v>54.97154614962183</v>
      </c>
      <c r="F243" s="383">
        <f t="shared" si="110"/>
        <v>54.973908818601828</v>
      </c>
      <c r="G243" s="110">
        <f t="shared" si="112"/>
        <v>0.96317756064518167</v>
      </c>
      <c r="I243" s="379">
        <f t="shared" si="86"/>
        <v>54.973908818601828</v>
      </c>
      <c r="J243" s="85">
        <v>2018</v>
      </c>
      <c r="K243" s="197">
        <f t="shared" si="87"/>
        <v>43694</v>
      </c>
      <c r="L243" s="435">
        <f t="shared" si="88"/>
        <v>4.0738149341723595E-3</v>
      </c>
      <c r="M243" s="842"/>
      <c r="N243" s="842"/>
      <c r="O243" s="323">
        <f t="shared" si="89"/>
        <v>1.8550625092899703E-2</v>
      </c>
      <c r="P243" s="169">
        <f>(INDEX(Models!$BJ243:$BT243,,T243)*(1-R243)+INDEX(Models!$BJ243:$BT243,,T243+1)*R243-ERP_i)*Q243*Ramure*Pc/MaxiM</f>
        <v>4.5364170444257159E-5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55.786050232634544</v>
      </c>
      <c r="W243" s="58"/>
      <c r="X243" s="157">
        <f t="shared" si="95"/>
        <v>43694</v>
      </c>
      <c r="Y243" s="383">
        <f t="shared" si="96"/>
        <v>53.731999999999999</v>
      </c>
      <c r="Z243" s="383">
        <f t="shared" si="97"/>
        <v>53.951789606223159</v>
      </c>
      <c r="AA243" s="384">
        <f t="shared" si="98"/>
        <v>54.97154614962183</v>
      </c>
      <c r="AB243" s="197">
        <f t="shared" si="99"/>
        <v>43694</v>
      </c>
      <c r="AC243" s="424">
        <f t="shared" si="100"/>
        <v>1.8550625092899703E-2</v>
      </c>
      <c r="AD243" s="169">
        <f>(INDEX(Models!$BJ243:$BT243,,AH243)*(1-AF243)+INDEX(Models!$BJ243:$BT243,,AH243+1)*AF243-ERP_i)*AE243*Ramure*Pc/MaxiM</f>
        <v>4.5364170444257159E-5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37.198</v>
      </c>
      <c r="C244" s="388"/>
      <c r="D244" s="391">
        <f t="shared" si="85"/>
        <v>37.350873450915152</v>
      </c>
      <c r="E244" s="383">
        <f t="shared" si="111"/>
        <v>38.05987183497637</v>
      </c>
      <c r="F244" s="383">
        <f t="shared" si="110"/>
        <v>38.060808742942079</v>
      </c>
      <c r="G244" s="110">
        <f t="shared" si="112"/>
        <v>0.66894982507945588</v>
      </c>
      <c r="I244" s="379">
        <f t="shared" si="86"/>
        <v>38.060808742942079</v>
      </c>
      <c r="J244" s="85">
        <v>2018</v>
      </c>
      <c r="K244" s="197">
        <f t="shared" si="87"/>
        <v>43695</v>
      </c>
      <c r="L244" s="435">
        <f t="shared" si="88"/>
        <v>4.0929016323019152E-3</v>
      </c>
      <c r="M244" s="842"/>
      <c r="N244" s="842"/>
      <c r="O244" s="323">
        <f t="shared" si="89"/>
        <v>1.8628501618065427E-2</v>
      </c>
      <c r="P244" s="169">
        <f>(INDEX(Models!$BJ244:$BT244,,T244)*(1-R244)+INDEX(Models!$BJ244:$BT244,,T244+1)*R244-ERP_i)*Q244*Ramure*Pc/MaxiM</f>
        <v>4.6701653697410166E-5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55.605333981871503</v>
      </c>
      <c r="W244" s="58"/>
      <c r="X244" s="157">
        <f t="shared" si="95"/>
        <v>43695</v>
      </c>
      <c r="Y244" s="383">
        <f t="shared" si="96"/>
        <v>37.198</v>
      </c>
      <c r="Z244" s="383">
        <f t="shared" si="97"/>
        <v>37.350873450915152</v>
      </c>
      <c r="AA244" s="384">
        <f t="shared" si="98"/>
        <v>38.05987183497637</v>
      </c>
      <c r="AB244" s="197">
        <f t="shared" si="99"/>
        <v>43695</v>
      </c>
      <c r="AC244" s="424">
        <f t="shared" si="100"/>
        <v>1.8628501618065427E-2</v>
      </c>
      <c r="AD244" s="169">
        <f>(INDEX(Models!$BJ244:$BT244,,AH244)*(1-AF244)+INDEX(Models!$BJ244:$BT244,,AH244+1)*AF244-ERP_i)*AE244*Ramure*Pc/MaxiM</f>
        <v>4.6701653697410166E-5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34.807000000000002</v>
      </c>
      <c r="C245" s="388"/>
      <c r="D245" s="391">
        <f t="shared" si="85"/>
        <v>34.950716927360823</v>
      </c>
      <c r="E245" s="383">
        <f t="shared" si="111"/>
        <v>35.61697682117331</v>
      </c>
      <c r="F245" s="383">
        <f t="shared" si="110"/>
        <v>35.617779529241133</v>
      </c>
      <c r="G245" s="110">
        <f t="shared" si="112"/>
        <v>0.62803582322084772</v>
      </c>
      <c r="I245" s="379">
        <f t="shared" si="86"/>
        <v>35.617779529241133</v>
      </c>
      <c r="J245" s="85">
        <v>2018</v>
      </c>
      <c r="K245" s="197">
        <f t="shared" si="87"/>
        <v>43696</v>
      </c>
      <c r="L245" s="435">
        <f t="shared" si="88"/>
        <v>4.1119879646391855E-3</v>
      </c>
      <c r="M245" s="842"/>
      <c r="N245" s="842"/>
      <c r="O245" s="323">
        <f t="shared" si="89"/>
        <v>1.8706244978557916E-2</v>
      </c>
      <c r="P245" s="169">
        <f>(INDEX(Models!$BJ245:$BT245,,T245)*(1-R245)+INDEX(Models!$BJ245:$BT245,,T245+1)*R245-ERP_i)*Q245*Ramure*Pc/MaxiM</f>
        <v>4.8089062061748427E-5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55.420581585974297</v>
      </c>
      <c r="W245" s="58"/>
      <c r="X245" s="157">
        <f t="shared" si="95"/>
        <v>43696</v>
      </c>
      <c r="Y245" s="383">
        <f t="shared" si="96"/>
        <v>34.807000000000002</v>
      </c>
      <c r="Z245" s="383">
        <f t="shared" si="97"/>
        <v>34.950716927360823</v>
      </c>
      <c r="AA245" s="384">
        <f t="shared" si="98"/>
        <v>35.61697682117331</v>
      </c>
      <c r="AB245" s="197">
        <f t="shared" si="99"/>
        <v>43696</v>
      </c>
      <c r="AC245" s="424">
        <f t="shared" si="100"/>
        <v>1.8706244978557916E-2</v>
      </c>
      <c r="AD245" s="169">
        <f>(INDEX(Models!$BJ245:$BT245,,AH245)*(1-AF245)+INDEX(Models!$BJ245:$BT245,,AH245+1)*AF245-ERP_i)*AE245*Ramure*Pc/MaxiM</f>
        <v>4.8089062061748427E-5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31.306000000000001</v>
      </c>
      <c r="C246" s="388"/>
      <c r="D246" s="391">
        <f t="shared" si="85"/>
        <v>31.435863877769933</v>
      </c>
      <c r="E246" s="383">
        <f t="shared" si="111"/>
        <v>32.037654454546285</v>
      </c>
      <c r="F246" s="383">
        <f t="shared" si="110"/>
        <v>32.038259269843849</v>
      </c>
      <c r="G246" s="110">
        <f t="shared" si="112"/>
        <v>0.56679603558162928</v>
      </c>
      <c r="I246" s="379">
        <f t="shared" si="86"/>
        <v>32.038259269843849</v>
      </c>
      <c r="J246" s="85">
        <v>2018</v>
      </c>
      <c r="K246" s="197">
        <f t="shared" si="87"/>
        <v>43697</v>
      </c>
      <c r="L246" s="435">
        <f t="shared" si="88"/>
        <v>4.1310739311912759E-3</v>
      </c>
      <c r="M246" s="842"/>
      <c r="N246" s="842"/>
      <c r="O246" s="323">
        <f t="shared" si="89"/>
        <v>1.8783852532967115E-2</v>
      </c>
      <c r="P246" s="169">
        <f>(INDEX(Models!$BJ246:$BT246,,T246)*(1-R246)+INDEX(Models!$BJ246:$BT246,,T246+1)*R246-ERP_i)*Q246*Ramure*Pc/MaxiM</f>
        <v>4.9527253475357323E-5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55.231579806904051</v>
      </c>
      <c r="W246" s="58"/>
      <c r="X246" s="157">
        <f t="shared" si="95"/>
        <v>43697</v>
      </c>
      <c r="Y246" s="383">
        <f t="shared" si="96"/>
        <v>31.305999999999997</v>
      </c>
      <c r="Z246" s="383">
        <f t="shared" si="97"/>
        <v>31.435863877769929</v>
      </c>
      <c r="AA246" s="384">
        <f t="shared" si="98"/>
        <v>32.037654454546285</v>
      </c>
      <c r="AB246" s="197">
        <f t="shared" si="99"/>
        <v>43697</v>
      </c>
      <c r="AC246" s="424">
        <f t="shared" si="100"/>
        <v>1.8783852532967115E-2</v>
      </c>
      <c r="AD246" s="169">
        <f>(INDEX(Models!$BJ246:$BT246,,AH246)*(1-AF246)+INDEX(Models!$BJ246:$BT246,,AH246+1)*AF246-ERP_i)*AE246*Ramure*Pc/MaxiM</f>
        <v>4.9527253475357323E-5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49.508000000000003</v>
      </c>
      <c r="C247" s="388"/>
      <c r="D247" s="391">
        <f t="shared" si="85"/>
        <v>49.71432236885429</v>
      </c>
      <c r="E247" s="383">
        <f t="shared" si="111"/>
        <v>50.670026019397341</v>
      </c>
      <c r="F247" s="383">
        <f t="shared" si="110"/>
        <v>50.672240044649257</v>
      </c>
      <c r="G247" s="110">
        <f t="shared" si="112"/>
        <v>0.89950672550704802</v>
      </c>
      <c r="I247" s="379">
        <f t="shared" si="86"/>
        <v>50.672240044649257</v>
      </c>
      <c r="J247" s="85">
        <v>2018</v>
      </c>
      <c r="K247" s="197">
        <f t="shared" si="87"/>
        <v>43698</v>
      </c>
      <c r="L247" s="435">
        <f t="shared" si="88"/>
        <v>4.1501595319651807E-3</v>
      </c>
      <c r="M247" s="842"/>
      <c r="N247" s="842"/>
      <c r="O247" s="323">
        <f t="shared" si="89"/>
        <v>1.8861321487721131E-2</v>
      </c>
      <c r="P247" s="169">
        <f>(INDEX(Models!$BJ247:$BT247,,T247)*(1-R247)+INDEX(Models!$BJ247:$BT247,,T247+1)*R247-ERP_i)*Q247*Ramure*Pc/MaxiM</f>
        <v>5.1016619134173882E-5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55.038651747168572</v>
      </c>
      <c r="W247" s="58"/>
      <c r="X247" s="157">
        <f t="shared" si="95"/>
        <v>43698</v>
      </c>
      <c r="Y247" s="383">
        <f t="shared" si="96"/>
        <v>49.508000000000003</v>
      </c>
      <c r="Z247" s="383">
        <f t="shared" si="97"/>
        <v>49.71432236885429</v>
      </c>
      <c r="AA247" s="384">
        <f t="shared" si="98"/>
        <v>50.670026019397341</v>
      </c>
      <c r="AB247" s="197">
        <f t="shared" si="99"/>
        <v>43698</v>
      </c>
      <c r="AC247" s="424">
        <f t="shared" si="100"/>
        <v>1.8861321487721131E-2</v>
      </c>
      <c r="AD247" s="169">
        <f>(INDEX(Models!$BJ247:$BT247,,AH247)*(1-AF247)+INDEX(Models!$BJ247:$BT247,,AH247+1)*AF247-ERP_i)*AE247*Ramure*Pc/MaxiM</f>
        <v>5.1016619134173882E-5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55.292000000000002</v>
      </c>
      <c r="C248" s="388"/>
      <c r="D248" s="391">
        <f t="shared" si="85"/>
        <v>55.523491024397259</v>
      </c>
      <c r="E248" s="383">
        <f t="shared" si="111"/>
        <v>56.595330110997637</v>
      </c>
      <c r="F248" s="383">
        <f t="shared" si="110"/>
        <v>56.59830554422004</v>
      </c>
      <c r="G248" s="110">
        <f t="shared" si="112"/>
        <v>1.0082005621178334</v>
      </c>
      <c r="I248" s="379">
        <f t="shared" si="86"/>
        <v>56.59830554422004</v>
      </c>
      <c r="J248" s="85">
        <v>2018</v>
      </c>
      <c r="K248" s="197">
        <f t="shared" si="87"/>
        <v>43699</v>
      </c>
      <c r="L248" s="435">
        <f t="shared" si="88"/>
        <v>4.1692447669678945E-3</v>
      </c>
      <c r="M248" s="842"/>
      <c r="N248" s="842"/>
      <c r="O248" s="323">
        <f t="shared" si="89"/>
        <v>1.8938648904392445E-2</v>
      </c>
      <c r="P248" s="169">
        <f>(INDEX(Models!$BJ248:$BT248,,T248)*(1-R248)+INDEX(Models!$BJ248:$BT248,,T248+1)*R248-ERP_i)*Q248*Ramure*Pc/MaxiM</f>
        <v>5.2571065401922324E-5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54.842262618712724</v>
      </c>
      <c r="W248" s="58"/>
      <c r="X248" s="157">
        <f t="shared" si="95"/>
        <v>43699</v>
      </c>
      <c r="Y248" s="383">
        <f t="shared" si="96"/>
        <v>55.292000000000002</v>
      </c>
      <c r="Z248" s="383">
        <f t="shared" si="97"/>
        <v>55.523491024397259</v>
      </c>
      <c r="AA248" s="384">
        <f t="shared" si="98"/>
        <v>56.595330110997637</v>
      </c>
      <c r="AB248" s="197">
        <f t="shared" si="99"/>
        <v>43699</v>
      </c>
      <c r="AC248" s="424">
        <f t="shared" si="100"/>
        <v>1.8938648904392445E-2</v>
      </c>
      <c r="AD248" s="169">
        <f>(INDEX(Models!$BJ248:$BT248,,AH248)*(1-AF248)+INDEX(Models!$BJ248:$BT248,,AH248+1)*AF248-ERP_i)*AE248*Ramure*Pc/MaxiM</f>
        <v>5.2571065401922324E-5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52.670999999999999</v>
      </c>
      <c r="C249" s="388"/>
      <c r="D249" s="391">
        <f t="shared" si="85"/>
        <v>52.892531356614889</v>
      </c>
      <c r="E249" s="383">
        <f t="shared" si="111"/>
        <v>53.917823616415951</v>
      </c>
      <c r="F249" s="383">
        <f t="shared" si="110"/>
        <v>53.920594526150673</v>
      </c>
      <c r="G249" s="110">
        <f t="shared" si="112"/>
        <v>0.96391884896817093</v>
      </c>
      <c r="I249" s="379">
        <f t="shared" si="86"/>
        <v>53.920594526150673</v>
      </c>
      <c r="J249" s="85">
        <v>2018</v>
      </c>
      <c r="K249" s="197">
        <f t="shared" si="87"/>
        <v>43700</v>
      </c>
      <c r="L249" s="435">
        <f t="shared" si="88"/>
        <v>4.1883296362064115E-3</v>
      </c>
      <c r="M249" s="842"/>
      <c r="N249" s="842"/>
      <c r="O249" s="323">
        <f t="shared" si="89"/>
        <v>1.9015831705211809E-2</v>
      </c>
      <c r="P249" s="169">
        <f>(INDEX(Models!$BJ249:$BT249,,T249)*(1-R249)+INDEX(Models!$BJ249:$BT249,,T249+1)*R249-ERP_i)*Q249*Ramure*Pc/MaxiM</f>
        <v>5.4181245825167888E-5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54.642414102711292</v>
      </c>
      <c r="W249" s="58"/>
      <c r="X249" s="157">
        <f t="shared" si="95"/>
        <v>43700</v>
      </c>
      <c r="Y249" s="383">
        <f t="shared" si="96"/>
        <v>52.670999999999999</v>
      </c>
      <c r="Z249" s="383">
        <f t="shared" si="97"/>
        <v>52.892531356614889</v>
      </c>
      <c r="AA249" s="384">
        <f t="shared" si="98"/>
        <v>53.917823616415951</v>
      </c>
      <c r="AB249" s="197">
        <f t="shared" si="99"/>
        <v>43700</v>
      </c>
      <c r="AC249" s="424">
        <f t="shared" si="100"/>
        <v>1.9015831705211809E-2</v>
      </c>
      <c r="AD249" s="169">
        <f>(INDEX(Models!$BJ249:$BT249,,AH249)*(1-AF249)+INDEX(Models!$BJ249:$BT249,,AH249+1)*AF249-ERP_i)*AE249*Ramure*Pc/MaxiM</f>
        <v>5.4181245825167888E-5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52.460999999999999</v>
      </c>
      <c r="C250" s="388"/>
      <c r="D250" s="391">
        <f t="shared" si="85"/>
        <v>52.682657759172272</v>
      </c>
      <c r="E250" s="383">
        <f t="shared" si="111"/>
        <v>53.70809933931757</v>
      </c>
      <c r="F250" s="383">
        <f t="shared" si="110"/>
        <v>53.710943273979339</v>
      </c>
      <c r="G250" s="110">
        <f t="shared" si="112"/>
        <v>0.9636610606394812</v>
      </c>
      <c r="I250" s="379">
        <f t="shared" si="86"/>
        <v>53.710943273979339</v>
      </c>
      <c r="J250" s="85">
        <v>2018</v>
      </c>
      <c r="K250" s="197">
        <f t="shared" si="87"/>
        <v>43701</v>
      </c>
      <c r="L250" s="435">
        <f t="shared" si="88"/>
        <v>4.2074141396878373E-3</v>
      </c>
      <c r="M250" s="842"/>
      <c r="N250" s="842"/>
      <c r="O250" s="323">
        <f t="shared" si="89"/>
        <v>1.9092866676713938E-2</v>
      </c>
      <c r="P250" s="169">
        <f>(INDEX(Models!$BJ250:$BT250,,T250)*(1-R250)+INDEX(Models!$BJ250:$BT250,,T250+1)*R250-ERP_i)*Q250*Ramure*Pc/MaxiM</f>
        <v>5.5847882321157423E-5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54.439107327773876</v>
      </c>
      <c r="W250" s="58"/>
      <c r="X250" s="157">
        <f t="shared" si="95"/>
        <v>43701</v>
      </c>
      <c r="Y250" s="383">
        <f t="shared" si="96"/>
        <v>52.460999999999999</v>
      </c>
      <c r="Z250" s="383">
        <f t="shared" si="97"/>
        <v>52.682657759172272</v>
      </c>
      <c r="AA250" s="384">
        <f t="shared" si="98"/>
        <v>53.70809933931757</v>
      </c>
      <c r="AB250" s="197">
        <f t="shared" si="99"/>
        <v>43701</v>
      </c>
      <c r="AC250" s="424">
        <f t="shared" si="100"/>
        <v>1.9092866676713938E-2</v>
      </c>
      <c r="AD250" s="169">
        <f>(INDEX(Models!$BJ250:$BT250,,AH250)*(1-AF250)+INDEX(Models!$BJ250:$BT250,,AH250+1)*AF250-ERP_i)*AE250*Ramure*Pc/MaxiM</f>
        <v>5.5847882321157423E-5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46.57</v>
      </c>
      <c r="C251" s="388"/>
      <c r="D251" s="391">
        <f t="shared" si="85"/>
        <v>46.767663449006136</v>
      </c>
      <c r="E251" s="383">
        <f t="shared" si="111"/>
        <v>47.681709930425576</v>
      </c>
      <c r="F251" s="383">
        <f t="shared" si="110"/>
        <v>47.683901077215175</v>
      </c>
      <c r="G251" s="110">
        <f t="shared" si="112"/>
        <v>0.85870268332126787</v>
      </c>
      <c r="I251" s="379">
        <f t="shared" si="86"/>
        <v>47.683901077215175</v>
      </c>
      <c r="J251" s="85">
        <v>2018</v>
      </c>
      <c r="K251" s="197">
        <f t="shared" si="87"/>
        <v>43702</v>
      </c>
      <c r="L251" s="435">
        <f t="shared" si="88"/>
        <v>4.2264982774190551E-3</v>
      </c>
      <c r="M251" s="842"/>
      <c r="N251" s="842"/>
      <c r="O251" s="323">
        <f t="shared" si="89"/>
        <v>1.9169750471473498E-2</v>
      </c>
      <c r="P251" s="169">
        <f>(INDEX(Models!$BJ251:$BT251,,T251)*(1-R251)+INDEX(Models!$BJ251:$BT251,,T251+1)*R251-ERP_i)*Q251*Ramure*Pc/MaxiM</f>
        <v>5.7571722123673963E-5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54.232343424474493</v>
      </c>
      <c r="W251" s="58"/>
      <c r="X251" s="157">
        <f t="shared" si="95"/>
        <v>43702</v>
      </c>
      <c r="Y251" s="383">
        <f t="shared" si="96"/>
        <v>46.57</v>
      </c>
      <c r="Z251" s="383">
        <f t="shared" si="97"/>
        <v>46.767663449006136</v>
      </c>
      <c r="AA251" s="384">
        <f t="shared" si="98"/>
        <v>47.681709930425576</v>
      </c>
      <c r="AB251" s="197">
        <f t="shared" si="99"/>
        <v>43702</v>
      </c>
      <c r="AC251" s="424">
        <f t="shared" si="100"/>
        <v>1.9169750471473498E-2</v>
      </c>
      <c r="AD251" s="169">
        <f>(INDEX(Models!$BJ251:$BT251,,AH251)*(1-AF251)+INDEX(Models!$BJ251:$BT251,,AH251+1)*AF251-ERP_i)*AE251*Ramure*Pc/MaxiM</f>
        <v>5.7571722123673963E-5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43.43</v>
      </c>
      <c r="C252" s="388"/>
      <c r="D252" s="391">
        <f t="shared" si="85"/>
        <v>43.615171790435276</v>
      </c>
      <c r="E252" s="383">
        <f t="shared" si="111"/>
        <v>44.471083593968906</v>
      </c>
      <c r="F252" s="383">
        <f t="shared" si="110"/>
        <v>44.472983860693894</v>
      </c>
      <c r="G252" s="110">
        <f t="shared" si="112"/>
        <v>0.80391652736889652</v>
      </c>
      <c r="I252" s="379">
        <f t="shared" si="86"/>
        <v>44.472983860693894</v>
      </c>
      <c r="J252" s="85">
        <v>2018</v>
      </c>
      <c r="K252" s="197">
        <f t="shared" si="87"/>
        <v>43703</v>
      </c>
      <c r="L252" s="435">
        <f t="shared" si="88"/>
        <v>4.2455820494070595E-3</v>
      </c>
      <c r="M252" s="842"/>
      <c r="N252" s="842"/>
      <c r="O252" s="323">
        <f t="shared" si="89"/>
        <v>1.9246479607924503E-2</v>
      </c>
      <c r="P252" s="169">
        <f>(INDEX(Models!$BJ252:$BT252,,T252)*(1-R252)+INDEX(Models!$BJ252:$BT252,,T252+1)*R252-ERP_i)*Q252*Ramure*Pc/MaxiM</f>
        <v>5.9353483513067325E-5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54.022123529440613</v>
      </c>
      <c r="W252" s="58"/>
      <c r="X252" s="157">
        <f t="shared" si="95"/>
        <v>43703</v>
      </c>
      <c r="Y252" s="383">
        <f t="shared" si="96"/>
        <v>43.43</v>
      </c>
      <c r="Z252" s="383">
        <f t="shared" si="97"/>
        <v>43.615171790435276</v>
      </c>
      <c r="AA252" s="384">
        <f t="shared" si="98"/>
        <v>44.471083593968906</v>
      </c>
      <c r="AB252" s="197">
        <f t="shared" si="99"/>
        <v>43703</v>
      </c>
      <c r="AC252" s="424">
        <f t="shared" si="100"/>
        <v>1.9246479607924503E-2</v>
      </c>
      <c r="AD252" s="169">
        <f>(INDEX(Models!$BJ252:$BT252,,AH252)*(1-AF252)+INDEX(Models!$BJ252:$BT252,,AH252+1)*AF252-ERP_i)*AE252*Ramure*Pc/MaxiM</f>
        <v>5.9353483513067325E-5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31.706</v>
      </c>
      <c r="C253" s="388"/>
      <c r="D253" s="391">
        <f t="shared" si="85"/>
        <v>31.841794601483137</v>
      </c>
      <c r="E253" s="383">
        <f t="shared" si="111"/>
        <v>32.46919856400033</v>
      </c>
      <c r="F253" s="383">
        <f t="shared" si="110"/>
        <v>32.470019573915089</v>
      </c>
      <c r="G253" s="110">
        <f t="shared" si="112"/>
        <v>0.58921716139473668</v>
      </c>
      <c r="I253" s="379">
        <f t="shared" si="86"/>
        <v>32.470019573915089</v>
      </c>
      <c r="J253" s="85">
        <v>2018</v>
      </c>
      <c r="K253" s="197">
        <f t="shared" si="87"/>
        <v>43704</v>
      </c>
      <c r="L253" s="435">
        <f t="shared" si="88"/>
        <v>4.2646654556590669E-3</v>
      </c>
      <c r="M253" s="842"/>
      <c r="N253" s="842"/>
      <c r="O253" s="323">
        <f t="shared" si="89"/>
        <v>1.9323050468292628E-2</v>
      </c>
      <c r="P253" s="169">
        <f>(INDEX(Models!$BJ253:$BT253,,T253)*(1-R253)+INDEX(Models!$BJ253:$BT253,,T253+1)*R253-ERP_i)*Q253*Ramure*Pc/MaxiM</f>
        <v>6.1193889786717107E-5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53.808448780148368</v>
      </c>
      <c r="W253" s="58"/>
      <c r="X253" s="157">
        <f t="shared" si="95"/>
        <v>43704</v>
      </c>
      <c r="Y253" s="383">
        <f t="shared" si="96"/>
        <v>31.706</v>
      </c>
      <c r="Z253" s="383">
        <f t="shared" si="97"/>
        <v>31.841794601483137</v>
      </c>
      <c r="AA253" s="384">
        <f t="shared" si="98"/>
        <v>32.46919856400033</v>
      </c>
      <c r="AB253" s="197">
        <f t="shared" si="99"/>
        <v>43704</v>
      </c>
      <c r="AC253" s="424">
        <f t="shared" si="100"/>
        <v>1.9323050468292628E-2</v>
      </c>
      <c r="AD253" s="169">
        <f>(INDEX(Models!$BJ253:$BT253,,AH253)*(1-AF253)+INDEX(Models!$BJ253:$BT253,,AH253+1)*AF253-ERP_i)*AE253*Ramure*Pc/MaxiM</f>
        <v>6.1193889786717107E-5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38.909999999999997</v>
      </c>
      <c r="C254" s="388"/>
      <c r="D254" s="391">
        <f t="shared" si="85"/>
        <v>39.077397743819787</v>
      </c>
      <c r="E254" s="383">
        <f t="shared" si="111"/>
        <v>39.85047541959689</v>
      </c>
      <c r="F254" s="383">
        <f t="shared" si="110"/>
        <v>39.852005552758627</v>
      </c>
      <c r="G254" s="110">
        <f t="shared" si="112"/>
        <v>0.72603247546182448</v>
      </c>
      <c r="I254" s="379">
        <f t="shared" si="86"/>
        <v>39.852005552758627</v>
      </c>
      <c r="J254" s="85">
        <v>2018</v>
      </c>
      <c r="K254" s="197">
        <f t="shared" si="87"/>
        <v>43705</v>
      </c>
      <c r="L254" s="435">
        <f t="shared" si="88"/>
        <v>4.2837484961818495E-3</v>
      </c>
      <c r="M254" s="842"/>
      <c r="N254" s="842"/>
      <c r="O254" s="323">
        <f t="shared" si="89"/>
        <v>1.9399459294704734E-2</v>
      </c>
      <c r="P254" s="169">
        <f>(INDEX(Models!$BJ254:$BT254,,T254)*(1-R254)+INDEX(Models!$BJ254:$BT254,,T254+1)*R254-ERP_i)*Q254*Ramure*Pc/MaxiM</f>
        <v>6.3083547363801181E-5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53.591320859348556</v>
      </c>
      <c r="W254" s="58"/>
      <c r="X254" s="157">
        <f t="shared" si="95"/>
        <v>43705</v>
      </c>
      <c r="Y254" s="383">
        <f t="shared" si="96"/>
        <v>38.909999999999997</v>
      </c>
      <c r="Z254" s="383">
        <f t="shared" si="97"/>
        <v>39.077397743819787</v>
      </c>
      <c r="AA254" s="384">
        <f t="shared" si="98"/>
        <v>39.85047541959689</v>
      </c>
      <c r="AB254" s="197">
        <f t="shared" si="99"/>
        <v>43705</v>
      </c>
      <c r="AC254" s="424">
        <f t="shared" si="100"/>
        <v>1.9399459294704734E-2</v>
      </c>
      <c r="AD254" s="169">
        <f>(INDEX(Models!$BJ254:$BT254,,AH254)*(1-AF254)+INDEX(Models!$BJ254:$BT254,,AH254+1)*AF254-ERP_i)*AE254*Ramure*Pc/MaxiM</f>
        <v>6.3083547363801181E-5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50.046999999999997</v>
      </c>
      <c r="C255" s="388"/>
      <c r="D255" s="391">
        <f t="shared" si="85"/>
        <v>50.263274383774146</v>
      </c>
      <c r="E255" s="383">
        <f t="shared" si="111"/>
        <v>51.261630635475143</v>
      </c>
      <c r="F255" s="383">
        <f t="shared" si="110"/>
        <v>51.264666030068604</v>
      </c>
      <c r="G255" s="110">
        <f t="shared" si="112"/>
        <v>0.93771808698252879</v>
      </c>
      <c r="I255" s="379">
        <f t="shared" si="86"/>
        <v>51.264666030068604</v>
      </c>
      <c r="J255" s="85">
        <v>2018</v>
      </c>
      <c r="K255" s="197">
        <f t="shared" si="87"/>
        <v>43706</v>
      </c>
      <c r="L255" s="435">
        <f t="shared" si="88"/>
        <v>4.3028311709825129E-3</v>
      </c>
      <c r="M255" s="842"/>
      <c r="N255" s="842"/>
      <c r="O255" s="323">
        <f t="shared" si="89"/>
        <v>1.9475702183576228E-2</v>
      </c>
      <c r="P255" s="169">
        <f>(INDEX(Models!$BJ255:$BT255,,T255)*(1-R255)+INDEX(Models!$BJ255:$BT255,,T255+1)*R255-ERP_i)*Q255*Ramure*Pc/MaxiM</f>
        <v>6.4992409255395175E-5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53.370742549144424</v>
      </c>
      <c r="W255" s="58"/>
      <c r="X255" s="157">
        <f t="shared" si="95"/>
        <v>43706</v>
      </c>
      <c r="Y255" s="383">
        <f t="shared" si="96"/>
        <v>50.046999999999997</v>
      </c>
      <c r="Z255" s="383">
        <f t="shared" si="97"/>
        <v>50.263274383774146</v>
      </c>
      <c r="AA255" s="384">
        <f t="shared" si="98"/>
        <v>51.261630635475143</v>
      </c>
      <c r="AB255" s="197">
        <f t="shared" si="99"/>
        <v>43706</v>
      </c>
      <c r="AC255" s="424">
        <f t="shared" si="100"/>
        <v>1.9475702183576228E-2</v>
      </c>
      <c r="AD255" s="169">
        <f>(INDEX(Models!$BJ255:$BT255,,AH255)*(1-AF255)+INDEX(Models!$BJ255:$BT255,,AH255+1)*AF255-ERP_i)*AE255*Ramure*Pc/MaxiM</f>
        <v>6.4992409255395175E-5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49.268000000000001</v>
      </c>
      <c r="C256" s="388"/>
      <c r="D256" s="391">
        <f t="shared" si="85"/>
        <v>49.481856301769405</v>
      </c>
      <c r="E256" s="383">
        <f t="shared" si="111"/>
        <v>50.468607157432189</v>
      </c>
      <c r="F256" s="383">
        <f t="shared" si="110"/>
        <v>50.471632607079094</v>
      </c>
      <c r="G256" s="110">
        <f t="shared" si="112"/>
        <v>0.92701225721692226</v>
      </c>
      <c r="I256" s="379">
        <f t="shared" si="86"/>
        <v>50.471632607079094</v>
      </c>
      <c r="J256" s="85">
        <v>2018</v>
      </c>
      <c r="K256" s="197">
        <f t="shared" si="87"/>
        <v>43707</v>
      </c>
      <c r="L256" s="435">
        <f t="shared" si="88"/>
        <v>4.3219134800680514E-3</v>
      </c>
      <c r="M256" s="842"/>
      <c r="N256" s="842"/>
      <c r="O256" s="323">
        <f t="shared" si="89"/>
        <v>1.9551775078410771E-2</v>
      </c>
      <c r="P256" s="169">
        <f>(INDEX(Models!$BJ256:$BT256,,T256)*(1-R256)+INDEX(Models!$BJ256:$BT256,,T256+1)*R256-ERP_i)*Q256*Ramure*Pc/MaxiM</f>
        <v>6.6920643014236993E-5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53.146714996715247</v>
      </c>
      <c r="W256" s="58"/>
      <c r="X256" s="157">
        <f t="shared" si="95"/>
        <v>43707</v>
      </c>
      <c r="Y256" s="383">
        <f t="shared" si="96"/>
        <v>49.268000000000001</v>
      </c>
      <c r="Z256" s="383">
        <f t="shared" si="97"/>
        <v>49.481856301769405</v>
      </c>
      <c r="AA256" s="384">
        <f t="shared" si="98"/>
        <v>50.468607157432189</v>
      </c>
      <c r="AB256" s="197">
        <f t="shared" si="99"/>
        <v>43707</v>
      </c>
      <c r="AC256" s="424">
        <f t="shared" si="100"/>
        <v>1.9551775078410771E-2</v>
      </c>
      <c r="AD256" s="169">
        <f>(INDEX(Models!$BJ256:$BT256,,AH256)*(1-AF256)+INDEX(Models!$BJ256:$BT256,,AH256+1)*AF256-ERP_i)*AE256*Ramure*Pc/MaxiM</f>
        <v>6.6920643014236993E-5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46.918999999999997</v>
      </c>
      <c r="C257" s="388"/>
      <c r="D257" s="391">
        <f t="shared" si="85"/>
        <v>47.123563172066383</v>
      </c>
      <c r="E257" s="383">
        <f t="shared" si="111"/>
        <v>48.067006698215451</v>
      </c>
      <c r="F257" s="383">
        <f t="shared" si="110"/>
        <v>48.069780960366188</v>
      </c>
      <c r="G257" s="110">
        <f t="shared" si="112"/>
        <v>0.88660527157392177</v>
      </c>
      <c r="I257" s="379">
        <f t="shared" si="86"/>
        <v>48.069780960366188</v>
      </c>
      <c r="J257" s="85">
        <v>2018</v>
      </c>
      <c r="K257" s="197">
        <f t="shared" si="87"/>
        <v>43708</v>
      </c>
      <c r="L257" s="435">
        <f t="shared" si="88"/>
        <v>4.3409954234455705E-3</v>
      </c>
      <c r="M257" s="842"/>
      <c r="N257" s="842"/>
      <c r="O257" s="323">
        <f t="shared" si="89"/>
        <v>1.9627673761180808E-2</v>
      </c>
      <c r="P257" s="169">
        <f>(INDEX(Models!$BJ257:$BT257,,T257)*(1-R257)+INDEX(Models!$BJ257:$BT257,,T257+1)*R257-ERP_i)*Q257*Ramure*Pc/MaxiM</f>
        <v>6.8868418428351164E-5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52.919239354448429</v>
      </c>
      <c r="W257" s="58"/>
      <c r="X257" s="157">
        <f t="shared" si="95"/>
        <v>43708</v>
      </c>
      <c r="Y257" s="383">
        <f t="shared" si="96"/>
        <v>46.918999999999997</v>
      </c>
      <c r="Z257" s="383">
        <f t="shared" si="97"/>
        <v>47.123563172066383</v>
      </c>
      <c r="AA257" s="384">
        <f t="shared" si="98"/>
        <v>48.067006698215451</v>
      </c>
      <c r="AB257" s="197">
        <f t="shared" si="99"/>
        <v>43708</v>
      </c>
      <c r="AC257" s="424">
        <f t="shared" si="100"/>
        <v>1.9627673761180808E-2</v>
      </c>
      <c r="AD257" s="169">
        <f>(INDEX(Models!$BJ257:$BT257,,AH257)*(1-AF257)+INDEX(Models!$BJ257:$BT257,,AH257+1)*AF257-ERP_i)*AE257*Ramure*Pc/MaxiM</f>
        <v>6.8868418428351164E-5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17.100000000000001</v>
      </c>
      <c r="C258" s="388"/>
      <c r="D258" s="391">
        <f t="shared" si="85"/>
        <v>17.174883815922747</v>
      </c>
      <c r="E258" s="383">
        <f t="shared" si="111"/>
        <v>17.520089030241056</v>
      </c>
      <c r="F258" s="383">
        <f t="shared" si="110"/>
        <v>17.520132556022755</v>
      </c>
      <c r="G258" s="110">
        <f t="shared" si="112"/>
        <v>0.32452794531655421</v>
      </c>
      <c r="I258" s="379">
        <f t="shared" si="86"/>
        <v>17.520132556022755</v>
      </c>
      <c r="J258" s="85">
        <v>2018</v>
      </c>
      <c r="K258" s="197">
        <f t="shared" si="87"/>
        <v>43709</v>
      </c>
      <c r="L258" s="435">
        <f t="shared" si="88"/>
        <v>4.3600770011219536E-3</v>
      </c>
      <c r="M258" s="842"/>
      <c r="N258" s="842"/>
      <c r="O258" s="323">
        <f t="shared" si="89"/>
        <v>1.9703393842488901E-2</v>
      </c>
      <c r="P258" s="169">
        <f>(INDEX(Models!$BJ258:$BT258,,T258)*(1-R258)+INDEX(Models!$BJ258:$BT258,,T258+1)*R258-ERP_i)*Q258*Ramure*Pc/MaxiM</f>
        <v>7.0835906400186334E-5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52.688316774853199</v>
      </c>
      <c r="W258" s="58"/>
      <c r="X258" s="157">
        <f t="shared" si="95"/>
        <v>43709</v>
      </c>
      <c r="Y258" s="383">
        <f t="shared" si="96"/>
        <v>17.100000000000001</v>
      </c>
      <c r="Z258" s="383">
        <f t="shared" si="97"/>
        <v>17.174883815922747</v>
      </c>
      <c r="AA258" s="384">
        <f t="shared" si="98"/>
        <v>17.520089030241056</v>
      </c>
      <c r="AB258" s="197">
        <f t="shared" si="99"/>
        <v>43709</v>
      </c>
      <c r="AC258" s="424">
        <f t="shared" si="100"/>
        <v>1.9703393842488901E-2</v>
      </c>
      <c r="AD258" s="169">
        <f>(INDEX(Models!$BJ258:$BT258,,AH258)*(1-AF258)+INDEX(Models!$BJ258:$BT258,,AH258+1)*AF258-ERP_i)*AE258*Ramure*Pc/MaxiM</f>
        <v>7.0835906400186334E-5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51.182000000000002</v>
      </c>
      <c r="C259" s="388"/>
      <c r="D259" s="391">
        <f t="shared" si="85"/>
        <v>51.407119911371922</v>
      </c>
      <c r="E259" s="383">
        <f t="shared" si="111"/>
        <v>52.444414351085129</v>
      </c>
      <c r="F259" s="383">
        <f t="shared" si="110"/>
        <v>52.448101483562709</v>
      </c>
      <c r="G259" s="110">
        <f t="shared" si="112"/>
        <v>0.9757486790304658</v>
      </c>
      <c r="I259" s="379">
        <f t="shared" si="86"/>
        <v>52.448101483562709</v>
      </c>
      <c r="J259" s="85">
        <v>2018</v>
      </c>
      <c r="K259" s="197">
        <f t="shared" si="87"/>
        <v>43710</v>
      </c>
      <c r="L259" s="435">
        <f t="shared" si="88"/>
        <v>4.3791582131043061E-3</v>
      </c>
      <c r="M259" s="842"/>
      <c r="N259" s="842"/>
      <c r="O259" s="323">
        <f t="shared" si="89"/>
        <v>1.9778930750739707E-2</v>
      </c>
      <c r="P259" s="169">
        <f>(INDEX(Models!$BJ259:$BT259,,T259)*(1-R259)+INDEX(Models!$BJ259:$BT259,,T259+1)*R259-ERP_i)*Q259*Ramure*Pc/MaxiM</f>
        <v>7.2823277712907701E-5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52.453948413821799</v>
      </c>
      <c r="W259" s="58"/>
      <c r="X259" s="157">
        <f t="shared" si="95"/>
        <v>43710</v>
      </c>
      <c r="Y259" s="383">
        <f t="shared" si="96"/>
        <v>51.182000000000002</v>
      </c>
      <c r="Z259" s="383">
        <f t="shared" si="97"/>
        <v>51.407119911371922</v>
      </c>
      <c r="AA259" s="384">
        <f t="shared" si="98"/>
        <v>52.444414351085129</v>
      </c>
      <c r="AB259" s="197">
        <f t="shared" si="99"/>
        <v>43710</v>
      </c>
      <c r="AC259" s="424">
        <f t="shared" si="100"/>
        <v>1.9778930750739707E-2</v>
      </c>
      <c r="AD259" s="169">
        <f>(INDEX(Models!$BJ259:$BT259,,AH259)*(1-AF259)+INDEX(Models!$BJ259:$BT259,,AH259+1)*AF259-ERP_i)*AE259*Ramure*Pc/MaxiM</f>
        <v>7.2823277712907701E-5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52.366999999999997</v>
      </c>
      <c r="C260" s="388"/>
      <c r="D260" s="391">
        <f t="shared" si="85"/>
        <v>52.598340073772043</v>
      </c>
      <c r="E260" s="383">
        <f t="shared" si="111"/>
        <v>53.663796092255836</v>
      </c>
      <c r="F260" s="383">
        <f t="shared" si="110"/>
        <v>53.667812092293481</v>
      </c>
      <c r="G260" s="110">
        <f t="shared" si="112"/>
        <v>1.0028892328082124</v>
      </c>
      <c r="I260" s="379">
        <f t="shared" si="86"/>
        <v>53.667812092293481</v>
      </c>
      <c r="J260" s="85">
        <v>2018</v>
      </c>
      <c r="K260" s="197">
        <f t="shared" si="87"/>
        <v>43711</v>
      </c>
      <c r="L260" s="435">
        <f t="shared" si="88"/>
        <v>4.3982390593995113E-3</v>
      </c>
      <c r="M260" s="842"/>
      <c r="N260" s="842"/>
      <c r="O260" s="323">
        <f t="shared" si="89"/>
        <v>1.9854279720579678E-2</v>
      </c>
      <c r="P260" s="169">
        <f>(INDEX(Models!$BJ260:$BT260,,T260)*(1-R260)+INDEX(Models!$BJ260:$BT260,,T260+1)*R260-ERP_i)*Q260*Ramure*Pc/MaxiM</f>
        <v>7.48307017014304E-5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52.216135428402197</v>
      </c>
      <c r="W260" s="58"/>
      <c r="X260" s="157">
        <f t="shared" si="95"/>
        <v>43711</v>
      </c>
      <c r="Y260" s="383">
        <f t="shared" si="96"/>
        <v>52.366999999999997</v>
      </c>
      <c r="Z260" s="383">
        <f t="shared" si="97"/>
        <v>52.598340073772043</v>
      </c>
      <c r="AA260" s="384">
        <f t="shared" si="98"/>
        <v>53.663796092255836</v>
      </c>
      <c r="AB260" s="197">
        <f t="shared" si="99"/>
        <v>43711</v>
      </c>
      <c r="AC260" s="424">
        <f t="shared" si="100"/>
        <v>1.9854279720579678E-2</v>
      </c>
      <c r="AD260" s="169">
        <f>(INDEX(Models!$BJ260:$BT260,,AH260)*(1-AF260)+INDEX(Models!$BJ260:$BT260,,AH260+1)*AF260-ERP_i)*AE260*Ramure*Pc/MaxiM</f>
        <v>7.48307017014304E-5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52.093000000000004</v>
      </c>
      <c r="C261" s="388"/>
      <c r="D261" s="391">
        <f t="shared" si="85"/>
        <v>52.324132412520143</v>
      </c>
      <c r="E261" s="383">
        <f t="shared" si="111"/>
        <v>53.388127674470248</v>
      </c>
      <c r="F261" s="383">
        <f t="shared" ref="F261:F292" si="113">Wh_sa/(1-Pvg*MEDIAN((-Sdif+Wh/Env_an)/Csdif,0,1))</f>
        <v>53.392231312994895</v>
      </c>
      <c r="G261" s="110">
        <f t="shared" si="112"/>
        <v>1.0022726559456219</v>
      </c>
      <c r="I261" s="379">
        <f t="shared" si="86"/>
        <v>53.392231312994895</v>
      </c>
      <c r="J261" s="85">
        <v>2018</v>
      </c>
      <c r="K261" s="197">
        <f t="shared" si="87"/>
        <v>43712</v>
      </c>
      <c r="L261" s="435">
        <f t="shared" si="88"/>
        <v>4.4173195400146748E-3</v>
      </c>
      <c r="M261" s="842"/>
      <c r="N261" s="842"/>
      <c r="O261" s="323">
        <f t="shared" si="89"/>
        <v>1.9929435780886181E-2</v>
      </c>
      <c r="P261" s="169">
        <f>(INDEX(Models!$BJ261:$BT261,,T261)*(1-R261)+INDEX(Models!$BJ261:$BT261,,T261+1)*R261-ERP_i)*Q261*Ramure*Pc/MaxiM</f>
        <v>7.6858344814128939E-5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51.974878982257998</v>
      </c>
      <c r="W261" s="58"/>
      <c r="X261" s="157">
        <f t="shared" si="95"/>
        <v>43712</v>
      </c>
      <c r="Y261" s="383">
        <f t="shared" si="96"/>
        <v>52.093000000000004</v>
      </c>
      <c r="Z261" s="383">
        <f t="shared" si="97"/>
        <v>52.324132412520143</v>
      </c>
      <c r="AA261" s="384">
        <f t="shared" si="98"/>
        <v>53.388127674470248</v>
      </c>
      <c r="AB261" s="197">
        <f t="shared" si="99"/>
        <v>43712</v>
      </c>
      <c r="AC261" s="424">
        <f t="shared" si="100"/>
        <v>1.9929435780886181E-2</v>
      </c>
      <c r="AD261" s="169">
        <f>(INDEX(Models!$BJ261:$BT261,,AH261)*(1-AF261)+INDEX(Models!$BJ261:$BT261,,AH261+1)*AF261-ERP_i)*AE261*Ramure*Pc/MaxiM</f>
        <v>7.6858344814128939E-5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37.435000000000002</v>
      </c>
      <c r="C262" s="388"/>
      <c r="D262" s="391">
        <f t="shared" si="85"/>
        <v>37.601816686574068</v>
      </c>
      <c r="E262" s="383">
        <f t="shared" si="111"/>
        <v>38.36937272624683</v>
      </c>
      <c r="F262" s="383">
        <f t="shared" si="113"/>
        <v>38.371206188153231</v>
      </c>
      <c r="G262" s="110">
        <f t="shared" si="112"/>
        <v>0.72363627265820074</v>
      </c>
      <c r="I262" s="379">
        <f t="shared" si="86"/>
        <v>38.371206188153231</v>
      </c>
      <c r="J262" s="85">
        <v>2018</v>
      </c>
      <c r="K262" s="197">
        <f t="shared" si="87"/>
        <v>43713</v>
      </c>
      <c r="L262" s="435">
        <f t="shared" si="88"/>
        <v>4.4363996549567908E-3</v>
      </c>
      <c r="M262" s="842"/>
      <c r="N262" s="842"/>
      <c r="O262" s="323">
        <f t="shared" si="89"/>
        <v>2.0004393742608824E-2</v>
      </c>
      <c r="P262" s="169">
        <f>(INDEX(Models!$BJ262:$BT262,,T262)*(1-R262)+INDEX(Models!$BJ262:$BT262,,T262+1)*R262-ERP_i)*Q262*Ramure*Pc/MaxiM</f>
        <v>7.8949288286537904E-5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51.730178018876984</v>
      </c>
      <c r="W262" s="58"/>
      <c r="X262" s="157">
        <f t="shared" si="95"/>
        <v>43713</v>
      </c>
      <c r="Y262" s="383">
        <f t="shared" si="96"/>
        <v>37.435000000000002</v>
      </c>
      <c r="Z262" s="383">
        <f t="shared" si="97"/>
        <v>37.601816686574068</v>
      </c>
      <c r="AA262" s="384">
        <f t="shared" si="98"/>
        <v>38.36937272624683</v>
      </c>
      <c r="AB262" s="197">
        <f t="shared" si="99"/>
        <v>43713</v>
      </c>
      <c r="AC262" s="424">
        <f t="shared" si="100"/>
        <v>2.0004393742608824E-2</v>
      </c>
      <c r="AD262" s="169">
        <f>(INDEX(Models!$BJ262:$BT262,,AH262)*(1-AF262)+INDEX(Models!$BJ262:$BT262,,AH262+1)*AF262-ERP_i)*AE262*Ramure*Pc/MaxiM</f>
        <v>7.8949288286537904E-5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53.093000000000004</v>
      </c>
      <c r="C263" s="388"/>
      <c r="D263" s="391">
        <f t="shared" si="85"/>
        <v>53.330613449840875</v>
      </c>
      <c r="E263" s="383">
        <f t="shared" si="111"/>
        <v>54.423388737120455</v>
      </c>
      <c r="F263" s="383">
        <f t="shared" si="113"/>
        <v>54.427802265876565</v>
      </c>
      <c r="G263" s="110">
        <f t="shared" si="112"/>
        <v>1.0312918001857614</v>
      </c>
      <c r="I263" s="379">
        <f t="shared" si="86"/>
        <v>54.427802265876565</v>
      </c>
      <c r="J263" s="85">
        <v>2018</v>
      </c>
      <c r="K263" s="197">
        <f t="shared" si="87"/>
        <v>43714</v>
      </c>
      <c r="L263" s="435">
        <f t="shared" si="88"/>
        <v>4.4554794042328538E-3</v>
      </c>
      <c r="M263" s="842"/>
      <c r="N263" s="842"/>
      <c r="O263" s="323">
        <f t="shared" si="89"/>
        <v>2.0079148186783722E-2</v>
      </c>
      <c r="P263" s="169">
        <f>(INDEX(Models!$BJ263:$BT263,,T263)*(1-R263)+INDEX(Models!$BJ263:$BT263,,T263+1)*R263-ERP_i)*Q263*Ramure*Pc/MaxiM</f>
        <v>8.1089600762338038E-5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51.482034464384022</v>
      </c>
      <c r="W263" s="58"/>
      <c r="X263" s="157">
        <f t="shared" si="95"/>
        <v>43714</v>
      </c>
      <c r="Y263" s="383">
        <f t="shared" si="96"/>
        <v>53.093000000000004</v>
      </c>
      <c r="Z263" s="383">
        <f t="shared" si="97"/>
        <v>53.330613449840875</v>
      </c>
      <c r="AA263" s="384">
        <f t="shared" si="98"/>
        <v>54.423388737120455</v>
      </c>
      <c r="AB263" s="197">
        <f t="shared" si="99"/>
        <v>43714</v>
      </c>
      <c r="AC263" s="424">
        <f t="shared" si="100"/>
        <v>2.0079148186783722E-2</v>
      </c>
      <c r="AD263" s="169">
        <f>(INDEX(Models!$BJ263:$BT263,,AH263)*(1-AF263)+INDEX(Models!$BJ263:$BT263,,AH263+1)*AF263-ERP_i)*AE263*Ramure*Pc/MaxiM</f>
        <v>8.1089600762338038E-5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48.137</v>
      </c>
      <c r="C264" s="388"/>
      <c r="D264" s="391">
        <f t="shared" si="85"/>
        <v>48.353359951693918</v>
      </c>
      <c r="E264" s="383">
        <f t="shared" si="111"/>
        <v>49.347902450227075</v>
      </c>
      <c r="F264" s="383">
        <f t="shared" si="113"/>
        <v>49.351657913110358</v>
      </c>
      <c r="G264" s="110">
        <f t="shared" si="112"/>
        <v>0.93961022483983636</v>
      </c>
      <c r="I264" s="379">
        <f t="shared" si="86"/>
        <v>49.351657913110358</v>
      </c>
      <c r="J264" s="85">
        <v>2018</v>
      </c>
      <c r="K264" s="197">
        <f t="shared" si="87"/>
        <v>43715</v>
      </c>
      <c r="L264" s="435">
        <f t="shared" si="88"/>
        <v>4.4745587878498583E-3</v>
      </c>
      <c r="M264" s="842"/>
      <c r="N264" s="842"/>
      <c r="O264" s="323">
        <f t="shared" si="89"/>
        <v>2.0153693453055396E-2</v>
      </c>
      <c r="P264" s="169">
        <f>(INDEX(Models!$BJ264:$BT264,,T264)*(1-R264)+INDEX(Models!$BJ264:$BT264,,T264+1)*R264-ERP_i)*Q264*Ramure*Pc/MaxiM</f>
        <v>8.3279821525376752E-5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51.230449491347507</v>
      </c>
      <c r="W264" s="58"/>
      <c r="X264" s="157">
        <f t="shared" si="95"/>
        <v>43715</v>
      </c>
      <c r="Y264" s="383">
        <f t="shared" si="96"/>
        <v>48.137</v>
      </c>
      <c r="Z264" s="383">
        <f t="shared" si="97"/>
        <v>48.353359951693918</v>
      </c>
      <c r="AA264" s="384">
        <f t="shared" si="98"/>
        <v>49.347902450227075</v>
      </c>
      <c r="AB264" s="197">
        <f t="shared" si="99"/>
        <v>43715</v>
      </c>
      <c r="AC264" s="424">
        <f t="shared" si="100"/>
        <v>2.0153693453055396E-2</v>
      </c>
      <c r="AD264" s="169">
        <f>(INDEX(Models!$BJ264:$BT264,,AH264)*(1-AF264)+INDEX(Models!$BJ264:$BT264,,AH264+1)*AF264-ERP_i)*AE264*Ramure*Pc/MaxiM</f>
        <v>8.3279821525376752E-5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45.777000000000001</v>
      </c>
      <c r="C265" s="388"/>
      <c r="D265" s="391">
        <f t="shared" si="85"/>
        <v>45.983633795271174</v>
      </c>
      <c r="E265" s="383">
        <f t="shared" si="111"/>
        <v>46.932995537995915</v>
      </c>
      <c r="F265" s="383">
        <f t="shared" si="113"/>
        <v>46.936424783059117</v>
      </c>
      <c r="G265" s="110">
        <f t="shared" si="112"/>
        <v>0.8980097815656195</v>
      </c>
      <c r="I265" s="379">
        <f t="shared" si="86"/>
        <v>46.936424783059117</v>
      </c>
      <c r="J265" s="85">
        <v>2018</v>
      </c>
      <c r="K265" s="197">
        <f t="shared" si="87"/>
        <v>43716</v>
      </c>
      <c r="L265" s="435">
        <f t="shared" si="88"/>
        <v>4.4936378058147985E-3</v>
      </c>
      <c r="M265" s="842"/>
      <c r="N265" s="842"/>
      <c r="O265" s="323">
        <f t="shared" si="89"/>
        <v>2.022802362905126E-2</v>
      </c>
      <c r="P265" s="169">
        <f>(INDEX(Models!$BJ265:$BT265,,T265)*(1-R265)+INDEX(Models!$BJ265:$BT265,,T265+1)*R265-ERP_i)*Q265*Ramure*Pc/MaxiM</f>
        <v>8.5520482558985725E-5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50.975424280069475</v>
      </c>
      <c r="W265" s="58"/>
      <c r="X265" s="157">
        <f t="shared" si="95"/>
        <v>43716</v>
      </c>
      <c r="Y265" s="383">
        <f t="shared" si="96"/>
        <v>45.777000000000001</v>
      </c>
      <c r="Z265" s="383">
        <f t="shared" si="97"/>
        <v>45.983633795271174</v>
      </c>
      <c r="AA265" s="384">
        <f t="shared" si="98"/>
        <v>46.932995537995915</v>
      </c>
      <c r="AB265" s="197">
        <f t="shared" si="99"/>
        <v>43716</v>
      </c>
      <c r="AC265" s="424">
        <f t="shared" si="100"/>
        <v>2.022802362905126E-2</v>
      </c>
      <c r="AD265" s="169">
        <f>(INDEX(Models!$BJ265:$BT265,,AH265)*(1-AF265)+INDEX(Models!$BJ265:$BT265,,AH265+1)*AF265-ERP_i)*AE265*Ramure*Pc/MaxiM</f>
        <v>8.5520482558985725E-5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39.674999999999997</v>
      </c>
      <c r="C266" s="388"/>
      <c r="D266" s="391">
        <f t="shared" si="85"/>
        <v>39.854853654021049</v>
      </c>
      <c r="E266" s="383">
        <f t="shared" si="111"/>
        <v>40.680759831997172</v>
      </c>
      <c r="F266" s="383">
        <f t="shared" si="113"/>
        <v>40.683221181944518</v>
      </c>
      <c r="G266" s="110">
        <f t="shared" si="112"/>
        <v>0.78226132501244006</v>
      </c>
      <c r="I266" s="379">
        <f t="shared" si="86"/>
        <v>40.683221181944518</v>
      </c>
      <c r="J266" s="85">
        <v>2018</v>
      </c>
      <c r="K266" s="197">
        <f t="shared" si="87"/>
        <v>43717</v>
      </c>
      <c r="L266" s="435">
        <f t="shared" si="88"/>
        <v>4.5127164581347801E-3</v>
      </c>
      <c r="M266" s="842"/>
      <c r="N266" s="842"/>
      <c r="O266" s="323">
        <f t="shared" si="89"/>
        <v>2.030213254095891E-2</v>
      </c>
      <c r="P266" s="169">
        <f>(INDEX(Models!$BJ266:$BT266,,T266)*(1-R266)+INDEX(Models!$BJ266:$BT266,,T266+1)*R266-ERP_i)*Q266*Ramure*Pc/MaxiM</f>
        <v>8.7812106766841115E-5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50.716960014179172</v>
      </c>
      <c r="W266" s="58"/>
      <c r="X266" s="157">
        <f t="shared" si="95"/>
        <v>43717</v>
      </c>
      <c r="Y266" s="383">
        <f t="shared" si="96"/>
        <v>39.674999999999997</v>
      </c>
      <c r="Z266" s="383">
        <f t="shared" si="97"/>
        <v>39.854853654021049</v>
      </c>
      <c r="AA266" s="384">
        <f t="shared" si="98"/>
        <v>40.680759831997172</v>
      </c>
      <c r="AB266" s="197">
        <f t="shared" si="99"/>
        <v>43717</v>
      </c>
      <c r="AC266" s="424">
        <f t="shared" si="100"/>
        <v>2.030213254095891E-2</v>
      </c>
      <c r="AD266" s="169">
        <f>(INDEX(Models!$BJ266:$BT266,,AH266)*(1-AF266)+INDEX(Models!$BJ266:$BT266,,AH266+1)*AF266-ERP_i)*AE266*Ramure*Pc/MaxiM</f>
        <v>8.7812106766841115E-5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13.462999999999999</v>
      </c>
      <c r="C267" s="388"/>
      <c r="D267" s="391">
        <f t="shared" si="85"/>
        <v>13.524289303191583</v>
      </c>
      <c r="E267" s="383">
        <f t="shared" si="111"/>
        <v>13.805592240449949</v>
      </c>
      <c r="F267" s="383">
        <f t="shared" si="113"/>
        <v>13.805592240449949</v>
      </c>
      <c r="G267" s="110">
        <f t="shared" si="112"/>
        <v>0.26680746798116117</v>
      </c>
      <c r="I267" s="379">
        <f t="shared" si="86"/>
        <v>13.805592240449949</v>
      </c>
      <c r="J267" s="85">
        <v>2018</v>
      </c>
      <c r="K267" s="197">
        <f t="shared" si="87"/>
        <v>43718</v>
      </c>
      <c r="L267" s="435">
        <f t="shared" si="88"/>
        <v>4.5317947448166862E-3</v>
      </c>
      <c r="M267" s="842"/>
      <c r="N267" s="842"/>
      <c r="O267" s="323">
        <f t="shared" si="89"/>
        <v>2.0376013745658568E-2</v>
      </c>
      <c r="P267" s="169">
        <f>(INDEX(Models!$BJ267:$BT267,,T267)*(1-R267)+INDEX(Models!$BJ267:$BT267,,T267+1)*R267-ERP_i)*Q267*Ramure*Pc/MaxiM</f>
        <v>9.0155206088515428E-5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50.455057882453815</v>
      </c>
      <c r="W267" s="58"/>
      <c r="X267" s="157">
        <f t="shared" si="95"/>
        <v>43718</v>
      </c>
      <c r="Y267" s="383">
        <f t="shared" si="96"/>
        <v>13.462999999999999</v>
      </c>
      <c r="Z267" s="383">
        <f t="shared" si="97"/>
        <v>13.524289303191583</v>
      </c>
      <c r="AA267" s="384">
        <f t="shared" si="98"/>
        <v>13.805592240449949</v>
      </c>
      <c r="AB267" s="197">
        <f t="shared" si="99"/>
        <v>43718</v>
      </c>
      <c r="AC267" s="424">
        <f t="shared" si="100"/>
        <v>2.0376013745658568E-2</v>
      </c>
      <c r="AD267" s="169">
        <f>(INDEX(Models!$BJ267:$BT267,,AH267)*(1-AF267)+INDEX(Models!$BJ267:$BT267,,AH267+1)*AF267-ERP_i)*AE267*Ramure*Pc/MaxiM</f>
        <v>9.0155206088515428E-5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46.381999999999998</v>
      </c>
      <c r="C268" s="388"/>
      <c r="D268" s="391">
        <f t="shared" si="85"/>
        <v>46.594043559225923</v>
      </c>
      <c r="E268" s="383">
        <f t="shared" si="111"/>
        <v>47.56676781326729</v>
      </c>
      <c r="F268" s="383">
        <f t="shared" si="113"/>
        <v>47.570695071045627</v>
      </c>
      <c r="G268" s="110">
        <f t="shared" si="112"/>
        <v>0.9241242483382176</v>
      </c>
      <c r="I268" s="379">
        <f t="shared" si="86"/>
        <v>47.570695071045627</v>
      </c>
      <c r="J268" s="85">
        <v>2018</v>
      </c>
      <c r="K268" s="197">
        <f t="shared" si="87"/>
        <v>43719</v>
      </c>
      <c r="L268" s="435">
        <f t="shared" si="88"/>
        <v>4.5508726658676224E-3</v>
      </c>
      <c r="M268" s="842"/>
      <c r="N268" s="842"/>
      <c r="O268" s="323">
        <f t="shared" si="89"/>
        <v>2.0449660524759342E-2</v>
      </c>
      <c r="P268" s="169">
        <f>(INDEX(Models!$BJ268:$BT268,,T268)*(1-R268)+INDEX(Models!$BJ268:$BT268,,T268+1)*R268-ERP_i)*Q268*Ramure*Pc/MaxiM</f>
        <v>9.2591355455210318E-5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50.189717017282128</v>
      </c>
      <c r="W268" s="58"/>
      <c r="X268" s="157">
        <f t="shared" si="95"/>
        <v>43719</v>
      </c>
      <c r="Y268" s="383">
        <f t="shared" si="96"/>
        <v>46.381999999999998</v>
      </c>
      <c r="Z268" s="383">
        <f t="shared" si="97"/>
        <v>46.594043559225923</v>
      </c>
      <c r="AA268" s="384">
        <f t="shared" si="98"/>
        <v>47.56676781326729</v>
      </c>
      <c r="AB268" s="197">
        <f t="shared" si="99"/>
        <v>43719</v>
      </c>
      <c r="AC268" s="424">
        <f t="shared" si="100"/>
        <v>2.0449660524759342E-2</v>
      </c>
      <c r="AD268" s="169">
        <f>(INDEX(Models!$BJ268:$BT268,,AH268)*(1-AF268)+INDEX(Models!$BJ268:$BT268,,AH268+1)*AF268-ERP_i)*AE268*Ramure*Pc/MaxiM</f>
        <v>9.2591355455210318E-5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49.444000000000003</v>
      </c>
      <c r="C269" s="388"/>
      <c r="D269" s="391">
        <f t="shared" si="85"/>
        <v>49.670993969884599</v>
      </c>
      <c r="E269" s="383">
        <f t="shared" si="111"/>
        <v>50.711754651533084</v>
      </c>
      <c r="F269" s="383">
        <f t="shared" si="113"/>
        <v>50.716513586551613</v>
      </c>
      <c r="G269" s="110">
        <f t="shared" si="112"/>
        <v>0.99044484534175503</v>
      </c>
      <c r="I269" s="379">
        <f t="shared" si="86"/>
        <v>50.716513586551613</v>
      </c>
      <c r="J269" s="85">
        <v>2018</v>
      </c>
      <c r="K269" s="197">
        <f t="shared" si="87"/>
        <v>43720</v>
      </c>
      <c r="L269" s="435">
        <f t="shared" si="88"/>
        <v>4.5699502212945831E-3</v>
      </c>
      <c r="M269" s="842"/>
      <c r="N269" s="842"/>
      <c r="O269" s="323">
        <f t="shared" si="89"/>
        <v>2.0523065880880948E-2</v>
      </c>
      <c r="P269" s="169">
        <f>(INDEX(Models!$BJ269:$BT269,,T269)*(1-R269)+INDEX(Models!$BJ269:$BT269,,T269+1)*R269-ERP_i)*Q269*Ramure*Pc/MaxiM</f>
        <v>9.5132437175429101E-5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49.920938079724628</v>
      </c>
      <c r="W269" s="58"/>
      <c r="X269" s="157">
        <f t="shared" si="95"/>
        <v>43720</v>
      </c>
      <c r="Y269" s="383">
        <f t="shared" si="96"/>
        <v>49.444000000000003</v>
      </c>
      <c r="Z269" s="383">
        <f t="shared" si="97"/>
        <v>49.670993969884599</v>
      </c>
      <c r="AA269" s="384">
        <f t="shared" si="98"/>
        <v>50.711754651533084</v>
      </c>
      <c r="AB269" s="197">
        <f t="shared" si="99"/>
        <v>43720</v>
      </c>
      <c r="AC269" s="424">
        <f t="shared" si="100"/>
        <v>2.0523065880880948E-2</v>
      </c>
      <c r="AD269" s="169">
        <f>(INDEX(Models!$BJ269:$BT269,,AH269)*(1-AF269)+INDEX(Models!$BJ269:$BT269,,AH269+1)*AF269-ERP_i)*AE269*Ramure*Pc/MaxiM</f>
        <v>9.5132437175429101E-5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38.545999999999999</v>
      </c>
      <c r="C270" s="388"/>
      <c r="D270" s="391">
        <f t="shared" si="85"/>
        <v>38.72370413975684</v>
      </c>
      <c r="E270" s="383">
        <f t="shared" si="111"/>
        <v>39.538038376822946</v>
      </c>
      <c r="F270" s="383">
        <f t="shared" si="113"/>
        <v>39.5406695099092</v>
      </c>
      <c r="G270" s="110">
        <f t="shared" si="112"/>
        <v>0.77635020765143947</v>
      </c>
      <c r="I270" s="379">
        <f t="shared" si="86"/>
        <v>39.5406695099092</v>
      </c>
      <c r="J270" s="85">
        <v>2018</v>
      </c>
      <c r="K270" s="197">
        <f t="shared" si="87"/>
        <v>43721</v>
      </c>
      <c r="L270" s="435">
        <f t="shared" si="88"/>
        <v>4.5890274111044516E-3</v>
      </c>
      <c r="M270" s="842"/>
      <c r="N270" s="842"/>
      <c r="O270" s="323">
        <f t="shared" si="89"/>
        <v>2.0596222536509775E-2</v>
      </c>
      <c r="P270" s="169">
        <f>(INDEX(Models!$BJ270:$BT270,,T270)*(1-R270)+INDEX(Models!$BJ270:$BT270,,T270+1)*R270-ERP_i)*Q270*Ramure*Pc/MaxiM</f>
        <v>9.7779624891010207E-5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49.648722280108046</v>
      </c>
      <c r="W270" s="58"/>
      <c r="X270" s="157">
        <f t="shared" si="95"/>
        <v>43721</v>
      </c>
      <c r="Y270" s="383">
        <f t="shared" si="96"/>
        <v>38.545999999999999</v>
      </c>
      <c r="Z270" s="383">
        <f t="shared" si="97"/>
        <v>38.72370413975684</v>
      </c>
      <c r="AA270" s="384">
        <f t="shared" si="98"/>
        <v>39.538038376822946</v>
      </c>
      <c r="AB270" s="197">
        <f t="shared" si="99"/>
        <v>43721</v>
      </c>
      <c r="AC270" s="424">
        <f t="shared" si="100"/>
        <v>2.0596222536509775E-2</v>
      </c>
      <c r="AD270" s="169">
        <f>(INDEX(Models!$BJ270:$BT270,,AH270)*(1-AF270)+INDEX(Models!$BJ270:$BT270,,AH270+1)*AF270-ERP_i)*AE270*Ramure*Pc/MaxiM</f>
        <v>9.7779624891010207E-5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40.863</v>
      </c>
      <c r="C271" s="388"/>
      <c r="D271" s="391">
        <f t="shared" ref="D271:D334" si="114">Wh/(1-Ppv)</f>
        <v>41.052172690845133</v>
      </c>
      <c r="E271" s="383">
        <f t="shared" si="111"/>
        <v>41.918593247981029</v>
      </c>
      <c r="F271" s="383">
        <f t="shared" si="113"/>
        <v>41.921770052088476</v>
      </c>
      <c r="G271" s="110">
        <f t="shared" si="112"/>
        <v>0.82761691101738488</v>
      </c>
      <c r="I271" s="379">
        <f t="shared" ref="I271:I334" si="115">Wh_hp</f>
        <v>41.921770052088476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4.6081042353044444E-3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2.0669122935742284E-2</v>
      </c>
      <c r="P271" s="169">
        <f>(INDEX(Models!$BJ271:$BT271,,T271)*(1-R271)+INDEX(Models!$BJ271:$BT271,,T271+1)*R271-ERP_i)*Q271*Ramure*Pc/MaxiM</f>
        <v>1.0053407631318645E-4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49.373070833410395</v>
      </c>
      <c r="W271" s="58"/>
      <c r="X271" s="157">
        <f t="shared" ref="X271:X334" si="124">t</f>
        <v>43722</v>
      </c>
      <c r="Y271" s="383">
        <f t="shared" ref="Y271:Y334" si="125">Wh_pvt_s*(1-Ppv)</f>
        <v>40.863</v>
      </c>
      <c r="Z271" s="383">
        <f t="shared" ref="Z271:Z334" si="126">Wh_sa_s*(1-Psa_s)</f>
        <v>41.052172690845133</v>
      </c>
      <c r="AA271" s="384">
        <f t="shared" ref="AA271:AA334" si="127">Wh_hp*(1-Pvg_s*MEDIAN((-Sdif+Wh/Env_an)/Csdif,0,1))</f>
        <v>41.918593247981029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2.0669122935742284E-2</v>
      </c>
      <c r="AD271" s="169">
        <f>(INDEX(Models!$BJ271:$BT271,,AH271)*(1-AF271)+INDEX(Models!$BJ271:$BT271,,AH271+1)*AF271-ERP_i)*AE271*Ramure*Pc/MaxiM</f>
        <v>1.0053407631318645E-4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41.381</v>
      </c>
      <c r="C272" s="388"/>
      <c r="D272" s="391">
        <f t="shared" si="114"/>
        <v>41.57336748339965</v>
      </c>
      <c r="E272" s="383">
        <f t="shared" si="111"/>
        <v>42.453936820103273</v>
      </c>
      <c r="F272" s="383">
        <f t="shared" si="113"/>
        <v>42.457341505853137</v>
      </c>
      <c r="G272" s="110">
        <f t="shared" si="112"/>
        <v>0.84287392157150653</v>
      </c>
      <c r="I272" s="379">
        <f t="shared" si="115"/>
        <v>42.457341505853137</v>
      </c>
      <c r="J272" s="85">
        <v>2018</v>
      </c>
      <c r="K272" s="197">
        <f t="shared" si="116"/>
        <v>43723</v>
      </c>
      <c r="L272" s="435">
        <f t="shared" si="117"/>
        <v>4.6271806939013338E-3</v>
      </c>
      <c r="M272" s="842"/>
      <c r="N272" s="842"/>
      <c r="O272" s="323">
        <f t="shared" si="118"/>
        <v>2.0741759249206924E-2</v>
      </c>
      <c r="P272" s="169">
        <f>(INDEX(Models!$BJ272:$BT272,,T272)*(1-R272)+INDEX(Models!$BJ272:$BT272,,T272+1)*R272-ERP_i)*Q272*Ramure*Pc/MaxiM</f>
        <v>1.0339693074486773E-4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49.093984958710578</v>
      </c>
      <c r="W272" s="58"/>
      <c r="X272" s="157">
        <f t="shared" si="124"/>
        <v>43723</v>
      </c>
      <c r="Y272" s="383">
        <f t="shared" si="125"/>
        <v>41.381</v>
      </c>
      <c r="Z272" s="383">
        <f t="shared" si="126"/>
        <v>41.57336748339965</v>
      </c>
      <c r="AA272" s="384">
        <f t="shared" si="127"/>
        <v>42.453936820103273</v>
      </c>
      <c r="AB272" s="197">
        <f t="shared" si="128"/>
        <v>43723</v>
      </c>
      <c r="AC272" s="424">
        <f t="shared" si="129"/>
        <v>2.0741759249206924E-2</v>
      </c>
      <c r="AD272" s="169">
        <f>(INDEX(Models!$BJ272:$BT272,,AH272)*(1-AF272)+INDEX(Models!$BJ272:$BT272,,AH272+1)*AF272-ERP_i)*AE272*Ramure*Pc/MaxiM</f>
        <v>1.0339693074486773E-4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42.749000000000002</v>
      </c>
      <c r="C273" s="388"/>
      <c r="D273" s="391">
        <f t="shared" si="114"/>
        <v>42.948549991887425</v>
      </c>
      <c r="E273" s="383">
        <f t="shared" si="111"/>
        <v>43.861488423674864</v>
      </c>
      <c r="F273" s="383">
        <f t="shared" si="113"/>
        <v>43.865326468567289</v>
      </c>
      <c r="G273" s="110">
        <f t="shared" si="112"/>
        <v>0.87578179328427919</v>
      </c>
      <c r="I273" s="379">
        <f t="shared" si="115"/>
        <v>43.865326468567289</v>
      </c>
      <c r="J273" s="85">
        <v>2018</v>
      </c>
      <c r="K273" s="197">
        <f t="shared" si="116"/>
        <v>43724</v>
      </c>
      <c r="L273" s="435">
        <f t="shared" si="117"/>
        <v>4.6462567869023363E-3</v>
      </c>
      <c r="M273" s="842"/>
      <c r="N273" s="842"/>
      <c r="O273" s="323">
        <f t="shared" si="118"/>
        <v>2.081412338243099E-2</v>
      </c>
      <c r="P273" s="169">
        <f>(INDEX(Models!$BJ273:$BT273,,T273)*(1-R273)+INDEX(Models!$BJ273:$BT273,,T273+1)*R273-ERP_i)*Q273*Ramure*Pc/MaxiM</f>
        <v>1.0636930655375625E-4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48.811465877004935</v>
      </c>
      <c r="W273" s="58"/>
      <c r="X273" s="157">
        <f t="shared" si="124"/>
        <v>43724</v>
      </c>
      <c r="Y273" s="383">
        <f t="shared" si="125"/>
        <v>42.749000000000002</v>
      </c>
      <c r="Z273" s="383">
        <f t="shared" si="126"/>
        <v>42.948549991887425</v>
      </c>
      <c r="AA273" s="384">
        <f t="shared" si="127"/>
        <v>43.861488423674864</v>
      </c>
      <c r="AB273" s="197">
        <f t="shared" si="128"/>
        <v>43724</v>
      </c>
      <c r="AC273" s="424">
        <f t="shared" si="129"/>
        <v>2.081412338243099E-2</v>
      </c>
      <c r="AD273" s="169">
        <f>(INDEX(Models!$BJ273:$BT273,,AH273)*(1-AF273)+INDEX(Models!$BJ273:$BT273,,AH273+1)*AF273-ERP_i)*AE273*Ramure*Pc/MaxiM</f>
        <v>1.0636930655375625E-4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41.570999999999998</v>
      </c>
      <c r="C274" s="388"/>
      <c r="D274" s="391">
        <f t="shared" si="114"/>
        <v>41.765851585389342</v>
      </c>
      <c r="E274" s="383">
        <f t="shared" si="111"/>
        <v>42.656790133557777</v>
      </c>
      <c r="F274" s="383">
        <f t="shared" si="113"/>
        <v>42.660503442175909</v>
      </c>
      <c r="G274" s="110">
        <f t="shared" si="112"/>
        <v>0.85666413866788582</v>
      </c>
      <c r="I274" s="379">
        <f t="shared" si="115"/>
        <v>42.660503442175909</v>
      </c>
      <c r="J274" s="85">
        <v>2018</v>
      </c>
      <c r="K274" s="197">
        <f t="shared" si="116"/>
        <v>43725</v>
      </c>
      <c r="L274" s="435">
        <f t="shared" si="117"/>
        <v>4.6653325143143354E-3</v>
      </c>
      <c r="M274" s="842"/>
      <c r="N274" s="842"/>
      <c r="O274" s="323">
        <f t="shared" si="118"/>
        <v>2.0886206987889119E-2</v>
      </c>
      <c r="P274" s="169">
        <f>(INDEX(Models!$BJ274:$BT274,,T274)*(1-R274)+INDEX(Models!$BJ274:$BT274,,T274+1)*R274-ERP_i)*Q274*Ramure*Pc/MaxiM</f>
        <v>1.0945229862512508E-4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48.525514814645682</v>
      </c>
      <c r="W274" s="58"/>
      <c r="X274" s="157">
        <f t="shared" si="124"/>
        <v>43725</v>
      </c>
      <c r="Y274" s="383">
        <f t="shared" si="125"/>
        <v>41.570999999999998</v>
      </c>
      <c r="Z274" s="383">
        <f t="shared" si="126"/>
        <v>41.765851585389342</v>
      </c>
      <c r="AA274" s="384">
        <f t="shared" si="127"/>
        <v>42.656790133557777</v>
      </c>
      <c r="AB274" s="197">
        <f t="shared" si="128"/>
        <v>43725</v>
      </c>
      <c r="AC274" s="424">
        <f t="shared" si="129"/>
        <v>2.0886206987889119E-2</v>
      </c>
      <c r="AD274" s="169">
        <f>(INDEX(Models!$BJ274:$BT274,,AH274)*(1-AF274)+INDEX(Models!$BJ274:$BT274,,AH274+1)*AF274-ERP_i)*AE274*Ramure*Pc/MaxiM</f>
        <v>1.0945229862512508E-4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26.959</v>
      </c>
      <c r="C275" s="388"/>
      <c r="D275" s="391">
        <f t="shared" si="114"/>
        <v>27.085881315767892</v>
      </c>
      <c r="E275" s="383">
        <f t="shared" si="111"/>
        <v>27.665699078016118</v>
      </c>
      <c r="F275" s="383">
        <f t="shared" si="113"/>
        <v>27.666851771412482</v>
      </c>
      <c r="G275" s="110">
        <f t="shared" si="112"/>
        <v>0.55885938818932879</v>
      </c>
      <c r="I275" s="379">
        <f t="shared" si="115"/>
        <v>27.666851771412482</v>
      </c>
      <c r="J275" s="85">
        <v>2018</v>
      </c>
      <c r="K275" s="197">
        <f t="shared" si="116"/>
        <v>43726</v>
      </c>
      <c r="L275" s="435">
        <f t="shared" si="117"/>
        <v>4.6844078761443253E-3</v>
      </c>
      <c r="M275" s="842"/>
      <c r="N275" s="842"/>
      <c r="O275" s="323">
        <f t="shared" si="118"/>
        <v>2.0958001480937145E-2</v>
      </c>
      <c r="P275" s="169">
        <f>(INDEX(Models!$BJ275:$BT275,,T275)*(1-R275)+INDEX(Models!$BJ275:$BT275,,T275+1)*R275-ERP_i)*Q275*Ramure*Pc/MaxiM</f>
        <v>1.1264751703277356E-4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48.235901243644761</v>
      </c>
      <c r="W275" s="58"/>
      <c r="X275" s="157">
        <f t="shared" si="124"/>
        <v>43726</v>
      </c>
      <c r="Y275" s="383">
        <f t="shared" si="125"/>
        <v>26.959</v>
      </c>
      <c r="Z275" s="383">
        <f t="shared" si="126"/>
        <v>27.085881315767892</v>
      </c>
      <c r="AA275" s="384">
        <f t="shared" si="127"/>
        <v>27.665699078016118</v>
      </c>
      <c r="AB275" s="197">
        <f t="shared" si="128"/>
        <v>43726</v>
      </c>
      <c r="AC275" s="424">
        <f t="shared" si="129"/>
        <v>2.0958001480937145E-2</v>
      </c>
      <c r="AD275" s="169">
        <f>(INDEX(Models!$BJ275:$BT275,,AH275)*(1-AF275)+INDEX(Models!$BJ275:$BT275,,AH275+1)*AF275-ERP_i)*AE275*Ramure*Pc/MaxiM</f>
        <v>1.1264751703277356E-4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41.581000000000003</v>
      </c>
      <c r="C276" s="388"/>
      <c r="D276" s="391">
        <f t="shared" si="114"/>
        <v>41.777499754547186</v>
      </c>
      <c r="E276" s="383">
        <f t="shared" si="111"/>
        <v>42.674932157556533</v>
      </c>
      <c r="F276" s="383">
        <f t="shared" si="113"/>
        <v>42.678942947106243</v>
      </c>
      <c r="G276" s="110">
        <f t="shared" si="112"/>
        <v>0.86729134705651123</v>
      </c>
      <c r="I276" s="379">
        <f t="shared" si="115"/>
        <v>42.678942947106243</v>
      </c>
      <c r="J276" s="85">
        <v>2018</v>
      </c>
      <c r="K276" s="197">
        <f t="shared" si="116"/>
        <v>43727</v>
      </c>
      <c r="L276" s="435">
        <f t="shared" si="117"/>
        <v>4.7034828723994115E-3</v>
      </c>
      <c r="M276" s="842"/>
      <c r="N276" s="842"/>
      <c r="O276" s="323">
        <f t="shared" si="118"/>
        <v>2.1029498059798007E-2</v>
      </c>
      <c r="P276" s="169">
        <f>(INDEX(Models!$BJ276:$BT276,,T276)*(1-R276)+INDEX(Models!$BJ276:$BT276,,T276+1)*R276-ERP_i)*Q276*Ramure*Pc/MaxiM</f>
        <v>1.1595607472768044E-4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47.942466041099891</v>
      </c>
      <c r="W276" s="58"/>
      <c r="X276" s="157">
        <f t="shared" si="124"/>
        <v>43727</v>
      </c>
      <c r="Y276" s="383">
        <f t="shared" si="125"/>
        <v>41.581000000000003</v>
      </c>
      <c r="Z276" s="383">
        <f t="shared" si="126"/>
        <v>41.777499754547186</v>
      </c>
      <c r="AA276" s="384">
        <f t="shared" si="127"/>
        <v>42.674932157556533</v>
      </c>
      <c r="AB276" s="197">
        <f t="shared" si="128"/>
        <v>43727</v>
      </c>
      <c r="AC276" s="424">
        <f t="shared" si="129"/>
        <v>2.1029498059798007E-2</v>
      </c>
      <c r="AD276" s="169">
        <f>(INDEX(Models!$BJ276:$BT276,,AH276)*(1-AF276)+INDEX(Models!$BJ276:$BT276,,AH276+1)*AF276-ERP_i)*AE276*Ramure*Pc/MaxiM</f>
        <v>1.1595607472768044E-4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46.054000000000002</v>
      </c>
      <c r="C277" s="388"/>
      <c r="D277" s="391">
        <f t="shared" si="114"/>
        <v>46.272524658512822</v>
      </c>
      <c r="E277" s="383">
        <f t="shared" si="111"/>
        <v>47.269953179553369</v>
      </c>
      <c r="F277" s="383">
        <f t="shared" si="113"/>
        <v>47.27532550671782</v>
      </c>
      <c r="G277" s="110">
        <f t="shared" si="112"/>
        <v>0.9665952095782564</v>
      </c>
      <c r="I277" s="379">
        <f t="shared" si="115"/>
        <v>47.27532550671782</v>
      </c>
      <c r="J277" s="85">
        <v>2018</v>
      </c>
      <c r="K277" s="197">
        <f t="shared" si="116"/>
        <v>43728</v>
      </c>
      <c r="L277" s="435">
        <f t="shared" si="117"/>
        <v>4.7225575030865885E-3</v>
      </c>
      <c r="M277" s="842"/>
      <c r="N277" s="842"/>
      <c r="O277" s="323">
        <f t="shared" si="118"/>
        <v>2.110068772972655E-2</v>
      </c>
      <c r="P277" s="169">
        <f>(INDEX(Models!$BJ277:$BT277,,T277)*(1-R277)+INDEX(Models!$BJ277:$BT277,,T277+1)*R277-ERP_i)*Q277*Ramure*Pc/MaxiM</f>
        <v>1.1933289875899441E-4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47.645319667745248</v>
      </c>
      <c r="W277" s="58"/>
      <c r="X277" s="157">
        <f t="shared" si="124"/>
        <v>43728</v>
      </c>
      <c r="Y277" s="383">
        <f t="shared" si="125"/>
        <v>46.054000000000002</v>
      </c>
      <c r="Z277" s="383">
        <f t="shared" si="126"/>
        <v>46.272524658512822</v>
      </c>
      <c r="AA277" s="384">
        <f t="shared" si="127"/>
        <v>47.269953179553369</v>
      </c>
      <c r="AB277" s="197">
        <f t="shared" si="128"/>
        <v>43728</v>
      </c>
      <c r="AC277" s="424">
        <f t="shared" si="129"/>
        <v>2.110068772972655E-2</v>
      </c>
      <c r="AD277" s="169">
        <f>(INDEX(Models!$BJ277:$BT277,,AH277)*(1-AF277)+INDEX(Models!$BJ277:$BT277,,AH277+1)*AF277-ERP_i)*AE277*Ramure*Pc/MaxiM</f>
        <v>1.1933289875899441E-4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33.362000000000002</v>
      </c>
      <c r="C278" s="388"/>
      <c r="D278" s="391">
        <f t="shared" si="114"/>
        <v>33.520943972842112</v>
      </c>
      <c r="E278" s="383">
        <f t="shared" si="111"/>
        <v>34.245984943427366</v>
      </c>
      <c r="F278" s="383">
        <f t="shared" si="113"/>
        <v>34.248415791465085</v>
      </c>
      <c r="G278" s="110">
        <f t="shared" si="112"/>
        <v>0.70462719264221951</v>
      </c>
      <c r="I278" s="379">
        <f t="shared" si="115"/>
        <v>34.248415791465085</v>
      </c>
      <c r="J278" s="85">
        <v>2018</v>
      </c>
      <c r="K278" s="197">
        <f t="shared" si="116"/>
        <v>43729</v>
      </c>
      <c r="L278" s="435">
        <f t="shared" si="117"/>
        <v>4.7416317682127396E-3</v>
      </c>
      <c r="M278" s="842"/>
      <c r="N278" s="842"/>
      <c r="O278" s="323">
        <f t="shared" si="118"/>
        <v>2.1171561331437383E-2</v>
      </c>
      <c r="P278" s="169">
        <f>(INDEX(Models!$BJ278:$BT278,,T278)*(1-R278)+INDEX(Models!$BJ278:$BT278,,T278+1)*R278-ERP_i)*Q278*Ramure*Pc/MaxiM</f>
        <v>1.227781590281155E-4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47.344570339732648</v>
      </c>
      <c r="W278" s="58"/>
      <c r="X278" s="157">
        <f t="shared" si="124"/>
        <v>43729</v>
      </c>
      <c r="Y278" s="383">
        <f t="shared" si="125"/>
        <v>33.362000000000002</v>
      </c>
      <c r="Z278" s="383">
        <f t="shared" si="126"/>
        <v>33.520943972842112</v>
      </c>
      <c r="AA278" s="384">
        <f t="shared" si="127"/>
        <v>34.245984943427366</v>
      </c>
      <c r="AB278" s="197">
        <f t="shared" si="128"/>
        <v>43729</v>
      </c>
      <c r="AC278" s="424">
        <f t="shared" si="129"/>
        <v>2.1171561331437383E-2</v>
      </c>
      <c r="AD278" s="169">
        <f>(INDEX(Models!$BJ278:$BT278,,AH278)*(1-AF278)+INDEX(Models!$BJ278:$BT278,,AH278+1)*AF278-ERP_i)*AE278*Ramure*Pc/MaxiM</f>
        <v>1.227781590281155E-4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8.6349999999999998</v>
      </c>
      <c r="C279" s="388"/>
      <c r="D279" s="391">
        <f t="shared" si="114"/>
        <v>8.6763053359884736</v>
      </c>
      <c r="E279" s="383">
        <f t="shared" si="111"/>
        <v>8.8646083171913777</v>
      </c>
      <c r="F279" s="383">
        <f t="shared" si="113"/>
        <v>8.8646083171913777</v>
      </c>
      <c r="G279" s="110">
        <f t="shared" si="112"/>
        <v>0.18354272092811388</v>
      </c>
      <c r="I279" s="379">
        <f t="shared" si="115"/>
        <v>8.8646083171913777</v>
      </c>
      <c r="J279" s="85">
        <v>2018</v>
      </c>
      <c r="K279" s="197">
        <f t="shared" si="116"/>
        <v>43730</v>
      </c>
      <c r="L279" s="435">
        <f t="shared" si="117"/>
        <v>4.7607056677849702E-3</v>
      </c>
      <c r="M279" s="842"/>
      <c r="N279" s="842"/>
      <c r="O279" s="323">
        <f t="shared" si="118"/>
        <v>2.1242109573834454E-2</v>
      </c>
      <c r="P279" s="169">
        <f>(INDEX(Models!$BJ279:$BT279,,T279)*(1-R279)+INDEX(Models!$BJ279:$BT279,,T279+1)*R279-ERP_i)*Q279*Ramure*Pc/MaxiM</f>
        <v>1.2629196343426959E-4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47.04032622616122</v>
      </c>
      <c r="W279" s="58"/>
      <c r="X279" s="157">
        <f t="shared" si="124"/>
        <v>43730</v>
      </c>
      <c r="Y279" s="383">
        <f t="shared" si="125"/>
        <v>8.6349999999999998</v>
      </c>
      <c r="Z279" s="383">
        <f t="shared" si="126"/>
        <v>8.6763053359884736</v>
      </c>
      <c r="AA279" s="384">
        <f t="shared" si="127"/>
        <v>8.8646083171913777</v>
      </c>
      <c r="AB279" s="197">
        <f t="shared" si="128"/>
        <v>43730</v>
      </c>
      <c r="AC279" s="424">
        <f t="shared" si="129"/>
        <v>2.1242109573834454E-2</v>
      </c>
      <c r="AD279" s="169">
        <f>(INDEX(Models!$BJ279:$BT279,,AH279)*(1-AF279)+INDEX(Models!$BJ279:$BT279,,AH279+1)*AF279-ERP_i)*AE279*Ramure*Pc/MaxiM</f>
        <v>1.2629196343426959E-4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40.771000000000001</v>
      </c>
      <c r="C280" s="388"/>
      <c r="D280" s="391">
        <f t="shared" si="114"/>
        <v>40.966812317479551</v>
      </c>
      <c r="E280" s="383">
        <f t="shared" si="111"/>
        <v>41.858923212387559</v>
      </c>
      <c r="F280" s="383">
        <f t="shared" si="113"/>
        <v>41.863369362780062</v>
      </c>
      <c r="G280" s="110">
        <f t="shared" si="112"/>
        <v>0.87240923162018813</v>
      </c>
      <c r="I280" s="379">
        <f t="shared" si="115"/>
        <v>41.863369362780062</v>
      </c>
      <c r="J280" s="85">
        <v>2018</v>
      </c>
      <c r="K280" s="197">
        <f t="shared" si="116"/>
        <v>43731</v>
      </c>
      <c r="L280" s="435">
        <f t="shared" si="117"/>
        <v>4.7797792018102747E-3</v>
      </c>
      <c r="M280" s="842"/>
      <c r="N280" s="842"/>
      <c r="O280" s="323">
        <f t="shared" si="118"/>
        <v>2.1312323071034006E-2</v>
      </c>
      <c r="P280" s="169">
        <f>(INDEX(Models!$BJ280:$BT280,,T280)*(1-R280)+INDEX(Models!$BJ280:$BT280,,T280+1)*R280-ERP_i)*Q280*Ramure*Pc/MaxiM</f>
        <v>1.2987504518022835E-4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46.732695412087956</v>
      </c>
      <c r="W280" s="58"/>
      <c r="X280" s="157">
        <f t="shared" si="124"/>
        <v>43731</v>
      </c>
      <c r="Y280" s="383">
        <f t="shared" si="125"/>
        <v>40.771000000000001</v>
      </c>
      <c r="Z280" s="383">
        <f t="shared" si="126"/>
        <v>40.966812317479551</v>
      </c>
      <c r="AA280" s="384">
        <f t="shared" si="127"/>
        <v>41.858923212387559</v>
      </c>
      <c r="AB280" s="197">
        <f t="shared" si="128"/>
        <v>43731</v>
      </c>
      <c r="AC280" s="424">
        <f t="shared" si="129"/>
        <v>2.1312323071034006E-2</v>
      </c>
      <c r="AD280" s="169">
        <f>(INDEX(Models!$BJ280:$BT280,,AH280)*(1-AF280)+INDEX(Models!$BJ280:$BT280,,AH280+1)*AF280-ERP_i)*AE280*Ramure*Pc/MaxiM</f>
        <v>1.2987504518022835E-4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28.036999999999999</v>
      </c>
      <c r="C281" s="388"/>
      <c r="D281" s="391">
        <f t="shared" si="114"/>
        <v>28.172194200917502</v>
      </c>
      <c r="E281" s="383">
        <f t="shared" si="111"/>
        <v>28.787739178317882</v>
      </c>
      <c r="F281" s="383">
        <f t="shared" si="113"/>
        <v>28.789408445374761</v>
      </c>
      <c r="G281" s="110">
        <f t="shared" si="112"/>
        <v>0.60391648508310358</v>
      </c>
      <c r="I281" s="379">
        <f t="shared" si="115"/>
        <v>28.789408445374761</v>
      </c>
      <c r="J281" s="85">
        <v>2018</v>
      </c>
      <c r="K281" s="197">
        <f t="shared" si="116"/>
        <v>43732</v>
      </c>
      <c r="L281" s="435">
        <f t="shared" si="117"/>
        <v>4.7988523702956476E-3</v>
      </c>
      <c r="M281" s="842"/>
      <c r="N281" s="842"/>
      <c r="O281" s="323">
        <f t="shared" si="118"/>
        <v>2.1382192383623849E-2</v>
      </c>
      <c r="P281" s="169">
        <f>(INDEX(Models!$BJ281:$BT281,,T281)*(1-R281)+INDEX(Models!$BJ281:$BT281,,T281+1)*R281-ERP_i)*Q281*Ramure*Pc/MaxiM</f>
        <v>1.3352779099699011E-4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46.421785945402696</v>
      </c>
      <c r="W281" s="58"/>
      <c r="X281" s="157">
        <f t="shared" si="124"/>
        <v>43732</v>
      </c>
      <c r="Y281" s="383">
        <f t="shared" si="125"/>
        <v>28.036999999999999</v>
      </c>
      <c r="Z281" s="383">
        <f t="shared" si="126"/>
        <v>28.172194200917502</v>
      </c>
      <c r="AA281" s="384">
        <f t="shared" si="127"/>
        <v>28.787739178317882</v>
      </c>
      <c r="AB281" s="197">
        <f t="shared" si="128"/>
        <v>43732</v>
      </c>
      <c r="AC281" s="424">
        <f t="shared" si="129"/>
        <v>2.1382192383623849E-2</v>
      </c>
      <c r="AD281" s="169">
        <f>(INDEX(Models!$BJ281:$BT281,,AH281)*(1-AF281)+INDEX(Models!$BJ281:$BT281,,AH281+1)*AF281-ERP_i)*AE281*Ramure*Pc/MaxiM</f>
        <v>1.3352779099699011E-4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29.97</v>
      </c>
      <c r="C282" s="388"/>
      <c r="D282" s="391">
        <f t="shared" si="114"/>
        <v>30.115092261099438</v>
      </c>
      <c r="E282" s="383">
        <f t="shared" si="111"/>
        <v>30.775274464503031</v>
      </c>
      <c r="F282" s="383">
        <f t="shared" si="113"/>
        <v>30.777386946422261</v>
      </c>
      <c r="G282" s="110">
        <f t="shared" si="112"/>
        <v>0.64995520795180994</v>
      </c>
      <c r="I282" s="379">
        <f t="shared" si="115"/>
        <v>30.777386946422261</v>
      </c>
      <c r="J282" s="85">
        <v>2018</v>
      </c>
      <c r="K282" s="197">
        <f t="shared" si="116"/>
        <v>43733</v>
      </c>
      <c r="L282" s="435">
        <f t="shared" si="117"/>
        <v>4.8179251732480832E-3</v>
      </c>
      <c r="M282" s="842"/>
      <c r="N282" s="842"/>
      <c r="O282" s="323">
        <f t="shared" si="118"/>
        <v>2.1451708064052003E-2</v>
      </c>
      <c r="P282" s="169">
        <f>(INDEX(Models!$BJ282:$BT282,,T282)*(1-R282)+INDEX(Models!$BJ282:$BT282,,T282+1)*R282-ERP_i)*Q282*Ramure*Pc/MaxiM</f>
        <v>1.3727500497234829E-4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46.107704692851208</v>
      </c>
      <c r="W282" s="58"/>
      <c r="X282" s="157">
        <f t="shared" si="124"/>
        <v>43733</v>
      </c>
      <c r="Y282" s="383">
        <f t="shared" si="125"/>
        <v>29.97</v>
      </c>
      <c r="Z282" s="383">
        <f t="shared" si="126"/>
        <v>30.115092261099438</v>
      </c>
      <c r="AA282" s="384">
        <f t="shared" si="127"/>
        <v>30.775274464503031</v>
      </c>
      <c r="AB282" s="197">
        <f t="shared" si="128"/>
        <v>43733</v>
      </c>
      <c r="AC282" s="424">
        <f t="shared" si="129"/>
        <v>2.1451708064052003E-2</v>
      </c>
      <c r="AD282" s="169">
        <f>(INDEX(Models!$BJ282:$BT282,,AH282)*(1-AF282)+INDEX(Models!$BJ282:$BT282,,AH282+1)*AF282-ERP_i)*AE282*Ramure*Pc/MaxiM</f>
        <v>1.3727500497234829E-4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36.959000000000003</v>
      </c>
      <c r="C283" s="388"/>
      <c r="D283" s="391">
        <f t="shared" si="114"/>
        <v>37.138639510576368</v>
      </c>
      <c r="E283" s="383">
        <f t="shared" si="111"/>
        <v>37.955473979110558</v>
      </c>
      <c r="F283" s="383">
        <f t="shared" si="113"/>
        <v>37.9593535581526</v>
      </c>
      <c r="G283" s="110">
        <f t="shared" si="112"/>
        <v>0.80710002156806127</v>
      </c>
      <c r="I283" s="379">
        <f t="shared" si="115"/>
        <v>37.9593535581526</v>
      </c>
      <c r="J283" s="85">
        <v>2018</v>
      </c>
      <c r="K283" s="197">
        <f t="shared" si="116"/>
        <v>43734</v>
      </c>
      <c r="L283" s="435">
        <f t="shared" si="117"/>
        <v>4.836997610674687E-3</v>
      </c>
      <c r="M283" s="842"/>
      <c r="N283" s="842"/>
      <c r="O283" s="323">
        <f t="shared" si="118"/>
        <v>2.1520860705987979E-2</v>
      </c>
      <c r="P283" s="169">
        <f>(INDEX(Models!$BJ283:$BT283,,T283)*(1-R283)+INDEX(Models!$BJ283:$BT283,,T283+1)*R283-ERP_i)*Q283*Ramure*Pc/MaxiM</f>
        <v>1.4107281660552458E-4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45.790561633899657</v>
      </c>
      <c r="W283" s="58"/>
      <c r="X283" s="157">
        <f t="shared" si="124"/>
        <v>43734</v>
      </c>
      <c r="Y283" s="383">
        <f t="shared" si="125"/>
        <v>36.959000000000003</v>
      </c>
      <c r="Z283" s="383">
        <f t="shared" si="126"/>
        <v>37.138639510576368</v>
      </c>
      <c r="AA283" s="384">
        <f t="shared" si="127"/>
        <v>37.955473979110558</v>
      </c>
      <c r="AB283" s="197">
        <f t="shared" si="128"/>
        <v>43734</v>
      </c>
      <c r="AC283" s="424">
        <f t="shared" si="129"/>
        <v>2.1520860705987979E-2</v>
      </c>
      <c r="AD283" s="169">
        <f>(INDEX(Models!$BJ283:$BT283,,AH283)*(1-AF283)+INDEX(Models!$BJ283:$BT283,,AH283+1)*AF283-ERP_i)*AE283*Ramure*Pc/MaxiM</f>
        <v>1.4107281660552458E-4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36.957000000000001</v>
      </c>
      <c r="C284" s="388"/>
      <c r="D284" s="391">
        <f t="shared" si="114"/>
        <v>37.137341518238422</v>
      </c>
      <c r="E284" s="383">
        <f t="shared" si="111"/>
        <v>37.956815539134745</v>
      </c>
      <c r="F284" s="383">
        <f t="shared" si="113"/>
        <v>37.960845399345402</v>
      </c>
      <c r="G284" s="110">
        <f t="shared" si="112"/>
        <v>0.81273784162119511</v>
      </c>
      <c r="I284" s="379">
        <f t="shared" si="115"/>
        <v>37.960845399345402</v>
      </c>
      <c r="J284" s="85">
        <v>2018</v>
      </c>
      <c r="K284" s="197">
        <f t="shared" si="116"/>
        <v>43735</v>
      </c>
      <c r="L284" s="435">
        <f t="shared" si="117"/>
        <v>4.8560696825822314E-3</v>
      </c>
      <c r="M284" s="842"/>
      <c r="N284" s="842"/>
      <c r="O284" s="323">
        <f t="shared" si="118"/>
        <v>2.1589640997449363E-2</v>
      </c>
      <c r="P284" s="169">
        <f>(INDEX(Models!$BJ284:$BT284,,T284)*(1-R284)+INDEX(Models!$BJ284:$BT284,,T284+1)*R284-ERP_i)*Q284*Ramure*Pc/MaxiM</f>
        <v>1.4492058815488169E-4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45.470464667509383</v>
      </c>
      <c r="W284" s="58"/>
      <c r="X284" s="157">
        <f t="shared" si="124"/>
        <v>43735</v>
      </c>
      <c r="Y284" s="383">
        <f t="shared" si="125"/>
        <v>36.957000000000001</v>
      </c>
      <c r="Z284" s="383">
        <f t="shared" si="126"/>
        <v>37.137341518238422</v>
      </c>
      <c r="AA284" s="384">
        <f t="shared" si="127"/>
        <v>37.956815539134745</v>
      </c>
      <c r="AB284" s="197">
        <f t="shared" si="128"/>
        <v>43735</v>
      </c>
      <c r="AC284" s="424">
        <f t="shared" si="129"/>
        <v>2.1589640997449363E-2</v>
      </c>
      <c r="AD284" s="169">
        <f>(INDEX(Models!$BJ284:$BT284,,AH284)*(1-AF284)+INDEX(Models!$BJ284:$BT284,,AH284+1)*AF284-ERP_i)*AE284*Ramure*Pc/MaxiM</f>
        <v>1.4492058815488169E-4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37.308999999999997</v>
      </c>
      <c r="C285" s="388"/>
      <c r="D285" s="391">
        <f t="shared" si="114"/>
        <v>37.491777717295953</v>
      </c>
      <c r="E285" s="383">
        <f t="shared" si="111"/>
        <v>38.321751740840142</v>
      </c>
      <c r="F285" s="383">
        <f t="shared" si="113"/>
        <v>38.326040675068562</v>
      </c>
      <c r="G285" s="110">
        <f t="shared" si="112"/>
        <v>0.82634929638959487</v>
      </c>
      <c r="I285" s="379">
        <f t="shared" si="115"/>
        <v>38.326040675068562</v>
      </c>
      <c r="J285" s="85">
        <v>2018</v>
      </c>
      <c r="K285" s="197">
        <f t="shared" si="116"/>
        <v>43736</v>
      </c>
      <c r="L285" s="435">
        <f t="shared" si="117"/>
        <v>4.8751413889780437E-3</v>
      </c>
      <c r="M285" s="842"/>
      <c r="N285" s="842"/>
      <c r="O285" s="323">
        <f t="shared" si="118"/>
        <v>2.1658039777437136E-2</v>
      </c>
      <c r="P285" s="169">
        <f>(INDEX(Models!$BJ285:$BT285,,T285)*(1-R285)+INDEX(Models!$BJ285:$BT285,,T285+1)*R285-ERP_i)*Q285*Ramure*Pc/MaxiM</f>
        <v>1.4881758531158171E-4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45.147521628348322</v>
      </c>
      <c r="W285" s="58"/>
      <c r="X285" s="157">
        <f t="shared" si="124"/>
        <v>43736</v>
      </c>
      <c r="Y285" s="383">
        <f t="shared" si="125"/>
        <v>37.308999999999997</v>
      </c>
      <c r="Z285" s="383">
        <f t="shared" si="126"/>
        <v>37.491777717295953</v>
      </c>
      <c r="AA285" s="384">
        <f t="shared" si="127"/>
        <v>38.321751740840142</v>
      </c>
      <c r="AB285" s="197">
        <f t="shared" si="128"/>
        <v>43736</v>
      </c>
      <c r="AC285" s="424">
        <f t="shared" si="129"/>
        <v>2.1658039777437136E-2</v>
      </c>
      <c r="AD285" s="169">
        <f>(INDEX(Models!$BJ285:$BT285,,AH285)*(1-AF285)+INDEX(Models!$BJ285:$BT285,,AH285+1)*AF285-ERP_i)*AE285*Ramure*Pc/MaxiM</f>
        <v>1.4881758531158171E-4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42.851999999999997</v>
      </c>
      <c r="C286" s="388"/>
      <c r="D286" s="391">
        <f t="shared" si="114"/>
        <v>43.062758299854409</v>
      </c>
      <c r="E286" s="383">
        <f t="shared" si="111"/>
        <v>44.019119814068539</v>
      </c>
      <c r="F286" s="383">
        <f t="shared" si="113"/>
        <v>44.025423023353014</v>
      </c>
      <c r="G286" s="110">
        <f t="shared" si="112"/>
        <v>0.95604260496368154</v>
      </c>
      <c r="I286" s="379">
        <f t="shared" si="115"/>
        <v>44.025423023353014</v>
      </c>
      <c r="J286" s="85">
        <v>2018</v>
      </c>
      <c r="K286" s="197">
        <f t="shared" si="116"/>
        <v>43737</v>
      </c>
      <c r="L286" s="435">
        <f t="shared" si="117"/>
        <v>4.8942127298687854E-3</v>
      </c>
      <c r="M286" s="842"/>
      <c r="N286" s="842"/>
      <c r="O286" s="323">
        <f t="shared" si="118"/>
        <v>2.1726048095774893E-2</v>
      </c>
      <c r="P286" s="169">
        <f>(INDEX(Models!$BJ286:$BT286,,T286)*(1-R286)+INDEX(Models!$BJ286:$BT286,,T286+1)*R286-ERP_i)*Q286*Ramure*Pc/MaxiM</f>
        <v>1.5276297737081031E-4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44.82184028984382</v>
      </c>
      <c r="W286" s="58"/>
      <c r="X286" s="157">
        <f t="shared" si="124"/>
        <v>43737</v>
      </c>
      <c r="Y286" s="383">
        <f t="shared" si="125"/>
        <v>42.851999999999997</v>
      </c>
      <c r="Z286" s="383">
        <f t="shared" si="126"/>
        <v>43.062758299854409</v>
      </c>
      <c r="AA286" s="384">
        <f t="shared" si="127"/>
        <v>44.019119814068539</v>
      </c>
      <c r="AB286" s="197">
        <f t="shared" si="128"/>
        <v>43737</v>
      </c>
      <c r="AC286" s="424">
        <f t="shared" si="129"/>
        <v>2.1726048095774893E-2</v>
      </c>
      <c r="AD286" s="169">
        <f>(INDEX(Models!$BJ286:$BT286,,AH286)*(1-AF286)+INDEX(Models!$BJ286:$BT286,,AH286+1)*AF286-ERP_i)*AE286*Ramure*Pc/MaxiM</f>
        <v>1.5276297737081031E-4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26.725000000000001</v>
      </c>
      <c r="C287" s="388"/>
      <c r="D287" s="391">
        <f t="shared" si="114"/>
        <v>26.856955843518897</v>
      </c>
      <c r="E287" s="383">
        <f t="shared" si="111"/>
        <v>27.455307403471895</v>
      </c>
      <c r="F287" s="383">
        <f t="shared" si="113"/>
        <v>27.457155996099061</v>
      </c>
      <c r="G287" s="110">
        <f t="shared" si="112"/>
        <v>0.60059543097002899</v>
      </c>
      <c r="I287" s="379">
        <f t="shared" si="115"/>
        <v>27.457155996099061</v>
      </c>
      <c r="J287" s="85">
        <v>2018</v>
      </c>
      <c r="K287" s="197">
        <f t="shared" si="116"/>
        <v>43738</v>
      </c>
      <c r="L287" s="435">
        <f t="shared" si="117"/>
        <v>4.9132837052617839E-3</v>
      </c>
      <c r="M287" s="842"/>
      <c r="N287" s="842"/>
      <c r="O287" s="323">
        <f t="shared" si="118"/>
        <v>2.1793657275799933E-2</v>
      </c>
      <c r="P287" s="169">
        <f>(INDEX(Models!$BJ287:$BT287,,T287)*(1-R287)+INDEX(Models!$BJ287:$BT287,,T287+1)*R287-ERP_i)*Q287*Ramure*Pc/MaxiM</f>
        <v>1.5675583823347817E-4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44.493528356202958</v>
      </c>
      <c r="W287" s="58"/>
      <c r="X287" s="157">
        <f t="shared" si="124"/>
        <v>43738</v>
      </c>
      <c r="Y287" s="383">
        <f t="shared" si="125"/>
        <v>26.725000000000001</v>
      </c>
      <c r="Z287" s="383">
        <f t="shared" si="126"/>
        <v>26.856955843518897</v>
      </c>
      <c r="AA287" s="384">
        <f t="shared" si="127"/>
        <v>27.455307403471895</v>
      </c>
      <c r="AB287" s="197">
        <f t="shared" si="128"/>
        <v>43738</v>
      </c>
      <c r="AC287" s="424">
        <f t="shared" si="129"/>
        <v>2.1793657275799933E-2</v>
      </c>
      <c r="AD287" s="169">
        <f>(INDEX(Models!$BJ287:$BT287,,AH287)*(1-AF287)+INDEX(Models!$BJ287:$BT287,,AH287+1)*AF287-ERP_i)*AE287*Ramure*Pc/MaxiM</f>
        <v>1.5675583823347817E-4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33.017000000000003</v>
      </c>
      <c r="C288" s="388"/>
      <c r="D288" s="391">
        <f t="shared" si="114"/>
        <v>33.180658765441706</v>
      </c>
      <c r="E288" s="383">
        <f t="shared" si="111"/>
        <v>33.922227803729868</v>
      </c>
      <c r="F288" s="383">
        <f t="shared" si="113"/>
        <v>33.925716115719673</v>
      </c>
      <c r="G288" s="110">
        <f t="shared" si="112"/>
        <v>0.7475786261115811</v>
      </c>
      <c r="I288" s="379">
        <f t="shared" si="115"/>
        <v>33.925716115719673</v>
      </c>
      <c r="J288" s="85">
        <v>2018</v>
      </c>
      <c r="K288" s="197">
        <f t="shared" si="116"/>
        <v>43739</v>
      </c>
      <c r="L288" s="435">
        <f t="shared" si="117"/>
        <v>4.9323543151637006E-3</v>
      </c>
      <c r="M288" s="842"/>
      <c r="N288" s="842"/>
      <c r="O288" s="323">
        <f t="shared" si="118"/>
        <v>2.1860858979510303E-2</v>
      </c>
      <c r="P288" s="169">
        <f>(INDEX(Models!$BJ288:$BT288,,T288)*(1-R288)+INDEX(Models!$BJ288:$BT288,,T288+1)*R288-ERP_i)*Q288*Ramure*Pc/MaxiM</f>
        <v>1.6079514821994942E-4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44.162693464646232</v>
      </c>
      <c r="W288" s="58"/>
      <c r="X288" s="157">
        <f t="shared" si="124"/>
        <v>43739</v>
      </c>
      <c r="Y288" s="383">
        <f t="shared" si="125"/>
        <v>33.017000000000003</v>
      </c>
      <c r="Z288" s="383">
        <f t="shared" si="126"/>
        <v>33.180658765441706</v>
      </c>
      <c r="AA288" s="384">
        <f t="shared" si="127"/>
        <v>33.922227803729868</v>
      </c>
      <c r="AB288" s="197">
        <f t="shared" si="128"/>
        <v>43739</v>
      </c>
      <c r="AC288" s="424">
        <f t="shared" si="129"/>
        <v>2.1860858979510303E-2</v>
      </c>
      <c r="AD288" s="169">
        <f>(INDEX(Models!$BJ288:$BT288,,AH288)*(1-AF288)+INDEX(Models!$BJ288:$BT288,,AH288+1)*AF288-ERP_i)*AE288*Ramure*Pc/MaxiM</f>
        <v>1.6079514821994942E-4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23.542000000000002</v>
      </c>
      <c r="C289" s="388"/>
      <c r="D289" s="391">
        <f t="shared" si="114"/>
        <v>23.659146478934542</v>
      </c>
      <c r="E289" s="383">
        <f t="shared" si="111"/>
        <v>24.189566717260028</v>
      </c>
      <c r="F289" s="383">
        <f t="shared" si="113"/>
        <v>24.19091803437507</v>
      </c>
      <c r="G289" s="110">
        <f t="shared" si="112"/>
        <v>0.5370892442072972</v>
      </c>
      <c r="I289" s="379">
        <f t="shared" si="115"/>
        <v>24.19091803437507</v>
      </c>
      <c r="J289" s="85">
        <v>2018</v>
      </c>
      <c r="K289" s="197">
        <f t="shared" si="116"/>
        <v>43740</v>
      </c>
      <c r="L289" s="435">
        <f t="shared" si="117"/>
        <v>4.9514245595818629E-3</v>
      </c>
      <c r="M289" s="842"/>
      <c r="N289" s="842"/>
      <c r="O289" s="323">
        <f t="shared" si="118"/>
        <v>2.1927645274729689E-2</v>
      </c>
      <c r="P289" s="169">
        <f>(INDEX(Models!$BJ289:$BT289,,T289)*(1-R289)+INDEX(Models!$BJ289:$BT289,,T289+1)*R289-ERP_i)*Q289*Ramure*Pc/MaxiM</f>
        <v>1.648860250385538E-4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43.827787340588202</v>
      </c>
      <c r="W289" s="58"/>
      <c r="X289" s="157">
        <f t="shared" si="124"/>
        <v>43740</v>
      </c>
      <c r="Y289" s="383">
        <f t="shared" si="125"/>
        <v>23.542000000000002</v>
      </c>
      <c r="Z289" s="383">
        <f t="shared" si="126"/>
        <v>23.659146478934542</v>
      </c>
      <c r="AA289" s="384">
        <f t="shared" si="127"/>
        <v>24.189566717260028</v>
      </c>
      <c r="AB289" s="197">
        <f t="shared" si="128"/>
        <v>43740</v>
      </c>
      <c r="AC289" s="424">
        <f t="shared" si="129"/>
        <v>2.1927645274729689E-2</v>
      </c>
      <c r="AD289" s="169">
        <f>(INDEX(Models!$BJ289:$BT289,,AH289)*(1-AF289)+INDEX(Models!$BJ289:$BT289,,AH289+1)*AF289-ERP_i)*AE289*Ramure*Pc/MaxiM</f>
        <v>1.648860250385538E-4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34.439</v>
      </c>
      <c r="C290" s="388"/>
      <c r="D290" s="391">
        <f t="shared" si="114"/>
        <v>34.611033951768803</v>
      </c>
      <c r="E290" s="383">
        <f t="shared" si="111"/>
        <v>35.389388469796152</v>
      </c>
      <c r="F290" s="383">
        <f t="shared" si="113"/>
        <v>35.39360414639436</v>
      </c>
      <c r="G290" s="110">
        <f t="shared" si="112"/>
        <v>0.79188702002145872</v>
      </c>
      <c r="I290" s="379">
        <f t="shared" si="115"/>
        <v>35.39360414639436</v>
      </c>
      <c r="J290" s="85">
        <v>2018</v>
      </c>
      <c r="K290" s="197">
        <f t="shared" si="116"/>
        <v>43741</v>
      </c>
      <c r="L290" s="435">
        <f t="shared" si="117"/>
        <v>4.9704944385231542E-3</v>
      </c>
      <c r="M290" s="842"/>
      <c r="N290" s="842"/>
      <c r="O290" s="323">
        <f t="shared" si="118"/>
        <v>2.1994008703813885E-2</v>
      </c>
      <c r="P290" s="169">
        <f>(INDEX(Models!$BJ290:$BT290,,T290)*(1-R290)+INDEX(Models!$BJ290:$BT290,,T290+1)*R290-ERP_i)*Q290*Ramure*Pc/MaxiM</f>
        <v>1.6948838699226541E-4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43.487598467042602</v>
      </c>
      <c r="W290" s="58"/>
      <c r="X290" s="157">
        <f t="shared" si="124"/>
        <v>43741</v>
      </c>
      <c r="Y290" s="383">
        <f t="shared" si="125"/>
        <v>34.439</v>
      </c>
      <c r="Z290" s="383">
        <f t="shared" si="126"/>
        <v>34.611033951768803</v>
      </c>
      <c r="AA290" s="384">
        <f t="shared" si="127"/>
        <v>35.389388469796152</v>
      </c>
      <c r="AB290" s="197">
        <f t="shared" si="128"/>
        <v>43741</v>
      </c>
      <c r="AC290" s="424">
        <f t="shared" si="129"/>
        <v>2.1994008703813885E-2</v>
      </c>
      <c r="AD290" s="169">
        <f>(INDEX(Models!$BJ290:$BT290,,AH290)*(1-AF290)+INDEX(Models!$BJ290:$BT290,,AH290+1)*AF290-ERP_i)*AE290*Ramure*Pc/MaxiM</f>
        <v>1.6948838699226541E-4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10.154</v>
      </c>
      <c r="C291" s="388"/>
      <c r="D291" s="391">
        <f t="shared" si="114"/>
        <v>10.204918091442117</v>
      </c>
      <c r="E291" s="383">
        <f t="shared" si="111"/>
        <v>10.435116152210787</v>
      </c>
      <c r="F291" s="383">
        <f t="shared" si="113"/>
        <v>10.435116152210787</v>
      </c>
      <c r="G291" s="110">
        <f t="shared" si="112"/>
        <v>0.23531700028192107</v>
      </c>
      <c r="I291" s="379">
        <f t="shared" si="115"/>
        <v>10.435116152210787</v>
      </c>
      <c r="J291" s="85">
        <v>2018</v>
      </c>
      <c r="K291" s="197">
        <f t="shared" si="116"/>
        <v>43742</v>
      </c>
      <c r="L291" s="435">
        <f t="shared" si="117"/>
        <v>4.9895639519945689E-3</v>
      </c>
      <c r="M291" s="842"/>
      <c r="N291" s="842"/>
      <c r="O291" s="323">
        <f t="shared" si="118"/>
        <v>2.2059942353387266E-2</v>
      </c>
      <c r="P291" s="169">
        <f>(INDEX(Models!$BJ291:$BT291,,T291)*(1-R291)+INDEX(Models!$BJ291:$BT291,,T291+1)*R291-ERP_i)*Q291*Ramure*Pc/MaxiM</f>
        <v>1.746058743628895E-4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43.142769284789729</v>
      </c>
      <c r="W291" s="58"/>
      <c r="X291" s="157">
        <f t="shared" si="124"/>
        <v>43742</v>
      </c>
      <c r="Y291" s="383">
        <f t="shared" si="125"/>
        <v>10.154</v>
      </c>
      <c r="Z291" s="383">
        <f t="shared" si="126"/>
        <v>10.204918091442117</v>
      </c>
      <c r="AA291" s="384">
        <f t="shared" si="127"/>
        <v>10.435116152210787</v>
      </c>
      <c r="AB291" s="197">
        <f t="shared" si="128"/>
        <v>43742</v>
      </c>
      <c r="AC291" s="424">
        <f t="shared" si="129"/>
        <v>2.2059942353387266E-2</v>
      </c>
      <c r="AD291" s="169">
        <f>(INDEX(Models!$BJ291:$BT291,,AH291)*(1-AF291)+INDEX(Models!$BJ291:$BT291,,AH291+1)*AF291-ERP_i)*AE291*Ramure*Pc/MaxiM</f>
        <v>1.746058743628895E-4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38.624000000000002</v>
      </c>
      <c r="C292" s="388"/>
      <c r="D292" s="391">
        <f t="shared" si="114"/>
        <v>38.818427259662805</v>
      </c>
      <c r="E292" s="383">
        <f t="shared" si="111"/>
        <v>39.696734984769819</v>
      </c>
      <c r="F292" s="383">
        <f t="shared" si="113"/>
        <v>39.702894936148411</v>
      </c>
      <c r="G292" s="110">
        <f t="shared" si="112"/>
        <v>0.90253500743060455</v>
      </c>
      <c r="I292" s="379">
        <f t="shared" si="115"/>
        <v>39.702894936148411</v>
      </c>
      <c r="J292" s="85">
        <v>2018</v>
      </c>
      <c r="K292" s="197">
        <f t="shared" si="116"/>
        <v>43743</v>
      </c>
      <c r="L292" s="435">
        <f t="shared" si="117"/>
        <v>5.0086331000029904E-3</v>
      </c>
      <c r="M292" s="842"/>
      <c r="N292" s="842"/>
      <c r="O292" s="323">
        <f t="shared" si="118"/>
        <v>2.2125439924567787E-2</v>
      </c>
      <c r="P292" s="169">
        <f>(INDEX(Models!$BJ292:$BT292,,T292)*(1-R292)+INDEX(Models!$BJ292:$BT292,,T292+1)*R292-ERP_i)*Q292*Ramure*Pc/MaxiM</f>
        <v>1.802413952606885E-4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42.79394200505525</v>
      </c>
      <c r="W292" s="58"/>
      <c r="X292" s="157">
        <f t="shared" si="124"/>
        <v>43743</v>
      </c>
      <c r="Y292" s="383">
        <f t="shared" si="125"/>
        <v>38.624000000000002</v>
      </c>
      <c r="Z292" s="383">
        <f t="shared" si="126"/>
        <v>38.818427259662805</v>
      </c>
      <c r="AA292" s="384">
        <f t="shared" si="127"/>
        <v>39.696734984769819</v>
      </c>
      <c r="AB292" s="197">
        <f t="shared" si="128"/>
        <v>43743</v>
      </c>
      <c r="AC292" s="424">
        <f t="shared" si="129"/>
        <v>2.2125439924567787E-2</v>
      </c>
      <c r="AD292" s="169">
        <f>(INDEX(Models!$BJ292:$BT292,,AH292)*(1-AF292)+INDEX(Models!$BJ292:$BT292,,AH292+1)*AF292-ERP_i)*AE292*Ramure*Pc/MaxiM</f>
        <v>1.802413952606885E-4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18.22</v>
      </c>
      <c r="C293" s="388"/>
      <c r="D293" s="391">
        <f t="shared" si="114"/>
        <v>18.312067616830625</v>
      </c>
      <c r="E293" s="383">
        <f t="shared" si="111"/>
        <v>18.727643307037624</v>
      </c>
      <c r="F293" s="383">
        <f t="shared" ref="F293:F324" si="139">Wh_sa/(1-Pvg*MEDIAN((-Sdif+Wh/Env_an)/Csdif,0,1))</f>
        <v>18.728288098004107</v>
      </c>
      <c r="G293" s="110">
        <f t="shared" si="112"/>
        <v>0.4292289396493742</v>
      </c>
      <c r="I293" s="379">
        <f t="shared" si="115"/>
        <v>18.728288098004107</v>
      </c>
      <c r="J293" s="85">
        <v>2018</v>
      </c>
      <c r="K293" s="197">
        <f t="shared" si="116"/>
        <v>43744</v>
      </c>
      <c r="L293" s="435">
        <f t="shared" si="117"/>
        <v>5.0277018825556352E-3</v>
      </c>
      <c r="M293" s="842"/>
      <c r="N293" s="842"/>
      <c r="O293" s="323">
        <f t="shared" si="118"/>
        <v>2.2190495803112109E-2</v>
      </c>
      <c r="P293" s="169">
        <f>(INDEX(Models!$BJ293:$BT293,,T293)*(1-R293)+INDEX(Models!$BJ293:$BT293,,T293+1)*R293-ERP_i)*Q293*Ramure*Pc/MaxiM</f>
        <v>1.8639743113781245E-4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42.441758586017883</v>
      </c>
      <c r="W293" s="58"/>
      <c r="X293" s="157">
        <f t="shared" si="124"/>
        <v>43744</v>
      </c>
      <c r="Y293" s="383">
        <f t="shared" si="125"/>
        <v>18.22</v>
      </c>
      <c r="Z293" s="383">
        <f t="shared" si="126"/>
        <v>18.312067616830625</v>
      </c>
      <c r="AA293" s="384">
        <f t="shared" si="127"/>
        <v>18.727643307037624</v>
      </c>
      <c r="AB293" s="197">
        <f t="shared" si="128"/>
        <v>43744</v>
      </c>
      <c r="AC293" s="424">
        <f t="shared" si="129"/>
        <v>2.2190495803112109E-2</v>
      </c>
      <c r="AD293" s="169">
        <f>(INDEX(Models!$BJ293:$BT293,,AH293)*(1-AF293)+INDEX(Models!$BJ293:$BT293,,AH293+1)*AF293-ERP_i)*AE293*Ramure*Pc/MaxiM</f>
        <v>1.8639743113781245E-4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29.942</v>
      </c>
      <c r="C294" s="388"/>
      <c r="D294" s="391">
        <f t="shared" si="114"/>
        <v>30.09387688406008</v>
      </c>
      <c r="E294" s="383">
        <f t="shared" si="111"/>
        <v>30.778863732167306</v>
      </c>
      <c r="F294" s="383">
        <f t="shared" si="139"/>
        <v>30.782356997616411</v>
      </c>
      <c r="G294" s="110">
        <f t="shared" si="112"/>
        <v>0.71137680558105099</v>
      </c>
      <c r="I294" s="379">
        <f t="shared" si="115"/>
        <v>30.782356997616411</v>
      </c>
      <c r="J294" s="85">
        <v>2018</v>
      </c>
      <c r="K294" s="197">
        <f t="shared" si="116"/>
        <v>43745</v>
      </c>
      <c r="L294" s="435">
        <f t="shared" si="117"/>
        <v>5.0467702996593866E-3</v>
      </c>
      <c r="M294" s="842"/>
      <c r="N294" s="842"/>
      <c r="O294" s="323">
        <f t="shared" si="118"/>
        <v>2.2255105128892103E-2</v>
      </c>
      <c r="P294" s="169">
        <f>(INDEX(Models!$BJ294:$BT294,,T294)*(1-R294)+INDEX(Models!$BJ294:$BT294,,T294+1)*R294-ERP_i)*Q294*Ramure*Pc/MaxiM</f>
        <v>1.9307594708063797E-4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42.086860738329484</v>
      </c>
      <c r="W294" s="58"/>
      <c r="X294" s="157">
        <f t="shared" si="124"/>
        <v>43745</v>
      </c>
      <c r="Y294" s="383">
        <f t="shared" si="125"/>
        <v>29.942</v>
      </c>
      <c r="Z294" s="383">
        <f t="shared" si="126"/>
        <v>30.09387688406008</v>
      </c>
      <c r="AA294" s="384">
        <f t="shared" si="127"/>
        <v>30.778863732167306</v>
      </c>
      <c r="AB294" s="197">
        <f t="shared" si="128"/>
        <v>43745</v>
      </c>
      <c r="AC294" s="424">
        <f t="shared" si="129"/>
        <v>2.2255105128892103E-2</v>
      </c>
      <c r="AD294" s="169">
        <f>(INDEX(Models!$BJ294:$BT294,,AH294)*(1-AF294)+INDEX(Models!$BJ294:$BT294,,AH294+1)*AF294-ERP_i)*AE294*Ramure*Pc/MaxiM</f>
        <v>1.9307594708063797E-4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38.933999999999997</v>
      </c>
      <c r="C295" s="388"/>
      <c r="D295" s="391">
        <f t="shared" si="114"/>
        <v>39.132237589956219</v>
      </c>
      <c r="E295" s="383">
        <f t="shared" si="111"/>
        <v>40.025579050088432</v>
      </c>
      <c r="F295" s="383">
        <f t="shared" si="139"/>
        <v>40.032829351489561</v>
      </c>
      <c r="G295" s="110">
        <f t="shared" si="112"/>
        <v>0.93298241609057453</v>
      </c>
      <c r="I295" s="379">
        <f t="shared" si="115"/>
        <v>40.032829351489561</v>
      </c>
      <c r="J295" s="85">
        <v>2018</v>
      </c>
      <c r="K295" s="197">
        <f t="shared" si="116"/>
        <v>43746</v>
      </c>
      <c r="L295" s="435">
        <f t="shared" si="117"/>
        <v>5.0658383513213501E-3</v>
      </c>
      <c r="M295" s="842"/>
      <c r="N295" s="842"/>
      <c r="O295" s="323">
        <f t="shared" si="118"/>
        <v>2.2319263864097317E-2</v>
      </c>
      <c r="P295" s="169">
        <f>(INDEX(Models!$BJ295:$BT295,,T295)*(1-R295)+INDEX(Models!$BJ295:$BT295,,T295+1)*R295-ERP_i)*Q295*Ramure*Pc/MaxiM</f>
        <v>2.0027830019754954E-4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41.7298899225135</v>
      </c>
      <c r="W295" s="58"/>
      <c r="X295" s="157">
        <f t="shared" si="124"/>
        <v>43746</v>
      </c>
      <c r="Y295" s="383">
        <f t="shared" si="125"/>
        <v>38.933999999999997</v>
      </c>
      <c r="Z295" s="383">
        <f t="shared" si="126"/>
        <v>39.132237589956219</v>
      </c>
      <c r="AA295" s="384">
        <f t="shared" si="127"/>
        <v>40.025579050088432</v>
      </c>
      <c r="AB295" s="197">
        <f t="shared" si="128"/>
        <v>43746</v>
      </c>
      <c r="AC295" s="424">
        <f t="shared" si="129"/>
        <v>2.2319263864097317E-2</v>
      </c>
      <c r="AD295" s="169">
        <f>(INDEX(Models!$BJ295:$BT295,,AH295)*(1-AF295)+INDEX(Models!$BJ295:$BT295,,AH295+1)*AF295-ERP_i)*AE295*Ramure*Pc/MaxiM</f>
        <v>2.0027830019754954E-4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9.4390000000000001</v>
      </c>
      <c r="C296" s="388"/>
      <c r="D296" s="391">
        <f t="shared" si="114"/>
        <v>9.487241732766627</v>
      </c>
      <c r="E296" s="383">
        <f t="shared" si="111"/>
        <v>9.7044562753772432</v>
      </c>
      <c r="F296" s="383">
        <f t="shared" si="139"/>
        <v>9.7044562753772432</v>
      </c>
      <c r="G296" s="110">
        <f t="shared" si="112"/>
        <v>0.22810484329026459</v>
      </c>
      <c r="I296" s="379">
        <f t="shared" si="115"/>
        <v>9.7044562753772432</v>
      </c>
      <c r="J296" s="85">
        <v>2018</v>
      </c>
      <c r="K296" s="197">
        <f t="shared" si="116"/>
        <v>43747</v>
      </c>
      <c r="L296" s="435">
        <f t="shared" si="117"/>
        <v>5.084906037548409E-3</v>
      </c>
      <c r="M296" s="842"/>
      <c r="N296" s="842"/>
      <c r="O296" s="323">
        <f t="shared" si="118"/>
        <v>2.2382968859548189E-2</v>
      </c>
      <c r="P296" s="169">
        <f>(INDEX(Models!$BJ296:$BT296,,T296)*(1-R296)+INDEX(Models!$BJ296:$BT296,,T296+1)*R296-ERP_i)*Q296*Ramure*Pc/MaxiM</f>
        <v>2.0815378826432213E-4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41.371481202544651</v>
      </c>
      <c r="W296" s="58"/>
      <c r="X296" s="157">
        <f t="shared" si="124"/>
        <v>43747</v>
      </c>
      <c r="Y296" s="383">
        <f t="shared" si="125"/>
        <v>9.4390000000000001</v>
      </c>
      <c r="Z296" s="383">
        <f t="shared" si="126"/>
        <v>9.487241732766627</v>
      </c>
      <c r="AA296" s="384">
        <f t="shared" si="127"/>
        <v>9.7044562753772432</v>
      </c>
      <c r="AB296" s="197">
        <f t="shared" si="128"/>
        <v>43747</v>
      </c>
      <c r="AC296" s="424">
        <f t="shared" si="129"/>
        <v>2.2382968859548189E-2</v>
      </c>
      <c r="AD296" s="169">
        <f>(INDEX(Models!$BJ296:$BT296,,AH296)*(1-AF296)+INDEX(Models!$BJ296:$BT296,,AH296+1)*AF296-ERP_i)*AE296*Ramure*Pc/MaxiM</f>
        <v>2.0815378826432213E-4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29.207999999999998</v>
      </c>
      <c r="C297" s="388"/>
      <c r="D297" s="391">
        <f t="shared" si="114"/>
        <v>29.357841641597297</v>
      </c>
      <c r="E297" s="383">
        <f t="shared" ref="E297:E360" si="140">Wh_pvt/(1-Psa)</f>
        <v>30.031945228717536</v>
      </c>
      <c r="F297" s="383">
        <f t="shared" si="139"/>
        <v>30.035777339277747</v>
      </c>
      <c r="G297" s="110">
        <f t="shared" ref="G297:G360" si="141">+Wh_hp/MaxiM</f>
        <v>0.71211353733830252</v>
      </c>
      <c r="I297" s="379">
        <f t="shared" si="115"/>
        <v>30.035777339277747</v>
      </c>
      <c r="J297" s="85">
        <v>2018</v>
      </c>
      <c r="K297" s="197">
        <f t="shared" si="116"/>
        <v>43748</v>
      </c>
      <c r="L297" s="435">
        <f t="shared" si="117"/>
        <v>5.1039733583475577E-3</v>
      </c>
      <c r="M297" s="842"/>
      <c r="N297" s="842"/>
      <c r="O297" s="323">
        <f t="shared" si="118"/>
        <v>2.2446217918499666E-2</v>
      </c>
      <c r="P297" s="169">
        <f>(INDEX(Models!$BJ297:$BT297,,T297)*(1-R297)+INDEX(Models!$BJ297:$BT297,,T297+1)*R297-ERP_i)*Q297*Ramure*Pc/MaxiM</f>
        <v>2.1667731513324976E-4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41.012276728789246</v>
      </c>
      <c r="W297" s="58"/>
      <c r="X297" s="157">
        <f t="shared" si="124"/>
        <v>43748</v>
      </c>
      <c r="Y297" s="383">
        <f t="shared" si="125"/>
        <v>29.207999999999998</v>
      </c>
      <c r="Z297" s="383">
        <f t="shared" si="126"/>
        <v>29.357841641597297</v>
      </c>
      <c r="AA297" s="384">
        <f t="shared" si="127"/>
        <v>30.031945228717536</v>
      </c>
      <c r="AB297" s="197">
        <f t="shared" si="128"/>
        <v>43748</v>
      </c>
      <c r="AC297" s="424">
        <f t="shared" si="129"/>
        <v>2.2446217918499666E-2</v>
      </c>
      <c r="AD297" s="169">
        <f>(INDEX(Models!$BJ297:$BT297,,AH297)*(1-AF297)+INDEX(Models!$BJ297:$BT297,,AH297+1)*AF297-ERP_i)*AE297*Ramure*Pc/MaxiM</f>
        <v>2.1667731513324976E-4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40.503</v>
      </c>
      <c r="C298" s="388"/>
      <c r="D298" s="391">
        <f t="shared" si="114"/>
        <v>40.711566998970682</v>
      </c>
      <c r="E298" s="383">
        <f t="shared" si="140"/>
        <v>41.64904578100311</v>
      </c>
      <c r="F298" s="383">
        <f t="shared" si="139"/>
        <v>41.65840472713716</v>
      </c>
      <c r="G298" s="110">
        <f t="shared" si="141"/>
        <v>0.99631107630652926</v>
      </c>
      <c r="I298" s="379">
        <f t="shared" si="115"/>
        <v>41.65840472713716</v>
      </c>
      <c r="J298" s="85">
        <v>2018</v>
      </c>
      <c r="K298" s="197">
        <f t="shared" si="116"/>
        <v>43749</v>
      </c>
      <c r="L298" s="435">
        <f t="shared" si="117"/>
        <v>5.1230403137259017E-3</v>
      </c>
      <c r="M298" s="842"/>
      <c r="N298" s="842"/>
      <c r="O298" s="323">
        <f t="shared" si="118"/>
        <v>2.2509009857316482E-2</v>
      </c>
      <c r="P298" s="169">
        <f>(INDEX(Models!$BJ298:$BT298,,T298)*(1-R298)+INDEX(Models!$BJ298:$BT298,,T298+1)*R298-ERP_i)*Q298*Ramure*Pc/MaxiM</f>
        <v>2.2584907155793728E-4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40.652917307861188</v>
      </c>
      <c r="W298" s="58"/>
      <c r="X298" s="157">
        <f t="shared" si="124"/>
        <v>43749</v>
      </c>
      <c r="Y298" s="383">
        <f t="shared" si="125"/>
        <v>40.503</v>
      </c>
      <c r="Z298" s="383">
        <f t="shared" si="126"/>
        <v>40.711566998970682</v>
      </c>
      <c r="AA298" s="384">
        <f t="shared" si="127"/>
        <v>41.64904578100311</v>
      </c>
      <c r="AB298" s="197">
        <f t="shared" si="128"/>
        <v>43749</v>
      </c>
      <c r="AC298" s="424">
        <f t="shared" si="129"/>
        <v>2.2509009857316482E-2</v>
      </c>
      <c r="AD298" s="169">
        <f>(INDEX(Models!$BJ298:$BT298,,AH298)*(1-AF298)+INDEX(Models!$BJ298:$BT298,,AH298+1)*AF298-ERP_i)*AE298*Ramure*Pc/MaxiM</f>
        <v>2.2584907155793728E-4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20.334</v>
      </c>
      <c r="C299" s="388"/>
      <c r="D299" s="391">
        <f t="shared" si="114"/>
        <v>20.43910003740757</v>
      </c>
      <c r="E299" s="383">
        <f t="shared" si="140"/>
        <v>20.911091488572179</v>
      </c>
      <c r="F299" s="383">
        <f t="shared" si="139"/>
        <v>20.912532278728975</v>
      </c>
      <c r="G299" s="110">
        <f t="shared" si="141"/>
        <v>0.50455617883842152</v>
      </c>
      <c r="I299" s="379">
        <f t="shared" si="115"/>
        <v>20.912532278728975</v>
      </c>
      <c r="J299" s="85">
        <v>2018</v>
      </c>
      <c r="K299" s="197">
        <f t="shared" si="116"/>
        <v>43750</v>
      </c>
      <c r="L299" s="435">
        <f t="shared" si="117"/>
        <v>5.1421069036903244E-3</v>
      </c>
      <c r="M299" s="842"/>
      <c r="N299" s="842"/>
      <c r="O299" s="323">
        <f t="shared" si="118"/>
        <v>2.2571344562408439E-2</v>
      </c>
      <c r="P299" s="169">
        <f>(INDEX(Models!$BJ299:$BT299,,T299)*(1-R299)+INDEX(Models!$BJ299:$BT299,,T299+1)*R299-ERP_i)*Q299*Ramure*Pc/MaxiM</f>
        <v>2.3566814863354785E-4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40.294043506920566</v>
      </c>
      <c r="W299" s="58"/>
      <c r="X299" s="157">
        <f t="shared" si="124"/>
        <v>43750</v>
      </c>
      <c r="Y299" s="383">
        <f t="shared" si="125"/>
        <v>20.334</v>
      </c>
      <c r="Z299" s="383">
        <f t="shared" si="126"/>
        <v>20.43910003740757</v>
      </c>
      <c r="AA299" s="384">
        <f t="shared" si="127"/>
        <v>20.911091488572179</v>
      </c>
      <c r="AB299" s="197">
        <f t="shared" si="128"/>
        <v>43750</v>
      </c>
      <c r="AC299" s="424">
        <f t="shared" si="129"/>
        <v>2.2571344562408439E-2</v>
      </c>
      <c r="AD299" s="169">
        <f>(INDEX(Models!$BJ299:$BT299,,AH299)*(1-AF299)+INDEX(Models!$BJ299:$BT299,,AH299+1)*AF299-ERP_i)*AE299*Ramure*Pc/MaxiM</f>
        <v>2.3566814863354785E-4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38.298999999999999</v>
      </c>
      <c r="C300" s="388"/>
      <c r="D300" s="391">
        <f t="shared" si="114"/>
        <v>38.497693259952797</v>
      </c>
      <c r="E300" s="383">
        <f t="shared" si="140"/>
        <v>39.389197758294294</v>
      </c>
      <c r="F300" s="383">
        <f t="shared" si="139"/>
        <v>39.39832701671196</v>
      </c>
      <c r="G300" s="110">
        <f t="shared" si="141"/>
        <v>0.958988487587767</v>
      </c>
      <c r="I300" s="379">
        <f t="shared" si="115"/>
        <v>39.39832701671196</v>
      </c>
      <c r="J300" s="85">
        <v>2018</v>
      </c>
      <c r="K300" s="197">
        <f t="shared" si="116"/>
        <v>43751</v>
      </c>
      <c r="L300" s="435">
        <f t="shared" si="117"/>
        <v>5.1611731282479312E-3</v>
      </c>
      <c r="M300" s="842"/>
      <c r="N300" s="842"/>
      <c r="O300" s="323">
        <f t="shared" si="118"/>
        <v>2.2633223042827045E-2</v>
      </c>
      <c r="P300" s="169">
        <f>(INDEX(Models!$BJ300:$BT300,,T300)*(1-R300)+INDEX(Models!$BJ300:$BT300,,T300+1)*R300-ERP_i)*Q300*Ramure*Pc/MaxiM</f>
        <v>2.4613241877041649E-4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39.936295657346115</v>
      </c>
      <c r="W300" s="58"/>
      <c r="X300" s="157">
        <f t="shared" si="124"/>
        <v>43751</v>
      </c>
      <c r="Y300" s="383">
        <f t="shared" si="125"/>
        <v>38.298999999999999</v>
      </c>
      <c r="Z300" s="383">
        <f t="shared" si="126"/>
        <v>38.497693259952797</v>
      </c>
      <c r="AA300" s="384">
        <f t="shared" si="127"/>
        <v>39.389197758294294</v>
      </c>
      <c r="AB300" s="197">
        <f t="shared" si="128"/>
        <v>43751</v>
      </c>
      <c r="AC300" s="424">
        <f t="shared" si="129"/>
        <v>2.2633223042827045E-2</v>
      </c>
      <c r="AD300" s="169">
        <f>(INDEX(Models!$BJ300:$BT300,,AH300)*(1-AF300)+INDEX(Models!$BJ300:$BT300,,AH300+1)*AF300-ERP_i)*AE300*Ramure*Pc/MaxiM</f>
        <v>2.4613241877041649E-4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11.923999999999999</v>
      </c>
      <c r="C301" s="388"/>
      <c r="D301" s="391">
        <f t="shared" si="114"/>
        <v>11.98609081494617</v>
      </c>
      <c r="E301" s="383">
        <f t="shared" si="140"/>
        <v>12.264427677608237</v>
      </c>
      <c r="F301" s="383">
        <f t="shared" si="139"/>
        <v>12.264433360343743</v>
      </c>
      <c r="G301" s="110">
        <f t="shared" si="141"/>
        <v>0.30118351906882257</v>
      </c>
      <c r="I301" s="379">
        <f t="shared" si="115"/>
        <v>12.264433360343743</v>
      </c>
      <c r="J301" s="85">
        <v>2018</v>
      </c>
      <c r="K301" s="197">
        <f t="shared" si="116"/>
        <v>43752</v>
      </c>
      <c r="L301" s="435">
        <f t="shared" si="117"/>
        <v>5.1802389874057164E-3</v>
      </c>
      <c r="M301" s="842"/>
      <c r="N301" s="842"/>
      <c r="O301" s="323">
        <f t="shared" si="118"/>
        <v>2.2694647477944811E-2</v>
      </c>
      <c r="P301" s="169">
        <f>(INDEX(Models!$BJ301:$BT301,,T301)*(1-R301)+INDEX(Models!$BJ301:$BT301,,T301+1)*R301-ERP_i)*Q301*Ramure*Pc/MaxiM</f>
        <v>2.5723841703126886E-4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39.58031385498235</v>
      </c>
      <c r="W301" s="58"/>
      <c r="X301" s="157">
        <f t="shared" si="124"/>
        <v>43752</v>
      </c>
      <c r="Y301" s="383">
        <f t="shared" si="125"/>
        <v>11.923999999999999</v>
      </c>
      <c r="Z301" s="383">
        <f t="shared" si="126"/>
        <v>11.98609081494617</v>
      </c>
      <c r="AA301" s="384">
        <f t="shared" si="127"/>
        <v>12.264427677608237</v>
      </c>
      <c r="AB301" s="197">
        <f t="shared" si="128"/>
        <v>43752</v>
      </c>
      <c r="AC301" s="424">
        <f t="shared" si="129"/>
        <v>2.2694647477944811E-2</v>
      </c>
      <c r="AD301" s="169">
        <f>(INDEX(Models!$BJ301:$BT301,,AH301)*(1-AF301)+INDEX(Models!$BJ301:$BT301,,AH301+1)*AF301-ERP_i)*AE301*Ramure*Pc/MaxiM</f>
        <v>2.5723841703126886E-4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31.414000000000001</v>
      </c>
      <c r="C302" s="388"/>
      <c r="D302" s="391">
        <f t="shared" si="114"/>
        <v>31.57818459668076</v>
      </c>
      <c r="E302" s="383">
        <f t="shared" si="140"/>
        <v>32.31349832616575</v>
      </c>
      <c r="F302" s="383">
        <f t="shared" si="139"/>
        <v>32.319718219874517</v>
      </c>
      <c r="G302" s="110">
        <f t="shared" si="141"/>
        <v>0.80077001000664627</v>
      </c>
      <c r="I302" s="379">
        <f t="shared" si="115"/>
        <v>32.319718219874517</v>
      </c>
      <c r="J302" s="85">
        <v>2018</v>
      </c>
      <c r="K302" s="197">
        <f t="shared" si="116"/>
        <v>43753</v>
      </c>
      <c r="L302" s="435">
        <f t="shared" si="117"/>
        <v>5.1993044811706746E-3</v>
      </c>
      <c r="M302" s="842"/>
      <c r="N302" s="842"/>
      <c r="O302" s="323">
        <f t="shared" si="118"/>
        <v>2.2755621259663166E-2</v>
      </c>
      <c r="P302" s="169">
        <f>(INDEX(Models!$BJ302:$BT302,,T302)*(1-R302)+INDEX(Models!$BJ302:$BT302,,T302+1)*R302-ERP_i)*Q302*Ramure*Pc/MaxiM</f>
        <v>2.6898122360666308E-4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39.226737961948309</v>
      </c>
      <c r="W302" s="58"/>
      <c r="X302" s="157">
        <f t="shared" si="124"/>
        <v>43753</v>
      </c>
      <c r="Y302" s="383">
        <f t="shared" si="125"/>
        <v>31.414000000000005</v>
      </c>
      <c r="Z302" s="383">
        <f t="shared" si="126"/>
        <v>31.578184596680764</v>
      </c>
      <c r="AA302" s="384">
        <f t="shared" si="127"/>
        <v>32.31349832616575</v>
      </c>
      <c r="AB302" s="197">
        <f t="shared" si="128"/>
        <v>43753</v>
      </c>
      <c r="AC302" s="424">
        <f t="shared" si="129"/>
        <v>2.2755621259663166E-2</v>
      </c>
      <c r="AD302" s="169">
        <f>(INDEX(Models!$BJ302:$BT302,,AH302)*(1-AF302)+INDEX(Models!$BJ302:$BT302,,AH302+1)*AF302-ERP_i)*AE302*Ramure*Pc/MaxiM</f>
        <v>2.6898122360666308E-4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32.549999999999997</v>
      </c>
      <c r="C303" s="388"/>
      <c r="D303" s="391">
        <f t="shared" si="114"/>
        <v>32.720748961984924</v>
      </c>
      <c r="E303" s="383">
        <f t="shared" si="140"/>
        <v>33.484741821570964</v>
      </c>
      <c r="F303" s="383">
        <f t="shared" si="139"/>
        <v>33.491975682750187</v>
      </c>
      <c r="G303" s="110">
        <f t="shared" si="141"/>
        <v>0.83727763475080708</v>
      </c>
      <c r="I303" s="379">
        <f t="shared" si="115"/>
        <v>33.491975682750187</v>
      </c>
      <c r="J303" s="85">
        <v>2018</v>
      </c>
      <c r="K303" s="197">
        <f t="shared" si="116"/>
        <v>43754</v>
      </c>
      <c r="L303" s="435">
        <f t="shared" si="117"/>
        <v>5.2183696095498E-3</v>
      </c>
      <c r="M303" s="842"/>
      <c r="N303" s="842"/>
      <c r="O303" s="323">
        <f t="shared" si="118"/>
        <v>2.2816149028626356E-2</v>
      </c>
      <c r="P303" s="169">
        <f>(INDEX(Models!$BJ303:$BT303,,T303)*(1-R303)+INDEX(Models!$BJ303:$BT303,,T303+1)*R303-ERP_i)*Q303*Ramure*Pc/MaxiM</f>
        <v>2.8137429332133871E-4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38.873451125307604</v>
      </c>
      <c r="W303" s="58"/>
      <c r="X303" s="157">
        <f t="shared" si="124"/>
        <v>43754</v>
      </c>
      <c r="Y303" s="383">
        <f t="shared" si="125"/>
        <v>32.549999999999997</v>
      </c>
      <c r="Z303" s="383">
        <f t="shared" si="126"/>
        <v>32.720748961984924</v>
      </c>
      <c r="AA303" s="384">
        <f t="shared" si="127"/>
        <v>33.484741821570964</v>
      </c>
      <c r="AB303" s="197">
        <f t="shared" si="128"/>
        <v>43754</v>
      </c>
      <c r="AC303" s="424">
        <f t="shared" si="129"/>
        <v>2.2816149028626356E-2</v>
      </c>
      <c r="AD303" s="169">
        <f>(INDEX(Models!$BJ303:$BT303,,AH303)*(1-AF303)+INDEX(Models!$BJ303:$BT303,,AH303+1)*AF303-ERP_i)*AE303*Ramure*Pc/MaxiM</f>
        <v>2.8137429332133871E-4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19.739999999999998</v>
      </c>
      <c r="C304" s="388"/>
      <c r="D304" s="391">
        <f t="shared" si="114"/>
        <v>19.843931287813312</v>
      </c>
      <c r="E304" s="383">
        <f t="shared" si="140"/>
        <v>20.308513653250582</v>
      </c>
      <c r="F304" s="383">
        <f t="shared" si="139"/>
        <v>20.310327668561452</v>
      </c>
      <c r="G304" s="110">
        <f t="shared" si="141"/>
        <v>0.51237899880720661</v>
      </c>
      <c r="I304" s="379">
        <f t="shared" si="115"/>
        <v>20.310327668561452</v>
      </c>
      <c r="J304" s="85">
        <v>2018</v>
      </c>
      <c r="K304" s="197">
        <f t="shared" si="116"/>
        <v>43755</v>
      </c>
      <c r="L304" s="435">
        <f t="shared" si="117"/>
        <v>5.2374343725500871E-3</v>
      </c>
      <c r="M304" s="842"/>
      <c r="N304" s="842"/>
      <c r="O304" s="323">
        <f t="shared" si="118"/>
        <v>2.2876236703955499E-2</v>
      </c>
      <c r="P304" s="169">
        <f>(INDEX(Models!$BJ304:$BT304,,T304)*(1-R304)+INDEX(Models!$BJ304:$BT304,,T304+1)*R304-ERP_i)*Q304*Ramure*Pc/MaxiM</f>
        <v>2.9423597427372014E-4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38.518273666619081</v>
      </c>
      <c r="W304" s="58"/>
      <c r="X304" s="157">
        <f t="shared" si="124"/>
        <v>43755</v>
      </c>
      <c r="Y304" s="383">
        <f t="shared" si="125"/>
        <v>19.739999999999998</v>
      </c>
      <c r="Z304" s="383">
        <f t="shared" si="126"/>
        <v>19.843931287813312</v>
      </c>
      <c r="AA304" s="384">
        <f t="shared" si="127"/>
        <v>20.308513653250582</v>
      </c>
      <c r="AB304" s="197">
        <f t="shared" si="128"/>
        <v>43755</v>
      </c>
      <c r="AC304" s="424">
        <f t="shared" si="129"/>
        <v>2.2876236703955499E-2</v>
      </c>
      <c r="AD304" s="169">
        <f>(INDEX(Models!$BJ304:$BT304,,AH304)*(1-AF304)+INDEX(Models!$BJ304:$BT304,,AH304+1)*AF304-ERP_i)*AE304*Ramure*Pc/MaxiM</f>
        <v>2.9423597427372014E-4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14.943</v>
      </c>
      <c r="C305" s="388"/>
      <c r="D305" s="391">
        <f t="shared" si="114"/>
        <v>15.021962929665454</v>
      </c>
      <c r="E305" s="383">
        <f t="shared" si="140"/>
        <v>15.374592924941735</v>
      </c>
      <c r="F305" s="383">
        <f t="shared" si="139"/>
        <v>15.37521056257399</v>
      </c>
      <c r="G305" s="110">
        <f t="shared" si="141"/>
        <v>0.39146549637735761</v>
      </c>
      <c r="I305" s="379">
        <f t="shared" si="115"/>
        <v>15.37521056257399</v>
      </c>
      <c r="J305" s="85">
        <v>2018</v>
      </c>
      <c r="K305" s="197">
        <f t="shared" si="116"/>
        <v>43756</v>
      </c>
      <c r="L305" s="435">
        <f t="shared" si="117"/>
        <v>5.2564987701785304E-3</v>
      </c>
      <c r="M305" s="842"/>
      <c r="N305" s="842"/>
      <c r="O305" s="323">
        <f t="shared" si="118"/>
        <v>2.2935891506058698E-2</v>
      </c>
      <c r="P305" s="169">
        <f>(INDEX(Models!$BJ305:$BT305,,T305)*(1-R305)+INDEX(Models!$BJ305:$BT305,,T305+1)*R305-ERP_i)*Q305*Ramure*Pc/MaxiM</f>
        <v>3.0708416923685029E-4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38.161757535665473</v>
      </c>
      <c r="W305" s="58"/>
      <c r="X305" s="157">
        <f t="shared" si="124"/>
        <v>43756</v>
      </c>
      <c r="Y305" s="383">
        <f t="shared" si="125"/>
        <v>14.943</v>
      </c>
      <c r="Z305" s="383">
        <f t="shared" si="126"/>
        <v>15.021962929665454</v>
      </c>
      <c r="AA305" s="384">
        <f t="shared" si="127"/>
        <v>15.374592924941735</v>
      </c>
      <c r="AB305" s="197">
        <f t="shared" si="128"/>
        <v>43756</v>
      </c>
      <c r="AC305" s="424">
        <f t="shared" si="129"/>
        <v>2.2935891506058698E-2</v>
      </c>
      <c r="AD305" s="169">
        <f>(INDEX(Models!$BJ305:$BT305,,AH305)*(1-AF305)+INDEX(Models!$BJ305:$BT305,,AH305+1)*AF305-ERP_i)*AE305*Ramure*Pc/MaxiM</f>
        <v>3.0708416923685029E-4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29.605</v>
      </c>
      <c r="C306" s="388"/>
      <c r="D306" s="391">
        <f t="shared" si="114"/>
        <v>29.762011360056977</v>
      </c>
      <c r="E306" s="383">
        <f t="shared" si="140"/>
        <v>30.46250026932589</v>
      </c>
      <c r="F306" s="383">
        <f t="shared" si="139"/>
        <v>30.469227535807441</v>
      </c>
      <c r="G306" s="110">
        <f t="shared" si="141"/>
        <v>0.7830315199440343</v>
      </c>
      <c r="I306" s="379">
        <f t="shared" si="115"/>
        <v>30.469227535807441</v>
      </c>
      <c r="J306" s="85">
        <v>2018</v>
      </c>
      <c r="K306" s="197">
        <f t="shared" si="116"/>
        <v>43757</v>
      </c>
      <c r="L306" s="435">
        <f t="shared" si="117"/>
        <v>5.2755628024421242E-3</v>
      </c>
      <c r="M306" s="842"/>
      <c r="N306" s="842"/>
      <c r="O306" s="323">
        <f t="shared" si="118"/>
        <v>2.299512197212079E-2</v>
      </c>
      <c r="P306" s="169">
        <f>(INDEX(Models!$BJ306:$BT306,,T306)*(1-R306)+INDEX(Models!$BJ306:$BT306,,T306+1)*R306-ERP_i)*Q306*Ramure*Pc/MaxiM</f>
        <v>3.1991157538266906E-4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37.80443579912118</v>
      </c>
      <c r="W306" s="58"/>
      <c r="X306" s="157">
        <f t="shared" si="124"/>
        <v>43757</v>
      </c>
      <c r="Y306" s="383">
        <f t="shared" si="125"/>
        <v>29.605</v>
      </c>
      <c r="Z306" s="383">
        <f t="shared" si="126"/>
        <v>29.762011360056977</v>
      </c>
      <c r="AA306" s="384">
        <f t="shared" si="127"/>
        <v>30.46250026932589</v>
      </c>
      <c r="AB306" s="197">
        <f t="shared" si="128"/>
        <v>43757</v>
      </c>
      <c r="AC306" s="424">
        <f t="shared" si="129"/>
        <v>2.299512197212079E-2</v>
      </c>
      <c r="AD306" s="169">
        <f>(INDEX(Models!$BJ306:$BT306,,AH306)*(1-AF306)+INDEX(Models!$BJ306:$BT306,,AH306+1)*AF306-ERP_i)*AE306*Ramure*Pc/MaxiM</f>
        <v>3.1991157538266906E-4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12.15</v>
      </c>
      <c r="C307" s="388"/>
      <c r="D307" s="391">
        <f t="shared" si="114"/>
        <v>12.214672126354603</v>
      </c>
      <c r="E307" s="383">
        <f t="shared" si="140"/>
        <v>12.502913518989743</v>
      </c>
      <c r="F307" s="383">
        <f t="shared" si="139"/>
        <v>12.503058877371188</v>
      </c>
      <c r="G307" s="110">
        <f t="shared" si="141"/>
        <v>0.32435576293562196</v>
      </c>
      <c r="I307" s="379">
        <f t="shared" si="115"/>
        <v>12.503058877371188</v>
      </c>
      <c r="J307" s="85">
        <v>2018</v>
      </c>
      <c r="K307" s="197">
        <f t="shared" si="116"/>
        <v>43758</v>
      </c>
      <c r="L307" s="435">
        <f t="shared" si="117"/>
        <v>5.2946264693478629E-3</v>
      </c>
      <c r="M307" s="842"/>
      <c r="N307" s="842"/>
      <c r="O307" s="323">
        <f t="shared" si="118"/>
        <v>2.3053937963927434E-2</v>
      </c>
      <c r="P307" s="169">
        <f>(INDEX(Models!$BJ307:$BT307,,T307)*(1-R307)+INDEX(Models!$BJ307:$BT307,,T307+1)*R307-ERP_i)*Q307*Ramure*Pc/MaxiM</f>
        <v>3.3271041605709801E-4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37.446841292230246</v>
      </c>
      <c r="W307" s="58"/>
      <c r="X307" s="157">
        <f t="shared" si="124"/>
        <v>43758</v>
      </c>
      <c r="Y307" s="383">
        <f t="shared" si="125"/>
        <v>12.15</v>
      </c>
      <c r="Z307" s="383">
        <f t="shared" si="126"/>
        <v>12.214672126354603</v>
      </c>
      <c r="AA307" s="384">
        <f t="shared" si="127"/>
        <v>12.502913518989743</v>
      </c>
      <c r="AB307" s="197">
        <f t="shared" si="128"/>
        <v>43758</v>
      </c>
      <c r="AC307" s="424">
        <f t="shared" si="129"/>
        <v>2.3053937963927434E-2</v>
      </c>
      <c r="AD307" s="169">
        <f>(INDEX(Models!$BJ307:$BT307,,AH307)*(1-AF307)+INDEX(Models!$BJ307:$BT307,,AH307+1)*AF307-ERP_i)*AE307*Ramure*Pc/MaxiM</f>
        <v>3.3271041605709801E-4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23.722999999999999</v>
      </c>
      <c r="C308" s="388"/>
      <c r="D308" s="391">
        <f t="shared" si="114"/>
        <v>23.849730066694185</v>
      </c>
      <c r="E308" s="383">
        <f t="shared" si="140"/>
        <v>24.413994877503335</v>
      </c>
      <c r="F308" s="383">
        <f t="shared" si="139"/>
        <v>24.418087613545492</v>
      </c>
      <c r="G308" s="110">
        <f t="shared" si="141"/>
        <v>0.6395010891713715</v>
      </c>
      <c r="I308" s="379">
        <f t="shared" si="115"/>
        <v>24.418087613545492</v>
      </c>
      <c r="J308" s="85">
        <v>2018</v>
      </c>
      <c r="K308" s="197">
        <f t="shared" si="116"/>
        <v>43759</v>
      </c>
      <c r="L308" s="435">
        <f t="shared" si="117"/>
        <v>5.3136897709028519E-3</v>
      </c>
      <c r="M308" s="842"/>
      <c r="N308" s="842"/>
      <c r="O308" s="323">
        <f t="shared" si="118"/>
        <v>2.3112350667735201E-2</v>
      </c>
      <c r="P308" s="169">
        <f>(INDEX(Models!$BJ308:$BT308,,T308)*(1-R308)+INDEX(Models!$BJ308:$BT308,,T308+1)*R308-ERP_i)*Q308*Ramure*Pc/MaxiM</f>
        <v>3.4547245752814074E-4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37.089506621658884</v>
      </c>
      <c r="W308" s="58"/>
      <c r="X308" s="157">
        <f t="shared" si="124"/>
        <v>43759</v>
      </c>
      <c r="Y308" s="383">
        <f t="shared" si="125"/>
        <v>23.722999999999999</v>
      </c>
      <c r="Z308" s="383">
        <f t="shared" si="126"/>
        <v>23.849730066694185</v>
      </c>
      <c r="AA308" s="384">
        <f t="shared" si="127"/>
        <v>24.413994877503335</v>
      </c>
      <c r="AB308" s="197">
        <f t="shared" si="128"/>
        <v>43759</v>
      </c>
      <c r="AC308" s="424">
        <f t="shared" si="129"/>
        <v>2.3112350667735201E-2</v>
      </c>
      <c r="AD308" s="169">
        <f>(INDEX(Models!$BJ308:$BT308,,AH308)*(1-AF308)+INDEX(Models!$BJ308:$BT308,,AH308+1)*AF308-ERP_i)*AE308*Ramure*Pc/MaxiM</f>
        <v>3.4547245752814074E-4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4.7590000000000003</v>
      </c>
      <c r="C309" s="388"/>
      <c r="D309" s="391">
        <f t="shared" si="114"/>
        <v>4.7845146333632949</v>
      </c>
      <c r="E309" s="383">
        <f t="shared" si="140"/>
        <v>4.8980031922550573</v>
      </c>
      <c r="F309" s="383">
        <f t="shared" si="139"/>
        <v>4.8980031922550573</v>
      </c>
      <c r="G309" s="110">
        <f t="shared" si="141"/>
        <v>0.12951025015001025</v>
      </c>
      <c r="I309" s="379">
        <f t="shared" si="115"/>
        <v>4.8980031922550573</v>
      </c>
      <c r="J309" s="85">
        <v>2018</v>
      </c>
      <c r="K309" s="197">
        <f t="shared" si="116"/>
        <v>43760</v>
      </c>
      <c r="L309" s="435">
        <f t="shared" si="117"/>
        <v>5.3327527071139746E-3</v>
      </c>
      <c r="M309" s="842"/>
      <c r="N309" s="842"/>
      <c r="O309" s="323">
        <f t="shared" si="118"/>
        <v>2.31703725859582E-2</v>
      </c>
      <c r="P309" s="169">
        <f>(INDEX(Models!$BJ309:$BT309,,T309)*(1-R309)+INDEX(Models!$BJ309:$BT309,,T309+1)*R309-ERP_i)*Q309*Ramure*Pc/MaxiM</f>
        <v>3.581890262874327E-4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36.732964170122266</v>
      </c>
      <c r="W309" s="58"/>
      <c r="X309" s="157">
        <f t="shared" si="124"/>
        <v>43760</v>
      </c>
      <c r="Y309" s="383">
        <f t="shared" si="125"/>
        <v>4.7590000000000003</v>
      </c>
      <c r="Z309" s="383">
        <f t="shared" si="126"/>
        <v>4.7845146333632949</v>
      </c>
      <c r="AA309" s="384">
        <f t="shared" si="127"/>
        <v>4.8980031922550573</v>
      </c>
      <c r="AB309" s="197">
        <f t="shared" si="128"/>
        <v>43760</v>
      </c>
      <c r="AC309" s="424">
        <f t="shared" si="129"/>
        <v>2.31703725859582E-2</v>
      </c>
      <c r="AD309" s="169">
        <f>(INDEX(Models!$BJ309:$BT309,,AH309)*(1-AF309)+INDEX(Models!$BJ309:$BT309,,AH309+1)*AF309-ERP_i)*AE309*Ramure*Pc/MaxiM</f>
        <v>3.581890262874327E-4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17.518000000000001</v>
      </c>
      <c r="C310" s="388"/>
      <c r="D310" s="391">
        <f t="shared" si="114"/>
        <v>17.612257549030769</v>
      </c>
      <c r="E310" s="383">
        <f t="shared" si="140"/>
        <v>18.031083881340248</v>
      </c>
      <c r="F310" s="383">
        <f t="shared" si="139"/>
        <v>18.032818335876019</v>
      </c>
      <c r="G310" s="110">
        <f t="shared" si="141"/>
        <v>0.48142586563930195</v>
      </c>
      <c r="I310" s="379">
        <f t="shared" si="115"/>
        <v>18.032818335876019</v>
      </c>
      <c r="J310" s="85">
        <v>2018</v>
      </c>
      <c r="K310" s="197">
        <f t="shared" si="116"/>
        <v>43761</v>
      </c>
      <c r="L310" s="435">
        <f t="shared" si="117"/>
        <v>5.3518152779883366E-3</v>
      </c>
      <c r="M310" s="842"/>
      <c r="N310" s="842"/>
      <c r="O310" s="323">
        <f t="shared" si="118"/>
        <v>2.3228017520505788E-2</v>
      </c>
      <c r="P310" s="169">
        <f>(INDEX(Models!$BJ310:$BT310,,T310)*(1-R310)+INDEX(Models!$BJ310:$BT310,,T310+1)*R310-ERP_i)*Q310*Ramure*Pc/MaxiM</f>
        <v>3.7083577894549938E-4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36.377746655555271</v>
      </c>
      <c r="W310" s="58"/>
      <c r="X310" s="157">
        <f t="shared" si="124"/>
        <v>43761</v>
      </c>
      <c r="Y310" s="383">
        <f t="shared" si="125"/>
        <v>17.518000000000001</v>
      </c>
      <c r="Z310" s="383">
        <f t="shared" si="126"/>
        <v>17.612257549030769</v>
      </c>
      <c r="AA310" s="384">
        <f t="shared" si="127"/>
        <v>18.031083881340248</v>
      </c>
      <c r="AB310" s="197">
        <f t="shared" si="128"/>
        <v>43761</v>
      </c>
      <c r="AC310" s="424">
        <f t="shared" si="129"/>
        <v>2.3228017520505788E-2</v>
      </c>
      <c r="AD310" s="169">
        <f>(INDEX(Models!$BJ310:$BT310,,AH310)*(1-AF310)+INDEX(Models!$BJ310:$BT310,,AH310+1)*AF310-ERP_i)*AE310*Ramure*Pc/MaxiM</f>
        <v>3.7083577894549938E-4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17.276</v>
      </c>
      <c r="C311" s="388"/>
      <c r="D311" s="391">
        <f t="shared" si="114"/>
        <v>17.369288319540409</v>
      </c>
      <c r="E311" s="383">
        <f t="shared" si="140"/>
        <v>17.783379659669151</v>
      </c>
      <c r="F311" s="383">
        <f t="shared" si="139"/>
        <v>17.785128153170593</v>
      </c>
      <c r="G311" s="110">
        <f t="shared" si="141"/>
        <v>0.47942730456455424</v>
      </c>
      <c r="I311" s="379">
        <f t="shared" si="115"/>
        <v>17.785128153170593</v>
      </c>
      <c r="J311" s="85">
        <v>2018</v>
      </c>
      <c r="K311" s="197">
        <f t="shared" si="116"/>
        <v>43762</v>
      </c>
      <c r="L311" s="435">
        <f t="shared" si="117"/>
        <v>5.370877483532821E-3</v>
      </c>
      <c r="M311" s="842"/>
      <c r="N311" s="842"/>
      <c r="O311" s="323">
        <f t="shared" si="118"/>
        <v>2.3285300547671334E-2</v>
      </c>
      <c r="P311" s="169">
        <f>(INDEX(Models!$BJ311:$BT311,,T311)*(1-R311)+INDEX(Models!$BJ311:$BT311,,T311+1)*R311-ERP_i)*Q311*Ramure*Pc/MaxiM</f>
        <v>3.832532759529023E-4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36.024391410343092</v>
      </c>
      <c r="W311" s="58"/>
      <c r="X311" s="157">
        <f t="shared" si="124"/>
        <v>43762</v>
      </c>
      <c r="Y311" s="383">
        <f t="shared" si="125"/>
        <v>17.276</v>
      </c>
      <c r="Z311" s="383">
        <f t="shared" si="126"/>
        <v>17.369288319540409</v>
      </c>
      <c r="AA311" s="384">
        <f t="shared" si="127"/>
        <v>17.783379659669151</v>
      </c>
      <c r="AB311" s="197">
        <f t="shared" si="128"/>
        <v>43762</v>
      </c>
      <c r="AC311" s="424">
        <f t="shared" si="129"/>
        <v>2.3285300547671334E-2</v>
      </c>
      <c r="AD311" s="169">
        <f>(INDEX(Models!$BJ311:$BT311,,AH311)*(1-AF311)+INDEX(Models!$BJ311:$BT311,,AH311+1)*AF311-ERP_i)*AE311*Ramure*Pc/MaxiM</f>
        <v>3.832532759529023E-4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29.623000000000001</v>
      </c>
      <c r="C312" s="388"/>
      <c r="D312" s="391">
        <f t="shared" si="114"/>
        <v>29.783531427239957</v>
      </c>
      <c r="E312" s="383">
        <f t="shared" si="140"/>
        <v>30.495361410713389</v>
      </c>
      <c r="F312" s="383">
        <f t="shared" si="139"/>
        <v>30.504501263256913</v>
      </c>
      <c r="G312" s="110">
        <f t="shared" si="141"/>
        <v>0.83031435486593541</v>
      </c>
      <c r="I312" s="379">
        <f t="shared" si="115"/>
        <v>30.504501263256913</v>
      </c>
      <c r="J312" s="85">
        <v>2018</v>
      </c>
      <c r="K312" s="197">
        <f t="shared" si="116"/>
        <v>43763</v>
      </c>
      <c r="L312" s="435">
        <f t="shared" si="117"/>
        <v>5.3899393237544224E-3</v>
      </c>
      <c r="M312" s="842"/>
      <c r="N312" s="842"/>
      <c r="O312" s="323">
        <f t="shared" si="118"/>
        <v>2.3342237984540031E-2</v>
      </c>
      <c r="P312" s="169">
        <f>(INDEX(Models!$BJ312:$BT312,,T312)*(1-R312)+INDEX(Models!$BJ312:$BT312,,T312+1)*R312-ERP_i)*Q312*Ramure*Pc/MaxiM</f>
        <v>3.9543467287596904E-4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35.673429886969828</v>
      </c>
      <c r="W312" s="58"/>
      <c r="X312" s="157">
        <f t="shared" si="124"/>
        <v>43763</v>
      </c>
      <c r="Y312" s="383">
        <f t="shared" si="125"/>
        <v>29.623000000000001</v>
      </c>
      <c r="Z312" s="383">
        <f t="shared" si="126"/>
        <v>29.783531427239957</v>
      </c>
      <c r="AA312" s="384">
        <f t="shared" si="127"/>
        <v>30.495361410713389</v>
      </c>
      <c r="AB312" s="197">
        <f t="shared" si="128"/>
        <v>43763</v>
      </c>
      <c r="AC312" s="424">
        <f t="shared" si="129"/>
        <v>2.3342237984540031E-2</v>
      </c>
      <c r="AD312" s="169">
        <f>(INDEX(Models!$BJ312:$BT312,,AH312)*(1-AF312)+INDEX(Models!$BJ312:$BT312,,AH312+1)*AF312-ERP_i)*AE312*Ramure*Pc/MaxiM</f>
        <v>3.9543467287596904E-4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34.856000000000002</v>
      </c>
      <c r="C313" s="388"/>
      <c r="D313" s="391">
        <f t="shared" si="114"/>
        <v>35.045561469980626</v>
      </c>
      <c r="E313" s="383">
        <f t="shared" si="140"/>
        <v>35.885234596309274</v>
      </c>
      <c r="F313" s="383">
        <f t="shared" si="139"/>
        <v>35.899581400046522</v>
      </c>
      <c r="G313" s="110">
        <f t="shared" si="141"/>
        <v>0.98670466096012843</v>
      </c>
      <c r="I313" s="379">
        <f t="shared" si="115"/>
        <v>35.899581400046522</v>
      </c>
      <c r="J313" s="85">
        <v>2018</v>
      </c>
      <c r="K313" s="197">
        <f t="shared" si="116"/>
        <v>43764</v>
      </c>
      <c r="L313" s="435">
        <f t="shared" si="117"/>
        <v>5.4090007986602462E-3</v>
      </c>
      <c r="M313" s="842"/>
      <c r="N313" s="842"/>
      <c r="O313" s="323">
        <f t="shared" si="118"/>
        <v>2.33988473469533E-2</v>
      </c>
      <c r="P313" s="169">
        <f>(INDEX(Models!$BJ313:$BT313,,T313)*(1-R313)+INDEX(Models!$BJ313:$BT313,,T313+1)*R313-ERP_i)*Q313*Ramure*Pc/MaxiM</f>
        <v>4.0736995031215865E-4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35.32539343764018</v>
      </c>
      <c r="W313" s="58"/>
      <c r="X313" s="157">
        <f t="shared" si="124"/>
        <v>43764</v>
      </c>
      <c r="Y313" s="383">
        <f t="shared" si="125"/>
        <v>34.856000000000002</v>
      </c>
      <c r="Z313" s="383">
        <f t="shared" si="126"/>
        <v>35.045561469980626</v>
      </c>
      <c r="AA313" s="384">
        <f t="shared" si="127"/>
        <v>35.885234596309274</v>
      </c>
      <c r="AB313" s="197">
        <f t="shared" si="128"/>
        <v>43764</v>
      </c>
      <c r="AC313" s="424">
        <f t="shared" si="129"/>
        <v>2.33988473469533E-2</v>
      </c>
      <c r="AD313" s="169">
        <f>(INDEX(Models!$BJ313:$BT313,,AH313)*(1-AF313)+INDEX(Models!$BJ313:$BT313,,AH313+1)*AF313-ERP_i)*AE313*Ramure*Pc/MaxiM</f>
        <v>4.0736995031215865E-4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23.995000000000001</v>
      </c>
      <c r="C314" s="388"/>
      <c r="D314" s="391">
        <f t="shared" si="114"/>
        <v>24.125957189219047</v>
      </c>
      <c r="E314" s="383">
        <f t="shared" si="140"/>
        <v>24.705426609431303</v>
      </c>
      <c r="F314" s="383">
        <f t="shared" si="139"/>
        <v>24.711135971353162</v>
      </c>
      <c r="G314" s="110">
        <f>+Wh_hp/MaxiM</f>
        <v>0.68581846965358451</v>
      </c>
      <c r="I314" s="379">
        <f t="shared" si="115"/>
        <v>24.711135971353162</v>
      </c>
      <c r="J314" s="85">
        <v>2018</v>
      </c>
      <c r="K314" s="197">
        <f t="shared" si="116"/>
        <v>43765</v>
      </c>
      <c r="L314" s="435">
        <f t="shared" si="117"/>
        <v>5.4280619082572867E-3</v>
      </c>
      <c r="M314" s="842"/>
      <c r="N314" s="842"/>
      <c r="O314" s="323">
        <f t="shared" si="118"/>
        <v>2.3455147299138047E-2</v>
      </c>
      <c r="P314" s="169">
        <f>(INDEX(Models!$BJ314:$BT314,,T314)*(1-R314)+INDEX(Models!$BJ314:$BT314,,T314+1)*R314-ERP_i)*Q314*Ramure*Pc/MaxiM</f>
        <v>4.1904891040424124E-4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34.980813208383687</v>
      </c>
      <c r="W314" s="58"/>
      <c r="X314" s="157">
        <f t="shared" si="124"/>
        <v>43765</v>
      </c>
      <c r="Y314" s="383">
        <f t="shared" si="125"/>
        <v>23.995000000000001</v>
      </c>
      <c r="Z314" s="383">
        <f t="shared" si="126"/>
        <v>24.125957189219047</v>
      </c>
      <c r="AA314" s="384">
        <f t="shared" si="127"/>
        <v>24.705426609431303</v>
      </c>
      <c r="AB314" s="197">
        <f t="shared" si="128"/>
        <v>43765</v>
      </c>
      <c r="AC314" s="424">
        <f t="shared" si="129"/>
        <v>2.3455147299138047E-2</v>
      </c>
      <c r="AD314" s="169">
        <f>(INDEX(Models!$BJ314:$BT314,,AH314)*(1-AF314)+INDEX(Models!$BJ314:$BT314,,AH314+1)*AF314-ERP_i)*AE314*Ramure*Pc/MaxiM</f>
        <v>4.1904891040424124E-4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9.3439999999999994</v>
      </c>
      <c r="C315" s="388"/>
      <c r="D315" s="391">
        <f t="shared" si="114"/>
        <v>9.395176679716819</v>
      </c>
      <c r="E315" s="383">
        <f t="shared" si="140"/>
        <v>9.6213866167473121</v>
      </c>
      <c r="F315" s="383">
        <f t="shared" si="139"/>
        <v>9.6213866167473121</v>
      </c>
      <c r="G315" s="110">
        <f t="shared" si="141"/>
        <v>0.26962812968974503</v>
      </c>
      <c r="I315" s="379">
        <f t="shared" si="115"/>
        <v>9.6213866167473121</v>
      </c>
      <c r="J315" s="85">
        <v>2018</v>
      </c>
      <c r="K315" s="197">
        <f t="shared" si="116"/>
        <v>43766</v>
      </c>
      <c r="L315" s="435">
        <f t="shared" si="117"/>
        <v>5.4471226525525385E-3</v>
      </c>
      <c r="M315" s="842"/>
      <c r="N315" s="842"/>
      <c r="O315" s="323">
        <f t="shared" si="118"/>
        <v>2.3511157595179102E-2</v>
      </c>
      <c r="P315" s="169">
        <f>(INDEX(Models!$BJ315:$BT315,,T315)*(1-R315)+INDEX(Models!$BJ315:$BT315,,T315+1)*R315-ERP_i)*Q315*Ramure*Pc/MaxiM</f>
        <v>4.3046120838270691E-4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34.640220147712974</v>
      </c>
      <c r="W315" s="58"/>
      <c r="X315" s="157">
        <f t="shared" si="124"/>
        <v>43766</v>
      </c>
      <c r="Y315" s="383">
        <f t="shared" si="125"/>
        <v>9.3439999999999994</v>
      </c>
      <c r="Z315" s="383">
        <f t="shared" si="126"/>
        <v>9.395176679716819</v>
      </c>
      <c r="AA315" s="384">
        <f t="shared" si="127"/>
        <v>9.6213866167473121</v>
      </c>
      <c r="AB315" s="197">
        <f t="shared" si="128"/>
        <v>43766</v>
      </c>
      <c r="AC315" s="424">
        <f t="shared" si="129"/>
        <v>2.3511157595179102E-2</v>
      </c>
      <c r="AD315" s="169">
        <f>(INDEX(Models!$BJ315:$BT315,,AH315)*(1-AF315)+INDEX(Models!$BJ315:$BT315,,AH315+1)*AF315-ERP_i)*AE315*Ramure*Pc/MaxiM</f>
        <v>4.3046120838270691E-4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28.907</v>
      </c>
      <c r="C316" s="388"/>
      <c r="D316" s="391">
        <f t="shared" si="114"/>
        <v>29.065879416865634</v>
      </c>
      <c r="E316" s="383">
        <f t="shared" si="140"/>
        <v>29.767404840611015</v>
      </c>
      <c r="F316" s="383">
        <f t="shared" si="139"/>
        <v>29.777598995663187</v>
      </c>
      <c r="G316" s="110">
        <f t="shared" si="141"/>
        <v>0.8425841802018702</v>
      </c>
      <c r="I316" s="379">
        <f t="shared" si="115"/>
        <v>29.777598995663187</v>
      </c>
      <c r="J316" s="85">
        <v>2018</v>
      </c>
      <c r="K316" s="197">
        <f t="shared" si="116"/>
        <v>43767</v>
      </c>
      <c r="L316" s="435">
        <f t="shared" si="117"/>
        <v>5.4661830315528848E-3</v>
      </c>
      <c r="M316" s="842"/>
      <c r="N316" s="842"/>
      <c r="O316" s="323">
        <f t="shared" si="118"/>
        <v>2.3566899012583954E-2</v>
      </c>
      <c r="P316" s="169">
        <f>(INDEX(Models!$BJ316:$BT316,,T316)*(1-R316)+INDEX(Models!$BJ316:$BT316,,T316+1)*R316-ERP_i)*Q316*Ramure*Pc/MaxiM</f>
        <v>4.4159638324961866E-4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34.304145011806462</v>
      </c>
      <c r="W316" s="58"/>
      <c r="X316" s="157">
        <f t="shared" si="124"/>
        <v>43767</v>
      </c>
      <c r="Y316" s="383">
        <f t="shared" si="125"/>
        <v>28.907</v>
      </c>
      <c r="Z316" s="383">
        <f t="shared" si="126"/>
        <v>29.065879416865634</v>
      </c>
      <c r="AA316" s="384">
        <f t="shared" si="127"/>
        <v>29.767404840611015</v>
      </c>
      <c r="AB316" s="197">
        <f t="shared" si="128"/>
        <v>43767</v>
      </c>
      <c r="AC316" s="424">
        <f t="shared" si="129"/>
        <v>2.3566899012583954E-2</v>
      </c>
      <c r="AD316" s="169">
        <f>(INDEX(Models!$BJ316:$BT316,,AH316)*(1-AF316)+INDEX(Models!$BJ316:$BT316,,AH316+1)*AF316-ERP_i)*AE316*Ramure*Pc/MaxiM</f>
        <v>4.4159638324961866E-4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22.518000000000001</v>
      </c>
      <c r="C317" s="388"/>
      <c r="D317" s="391">
        <f t="shared" si="114"/>
        <v>22.642197958883489</v>
      </c>
      <c r="E317" s="383">
        <f t="shared" si="140"/>
        <v>23.190001289466572</v>
      </c>
      <c r="F317" s="383">
        <f t="shared" si="139"/>
        <v>23.195441698177916</v>
      </c>
      <c r="G317" s="110">
        <f t="shared" si="141"/>
        <v>0.66271319183532462</v>
      </c>
      <c r="I317" s="379">
        <f t="shared" si="115"/>
        <v>23.195441698177916</v>
      </c>
      <c r="J317" s="85">
        <v>2018</v>
      </c>
      <c r="K317" s="197">
        <f t="shared" si="116"/>
        <v>43768</v>
      </c>
      <c r="L317" s="435">
        <f t="shared" si="117"/>
        <v>5.485243045265431E-3</v>
      </c>
      <c r="M317" s="842"/>
      <c r="N317" s="842"/>
      <c r="O317" s="323">
        <f t="shared" si="118"/>
        <v>2.3622393278257672E-2</v>
      </c>
      <c r="P317" s="169">
        <f>(INDEX(Models!$BJ317:$BT317,,T317)*(1-R317)+INDEX(Models!$BJ317:$BT317,,T317+1)*R317-ERP_i)*Q317*Ramure*Pc/MaxiM</f>
        <v>4.5247084704258436E-4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33.971093234219268</v>
      </c>
      <c r="W317" s="58"/>
      <c r="X317" s="157">
        <f t="shared" si="124"/>
        <v>43768</v>
      </c>
      <c r="Y317" s="383">
        <f t="shared" si="125"/>
        <v>22.518000000000001</v>
      </c>
      <c r="Z317" s="383">
        <f t="shared" si="126"/>
        <v>22.642197958883489</v>
      </c>
      <c r="AA317" s="384">
        <f t="shared" si="127"/>
        <v>23.190001289466572</v>
      </c>
      <c r="AB317" s="197">
        <f t="shared" si="128"/>
        <v>43768</v>
      </c>
      <c r="AC317" s="424">
        <f t="shared" si="129"/>
        <v>2.3622393278257672E-2</v>
      </c>
      <c r="AD317" s="169">
        <f>(INDEX(Models!$BJ317:$BT317,,AH317)*(1-AF317)+INDEX(Models!$BJ317:$BT317,,AH317+1)*AF317-ERP_i)*AE317*Ramure*Pc/MaxiM</f>
        <v>4.5247084704258436E-4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17.483000000000001</v>
      </c>
      <c r="C318" s="388"/>
      <c r="D318" s="391">
        <f t="shared" si="114"/>
        <v>17.579764344234533</v>
      </c>
      <c r="E318" s="383">
        <f t="shared" si="140"/>
        <v>18.006106874522299</v>
      </c>
      <c r="F318" s="383">
        <f t="shared" si="139"/>
        <v>18.008725125818806</v>
      </c>
      <c r="G318" s="110">
        <f t="shared" si="141"/>
        <v>0.5195523603293889</v>
      </c>
      <c r="I318" s="379">
        <f t="shared" si="115"/>
        <v>18.008725125818806</v>
      </c>
      <c r="J318" s="85">
        <v>2018</v>
      </c>
      <c r="K318" s="197">
        <f t="shared" si="116"/>
        <v>43769</v>
      </c>
      <c r="L318" s="435">
        <f t="shared" si="117"/>
        <v>5.5043026936972828E-3</v>
      </c>
      <c r="M318" s="842"/>
      <c r="N318" s="842"/>
      <c r="O318" s="323">
        <f t="shared" si="118"/>
        <v>2.3677662987273401E-2</v>
      </c>
      <c r="P318" s="169">
        <f>(INDEX(Models!$BJ318:$BT318,,T318)*(1-R318)+INDEX(Models!$BJ318:$BT318,,T318+1)*R318-ERP_i)*Q318*Ramure*Pc/MaxiM</f>
        <v>4.6319263393358658E-4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33.639425680579045</v>
      </c>
      <c r="W318" s="58"/>
      <c r="X318" s="157">
        <f t="shared" si="124"/>
        <v>43769</v>
      </c>
      <c r="Y318" s="383">
        <f t="shared" si="125"/>
        <v>17.483000000000001</v>
      </c>
      <c r="Z318" s="383">
        <f t="shared" si="126"/>
        <v>17.579764344234533</v>
      </c>
      <c r="AA318" s="384">
        <f t="shared" si="127"/>
        <v>18.006106874522299</v>
      </c>
      <c r="AB318" s="197">
        <f t="shared" si="128"/>
        <v>43769</v>
      </c>
      <c r="AC318" s="424">
        <f t="shared" si="129"/>
        <v>2.3677662987273401E-2</v>
      </c>
      <c r="AD318" s="169">
        <f>(INDEX(Models!$BJ318:$BT318,,AH318)*(1-AF318)+INDEX(Models!$BJ318:$BT318,,AH318+1)*AF318-ERP_i)*AE318*Ramure*Pc/MaxiM</f>
        <v>4.6319263393358658E-4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6.9980000000000002</v>
      </c>
      <c r="C319" s="388"/>
      <c r="D319" s="391">
        <f t="shared" si="114"/>
        <v>7.0368671645327616</v>
      </c>
      <c r="E319" s="383">
        <f t="shared" si="140"/>
        <v>7.2079310570884703</v>
      </c>
      <c r="F319" s="383">
        <f t="shared" si="139"/>
        <v>7.2079310570884703</v>
      </c>
      <c r="G319" s="110">
        <f t="shared" si="141"/>
        <v>0.20999093154093537</v>
      </c>
      <c r="I319" s="379">
        <f t="shared" si="115"/>
        <v>7.2079310570884703</v>
      </c>
      <c r="J319" s="85">
        <v>2018</v>
      </c>
      <c r="K319" s="197">
        <f t="shared" si="116"/>
        <v>43770</v>
      </c>
      <c r="L319" s="435">
        <f t="shared" si="117"/>
        <v>5.5233619768552122E-3</v>
      </c>
      <c r="M319" s="842"/>
      <c r="N319" s="842"/>
      <c r="O319" s="323">
        <f t="shared" si="118"/>
        <v>2.3732731514888767E-2</v>
      </c>
      <c r="P319" s="169">
        <f>(INDEX(Models!$BJ319:$BT319,,T319)*(1-R319)+INDEX(Models!$BJ319:$BT319,,T319+1)*R319-ERP_i)*Q319*Ramure*Pc/MaxiM</f>
        <v>4.7396262348899554E-4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33.309453690371818</v>
      </c>
      <c r="W319" s="58"/>
      <c r="X319" s="157">
        <f t="shared" si="124"/>
        <v>43770</v>
      </c>
      <c r="Y319" s="383">
        <f t="shared" si="125"/>
        <v>6.9980000000000002</v>
      </c>
      <c r="Z319" s="383">
        <f t="shared" si="126"/>
        <v>7.0368671645327616</v>
      </c>
      <c r="AA319" s="384">
        <f t="shared" si="127"/>
        <v>7.2079310570884703</v>
      </c>
      <c r="AB319" s="197">
        <f t="shared" si="128"/>
        <v>43770</v>
      </c>
      <c r="AC319" s="424">
        <f t="shared" si="129"/>
        <v>2.3732731514888767E-2</v>
      </c>
      <c r="AD319" s="169">
        <f>(INDEX(Models!$BJ319:$BT319,,AH319)*(1-AF319)+INDEX(Models!$BJ319:$BT319,,AH319+1)*AF319-ERP_i)*AE319*Ramure*Pc/MaxiM</f>
        <v>4.7396262348899554E-4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5.452</v>
      </c>
      <c r="C320" s="388"/>
      <c r="D320" s="391">
        <f t="shared" si="114"/>
        <v>5.4823856889957483</v>
      </c>
      <c r="E320" s="383">
        <f t="shared" si="140"/>
        <v>5.6159764183767376</v>
      </c>
      <c r="F320" s="383">
        <f t="shared" si="139"/>
        <v>5.6159764183767376</v>
      </c>
      <c r="G320" s="110">
        <f t="shared" si="141"/>
        <v>0.16522467852950817</v>
      </c>
      <c r="I320" s="379">
        <f t="shared" si="115"/>
        <v>5.6159764183767376</v>
      </c>
      <c r="J320" s="85">
        <v>2018</v>
      </c>
      <c r="K320" s="197">
        <f t="shared" si="116"/>
        <v>43771</v>
      </c>
      <c r="L320" s="435">
        <f t="shared" si="117"/>
        <v>5.5424208947463249E-3</v>
      </c>
      <c r="M320" s="842"/>
      <c r="N320" s="842"/>
      <c r="O320" s="323">
        <f t="shared" si="118"/>
        <v>2.3787622922320444E-2</v>
      </c>
      <c r="P320" s="169">
        <f>(INDEX(Models!$BJ320:$BT320,,T320)*(1-R320)+INDEX(Models!$BJ320:$BT320,,T320+1)*R320-ERP_i)*Q320*Ramure*Pc/MaxiM</f>
        <v>4.8477945139278059E-4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32.981495445656343</v>
      </c>
      <c r="W320" s="58"/>
      <c r="X320" s="157">
        <f t="shared" si="124"/>
        <v>43771</v>
      </c>
      <c r="Y320" s="383">
        <f t="shared" si="125"/>
        <v>5.452</v>
      </c>
      <c r="Z320" s="383">
        <f t="shared" si="126"/>
        <v>5.4823856889957483</v>
      </c>
      <c r="AA320" s="384">
        <f t="shared" si="127"/>
        <v>5.6159764183767376</v>
      </c>
      <c r="AB320" s="197">
        <f t="shared" si="128"/>
        <v>43771</v>
      </c>
      <c r="AC320" s="424">
        <f t="shared" si="129"/>
        <v>2.3787622922320444E-2</v>
      </c>
      <c r="AD320" s="169">
        <f>(INDEX(Models!$BJ320:$BT320,,AH320)*(1-AF320)+INDEX(Models!$BJ320:$BT320,,AH320+1)*AF320-ERP_i)*AE320*Ramure*Pc/MaxiM</f>
        <v>4.8477945139278059E-4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13.724</v>
      </c>
      <c r="C321" s="388"/>
      <c r="D321" s="391">
        <f t="shared" si="114"/>
        <v>13.800752601954111</v>
      </c>
      <c r="E321" s="383">
        <f t="shared" si="140"/>
        <v>14.137831906131376</v>
      </c>
      <c r="F321" s="383">
        <f t="shared" si="139"/>
        <v>14.139035876872754</v>
      </c>
      <c r="G321" s="110">
        <f t="shared" si="141"/>
        <v>0.42008883458076707</v>
      </c>
      <c r="I321" s="379">
        <f t="shared" si="115"/>
        <v>14.139035876872754</v>
      </c>
      <c r="J321" s="85">
        <v>2018</v>
      </c>
      <c r="K321" s="197">
        <f t="shared" si="116"/>
        <v>43772</v>
      </c>
      <c r="L321" s="435">
        <f t="shared" si="117"/>
        <v>5.5614794473776152E-3</v>
      </c>
      <c r="M321" s="842"/>
      <c r="N321" s="842"/>
      <c r="O321" s="323">
        <f t="shared" si="118"/>
        <v>2.3842361856847342E-2</v>
      </c>
      <c r="P321" s="169">
        <f>(INDEX(Models!$BJ321:$BT321,,T321)*(1-R321)+INDEX(Models!$BJ321:$BT321,,T321+1)*R321-ERP_i)*Q321*Ramure*Pc/MaxiM</f>
        <v>4.9564195069540132E-4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32.655869021869592</v>
      </c>
      <c r="W321" s="58"/>
      <c r="X321" s="157">
        <f t="shared" si="124"/>
        <v>43772</v>
      </c>
      <c r="Y321" s="383">
        <f t="shared" si="125"/>
        <v>13.724</v>
      </c>
      <c r="Z321" s="383">
        <f t="shared" si="126"/>
        <v>13.800752601954111</v>
      </c>
      <c r="AA321" s="384">
        <f t="shared" si="127"/>
        <v>14.137831906131376</v>
      </c>
      <c r="AB321" s="197">
        <f t="shared" si="128"/>
        <v>43772</v>
      </c>
      <c r="AC321" s="424">
        <f t="shared" si="129"/>
        <v>2.3842361856847342E-2</v>
      </c>
      <c r="AD321" s="169">
        <f>(INDEX(Models!$BJ321:$BT321,,AH321)*(1-AF321)+INDEX(Models!$BJ321:$BT321,,AH321+1)*AF321-ERP_i)*AE321*Ramure*Pc/MaxiM</f>
        <v>4.9564195069540132E-4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12.086</v>
      </c>
      <c r="C322" s="388"/>
      <c r="D322" s="391">
        <f t="shared" si="114"/>
        <v>12.153824877133077</v>
      </c>
      <c r="E322" s="383">
        <f t="shared" si="140"/>
        <v>12.451375056228759</v>
      </c>
      <c r="F322" s="383">
        <f t="shared" si="139"/>
        <v>12.452040044547871</v>
      </c>
      <c r="G322" s="110">
        <f t="shared" si="141"/>
        <v>0.37362951780802217</v>
      </c>
      <c r="I322" s="379">
        <f t="shared" si="115"/>
        <v>12.452040044547871</v>
      </c>
      <c r="J322" s="85">
        <v>2018</v>
      </c>
      <c r="K322" s="197">
        <f t="shared" si="116"/>
        <v>43773</v>
      </c>
      <c r="L322" s="435">
        <f t="shared" si="117"/>
        <v>5.5805376347561886E-3</v>
      </c>
      <c r="M322" s="842"/>
      <c r="N322" s="842"/>
      <c r="O322" s="323">
        <f t="shared" si="118"/>
        <v>2.3896973446867042E-2</v>
      </c>
      <c r="P322" s="169">
        <f>(INDEX(Models!$BJ322:$BT322,,T322)*(1-R322)+INDEX(Models!$BJ322:$BT322,,T322+1)*R322-ERP_i)*Q322*Ramure*Pc/MaxiM</f>
        <v>5.065491474541611E-4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32.332892394884098</v>
      </c>
      <c r="W322" s="58"/>
      <c r="X322" s="157">
        <f t="shared" si="124"/>
        <v>43773</v>
      </c>
      <c r="Y322" s="383">
        <f t="shared" si="125"/>
        <v>12.086</v>
      </c>
      <c r="Z322" s="383">
        <f t="shared" si="126"/>
        <v>12.153824877133077</v>
      </c>
      <c r="AA322" s="384">
        <f t="shared" si="127"/>
        <v>12.451375056228759</v>
      </c>
      <c r="AB322" s="197">
        <f t="shared" si="128"/>
        <v>43773</v>
      </c>
      <c r="AC322" s="424">
        <f t="shared" si="129"/>
        <v>2.3896973446867042E-2</v>
      </c>
      <c r="AD322" s="169">
        <f>(INDEX(Models!$BJ322:$BT322,,AH322)*(1-AF322)+INDEX(Models!$BJ322:$BT322,,AH322+1)*AF322-ERP_i)*AE322*Ramure*Pc/MaxiM</f>
        <v>5.065491474541611E-4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12.923999999999999</v>
      </c>
      <c r="C323" s="388"/>
      <c r="D323" s="391">
        <f t="shared" si="114"/>
        <v>12.996776691717137</v>
      </c>
      <c r="E323" s="383">
        <f t="shared" si="140"/>
        <v>13.315707639440493</v>
      </c>
      <c r="F323" s="383">
        <f t="shared" si="139"/>
        <v>13.316728675360942</v>
      </c>
      <c r="G323" s="110">
        <f t="shared" si="141"/>
        <v>0.40353448120965657</v>
      </c>
      <c r="I323" s="379">
        <f t="shared" si="115"/>
        <v>13.316728675360942</v>
      </c>
      <c r="J323" s="85">
        <v>2018</v>
      </c>
      <c r="K323" s="197">
        <f t="shared" si="116"/>
        <v>43774</v>
      </c>
      <c r="L323" s="435">
        <f t="shared" si="117"/>
        <v>5.5995954568888173E-3</v>
      </c>
      <c r="M323" s="842"/>
      <c r="N323" s="842"/>
      <c r="O323" s="323">
        <f t="shared" si="118"/>
        <v>2.3951483192579105E-2</v>
      </c>
      <c r="P323" s="169">
        <f>(INDEX(Models!$BJ323:$BT323,,T323)*(1-R323)+INDEX(Models!$BJ323:$BT323,,T323+1)*R323-ERP_i)*Q323*Ramure*Pc/MaxiM</f>
        <v>5.1750025108197612E-4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32.012883447618108</v>
      </c>
      <c r="W323" s="58"/>
      <c r="X323" s="157">
        <f t="shared" si="124"/>
        <v>43774</v>
      </c>
      <c r="Y323" s="383">
        <f t="shared" si="125"/>
        <v>12.923999999999999</v>
      </c>
      <c r="Z323" s="383">
        <f t="shared" si="126"/>
        <v>12.996776691717137</v>
      </c>
      <c r="AA323" s="384">
        <f t="shared" si="127"/>
        <v>13.315707639440493</v>
      </c>
      <c r="AB323" s="197">
        <f t="shared" si="128"/>
        <v>43774</v>
      </c>
      <c r="AC323" s="424">
        <f t="shared" si="129"/>
        <v>2.3951483192579105E-2</v>
      </c>
      <c r="AD323" s="169">
        <f>(INDEX(Models!$BJ323:$BT323,,AH323)*(1-AF323)+INDEX(Models!$BJ323:$BT323,,AH323+1)*AF323-ERP_i)*AE323*Ramure*Pc/MaxiM</f>
        <v>5.1750025108197612E-4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13.179</v>
      </c>
      <c r="C324" s="388"/>
      <c r="D324" s="391">
        <f t="shared" si="114"/>
        <v>13.253466628892147</v>
      </c>
      <c r="E324" s="383">
        <f t="shared" si="140"/>
        <v>13.579453869390052</v>
      </c>
      <c r="F324" s="383">
        <f t="shared" si="139"/>
        <v>13.580641954059386</v>
      </c>
      <c r="G324" s="110">
        <f t="shared" si="141"/>
        <v>0.41560830777777913</v>
      </c>
      <c r="I324" s="379">
        <f t="shared" si="115"/>
        <v>13.580641954059386</v>
      </c>
      <c r="J324" s="85">
        <v>2018</v>
      </c>
      <c r="K324" s="197">
        <f t="shared" si="116"/>
        <v>43775</v>
      </c>
      <c r="L324" s="435">
        <f t="shared" si="117"/>
        <v>5.6186529137827179E-3</v>
      </c>
      <c r="M324" s="842"/>
      <c r="N324" s="842"/>
      <c r="O324" s="323">
        <f t="shared" si="118"/>
        <v>2.4005916853013096E-2</v>
      </c>
      <c r="P324" s="169">
        <f>(INDEX(Models!$BJ324:$BT324,,T324)*(1-R324)+INDEX(Models!$BJ324:$BT324,,T324+1)*R324-ERP_i)*Q324*Ramure*Pc/MaxiM</f>
        <v>5.2886782716943693E-4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31.696148135135861</v>
      </c>
      <c r="W324" s="58"/>
      <c r="X324" s="157">
        <f t="shared" si="124"/>
        <v>43775</v>
      </c>
      <c r="Y324" s="383">
        <f t="shared" si="125"/>
        <v>13.179</v>
      </c>
      <c r="Z324" s="383">
        <f t="shared" si="126"/>
        <v>13.253466628892147</v>
      </c>
      <c r="AA324" s="384">
        <f t="shared" si="127"/>
        <v>13.579453869390052</v>
      </c>
      <c r="AB324" s="197">
        <f t="shared" si="128"/>
        <v>43775</v>
      </c>
      <c r="AC324" s="424">
        <f t="shared" si="129"/>
        <v>2.4005916853013096E-2</v>
      </c>
      <c r="AD324" s="169">
        <f>(INDEX(Models!$BJ324:$BT324,,AH324)*(1-AF324)+INDEX(Models!$BJ324:$BT324,,AH324+1)*AF324-ERP_i)*AE324*Ramure*Pc/MaxiM</f>
        <v>5.2886782716943693E-4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4.194</v>
      </c>
      <c r="C325" s="388"/>
      <c r="D325" s="391">
        <f t="shared" si="114"/>
        <v>4.2177786126854881</v>
      </c>
      <c r="E325" s="383">
        <f t="shared" si="140"/>
        <v>4.3217614921417251</v>
      </c>
      <c r="F325" s="383">
        <f t="shared" ref="F325:F356" si="142">Wh_sa/(1-Pvg*MEDIAN((-Sdif+Wh/Env_an)/Csdif,0,1))</f>
        <v>4.3217614921417251</v>
      </c>
      <c r="G325" s="110">
        <f t="shared" si="141"/>
        <v>0.13356695998118967</v>
      </c>
      <c r="I325" s="379">
        <f t="shared" si="115"/>
        <v>4.3217614921417251</v>
      </c>
      <c r="J325" s="85">
        <v>2018</v>
      </c>
      <c r="K325" s="197">
        <f t="shared" si="116"/>
        <v>43776</v>
      </c>
      <c r="L325" s="435">
        <f t="shared" si="117"/>
        <v>5.6377100054447737E-3</v>
      </c>
      <c r="M325" s="842"/>
      <c r="N325" s="842"/>
      <c r="O325" s="323">
        <f t="shared" si="118"/>
        <v>2.4060300330156971E-2</v>
      </c>
      <c r="P325" s="169">
        <f>(INDEX(Models!$BJ325:$BT325,,T325)*(1-R325)+INDEX(Models!$BJ325:$BT325,,T325+1)*R325-ERP_i)*Q325*Ramure*Pc/MaxiM</f>
        <v>5.4066698613347986E-4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31.383004024726475</v>
      </c>
      <c r="W325" s="58"/>
      <c r="X325" s="157">
        <f t="shared" si="124"/>
        <v>43776</v>
      </c>
      <c r="Y325" s="383">
        <f t="shared" si="125"/>
        <v>4.194</v>
      </c>
      <c r="Z325" s="383">
        <f t="shared" si="126"/>
        <v>4.2177786126854881</v>
      </c>
      <c r="AA325" s="384">
        <f t="shared" si="127"/>
        <v>4.3217614921417251</v>
      </c>
      <c r="AB325" s="197">
        <f t="shared" si="128"/>
        <v>43776</v>
      </c>
      <c r="AC325" s="424">
        <f t="shared" si="129"/>
        <v>2.4060300330156971E-2</v>
      </c>
      <c r="AD325" s="169">
        <f>(INDEX(Models!$BJ325:$BT325,,AH325)*(1-AF325)+INDEX(Models!$BJ325:$BT325,,AH325+1)*AF325-ERP_i)*AE325*Ramure*Pc/MaxiM</f>
        <v>5.4066698613347986E-4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13.144</v>
      </c>
      <c r="C326" s="388"/>
      <c r="D326" s="391">
        <f t="shared" si="114"/>
        <v>13.218775529652353</v>
      </c>
      <c r="E326" s="383">
        <f t="shared" si="140"/>
        <v>13.545418689833079</v>
      </c>
      <c r="F326" s="383">
        <f t="shared" si="142"/>
        <v>13.546734711418843</v>
      </c>
      <c r="G326" s="110">
        <f t="shared" si="141"/>
        <v>0.4228006261834068</v>
      </c>
      <c r="I326" s="379">
        <f t="shared" si="115"/>
        <v>13.546734711418843</v>
      </c>
      <c r="J326" s="85">
        <v>2018</v>
      </c>
      <c r="K326" s="197">
        <f t="shared" si="116"/>
        <v>43777</v>
      </c>
      <c r="L326" s="435">
        <f t="shared" si="117"/>
        <v>5.6567667318819792E-3</v>
      </c>
      <c r="M326" s="842"/>
      <c r="N326" s="842"/>
      <c r="O326" s="323">
        <f t="shared" si="118"/>
        <v>2.4114659550974138E-2</v>
      </c>
      <c r="P326" s="169">
        <f>(INDEX(Models!$BJ326:$BT326,,T326)*(1-R326)+INDEX(Models!$BJ326:$BT326,,T326+1)*R326-ERP_i)*Q326*Ramure*Pc/MaxiM</f>
        <v>5.5289738172626995E-4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31.073769096831221</v>
      </c>
      <c r="W326" s="58"/>
      <c r="X326" s="157">
        <f t="shared" si="124"/>
        <v>43777</v>
      </c>
      <c r="Y326" s="383">
        <f t="shared" si="125"/>
        <v>13.144</v>
      </c>
      <c r="Z326" s="383">
        <f t="shared" si="126"/>
        <v>13.218775529652353</v>
      </c>
      <c r="AA326" s="384">
        <f t="shared" si="127"/>
        <v>13.545418689833079</v>
      </c>
      <c r="AB326" s="197">
        <f t="shared" si="128"/>
        <v>43777</v>
      </c>
      <c r="AC326" s="424">
        <f t="shared" si="129"/>
        <v>2.4114659550974138E-2</v>
      </c>
      <c r="AD326" s="169">
        <f>(INDEX(Models!$BJ326:$BT326,,AH326)*(1-AF326)+INDEX(Models!$BJ326:$BT326,,AH326+1)*AF326-ERP_i)*AE326*Ramure*Pc/MaxiM</f>
        <v>5.5289738172626995E-4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19.541</v>
      </c>
      <c r="C327" s="388"/>
      <c r="D327" s="391">
        <f t="shared" si="114"/>
        <v>19.652544365145896</v>
      </c>
      <c r="E327" s="383">
        <f t="shared" si="140"/>
        <v>20.139291306530183</v>
      </c>
      <c r="F327" s="383">
        <f t="shared" si="142"/>
        <v>20.144745187811864</v>
      </c>
      <c r="G327" s="110">
        <f t="shared" si="141"/>
        <v>0.63490490007191436</v>
      </c>
      <c r="I327" s="379">
        <f t="shared" si="115"/>
        <v>20.144745187811864</v>
      </c>
      <c r="J327" s="85">
        <v>2018</v>
      </c>
      <c r="K327" s="197">
        <f t="shared" si="116"/>
        <v>43778</v>
      </c>
      <c r="L327" s="435">
        <f t="shared" si="117"/>
        <v>5.6758230931014397E-3</v>
      </c>
      <c r="M327" s="842"/>
      <c r="N327" s="842"/>
      <c r="O327" s="323">
        <f t="shared" si="118"/>
        <v>2.4169020348122114E-2</v>
      </c>
      <c r="P327" s="169">
        <f>(INDEX(Models!$BJ327:$BT327,,T327)*(1-R327)+INDEX(Models!$BJ327:$BT327,,T327+1)*R327-ERP_i)*Q327*Ramure*Pc/MaxiM</f>
        <v>5.6555863087272718E-4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30.768761247443315</v>
      </c>
      <c r="W327" s="58"/>
      <c r="X327" s="157">
        <f t="shared" si="124"/>
        <v>43778</v>
      </c>
      <c r="Y327" s="383">
        <f t="shared" si="125"/>
        <v>19.541</v>
      </c>
      <c r="Z327" s="383">
        <f t="shared" si="126"/>
        <v>19.652544365145896</v>
      </c>
      <c r="AA327" s="384">
        <f t="shared" si="127"/>
        <v>20.139291306530183</v>
      </c>
      <c r="AB327" s="197">
        <f t="shared" si="128"/>
        <v>43778</v>
      </c>
      <c r="AC327" s="424">
        <f t="shared" si="129"/>
        <v>2.4169020348122114E-2</v>
      </c>
      <c r="AD327" s="169">
        <f>(INDEX(Models!$BJ327:$BT327,,AH327)*(1-AF327)+INDEX(Models!$BJ327:$BT327,,AH327+1)*AF327-ERP_i)*AE327*Ramure*Pc/MaxiM</f>
        <v>5.6555863087272718E-4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18.576000000000001</v>
      </c>
      <c r="C328" s="388"/>
      <c r="D328" s="391">
        <f t="shared" si="114"/>
        <v>18.682393974781498</v>
      </c>
      <c r="E328" s="383">
        <f t="shared" si="140"/>
        <v>19.146179703904117</v>
      </c>
      <c r="F328" s="383">
        <f t="shared" si="142"/>
        <v>19.151082328690954</v>
      </c>
      <c r="G328" s="110">
        <f t="shared" si="141"/>
        <v>0.60948611849269485</v>
      </c>
      <c r="I328" s="379">
        <f t="shared" si="115"/>
        <v>19.151082328690954</v>
      </c>
      <c r="J328" s="85">
        <v>2018</v>
      </c>
      <c r="K328" s="197">
        <f t="shared" si="116"/>
        <v>43779</v>
      </c>
      <c r="L328" s="435">
        <f t="shared" si="117"/>
        <v>5.6948790891100387E-3</v>
      </c>
      <c r="M328" s="842"/>
      <c r="N328" s="842"/>
      <c r="O328" s="323">
        <f t="shared" si="118"/>
        <v>2.4223408340205362E-2</v>
      </c>
      <c r="P328" s="169">
        <f>(INDEX(Models!$BJ328:$BT328,,T328)*(1-R328)+INDEX(Models!$BJ328:$BT328,,T328+1)*R328-ERP_i)*Q328*Ramure*Pc/MaxiM</f>
        <v>5.7865028226101697E-4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30.468298291721368</v>
      </c>
      <c r="W328" s="58"/>
      <c r="X328" s="157">
        <f t="shared" si="124"/>
        <v>43779</v>
      </c>
      <c r="Y328" s="383">
        <f t="shared" si="125"/>
        <v>18.576000000000001</v>
      </c>
      <c r="Z328" s="383">
        <f t="shared" si="126"/>
        <v>18.682393974781498</v>
      </c>
      <c r="AA328" s="384">
        <f t="shared" si="127"/>
        <v>19.146179703904117</v>
      </c>
      <c r="AB328" s="197">
        <f t="shared" si="128"/>
        <v>43779</v>
      </c>
      <c r="AC328" s="424">
        <f t="shared" si="129"/>
        <v>2.4223408340205362E-2</v>
      </c>
      <c r="AD328" s="169">
        <f>(INDEX(Models!$BJ328:$BT328,,AH328)*(1-AF328)+INDEX(Models!$BJ328:$BT328,,AH328+1)*AF328-ERP_i)*AE328*Ramure*Pc/MaxiM</f>
        <v>5.7865028226101697E-4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23.495999999999999</v>
      </c>
      <c r="C329" s="388"/>
      <c r="D329" s="391">
        <f t="shared" si="114"/>
        <v>23.631026140732747</v>
      </c>
      <c r="E329" s="383">
        <f t="shared" si="140"/>
        <v>24.21901164380699</v>
      </c>
      <c r="F329" s="383">
        <f t="shared" si="142"/>
        <v>24.228823723355269</v>
      </c>
      <c r="G329" s="110">
        <f t="shared" si="141"/>
        <v>0.77857140526509849</v>
      </c>
      <c r="I329" s="379">
        <f t="shared" si="115"/>
        <v>24.228823723355269</v>
      </c>
      <c r="J329" s="85">
        <v>2018</v>
      </c>
      <c r="K329" s="197">
        <f t="shared" si="116"/>
        <v>43780</v>
      </c>
      <c r="L329" s="435">
        <f t="shared" si="117"/>
        <v>5.7139347199148816E-3</v>
      </c>
      <c r="M329" s="842"/>
      <c r="N329" s="842"/>
      <c r="O329" s="323">
        <f t="shared" si="118"/>
        <v>2.4277848812405873E-2</v>
      </c>
      <c r="P329" s="169">
        <f>(INDEX(Models!$BJ329:$BT329,,T329)*(1-R329)+INDEX(Models!$BJ329:$BT329,,T329+1)*R329-ERP_i)*Q329*Ramure*Pc/MaxiM</f>
        <v>5.9217177658685229E-4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30.172697963259395</v>
      </c>
      <c r="W329" s="58"/>
      <c r="X329" s="157">
        <f t="shared" si="124"/>
        <v>43780</v>
      </c>
      <c r="Y329" s="383">
        <f t="shared" si="125"/>
        <v>23.495999999999999</v>
      </c>
      <c r="Z329" s="383">
        <f t="shared" si="126"/>
        <v>23.631026140732747</v>
      </c>
      <c r="AA329" s="384">
        <f t="shared" si="127"/>
        <v>24.21901164380699</v>
      </c>
      <c r="AB329" s="197">
        <f t="shared" si="128"/>
        <v>43780</v>
      </c>
      <c r="AC329" s="424">
        <f t="shared" si="129"/>
        <v>2.4277848812405873E-2</v>
      </c>
      <c r="AD329" s="169">
        <f>(INDEX(Models!$BJ329:$BT329,,AH329)*(1-AF329)+INDEX(Models!$BJ329:$BT329,,AH329+1)*AF329-ERP_i)*AE329*Ramure*Pc/MaxiM</f>
        <v>5.9217177658685229E-4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18.504000000000001</v>
      </c>
      <c r="C330" s="388"/>
      <c r="D330" s="391">
        <f t="shared" si="114"/>
        <v>18.610694927643806</v>
      </c>
      <c r="E330" s="383">
        <f t="shared" si="140"/>
        <v>19.074830701063345</v>
      </c>
      <c r="F330" s="383">
        <f t="shared" si="142"/>
        <v>19.080104779824872</v>
      </c>
      <c r="G330" s="110">
        <f t="shared" si="141"/>
        <v>0.61902568164730987</v>
      </c>
      <c r="I330" s="379">
        <f t="shared" si="115"/>
        <v>19.080104779824872</v>
      </c>
      <c r="J330" s="85">
        <v>2018</v>
      </c>
      <c r="K330" s="197">
        <f t="shared" si="116"/>
        <v>43781</v>
      </c>
      <c r="L330" s="435">
        <f t="shared" si="117"/>
        <v>5.7329899855228517E-3</v>
      </c>
      <c r="M330" s="842"/>
      <c r="N330" s="842"/>
      <c r="O330" s="323">
        <f t="shared" si="118"/>
        <v>2.433236659833973E-2</v>
      </c>
      <c r="P330" s="169">
        <f>(INDEX(Models!$BJ330:$BT330,,T330)*(1-R330)+INDEX(Models!$BJ330:$BT330,,T330+1)*R330-ERP_i)*Q330*Ramure*Pc/MaxiM</f>
        <v>6.0612239755741609E-4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29.882277918228336</v>
      </c>
      <c r="W330" s="58"/>
      <c r="X330" s="157">
        <f t="shared" si="124"/>
        <v>43781</v>
      </c>
      <c r="Y330" s="383">
        <f t="shared" si="125"/>
        <v>18.504000000000001</v>
      </c>
      <c r="Z330" s="383">
        <f t="shared" si="126"/>
        <v>18.610694927643806</v>
      </c>
      <c r="AA330" s="384">
        <f t="shared" si="127"/>
        <v>19.074830701063345</v>
      </c>
      <c r="AB330" s="197">
        <f t="shared" si="128"/>
        <v>43781</v>
      </c>
      <c r="AC330" s="424">
        <f t="shared" si="129"/>
        <v>2.433236659833973E-2</v>
      </c>
      <c r="AD330" s="169">
        <f>(INDEX(Models!$BJ330:$BT330,,AH330)*(1-AF330)+INDEX(Models!$BJ330:$BT330,,AH330+1)*AF330-ERP_i)*AE330*Ramure*Pc/MaxiM</f>
        <v>6.0612239755741609E-4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18.808</v>
      </c>
      <c r="C331" s="388"/>
      <c r="D331" s="391">
        <f t="shared" si="114"/>
        <v>18.916810342187095</v>
      </c>
      <c r="E331" s="383">
        <f t="shared" si="140"/>
        <v>19.389665851145342</v>
      </c>
      <c r="F331" s="383">
        <f t="shared" si="142"/>
        <v>19.395434452759567</v>
      </c>
      <c r="G331" s="110">
        <f t="shared" si="141"/>
        <v>0.63529868023134728</v>
      </c>
      <c r="I331" s="379">
        <f t="shared" si="115"/>
        <v>19.395434452759567</v>
      </c>
      <c r="J331" s="85">
        <v>2018</v>
      </c>
      <c r="K331" s="197">
        <f t="shared" si="116"/>
        <v>43782</v>
      </c>
      <c r="L331" s="435">
        <f t="shared" si="117"/>
        <v>5.7520448859410545E-3</v>
      </c>
      <c r="M331" s="842"/>
      <c r="N331" s="842"/>
      <c r="O331" s="323">
        <f t="shared" si="118"/>
        <v>2.4386985963985312E-2</v>
      </c>
      <c r="P331" s="169">
        <f>(INDEX(Models!$BJ331:$BT331,,T331)*(1-R331)+INDEX(Models!$BJ331:$BT331,,T331+1)*R331-ERP_i)*Q331*Ramure*Pc/MaxiM</f>
        <v>6.205421140250641E-4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29.595403717100016</v>
      </c>
      <c r="W331" s="58"/>
      <c r="X331" s="157">
        <f t="shared" si="124"/>
        <v>43782</v>
      </c>
      <c r="Y331" s="383">
        <f t="shared" si="125"/>
        <v>18.808</v>
      </c>
      <c r="Z331" s="383">
        <f t="shared" si="126"/>
        <v>18.916810342187095</v>
      </c>
      <c r="AA331" s="384">
        <f t="shared" si="127"/>
        <v>19.389665851145342</v>
      </c>
      <c r="AB331" s="197">
        <f t="shared" si="128"/>
        <v>43782</v>
      </c>
      <c r="AC331" s="424">
        <f t="shared" si="129"/>
        <v>2.4386985963985312E-2</v>
      </c>
      <c r="AD331" s="169">
        <f>(INDEX(Models!$BJ331:$BT331,,AH331)*(1-AF331)+INDEX(Models!$BJ331:$BT331,,AH331+1)*AF331-ERP_i)*AE331*Ramure*Pc/MaxiM</f>
        <v>6.205421140250641E-4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5.8070000000000004</v>
      </c>
      <c r="C332" s="388"/>
      <c r="D332" s="391">
        <f t="shared" si="114"/>
        <v>5.840707302532909</v>
      </c>
      <c r="E332" s="383">
        <f t="shared" si="140"/>
        <v>5.9870409437394345</v>
      </c>
      <c r="F332" s="383">
        <f t="shared" si="142"/>
        <v>5.9870409437394345</v>
      </c>
      <c r="G332" s="110">
        <f t="shared" si="141"/>
        <v>0.19799366433944557</v>
      </c>
      <c r="I332" s="379">
        <f t="shared" si="115"/>
        <v>5.9870409437394345</v>
      </c>
      <c r="J332" s="85">
        <v>2018</v>
      </c>
      <c r="K332" s="197">
        <f t="shared" si="116"/>
        <v>43783</v>
      </c>
      <c r="L332" s="435">
        <f t="shared" si="117"/>
        <v>5.7710994211763733E-3</v>
      </c>
      <c r="M332" s="842"/>
      <c r="N332" s="842"/>
      <c r="O332" s="323">
        <f t="shared" si="118"/>
        <v>2.4441730494518279E-2</v>
      </c>
      <c r="P332" s="169">
        <f>(INDEX(Models!$BJ332:$BT332,,T332)*(1-R332)+INDEX(Models!$BJ332:$BT332,,T332+1)*R332-ERP_i)*Q332*Ramure*Pc/MaxiM</f>
        <v>6.3444026809275525E-4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29.310613674050842</v>
      </c>
      <c r="W332" s="58"/>
      <c r="X332" s="157">
        <f t="shared" si="124"/>
        <v>43783</v>
      </c>
      <c r="Y332" s="383">
        <f t="shared" si="125"/>
        <v>5.8070000000000004</v>
      </c>
      <c r="Z332" s="383">
        <f t="shared" si="126"/>
        <v>5.840707302532909</v>
      </c>
      <c r="AA332" s="384">
        <f t="shared" si="127"/>
        <v>5.9870409437394345</v>
      </c>
      <c r="AB332" s="197">
        <f t="shared" si="128"/>
        <v>43783</v>
      </c>
      <c r="AC332" s="424">
        <f t="shared" si="129"/>
        <v>2.4441730494518279E-2</v>
      </c>
      <c r="AD332" s="169">
        <f>(INDEX(Models!$BJ332:$BT332,,AH332)*(1-AF332)+INDEX(Models!$BJ332:$BT332,,AH332+1)*AF332-ERP_i)*AE332*Ramure*Pc/MaxiM</f>
        <v>6.3444026809275525E-4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11.558</v>
      </c>
      <c r="C333" s="388"/>
      <c r="D333" s="391">
        <f t="shared" si="114"/>
        <v>11.625312344017955</v>
      </c>
      <c r="E333" s="383">
        <f t="shared" si="140"/>
        <v>11.917244591801818</v>
      </c>
      <c r="F333" s="383">
        <f t="shared" si="142"/>
        <v>11.918327154289393</v>
      </c>
      <c r="G333" s="110">
        <f t="shared" si="141"/>
        <v>0.39793948652358374</v>
      </c>
      <c r="I333" s="379">
        <f t="shared" si="115"/>
        <v>11.918327154289393</v>
      </c>
      <c r="J333" s="85">
        <v>2018</v>
      </c>
      <c r="K333" s="197">
        <f t="shared" si="116"/>
        <v>43784</v>
      </c>
      <c r="L333" s="435">
        <f t="shared" si="117"/>
        <v>5.7901535912359137E-3</v>
      </c>
      <c r="M333" s="842"/>
      <c r="N333" s="842"/>
      <c r="O333" s="323">
        <f t="shared" si="118"/>
        <v>2.4496622984871232E-2</v>
      </c>
      <c r="P333" s="169">
        <f>(INDEX(Models!$BJ333:$BT333,,T333)*(1-R333)+INDEX(Models!$BJ333:$BT333,,T333+1)*R333-ERP_i)*Q333*Ramure*Pc/MaxiM</f>
        <v>6.477324616902721E-4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29.02844062487744</v>
      </c>
      <c r="W333" s="58"/>
      <c r="X333" s="157">
        <f t="shared" si="124"/>
        <v>43784</v>
      </c>
      <c r="Y333" s="383">
        <f t="shared" si="125"/>
        <v>11.558</v>
      </c>
      <c r="Z333" s="383">
        <f t="shared" si="126"/>
        <v>11.625312344017955</v>
      </c>
      <c r="AA333" s="384">
        <f t="shared" si="127"/>
        <v>11.917244591801818</v>
      </c>
      <c r="AB333" s="197">
        <f t="shared" si="128"/>
        <v>43784</v>
      </c>
      <c r="AC333" s="424">
        <f t="shared" si="129"/>
        <v>2.4496622984871232E-2</v>
      </c>
      <c r="AD333" s="169">
        <f>(INDEX(Models!$BJ333:$BT333,,AH333)*(1-AF333)+INDEX(Models!$BJ333:$BT333,,AH333+1)*AF333-ERP_i)*AE333*Ramure*Pc/MaxiM</f>
        <v>6.477324616902721E-4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14.265000000000001</v>
      </c>
      <c r="C334" s="388"/>
      <c r="D334" s="391">
        <f t="shared" si="114"/>
        <v>14.348352555789324</v>
      </c>
      <c r="E334" s="383">
        <f t="shared" si="140"/>
        <v>14.709495459750967</v>
      </c>
      <c r="F334" s="383">
        <f t="shared" si="142"/>
        <v>14.712218560239544</v>
      </c>
      <c r="G334" s="110">
        <f t="shared" si="141"/>
        <v>0.49594811990975357</v>
      </c>
      <c r="I334" s="379">
        <f t="shared" si="115"/>
        <v>14.712218560239544</v>
      </c>
      <c r="J334" s="85">
        <v>2018</v>
      </c>
      <c r="K334" s="197">
        <f t="shared" si="116"/>
        <v>43785</v>
      </c>
      <c r="L334" s="435">
        <f t="shared" si="117"/>
        <v>5.8092073961266699E-3</v>
      </c>
      <c r="M334" s="842"/>
      <c r="N334" s="842"/>
      <c r="O334" s="323">
        <f t="shared" si="118"/>
        <v>2.4551685334811457E-2</v>
      </c>
      <c r="P334" s="169">
        <f>(INDEX(Models!$BJ334:$BT334,,T334)*(1-R334)+INDEX(Models!$BJ334:$BT334,,T334+1)*R334-ERP_i)*Q334*Ramure*Pc/MaxiM</f>
        <v>6.6041955472410528E-4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28.749414730542771</v>
      </c>
      <c r="W334" s="58"/>
      <c r="X334" s="157">
        <f t="shared" si="124"/>
        <v>43785</v>
      </c>
      <c r="Y334" s="383">
        <f t="shared" si="125"/>
        <v>14.265000000000001</v>
      </c>
      <c r="Z334" s="383">
        <f t="shared" si="126"/>
        <v>14.348352555789324</v>
      </c>
      <c r="AA334" s="384">
        <f t="shared" si="127"/>
        <v>14.709495459750967</v>
      </c>
      <c r="AB334" s="197">
        <f t="shared" si="128"/>
        <v>43785</v>
      </c>
      <c r="AC334" s="424">
        <f t="shared" si="129"/>
        <v>2.4551685334811457E-2</v>
      </c>
      <c r="AD334" s="169">
        <f>(INDEX(Models!$BJ334:$BT334,,AH334)*(1-AF334)+INDEX(Models!$BJ334:$BT334,,AH334+1)*AF334-ERP_i)*AE334*Ramure*Pc/MaxiM</f>
        <v>6.6041955472410528E-4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12.523</v>
      </c>
      <c r="C335" s="388"/>
      <c r="D335" s="391">
        <f t="shared" ref="D335:D379" si="143">Wh/(1-Ppv)</f>
        <v>12.596415193343539</v>
      </c>
      <c r="E335" s="383">
        <f t="shared" si="140"/>
        <v>12.914193969472652</v>
      </c>
      <c r="F335" s="383">
        <f t="shared" si="142"/>
        <v>12.915928729496512</v>
      </c>
      <c r="G335" s="110">
        <f t="shared" si="141"/>
        <v>0.43956698429073099</v>
      </c>
      <c r="I335" s="379">
        <f t="shared" ref="I335:I380" si="144">Wh_hp</f>
        <v>12.915928729496512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5.8282608358555255E-3</v>
      </c>
      <c r="M335" s="842"/>
      <c r="N335" s="842"/>
      <c r="O335" s="323">
        <f t="shared" ref="O335:O379" si="147">IF(t&lt;T0,0,IF(t&lt;Tnet,Salim_i*(1-EXP((T0-t)/Tau_ij)),Resal+(Salim-Resal)*(1-EXP((Tnet-t)/(Tau_j)))))*Salcycl</f>
        <v>2.4606938449298239E-2</v>
      </c>
      <c r="P335" s="169">
        <f>(INDEX(Models!$BJ335:$BT335,,T335)*(1-R335)+INDEX(Models!$BJ335:$BT335,,T335+1)*R335-ERP_i)*Q335*Ramure*Pc/MaxiM</f>
        <v>6.7250125202685635E-4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28.474066055657417</v>
      </c>
      <c r="W335" s="58"/>
      <c r="X335" s="157">
        <f t="shared" ref="X335:X379" si="153">t</f>
        <v>43786</v>
      </c>
      <c r="Y335" s="383">
        <f t="shared" ref="Y335:Y379" si="154">Wh_pvt_s*(1-Ppv)</f>
        <v>12.523</v>
      </c>
      <c r="Z335" s="383">
        <f t="shared" ref="Z335:Z379" si="155">Wh_sa_s*(1-Psa_s)</f>
        <v>12.596415193343539</v>
      </c>
      <c r="AA335" s="384">
        <f t="shared" ref="AA335:AA379" si="156">Wh_hp*(1-Pvg_s*MEDIAN((-Sdif+Wh/Env_an)/Csdif,0,1))</f>
        <v>12.914193969472652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2.4606938449298239E-2</v>
      </c>
      <c r="AD335" s="169">
        <f>(INDEX(Models!$BJ335:$BT335,,AH335)*(1-AF335)+INDEX(Models!$BJ335:$BT335,,AH335+1)*AF335-ERP_i)*AE335*Ramure*Pc/MaxiM</f>
        <v>6.7250125202685635E-4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11.513</v>
      </c>
      <c r="C336" s="388"/>
      <c r="D336" s="391">
        <f t="shared" si="143"/>
        <v>11.58071608224042</v>
      </c>
      <c r="E336" s="383">
        <f t="shared" si="140"/>
        <v>11.873546254863257</v>
      </c>
      <c r="F336" s="383">
        <f t="shared" si="142"/>
        <v>11.874801929224448</v>
      </c>
      <c r="G336" s="110">
        <f t="shared" si="141"/>
        <v>0.40798400405860058</v>
      </c>
      <c r="I336" s="379">
        <f t="shared" si="144"/>
        <v>11.874801929224448</v>
      </c>
      <c r="J336" s="85">
        <v>2018</v>
      </c>
      <c r="K336" s="197">
        <f t="shared" si="145"/>
        <v>43787</v>
      </c>
      <c r="L336" s="435">
        <f t="shared" si="146"/>
        <v>5.8473139104295857E-3</v>
      </c>
      <c r="M336" s="842"/>
      <c r="N336" s="842"/>
      <c r="O336" s="323">
        <f t="shared" si="147"/>
        <v>2.4662402144843349E-2</v>
      </c>
      <c r="P336" s="169">
        <f>(INDEX(Models!$BJ336:$BT336,,T336)*(1-R336)+INDEX(Models!$BJ336:$BT336,,T336+1)*R336-ERP_i)*Q336*Ramure*Pc/MaxiM</f>
        <v>6.8397599534522234E-4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28.202924581115408</v>
      </c>
      <c r="W336" s="58"/>
      <c r="X336" s="157">
        <f t="shared" si="153"/>
        <v>43787</v>
      </c>
      <c r="Y336" s="383">
        <f t="shared" si="154"/>
        <v>11.513</v>
      </c>
      <c r="Z336" s="383">
        <f t="shared" si="155"/>
        <v>11.58071608224042</v>
      </c>
      <c r="AA336" s="384">
        <f t="shared" si="156"/>
        <v>11.873546254863257</v>
      </c>
      <c r="AB336" s="197">
        <f t="shared" si="157"/>
        <v>43787</v>
      </c>
      <c r="AC336" s="424">
        <f t="shared" si="158"/>
        <v>2.4662402144843349E-2</v>
      </c>
      <c r="AD336" s="169">
        <f>(INDEX(Models!$BJ336:$BT336,,AH336)*(1-AF336)+INDEX(Models!$BJ336:$BT336,,AH336+1)*AF336-ERP_i)*AE336*Ramure*Pc/MaxiM</f>
        <v>6.8397599534522234E-4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18.334</v>
      </c>
      <c r="C337" s="388"/>
      <c r="D337" s="391">
        <f t="shared" si="143"/>
        <v>18.442188639833805</v>
      </c>
      <c r="E337" s="383">
        <f t="shared" si="140"/>
        <v>18.909597877771208</v>
      </c>
      <c r="F337" s="383">
        <f t="shared" si="142"/>
        <v>18.916287580653556</v>
      </c>
      <c r="G337" s="110">
        <f t="shared" si="141"/>
        <v>0.65604958033953431</v>
      </c>
      <c r="I337" s="379">
        <f t="shared" si="144"/>
        <v>18.916287580653556</v>
      </c>
      <c r="J337" s="85">
        <v>2018</v>
      </c>
      <c r="K337" s="197">
        <f t="shared" si="145"/>
        <v>43788</v>
      </c>
      <c r="L337" s="435">
        <f t="shared" si="146"/>
        <v>5.8663666198558451E-3</v>
      </c>
      <c r="M337" s="842"/>
      <c r="N337" s="842"/>
      <c r="O337" s="323">
        <f t="shared" si="147"/>
        <v>2.4718095062553215E-2</v>
      </c>
      <c r="P337" s="169">
        <f>(INDEX(Models!$BJ337:$BT337,,T337)*(1-R337)+INDEX(Models!$BJ337:$BT337,,T337+1)*R337-ERP_i)*Q337*Ramure*Pc/MaxiM</f>
        <v>6.9484085994728922E-4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27.936520199227118</v>
      </c>
      <c r="W337" s="58"/>
      <c r="X337" s="157">
        <f t="shared" si="153"/>
        <v>43788</v>
      </c>
      <c r="Y337" s="383">
        <f t="shared" si="154"/>
        <v>18.334</v>
      </c>
      <c r="Z337" s="383">
        <f t="shared" si="155"/>
        <v>18.442188639833805</v>
      </c>
      <c r="AA337" s="384">
        <f t="shared" si="156"/>
        <v>18.909597877771208</v>
      </c>
      <c r="AB337" s="197">
        <f t="shared" si="157"/>
        <v>43788</v>
      </c>
      <c r="AC337" s="424">
        <f t="shared" si="158"/>
        <v>2.4718095062553215E-2</v>
      </c>
      <c r="AD337" s="169">
        <f>(INDEX(Models!$BJ337:$BT337,,AH337)*(1-AF337)+INDEX(Models!$BJ337:$BT337,,AH337+1)*AF337-ERP_i)*AE337*Ramure*Pc/MaxiM</f>
        <v>6.9484085994728922E-4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27.77</v>
      </c>
      <c r="C338" s="388"/>
      <c r="D338" s="391">
        <f t="shared" si="143"/>
        <v>27.934405680946657</v>
      </c>
      <c r="E338" s="383">
        <f t="shared" si="140"/>
        <v>28.644033969254583</v>
      </c>
      <c r="F338" s="383">
        <f t="shared" si="142"/>
        <v>28.66422438766487</v>
      </c>
      <c r="G338" s="110">
        <f t="shared" si="141"/>
        <v>1.0034181070029984</v>
      </c>
      <c r="I338" s="379">
        <f t="shared" si="144"/>
        <v>28.66422438766487</v>
      </c>
      <c r="J338" s="85">
        <v>2018</v>
      </c>
      <c r="K338" s="197">
        <f t="shared" si="145"/>
        <v>43789</v>
      </c>
      <c r="L338" s="435">
        <f t="shared" si="146"/>
        <v>5.8854189641411869E-3</v>
      </c>
      <c r="M338" s="842"/>
      <c r="N338" s="842"/>
      <c r="O338" s="323">
        <f t="shared" si="147"/>
        <v>2.477403458848064E-2</v>
      </c>
      <c r="P338" s="169">
        <f>(INDEX(Models!$BJ338:$BT338,,T338)*(1-R338)+INDEX(Models!$BJ338:$BT338,,T338+1)*R338-ERP_i)*Q338*Ramure*Pc/MaxiM</f>
        <v>7.0437693123061404E-4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27.675402512859993</v>
      </c>
      <c r="W338" s="58"/>
      <c r="X338" s="157">
        <f t="shared" si="153"/>
        <v>43789</v>
      </c>
      <c r="Y338" s="383">
        <f t="shared" si="154"/>
        <v>27.77</v>
      </c>
      <c r="Z338" s="383">
        <f t="shared" si="155"/>
        <v>27.934405680946657</v>
      </c>
      <c r="AA338" s="384">
        <f t="shared" si="156"/>
        <v>28.644033969254583</v>
      </c>
      <c r="AB338" s="197">
        <f t="shared" si="157"/>
        <v>43789</v>
      </c>
      <c r="AC338" s="424">
        <f t="shared" si="158"/>
        <v>2.477403458848064E-2</v>
      </c>
      <c r="AD338" s="169">
        <f>(INDEX(Models!$BJ338:$BT338,,AH338)*(1-AF338)+INDEX(Models!$BJ338:$BT338,,AH338+1)*AF338-ERP_i)*AE338*Ramure*Pc/MaxiM</f>
        <v>7.0437693123061404E-4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27.106999999999999</v>
      </c>
      <c r="C339" s="388"/>
      <c r="D339" s="391">
        <f t="shared" si="143"/>
        <v>27.268003132175547</v>
      </c>
      <c r="E339" s="383">
        <f t="shared" si="140"/>
        <v>27.962314010012815</v>
      </c>
      <c r="F339" s="383">
        <f t="shared" si="142"/>
        <v>27.981917732937102</v>
      </c>
      <c r="G339" s="110">
        <f t="shared" si="141"/>
        <v>0.98856947941851248</v>
      </c>
      <c r="I339" s="379">
        <f t="shared" si="144"/>
        <v>27.981917732937102</v>
      </c>
      <c r="J339" s="85">
        <v>2018</v>
      </c>
      <c r="K339" s="197">
        <f t="shared" si="145"/>
        <v>43790</v>
      </c>
      <c r="L339" s="435">
        <f t="shared" si="146"/>
        <v>5.9044709432928277E-3</v>
      </c>
      <c r="M339" s="842"/>
      <c r="N339" s="842"/>
      <c r="O339" s="323">
        <f t="shared" si="147"/>
        <v>2.483023678185748E-2</v>
      </c>
      <c r="P339" s="169">
        <f>(INDEX(Models!$BJ339:$BT339,,T339)*(1-R339)+INDEX(Models!$BJ339:$BT339,,T339+1)*R339-ERP_i)*Q339*Ramure*Pc/MaxiM</f>
        <v>7.1220349778812453E-4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27.420110990353631</v>
      </c>
      <c r="W339" s="58"/>
      <c r="X339" s="157">
        <f t="shared" si="153"/>
        <v>43790</v>
      </c>
      <c r="Y339" s="383">
        <f t="shared" si="154"/>
        <v>27.106999999999999</v>
      </c>
      <c r="Z339" s="383">
        <f t="shared" si="155"/>
        <v>27.268003132175547</v>
      </c>
      <c r="AA339" s="384">
        <f t="shared" si="156"/>
        <v>27.962314010012815</v>
      </c>
      <c r="AB339" s="197">
        <f t="shared" si="157"/>
        <v>43790</v>
      </c>
      <c r="AC339" s="424">
        <f t="shared" si="158"/>
        <v>2.483023678185748E-2</v>
      </c>
      <c r="AD339" s="169">
        <f>(INDEX(Models!$BJ339:$BT339,,AH339)*(1-AF339)+INDEX(Models!$BJ339:$BT339,,AH339+1)*AF339-ERP_i)*AE339*Ramure*Pc/MaxiM</f>
        <v>7.1220349778812453E-4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13.29</v>
      </c>
      <c r="C340" s="388"/>
      <c r="D340" s="391">
        <f t="shared" si="143"/>
        <v>13.369192714618165</v>
      </c>
      <c r="E340" s="383">
        <f t="shared" si="140"/>
        <v>13.710399538451931</v>
      </c>
      <c r="F340" s="383">
        <f t="shared" si="142"/>
        <v>13.713060811847985</v>
      </c>
      <c r="G340" s="110">
        <f t="shared" si="141"/>
        <v>0.48886482416501664</v>
      </c>
      <c r="I340" s="379">
        <f t="shared" si="144"/>
        <v>13.713060811847985</v>
      </c>
      <c r="J340" s="85">
        <v>2018</v>
      </c>
      <c r="K340" s="197">
        <f t="shared" si="145"/>
        <v>43791</v>
      </c>
      <c r="L340" s="435">
        <f t="shared" si="146"/>
        <v>5.9235225573175398E-3</v>
      </c>
      <c r="M340" s="842"/>
      <c r="N340" s="842"/>
      <c r="O340" s="323">
        <f t="shared" si="147"/>
        <v>2.4886716311718265E-2</v>
      </c>
      <c r="P340" s="169">
        <f>(INDEX(Models!$BJ340:$BT340,,T340)*(1-R340)+INDEX(Models!$BJ340:$BT340,,T340+1)*R340-ERP_i)*Q340*Ramure*Pc/MaxiM</f>
        <v>7.1831130881664024E-4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27.171174534044887</v>
      </c>
      <c r="W340" s="58"/>
      <c r="X340" s="157">
        <f t="shared" si="153"/>
        <v>43791</v>
      </c>
      <c r="Y340" s="383">
        <f t="shared" si="154"/>
        <v>13.29</v>
      </c>
      <c r="Z340" s="383">
        <f t="shared" si="155"/>
        <v>13.369192714618165</v>
      </c>
      <c r="AA340" s="384">
        <f t="shared" si="156"/>
        <v>13.710399538451931</v>
      </c>
      <c r="AB340" s="197">
        <f t="shared" si="157"/>
        <v>43791</v>
      </c>
      <c r="AC340" s="424">
        <f t="shared" si="158"/>
        <v>2.4886716311718265E-2</v>
      </c>
      <c r="AD340" s="169">
        <f>(INDEX(Models!$BJ340:$BT340,,AH340)*(1-AF340)+INDEX(Models!$BJ340:$BT340,,AH340+1)*AF340-ERP_i)*AE340*Ramure*Pc/MaxiM</f>
        <v>7.1831130881664024E-4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6.8159999999999998</v>
      </c>
      <c r="C341" s="388"/>
      <c r="D341" s="391">
        <f t="shared" si="143"/>
        <v>6.8567467234748225</v>
      </c>
      <c r="E341" s="383">
        <f t="shared" si="140"/>
        <v>7.0321531396940848</v>
      </c>
      <c r="F341" s="383">
        <f t="shared" si="142"/>
        <v>7.0321531396940848</v>
      </c>
      <c r="G341" s="110">
        <f t="shared" si="141"/>
        <v>0.25292596417557645</v>
      </c>
      <c r="I341" s="379">
        <f t="shared" si="144"/>
        <v>7.0321531396940848</v>
      </c>
      <c r="J341" s="85">
        <v>2018</v>
      </c>
      <c r="K341" s="197">
        <f t="shared" si="145"/>
        <v>43792</v>
      </c>
      <c r="L341" s="435">
        <f t="shared" si="146"/>
        <v>5.9425738062224287E-3</v>
      </c>
      <c r="M341" s="842"/>
      <c r="N341" s="842"/>
      <c r="O341" s="323">
        <f t="shared" si="147"/>
        <v>2.494348640235855E-2</v>
      </c>
      <c r="P341" s="169">
        <f>(INDEX(Models!$BJ341:$BT341,,T341)*(1-R341)+INDEX(Models!$BJ341:$BT341,,T341+1)*R341-ERP_i)*Q341*Ramure*Pc/MaxiM</f>
        <v>7.2268483101550936E-4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26.929122134189743</v>
      </c>
      <c r="W341" s="58"/>
      <c r="X341" s="157">
        <f t="shared" si="153"/>
        <v>43792</v>
      </c>
      <c r="Y341" s="383">
        <f t="shared" si="154"/>
        <v>6.8159999999999998</v>
      </c>
      <c r="Z341" s="383">
        <f t="shared" si="155"/>
        <v>6.8567467234748225</v>
      </c>
      <c r="AA341" s="384">
        <f t="shared" si="156"/>
        <v>7.0321531396940848</v>
      </c>
      <c r="AB341" s="197">
        <f t="shared" si="157"/>
        <v>43792</v>
      </c>
      <c r="AC341" s="424">
        <f t="shared" si="158"/>
        <v>2.494348640235855E-2</v>
      </c>
      <c r="AD341" s="169">
        <f>(INDEX(Models!$BJ341:$BT341,,AH341)*(1-AF341)+INDEX(Models!$BJ341:$BT341,,AH341+1)*AF341-ERP_i)*AE341*Ramure*Pc/MaxiM</f>
        <v>7.2268483101550936E-4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13.776999999999999</v>
      </c>
      <c r="C342" s="388"/>
      <c r="D342" s="391">
        <f t="shared" si="143"/>
        <v>13.859625887887594</v>
      </c>
      <c r="E342" s="383">
        <f t="shared" si="140"/>
        <v>14.215009057501637</v>
      </c>
      <c r="F342" s="383">
        <f t="shared" si="142"/>
        <v>14.218192690380274</v>
      </c>
      <c r="G342" s="110">
        <f t="shared" si="141"/>
        <v>0.51584032825669512</v>
      </c>
      <c r="I342" s="379">
        <f t="shared" si="144"/>
        <v>14.218192690380274</v>
      </c>
      <c r="J342" s="85">
        <v>2018</v>
      </c>
      <c r="K342" s="197">
        <f t="shared" si="145"/>
        <v>43793</v>
      </c>
      <c r="L342" s="435">
        <f t="shared" si="146"/>
        <v>5.9616246900144887E-3</v>
      </c>
      <c r="M342" s="842"/>
      <c r="N342" s="842"/>
      <c r="O342" s="323">
        <f t="shared" si="147"/>
        <v>2.5000558788001614E-2</v>
      </c>
      <c r="P342" s="169">
        <f>(INDEX(Models!$BJ342:$BT342,,T342)*(1-R342)+INDEX(Models!$BJ342:$BT342,,T342+1)*R342-ERP_i)*Q342*Ramure*Pc/MaxiM</f>
        <v>7.2530981273127816E-4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26.694482671473619</v>
      </c>
      <c r="W342" s="58"/>
      <c r="X342" s="157">
        <f t="shared" si="153"/>
        <v>43793</v>
      </c>
      <c r="Y342" s="383">
        <f t="shared" si="154"/>
        <v>13.776999999999999</v>
      </c>
      <c r="Z342" s="383">
        <f t="shared" si="155"/>
        <v>13.859625887887594</v>
      </c>
      <c r="AA342" s="384">
        <f t="shared" si="156"/>
        <v>14.215009057501637</v>
      </c>
      <c r="AB342" s="197">
        <f t="shared" si="157"/>
        <v>43793</v>
      </c>
      <c r="AC342" s="424">
        <f t="shared" si="158"/>
        <v>2.5000558788001614E-2</v>
      </c>
      <c r="AD342" s="169">
        <f>(INDEX(Models!$BJ342:$BT342,,AH342)*(1-AF342)+INDEX(Models!$BJ342:$BT342,,AH342+1)*AF342-ERP_i)*AE342*Ramure*Pc/MaxiM</f>
        <v>7.2530981273127816E-4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11.683999999999999</v>
      </c>
      <c r="C343" s="388"/>
      <c r="D343" s="391">
        <f t="shared" si="143"/>
        <v>11.754298642486784</v>
      </c>
      <c r="E343" s="383">
        <f t="shared" si="140"/>
        <v>12.056407420578287</v>
      </c>
      <c r="F343" s="383">
        <f t="shared" si="142"/>
        <v>12.05817673007094</v>
      </c>
      <c r="G343" s="110">
        <f t="shared" si="141"/>
        <v>0.44118647775324571</v>
      </c>
      <c r="I343" s="379">
        <f t="shared" si="144"/>
        <v>12.05817673007094</v>
      </c>
      <c r="J343" s="85">
        <v>2018</v>
      </c>
      <c r="K343" s="197">
        <f t="shared" si="145"/>
        <v>43794</v>
      </c>
      <c r="L343" s="435">
        <f t="shared" si="146"/>
        <v>5.9806752087007142E-3</v>
      </c>
      <c r="M343" s="842"/>
      <c r="N343" s="842"/>
      <c r="O343" s="323">
        <f t="shared" si="147"/>
        <v>2.5057943676973962E-2</v>
      </c>
      <c r="P343" s="169">
        <f>(INDEX(Models!$BJ343:$BT343,,T343)*(1-R343)+INDEX(Models!$BJ343:$BT343,,T343+1)*R343-ERP_i)*Q343*Ramure*Pc/MaxiM</f>
        <v>7.2617429951674832E-4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26.467784895709137</v>
      </c>
      <c r="W343" s="58"/>
      <c r="X343" s="157">
        <f t="shared" si="153"/>
        <v>43794</v>
      </c>
      <c r="Y343" s="383">
        <f t="shared" si="154"/>
        <v>11.683999999999999</v>
      </c>
      <c r="Z343" s="383">
        <f t="shared" si="155"/>
        <v>11.754298642486784</v>
      </c>
      <c r="AA343" s="384">
        <f t="shared" si="156"/>
        <v>12.056407420578287</v>
      </c>
      <c r="AB343" s="197">
        <f t="shared" si="157"/>
        <v>43794</v>
      </c>
      <c r="AC343" s="424">
        <f t="shared" si="158"/>
        <v>2.5057943676973962E-2</v>
      </c>
      <c r="AD343" s="169">
        <f>(INDEX(Models!$BJ343:$BT343,,AH343)*(1-AF343)+INDEX(Models!$BJ343:$BT343,,AH343+1)*AF343-ERP_i)*AE343*Ramure*Pc/MaxiM</f>
        <v>7.2617429951674832E-4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19.134</v>
      </c>
      <c r="C344" s="388"/>
      <c r="D344" s="391">
        <f t="shared" si="143"/>
        <v>19.249491663343719</v>
      </c>
      <c r="E344" s="383">
        <f t="shared" si="140"/>
        <v>19.745410476561496</v>
      </c>
      <c r="F344" s="383">
        <f t="shared" si="142"/>
        <v>19.75418939353608</v>
      </c>
      <c r="G344" s="110">
        <f t="shared" si="141"/>
        <v>0.72872175716111287</v>
      </c>
      <c r="I344" s="379">
        <f t="shared" si="144"/>
        <v>19.75418939353608</v>
      </c>
      <c r="J344" s="85">
        <v>2018</v>
      </c>
      <c r="K344" s="197">
        <f t="shared" si="145"/>
        <v>43795</v>
      </c>
      <c r="L344" s="435">
        <f t="shared" si="146"/>
        <v>5.9997253622880997E-3</v>
      </c>
      <c r="M344" s="842"/>
      <c r="N344" s="842"/>
      <c r="O344" s="323">
        <f t="shared" si="147"/>
        <v>2.5115649725613538E-2</v>
      </c>
      <c r="P344" s="169">
        <f>(INDEX(Models!$BJ344:$BT344,,T344)*(1-R344)+INDEX(Models!$BJ344:$BT344,,T344+1)*R344-ERP_i)*Q344*Ramure*Pc/MaxiM</f>
        <v>7.2526516145017636E-4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26.249557528760938</v>
      </c>
      <c r="W344" s="58"/>
      <c r="X344" s="157">
        <f t="shared" si="153"/>
        <v>43795</v>
      </c>
      <c r="Y344" s="383">
        <f t="shared" si="154"/>
        <v>19.134</v>
      </c>
      <c r="Z344" s="383">
        <f t="shared" si="155"/>
        <v>19.249491663343719</v>
      </c>
      <c r="AA344" s="384">
        <f t="shared" si="156"/>
        <v>19.745410476561496</v>
      </c>
      <c r="AB344" s="197">
        <f t="shared" si="157"/>
        <v>43795</v>
      </c>
      <c r="AC344" s="424">
        <f t="shared" si="158"/>
        <v>2.5115649725613538E-2</v>
      </c>
      <c r="AD344" s="169">
        <f>(INDEX(Models!$BJ344:$BT344,,AH344)*(1-AF344)+INDEX(Models!$BJ344:$BT344,,AH344+1)*AF344-ERP_i)*AE344*Ramure*Pc/MaxiM</f>
        <v>7.2526516145017636E-4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18.959</v>
      </c>
      <c r="C345" s="388"/>
      <c r="D345" s="391">
        <f t="shared" si="143"/>
        <v>19.073800919002284</v>
      </c>
      <c r="E345" s="383">
        <f t="shared" si="140"/>
        <v>19.566358238767378</v>
      </c>
      <c r="F345" s="383">
        <f t="shared" si="142"/>
        <v>19.57501016284418</v>
      </c>
      <c r="G345" s="110">
        <f t="shared" si="141"/>
        <v>0.72793438194132232</v>
      </c>
      <c r="I345" s="379">
        <f t="shared" si="144"/>
        <v>19.57501016284418</v>
      </c>
      <c r="J345" s="85">
        <v>2018</v>
      </c>
      <c r="K345" s="197">
        <f t="shared" si="145"/>
        <v>43796</v>
      </c>
      <c r="L345" s="435">
        <f t="shared" si="146"/>
        <v>6.0187751507836396E-3</v>
      </c>
      <c r="M345" s="842"/>
      <c r="N345" s="842"/>
      <c r="O345" s="323">
        <f t="shared" si="147"/>
        <v>2.517368402205666E-2</v>
      </c>
      <c r="P345" s="169">
        <f>(INDEX(Models!$BJ345:$BT345,,T345)*(1-R345)+INDEX(Models!$BJ345:$BT345,,T345+1)*R345-ERP_i)*Q345*Ramure*Pc/MaxiM</f>
        <v>7.2264354434562698E-4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26.037617089189489</v>
      </c>
      <c r="W345" s="58"/>
      <c r="X345" s="157">
        <f t="shared" si="153"/>
        <v>43796</v>
      </c>
      <c r="Y345" s="383">
        <f t="shared" si="154"/>
        <v>18.959</v>
      </c>
      <c r="Z345" s="383">
        <f t="shared" si="155"/>
        <v>19.073800919002284</v>
      </c>
      <c r="AA345" s="384">
        <f t="shared" si="156"/>
        <v>19.566358238767378</v>
      </c>
      <c r="AB345" s="197">
        <f t="shared" si="157"/>
        <v>43796</v>
      </c>
      <c r="AC345" s="424">
        <f t="shared" si="158"/>
        <v>2.517368402205666E-2</v>
      </c>
      <c r="AD345" s="169">
        <f>(INDEX(Models!$BJ345:$BT345,,AH345)*(1-AF345)+INDEX(Models!$BJ345:$BT345,,AH345+1)*AF345-ERP_i)*AE345*Ramure*Pc/MaxiM</f>
        <v>7.2264354434562698E-4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11.706</v>
      </c>
      <c r="C346" s="388"/>
      <c r="D346" s="391">
        <f t="shared" si="143"/>
        <v>11.777108112776263</v>
      </c>
      <c r="E346" s="383">
        <f t="shared" si="140"/>
        <v>12.081960776312334</v>
      </c>
      <c r="F346" s="383">
        <f t="shared" si="142"/>
        <v>12.083864737284379</v>
      </c>
      <c r="G346" s="110">
        <f t="shared" si="141"/>
        <v>0.45294236470243937</v>
      </c>
      <c r="I346" s="379">
        <f t="shared" si="144"/>
        <v>12.083864737284379</v>
      </c>
      <c r="J346" s="85">
        <v>2018</v>
      </c>
      <c r="K346" s="197">
        <f t="shared" si="145"/>
        <v>43797</v>
      </c>
      <c r="L346" s="435">
        <f t="shared" si="146"/>
        <v>6.0378245741943282E-3</v>
      </c>
      <c r="M346" s="842"/>
      <c r="N346" s="842"/>
      <c r="O346" s="323">
        <f t="shared" si="147"/>
        <v>2.5232052079970202E-2</v>
      </c>
      <c r="P346" s="169">
        <f>(INDEX(Models!$BJ346:$BT346,,T346)*(1-R346)+INDEX(Models!$BJ346:$BT346,,T346+1)*R346-ERP_i)*Q346*Ramure*Pc/MaxiM</f>
        <v>7.1994477798921898E-4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25.829811085195708</v>
      </c>
      <c r="W346" s="58"/>
      <c r="X346" s="157">
        <f t="shared" si="153"/>
        <v>43797</v>
      </c>
      <c r="Y346" s="383">
        <f t="shared" si="154"/>
        <v>11.706</v>
      </c>
      <c r="Z346" s="383">
        <f t="shared" si="155"/>
        <v>11.777108112776263</v>
      </c>
      <c r="AA346" s="384">
        <f t="shared" si="156"/>
        <v>12.081960776312334</v>
      </c>
      <c r="AB346" s="197">
        <f t="shared" si="157"/>
        <v>43797</v>
      </c>
      <c r="AC346" s="424">
        <f t="shared" si="158"/>
        <v>2.5232052079970202E-2</v>
      </c>
      <c r="AD346" s="169">
        <f>(INDEX(Models!$BJ346:$BT346,,AH346)*(1-AF346)+INDEX(Models!$BJ346:$BT346,,AH346+1)*AF346-ERP_i)*AE346*Ramure*Pc/MaxiM</f>
        <v>7.1994477798921898E-4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15.666</v>
      </c>
      <c r="C347" s="388"/>
      <c r="D347" s="391">
        <f t="shared" si="143"/>
        <v>15.761465202998034</v>
      </c>
      <c r="E347" s="383">
        <f t="shared" si="140"/>
        <v>16.170427570898713</v>
      </c>
      <c r="F347" s="383">
        <f t="shared" si="142"/>
        <v>16.175594142321199</v>
      </c>
      <c r="G347" s="110">
        <f t="shared" si="141"/>
        <v>0.61107048756855498</v>
      </c>
      <c r="I347" s="379">
        <f t="shared" si="144"/>
        <v>16.175594142321199</v>
      </c>
      <c r="J347" s="85">
        <v>2018</v>
      </c>
      <c r="K347" s="197">
        <f t="shared" si="145"/>
        <v>43798</v>
      </c>
      <c r="L347" s="435">
        <f t="shared" si="146"/>
        <v>6.0568736325271599E-3</v>
      </c>
      <c r="M347" s="842"/>
      <c r="N347" s="842"/>
      <c r="O347" s="323">
        <f t="shared" si="147"/>
        <v>2.5290757842215194E-2</v>
      </c>
      <c r="P347" s="169">
        <f>(INDEX(Models!$BJ347:$BT347,,T347)*(1-R347)+INDEX(Models!$BJ347:$BT347,,T347+1)*R347-ERP_i)*Q347*Ramure*Pc/MaxiM</f>
        <v>7.1819288104302509E-4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25.626749969331399</v>
      </c>
      <c r="W347" s="58"/>
      <c r="X347" s="157">
        <f t="shared" si="153"/>
        <v>43798</v>
      </c>
      <c r="Y347" s="383">
        <f t="shared" si="154"/>
        <v>15.666</v>
      </c>
      <c r="Z347" s="383">
        <f t="shared" si="155"/>
        <v>15.761465202998034</v>
      </c>
      <c r="AA347" s="384">
        <f t="shared" si="156"/>
        <v>16.170427570898713</v>
      </c>
      <c r="AB347" s="197">
        <f t="shared" si="157"/>
        <v>43798</v>
      </c>
      <c r="AC347" s="424">
        <f t="shared" si="158"/>
        <v>2.5290757842215194E-2</v>
      </c>
      <c r="AD347" s="169">
        <f>(INDEX(Models!$BJ347:$BT347,,AH347)*(1-AF347)+INDEX(Models!$BJ347:$BT347,,AH347+1)*AF347-ERP_i)*AE347*Ramure*Pc/MaxiM</f>
        <v>7.1819288104302509E-4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11.48</v>
      </c>
      <c r="C348" s="388"/>
      <c r="D348" s="391">
        <f t="shared" si="143"/>
        <v>11.550177984281534</v>
      </c>
      <c r="E348" s="383">
        <f t="shared" si="140"/>
        <v>11.850588065402066</v>
      </c>
      <c r="F348" s="383">
        <f t="shared" si="142"/>
        <v>11.852427690707582</v>
      </c>
      <c r="G348" s="110">
        <f t="shared" si="141"/>
        <v>0.45119797132590506</v>
      </c>
      <c r="I348" s="379">
        <f t="shared" si="144"/>
        <v>11.852427690707582</v>
      </c>
      <c r="J348" s="85">
        <v>2018</v>
      </c>
      <c r="K348" s="197">
        <f t="shared" si="145"/>
        <v>43799</v>
      </c>
      <c r="L348" s="435">
        <f t="shared" si="146"/>
        <v>6.0759223257891293E-3</v>
      </c>
      <c r="M348" s="842"/>
      <c r="N348" s="842"/>
      <c r="O348" s="323">
        <f t="shared" si="147"/>
        <v>2.5349803694348628E-2</v>
      </c>
      <c r="P348" s="169">
        <f>(INDEX(Models!$BJ348:$BT348,,T348)*(1-R348)+INDEX(Models!$BJ348:$BT348,,T348+1)*R348-ERP_i)*Q348*Ramure*Pc/MaxiM</f>
        <v>7.1737404631098836E-4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25.429071258657732</v>
      </c>
      <c r="W348" s="58"/>
      <c r="X348" s="157">
        <f t="shared" si="153"/>
        <v>43799</v>
      </c>
      <c r="Y348" s="383">
        <f t="shared" si="154"/>
        <v>11.48</v>
      </c>
      <c r="Z348" s="383">
        <f t="shared" si="155"/>
        <v>11.550177984281534</v>
      </c>
      <c r="AA348" s="384">
        <f t="shared" si="156"/>
        <v>11.850588065402066</v>
      </c>
      <c r="AB348" s="197">
        <f t="shared" si="157"/>
        <v>43799</v>
      </c>
      <c r="AC348" s="424">
        <f t="shared" si="158"/>
        <v>2.5349803694348628E-2</v>
      </c>
      <c r="AD348" s="169">
        <f>(INDEX(Models!$BJ348:$BT348,,AH348)*(1-AF348)+INDEX(Models!$BJ348:$BT348,,AH348+1)*AF348-ERP_i)*AE348*Ramure*Pc/MaxiM</f>
        <v>7.1737404631098836E-4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7.9050000000000002</v>
      </c>
      <c r="C349" s="388"/>
      <c r="D349" s="391">
        <f t="shared" si="143"/>
        <v>7.9534762040609372</v>
      </c>
      <c r="E349" s="383">
        <f t="shared" si="140"/>
        <v>8.1608364520097574</v>
      </c>
      <c r="F349" s="383">
        <f t="shared" si="142"/>
        <v>8.160947078517955</v>
      </c>
      <c r="G349" s="110">
        <f t="shared" si="141"/>
        <v>0.31300496918263032</v>
      </c>
      <c r="I349" s="379">
        <f t="shared" si="144"/>
        <v>8.160947078517955</v>
      </c>
      <c r="J349" s="85">
        <v>2018</v>
      </c>
      <c r="K349" s="197">
        <f t="shared" si="145"/>
        <v>43800</v>
      </c>
      <c r="L349" s="435">
        <f t="shared" si="146"/>
        <v>6.0949706539872306E-3</v>
      </c>
      <c r="M349" s="842"/>
      <c r="N349" s="842"/>
      <c r="O349" s="323">
        <f t="shared" si="147"/>
        <v>2.5409190487790608E-2</v>
      </c>
      <c r="P349" s="169">
        <f>(INDEX(Models!$BJ349:$BT349,,T349)*(1-R349)+INDEX(Models!$BJ349:$BT349,,T349+1)*R349-ERP_i)*Q349*Ramure*Pc/MaxiM</f>
        <v>7.1747370201988617E-4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25.237412276795013</v>
      </c>
      <c r="W349" s="58"/>
      <c r="X349" s="157">
        <f t="shared" si="153"/>
        <v>43800</v>
      </c>
      <c r="Y349" s="383">
        <f t="shared" si="154"/>
        <v>7.9049999999999994</v>
      </c>
      <c r="Z349" s="383">
        <f t="shared" si="155"/>
        <v>7.9534762040609364</v>
      </c>
      <c r="AA349" s="384">
        <f t="shared" si="156"/>
        <v>8.1608364520097574</v>
      </c>
      <c r="AB349" s="197">
        <f t="shared" si="157"/>
        <v>43800</v>
      </c>
      <c r="AC349" s="424">
        <f t="shared" si="158"/>
        <v>2.5409190487790608E-2</v>
      </c>
      <c r="AD349" s="169">
        <f>(INDEX(Models!$BJ349:$BT349,,AH349)*(1-AF349)+INDEX(Models!$BJ349:$BT349,,AH349+1)*AF349-ERP_i)*AE349*Ramure*Pc/MaxiM</f>
        <v>7.1747370201988617E-4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4.1319999999999997</v>
      </c>
      <c r="C350" s="388"/>
      <c r="D350" s="391">
        <f t="shared" si="143"/>
        <v>4.1574185343180146</v>
      </c>
      <c r="E350" s="383">
        <f t="shared" si="140"/>
        <v>4.2660707383100913</v>
      </c>
      <c r="F350" s="383">
        <f t="shared" si="142"/>
        <v>4.2660707383100913</v>
      </c>
      <c r="G350" s="110">
        <f t="shared" si="141"/>
        <v>0.16481572953539741</v>
      </c>
      <c r="I350" s="379">
        <f t="shared" si="144"/>
        <v>4.2660707383100913</v>
      </c>
      <c r="J350" s="85">
        <v>2018</v>
      </c>
      <c r="K350" s="197">
        <f t="shared" si="145"/>
        <v>43801</v>
      </c>
      <c r="L350" s="435">
        <f t="shared" si="146"/>
        <v>6.1140186171284583E-3</v>
      </c>
      <c r="M350" s="842"/>
      <c r="N350" s="842"/>
      <c r="O350" s="323">
        <f t="shared" si="147"/>
        <v>2.5468917572407025E-2</v>
      </c>
      <c r="P350" s="169">
        <f>(INDEX(Models!$BJ350:$BT350,,T350)*(1-R350)+INDEX(Models!$BJ350:$BT350,,T350+1)*R350-ERP_i)*Q350*Ramure*Pc/MaxiM</f>
        <v>7.1847632461256709E-4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25.052410152029264</v>
      </c>
      <c r="W350" s="58"/>
      <c r="X350" s="157">
        <f t="shared" si="153"/>
        <v>43801</v>
      </c>
      <c r="Y350" s="383">
        <f t="shared" si="154"/>
        <v>4.1319999999999997</v>
      </c>
      <c r="Z350" s="383">
        <f t="shared" si="155"/>
        <v>4.1574185343180146</v>
      </c>
      <c r="AA350" s="384">
        <f t="shared" si="156"/>
        <v>4.2660707383100913</v>
      </c>
      <c r="AB350" s="197">
        <f t="shared" si="157"/>
        <v>43801</v>
      </c>
      <c r="AC350" s="424">
        <f t="shared" si="158"/>
        <v>2.5468917572407025E-2</v>
      </c>
      <c r="AD350" s="169">
        <f>(INDEX(Models!$BJ350:$BT350,,AH350)*(1-AF350)+INDEX(Models!$BJ350:$BT350,,AH350+1)*AF350-ERP_i)*AE350*Ramure*Pc/MaxiM</f>
        <v>7.1847632461256709E-4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4.6120000000000001</v>
      </c>
      <c r="C351" s="388"/>
      <c r="D351" s="391">
        <f t="shared" si="143"/>
        <v>4.6404602499822367</v>
      </c>
      <c r="E351" s="383">
        <f t="shared" si="140"/>
        <v>4.7620300329688083</v>
      </c>
      <c r="F351" s="383">
        <f t="shared" si="142"/>
        <v>4.7620300329688083</v>
      </c>
      <c r="G351" s="110">
        <f t="shared" si="141"/>
        <v>0.18527569537311228</v>
      </c>
      <c r="I351" s="379">
        <f t="shared" si="144"/>
        <v>4.7620300329688083</v>
      </c>
      <c r="J351" s="85">
        <v>2018</v>
      </c>
      <c r="K351" s="197">
        <f t="shared" si="145"/>
        <v>43802</v>
      </c>
      <c r="L351" s="435">
        <f t="shared" si="146"/>
        <v>6.1330662152198068E-3</v>
      </c>
      <c r="M351" s="842"/>
      <c r="N351" s="842"/>
      <c r="O351" s="323">
        <f t="shared" si="147"/>
        <v>2.5528982838182744E-2</v>
      </c>
      <c r="P351" s="169">
        <f>(INDEX(Models!$BJ351:$BT351,,T351)*(1-R351)+INDEX(Models!$BJ351:$BT351,,T351+1)*R351-ERP_i)*Q351*Ramure*Pc/MaxiM</f>
        <v>7.2036524334421754E-4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24.874701812434925</v>
      </c>
      <c r="W351" s="58"/>
      <c r="X351" s="157">
        <f t="shared" si="153"/>
        <v>43802</v>
      </c>
      <c r="Y351" s="383">
        <f t="shared" si="154"/>
        <v>4.6120000000000001</v>
      </c>
      <c r="Z351" s="383">
        <f t="shared" si="155"/>
        <v>4.6404602499822367</v>
      </c>
      <c r="AA351" s="384">
        <f t="shared" si="156"/>
        <v>4.7620300329688083</v>
      </c>
      <c r="AB351" s="197">
        <f t="shared" si="157"/>
        <v>43802</v>
      </c>
      <c r="AC351" s="424">
        <f t="shared" si="158"/>
        <v>2.5528982838182744E-2</v>
      </c>
      <c r="AD351" s="169">
        <f>(INDEX(Models!$BJ351:$BT351,,AH351)*(1-AF351)+INDEX(Models!$BJ351:$BT351,,AH351+1)*AF351-ERP_i)*AE351*Ramure*Pc/MaxiM</f>
        <v>7.2036524334421754E-4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6.0949999999999998</v>
      </c>
      <c r="C352" s="388"/>
      <c r="D352" s="391">
        <f t="shared" si="143"/>
        <v>6.1327292460693315</v>
      </c>
      <c r="E352" s="383">
        <f t="shared" si="140"/>
        <v>6.2937832753458105</v>
      </c>
      <c r="F352" s="383">
        <f t="shared" si="142"/>
        <v>6.2937832753458105</v>
      </c>
      <c r="G352" s="110">
        <f t="shared" si="141"/>
        <v>0.24653354837484387</v>
      </c>
      <c r="I352" s="379">
        <f t="shared" si="144"/>
        <v>6.2937832753458105</v>
      </c>
      <c r="J352" s="85">
        <v>2018</v>
      </c>
      <c r="K352" s="197">
        <f t="shared" si="145"/>
        <v>43803</v>
      </c>
      <c r="L352" s="435">
        <f t="shared" si="146"/>
        <v>6.1521134482682704E-3</v>
      </c>
      <c r="M352" s="842"/>
      <c r="N352" s="842"/>
      <c r="O352" s="323">
        <f t="shared" si="147"/>
        <v>2.5589382765587816E-2</v>
      </c>
      <c r="P352" s="169">
        <f>(INDEX(Models!$BJ352:$BT352,,T352)*(1-R352)+INDEX(Models!$BJ352:$BT352,,T352+1)*R352-ERP_i)*Q352*Ramure*Pc/MaxiM</f>
        <v>7.239654193137657E-4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24.704903129487274</v>
      </c>
      <c r="W352" s="58"/>
      <c r="X352" s="157">
        <f t="shared" si="153"/>
        <v>43803</v>
      </c>
      <c r="Y352" s="383">
        <f t="shared" si="154"/>
        <v>6.0949999999999998</v>
      </c>
      <c r="Z352" s="383">
        <f t="shared" si="155"/>
        <v>6.1327292460693315</v>
      </c>
      <c r="AA352" s="384">
        <f t="shared" si="156"/>
        <v>6.2937832753458105</v>
      </c>
      <c r="AB352" s="197">
        <f t="shared" si="157"/>
        <v>43803</v>
      </c>
      <c r="AC352" s="424">
        <f t="shared" si="158"/>
        <v>2.5589382765587816E-2</v>
      </c>
      <c r="AD352" s="169">
        <f>(INDEX(Models!$BJ352:$BT352,,AH352)*(1-AF352)+INDEX(Models!$BJ352:$BT352,,AH352+1)*AF352-ERP_i)*AE352*Ramure*Pc/MaxiM</f>
        <v>7.239654193137657E-4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8.9540000000000006</v>
      </c>
      <c r="C353" s="388"/>
      <c r="D353" s="391">
        <f t="shared" si="143"/>
        <v>9.0095996840356989</v>
      </c>
      <c r="E353" s="383">
        <f t="shared" si="140"/>
        <v>9.2467806477673911</v>
      </c>
      <c r="F353" s="383">
        <f t="shared" si="142"/>
        <v>9.2474057354658896</v>
      </c>
      <c r="G353" s="110">
        <f t="shared" si="141"/>
        <v>0.36457799517882439</v>
      </c>
      <c r="I353" s="379">
        <f t="shared" si="144"/>
        <v>9.2474057354658896</v>
      </c>
      <c r="J353" s="85">
        <v>2018</v>
      </c>
      <c r="K353" s="197">
        <f t="shared" si="145"/>
        <v>43804</v>
      </c>
      <c r="L353" s="435">
        <f t="shared" si="146"/>
        <v>6.1711603162809547E-3</v>
      </c>
      <c r="M353" s="842"/>
      <c r="N353" s="842"/>
      <c r="O353" s="323">
        <f t="shared" si="147"/>
        <v>2.5650112484171254E-2</v>
      </c>
      <c r="P353" s="169">
        <f>(INDEX(Models!$BJ353:$BT353,,T353)*(1-R353)+INDEX(Models!$BJ353:$BT353,,T353+1)*R353-ERP_i)*Q353*Ramure*Pc/MaxiM</f>
        <v>7.2998226692570875E-4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24.543633216524693</v>
      </c>
      <c r="W353" s="58"/>
      <c r="X353" s="157">
        <f t="shared" si="153"/>
        <v>43804</v>
      </c>
      <c r="Y353" s="383">
        <f t="shared" si="154"/>
        <v>8.9540000000000006</v>
      </c>
      <c r="Z353" s="383">
        <f t="shared" si="155"/>
        <v>9.0095996840356989</v>
      </c>
      <c r="AA353" s="384">
        <f t="shared" si="156"/>
        <v>9.2467806477673911</v>
      </c>
      <c r="AB353" s="197">
        <f t="shared" si="157"/>
        <v>43804</v>
      </c>
      <c r="AC353" s="424">
        <f t="shared" si="158"/>
        <v>2.5650112484171254E-2</v>
      </c>
      <c r="AD353" s="169">
        <f>(INDEX(Models!$BJ353:$BT353,,AH353)*(1-AF353)+INDEX(Models!$BJ353:$BT353,,AH353+1)*AF353-ERP_i)*AE353*Ramure*Pc/MaxiM</f>
        <v>7.2998226692570875E-4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8.782</v>
      </c>
      <c r="C354" s="388"/>
      <c r="D354" s="391">
        <f t="shared" si="143"/>
        <v>8.8367010068322962</v>
      </c>
      <c r="E354" s="383">
        <f t="shared" si="140"/>
        <v>9.0698986758281013</v>
      </c>
      <c r="F354" s="383">
        <f t="shared" si="142"/>
        <v>9.0704731698901107</v>
      </c>
      <c r="G354" s="110">
        <f t="shared" si="141"/>
        <v>0.3597999638181944</v>
      </c>
      <c r="I354" s="379">
        <f t="shared" si="144"/>
        <v>9.0704731698901107</v>
      </c>
      <c r="J354" s="85">
        <v>2018</v>
      </c>
      <c r="K354" s="197">
        <f t="shared" si="145"/>
        <v>43805</v>
      </c>
      <c r="L354" s="435">
        <f t="shared" si="146"/>
        <v>6.190206819264632E-3</v>
      </c>
      <c r="M354" s="842"/>
      <c r="N354" s="842"/>
      <c r="O354" s="323">
        <f t="shared" si="147"/>
        <v>2.5711165838852502E-2</v>
      </c>
      <c r="P354" s="169">
        <f>(INDEX(Models!$BJ354:$BT354,,T354)*(1-R354)+INDEX(Models!$BJ354:$BT354,,T354+1)*R354-ERP_i)*Q354*Ramure*Pc/MaxiM</f>
        <v>7.3839889179929492E-4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24.391528935711722</v>
      </c>
      <c r="W354" s="58"/>
      <c r="X354" s="157">
        <f t="shared" si="153"/>
        <v>43805</v>
      </c>
      <c r="Y354" s="383">
        <f t="shared" si="154"/>
        <v>8.782</v>
      </c>
      <c r="Z354" s="383">
        <f t="shared" si="155"/>
        <v>8.8367010068322962</v>
      </c>
      <c r="AA354" s="384">
        <f t="shared" si="156"/>
        <v>9.0698986758281013</v>
      </c>
      <c r="AB354" s="197">
        <f t="shared" si="157"/>
        <v>43805</v>
      </c>
      <c r="AC354" s="424">
        <f t="shared" si="158"/>
        <v>2.5711165838852502E-2</v>
      </c>
      <c r="AD354" s="169">
        <f>(INDEX(Models!$BJ354:$BT354,,AH354)*(1-AF354)+INDEX(Models!$BJ354:$BT354,,AH354+1)*AF354-ERP_i)*AE354*Ramure*Pc/MaxiM</f>
        <v>7.3839889179929492E-4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15.117000000000001</v>
      </c>
      <c r="C355" s="388"/>
      <c r="D355" s="391">
        <f t="shared" si="143"/>
        <v>15.211451751773408</v>
      </c>
      <c r="E355" s="383">
        <f t="shared" si="140"/>
        <v>15.613860525896424</v>
      </c>
      <c r="F355" s="383">
        <f t="shared" si="142"/>
        <v>15.619266818048127</v>
      </c>
      <c r="G355" s="110">
        <f t="shared" si="141"/>
        <v>0.6231499595984471</v>
      </c>
      <c r="I355" s="379">
        <f t="shared" si="144"/>
        <v>15.619266818048127</v>
      </c>
      <c r="J355" s="85">
        <v>2018</v>
      </c>
      <c r="K355" s="197">
        <f t="shared" si="145"/>
        <v>43806</v>
      </c>
      <c r="L355" s="435">
        <f t="shared" si="146"/>
        <v>6.2092529572265187E-3</v>
      </c>
      <c r="M355" s="842"/>
      <c r="N355" s="842"/>
      <c r="O355" s="323">
        <f t="shared" si="147"/>
        <v>2.5772535463321103E-2</v>
      </c>
      <c r="P355" s="169">
        <f>(INDEX(Models!$BJ355:$BT355,,T355)*(1-R355)+INDEX(Models!$BJ355:$BT355,,T355+1)*R355-ERP_i)*Q355*Ramure*Pc/MaxiM</f>
        <v>7.4919543272933026E-4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24.249226872004293</v>
      </c>
      <c r="W355" s="58"/>
      <c r="X355" s="157">
        <f t="shared" si="153"/>
        <v>43806</v>
      </c>
      <c r="Y355" s="383">
        <f t="shared" si="154"/>
        <v>15.117000000000001</v>
      </c>
      <c r="Z355" s="383">
        <f t="shared" si="155"/>
        <v>15.211451751773408</v>
      </c>
      <c r="AA355" s="384">
        <f t="shared" si="156"/>
        <v>15.613860525896424</v>
      </c>
      <c r="AB355" s="197">
        <f t="shared" si="157"/>
        <v>43806</v>
      </c>
      <c r="AC355" s="424">
        <f t="shared" si="158"/>
        <v>2.5772535463321103E-2</v>
      </c>
      <c r="AD355" s="169">
        <f>(INDEX(Models!$BJ355:$BT355,,AH355)*(1-AF355)+INDEX(Models!$BJ355:$BT355,,AH355+1)*AF355-ERP_i)*AE355*Ramure*Pc/MaxiM</f>
        <v>7.4919543272933026E-4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16.524999999999999</v>
      </c>
      <c r="C356" s="388"/>
      <c r="D356" s="391">
        <f t="shared" si="143"/>
        <v>16.628567687009603</v>
      </c>
      <c r="E356" s="383">
        <f t="shared" si="140"/>
        <v>17.069545971047528</v>
      </c>
      <c r="F356" s="383">
        <f t="shared" si="142"/>
        <v>17.076709643331426</v>
      </c>
      <c r="G356" s="110">
        <f t="shared" si="141"/>
        <v>0.68495597260018271</v>
      </c>
      <c r="I356" s="379">
        <f t="shared" si="144"/>
        <v>17.076709643331426</v>
      </c>
      <c r="J356" s="85">
        <v>2018</v>
      </c>
      <c r="K356" s="197">
        <f t="shared" si="145"/>
        <v>43807</v>
      </c>
      <c r="L356" s="435">
        <f t="shared" si="146"/>
        <v>6.2282987301734982E-3</v>
      </c>
      <c r="M356" s="842"/>
      <c r="N356" s="842"/>
      <c r="O356" s="323">
        <f t="shared" si="147"/>
        <v>2.583421285990194E-2</v>
      </c>
      <c r="P356" s="169">
        <f>(INDEX(Models!$BJ356:$BT356,,T356)*(1-R356)+INDEX(Models!$BJ356:$BT356,,T356+1)*R356-ERP_i)*Q356*Ramure*Pc/MaxiM</f>
        <v>7.6234830330727268E-4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24.117363316363829</v>
      </c>
      <c r="W356" s="58"/>
      <c r="X356" s="157">
        <f t="shared" si="153"/>
        <v>43807</v>
      </c>
      <c r="Y356" s="383">
        <f t="shared" si="154"/>
        <v>16.524999999999999</v>
      </c>
      <c r="Z356" s="383">
        <f t="shared" si="155"/>
        <v>16.628567687009603</v>
      </c>
      <c r="AA356" s="384">
        <f t="shared" si="156"/>
        <v>17.069545971047528</v>
      </c>
      <c r="AB356" s="197">
        <f t="shared" si="157"/>
        <v>43807</v>
      </c>
      <c r="AC356" s="424">
        <f t="shared" si="158"/>
        <v>2.583421285990194E-2</v>
      </c>
      <c r="AD356" s="169">
        <f>(INDEX(Models!$BJ356:$BT356,,AH356)*(1-AF356)+INDEX(Models!$BJ356:$BT356,,AH356+1)*AF356-ERP_i)*AE356*Ramure*Pc/MaxiM</f>
        <v>7.6234830330727268E-4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11.446999999999999</v>
      </c>
      <c r="C357" s="388"/>
      <c r="D357" s="391">
        <f t="shared" si="143"/>
        <v>11.518962925509818</v>
      </c>
      <c r="E357" s="383">
        <f t="shared" si="140"/>
        <v>11.825190281923804</v>
      </c>
      <c r="F357" s="383">
        <f t="shared" ref="F357:F379" si="168">Wh_sa/(1-Pvg*MEDIAN((-Sdif+Wh/Env_an)/Csdif,0,1))</f>
        <v>11.827516861952027</v>
      </c>
      <c r="G357" s="110">
        <f t="shared" si="141"/>
        <v>0.47674915935397899</v>
      </c>
      <c r="I357" s="379">
        <f t="shared" si="144"/>
        <v>11.827516861952027</v>
      </c>
      <c r="J357" s="85">
        <v>2018</v>
      </c>
      <c r="K357" s="197">
        <f t="shared" si="145"/>
        <v>43808</v>
      </c>
      <c r="L357" s="435">
        <f t="shared" si="146"/>
        <v>6.2473441381125649E-3</v>
      </c>
      <c r="M357" s="842"/>
      <c r="N357" s="842"/>
      <c r="O357" s="323">
        <f t="shared" si="147"/>
        <v>2.5896188485194302E-2</v>
      </c>
      <c r="P357" s="169">
        <f>(INDEX(Models!$BJ357:$BT357,,T357)*(1-R357)+INDEX(Models!$BJ357:$BT357,,T357+1)*R357-ERP_i)*Q357*Ramure*Pc/MaxiM</f>
        <v>7.778294175793273E-4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23.996574261988357</v>
      </c>
      <c r="W357" s="58"/>
      <c r="X357" s="157">
        <f t="shared" si="153"/>
        <v>43808</v>
      </c>
      <c r="Y357" s="383">
        <f t="shared" si="154"/>
        <v>11.446999999999999</v>
      </c>
      <c r="Z357" s="383">
        <f t="shared" si="155"/>
        <v>11.518962925509818</v>
      </c>
      <c r="AA357" s="384">
        <f t="shared" si="156"/>
        <v>11.825190281923804</v>
      </c>
      <c r="AB357" s="197">
        <f t="shared" si="157"/>
        <v>43808</v>
      </c>
      <c r="AC357" s="424">
        <f t="shared" si="158"/>
        <v>2.5896188485194302E-2</v>
      </c>
      <c r="AD357" s="169">
        <f>(INDEX(Models!$BJ357:$BT357,,AH357)*(1-AF357)+INDEX(Models!$BJ357:$BT357,,AH357+1)*AF357-ERP_i)*AE357*Ramure*Pc/MaxiM</f>
        <v>7.778294175793273E-4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20.876000000000001</v>
      </c>
      <c r="C358" s="388"/>
      <c r="D358" s="391">
        <f t="shared" si="143"/>
        <v>21.007642060929999</v>
      </c>
      <c r="E358" s="383">
        <f t="shared" si="140"/>
        <v>21.567500996882966</v>
      </c>
      <c r="F358" s="383">
        <f t="shared" si="168"/>
        <v>21.581579026303849</v>
      </c>
      <c r="G358" s="110">
        <f t="shared" si="141"/>
        <v>0.87380474140960318</v>
      </c>
      <c r="I358" s="379">
        <f t="shared" si="144"/>
        <v>21.581579026303849</v>
      </c>
      <c r="J358" s="85">
        <v>2018</v>
      </c>
      <c r="K358" s="197">
        <f t="shared" si="145"/>
        <v>43809</v>
      </c>
      <c r="L358" s="435">
        <f t="shared" si="146"/>
        <v>6.2663891810507133E-3</v>
      </c>
      <c r="M358" s="842"/>
      <c r="N358" s="842"/>
      <c r="O358" s="323">
        <f t="shared" si="147"/>
        <v>2.5958451840752406E-2</v>
      </c>
      <c r="P358" s="169">
        <f>(INDEX(Models!$BJ358:$BT358,,T358)*(1-R358)+INDEX(Models!$BJ358:$BT358,,T358+1)*R358-ERP_i)*Q358*Ramure*Pc/MaxiM</f>
        <v>7.9560541336027983E-4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23.887495418542663</v>
      </c>
      <c r="W358" s="58"/>
      <c r="X358" s="157">
        <f t="shared" si="153"/>
        <v>43809</v>
      </c>
      <c r="Y358" s="383">
        <f t="shared" si="154"/>
        <v>20.876000000000001</v>
      </c>
      <c r="Z358" s="383">
        <f t="shared" si="155"/>
        <v>21.007642060929999</v>
      </c>
      <c r="AA358" s="384">
        <f t="shared" si="156"/>
        <v>21.567500996882966</v>
      </c>
      <c r="AB358" s="197">
        <f t="shared" si="157"/>
        <v>43809</v>
      </c>
      <c r="AC358" s="424">
        <f t="shared" si="158"/>
        <v>2.5958451840752406E-2</v>
      </c>
      <c r="AD358" s="169">
        <f>(INDEX(Models!$BJ358:$BT358,,AH358)*(1-AF358)+INDEX(Models!$BJ358:$BT358,,AH358+1)*AF358-ERP_i)*AE358*Ramure*Pc/MaxiM</f>
        <v>7.9560541336027983E-4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1.897</v>
      </c>
      <c r="C359" s="388"/>
      <c r="D359" s="391">
        <f t="shared" si="143"/>
        <v>1.9089988862363336</v>
      </c>
      <c r="E359" s="383">
        <f t="shared" si="140"/>
        <v>1.9600000305034191</v>
      </c>
      <c r="F359" s="383">
        <f t="shared" si="168"/>
        <v>1.9600000305034191</v>
      </c>
      <c r="G359" s="110">
        <f t="shared" si="141"/>
        <v>7.9680788552110887E-2</v>
      </c>
      <c r="I359" s="379">
        <f t="shared" si="144"/>
        <v>1.9600000305034191</v>
      </c>
      <c r="J359" s="85">
        <v>2018</v>
      </c>
      <c r="K359" s="197">
        <f t="shared" si="145"/>
        <v>43810</v>
      </c>
      <c r="L359" s="435">
        <f t="shared" si="146"/>
        <v>6.2854338589950487E-3</v>
      </c>
      <c r="M359" s="842"/>
      <c r="N359" s="842"/>
      <c r="O359" s="323">
        <f t="shared" si="147"/>
        <v>2.6020991568038977E-2</v>
      </c>
      <c r="P359" s="169">
        <f>(INDEX(Models!$BJ359:$BT359,,T359)*(1-R359)+INDEX(Models!$BJ359:$BT359,,T359+1)*R359-ERP_i)*Q359*Ramure*Pc/MaxiM</f>
        <v>8.1572895808935931E-4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23.788074849772435</v>
      </c>
      <c r="W359" s="58"/>
      <c r="X359" s="157">
        <f t="shared" si="153"/>
        <v>43810</v>
      </c>
      <c r="Y359" s="383">
        <f t="shared" si="154"/>
        <v>1.897</v>
      </c>
      <c r="Z359" s="383">
        <f t="shared" si="155"/>
        <v>1.9089988862363336</v>
      </c>
      <c r="AA359" s="384">
        <f t="shared" si="156"/>
        <v>1.9600000305034191</v>
      </c>
      <c r="AB359" s="197">
        <f t="shared" si="157"/>
        <v>43810</v>
      </c>
      <c r="AC359" s="424">
        <f t="shared" si="158"/>
        <v>2.6020991568038977E-2</v>
      </c>
      <c r="AD359" s="169">
        <f>(INDEX(Models!$BJ359:$BT359,,AH359)*(1-AF359)+INDEX(Models!$BJ359:$BT359,,AH359+1)*AF359-ERP_i)*AE359*Ramure*Pc/MaxiM</f>
        <v>8.1572895808935931E-4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4.6219999999999999</v>
      </c>
      <c r="C360" s="388"/>
      <c r="D360" s="391">
        <f t="shared" si="143"/>
        <v>4.6513241717112273</v>
      </c>
      <c r="E360" s="383">
        <f t="shared" si="140"/>
        <v>4.7758977111618721</v>
      </c>
      <c r="F360" s="383">
        <f t="shared" si="168"/>
        <v>4.7758977111618721</v>
      </c>
      <c r="G360" s="110">
        <f t="shared" si="141"/>
        <v>0.19488909006228575</v>
      </c>
      <c r="I360" s="379">
        <f t="shared" si="144"/>
        <v>4.7758977111618721</v>
      </c>
      <c r="J360" s="85">
        <v>2018</v>
      </c>
      <c r="K360" s="197">
        <f t="shared" si="145"/>
        <v>43811</v>
      </c>
      <c r="L360" s="435">
        <f t="shared" si="146"/>
        <v>6.3044781719523435E-3</v>
      </c>
      <c r="M360" s="842"/>
      <c r="N360" s="842"/>
      <c r="O360" s="323">
        <f t="shared" si="147"/>
        <v>2.6083795546856203E-2</v>
      </c>
      <c r="P360" s="169">
        <f>(INDEX(Models!$BJ360:$BT360,,T360)*(1-R360)+INDEX(Models!$BJ360:$BT360,,T360+1)*R360-ERP_i)*Q360*Ramure*Pc/MaxiM</f>
        <v>8.3826054220517026E-4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23.696172824748647</v>
      </c>
      <c r="W360" s="58"/>
      <c r="X360" s="157">
        <f t="shared" si="153"/>
        <v>43811</v>
      </c>
      <c r="Y360" s="383">
        <f t="shared" si="154"/>
        <v>4.6219999999999999</v>
      </c>
      <c r="Z360" s="383">
        <f t="shared" si="155"/>
        <v>4.6513241717112273</v>
      </c>
      <c r="AA360" s="384">
        <f t="shared" si="156"/>
        <v>4.7758977111618721</v>
      </c>
      <c r="AB360" s="197">
        <f t="shared" si="157"/>
        <v>43811</v>
      </c>
      <c r="AC360" s="424">
        <f t="shared" si="158"/>
        <v>2.6083795546856203E-2</v>
      </c>
      <c r="AD360" s="169">
        <f>(INDEX(Models!$BJ360:$BT360,,AH360)*(1-AF360)+INDEX(Models!$BJ360:$BT360,,AH360+1)*AF360-ERP_i)*AE360*Ramure*Pc/MaxiM</f>
        <v>8.3826054220517026E-4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2.383</v>
      </c>
      <c r="C361" s="388"/>
      <c r="D361" s="391">
        <f t="shared" si="143"/>
        <v>2.3981648484665161</v>
      </c>
      <c r="E361" s="383">
        <f t="shared" ref="E361:E379" si="169">Wh_pvt/(1-Psa)</f>
        <v>2.4625528509306509</v>
      </c>
      <c r="F361" s="383">
        <f t="shared" si="168"/>
        <v>2.4625528509306509</v>
      </c>
      <c r="G361" s="110">
        <f t="shared" ref="G361:G379" si="170">+Wh_hp/MaxiM</f>
        <v>0.10083489420494873</v>
      </c>
      <c r="I361" s="379">
        <f t="shared" si="144"/>
        <v>2.4625528509306509</v>
      </c>
      <c r="J361" s="85">
        <v>2018</v>
      </c>
      <c r="K361" s="197">
        <f t="shared" si="145"/>
        <v>43812</v>
      </c>
      <c r="L361" s="435">
        <f t="shared" si="146"/>
        <v>6.3235221199298142E-3</v>
      </c>
      <c r="M361" s="842"/>
      <c r="N361" s="842"/>
      <c r="O361" s="323">
        <f t="shared" si="147"/>
        <v>2.6146850996436967E-2</v>
      </c>
      <c r="P361" s="169">
        <f>(INDEX(Models!$BJ361:$BT361,,T361)*(1-R361)+INDEX(Models!$BJ361:$BT361,,T361+1)*R361-ERP_i)*Q361*Ramure*Pc/MaxiM</f>
        <v>8.5974675702671388E-4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23.612373893492457</v>
      </c>
      <c r="W361" s="58"/>
      <c r="X361" s="157">
        <f t="shared" si="153"/>
        <v>43812</v>
      </c>
      <c r="Y361" s="383">
        <f t="shared" si="154"/>
        <v>2.383</v>
      </c>
      <c r="Z361" s="383">
        <f t="shared" si="155"/>
        <v>2.3981648484665161</v>
      </c>
      <c r="AA361" s="384">
        <f t="shared" si="156"/>
        <v>2.4625528509306509</v>
      </c>
      <c r="AB361" s="197">
        <f t="shared" si="157"/>
        <v>43812</v>
      </c>
      <c r="AC361" s="424">
        <f t="shared" si="158"/>
        <v>2.6146850996436967E-2</v>
      </c>
      <c r="AD361" s="169">
        <f>(INDEX(Models!$BJ361:$BT361,,AH361)*(1-AF361)+INDEX(Models!$BJ361:$BT361,,AH361+1)*AF361-ERP_i)*AE361*Ramure*Pc/MaxiM</f>
        <v>8.5974675702671388E-4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18.283000000000001</v>
      </c>
      <c r="C362" s="388"/>
      <c r="D362" s="391">
        <f t="shared" si="143"/>
        <v>18.399701314501595</v>
      </c>
      <c r="E362" s="383">
        <f t="shared" si="169"/>
        <v>18.894940435105319</v>
      </c>
      <c r="F362" s="383">
        <f t="shared" si="168"/>
        <v>18.906274254752212</v>
      </c>
      <c r="G362" s="110">
        <f t="shared" si="170"/>
        <v>0.77655287239523463</v>
      </c>
      <c r="I362" s="379">
        <f t="shared" si="144"/>
        <v>18.906274254752212</v>
      </c>
      <c r="J362" s="85">
        <v>2018</v>
      </c>
      <c r="K362" s="197">
        <f t="shared" si="145"/>
        <v>43813</v>
      </c>
      <c r="L362" s="435">
        <f t="shared" si="146"/>
        <v>6.3425657029343441E-3</v>
      </c>
      <c r="M362" s="842"/>
      <c r="N362" s="842"/>
      <c r="O362" s="323">
        <f t="shared" si="147"/>
        <v>2.6210144578366051E-2</v>
      </c>
      <c r="P362" s="169">
        <f>(INDEX(Models!$BJ362:$BT362,,T362)*(1-R362)+INDEX(Models!$BJ362:$BT362,,T362+1)*R362-ERP_i)*Q362*Ramure*Pc/MaxiM</f>
        <v>8.8015371860153944E-4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23.537180666117901</v>
      </c>
      <c r="W362" s="58"/>
      <c r="X362" s="157">
        <f t="shared" si="153"/>
        <v>43813</v>
      </c>
      <c r="Y362" s="383">
        <f t="shared" si="154"/>
        <v>18.283000000000001</v>
      </c>
      <c r="Z362" s="383">
        <f t="shared" si="155"/>
        <v>18.399701314501595</v>
      </c>
      <c r="AA362" s="384">
        <f t="shared" si="156"/>
        <v>18.894940435105319</v>
      </c>
      <c r="AB362" s="197">
        <f t="shared" si="157"/>
        <v>43813</v>
      </c>
      <c r="AC362" s="424">
        <f t="shared" si="158"/>
        <v>2.6210144578366051E-2</v>
      </c>
      <c r="AD362" s="169">
        <f>(INDEX(Models!$BJ362:$BT362,,AH362)*(1-AF362)+INDEX(Models!$BJ362:$BT362,,AH362+1)*AF362-ERP_i)*AE362*Ramure*Pc/MaxiM</f>
        <v>8.8015371860153944E-4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24.021999999999998</v>
      </c>
      <c r="C363" s="388"/>
      <c r="D363" s="391">
        <f t="shared" si="143"/>
        <v>24.175796965648299</v>
      </c>
      <c r="E363" s="383">
        <f t="shared" si="169"/>
        <v>24.828122681502997</v>
      </c>
      <c r="F363" s="383">
        <f t="shared" si="168"/>
        <v>24.850474320764231</v>
      </c>
      <c r="G363" s="110">
        <f t="shared" si="170"/>
        <v>1.0234716081453485</v>
      </c>
      <c r="I363" s="379">
        <f t="shared" si="144"/>
        <v>24.850474320764231</v>
      </c>
      <c r="J363" s="85">
        <v>2018</v>
      </c>
      <c r="K363" s="197">
        <f t="shared" si="145"/>
        <v>43814</v>
      </c>
      <c r="L363" s="435">
        <f t="shared" si="146"/>
        <v>6.3616089209730387E-3</v>
      </c>
      <c r="M363" s="842"/>
      <c r="N363" s="842"/>
      <c r="O363" s="323">
        <f t="shared" si="147"/>
        <v>2.6273662500495131E-2</v>
      </c>
      <c r="P363" s="169">
        <f>(INDEX(Models!$BJ363:$BT363,,T363)*(1-R363)+INDEX(Models!$BJ363:$BT363,,T363+1)*R363-ERP_i)*Q363*Ramure*Pc/MaxiM</f>
        <v>8.9944517648747331E-4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23.471095640386839</v>
      </c>
      <c r="W363" s="58"/>
      <c r="X363" s="157">
        <f t="shared" si="153"/>
        <v>43814</v>
      </c>
      <c r="Y363" s="383">
        <f t="shared" si="154"/>
        <v>24.021999999999998</v>
      </c>
      <c r="Z363" s="383">
        <f t="shared" si="155"/>
        <v>24.175796965648299</v>
      </c>
      <c r="AA363" s="384">
        <f t="shared" si="156"/>
        <v>24.828122681502997</v>
      </c>
      <c r="AB363" s="197">
        <f t="shared" si="157"/>
        <v>43814</v>
      </c>
      <c r="AC363" s="424">
        <f t="shared" si="158"/>
        <v>2.6273662500495131E-2</v>
      </c>
      <c r="AD363" s="169">
        <f>(INDEX(Models!$BJ363:$BT363,,AH363)*(1-AF363)+INDEX(Models!$BJ363:$BT363,,AH363+1)*AF363-ERP_i)*AE363*Ramure*Pc/MaxiM</f>
        <v>8.9944517648747331E-4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14.061</v>
      </c>
      <c r="C364" s="388"/>
      <c r="D364" s="391">
        <f t="shared" si="143"/>
        <v>14.151294482243268</v>
      </c>
      <c r="E364" s="383">
        <f t="shared" si="169"/>
        <v>14.534084338792852</v>
      </c>
      <c r="F364" s="383">
        <f t="shared" si="168"/>
        <v>14.539812070698289</v>
      </c>
      <c r="G364" s="110">
        <f t="shared" si="170"/>
        <v>0.60020762053449994</v>
      </c>
      <c r="I364" s="379">
        <f t="shared" si="144"/>
        <v>14.539812070698289</v>
      </c>
      <c r="J364" s="85">
        <v>2018</v>
      </c>
      <c r="K364" s="197">
        <f t="shared" si="145"/>
        <v>43815</v>
      </c>
      <c r="L364" s="435">
        <f t="shared" si="146"/>
        <v>6.3806517740526703E-3</v>
      </c>
      <c r="M364" s="842"/>
      <c r="N364" s="842"/>
      <c r="O364" s="323">
        <f t="shared" si="147"/>
        <v>2.63373906210164E-2</v>
      </c>
      <c r="P364" s="169">
        <f>(INDEX(Models!$BJ364:$BT364,,T364)*(1-R364)+INDEX(Models!$BJ364:$BT364,,T364+1)*R364-ERP_i)*Q364*Ramure*Pc/MaxiM</f>
        <v>9.1758300054252341E-4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23.414621198229192</v>
      </c>
      <c r="W364" s="58"/>
      <c r="X364" s="157">
        <f t="shared" si="153"/>
        <v>43815</v>
      </c>
      <c r="Y364" s="383">
        <f t="shared" si="154"/>
        <v>14.061</v>
      </c>
      <c r="Z364" s="383">
        <f t="shared" si="155"/>
        <v>14.151294482243268</v>
      </c>
      <c r="AA364" s="384">
        <f t="shared" si="156"/>
        <v>14.534084338792852</v>
      </c>
      <c r="AB364" s="197">
        <f t="shared" si="157"/>
        <v>43815</v>
      </c>
      <c r="AC364" s="424">
        <f t="shared" si="158"/>
        <v>2.63373906210164E-2</v>
      </c>
      <c r="AD364" s="169">
        <f>(INDEX(Models!$BJ364:$BT364,,AH364)*(1-AF364)+INDEX(Models!$BJ364:$BT364,,AH364+1)*AF364-ERP_i)*AE364*Ramure*Pc/MaxiM</f>
        <v>9.1758300054252341E-4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12.568</v>
      </c>
      <c r="C365" s="388"/>
      <c r="D365" s="391">
        <f t="shared" si="143"/>
        <v>12.648949408955101</v>
      </c>
      <c r="E365" s="383">
        <f t="shared" si="169"/>
        <v>12.991954075136213</v>
      </c>
      <c r="F365" s="383">
        <f t="shared" si="168"/>
        <v>12.996080380515796</v>
      </c>
      <c r="G365" s="110">
        <f t="shared" si="170"/>
        <v>0.53749158074598857</v>
      </c>
      <c r="I365" s="379">
        <f t="shared" si="144"/>
        <v>12.996080380515796</v>
      </c>
      <c r="J365" s="85">
        <v>2018</v>
      </c>
      <c r="K365" s="197">
        <f t="shared" si="145"/>
        <v>43816</v>
      </c>
      <c r="L365" s="435">
        <f t="shared" si="146"/>
        <v>6.3996942621804553E-3</v>
      </c>
      <c r="M365" s="842"/>
      <c r="N365" s="842"/>
      <c r="O365" s="323">
        <f t="shared" si="147"/>
        <v>2.6401314551869354E-2</v>
      </c>
      <c r="P365" s="169">
        <f>(INDEX(Models!$BJ365:$BT365,,T365)*(1-R365)+INDEX(Models!$BJ365:$BT365,,T365+1)*R365-ERP_i)*Q365*Ramure*Pc/MaxiM</f>
        <v>9.3452771391334998E-4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23.368259580045404</v>
      </c>
      <c r="W365" s="58"/>
      <c r="X365" s="157">
        <f t="shared" si="153"/>
        <v>43816</v>
      </c>
      <c r="Y365" s="383">
        <f t="shared" si="154"/>
        <v>12.568</v>
      </c>
      <c r="Z365" s="383">
        <f t="shared" si="155"/>
        <v>12.648949408955101</v>
      </c>
      <c r="AA365" s="384">
        <f t="shared" si="156"/>
        <v>12.991954075136213</v>
      </c>
      <c r="AB365" s="197">
        <f t="shared" si="157"/>
        <v>43816</v>
      </c>
      <c r="AC365" s="424">
        <f t="shared" si="158"/>
        <v>2.6401314551869354E-2</v>
      </c>
      <c r="AD365" s="169">
        <f>(INDEX(Models!$BJ365:$BT365,,AH365)*(1-AF365)+INDEX(Models!$BJ365:$BT365,,AH365+1)*AF365-ERP_i)*AE365*Ramure*Pc/MaxiM</f>
        <v>9.3452771391334998E-4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18.443999999999999</v>
      </c>
      <c r="C366" s="388"/>
      <c r="D366" s="391">
        <f t="shared" si="143"/>
        <v>18.56315197903486</v>
      </c>
      <c r="E366" s="383">
        <f t="shared" si="169"/>
        <v>19.067789019339592</v>
      </c>
      <c r="F366" s="383">
        <f t="shared" si="168"/>
        <v>19.080468817938161</v>
      </c>
      <c r="G366" s="110">
        <f t="shared" si="170"/>
        <v>0.79025894915555794</v>
      </c>
      <c r="I366" s="379">
        <f t="shared" si="144"/>
        <v>19.080468817938161</v>
      </c>
      <c r="J366" s="85">
        <v>2018</v>
      </c>
      <c r="K366" s="197">
        <f t="shared" si="145"/>
        <v>43817</v>
      </c>
      <c r="L366" s="435">
        <f t="shared" si="146"/>
        <v>6.4187363853632773E-3</v>
      </c>
      <c r="M366" s="842"/>
      <c r="N366" s="842"/>
      <c r="O366" s="323">
        <f t="shared" si="147"/>
        <v>2.6465419760670805E-2</v>
      </c>
      <c r="P366" s="169">
        <f>(INDEX(Models!$BJ366:$BT366,,T366)*(1-R366)+INDEX(Models!$BJ366:$BT366,,T366+1)*R366-ERP_i)*Q366*Ramure*Pc/MaxiM</f>
        <v>9.4841182285051464E-4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23.332555572928705</v>
      </c>
      <c r="W366" s="58"/>
      <c r="X366" s="157">
        <f t="shared" si="153"/>
        <v>43817</v>
      </c>
      <c r="Y366" s="383">
        <f t="shared" si="154"/>
        <v>18.443999999999999</v>
      </c>
      <c r="Z366" s="383">
        <f t="shared" si="155"/>
        <v>18.56315197903486</v>
      </c>
      <c r="AA366" s="384">
        <f t="shared" si="156"/>
        <v>19.067789019339592</v>
      </c>
      <c r="AB366" s="197">
        <f t="shared" si="157"/>
        <v>43817</v>
      </c>
      <c r="AC366" s="424">
        <f t="shared" si="158"/>
        <v>2.6465419760670805E-2</v>
      </c>
      <c r="AD366" s="169">
        <f>(INDEX(Models!$BJ366:$BT366,,AH366)*(1-AF366)+INDEX(Models!$BJ366:$BT366,,AH366+1)*AF366-ERP_i)*AE366*Ramure*Pc/MaxiM</f>
        <v>9.4841182285051464E-4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10.648</v>
      </c>
      <c r="C367" s="388"/>
      <c r="D367" s="391">
        <f t="shared" si="143"/>
        <v>10.716993627339273</v>
      </c>
      <c r="E367" s="383">
        <f t="shared" si="169"/>
        <v>11.009060610927735</v>
      </c>
      <c r="F367" s="383">
        <f t="shared" si="168"/>
        <v>11.011425028980904</v>
      </c>
      <c r="G367" s="110">
        <f t="shared" si="170"/>
        <v>0.45649846160290392</v>
      </c>
      <c r="I367" s="379">
        <f t="shared" si="144"/>
        <v>11.011425028980904</v>
      </c>
      <c r="J367" s="85">
        <v>2018</v>
      </c>
      <c r="K367" s="197">
        <f t="shared" si="145"/>
        <v>43818</v>
      </c>
      <c r="L367" s="435">
        <f t="shared" si="146"/>
        <v>6.4377781436081305E-3</v>
      </c>
      <c r="M367" s="842"/>
      <c r="N367" s="842"/>
      <c r="O367" s="323">
        <f t="shared" si="147"/>
        <v>2.6529691670382258E-2</v>
      </c>
      <c r="P367" s="169">
        <f>(INDEX(Models!$BJ367:$BT367,,T367)*(1-R367)+INDEX(Models!$BJ367:$BT367,,T367+1)*R367-ERP_i)*Q367*Ramure*Pc/MaxiM</f>
        <v>9.5835581331634064E-4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23.308030592913592</v>
      </c>
      <c r="W367" s="58"/>
      <c r="X367" s="157">
        <f t="shared" si="153"/>
        <v>43818</v>
      </c>
      <c r="Y367" s="383">
        <f t="shared" si="154"/>
        <v>10.648</v>
      </c>
      <c r="Z367" s="383">
        <f t="shared" si="155"/>
        <v>10.716993627339273</v>
      </c>
      <c r="AA367" s="384">
        <f t="shared" si="156"/>
        <v>11.009060610927735</v>
      </c>
      <c r="AB367" s="197">
        <f t="shared" si="157"/>
        <v>43818</v>
      </c>
      <c r="AC367" s="424">
        <f t="shared" si="158"/>
        <v>2.6529691670382258E-2</v>
      </c>
      <c r="AD367" s="169">
        <f>(INDEX(Models!$BJ367:$BT367,,AH367)*(1-AF367)+INDEX(Models!$BJ367:$BT367,,AH367+1)*AF367-ERP_i)*AE367*Ramure*Pc/MaxiM</f>
        <v>9.5835581331634064E-4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8.6180000000000003</v>
      </c>
      <c r="C368" s="388"/>
      <c r="D368" s="391">
        <f t="shared" si="143"/>
        <v>8.6740064945977071</v>
      </c>
      <c r="E368" s="383">
        <f t="shared" si="169"/>
        <v>8.9109862956438199</v>
      </c>
      <c r="F368" s="383">
        <f t="shared" si="168"/>
        <v>8.9118450513711291</v>
      </c>
      <c r="G368" s="110">
        <f t="shared" si="170"/>
        <v>0.36962654238960319</v>
      </c>
      <c r="I368" s="379">
        <f t="shared" si="144"/>
        <v>8.9118450513711291</v>
      </c>
      <c r="J368" s="85">
        <v>2018</v>
      </c>
      <c r="K368" s="197">
        <f t="shared" si="145"/>
        <v>43819</v>
      </c>
      <c r="L368" s="435">
        <f t="shared" si="146"/>
        <v>6.4568195369220094E-3</v>
      </c>
      <c r="M368" s="842"/>
      <c r="N368" s="842"/>
      <c r="O368" s="323">
        <f t="shared" si="147"/>
        <v>2.6594115755958603E-2</v>
      </c>
      <c r="P368" s="169">
        <f>(INDEX(Models!$BJ368:$BT368,,T368)*(1-R368)+INDEX(Models!$BJ368:$BT368,,T368+1)*R368-ERP_i)*Q368*Ramure*Pc/MaxiM</f>
        <v>9.6433240751566502E-4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23.295186128288147</v>
      </c>
      <c r="W368" s="58"/>
      <c r="X368" s="157">
        <f t="shared" si="153"/>
        <v>43819</v>
      </c>
      <c r="Y368" s="383">
        <f t="shared" si="154"/>
        <v>8.6180000000000003</v>
      </c>
      <c r="Z368" s="383">
        <f t="shared" si="155"/>
        <v>8.6740064945977071</v>
      </c>
      <c r="AA368" s="384">
        <f t="shared" si="156"/>
        <v>8.9109862956438199</v>
      </c>
      <c r="AB368" s="197">
        <f t="shared" si="157"/>
        <v>43819</v>
      </c>
      <c r="AC368" s="424">
        <f t="shared" si="158"/>
        <v>2.6594115755958603E-2</v>
      </c>
      <c r="AD368" s="169">
        <f>(INDEX(Models!$BJ368:$BT368,,AH368)*(1-AF368)+INDEX(Models!$BJ368:$BT368,,AH368+1)*AF368-ERP_i)*AE368*Ramure*Pc/MaxiM</f>
        <v>9.6433240751566502E-4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19.038</v>
      </c>
      <c r="C369" s="388"/>
      <c r="D369" s="391">
        <f t="shared" si="143"/>
        <v>19.162091029647815</v>
      </c>
      <c r="E369" s="383">
        <f t="shared" si="169"/>
        <v>19.686918236588099</v>
      </c>
      <c r="F369" s="383">
        <f t="shared" si="168"/>
        <v>19.700986215963447</v>
      </c>
      <c r="G369" s="110">
        <f t="shared" si="170"/>
        <v>0.81706733516379426</v>
      </c>
      <c r="I369" s="379">
        <f t="shared" si="144"/>
        <v>19.700986215963447</v>
      </c>
      <c r="J369" s="85">
        <v>2018</v>
      </c>
      <c r="K369" s="197">
        <f t="shared" si="145"/>
        <v>43820</v>
      </c>
      <c r="L369" s="435">
        <f t="shared" si="146"/>
        <v>6.4758605653119083E-3</v>
      </c>
      <c r="M369" s="842"/>
      <c r="N369" s="842"/>
      <c r="O369" s="323">
        <f t="shared" si="147"/>
        <v>2.6658677637259393E-2</v>
      </c>
      <c r="P369" s="169">
        <f>(INDEX(Models!$BJ369:$BT369,,T369)*(1-R369)+INDEX(Models!$BJ369:$BT369,,T369+1)*R369-ERP_i)*Q369*Ramure*Pc/MaxiM</f>
        <v>9.6632107428396507E-4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23.294523579894339</v>
      </c>
      <c r="W369" s="58"/>
      <c r="X369" s="157">
        <f t="shared" si="153"/>
        <v>43820</v>
      </c>
      <c r="Y369" s="383">
        <f t="shared" si="154"/>
        <v>19.038</v>
      </c>
      <c r="Z369" s="383">
        <f t="shared" si="155"/>
        <v>19.162091029647815</v>
      </c>
      <c r="AA369" s="384">
        <f t="shared" si="156"/>
        <v>19.686918236588099</v>
      </c>
      <c r="AB369" s="197">
        <f t="shared" si="157"/>
        <v>43820</v>
      </c>
      <c r="AC369" s="424">
        <f t="shared" si="158"/>
        <v>2.6658677637259393E-2</v>
      </c>
      <c r="AD369" s="169">
        <f>(INDEX(Models!$BJ369:$BT369,,AH369)*(1-AF369)+INDEX(Models!$BJ369:$BT369,,AH369+1)*AF369-ERP_i)*AE369*Ramure*Pc/MaxiM</f>
        <v>9.6632107428396507E-4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7.1509999999999998</v>
      </c>
      <c r="C370" s="388"/>
      <c r="D370" s="391">
        <f t="shared" si="143"/>
        <v>7.1977486666595718</v>
      </c>
      <c r="E370" s="383">
        <f t="shared" si="169"/>
        <v>7.3953780397778548</v>
      </c>
      <c r="F370" s="383">
        <f>Wh_sa/(1-Pvg*MEDIAN((-Sdif+Wh/Env_an)/Csdif,0,1))</f>
        <v>7.3954475585945838</v>
      </c>
      <c r="G370" s="110">
        <f t="shared" si="170"/>
        <v>0.30653070233822127</v>
      </c>
      <c r="I370" s="379">
        <f t="shared" si="144"/>
        <v>7.3954475585945838</v>
      </c>
      <c r="J370" s="85">
        <v>2018</v>
      </c>
      <c r="K370" s="197">
        <f t="shared" si="145"/>
        <v>43821</v>
      </c>
      <c r="L370" s="435">
        <f t="shared" si="146"/>
        <v>6.4949012287849328E-3</v>
      </c>
      <c r="M370" s="842"/>
      <c r="N370" s="842"/>
      <c r="O370" s="323">
        <f t="shared" si="147"/>
        <v>2.672336316754664E-2</v>
      </c>
      <c r="P370" s="169">
        <f>(INDEX(Models!$BJ370:$BT370,,T370)*(1-R370)+INDEX(Models!$BJ370:$BT370,,T370+1)*R370-ERP_i)*Q370*Ramure*Pc/MaxiM</f>
        <v>9.6430943278788647E-4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23.306544256468385</v>
      </c>
      <c r="W370" s="58"/>
      <c r="X370" s="157">
        <f t="shared" si="153"/>
        <v>43821</v>
      </c>
      <c r="Y370" s="383">
        <f t="shared" si="154"/>
        <v>7.1509999999999998</v>
      </c>
      <c r="Z370" s="383">
        <f t="shared" si="155"/>
        <v>7.1977486666595718</v>
      </c>
      <c r="AA370" s="384">
        <f t="shared" si="156"/>
        <v>7.3953780397778548</v>
      </c>
      <c r="AB370" s="197">
        <f t="shared" si="157"/>
        <v>43821</v>
      </c>
      <c r="AC370" s="424">
        <f t="shared" si="158"/>
        <v>2.672336316754664E-2</v>
      </c>
      <c r="AD370" s="169">
        <f>(INDEX(Models!$BJ370:$BT370,,AH370)*(1-AF370)+INDEX(Models!$BJ370:$BT370,,AH370+1)*AF370-ERP_i)*AE370*Ramure*Pc/MaxiM</f>
        <v>9.6430943278788647E-4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6.6550000000000002</v>
      </c>
      <c r="C371" s="388"/>
      <c r="D371" s="391">
        <f t="shared" si="143"/>
        <v>6.6986345135342376</v>
      </c>
      <c r="E371" s="383">
        <f t="shared" si="169"/>
        <v>6.8830178877872292</v>
      </c>
      <c r="F371" s="383">
        <f t="shared" si="168"/>
        <v>6.8830178877872292</v>
      </c>
      <c r="G371" s="110">
        <f t="shared" si="170"/>
        <v>0.28496031086119317</v>
      </c>
      <c r="I371" s="379">
        <f t="shared" si="144"/>
        <v>6.8830178877872292</v>
      </c>
      <c r="J371" s="85">
        <v>2018</v>
      </c>
      <c r="K371" s="197">
        <f t="shared" si="145"/>
        <v>43822</v>
      </c>
      <c r="L371" s="435">
        <f t="shared" si="146"/>
        <v>6.5139415273479662E-3</v>
      </c>
      <c r="M371" s="842"/>
      <c r="N371" s="842"/>
      <c r="O371" s="323">
        <f t="shared" si="147"/>
        <v>2.6788158516942082E-2</v>
      </c>
      <c r="P371" s="169">
        <f>(INDEX(Models!$BJ371:$BT371,,T371)*(1-R371)+INDEX(Models!$BJ371:$BT371,,T371+1)*R371-ERP_i)*Q371*Ramure*Pc/MaxiM</f>
        <v>9.5828246502643346E-4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23.331749639457179</v>
      </c>
      <c r="W371" s="58"/>
      <c r="X371" s="157">
        <f t="shared" si="153"/>
        <v>43822</v>
      </c>
      <c r="Y371" s="383">
        <f t="shared" si="154"/>
        <v>6.6550000000000002</v>
      </c>
      <c r="Z371" s="383">
        <f t="shared" si="155"/>
        <v>6.6986345135342376</v>
      </c>
      <c r="AA371" s="384">
        <f t="shared" si="156"/>
        <v>6.8830178877872292</v>
      </c>
      <c r="AB371" s="197">
        <f t="shared" si="157"/>
        <v>43822</v>
      </c>
      <c r="AC371" s="424">
        <f t="shared" si="158"/>
        <v>2.6788158516942082E-2</v>
      </c>
      <c r="AD371" s="169">
        <f>(INDEX(Models!$BJ371:$BT371,,AH371)*(1-AF371)+INDEX(Models!$BJ371:$BT371,,AH371+1)*AF371-ERP_i)*AE371*Ramure*Pc/MaxiM</f>
        <v>9.5828246502643346E-4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13.207000000000001</v>
      </c>
      <c r="C372" s="388"/>
      <c r="D372" s="391">
        <f t="shared" si="143"/>
        <v>13.293848465571026</v>
      </c>
      <c r="E372" s="383">
        <f t="shared" si="169"/>
        <v>13.660679375288485</v>
      </c>
      <c r="F372" s="383">
        <f t="shared" si="168"/>
        <v>13.665587151375444</v>
      </c>
      <c r="G372" s="110">
        <f t="shared" si="170"/>
        <v>0.56477770048972176</v>
      </c>
      <c r="I372" s="379">
        <f t="shared" si="144"/>
        <v>13.665587151375444</v>
      </c>
      <c r="J372" s="85">
        <v>2018</v>
      </c>
      <c r="K372" s="197">
        <f t="shared" si="145"/>
        <v>43823</v>
      </c>
      <c r="L372" s="435">
        <f t="shared" si="146"/>
        <v>6.5329814610080028E-3</v>
      </c>
      <c r="M372" s="842"/>
      <c r="N372" s="842"/>
      <c r="O372" s="323">
        <f t="shared" si="147"/>
        <v>2.6853050250270766E-2</v>
      </c>
      <c r="P372" s="169">
        <f>(INDEX(Models!$BJ372:$BT372,,T372)*(1-R372)+INDEX(Models!$BJ372:$BT372,,T372+1)*R372-ERP_i)*Q372*Ramure*Pc/MaxiM</f>
        <v>9.4825940772525928E-4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23.370640542573831</v>
      </c>
      <c r="W372" s="58"/>
      <c r="X372" s="157">
        <f t="shared" si="153"/>
        <v>43823</v>
      </c>
      <c r="Y372" s="383">
        <f t="shared" si="154"/>
        <v>13.207000000000001</v>
      </c>
      <c r="Z372" s="383">
        <f t="shared" si="155"/>
        <v>13.293848465571026</v>
      </c>
      <c r="AA372" s="384">
        <f t="shared" si="156"/>
        <v>13.660679375288485</v>
      </c>
      <c r="AB372" s="197">
        <f t="shared" si="157"/>
        <v>43823</v>
      </c>
      <c r="AC372" s="424">
        <f t="shared" si="158"/>
        <v>2.6853050250270766E-2</v>
      </c>
      <c r="AD372" s="169">
        <f>(INDEX(Models!$BJ372:$BT372,,AH372)*(1-AF372)+INDEX(Models!$BJ372:$BT372,,AH372+1)*AF372-ERP_i)*AE372*Ramure*Pc/MaxiM</f>
        <v>9.4825940772525928E-4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11.131</v>
      </c>
      <c r="C373" s="388"/>
      <c r="D373" s="391">
        <f t="shared" si="143"/>
        <v>11.20441154003654</v>
      </c>
      <c r="E373" s="383">
        <f t="shared" si="169"/>
        <v>11.514355247026538</v>
      </c>
      <c r="F373" s="383">
        <f t="shared" si="168"/>
        <v>11.517048363491462</v>
      </c>
      <c r="G373" s="110">
        <f t="shared" si="170"/>
        <v>0.47487121395044568</v>
      </c>
      <c r="I373" s="379">
        <f t="shared" si="144"/>
        <v>11.517048363491462</v>
      </c>
      <c r="J373" s="85">
        <v>2018</v>
      </c>
      <c r="K373" s="197">
        <f t="shared" si="145"/>
        <v>43824</v>
      </c>
      <c r="L373" s="435">
        <f t="shared" si="146"/>
        <v>6.5520210297720372E-3</v>
      </c>
      <c r="M373" s="842"/>
      <c r="N373" s="842"/>
      <c r="O373" s="323">
        <f t="shared" si="147"/>
        <v>2.6918025398776607E-2</v>
      </c>
      <c r="P373" s="169">
        <f>(INDEX(Models!$BJ373:$BT373,,T373)*(1-R373)+INDEX(Models!$BJ373:$BT373,,T373+1)*R373-ERP_i)*Q373*Ramure*Pc/MaxiM</f>
        <v>9.3425973470482519E-4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23.423617706300139</v>
      </c>
      <c r="W373" s="58"/>
      <c r="X373" s="157">
        <f t="shared" si="153"/>
        <v>43824</v>
      </c>
      <c r="Y373" s="383">
        <f t="shared" si="154"/>
        <v>11.131</v>
      </c>
      <c r="Z373" s="383">
        <f t="shared" si="155"/>
        <v>11.20441154003654</v>
      </c>
      <c r="AA373" s="384">
        <f t="shared" si="156"/>
        <v>11.514355247026538</v>
      </c>
      <c r="AB373" s="197">
        <f t="shared" si="157"/>
        <v>43824</v>
      </c>
      <c r="AC373" s="424">
        <f t="shared" si="158"/>
        <v>2.6918025398776607E-2</v>
      </c>
      <c r="AD373" s="169">
        <f>(INDEX(Models!$BJ373:$BT373,,AH373)*(1-AF373)+INDEX(Models!$BJ373:$BT373,,AH373+1)*AF373-ERP_i)*AE373*Ramure*Pc/MaxiM</f>
        <v>9.3425973470482519E-4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8.1690000000000005</v>
      </c>
      <c r="C374" s="388"/>
      <c r="D374" s="391">
        <f t="shared" si="143"/>
        <v>8.223034052059413</v>
      </c>
      <c r="E374" s="383">
        <f t="shared" si="169"/>
        <v>8.4510698749604227</v>
      </c>
      <c r="F374" s="383">
        <f t="shared" si="168"/>
        <v>8.4515982622369421</v>
      </c>
      <c r="G374" s="110">
        <f t="shared" si="170"/>
        <v>0.34746193166324379</v>
      </c>
      <c r="I374" s="379">
        <f t="shared" si="144"/>
        <v>8.4515982622369421</v>
      </c>
      <c r="J374" s="85">
        <v>2018</v>
      </c>
      <c r="K374" s="197">
        <f t="shared" si="145"/>
        <v>43825</v>
      </c>
      <c r="L374" s="435">
        <f t="shared" si="146"/>
        <v>6.5710602336470636E-3</v>
      </c>
      <c r="M374" s="842"/>
      <c r="N374" s="842"/>
      <c r="O374" s="323">
        <f t="shared" si="147"/>
        <v>2.698307152525806E-2</v>
      </c>
      <c r="P374" s="169">
        <f>(INDEX(Models!$BJ374:$BT374,,T374)*(1-R374)+INDEX(Models!$BJ374:$BT374,,T374+1)*R374-ERP_i)*Q374*Ramure*Pc/MaxiM</f>
        <v>9.1634172414343574E-4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23.490414183647605</v>
      </c>
      <c r="W374" s="58"/>
      <c r="X374" s="157">
        <f t="shared" si="153"/>
        <v>43825</v>
      </c>
      <c r="Y374" s="383">
        <f t="shared" si="154"/>
        <v>8.1690000000000005</v>
      </c>
      <c r="Z374" s="383">
        <f t="shared" si="155"/>
        <v>8.223034052059413</v>
      </c>
      <c r="AA374" s="384">
        <f t="shared" si="156"/>
        <v>8.4510698749604227</v>
      </c>
      <c r="AB374" s="197">
        <f t="shared" si="157"/>
        <v>43825</v>
      </c>
      <c r="AC374" s="424">
        <f t="shared" si="158"/>
        <v>2.698307152525806E-2</v>
      </c>
      <c r="AD374" s="169">
        <f>(INDEX(Models!$BJ374:$BT374,,AH374)*(1-AF374)+INDEX(Models!$BJ374:$BT374,,AH374+1)*AF374-ERP_i)*AE374*Ramure*Pc/MaxiM</f>
        <v>9.1634172414343574E-4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20.562999999999999</v>
      </c>
      <c r="C375" s="388"/>
      <c r="D375" s="391">
        <f t="shared" si="143"/>
        <v>20.699411170357973</v>
      </c>
      <c r="E375" s="383">
        <f t="shared" si="169"/>
        <v>21.274857270836456</v>
      </c>
      <c r="F375" s="383">
        <f t="shared" si="168"/>
        <v>21.290446008401918</v>
      </c>
      <c r="G375" s="110">
        <f t="shared" si="170"/>
        <v>0.87226119347010544</v>
      </c>
      <c r="I375" s="379">
        <f t="shared" si="144"/>
        <v>21.290446008401918</v>
      </c>
      <c r="J375" s="85">
        <v>2018</v>
      </c>
      <c r="K375" s="197">
        <f t="shared" si="145"/>
        <v>43826</v>
      </c>
      <c r="L375" s="435">
        <f t="shared" si="146"/>
        <v>6.5900990726401876E-3</v>
      </c>
      <c r="M375" s="842"/>
      <c r="N375" s="842"/>
      <c r="O375" s="323">
        <f t="shared" si="147"/>
        <v>2.7048176782238791E-2</v>
      </c>
      <c r="P375" s="169">
        <f>(INDEX(Models!$BJ375:$BT375,,T375)*(1-R375)+INDEX(Models!$BJ375:$BT375,,T375+1)*R375-ERP_i)*Q375*Ramure*Pc/MaxiM</f>
        <v>8.9540971749397049E-4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23.570510175892696</v>
      </c>
      <c r="W375" s="58"/>
      <c r="X375" s="157">
        <f t="shared" si="153"/>
        <v>43826</v>
      </c>
      <c r="Y375" s="383">
        <f t="shared" si="154"/>
        <v>20.562999999999999</v>
      </c>
      <c r="Z375" s="383">
        <f t="shared" si="155"/>
        <v>20.699411170357973</v>
      </c>
      <c r="AA375" s="384">
        <f t="shared" si="156"/>
        <v>21.274857270836456</v>
      </c>
      <c r="AB375" s="197">
        <f t="shared" si="157"/>
        <v>43826</v>
      </c>
      <c r="AC375" s="424">
        <f t="shared" si="158"/>
        <v>2.7048176782238791E-2</v>
      </c>
      <c r="AD375" s="169">
        <f>(INDEX(Models!$BJ375:$BT375,,AH375)*(1-AF375)+INDEX(Models!$BJ375:$BT375,,AH375+1)*AF375-ERP_i)*AE375*Ramure*Pc/MaxiM</f>
        <v>8.9540971749397049E-4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4.319</v>
      </c>
      <c r="C376" s="388"/>
      <c r="D376" s="391">
        <f t="shared" si="143"/>
        <v>4.3477347771590686</v>
      </c>
      <c r="E376" s="383">
        <f t="shared" si="169"/>
        <v>4.4689015802766416</v>
      </c>
      <c r="F376" s="383">
        <f t="shared" si="168"/>
        <v>4.4689015802766416</v>
      </c>
      <c r="G376" s="110">
        <f t="shared" si="170"/>
        <v>0.18235903545330487</v>
      </c>
      <c r="I376" s="379">
        <f t="shared" si="144"/>
        <v>4.4689015802766416</v>
      </c>
      <c r="J376" s="85">
        <v>2018</v>
      </c>
      <c r="K376" s="197">
        <f t="shared" si="145"/>
        <v>43827</v>
      </c>
      <c r="L376" s="435">
        <f t="shared" si="146"/>
        <v>6.6091375467581814E-3</v>
      </c>
      <c r="M376" s="842"/>
      <c r="N376" s="842"/>
      <c r="O376" s="323">
        <f t="shared" si="147"/>
        <v>2.7113329962856775E-2</v>
      </c>
      <c r="P376" s="169">
        <f>(INDEX(Models!$BJ376:$BT376,,T376)*(1-R376)+INDEX(Models!$BJ376:$BT376,,T376+1)*R376-ERP_i)*Q376*Ramure*Pc/MaxiM</f>
        <v>8.7331608798014179E-4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23.663363523991539</v>
      </c>
      <c r="W376" s="58"/>
      <c r="X376" s="157">
        <f t="shared" si="153"/>
        <v>43827</v>
      </c>
      <c r="Y376" s="383">
        <f t="shared" si="154"/>
        <v>4.319</v>
      </c>
      <c r="Z376" s="383">
        <f t="shared" si="155"/>
        <v>4.3477347771590686</v>
      </c>
      <c r="AA376" s="384">
        <f t="shared" si="156"/>
        <v>4.4689015802766416</v>
      </c>
      <c r="AB376" s="197">
        <f t="shared" si="157"/>
        <v>43827</v>
      </c>
      <c r="AC376" s="424">
        <f t="shared" si="158"/>
        <v>2.7113329962856775E-2</v>
      </c>
      <c r="AD376" s="169">
        <f>(INDEX(Models!$BJ376:$BT376,,AH376)*(1-AF376)+INDEX(Models!$BJ376:$BT376,,AH376+1)*AF376-ERP_i)*AE376*Ramure*Pc/MaxiM</f>
        <v>8.7331608798014179E-4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24.161000000000001</v>
      </c>
      <c r="C377" s="388"/>
      <c r="D377" s="391">
        <f t="shared" si="143"/>
        <v>24.322211892767921</v>
      </c>
      <c r="E377" s="383">
        <f t="shared" si="169"/>
        <v>25.001721699622141</v>
      </c>
      <c r="F377" s="383">
        <f t="shared" si="168"/>
        <v>25.022994124609578</v>
      </c>
      <c r="G377" s="110">
        <f t="shared" si="170"/>
        <v>1.0165145469522567</v>
      </c>
      <c r="I377" s="379">
        <f t="shared" si="144"/>
        <v>25.022994124609578</v>
      </c>
      <c r="J377" s="85">
        <v>2018</v>
      </c>
      <c r="K377" s="197">
        <f t="shared" si="145"/>
        <v>43828</v>
      </c>
      <c r="L377" s="435">
        <f t="shared" si="146"/>
        <v>6.6281756560082616E-3</v>
      </c>
      <c r="M377" s="842"/>
      <c r="N377" s="842"/>
      <c r="O377" s="323">
        <f t="shared" si="147"/>
        <v>2.7178520544226713E-2</v>
      </c>
      <c r="P377" s="169">
        <f>(INDEX(Models!$BJ377:$BT377,,T377)*(1-R377)+INDEX(Models!$BJ377:$BT377,,T377+1)*R377-ERP_i)*Q377*Ramure*Pc/MaxiM</f>
        <v>8.5011509340180054E-4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23.768474413317755</v>
      </c>
      <c r="W377" s="58"/>
      <c r="X377" s="157">
        <f t="shared" si="153"/>
        <v>43828</v>
      </c>
      <c r="Y377" s="383">
        <f t="shared" si="154"/>
        <v>24.161000000000001</v>
      </c>
      <c r="Z377" s="383">
        <f t="shared" si="155"/>
        <v>24.322211892767921</v>
      </c>
      <c r="AA377" s="384">
        <f t="shared" si="156"/>
        <v>25.001721699622141</v>
      </c>
      <c r="AB377" s="197">
        <f t="shared" si="157"/>
        <v>43828</v>
      </c>
      <c r="AC377" s="424">
        <f t="shared" si="158"/>
        <v>2.7178520544226713E-2</v>
      </c>
      <c r="AD377" s="169">
        <f>(INDEX(Models!$BJ377:$BT377,,AH377)*(1-AF377)+INDEX(Models!$BJ377:$BT377,,AH377+1)*AF377-ERP_i)*AE377*Ramure*Pc/MaxiM</f>
        <v>8.5011509340180054E-4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24.164000000000001</v>
      </c>
      <c r="C378" s="388"/>
      <c r="D378" s="391">
        <f t="shared" si="143"/>
        <v>24.325698106427062</v>
      </c>
      <c r="E378" s="383">
        <f t="shared" si="169"/>
        <v>25.006981784415071</v>
      </c>
      <c r="F378" s="383">
        <f t="shared" si="168"/>
        <v>25.027651179472095</v>
      </c>
      <c r="G378" s="110">
        <f t="shared" si="170"/>
        <v>1.0116664366368666</v>
      </c>
      <c r="I378" s="379">
        <f t="shared" si="144"/>
        <v>25.027651179472095</v>
      </c>
      <c r="J378" s="85">
        <v>2018</v>
      </c>
      <c r="K378" s="197">
        <f t="shared" si="145"/>
        <v>43829</v>
      </c>
      <c r="L378" s="435">
        <f t="shared" si="146"/>
        <v>6.6472134003973116E-3</v>
      </c>
      <c r="M378" s="842"/>
      <c r="N378" s="842"/>
      <c r="O378" s="323">
        <f t="shared" si="147"/>
        <v>2.7243738723103414E-2</v>
      </c>
      <c r="P378" s="169">
        <f>(INDEX(Models!$BJ378:$BT378,,T378)*(1-R378)+INDEX(Models!$BJ378:$BT378,,T378+1)*R378-ERP_i)*Q378*Ramure*Pc/MaxiM</f>
        <v>8.258623595479484E-4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23.885343157503179</v>
      </c>
      <c r="W378" s="58"/>
      <c r="X378" s="157">
        <f t="shared" si="153"/>
        <v>43829</v>
      </c>
      <c r="Y378" s="383">
        <f t="shared" si="154"/>
        <v>24.164000000000001</v>
      </c>
      <c r="Z378" s="383">
        <f t="shared" si="155"/>
        <v>24.325698106427062</v>
      </c>
      <c r="AA378" s="384">
        <f t="shared" si="156"/>
        <v>25.006981784415071</v>
      </c>
      <c r="AB378" s="197">
        <f t="shared" si="157"/>
        <v>43829</v>
      </c>
      <c r="AC378" s="424">
        <f t="shared" si="158"/>
        <v>2.7243738723103414E-2</v>
      </c>
      <c r="AD378" s="169">
        <f>(INDEX(Models!$BJ378:$BT378,,AH378)*(1-AF378)+INDEX(Models!$BJ378:$BT378,,AH378+1)*AF378-ERP_i)*AE378*Ramure*Pc/MaxiM</f>
        <v>8.258623595479484E-4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17.335000000000001</v>
      </c>
      <c r="C379" s="388"/>
      <c r="D379" s="391">
        <f t="shared" si="143"/>
        <v>17.451334975390559</v>
      </c>
      <c r="E379" s="383">
        <f t="shared" si="169"/>
        <v>17.941293313929723</v>
      </c>
      <c r="F379" s="383">
        <f t="shared" si="168"/>
        <v>17.949954639040605</v>
      </c>
      <c r="G379" s="110">
        <f t="shared" si="170"/>
        <v>0.72165676703149995</v>
      </c>
      <c r="I379" s="379">
        <f t="shared" si="144"/>
        <v>17.949954639040605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6.6662507799323256E-3</v>
      </c>
      <c r="M379" s="842"/>
      <c r="N379" s="842"/>
      <c r="O379" s="323">
        <f t="shared" si="147"/>
        <v>2.7308975443746754E-2</v>
      </c>
      <c r="P379" s="169">
        <f>(INDEX(Models!$BJ379:$BT379,,T379)*(1-R379)+INDEX(Models!$BJ379:$BT379,,T379+1)*R379-ERP_i)*Q379*Ramure*Pc/MaxiM</f>
        <v>8.0061439634258381E-4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24.013470215333125</v>
      </c>
      <c r="W379" s="390"/>
      <c r="X379" s="157">
        <f t="shared" si="153"/>
        <v>43830</v>
      </c>
      <c r="Y379" s="383">
        <f t="shared" si="154"/>
        <v>17.335000000000001</v>
      </c>
      <c r="Z379" s="383">
        <f t="shared" si="155"/>
        <v>17.451334975390559</v>
      </c>
      <c r="AA379" s="384">
        <f t="shared" si="156"/>
        <v>17.941293313929723</v>
      </c>
      <c r="AB379" s="197">
        <f t="shared" si="157"/>
        <v>43830</v>
      </c>
      <c r="AC379" s="424">
        <f t="shared" si="158"/>
        <v>2.7308975443746754E-2</v>
      </c>
      <c r="AD379" s="169">
        <f>(INDEX(Models!$BJ379:$BT379,,AH379)*(1-AF379)+INDEX(Models!$BJ379:$BT379,,AH379+1)*AF379-ERP_i)*AE379*Ramure*Pc/MaxiM</f>
        <v>8.0061439634258381E-4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25.018618300755818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1.897</v>
      </c>
      <c r="C381" s="374"/>
      <c r="D381" s="372">
        <f>MIN(D15:D380)</f>
        <v>1.9089988862363336</v>
      </c>
      <c r="E381" s="372">
        <f>MIN(E15:E380)</f>
        <v>1.9600000305034191</v>
      </c>
      <c r="F381" s="373">
        <f>MIN(F15:F380)</f>
        <v>1.9600000305034191</v>
      </c>
      <c r="G381" s="125">
        <f>+MIN(G15:G380)</f>
        <v>7.9680788552110887E-2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1.8516552066306652E-9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23.294523579894339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1.8516552066306652E-9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34.656317567567577</v>
      </c>
      <c r="C382" s="374"/>
      <c r="D382" s="374">
        <f>AVERAGE(D15:D380)</f>
        <v>34.774923465466671</v>
      </c>
      <c r="E382" s="374">
        <f>AVERAGE(E15:E380)</f>
        <v>35.318078922062</v>
      </c>
      <c r="F382" s="375">
        <f>AVERAGE(F15:F380)</f>
        <v>35.320157939770283</v>
      </c>
      <c r="G382" s="126">
        <f>AVERAGE(G15:G380)</f>
        <v>0.68118059928138885</v>
      </c>
      <c r="H382" s="94"/>
      <c r="I382" s="375">
        <f>AVERAGE(I15:I380)</f>
        <v>28.564936475879794</v>
      </c>
      <c r="J382" s="166">
        <f>AVERAGE(J15:J380)</f>
        <v>2018</v>
      </c>
      <c r="K382" s="200" t="s">
        <v>8</v>
      </c>
      <c r="L382" s="147">
        <f t="shared" ref="L382:V382" si="174">AVERAGE(L15:L380)</f>
        <v>3.1997003651434539E-3</v>
      </c>
      <c r="M382" s="832"/>
      <c r="N382" s="832"/>
      <c r="O382" s="48">
        <f t="shared" si="174"/>
        <v>1.4149480147644044E-2</v>
      </c>
      <c r="P382" s="169">
        <f t="shared" si="174"/>
        <v>1.652668687272225E-4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46.453914073579305</v>
      </c>
      <c r="X382" s="112" t="s">
        <v>8</v>
      </c>
      <c r="Y382" s="374">
        <f>AVERAGE(Y15:Y380)</f>
        <v>28.104849315068499</v>
      </c>
      <c r="Z382" s="374">
        <f>AVERAGE(Z15:Z380)</f>
        <v>28.201033824049684</v>
      </c>
      <c r="AA382" s="374">
        <f>AVERAGE(AA15:AA380)</f>
        <v>28.641510577891378</v>
      </c>
      <c r="AB382" s="200" t="s">
        <v>8</v>
      </c>
      <c r="AC382" s="48">
        <f t="shared" ref="AC382:AH382" si="175">AVERAGE(AC15:AC380)</f>
        <v>1.4149480147644044E-2</v>
      </c>
      <c r="AD382" s="169">
        <f t="shared" si="175"/>
        <v>1.652668687272225E-4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63.923000000000002</v>
      </c>
      <c r="C383" s="376"/>
      <c r="D383" s="376">
        <f>MAX(D15:D380)</f>
        <v>64.066495349446981</v>
      </c>
      <c r="E383" s="376">
        <f>MAX(E15:E380)</f>
        <v>64.734833010730028</v>
      </c>
      <c r="F383" s="377">
        <f>MAX(F15:F380)</f>
        <v>64.735176440204555</v>
      </c>
      <c r="G383" s="127">
        <f>+MAX(G15:G380)</f>
        <v>1.0312918001857614</v>
      </c>
      <c r="H383" s="94"/>
      <c r="I383" s="377">
        <f>MAX(I15:I380)</f>
        <v>64.735176440204555</v>
      </c>
      <c r="J383" s="167">
        <f>MAX(J15:J380)</f>
        <v>2018</v>
      </c>
      <c r="K383" s="200" t="s">
        <v>9</v>
      </c>
      <c r="L383" s="148">
        <f t="shared" ref="L383:T383" si="176">MAX(L15:L380)</f>
        <v>6.6662507799323256E-3</v>
      </c>
      <c r="M383" s="834"/>
      <c r="N383" s="834"/>
      <c r="O383" s="49">
        <f t="shared" si="176"/>
        <v>2.7308975443746754E-2</v>
      </c>
      <c r="P383" s="170">
        <f t="shared" si="176"/>
        <v>9.6632107428396507E-4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63.165895996073218</v>
      </c>
      <c r="X383" s="112" t="s">
        <v>9</v>
      </c>
      <c r="Y383" s="376">
        <f>MAX(Y15:Y380)</f>
        <v>63.923000000000002</v>
      </c>
      <c r="Z383" s="376">
        <f>MAX(Z15:Z380)</f>
        <v>64.066495349446981</v>
      </c>
      <c r="AA383" s="376">
        <f>MAX(AA15:AA380)</f>
        <v>64.734833010730028</v>
      </c>
      <c r="AB383" s="200" t="s">
        <v>9</v>
      </c>
      <c r="AC383" s="49">
        <f t="shared" ref="AC383:AH383" si="177">MAX(AC15:AC380)</f>
        <v>2.7308975443746754E-2</v>
      </c>
      <c r="AD383" s="170">
        <f t="shared" si="177"/>
        <v>9.6632107428396507E-4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'2019'!An+1</f>
        <v>2020</v>
      </c>
      <c r="K1" s="1279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11377.776000000003</v>
      </c>
      <c r="AK6" s="514">
        <f>SUMIF(AK15:AK380,"FAUX",Wh)</f>
        <v>11377.776000000003</v>
      </c>
      <c r="AL6" s="514">
        <f>SUMIF(AJ15:AJ380,"FAUX",Wh_s)</f>
        <v>11377.776000000003</v>
      </c>
      <c r="AM6" s="514">
        <f>SUMIF(AK15:AK380,"FAUX",Wh_s)</f>
        <v>11377.776000000003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0</v>
      </c>
      <c r="F7" s="319" t="b">
        <f>YEAR(Tnet)=An</f>
        <v>0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11492.633876395104</v>
      </c>
      <c r="AK8" s="514">
        <f>SUMIF(AK15:AK380,"FAUX",Wh_sa)</f>
        <v>11958.512849955363</v>
      </c>
      <c r="AL8" s="514">
        <f>SUMIF(AJ15:AJ380,"FAUX",Wh_pvt_s)</f>
        <v>11492.633876395104</v>
      </c>
      <c r="AM8" s="514">
        <f>SUMIF(AK15:AK380,"FAUX",Wh_sa_s)</f>
        <v>11958.512849955363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11492.633876395104</v>
      </c>
      <c r="E9" s="184">
        <f>SUM(E$15:E$380)</f>
        <v>11958.512849955363</v>
      </c>
      <c r="F9" s="184">
        <f>SUM(F$15:F$380)</f>
        <v>11960.850030837801</v>
      </c>
      <c r="H9" s="1280">
        <f>+SUM(Wh)</f>
        <v>11377.776000000003</v>
      </c>
      <c r="I9" s="1281"/>
      <c r="J9" s="1282"/>
      <c r="K9" s="191"/>
      <c r="L9" s="114"/>
      <c r="M9" s="114"/>
      <c r="N9" s="114"/>
      <c r="O9" s="222">
        <f>Tnet_2020</f>
        <v>43481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11377.776000000003</v>
      </c>
      <c r="Y9" s="1275"/>
      <c r="Z9" s="514">
        <f>SUM(Z$15:Z$380)</f>
        <v>11492.633876395104</v>
      </c>
      <c r="AA9" s="514">
        <f>SUM(AA$15:AA$380)</f>
        <v>11958.512849955363</v>
      </c>
      <c r="AB9" s="514">
        <f>F9</f>
        <v>11960.850030837801</v>
      </c>
      <c r="AC9" s="324">
        <f>IF(An_Tnet,Tnet,'2019'!Tnet_s)</f>
        <v>43481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0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6"/>
      <c r="AE10" s="426"/>
      <c r="AF10" s="259"/>
      <c r="AG10" s="260"/>
      <c r="AH10" s="261"/>
      <c r="AI10" s="521"/>
      <c r="AJ10" s="514">
        <f>SUMIF(AJ15:AJ380,"FAUX",Wh_sa)</f>
        <v>11958.512849955363</v>
      </c>
      <c r="AK10" s="514">
        <f>SUMIF(AK15:AK380,"FAUX",Wh_hp)</f>
        <v>11960.850030837801</v>
      </c>
      <c r="AL10" s="514">
        <f>SUMIF(AJ15:AJ380,"FAUX",Wh_sa_s)</f>
        <v>11958.512849955363</v>
      </c>
      <c r="AM10" s="514">
        <f>SUMIF(AK15:AK380,"FAUX",Wh_hp)</f>
        <v>11960.850030837801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114.8578763951009</v>
      </c>
      <c r="E11" s="51">
        <f>(E$9-D$9)*Prod_an/D$9</f>
        <v>461.22295909605776</v>
      </c>
      <c r="F11" s="186">
        <f>(F$9-E$9)*Prod_an/E$9</f>
        <v>2.2236812290549581</v>
      </c>
      <c r="G11" s="185" t="s">
        <v>6</v>
      </c>
      <c r="H11" s="334"/>
      <c r="K11" s="194"/>
      <c r="L11" s="182">
        <f>Tvie_2020</f>
        <v>43481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114.8578763951009</v>
      </c>
      <c r="Z11" s="51">
        <f>(AA$9-Z$9)*Prod_an_s/Z$9</f>
        <v>461.22295909605776</v>
      </c>
      <c r="AA11" s="186">
        <f>(AB$9-AA$9)*Prod_an_s/AA$9</f>
        <v>2.2236812290549581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4.690149922644915E-2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1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461.22295909605776</v>
      </c>
      <c r="AK12" s="822">
        <f>IF($AK8=0,0,($AK10-$AK8)*$AK6/$AK8)</f>
        <v>2.2236812290549581</v>
      </c>
      <c r="AL12" s="821">
        <f>IF($AL8=0,0,($AL10-$AL8)*$AL6/$AL8)</f>
        <v>461.22295909605776</v>
      </c>
      <c r="AM12" s="822">
        <f>IF($AM8=0,0,($AM10-$AM8)*$AM6/$AM8)</f>
        <v>2.2236812290549581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461.22295909605776</v>
      </c>
      <c r="AK13" s="73">
        <f>+AK11+AK12</f>
        <v>2.2236812290549581</v>
      </c>
      <c r="AL13" s="73">
        <f>+AL11+AL12</f>
        <v>461.22295909605776</v>
      </c>
      <c r="AM13" s="73">
        <f>+AM11+AM12</f>
        <v>2.2236812290549581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14.833</v>
      </c>
      <c r="C15" s="388"/>
      <c r="D15" s="391">
        <f t="shared" ref="D15:D78" si="0">Wh/(1-Ppv)</f>
        <v>14.932830267929322</v>
      </c>
      <c r="E15" s="383">
        <f t="shared" ref="E15:E79" si="1">Wh_pvt/(1-Psa)</f>
        <v>15.353109707880218</v>
      </c>
      <c r="F15" s="383">
        <f t="shared" ref="F15:F78" si="2">Wh_sa/(1-Pvg*MEDIAN((-Sdif+Wh/Env_an)/Csdif,0,1))</f>
        <v>15.358447464851398</v>
      </c>
      <c r="G15" s="110">
        <f>+Wh_hp/MaxiM</f>
        <v>0.61388072202835986</v>
      </c>
      <c r="H15" s="412" t="b">
        <f>Wh_hp&gt;='2019'!Maxi_hp</f>
        <v>1</v>
      </c>
      <c r="I15" s="394">
        <f>IF(H15,Wh_hp,'2019'!Maxi_hp)</f>
        <v>15.358447464851398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6.6852877946201872E-3</v>
      </c>
      <c r="M15" s="833"/>
      <c r="N15" s="833"/>
      <c r="O15" s="420">
        <f>IF(t&lt;Tnet,'2019'!Resal+('2019'!Salim-'2019'!Resal)*(1-EXP(('2019'!Tnet-t)/('2019'!Tau_j))),Resal+(Salim-Resal)*(1-EXP((Tnet-t)/(Tau_j))))*Salcycl</f>
        <v>2.7374222417962678E-2</v>
      </c>
      <c r="P15" s="301">
        <f>(INDEX(Models!$BJ15:$BT15,,T15)*(1-R15)+INDEX(Models!$BJ15:$BT15,,T15+1)*R15-ERP_i)*Q15*Ramure*Pc/MaxiM</f>
        <v>7.7442998292207726E-4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24.152356128414507</v>
      </c>
      <c r="W15" s="421"/>
      <c r="X15" s="422">
        <f t="shared" ref="X15:X78" si="9">t</f>
        <v>43831</v>
      </c>
      <c r="Y15" s="383">
        <f t="shared" ref="Y15:Y78" si="10">Wh_pvt_s*(1-Ppv)</f>
        <v>14.833</v>
      </c>
      <c r="Z15" s="383">
        <f t="shared" ref="Z15:Z78" si="11">Wh_sa_s*(1-Psa_s)</f>
        <v>14.932830267929322</v>
      </c>
      <c r="AA15" s="384">
        <f t="shared" ref="AA15:AA78" si="12">Wh_hp*(1-Pvg_s*MEDIAN((-Sdif+Wh/Env_an)/Csdif,0,1))</f>
        <v>15.353109707880218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2.7374222417962678E-2</v>
      </c>
      <c r="AD15" s="230">
        <f>(INDEX(Models!$BJ15:$BT15,,AH15)*(1-AF15)+INDEX(Models!$BJ15:$BT15,,AH15+1)*AF15-ERP_i)*AE15*Ramure*Pc/MaxiM</f>
        <v>7.7442998292207726E-4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23.25</v>
      </c>
      <c r="C16" s="388"/>
      <c r="D16" s="391">
        <f t="shared" si="0"/>
        <v>23.406927637127492</v>
      </c>
      <c r="E16" s="383">
        <f t="shared" si="1"/>
        <v>24.067322255580525</v>
      </c>
      <c r="F16" s="383">
        <f t="shared" si="2"/>
        <v>24.084283353934023</v>
      </c>
      <c r="G16" s="110">
        <f>+Wh_hp/MaxiM</f>
        <v>0.95668971211412146</v>
      </c>
      <c r="H16" s="412" t="b">
        <f>Wh_hp&gt;='2019'!Maxi_hp</f>
        <v>1</v>
      </c>
      <c r="I16" s="388">
        <f>IF(H16,Wh_hp,'2019'!Maxi_hp)</f>
        <v>24.084283353934023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6.7043244444681127E-3</v>
      </c>
      <c r="M16" s="832"/>
      <c r="N16" s="832"/>
      <c r="O16" s="48">
        <f>IF(t&lt;Tnet,'2019'!Resal+('2019'!Salim-'2019'!Resal)*(1-EXP(('2019'!Tnet-t)/('2019'!Tau_j))),Resal+(Salim-Resal)*(1-EXP((Tnet-t)/(Tau_j))))*Salcycl</f>
        <v>2.7439472137366947E-2</v>
      </c>
      <c r="P16" s="169">
        <f>(INDEX(Models!$BJ16:$BT16,,T16)*(1-R16)+INDEX(Models!$BJ16:$BT16,,T16+1)*R16-ERP_i)*Q16*Ramure*Pc/MaxiM</f>
        <v>7.5063480312851337E-4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24.301422132470968</v>
      </c>
      <c r="W16" s="58"/>
      <c r="X16" s="157">
        <f t="shared" si="9"/>
        <v>43832</v>
      </c>
      <c r="Y16" s="383">
        <f t="shared" si="10"/>
        <v>23.25</v>
      </c>
      <c r="Z16" s="383">
        <f t="shared" si="11"/>
        <v>23.406927637127492</v>
      </c>
      <c r="AA16" s="384">
        <f t="shared" si="12"/>
        <v>24.067322255580525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2.7439472137366947E-2</v>
      </c>
      <c r="AD16" s="230">
        <f>(INDEX(Models!$BJ16:$BT16,,AH16)*(1-AF16)+INDEX(Models!$BJ16:$BT16,,AH16+1)*AF16-ERP_i)*AE16*Ramure*Pc/MaxiM</f>
        <v>7.5063480312851337E-4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8.0660000000000007</v>
      </c>
      <c r="C17" s="388"/>
      <c r="D17" s="391">
        <f t="shared" si="0"/>
        <v>8.12059770772807</v>
      </c>
      <c r="E17" s="383">
        <f>Wh_pvt/(1-Psa)</f>
        <v>8.3502695149417221</v>
      </c>
      <c r="F17" s="383">
        <f t="shared" si="2"/>
        <v>8.3505283899085825</v>
      </c>
      <c r="G17" s="110">
        <f t="shared" ref="G17:G79" si="23">+Wh_hp/MaxiM</f>
        <v>0.32953034580841278</v>
      </c>
      <c r="H17" s="412" t="b">
        <f>Wh_hp&gt;='2019'!Maxi_hp</f>
        <v>1</v>
      </c>
      <c r="I17" s="388">
        <f>IF(H17,Wh_hp,'2019'!Maxi_hp)</f>
        <v>8.3505283899085825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6.7233607294829856E-3</v>
      </c>
      <c r="M17" s="832"/>
      <c r="N17" s="832"/>
      <c r="O17" s="48">
        <f>IF(t&lt;Tnet,'2019'!Resal+('2019'!Salim-'2019'!Resal)*(1-EXP(('2019'!Tnet-t)/('2019'!Tau_j))),Resal+(Salim-Resal)*(1-EXP((Tnet-t)/(Tau_j))))*Salcycl</f>
        <v>2.7504717877990022E-2</v>
      </c>
      <c r="P17" s="169">
        <f>(INDEX(Models!$BJ17:$BT17,,T17)*(1-R17)+INDEX(Models!$BJ17:$BT17,,T17+1)*R17-ERP_i)*Q17*Ramure*Pc/MaxiM</f>
        <v>7.2917655151397468E-4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24.460170191211287</v>
      </c>
      <c r="W17" s="58"/>
      <c r="X17" s="157">
        <f t="shared" si="9"/>
        <v>43833</v>
      </c>
      <c r="Y17" s="383">
        <f t="shared" si="10"/>
        <v>8.0660000000000007</v>
      </c>
      <c r="Z17" s="383">
        <f t="shared" si="11"/>
        <v>8.12059770772807</v>
      </c>
      <c r="AA17" s="384">
        <f t="shared" si="12"/>
        <v>8.3502695149417221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2.7504717877990022E-2</v>
      </c>
      <c r="AD17" s="230">
        <f>(INDEX(Models!$BJ17:$BT17,,AH17)*(1-AF17)+INDEX(Models!$BJ17:$BT17,,AH17+1)*AF17-ERP_i)*AE17*Ramure*Pc/MaxiM</f>
        <v>7.2917655151397468E-4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6.2590000000000003</v>
      </c>
      <c r="C18" s="388"/>
      <c r="D18" s="391">
        <f t="shared" si="0"/>
        <v>6.3014871256841634</v>
      </c>
      <c r="E18" s="383">
        <f>Wh_pvt/(1-Psa)</f>
        <v>6.4801444069359215</v>
      </c>
      <c r="F18" s="383">
        <f t="shared" si="2"/>
        <v>6.4801444069359215</v>
      </c>
      <c r="G18" s="110">
        <f>+Wh_hp/MaxiM</f>
        <v>0.25396013140494905</v>
      </c>
      <c r="H18" s="412" t="b">
        <f>Wh_hp&gt;='2019'!Maxi_hp</f>
        <v>1</v>
      </c>
      <c r="I18" s="388">
        <f>IF(H18,Wh_hp,'2019'!Maxi_hp)</f>
        <v>6.4801444069359215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6.7423966496718002E-3</v>
      </c>
      <c r="M18" s="832"/>
      <c r="N18" s="832"/>
      <c r="O18" s="48">
        <f>IF(t&lt;Tnet,'2019'!Resal+('2019'!Salim-'2019'!Resal)*(1-EXP(('2019'!Tnet-t)/('2019'!Tau_j))),Resal+(Salim-Resal)*(1-EXP((Tnet-t)/(Tau_j))))*Salcycl</f>
        <v>2.7569953697410693E-2</v>
      </c>
      <c r="P18" s="169">
        <f>(INDEX(Models!$BJ18:$BT18,,T18)*(1-R18)+INDEX(Models!$BJ18:$BT18,,T18+1)*R18-ERP_i)*Q18*Ramure*Pc/MaxiM</f>
        <v>7.1004044538825579E-4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24.628101356898373</v>
      </c>
      <c r="W18" s="58"/>
      <c r="X18" s="157">
        <f t="shared" si="9"/>
        <v>43834</v>
      </c>
      <c r="Y18" s="383">
        <f t="shared" si="10"/>
        <v>6.2590000000000003</v>
      </c>
      <c r="Z18" s="383">
        <f>Wh_sa_s*(1-Psa_s)</f>
        <v>6.3014871256841634</v>
      </c>
      <c r="AA18" s="384">
        <f t="shared" si="12"/>
        <v>6.4801444069359215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2.7569953697410693E-2</v>
      </c>
      <c r="AD18" s="230">
        <f>(INDEX(Models!$BJ18:$BT18,,AH18)*(1-AF18)+INDEX(Models!$BJ18:$BT18,,AH18+1)*AF18-ERP_i)*AE18*Ramure*Pc/MaxiM</f>
        <v>7.1004044538825579E-4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13.637</v>
      </c>
      <c r="C19" s="388"/>
      <c r="D19" s="391">
        <f t="shared" si="0"/>
        <v>13.72983333729665</v>
      </c>
      <c r="E19" s="383">
        <f>Wh_pvt/(1-Psa)</f>
        <v>14.12004319384239</v>
      </c>
      <c r="F19" s="383">
        <f t="shared" si="2"/>
        <v>14.123536657491783</v>
      </c>
      <c r="G19" s="110">
        <f>+Wh_hp/MaxiM</f>
        <v>0.54952928755210517</v>
      </c>
      <c r="H19" s="412" t="b">
        <f>Wh_hp&gt;='2019'!Maxi_hp</f>
        <v>1</v>
      </c>
      <c r="I19" s="388">
        <f>IF(H19,Wh_hp,'2019'!Maxi_hp)</f>
        <v>14.123536657491783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6.761432205041551E-3</v>
      </c>
      <c r="M19" s="832"/>
      <c r="N19" s="832"/>
      <c r="O19" s="48">
        <f>IF(t&lt;Tnet,'2019'!Resal+('2019'!Salim-'2019'!Resal)*(1-EXP(('2019'!Tnet-t)/('2019'!Tau_j))),Resal+(Salim-Resal)*(1-EXP((Tnet-t)/(Tau_j))))*Salcycl</f>
        <v>2.7635174424672174E-2</v>
      </c>
      <c r="P19" s="169">
        <f>(INDEX(Models!$BJ19:$BT19,,T19)*(1-R19)+INDEX(Models!$BJ19:$BT19,,T19+1)*R19-ERP_i)*Q19*Ramure*Pc/MaxiM</f>
        <v>6.9320671904305625E-4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24.804716805840613</v>
      </c>
      <c r="W19" s="58"/>
      <c r="X19" s="157">
        <f t="shared" si="9"/>
        <v>43835</v>
      </c>
      <c r="Y19" s="383">
        <f t="shared" si="10"/>
        <v>13.637</v>
      </c>
      <c r="Z19" s="383">
        <f t="shared" si="11"/>
        <v>13.72983333729665</v>
      </c>
      <c r="AA19" s="384">
        <f t="shared" si="12"/>
        <v>14.12004319384239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2.7635174424672174E-2</v>
      </c>
      <c r="AD19" s="230">
        <f>(INDEX(Models!$BJ19:$BT19,,AH19)*(1-AF19)+INDEX(Models!$BJ19:$BT19,,AH19+1)*AF19-ERP_i)*AE19*Ramure*Pc/MaxiM</f>
        <v>6.9320671904305625E-4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25.068999999999999</v>
      </c>
      <c r="C20" s="388"/>
      <c r="D20" s="391">
        <f t="shared" si="0"/>
        <v>25.240139945963971</v>
      </c>
      <c r="E20" s="383">
        <f t="shared" si="1"/>
        <v>25.959220093974114</v>
      </c>
      <c r="F20" s="383">
        <f t="shared" si="2"/>
        <v>25.97684931198668</v>
      </c>
      <c r="G20" s="110">
        <f t="shared" si="23"/>
        <v>1.0031806202652456</v>
      </c>
      <c r="H20" s="412" t="b">
        <f>Wh_hp&gt;='2019'!Maxi_hp</f>
        <v>1</v>
      </c>
      <c r="I20" s="388">
        <f>IF(H20,Wh_hp,'2019'!Maxi_hp)</f>
        <v>25.97684931198668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6.7804673955992323E-3</v>
      </c>
      <c r="M20" s="832"/>
      <c r="N20" s="832"/>
      <c r="O20" s="48">
        <f>IF(t&lt;Tnet,'2019'!Resal+('2019'!Salim-'2019'!Resal)*(1-EXP(('2019'!Tnet-t)/('2019'!Tau_j))),Resal+(Salim-Resal)*(1-EXP((Tnet-t)/(Tau_j))))*Salcycl</f>
        <v>2.7700375643298462E-2</v>
      </c>
      <c r="P20" s="169">
        <f>(INDEX(Models!$BJ20:$BT20,,T20)*(1-R20)+INDEX(Models!$BJ20:$BT20,,T20+1)*R20-ERP_i)*Q20*Ramure*Pc/MaxiM</f>
        <v>6.7865112511665679E-4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24.989517833161131</v>
      </c>
      <c r="W20" s="58"/>
      <c r="X20" s="157">
        <f t="shared" si="9"/>
        <v>43836</v>
      </c>
      <c r="Y20" s="383">
        <f t="shared" si="10"/>
        <v>25.068999999999999</v>
      </c>
      <c r="Z20" s="383">
        <f t="shared" si="11"/>
        <v>25.240139945963971</v>
      </c>
      <c r="AA20" s="384">
        <f t="shared" si="12"/>
        <v>25.959220093974114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2.7700375643298462E-2</v>
      </c>
      <c r="AD20" s="230">
        <f>(INDEX(Models!$BJ20:$BT20,,AH20)*(1-AF20)+INDEX(Models!$BJ20:$BT20,,AH20+1)*AF20-ERP_i)*AE20*Ramure*Pc/MaxiM</f>
        <v>6.7865112511665679E-4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7.0620000000000003</v>
      </c>
      <c r="C21" s="388"/>
      <c r="D21" s="391">
        <f t="shared" si="0"/>
        <v>7.1103468189903056</v>
      </c>
      <c r="E21" s="383">
        <f t="shared" si="1"/>
        <v>7.313407631065048</v>
      </c>
      <c r="F21" s="383">
        <f t="shared" si="2"/>
        <v>7.313407631065048</v>
      </c>
      <c r="G21" s="110">
        <f t="shared" si="23"/>
        <v>0.28025147425738683</v>
      </c>
      <c r="H21" s="412" t="b">
        <f>Wh_hp&gt;='2019'!Maxi_hp</f>
        <v>1</v>
      </c>
      <c r="I21" s="388">
        <f>IF(H21,Wh_hp,'2019'!Maxi_hp)</f>
        <v>7.313407631065048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6.7995022213517275E-3</v>
      </c>
      <c r="M21" s="832"/>
      <c r="N21" s="832"/>
      <c r="O21" s="48">
        <f>IF(t&lt;Tnet,'2019'!Resal+('2019'!Salim-'2019'!Resal)*(1-EXP(('2019'!Tnet-t)/('2019'!Tau_j))),Resal+(Salim-Resal)*(1-EXP((Tnet-t)/(Tau_j))))*Salcycl</f>
        <v>2.7765553667787289E-2</v>
      </c>
      <c r="P21" s="169">
        <f>(INDEX(Models!$BJ21:$BT21,,T21)*(1-R21)+INDEX(Models!$BJ21:$BT21,,T21+1)*R21-ERP_i)*Q21*Ramure*Pc/MaxiM</f>
        <v>6.6634544748125338E-4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25.182005865090904</v>
      </c>
      <c r="W21" s="58"/>
      <c r="X21" s="157">
        <f t="shared" si="9"/>
        <v>43837</v>
      </c>
      <c r="Y21" s="383">
        <f t="shared" si="10"/>
        <v>7.0620000000000003</v>
      </c>
      <c r="Z21" s="383">
        <f t="shared" si="11"/>
        <v>7.1103468189903056</v>
      </c>
      <c r="AA21" s="384">
        <f t="shared" si="12"/>
        <v>7.313407631065048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2.7765553667787289E-2</v>
      </c>
      <c r="AD21" s="230">
        <f>(INDEX(Models!$BJ21:$BT21,,AH21)*(1-AF21)+INDEX(Models!$BJ21:$BT21,,AH21+1)*AF21-ERP_i)*AE21*Ramure*Pc/MaxiM</f>
        <v>6.6634544748125338E-4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12.936</v>
      </c>
      <c r="C22" s="388"/>
      <c r="D22" s="391">
        <f t="shared" si="0"/>
        <v>13.024810145758932</v>
      </c>
      <c r="E22" s="383">
        <f t="shared" si="1"/>
        <v>13.397676947455423</v>
      </c>
      <c r="F22" s="383">
        <f t="shared" si="2"/>
        <v>13.400310880494983</v>
      </c>
      <c r="G22" s="110">
        <f t="shared" si="23"/>
        <v>0.50942454916415558</v>
      </c>
      <c r="H22" s="412" t="b">
        <f>Wh_hp&gt;='2019'!Maxi_hp</f>
        <v>1</v>
      </c>
      <c r="I22" s="388">
        <f>IF(H22,Wh_hp,'2019'!Maxi_hp)</f>
        <v>13.400310880494983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6.8185366823062532E-3</v>
      </c>
      <c r="M22" s="832"/>
      <c r="N22" s="832"/>
      <c r="O22" s="48">
        <f>IF(t&lt;Tnet,'2019'!Resal+('2019'!Salim-'2019'!Resal)*(1-EXP(('2019'!Tnet-t)/('2019'!Tau_j))),Resal+(Salim-Resal)*(1-EXP((Tnet-t)/(Tau_j))))*Salcycl</f>
        <v>2.7830705514011386E-2</v>
      </c>
      <c r="P22" s="169">
        <f>(INDEX(Models!$BJ22:$BT22,,T22)*(1-R22)+INDEX(Models!$BJ22:$BT22,,T22+1)*R22-ERP_i)*Q22*Ramure*Pc/MaxiM</f>
        <v>6.5625801874101108E-4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25.381682464248776</v>
      </c>
      <c r="W22" s="58"/>
      <c r="X22" s="157">
        <f t="shared" si="9"/>
        <v>43838</v>
      </c>
      <c r="Y22" s="383">
        <f t="shared" si="10"/>
        <v>12.936</v>
      </c>
      <c r="Z22" s="383">
        <f t="shared" si="11"/>
        <v>13.024810145758932</v>
      </c>
      <c r="AA22" s="384">
        <f t="shared" si="12"/>
        <v>13.397676947455423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2.7830705514011386E-2</v>
      </c>
      <c r="AD22" s="230">
        <f>(INDEX(Models!$BJ22:$BT22,,AH22)*(1-AF22)+INDEX(Models!$BJ22:$BT22,,AH22+1)*AF22-ERP_i)*AE22*Ramure*Pc/MaxiM</f>
        <v>6.5625801874101108E-4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24.748000000000001</v>
      </c>
      <c r="C23" s="388"/>
      <c r="D23" s="391">
        <f t="shared" si="0"/>
        <v>24.918381195106431</v>
      </c>
      <c r="E23" s="383">
        <f t="shared" si="1"/>
        <v>25.633447458606295</v>
      </c>
      <c r="F23" s="383">
        <f t="shared" si="2"/>
        <v>25.649292652260151</v>
      </c>
      <c r="G23" s="110">
        <f t="shared" si="23"/>
        <v>0.9670235856080992</v>
      </c>
      <c r="H23" s="412" t="b">
        <f>Wh_hp&gt;='2019'!Maxi_hp</f>
        <v>1</v>
      </c>
      <c r="I23" s="388">
        <f>IF(H23,Wh_hp,'2019'!Maxi_hp)</f>
        <v>25.649292652260151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6.8375707784696926E-3</v>
      </c>
      <c r="M23" s="832"/>
      <c r="N23" s="832"/>
      <c r="O23" s="48">
        <f>IF(t&lt;Tnet,'2019'!Resal+('2019'!Salim-'2019'!Resal)*(1-EXP(('2019'!Tnet-t)/('2019'!Tau_j))),Resal+(Salim-Resal)*(1-EXP((Tnet-t)/(Tau_j))))*Salcycl</f>
        <v>2.789582886400966E-2</v>
      </c>
      <c r="P23" s="169">
        <f>(INDEX(Models!$BJ23:$BT23,,T23)*(1-R23)+INDEX(Models!$BJ23:$BT23,,T23+1)*R23-ERP_i)*Q23*Ramure*Pc/MaxiM</f>
        <v>6.4827576246166642E-4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25.59114873827567</v>
      </c>
      <c r="W23" s="58"/>
      <c r="X23" s="157">
        <f t="shared" si="9"/>
        <v>43839</v>
      </c>
      <c r="Y23" s="383">
        <f t="shared" si="10"/>
        <v>24.748000000000001</v>
      </c>
      <c r="Z23" s="383">
        <f t="shared" si="11"/>
        <v>24.918381195106431</v>
      </c>
      <c r="AA23" s="384">
        <f t="shared" si="12"/>
        <v>25.633447458606295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2.789582886400966E-2</v>
      </c>
      <c r="AD23" s="230">
        <f>(INDEX(Models!$BJ23:$BT23,,AH23)*(1-AF23)+INDEX(Models!$BJ23:$BT23,,AH23+1)*AF23-ERP_i)*AE23*Ramure*Pc/MaxiM</f>
        <v>6.4827576246166642E-4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8.7219999999999995</v>
      </c>
      <c r="C24" s="388"/>
      <c r="D24" s="391">
        <f t="shared" si="0"/>
        <v>8.7822161830874244</v>
      </c>
      <c r="E24" s="383">
        <f t="shared" si="1"/>
        <v>9.0348386007167996</v>
      </c>
      <c r="F24" s="383">
        <f t="shared" si="2"/>
        <v>9.0351524420219071</v>
      </c>
      <c r="G24" s="110">
        <f t="shared" si="23"/>
        <v>0.33768921440042832</v>
      </c>
      <c r="H24" s="412" t="b">
        <f>Wh_hp&gt;='2019'!Maxi_hp</f>
        <v>1</v>
      </c>
      <c r="I24" s="388">
        <f>IF(H24,Wh_hp,'2019'!Maxi_hp)</f>
        <v>9.0351524420219071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6.8566045098489292E-3</v>
      </c>
      <c r="M24" s="832"/>
      <c r="N24" s="832"/>
      <c r="O24" s="48">
        <f>IF(t&lt;Tnet,'2019'!Resal+('2019'!Salim-'2019'!Resal)*(1-EXP(('2019'!Tnet-t)/('2019'!Tau_j))),Resal+(Salim-Resal)*(1-EXP((Tnet-t)/(Tau_j))))*Salcycl</f>
        <v>2.7960922025694369E-2</v>
      </c>
      <c r="P24" s="169">
        <f>(INDEX(Models!$BJ24:$BT24,,T24)*(1-R24)+INDEX(Models!$BJ24:$BT24,,T24+1)*R24-ERP_i)*Q24*Ramure*Pc/MaxiM</f>
        <v>6.4165092965328557E-4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25.812806357941572</v>
      </c>
      <c r="W24" s="58"/>
      <c r="X24" s="157">
        <f t="shared" si="9"/>
        <v>43840</v>
      </c>
      <c r="Y24" s="383">
        <f t="shared" si="10"/>
        <v>8.7219999999999995</v>
      </c>
      <c r="Z24" s="383">
        <f t="shared" si="11"/>
        <v>8.7822161830874244</v>
      </c>
      <c r="AA24" s="384">
        <f t="shared" si="12"/>
        <v>9.0348386007167996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2.7960922025694369E-2</v>
      </c>
      <c r="AD24" s="230">
        <f>(INDEX(Models!$BJ24:$BT24,,AH24)*(1-AF24)+INDEX(Models!$BJ24:$BT24,,AH24+1)*AF24-ERP_i)*AE24*Ramure*Pc/MaxiM</f>
        <v>6.4165092965328557E-4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26.308</v>
      </c>
      <c r="C25" s="388"/>
      <c r="D25" s="391">
        <f t="shared" si="0"/>
        <v>26.490136586466271</v>
      </c>
      <c r="E25" s="383">
        <f t="shared" si="1"/>
        <v>27.253955504315563</v>
      </c>
      <c r="F25" s="383">
        <f t="shared" si="2"/>
        <v>27.27128998791828</v>
      </c>
      <c r="G25" s="110">
        <f t="shared" si="23"/>
        <v>1.0100648455091663</v>
      </c>
      <c r="H25" s="412" t="b">
        <f>Wh_hp&gt;='2019'!Maxi_hp</f>
        <v>1</v>
      </c>
      <c r="I25" s="388">
        <f>IF(H25,Wh_hp,'2019'!Maxi_hp)</f>
        <v>27.27128998791828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6.8756378764510684E-3</v>
      </c>
      <c r="M25" s="832"/>
      <c r="N25" s="832"/>
      <c r="O25" s="48">
        <f>IF(t&lt;Tnet,'2019'!Resal+('2019'!Salim-'2019'!Resal)*(1-EXP(('2019'!Tnet-t)/('2019'!Tau_j))),Resal+(Salim-Resal)*(1-EXP((Tnet-t)/(Tau_j))))*Salcycl</f>
        <v>2.8025983888039483E-2</v>
      </c>
      <c r="P25" s="169">
        <f>(INDEX(Models!$BJ25:$BT25,,T25)*(1-R25)+INDEX(Models!$BJ25:$BT25,,T25+1)*R25-ERP_i)*Q25*Ramure*Pc/MaxiM</f>
        <v>6.3563123014713052E-4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26.045852518249291</v>
      </c>
      <c r="W25" s="58"/>
      <c r="X25" s="157">
        <f t="shared" si="9"/>
        <v>43841</v>
      </c>
      <c r="Y25" s="383">
        <f t="shared" si="10"/>
        <v>26.308</v>
      </c>
      <c r="Z25" s="383">
        <f t="shared" si="11"/>
        <v>26.490136586466271</v>
      </c>
      <c r="AA25" s="384">
        <f t="shared" si="12"/>
        <v>27.253955504315563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2.8025983888039483E-2</v>
      </c>
      <c r="AD25" s="230">
        <f>(INDEX(Models!$BJ25:$BT25,,AH25)*(1-AF25)+INDEX(Models!$BJ25:$BT25,,AH25+1)*AF25-ERP_i)*AE25*Ramure*Pc/MaxiM</f>
        <v>6.3563123014713052E-4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26.402000000000001</v>
      </c>
      <c r="C26" s="388"/>
      <c r="D26" s="391">
        <f t="shared" si="0"/>
        <v>26.585296872134819</v>
      </c>
      <c r="E26" s="383">
        <f t="shared" si="1"/>
        <v>27.353689750372432</v>
      </c>
      <c r="F26" s="383">
        <f t="shared" si="2"/>
        <v>27.37093962937724</v>
      </c>
      <c r="G26" s="110">
        <f t="shared" si="23"/>
        <v>1.0042806015305528</v>
      </c>
      <c r="H26" s="412" t="b">
        <f>Wh_hp&gt;='2019'!Maxi_hp</f>
        <v>1</v>
      </c>
      <c r="I26" s="388">
        <f>IF(H26,Wh_hp,'2019'!Maxi_hp)</f>
        <v>27.37093962937724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6.8946708782831045E-3</v>
      </c>
      <c r="M26" s="832"/>
      <c r="N26" s="832"/>
      <c r="O26" s="48">
        <f>IF(t&lt;Tnet,'2019'!Resal+('2019'!Salim-'2019'!Resal)*(1-EXP(('2019'!Tnet-t)/('2019'!Tau_j))),Resal+(Salim-Resal)*(1-EXP((Tnet-t)/(Tau_j))))*Salcycl</f>
        <v>2.8091013872347942E-2</v>
      </c>
      <c r="P26" s="169">
        <f>(INDEX(Models!$BJ26:$BT26,,T26)*(1-R26)+INDEX(Models!$BJ26:$BT26,,T26+1)*R26-ERP_i)*Q26*Ramure*Pc/MaxiM</f>
        <v>6.3022604405921863E-4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26.28946527470767</v>
      </c>
      <c r="W26" s="58"/>
      <c r="X26" s="157">
        <f t="shared" si="9"/>
        <v>43842</v>
      </c>
      <c r="Y26" s="383">
        <f t="shared" si="10"/>
        <v>26.402000000000001</v>
      </c>
      <c r="Z26" s="383">
        <f t="shared" si="11"/>
        <v>26.585296872134819</v>
      </c>
      <c r="AA26" s="384">
        <f t="shared" si="12"/>
        <v>27.353689750372432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2.8091013872347942E-2</v>
      </c>
      <c r="AD26" s="230">
        <f>(INDEX(Models!$BJ26:$BT26,,AH26)*(1-AF26)+INDEX(Models!$BJ26:$BT26,,AH26+1)*AF26-ERP_i)*AE26*Ramure*Pc/MaxiM</f>
        <v>6.3022604405921863E-4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15.603</v>
      </c>
      <c r="C27" s="388"/>
      <c r="D27" s="391">
        <f t="shared" si="0"/>
        <v>15.711625520593621</v>
      </c>
      <c r="E27" s="383">
        <f t="shared" si="1"/>
        <v>16.166818658816663</v>
      </c>
      <c r="F27" s="383">
        <f t="shared" si="2"/>
        <v>16.17097757884445</v>
      </c>
      <c r="G27" s="110">
        <f t="shared" si="23"/>
        <v>0.58762598921904163</v>
      </c>
      <c r="H27" s="412" t="b">
        <f>Wh_hp&gt;='2019'!Maxi_hp</f>
        <v>1</v>
      </c>
      <c r="I27" s="388">
        <f>IF(H27,Wh_hp,'2019'!Maxi_hp)</f>
        <v>16.17097757884445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6.9137035153519211E-3</v>
      </c>
      <c r="M27" s="832"/>
      <c r="N27" s="832"/>
      <c r="O27" s="48">
        <f>IF(t&lt;Tnet,'2019'!Resal+('2019'!Salim-'2019'!Resal)*(1-EXP(('2019'!Tnet-t)/('2019'!Tau_j))),Resal+(Salim-Resal)*(1-EXP((Tnet-t)/(Tau_j))))*Salcycl</f>
        <v>2.8156011880222345E-2</v>
      </c>
      <c r="P27" s="169">
        <f>(INDEX(Models!$BJ27:$BT27,,T27)*(1-R27)+INDEX(Models!$BJ27:$BT27,,T27+1)*R27-ERP_i)*Q27*Ramure*Pc/MaxiM</f>
        <v>6.2544248990962386E-4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26.54282294181769</v>
      </c>
      <c r="W27" s="58"/>
      <c r="X27" s="157">
        <f t="shared" si="9"/>
        <v>43843</v>
      </c>
      <c r="Y27" s="383">
        <f t="shared" si="10"/>
        <v>15.603</v>
      </c>
      <c r="Z27" s="383">
        <f t="shared" si="11"/>
        <v>15.711625520593621</v>
      </c>
      <c r="AA27" s="384">
        <f t="shared" si="12"/>
        <v>16.166818658816663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2.8156011880222345E-2</v>
      </c>
      <c r="AD27" s="230">
        <f>(INDEX(Models!$BJ27:$BT27,,AH27)*(1-AF27)+INDEX(Models!$BJ27:$BT27,,AH27+1)*AF27-ERP_i)*AE27*Ramure*Pc/MaxiM</f>
        <v>6.2544248990962386E-4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26.172999999999998</v>
      </c>
      <c r="C28" s="388"/>
      <c r="D28" s="391">
        <f t="shared" si="0"/>
        <v>26.355717224008455</v>
      </c>
      <c r="E28" s="383">
        <f t="shared" si="1"/>
        <v>27.121101231682314</v>
      </c>
      <c r="F28" s="383">
        <f t="shared" si="2"/>
        <v>27.13739332527097</v>
      </c>
      <c r="G28" s="110">
        <f t="shared" si="23"/>
        <v>0.9763980685377337</v>
      </c>
      <c r="H28" s="412" t="b">
        <f>Wh_hp&gt;='2019'!Maxi_hp</f>
        <v>1</v>
      </c>
      <c r="I28" s="388">
        <f>IF(H28,Wh_hp,'2019'!Maxi_hp)</f>
        <v>27.13739332527097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6.9327357876647344E-3</v>
      </c>
      <c r="M28" s="832"/>
      <c r="N28" s="832"/>
      <c r="O28" s="48">
        <f>IF(t&lt;Tnet,'2019'!Resal+('2019'!Salim-'2019'!Resal)*(1-EXP(('2019'!Tnet-t)/('2019'!Tau_j))),Resal+(Salim-Resal)*(1-EXP((Tnet-t)/(Tau_j))))*Salcycl</f>
        <v>2.82209782388834E-2</v>
      </c>
      <c r="P28" s="169">
        <f>(INDEX(Models!$BJ28:$BT28,,T28)*(1-R28)+INDEX(Models!$BJ28:$BT28,,T28+1)*R28-ERP_i)*Q28*Ramure*Pc/MaxiM</f>
        <v>6.2128564464390798E-4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26.80510410609164</v>
      </c>
      <c r="W28" s="58"/>
      <c r="X28" s="157">
        <f t="shared" si="9"/>
        <v>43844</v>
      </c>
      <c r="Y28" s="383">
        <f t="shared" si="10"/>
        <v>26.172999999999998</v>
      </c>
      <c r="Z28" s="383">
        <f t="shared" si="11"/>
        <v>26.355717224008455</v>
      </c>
      <c r="AA28" s="384">
        <f t="shared" si="12"/>
        <v>27.121101231682314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2.82209782388834E-2</v>
      </c>
      <c r="AD28" s="230">
        <f>(INDEX(Models!$BJ28:$BT28,,AH28)*(1-AF28)+INDEX(Models!$BJ28:$BT28,,AH28+1)*AF28-ERP_i)*AE28*Ramure*Pc/MaxiM</f>
        <v>6.2128564464390798E-4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22.597999999999999</v>
      </c>
      <c r="C29" s="388"/>
      <c r="D29" s="391">
        <f t="shared" si="0"/>
        <v>22.756195786736523</v>
      </c>
      <c r="E29" s="383">
        <f t="shared" si="1"/>
        <v>23.4186126415904</v>
      </c>
      <c r="F29" s="383">
        <f t="shared" si="2"/>
        <v>23.429667161752757</v>
      </c>
      <c r="G29" s="110">
        <f t="shared" si="23"/>
        <v>0.83450760975965943</v>
      </c>
      <c r="H29" s="412" t="b">
        <f>Wh_hp&gt;='2019'!Maxi_hp</f>
        <v>1</v>
      </c>
      <c r="I29" s="388">
        <f>IF(H29,Wh_hp,'2019'!Maxi_hp)</f>
        <v>23.429667161752757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6.9517676952283169E-3</v>
      </c>
      <c r="M29" s="832"/>
      <c r="N29" s="832"/>
      <c r="O29" s="48">
        <f>IF(t&lt;Tnet,'2019'!Resal+('2019'!Salim-'2019'!Resal)*(1-EXP(('2019'!Tnet-t)/('2019'!Tau_j))),Resal+(Salim-Resal)*(1-EXP((Tnet-t)/(Tau_j))))*Salcycl</f>
        <v>2.8285913644493815E-2</v>
      </c>
      <c r="P29" s="169">
        <f>(INDEX(Models!$BJ29:$BT29,,T29)*(1-R29)+INDEX(Models!$BJ29:$BT29,,T29+1)*R29-ERP_i)*Q29*Ramure*Pc/MaxiM</f>
        <v>6.1775876930340835E-4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27.075487618789222</v>
      </c>
      <c r="W29" s="58"/>
      <c r="X29" s="157">
        <f t="shared" si="9"/>
        <v>43845</v>
      </c>
      <c r="Y29" s="383">
        <f t="shared" si="10"/>
        <v>22.597999999999999</v>
      </c>
      <c r="Z29" s="383">
        <f t="shared" si="11"/>
        <v>22.756195786736523</v>
      </c>
      <c r="AA29" s="384">
        <f t="shared" si="12"/>
        <v>23.4186126415904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2.8285913644493815E-2</v>
      </c>
      <c r="AD29" s="230">
        <f>(INDEX(Models!$BJ29:$BT29,,AH29)*(1-AF29)+INDEX(Models!$BJ29:$BT29,,AH29+1)*AF29-ERP_i)*AE29*Ramure*Pc/MaxiM</f>
        <v>6.1775876930340835E-4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23.838999999999999</v>
      </c>
      <c r="C30" s="388"/>
      <c r="D30" s="391">
        <f t="shared" si="0"/>
        <v>24.00634340028305</v>
      </c>
      <c r="E30" s="383">
        <f t="shared" si="1"/>
        <v>24.706801459091974</v>
      </c>
      <c r="F30" s="383">
        <f t="shared" si="2"/>
        <v>24.71919313908694</v>
      </c>
      <c r="G30" s="110">
        <f t="shared" si="23"/>
        <v>0.87142757172433738</v>
      </c>
      <c r="H30" s="412" t="b">
        <f>Wh_hp&gt;='2019'!Maxi_hp</f>
        <v>1</v>
      </c>
      <c r="I30" s="388">
        <f>IF(H30,Wh_hp,'2019'!Maxi_hp)</f>
        <v>24.71919313908694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6.9707992380496631E-3</v>
      </c>
      <c r="M30" s="832"/>
      <c r="N30" s="832"/>
      <c r="O30" s="48">
        <f>IF(t&lt;Tnet,'2019'!Resal+('2019'!Salim-'2019'!Resal)*(1-EXP(('2019'!Tnet-t)/('2019'!Tau_j))),Resal+(Salim-Resal)*(1-EXP((Tnet-t)/(Tau_j))))*Salcycl</f>
        <v>2.8350819104152263E-2</v>
      </c>
      <c r="P30" s="169">
        <f>(INDEX(Models!$BJ30:$BT30,,T30)*(1-R30)+INDEX(Models!$BJ30:$BT30,,T30+1)*R30-ERP_i)*Q30*Ramure*Pc/MaxiM</f>
        <v>6.1398544355141429E-4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27.353176635796654</v>
      </c>
      <c r="W30" s="58"/>
      <c r="X30" s="157">
        <f t="shared" si="9"/>
        <v>43846</v>
      </c>
      <c r="Y30" s="383">
        <f t="shared" si="10"/>
        <v>23.838999999999999</v>
      </c>
      <c r="Z30" s="383">
        <f t="shared" si="11"/>
        <v>24.00634340028305</v>
      </c>
      <c r="AA30" s="384">
        <f t="shared" si="12"/>
        <v>24.706801459091974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2.8350819104152263E-2</v>
      </c>
      <c r="AD30" s="230">
        <f>(INDEX(Models!$BJ30:$BT30,,AH30)*(1-AF30)+INDEX(Models!$BJ30:$BT30,,AH30+1)*AF30-ERP_i)*AE30*Ramure*Pc/MaxiM</f>
        <v>6.1398544355141429E-4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4.5709999999999997</v>
      </c>
      <c r="C31" s="388"/>
      <c r="D31" s="391">
        <f t="shared" si="0"/>
        <v>4.6031754155302824</v>
      </c>
      <c r="E31" s="383">
        <f t="shared" si="1"/>
        <v>4.7378033959558312</v>
      </c>
      <c r="F31" s="383">
        <f t="shared" si="2"/>
        <v>4.7378033959558312</v>
      </c>
      <c r="G31" s="110">
        <f t="shared" si="23"/>
        <v>0.1652912319824944</v>
      </c>
      <c r="H31" s="412" t="b">
        <f>Wh_hp&gt;='2019'!Maxi_hp</f>
        <v>1</v>
      </c>
      <c r="I31" s="388">
        <f>IF(H31,Wh_hp,'2019'!Maxi_hp)</f>
        <v>4.7378033959558312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6.9898304161358782E-3</v>
      </c>
      <c r="M31" s="832"/>
      <c r="N31" s="832"/>
      <c r="O31" s="48">
        <f>IF(t&lt;Tnet,'2019'!Resal+('2019'!Salim-'2019'!Resal)*(1-EXP(('2019'!Tnet-t)/('2019'!Tau_j))),Resal+(Salim-Resal)*(1-EXP((Tnet-t)/(Tau_j))))*Salcycl</f>
        <v>2.8415695877221609E-2</v>
      </c>
      <c r="P31" s="169">
        <f>(INDEX(Models!$BJ31:$BT31,,T31)*(1-R31)+INDEX(Models!$BJ31:$BT31,,T31+1)*R31-ERP_i)*Q31*Ramure*Pc/MaxiM</f>
        <v>6.0867414432989409E-4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27.6373870270994</v>
      </c>
      <c r="W31" s="58"/>
      <c r="X31" s="157">
        <f t="shared" si="9"/>
        <v>43847</v>
      </c>
      <c r="Y31" s="383">
        <f t="shared" si="10"/>
        <v>4.5709999999999997</v>
      </c>
      <c r="Z31" s="383">
        <f t="shared" si="11"/>
        <v>4.6031754155302824</v>
      </c>
      <c r="AA31" s="384">
        <f t="shared" si="12"/>
        <v>4.7378033959558312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2.8415695877221609E-2</v>
      </c>
      <c r="AD31" s="230">
        <f>(INDEX(Models!$BJ31:$BT31,,AH31)*(1-AF31)+INDEX(Models!$BJ31:$BT31,,AH31+1)*AF31-ERP_i)*AE31*Ramure*Pc/MaxiM</f>
        <v>6.0867414432989409E-4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18.234999999999999</v>
      </c>
      <c r="C32" s="388"/>
      <c r="D32" s="391">
        <f t="shared" si="0"/>
        <v>18.363708685837889</v>
      </c>
      <c r="E32" s="383">
        <f t="shared" si="1"/>
        <v>18.902049361135457</v>
      </c>
      <c r="F32" s="383">
        <f t="shared" si="2"/>
        <v>18.907787474388673</v>
      </c>
      <c r="G32" s="110">
        <f t="shared" si="23"/>
        <v>0.65275045521038466</v>
      </c>
      <c r="H32" s="412" t="b">
        <f>Wh_hp&gt;='2019'!Maxi_hp</f>
        <v>1</v>
      </c>
      <c r="I32" s="388">
        <f>IF(H32,Wh_hp,'2019'!Maxi_hp)</f>
        <v>18.907787474388673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7.0088612294939567E-3</v>
      </c>
      <c r="M32" s="832"/>
      <c r="N32" s="832"/>
      <c r="O32" s="48">
        <f>IF(t&lt;Tnet,'2019'!Resal+('2019'!Salim-'2019'!Resal)*(1-EXP(('2019'!Tnet-t)/('2019'!Tau_j))),Resal+(Salim-Resal)*(1-EXP((Tnet-t)/(Tau_j))))*Salcycl</f>
        <v>2.8480545416649603E-2</v>
      </c>
      <c r="P32" s="169">
        <f>(INDEX(Models!$BJ32:$BT32,,T32)*(1-R32)+INDEX(Models!$BJ32:$BT32,,T32+1)*R32-ERP_i)*Q32*Ramure*Pc/MaxiM</f>
        <v>6.0189254471695376E-4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27.927298446945152</v>
      </c>
      <c r="W32" s="58"/>
      <c r="X32" s="157">
        <f t="shared" si="9"/>
        <v>43848</v>
      </c>
      <c r="Y32" s="383">
        <f t="shared" si="10"/>
        <v>18.234999999999999</v>
      </c>
      <c r="Z32" s="383">
        <f t="shared" si="11"/>
        <v>18.363708685837889</v>
      </c>
      <c r="AA32" s="384">
        <f t="shared" si="12"/>
        <v>18.902049361135457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2.8480545416649603E-2</v>
      </c>
      <c r="AD32" s="230">
        <f>(INDEX(Models!$BJ32:$BT32,,AH32)*(1-AF32)+INDEX(Models!$BJ32:$BT32,,AH32+1)*AF32-ERP_i)*AE32*Ramure*Pc/MaxiM</f>
        <v>6.0189254471695376E-4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27.359000000000002</v>
      </c>
      <c r="C33" s="388"/>
      <c r="D33" s="391">
        <f t="shared" si="0"/>
        <v>27.552636947916824</v>
      </c>
      <c r="E33" s="383">
        <f t="shared" si="1"/>
        <v>28.362247785440232</v>
      </c>
      <c r="F33" s="383">
        <f t="shared" si="2"/>
        <v>28.378360122370157</v>
      </c>
      <c r="G33" s="110">
        <f t="shared" si="23"/>
        <v>0.96939273977953755</v>
      </c>
      <c r="H33" s="412" t="b">
        <f>Wh_hp&gt;='2019'!Maxi_hp</f>
        <v>1</v>
      </c>
      <c r="I33" s="388">
        <f>IF(H33,Wh_hp,'2019'!Maxi_hp)</f>
        <v>28.378360122370157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7.0278916781307821E-3</v>
      </c>
      <c r="M33" s="832"/>
      <c r="N33" s="832"/>
      <c r="O33" s="48">
        <f>IF(t&lt;Tnet,'2019'!Resal+('2019'!Salim-'2019'!Resal)*(1-EXP(('2019'!Tnet-t)/('2019'!Tau_j))),Resal+(Salim-Resal)*(1-EXP((Tnet-t)/(Tau_j))))*Salcycl</f>
        <v>2.8545369310926876E-2</v>
      </c>
      <c r="P33" s="169">
        <f>(INDEX(Models!$BJ33:$BT33,,T33)*(1-R33)+INDEX(Models!$BJ33:$BT33,,T33+1)*R33-ERP_i)*Q33*Ramure*Pc/MaxiM</f>
        <v>5.9370671217482329E-4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28.222090829332487</v>
      </c>
      <c r="W33" s="58"/>
      <c r="X33" s="157">
        <f t="shared" si="9"/>
        <v>43849</v>
      </c>
      <c r="Y33" s="383">
        <f t="shared" si="10"/>
        <v>27.359000000000002</v>
      </c>
      <c r="Z33" s="383">
        <f t="shared" si="11"/>
        <v>27.552636947916824</v>
      </c>
      <c r="AA33" s="384">
        <f t="shared" si="12"/>
        <v>28.362247785440232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2.8545369310926876E-2</v>
      </c>
      <c r="AD33" s="230">
        <f>(INDEX(Models!$BJ33:$BT33,,AH33)*(1-AF33)+INDEX(Models!$BJ33:$BT33,,AH33+1)*AF33-ERP_i)*AE33*Ramure*Pc/MaxiM</f>
        <v>5.9370671217482329E-4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11.826000000000001</v>
      </c>
      <c r="C34" s="388"/>
      <c r="D34" s="391">
        <f t="shared" si="0"/>
        <v>11.90992833315541</v>
      </c>
      <c r="E34" s="383">
        <f t="shared" si="1"/>
        <v>12.260709301106905</v>
      </c>
      <c r="F34" s="383">
        <f t="shared" si="2"/>
        <v>12.26188245483894</v>
      </c>
      <c r="G34" s="110">
        <f t="shared" si="23"/>
        <v>0.41444007670462213</v>
      </c>
      <c r="H34" s="412" t="b">
        <f>Wh_hp&gt;='2019'!Maxi_hp</f>
        <v>1</v>
      </c>
      <c r="I34" s="388">
        <f>IF(H34,Wh_hp,'2019'!Maxi_hp)</f>
        <v>12.26188245483894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7.0469217620534597E-3</v>
      </c>
      <c r="M34" s="832"/>
      <c r="N34" s="832"/>
      <c r="O34" s="48">
        <f>IF(t&lt;Tnet,'2019'!Resal+('2019'!Salim-'2019'!Resal)*(1-EXP(('2019'!Tnet-t)/('2019'!Tau_j))),Resal+(Salim-Resal)*(1-EXP((Tnet-t)/(Tau_j))))*Salcycl</f>
        <v>2.861016922730782E-2</v>
      </c>
      <c r="P34" s="169">
        <f>(INDEX(Models!$BJ34:$BT34,,T34)*(1-R34)+INDEX(Models!$BJ34:$BT34,,T34+1)*R34-ERP_i)*Q34*Ramure*Pc/MaxiM</f>
        <v>5.841839098974194E-4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28.520944289550176</v>
      </c>
      <c r="W34" s="58"/>
      <c r="X34" s="157">
        <f t="shared" si="9"/>
        <v>43850</v>
      </c>
      <c r="Y34" s="383">
        <f t="shared" si="10"/>
        <v>11.826000000000001</v>
      </c>
      <c r="Z34" s="383">
        <f t="shared" si="11"/>
        <v>11.90992833315541</v>
      </c>
      <c r="AA34" s="384">
        <f t="shared" si="12"/>
        <v>12.260709301106905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2.861016922730782E-2</v>
      </c>
      <c r="AD34" s="230">
        <f>(INDEX(Models!$BJ34:$BT34,,AH34)*(1-AF34)+INDEX(Models!$BJ34:$BT34,,AH34+1)*AF34-ERP_i)*AE34*Ramure*Pc/MaxiM</f>
        <v>5.841839098974194E-4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3.4740000000000002</v>
      </c>
      <c r="C35" s="388"/>
      <c r="D35" s="391">
        <f t="shared" si="0"/>
        <v>3.4987217984744787</v>
      </c>
      <c r="E35" s="383">
        <f t="shared" si="1"/>
        <v>3.602009221478419</v>
      </c>
      <c r="F35" s="383">
        <f t="shared" si="2"/>
        <v>3.602009221478419</v>
      </c>
      <c r="G35" s="110">
        <f t="shared" si="23"/>
        <v>0.12045947068360394</v>
      </c>
      <c r="H35" s="412" t="b">
        <f>Wh_hp&gt;='2019'!Maxi_hp</f>
        <v>1</v>
      </c>
      <c r="I35" s="388">
        <f>IF(H35,Wh_hp,'2019'!Maxi_hp)</f>
        <v>3.602009221478419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7.0659514812688728E-3</v>
      </c>
      <c r="M35" s="832"/>
      <c r="N35" s="832"/>
      <c r="O35" s="48">
        <f>IF(t&lt;Tnet,'2019'!Resal+('2019'!Salim-'2019'!Resal)*(1-EXP(('2019'!Tnet-t)/('2019'!Tau_j))),Resal+(Salim-Resal)*(1-EXP((Tnet-t)/(Tau_j))))*Salcycl</f>
        <v>2.8674946856895228E-2</v>
      </c>
      <c r="P35" s="169">
        <f>(INDEX(Models!$BJ35:$BT35,,T35)*(1-R35)+INDEX(Models!$BJ35:$BT35,,T35+1)*R35-ERP_i)*Q35*Ramure*Pc/MaxiM</f>
        <v>5.7339015513940275E-4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28.823039175728596</v>
      </c>
      <c r="W35" s="58"/>
      <c r="X35" s="157">
        <f t="shared" si="9"/>
        <v>43851</v>
      </c>
      <c r="Y35" s="383">
        <f t="shared" si="10"/>
        <v>3.4740000000000002</v>
      </c>
      <c r="Z35" s="383">
        <f t="shared" si="11"/>
        <v>3.4987217984744787</v>
      </c>
      <c r="AA35" s="384">
        <f t="shared" si="12"/>
        <v>3.602009221478419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2.8674946856895228E-2</v>
      </c>
      <c r="AD35" s="230">
        <f>(INDEX(Models!$BJ35:$BT35,,AH35)*(1-AF35)+INDEX(Models!$BJ35:$BT35,,AH35+1)*AF35-ERP_i)*AE35*Ramure*Pc/MaxiM</f>
        <v>5.7339015513940275E-4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1.153</v>
      </c>
      <c r="C36" s="388"/>
      <c r="D36" s="391">
        <f t="shared" si="0"/>
        <v>1.1612272729750179</v>
      </c>
      <c r="E36" s="383">
        <f t="shared" si="1"/>
        <v>1.1955881215288715</v>
      </c>
      <c r="F36" s="383">
        <f t="shared" si="2"/>
        <v>1.1955881215288715</v>
      </c>
      <c r="G36" s="110">
        <f t="shared" si="23"/>
        <v>3.9562286454627983E-2</v>
      </c>
      <c r="H36" s="412" t="b">
        <f>Wh_hp&gt;='2019'!Maxi_hp</f>
        <v>1</v>
      </c>
      <c r="I36" s="388">
        <f>IF(H36,Wh_hp,'2019'!Maxi_hp)</f>
        <v>1.1955881215288715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7.0849808357841271E-3</v>
      </c>
      <c r="M36" s="832"/>
      <c r="N36" s="832"/>
      <c r="O36" s="48">
        <f>IF(t&lt;Tnet,'2019'!Resal+('2019'!Salim-'2019'!Resal)*(1-EXP(('2019'!Tnet-t)/('2019'!Tau_j))),Resal+(Salim-Resal)*(1-EXP((Tnet-t)/(Tau_j))))*Salcycl</f>
        <v>2.8739703862158125E-2</v>
      </c>
      <c r="P36" s="169">
        <f>(INDEX(Models!$BJ36:$BT36,,T36)*(1-R36)+INDEX(Models!$BJ36:$BT36,,T36+1)*R36-ERP_i)*Q36*Ramure*Pc/MaxiM</f>
        <v>5.6142687066283086E-4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29.127555004681078</v>
      </c>
      <c r="W36" s="58"/>
      <c r="X36" s="157">
        <f t="shared" si="9"/>
        <v>43852</v>
      </c>
      <c r="Y36" s="383">
        <f t="shared" si="10"/>
        <v>1.153</v>
      </c>
      <c r="Z36" s="383">
        <f t="shared" si="11"/>
        <v>1.1612272729750179</v>
      </c>
      <c r="AA36" s="384">
        <f t="shared" si="12"/>
        <v>1.1955881215288715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2.8739703862158125E-2</v>
      </c>
      <c r="AD36" s="230">
        <f>(INDEX(Models!$BJ36:$BT36,,AH36)*(1-AF36)+INDEX(Models!$BJ36:$BT36,,AH36+1)*AF36-ERP_i)*AE36*Ramure*Pc/MaxiM</f>
        <v>5.6142687066283086E-4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13.63</v>
      </c>
      <c r="C37" s="388"/>
      <c r="D37" s="391">
        <f t="shared" si="0"/>
        <v>13.727520440087591</v>
      </c>
      <c r="E37" s="383">
        <f t="shared" si="1"/>
        <v>14.134661474273532</v>
      </c>
      <c r="F37" s="383">
        <f t="shared" si="2"/>
        <v>14.136466257593549</v>
      </c>
      <c r="G37" s="110">
        <f t="shared" si="23"/>
        <v>0.46281564817968263</v>
      </c>
      <c r="H37" s="412" t="b">
        <f>Wh_hp&gt;='2019'!Maxi_hp</f>
        <v>1</v>
      </c>
      <c r="I37" s="388">
        <f>IF(H37,Wh_hp,'2019'!Maxi_hp)</f>
        <v>14.136466257593549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7.1040098256061057E-3</v>
      </c>
      <c r="M37" s="832"/>
      <c r="N37" s="832"/>
      <c r="O37" s="48">
        <f>IF(t&lt;Tnet,'2019'!Resal+('2019'!Salim-'2019'!Resal)*(1-EXP(('2019'!Tnet-t)/('2019'!Tau_j))),Resal+(Salim-Resal)*(1-EXP((Tnet-t)/(Tau_j))))*Salcycl</f>
        <v>2.8804441827416687E-2</v>
      </c>
      <c r="P37" s="169">
        <f>(INDEX(Models!$BJ37:$BT37,,T37)*(1-R37)+INDEX(Models!$BJ37:$BT37,,T37+1)*R37-ERP_i)*Q37*Ramure*Pc/MaxiM</f>
        <v>5.4823522371524956E-4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29.437783702908433</v>
      </c>
      <c r="W37" s="58"/>
      <c r="X37" s="157">
        <f t="shared" si="9"/>
        <v>43853</v>
      </c>
      <c r="Y37" s="383">
        <f t="shared" si="10"/>
        <v>13.63</v>
      </c>
      <c r="Z37" s="383">
        <f t="shared" si="11"/>
        <v>13.727520440087591</v>
      </c>
      <c r="AA37" s="384">
        <f t="shared" si="12"/>
        <v>14.134661474273532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2.8804441827416687E-2</v>
      </c>
      <c r="AD37" s="230">
        <f>(INDEX(Models!$BJ37:$BT37,,AH37)*(1-AF37)+INDEX(Models!$BJ37:$BT37,,AH37+1)*AF37-ERP_i)*AE37*Ramure*Pc/MaxiM</f>
        <v>5.4823522371524956E-4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16.231000000000002</v>
      </c>
      <c r="C38" s="388"/>
      <c r="D38" s="391">
        <f t="shared" si="0"/>
        <v>16.347443468396719</v>
      </c>
      <c r="E38" s="383">
        <f t="shared" si="1"/>
        <v>16.833409909673424</v>
      </c>
      <c r="F38" s="383">
        <f t="shared" si="2"/>
        <v>16.836563054291389</v>
      </c>
      <c r="G38" s="110">
        <f t="shared" si="23"/>
        <v>0.54526380894016457</v>
      </c>
      <c r="H38" s="412" t="b">
        <f>Wh_hp&gt;='2019'!Maxi_hp</f>
        <v>1</v>
      </c>
      <c r="I38" s="388">
        <f>IF(H38,Wh_hp,'2019'!Maxi_hp)</f>
        <v>16.836563054291389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7.1230384507418032E-3</v>
      </c>
      <c r="M38" s="832"/>
      <c r="N38" s="832"/>
      <c r="O38" s="48">
        <f>IF(t&lt;Tnet,'2019'!Resal+('2019'!Salim-'2019'!Resal)*(1-EXP(('2019'!Tnet-t)/('2019'!Tau_j))),Resal+(Salim-Resal)*(1-EXP((Tnet-t)/(Tau_j))))*Salcycl</f>
        <v>2.8869162212787392E-2</v>
      </c>
      <c r="P38" s="169">
        <f>(INDEX(Models!$BJ38:$BT38,,T38)*(1-R38)+INDEX(Models!$BJ38:$BT38,,T38+1)*R38-ERP_i)*Q38*Ramure*Pc/MaxiM</f>
        <v>5.3409697015052086E-4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29.756916719270684</v>
      </c>
      <c r="W38" s="58"/>
      <c r="X38" s="157">
        <f t="shared" si="9"/>
        <v>43854</v>
      </c>
      <c r="Y38" s="383">
        <f t="shared" si="10"/>
        <v>16.231000000000002</v>
      </c>
      <c r="Z38" s="383">
        <f t="shared" si="11"/>
        <v>16.347443468396719</v>
      </c>
      <c r="AA38" s="384">
        <f t="shared" si="12"/>
        <v>16.833409909673424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2.8869162212787392E-2</v>
      </c>
      <c r="AD38" s="230">
        <f>(INDEX(Models!$BJ38:$BT38,,AH38)*(1-AF38)+INDEX(Models!$BJ38:$BT38,,AH38+1)*AF38-ERP_i)*AE38*Ramure*Pc/MaxiM</f>
        <v>5.3409697015052086E-4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16.327999999999999</v>
      </c>
      <c r="C39" s="388"/>
      <c r="D39" s="391">
        <f t="shared" si="0"/>
        <v>16.445454533373329</v>
      </c>
      <c r="E39" s="383">
        <f t="shared" si="1"/>
        <v>16.935462954429219</v>
      </c>
      <c r="F39" s="383">
        <f t="shared" si="2"/>
        <v>16.938515203837024</v>
      </c>
      <c r="G39" s="110">
        <f t="shared" si="23"/>
        <v>0.54256303155492536</v>
      </c>
      <c r="H39" s="412" t="b">
        <f>Wh_hp&gt;='2019'!Maxi_hp</f>
        <v>1</v>
      </c>
      <c r="I39" s="388">
        <f>IF(H39,Wh_hp,'2019'!Maxi_hp)</f>
        <v>16.938515203837024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7.1420667111982139E-3</v>
      </c>
      <c r="M39" s="832"/>
      <c r="N39" s="832"/>
      <c r="O39" s="48">
        <f>IF(t&lt;Tnet,'2019'!Resal+('2019'!Salim-'2019'!Resal)*(1-EXP(('2019'!Tnet-t)/('2019'!Tau_j))),Resal+(Salim-Resal)*(1-EXP((Tnet-t)/(Tau_j))))*Salcycl</f>
        <v>2.8933866312035709E-2</v>
      </c>
      <c r="P39" s="169">
        <f>(INDEX(Models!$BJ39:$BT39,,T39)*(1-R39)+INDEX(Models!$BJ39:$BT39,,T39+1)*R39-ERP_i)*Q39*Ramure*Pc/MaxiM</f>
        <v>5.196229610532285E-4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30.083982662413778</v>
      </c>
      <c r="W39" s="58"/>
      <c r="X39" s="157">
        <f t="shared" si="9"/>
        <v>43855</v>
      </c>
      <c r="Y39" s="383">
        <f t="shared" si="10"/>
        <v>16.327999999999999</v>
      </c>
      <c r="Z39" s="383">
        <f t="shared" si="11"/>
        <v>16.445454533373329</v>
      </c>
      <c r="AA39" s="384">
        <f t="shared" si="12"/>
        <v>16.935462954429219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2.8933866312035709E-2</v>
      </c>
      <c r="AD39" s="230">
        <f>(INDEX(Models!$BJ39:$BT39,,AH39)*(1-AF39)+INDEX(Models!$BJ39:$BT39,,AH39+1)*AF39-ERP_i)*AE39*Ramure*Pc/MaxiM</f>
        <v>5.196229610532285E-4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6.7439999999999998</v>
      </c>
      <c r="C40" s="388"/>
      <c r="D40" s="391">
        <f t="shared" si="0"/>
        <v>6.7926427574172994</v>
      </c>
      <c r="E40" s="383">
        <f t="shared" si="1"/>
        <v>6.9955022146434427</v>
      </c>
      <c r="F40" s="383">
        <f t="shared" si="2"/>
        <v>6.9955022146434427</v>
      </c>
      <c r="G40" s="110">
        <f t="shared" si="23"/>
        <v>0.22159870085292735</v>
      </c>
      <c r="H40" s="412" t="b">
        <f>Wh_hp&gt;='2019'!Maxi_hp</f>
        <v>1</v>
      </c>
      <c r="I40" s="388">
        <f>IF(H40,Wh_hp,'2019'!Maxi_hp)</f>
        <v>6.9955022146434427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7.1610946069824433E-3</v>
      </c>
      <c r="M40" s="832"/>
      <c r="N40" s="832"/>
      <c r="O40" s="48">
        <f>IF(t&lt;Tnet,'2019'!Resal+('2019'!Salim-'2019'!Resal)*(1-EXP(('2019'!Tnet-t)/('2019'!Tau_j))),Resal+(Salim-Resal)*(1-EXP((Tnet-t)/(Tau_j))))*Salcycl</f>
        <v>2.8998555214735652E-2</v>
      </c>
      <c r="P40" s="169">
        <f>(INDEX(Models!$BJ40:$BT40,,T40)*(1-R40)+INDEX(Models!$BJ40:$BT40,,T40+1)*R40-ERP_i)*Q40*Ramure*Pc/MaxiM</f>
        <v>5.0485158871355117E-4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30.418027068486179</v>
      </c>
      <c r="W40" s="58"/>
      <c r="X40" s="157">
        <f t="shared" si="9"/>
        <v>43856</v>
      </c>
      <c r="Y40" s="383">
        <f t="shared" si="10"/>
        <v>6.7439999999999998</v>
      </c>
      <c r="Z40" s="383">
        <f t="shared" si="11"/>
        <v>6.7926427574172994</v>
      </c>
      <c r="AA40" s="384">
        <f t="shared" si="12"/>
        <v>6.9955022146434427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2.8998555214735652E-2</v>
      </c>
      <c r="AD40" s="230">
        <f>(INDEX(Models!$BJ40:$BT40,,AH40)*(1-AF40)+INDEX(Models!$BJ40:$BT40,,AH40+1)*AF40-ERP_i)*AE40*Ramure*Pc/MaxiM</f>
        <v>5.0485158871355117E-4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11.04</v>
      </c>
      <c r="C41" s="388"/>
      <c r="D41" s="391">
        <f t="shared" si="0"/>
        <v>11.119841822441497</v>
      </c>
      <c r="E41" s="383">
        <f t="shared" si="1"/>
        <v>11.45269410266817</v>
      </c>
      <c r="F41" s="383">
        <f t="shared" si="2"/>
        <v>11.453166380846145</v>
      </c>
      <c r="G41" s="110">
        <f t="shared" si="23"/>
        <v>0.35876887548096664</v>
      </c>
      <c r="H41" s="412" t="b">
        <f>Wh_hp&gt;='2019'!Maxi_hp</f>
        <v>1</v>
      </c>
      <c r="I41" s="388">
        <f>IF(H41,Wh_hp,'2019'!Maxi_hp)</f>
        <v>11.453166380846145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7.1801221381013747E-3</v>
      </c>
      <c r="M41" s="832"/>
      <c r="N41" s="832"/>
      <c r="O41" s="48">
        <f>IF(t&lt;Tnet,'2019'!Resal+('2019'!Salim-'2019'!Resal)*(1-EXP(('2019'!Tnet-t)/('2019'!Tau_j))),Resal+(Salim-Resal)*(1-EXP((Tnet-t)/(Tau_j))))*Salcycl</f>
        <v>2.9063229773082611E-2</v>
      </c>
      <c r="P41" s="169">
        <f>(INDEX(Models!$BJ41:$BT41,,T41)*(1-R41)+INDEX(Models!$BJ41:$BT41,,T41+1)*R41-ERP_i)*Q41*Ramure*Pc/MaxiM</f>
        <v>4.8981796095410289E-4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30.758095812270906</v>
      </c>
      <c r="W41" s="58"/>
      <c r="X41" s="157">
        <f t="shared" si="9"/>
        <v>43857</v>
      </c>
      <c r="Y41" s="383">
        <f t="shared" si="10"/>
        <v>11.04</v>
      </c>
      <c r="Z41" s="383">
        <f t="shared" si="11"/>
        <v>11.119841822441497</v>
      </c>
      <c r="AA41" s="384">
        <f t="shared" si="12"/>
        <v>11.45269410266817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2.9063229773082611E-2</v>
      </c>
      <c r="AD41" s="230">
        <f>(INDEX(Models!$BJ41:$BT41,,AH41)*(1-AF41)+INDEX(Models!$BJ41:$BT41,,AH41+1)*AF41-ERP_i)*AE41*Ramure*Pc/MaxiM</f>
        <v>4.8981796095410289E-4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17.626000000000001</v>
      </c>
      <c r="C42" s="388"/>
      <c r="D42" s="391">
        <f t="shared" si="0"/>
        <v>17.753812345802608</v>
      </c>
      <c r="E42" s="383">
        <f t="shared" si="1"/>
        <v>18.286458302208985</v>
      </c>
      <c r="F42" s="383">
        <f t="shared" si="2"/>
        <v>18.289765102832149</v>
      </c>
      <c r="G42" s="110">
        <f t="shared" si="23"/>
        <v>0.56652696426070193</v>
      </c>
      <c r="H42" s="412" t="b">
        <f>Wh_hp&gt;='2019'!Maxi_hp</f>
        <v>1</v>
      </c>
      <c r="I42" s="388">
        <f>IF(H42,Wh_hp,'2019'!Maxi_hp)</f>
        <v>18.289765102832149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7.1991493045618915E-3</v>
      </c>
      <c r="M42" s="832"/>
      <c r="N42" s="832"/>
      <c r="O42" s="48">
        <f>IF(t&lt;Tnet,'2019'!Resal+('2019'!Salim-'2019'!Resal)*(1-EXP(('2019'!Tnet-t)/('2019'!Tau_j))),Resal+(Salim-Resal)*(1-EXP((Tnet-t)/(Tau_j))))*Salcycl</f>
        <v>2.9127890573651102E-2</v>
      </c>
      <c r="P42" s="169">
        <f>(INDEX(Models!$BJ42:$BT42,,T42)*(1-R42)+INDEX(Models!$BJ42:$BT42,,T42+1)*R42-ERP_i)*Q42*Ramure*Pc/MaxiM</f>
        <v>4.7455390689452509E-4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31.10323511436361</v>
      </c>
      <c r="W42" s="58"/>
      <c r="X42" s="157">
        <f t="shared" si="9"/>
        <v>43858</v>
      </c>
      <c r="Y42" s="383">
        <f t="shared" si="10"/>
        <v>17.626000000000001</v>
      </c>
      <c r="Z42" s="383">
        <f t="shared" si="11"/>
        <v>17.753812345802608</v>
      </c>
      <c r="AA42" s="384">
        <f t="shared" si="12"/>
        <v>18.286458302208985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2.9127890573651102E-2</v>
      </c>
      <c r="AD42" s="230">
        <f>(INDEX(Models!$BJ42:$BT42,,AH42)*(1-AF42)+INDEX(Models!$BJ42:$BT42,,AH42+1)*AF42-ERP_i)*AE42*Ramure*Pc/MaxiM</f>
        <v>4.7455390689452509E-4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19.056000000000001</v>
      </c>
      <c r="C43" s="388"/>
      <c r="D43" s="391">
        <f t="shared" si="0"/>
        <v>19.19454963958098</v>
      </c>
      <c r="E43" s="383">
        <f t="shared" si="1"/>
        <v>19.771736816220709</v>
      </c>
      <c r="F43" s="383">
        <f t="shared" si="2"/>
        <v>19.775703807846384</v>
      </c>
      <c r="G43" s="110">
        <f t="shared" si="23"/>
        <v>0.60570951046104793</v>
      </c>
      <c r="H43" s="412" t="b">
        <f>Wh_hp&gt;='2019'!Maxi_hp</f>
        <v>1</v>
      </c>
      <c r="I43" s="388">
        <f>IF(H43,Wh_hp,'2019'!Maxi_hp)</f>
        <v>19.775703807846384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7.2181761063712102E-3</v>
      </c>
      <c r="M43" s="832"/>
      <c r="N43" s="832"/>
      <c r="O43" s="48">
        <f>IF(t&lt;Tnet,'2019'!Resal+('2019'!Salim-'2019'!Resal)*(1-EXP(('2019'!Tnet-t)/('2019'!Tau_j))),Resal+(Salim-Resal)*(1-EXP((Tnet-t)/(Tau_j))))*Salcycl</f>
        <v>2.9192537914332666E-2</v>
      </c>
      <c r="P43" s="169">
        <f>(INDEX(Models!$BJ43:$BT43,,T43)*(1-R43)+INDEX(Models!$BJ43:$BT43,,T43+1)*R43-ERP_i)*Q43*Ramure*Pc/MaxiM</f>
        <v>4.5908801614800537E-4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31.452491534320473</v>
      </c>
      <c r="W43" s="58"/>
      <c r="X43" s="157">
        <f t="shared" si="9"/>
        <v>43859</v>
      </c>
      <c r="Y43" s="383">
        <f t="shared" si="10"/>
        <v>19.056000000000001</v>
      </c>
      <c r="Z43" s="383">
        <f t="shared" si="11"/>
        <v>19.19454963958098</v>
      </c>
      <c r="AA43" s="384">
        <f t="shared" si="12"/>
        <v>19.771736816220709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2.9192537914332666E-2</v>
      </c>
      <c r="AD43" s="230">
        <f>(INDEX(Models!$BJ43:$BT43,,AH43)*(1-AF43)+INDEX(Models!$BJ43:$BT43,,AH43+1)*AF43-ERP_i)*AE43*Ramure*Pc/MaxiM</f>
        <v>4.5908801614800537E-4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11.372999999999999</v>
      </c>
      <c r="C44" s="388"/>
      <c r="D44" s="391">
        <f t="shared" si="0"/>
        <v>11.455908731812391</v>
      </c>
      <c r="E44" s="383">
        <f t="shared" si="1"/>
        <v>11.801177818533802</v>
      </c>
      <c r="F44" s="383">
        <f t="shared" si="2"/>
        <v>11.80160840972839</v>
      </c>
      <c r="G44" s="110">
        <f t="shared" si="23"/>
        <v>0.35744074639052992</v>
      </c>
      <c r="H44" s="412" t="b">
        <f>Wh_hp&gt;='2019'!Maxi_hp</f>
        <v>1</v>
      </c>
      <c r="I44" s="388">
        <f>IF(H44,Wh_hp,'2019'!Maxi_hp)</f>
        <v>11.80160840972839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7.2372025435362142E-3</v>
      </c>
      <c r="M44" s="832"/>
      <c r="N44" s="832"/>
      <c r="O44" s="48">
        <f>IF(t&lt;Tnet,'2019'!Resal+('2019'!Salim-'2019'!Resal)*(1-EXP(('2019'!Tnet-t)/('2019'!Tau_j))),Resal+(Salim-Resal)*(1-EXP((Tnet-t)/(Tau_j))))*Salcycl</f>
        <v>2.9257171786629888E-2</v>
      </c>
      <c r="P44" s="169">
        <f>(INDEX(Models!$BJ44:$BT44,,T44)*(1-R44)+INDEX(Models!$BJ44:$BT44,,T44+1)*R44-ERP_i)*Q44*Ramure*Pc/MaxiM</f>
        <v>4.4350939674029331E-4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31.804909951087573</v>
      </c>
      <c r="W44" s="58"/>
      <c r="X44" s="157">
        <f t="shared" si="9"/>
        <v>43860</v>
      </c>
      <c r="Y44" s="383">
        <f t="shared" si="10"/>
        <v>11.372999999999999</v>
      </c>
      <c r="Z44" s="383">
        <f t="shared" si="11"/>
        <v>11.455908731812391</v>
      </c>
      <c r="AA44" s="384">
        <f t="shared" si="12"/>
        <v>11.801177818533802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2.9257171786629888E-2</v>
      </c>
      <c r="AD44" s="230">
        <f>(INDEX(Models!$BJ44:$BT44,,AH44)*(1-AF44)+INDEX(Models!$BJ44:$BT44,,AH44+1)*AF44-ERP_i)*AE44*Ramure*Pc/MaxiM</f>
        <v>4.4350939674029331E-4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22.277999999999999</v>
      </c>
      <c r="C45" s="388"/>
      <c r="D45" s="391">
        <f t="shared" si="0"/>
        <v>22.440835835155447</v>
      </c>
      <c r="E45" s="383">
        <f t="shared" si="1"/>
        <v>23.118718074690708</v>
      </c>
      <c r="F45" s="383">
        <f t="shared" si="2"/>
        <v>23.12427848668732</v>
      </c>
      <c r="G45" s="110">
        <f t="shared" si="23"/>
        <v>0.69260400438004943</v>
      </c>
      <c r="H45" s="412" t="b">
        <f>Wh_hp&gt;='2019'!Maxi_hp</f>
        <v>1</v>
      </c>
      <c r="I45" s="388">
        <f>IF(H45,Wh_hp,'2019'!Maxi_hp)</f>
        <v>23.12427848668732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7.2562286160638978E-3</v>
      </c>
      <c r="M45" s="832"/>
      <c r="N45" s="832"/>
      <c r="O45" s="48">
        <f>IF(t&lt;Tnet,'2019'!Resal+('2019'!Salim-'2019'!Resal)*(1-EXP(('2019'!Tnet-t)/('2019'!Tau_j))),Resal+(Salim-Resal)*(1-EXP((Tnet-t)/(Tau_j))))*Salcycl</f>
        <v>2.9321791863424113E-2</v>
      </c>
      <c r="P45" s="169">
        <f>(INDEX(Models!$BJ45:$BT45,,T45)*(1-R45)+INDEX(Models!$BJ45:$BT45,,T45+1)*R45-ERP_i)*Q45*Ramure*Pc/MaxiM</f>
        <v>4.2858594356508315E-4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32.159513562200615</v>
      </c>
      <c r="W45" s="58"/>
      <c r="X45" s="157">
        <f t="shared" si="9"/>
        <v>43861</v>
      </c>
      <c r="Y45" s="383">
        <f t="shared" si="10"/>
        <v>22.277999999999999</v>
      </c>
      <c r="Z45" s="383">
        <f t="shared" si="11"/>
        <v>22.440835835155447</v>
      </c>
      <c r="AA45" s="384">
        <f t="shared" si="12"/>
        <v>23.118718074690708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2.9321791863424113E-2</v>
      </c>
      <c r="AD45" s="230">
        <f>(INDEX(Models!$BJ45:$BT45,,AH45)*(1-AF45)+INDEX(Models!$BJ45:$BT45,,AH45+1)*AF45-ERP_i)*AE45*Ramure*Pc/MaxiM</f>
        <v>4.2858594356508315E-4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11.956</v>
      </c>
      <c r="C46" s="388"/>
      <c r="D46" s="391">
        <f t="shared" si="0"/>
        <v>12.043620401401443</v>
      </c>
      <c r="E46" s="383">
        <f t="shared" si="1"/>
        <v>12.408254294278326</v>
      </c>
      <c r="F46" s="383">
        <f t="shared" si="2"/>
        <v>12.408751534589424</v>
      </c>
      <c r="G46" s="110">
        <f t="shared" si="23"/>
        <v>0.36756564012456916</v>
      </c>
      <c r="H46" s="412" t="b">
        <f>Wh_hp&gt;='2019'!Maxi_hp</f>
        <v>1</v>
      </c>
      <c r="I46" s="388">
        <f>IF(H46,Wh_hp,'2019'!Maxi_hp)</f>
        <v>12.408751534589424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7.2752543239612555E-3</v>
      </c>
      <c r="M46" s="832"/>
      <c r="N46" s="832"/>
      <c r="O46" s="48">
        <f>IF(t&lt;Tnet,'2019'!Resal+('2019'!Salim-'2019'!Resal)*(1-EXP(('2019'!Tnet-t)/('2019'!Tau_j))),Resal+(Salim-Resal)*(1-EXP((Tnet-t)/(Tau_j))))*Salcycl</f>
        <v>2.9386397492274313E-2</v>
      </c>
      <c r="P46" s="169">
        <f>(INDEX(Models!$BJ46:$BT46,,T46)*(1-R46)+INDEX(Models!$BJ46:$BT46,,T46+1)*R46-ERP_i)*Q46*Ramure*Pc/MaxiM</f>
        <v>4.1431125728834216E-4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32.515349935920547</v>
      </c>
      <c r="W46" s="58"/>
      <c r="X46" s="157">
        <f t="shared" si="9"/>
        <v>43862</v>
      </c>
      <c r="Y46" s="383">
        <f t="shared" si="10"/>
        <v>11.956</v>
      </c>
      <c r="Z46" s="383">
        <f t="shared" si="11"/>
        <v>12.043620401401443</v>
      </c>
      <c r="AA46" s="384">
        <f t="shared" si="12"/>
        <v>12.408254294278326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2.9386397492274313E-2</v>
      </c>
      <c r="AD46" s="230">
        <f>(INDEX(Models!$BJ46:$BT46,,AH46)*(1-AF46)+INDEX(Models!$BJ46:$BT46,,AH46+1)*AF46-ERP_i)*AE46*Ramure*Pc/MaxiM</f>
        <v>4.1431125728834216E-4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28.681999999999999</v>
      </c>
      <c r="C47" s="388"/>
      <c r="D47" s="391">
        <f t="shared" si="0"/>
        <v>28.892751812073278</v>
      </c>
      <c r="E47" s="383">
        <f t="shared" si="1"/>
        <v>29.76949277752821</v>
      </c>
      <c r="F47" s="383">
        <f t="shared" si="2"/>
        <v>29.779252196304661</v>
      </c>
      <c r="G47" s="110">
        <f t="shared" si="23"/>
        <v>0.87248637006037688</v>
      </c>
      <c r="H47" s="412" t="b">
        <f>Wh_hp&gt;='2019'!Maxi_hp</f>
        <v>1</v>
      </c>
      <c r="I47" s="388">
        <f>IF(H47,Wh_hp,'2019'!Maxi_hp)</f>
        <v>29.779252196304661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7.2942796672351706E-3</v>
      </c>
      <c r="M47" s="832"/>
      <c r="N47" s="832"/>
      <c r="O47" s="48">
        <f>IF(t&lt;Tnet,'2019'!Resal+('2019'!Salim-'2019'!Resal)*(1-EXP(('2019'!Tnet-t)/('2019'!Tau_j))),Resal+(Salim-Resal)*(1-EXP((Tnet-t)/(Tau_j))))*Salcycl</f>
        <v>2.9450987694246158E-2</v>
      </c>
      <c r="P47" s="169">
        <f>(INDEX(Models!$BJ47:$BT47,,T47)*(1-R47)+INDEX(Models!$BJ47:$BT47,,T47+1)*R47-ERP_i)*Q47*Ramure*Pc/MaxiM</f>
        <v>4.0067731334515088E-4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32.871466985396182</v>
      </c>
      <c r="W47" s="58"/>
      <c r="X47" s="157">
        <f t="shared" si="9"/>
        <v>43863</v>
      </c>
      <c r="Y47" s="383">
        <f t="shared" si="10"/>
        <v>28.681999999999999</v>
      </c>
      <c r="Z47" s="383">
        <f t="shared" si="11"/>
        <v>28.892751812073278</v>
      </c>
      <c r="AA47" s="384">
        <f t="shared" si="12"/>
        <v>29.76949277752821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2.9450987694246158E-2</v>
      </c>
      <c r="AD47" s="230">
        <f>(INDEX(Models!$BJ47:$BT47,,AH47)*(1-AF47)+INDEX(Models!$BJ47:$BT47,,AH47+1)*AF47-ERP_i)*AE47*Ramure*Pc/MaxiM</f>
        <v>4.0067731334515088E-4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26.571000000000002</v>
      </c>
      <c r="C48" s="388"/>
      <c r="D48" s="391">
        <f t="shared" si="0"/>
        <v>26.766753422157734</v>
      </c>
      <c r="E48" s="383">
        <f t="shared" si="1"/>
        <v>27.580816704673769</v>
      </c>
      <c r="F48" s="383">
        <f t="shared" si="2"/>
        <v>27.588451395254136</v>
      </c>
      <c r="G48" s="110">
        <f t="shared" si="23"/>
        <v>0.79959433594381812</v>
      </c>
      <c r="H48" s="412" t="b">
        <f>Wh_hp&gt;='2019'!Maxi_hp</f>
        <v>1</v>
      </c>
      <c r="I48" s="388">
        <f>IF(H48,Wh_hp,'2019'!Maxi_hp)</f>
        <v>27.588451395254136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7.3133046458927486E-3</v>
      </c>
      <c r="M48" s="832"/>
      <c r="N48" s="832"/>
      <c r="O48" s="48">
        <f>IF(t&lt;Tnet,'2019'!Resal+('2019'!Salim-'2019'!Resal)*(1-EXP(('2019'!Tnet-t)/('2019'!Tau_j))),Resal+(Salim-Resal)*(1-EXP((Tnet-t)/(Tau_j))))*Salcycl</f>
        <v>2.9515561168211694E-2</v>
      </c>
      <c r="P48" s="169">
        <f>(INDEX(Models!$BJ48:$BT48,,T48)*(1-R48)+INDEX(Models!$BJ48:$BT48,,T48+1)*R48-ERP_i)*Q48*Ramure*Pc/MaxiM</f>
        <v>3.8767475052589991E-4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33.226912960826091</v>
      </c>
      <c r="W48" s="58"/>
      <c r="X48" s="157">
        <f t="shared" si="9"/>
        <v>43864</v>
      </c>
      <c r="Y48" s="383">
        <f t="shared" si="10"/>
        <v>26.571000000000002</v>
      </c>
      <c r="Z48" s="383">
        <f t="shared" si="11"/>
        <v>26.766753422157734</v>
      </c>
      <c r="AA48" s="384">
        <f t="shared" si="12"/>
        <v>27.580816704673769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2.9515561168211694E-2</v>
      </c>
      <c r="AD48" s="230">
        <f>(INDEX(Models!$BJ48:$BT48,,AH48)*(1-AF48)+INDEX(Models!$BJ48:$BT48,,AH48+1)*AF48-ERP_i)*AE48*Ramure*Pc/MaxiM</f>
        <v>3.8767475052589991E-4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18.635000000000002</v>
      </c>
      <c r="C49" s="388"/>
      <c r="D49" s="391">
        <f t="shared" si="0"/>
        <v>18.772647230575298</v>
      </c>
      <c r="E49" s="383">
        <f t="shared" si="1"/>
        <v>19.344870757397331</v>
      </c>
      <c r="F49" s="383">
        <f t="shared" si="2"/>
        <v>19.347515119040757</v>
      </c>
      <c r="G49" s="110">
        <f t="shared" si="23"/>
        <v>0.5547988147144951</v>
      </c>
      <c r="H49" s="412" t="b">
        <f>Wh_hp&gt;='2019'!Maxi_hp</f>
        <v>1</v>
      </c>
      <c r="I49" s="388">
        <f>IF(H49,Wh_hp,'2019'!Maxi_hp)</f>
        <v>19.347515119040757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7.3323292599409839E-3</v>
      </c>
      <c r="M49" s="832"/>
      <c r="N49" s="832"/>
      <c r="O49" s="48">
        <f>IF(t&lt;Tnet,'2019'!Resal+('2019'!Salim-'2019'!Resal)*(1-EXP(('2019'!Tnet-t)/('2019'!Tau_j))),Resal+(Salim-Resal)*(1-EXP((Tnet-t)/(Tau_j))))*Salcycl</f>
        <v>2.9580116300504059E-2</v>
      </c>
      <c r="P49" s="169">
        <f>(INDEX(Models!$BJ49:$BT49,,T49)*(1-R49)+INDEX(Models!$BJ49:$BT49,,T49+1)*R49-ERP_i)*Q49*Ramure*Pc/MaxiM</f>
        <v>3.7529313635611684E-4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33.580736453672174</v>
      </c>
      <c r="W49" s="58"/>
      <c r="X49" s="157">
        <f t="shared" si="9"/>
        <v>43865</v>
      </c>
      <c r="Y49" s="383">
        <f t="shared" si="10"/>
        <v>18.635000000000002</v>
      </c>
      <c r="Z49" s="383">
        <f t="shared" si="11"/>
        <v>18.772647230575298</v>
      </c>
      <c r="AA49" s="384">
        <f t="shared" si="12"/>
        <v>19.344870757397331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2.9580116300504059E-2</v>
      </c>
      <c r="AD49" s="230">
        <f>(INDEX(Models!$BJ49:$BT49,,AH49)*(1-AF49)+INDEX(Models!$BJ49:$BT49,,AH49+1)*AF49-ERP_i)*AE49*Ramure*Pc/MaxiM</f>
        <v>3.7529313635611684E-4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34.356999999999999</v>
      </c>
      <c r="C50" s="388"/>
      <c r="D50" s="391">
        <f t="shared" si="0"/>
        <v>34.611440937803053</v>
      </c>
      <c r="E50" s="383">
        <f t="shared" si="1"/>
        <v>35.668830990506336</v>
      </c>
      <c r="F50" s="383">
        <f t="shared" si="2"/>
        <v>35.681802082367859</v>
      </c>
      <c r="G50" s="110">
        <f t="shared" si="23"/>
        <v>1.0125254560803041</v>
      </c>
      <c r="H50" s="412" t="b">
        <f>Wh_hp&gt;='2019'!Maxi_hp</f>
        <v>1</v>
      </c>
      <c r="I50" s="388">
        <f>IF(H50,Wh_hp,'2019'!Maxi_hp)</f>
        <v>35.681802082367859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7.3513535093868709E-3</v>
      </c>
      <c r="M50" s="832"/>
      <c r="N50" s="832"/>
      <c r="O50" s="48">
        <f>IF(t&lt;Tnet,'2019'!Resal+('2019'!Salim-'2019'!Resal)*(1-EXP(('2019'!Tnet-t)/('2019'!Tau_j))),Resal+(Salim-Resal)*(1-EXP((Tnet-t)/(Tau_j))))*Salcycl</f>
        <v>2.9644651179757484E-2</v>
      </c>
      <c r="P50" s="169">
        <f>(INDEX(Models!$BJ50:$BT50,,T50)*(1-R50)+INDEX(Models!$BJ50:$BT50,,T50+1)*R50-ERP_i)*Q50*Ramure*Pc/MaxiM</f>
        <v>3.6352120981949333E-4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33.931986394695755</v>
      </c>
      <c r="W50" s="58"/>
      <c r="X50" s="157">
        <f t="shared" si="9"/>
        <v>43866</v>
      </c>
      <c r="Y50" s="383">
        <f t="shared" si="10"/>
        <v>34.356999999999999</v>
      </c>
      <c r="Z50" s="383">
        <f t="shared" si="11"/>
        <v>34.611440937803053</v>
      </c>
      <c r="AA50" s="384">
        <f t="shared" si="12"/>
        <v>35.668830990506336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2.9644651179757484E-2</v>
      </c>
      <c r="AD50" s="230">
        <f>(INDEX(Models!$BJ50:$BT50,,AH50)*(1-AF50)+INDEX(Models!$BJ50:$BT50,,AH50+1)*AF50-ERP_i)*AE50*Ramure*Pc/MaxiM</f>
        <v>3.6352120981949333E-4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35.697000000000003</v>
      </c>
      <c r="C51" s="388"/>
      <c r="D51" s="391">
        <f t="shared" si="0"/>
        <v>35.962053909182586</v>
      </c>
      <c r="E51" s="383">
        <f t="shared" si="1"/>
        <v>37.063169681401249</v>
      </c>
      <c r="F51" s="383">
        <f t="shared" si="2"/>
        <v>37.076232391062831</v>
      </c>
      <c r="G51" s="110">
        <f t="shared" si="23"/>
        <v>1.041265590460617</v>
      </c>
      <c r="H51" s="412" t="b">
        <f>Wh_hp&gt;='2019'!Maxi_hp</f>
        <v>1</v>
      </c>
      <c r="I51" s="388">
        <f>IF(H51,Wh_hp,'2019'!Maxi_hp)</f>
        <v>37.076232391062831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7.370377394237293E-3</v>
      </c>
      <c r="M51" s="832"/>
      <c r="N51" s="832"/>
      <c r="O51" s="48">
        <f>IF(t&lt;Tnet,'2019'!Resal+('2019'!Salim-'2019'!Resal)*(1-EXP(('2019'!Tnet-t)/('2019'!Tau_j))),Resal+(Salim-Resal)*(1-EXP((Tnet-t)/(Tau_j))))*Salcycl</f>
        <v>2.9709163616710756E-2</v>
      </c>
      <c r="P51" s="169">
        <f>(INDEX(Models!$BJ51:$BT51,,T51)*(1-R51)+INDEX(Models!$BJ51:$BT51,,T51+1)*R51-ERP_i)*Q51*Ramure*Pc/MaxiM</f>
        <v>3.5232030924293051E-4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34.282319829861066</v>
      </c>
      <c r="W51" s="58"/>
      <c r="X51" s="157">
        <f t="shared" si="9"/>
        <v>43867</v>
      </c>
      <c r="Y51" s="383">
        <f t="shared" si="10"/>
        <v>35.697000000000003</v>
      </c>
      <c r="Z51" s="383">
        <f t="shared" si="11"/>
        <v>35.962053909182586</v>
      </c>
      <c r="AA51" s="384">
        <f t="shared" si="12"/>
        <v>37.063169681401249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2.9709163616710756E-2</v>
      </c>
      <c r="AD51" s="230">
        <f>(INDEX(Models!$BJ51:$BT51,,AH51)*(1-AF51)+INDEX(Models!$BJ51:$BT51,,AH51+1)*AF51-ERP_i)*AE51*Ramure*Pc/MaxiM</f>
        <v>3.5232030924293051E-4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23.544</v>
      </c>
      <c r="C52" s="388"/>
      <c r="D52" s="391">
        <f t="shared" si="0"/>
        <v>23.719271204328525</v>
      </c>
      <c r="E52" s="383">
        <f t="shared" si="1"/>
        <v>24.447152185569919</v>
      </c>
      <c r="F52" s="383">
        <f t="shared" si="2"/>
        <v>24.451684563184926</v>
      </c>
      <c r="G52" s="110">
        <f t="shared" si="23"/>
        <v>0.679689000196949</v>
      </c>
      <c r="H52" s="412" t="b">
        <f>Wh_hp&gt;='2019'!Maxi_hp</f>
        <v>1</v>
      </c>
      <c r="I52" s="388">
        <f>IF(H52,Wh_hp,'2019'!Maxi_hp)</f>
        <v>24.451684563184926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7.3894009144993555E-3</v>
      </c>
      <c r="M52" s="832"/>
      <c r="N52" s="832"/>
      <c r="O52" s="48">
        <f>IF(t&lt;Tnet,'2019'!Resal+('2019'!Salim-'2019'!Resal)*(1-EXP(('2019'!Tnet-t)/('2019'!Tau_j))),Resal+(Salim-Resal)*(1-EXP((Tnet-t)/(Tau_j))))*Salcycl</f>
        <v>2.9773651168704653E-2</v>
      </c>
      <c r="P52" s="169">
        <f>(INDEX(Models!$BJ52:$BT52,,T52)*(1-R52)+INDEX(Models!$BJ52:$BT52,,T52+1)*R52-ERP_i)*Q52*Ramure*Pc/MaxiM</f>
        <v>3.4163771247255746E-4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34.633957473851403</v>
      </c>
      <c r="W52" s="58"/>
      <c r="X52" s="157">
        <f t="shared" si="9"/>
        <v>43868</v>
      </c>
      <c r="Y52" s="383">
        <f t="shared" si="10"/>
        <v>23.544</v>
      </c>
      <c r="Z52" s="383">
        <f t="shared" si="11"/>
        <v>23.719271204328525</v>
      </c>
      <c r="AA52" s="384">
        <f t="shared" si="12"/>
        <v>24.447152185569919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2.9773651168704653E-2</v>
      </c>
      <c r="AD52" s="230">
        <f>(INDEX(Models!$BJ52:$BT52,,AH52)*(1-AF52)+INDEX(Models!$BJ52:$BT52,,AH52+1)*AF52-ERP_i)*AE52*Ramure*Pc/MaxiM</f>
        <v>3.4163771247255746E-4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28.515000000000001</v>
      </c>
      <c r="C53" s="388"/>
      <c r="D53" s="391">
        <f t="shared" si="0"/>
        <v>28.727827931934936</v>
      </c>
      <c r="E53" s="383">
        <f t="shared" si="1"/>
        <v>29.611375444295767</v>
      </c>
      <c r="F53" s="383">
        <f t="shared" si="2"/>
        <v>29.618593127205017</v>
      </c>
      <c r="G53" s="110">
        <f t="shared" si="23"/>
        <v>0.81495026522283853</v>
      </c>
      <c r="H53" s="412" t="b">
        <f>Wh_hp&gt;='2019'!Maxi_hp</f>
        <v>1</v>
      </c>
      <c r="I53" s="388">
        <f>IF(H53,Wh_hp,'2019'!Maxi_hp)</f>
        <v>29.618593127205017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7.408424070179942E-3</v>
      </c>
      <c r="M53" s="832"/>
      <c r="N53" s="832"/>
      <c r="O53" s="48">
        <f>IF(t&lt;Tnet,'2019'!Resal+('2019'!Salim-'2019'!Resal)*(1-EXP(('2019'!Tnet-t)/('2019'!Tau_j))),Resal+(Salim-Resal)*(1-EXP((Tnet-t)/(Tau_j))))*Salcycl</f>
        <v>2.9838111168558824E-2</v>
      </c>
      <c r="P53" s="169">
        <f>(INDEX(Models!$BJ53:$BT53,,T53)*(1-R53)+INDEX(Models!$BJ53:$BT53,,T53+1)*R53-ERP_i)*Q53*Ramure*Pc/MaxiM</f>
        <v>3.3121191733755058E-4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34.986802080532158</v>
      </c>
      <c r="W53" s="58"/>
      <c r="X53" s="157">
        <f t="shared" si="9"/>
        <v>43869</v>
      </c>
      <c r="Y53" s="383">
        <f t="shared" si="10"/>
        <v>28.515000000000001</v>
      </c>
      <c r="Z53" s="383">
        <f t="shared" si="11"/>
        <v>28.727827931934936</v>
      </c>
      <c r="AA53" s="384">
        <f t="shared" si="12"/>
        <v>29.611375444295767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2.9838111168558824E-2</v>
      </c>
      <c r="AD53" s="230">
        <f>(INDEX(Models!$BJ53:$BT53,,AH53)*(1-AF53)+INDEX(Models!$BJ53:$BT53,,AH53+1)*AF53-ERP_i)*AE53*Ramure*Pc/MaxiM</f>
        <v>3.3121191733755058E-4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29.129000000000001</v>
      </c>
      <c r="C54" s="388"/>
      <c r="D54" s="391">
        <f t="shared" si="0"/>
        <v>29.346973083114428</v>
      </c>
      <c r="E54" s="383">
        <f t="shared" si="1"/>
        <v>30.251571946213701</v>
      </c>
      <c r="F54" s="383">
        <f t="shared" si="2"/>
        <v>30.258846944858497</v>
      </c>
      <c r="G54" s="110">
        <f t="shared" si="23"/>
        <v>0.82416624250162418</v>
      </c>
      <c r="H54" s="412" t="b">
        <f>Wh_hp&gt;='2019'!Maxi_hp</f>
        <v>1</v>
      </c>
      <c r="I54" s="388">
        <f>IF(H54,Wh_hp,'2019'!Maxi_hp)</f>
        <v>30.258846944858497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7.4274468612861577E-3</v>
      </c>
      <c r="M54" s="832"/>
      <c r="N54" s="832"/>
      <c r="O54" s="48">
        <f>IF(t&lt;Tnet,'2019'!Resal+('2019'!Salim-'2019'!Resal)*(1-EXP(('2019'!Tnet-t)/('2019'!Tau_j))),Resal+(Salim-Resal)*(1-EXP((Tnet-t)/(Tau_j))))*Salcycl</f>
        <v>2.9902540757472836E-2</v>
      </c>
      <c r="P54" s="169">
        <f>(INDEX(Models!$BJ54:$BT54,,T54)*(1-R54)+INDEX(Models!$BJ54:$BT54,,T54+1)*R54-ERP_i)*Q54*Ramure*Pc/MaxiM</f>
        <v>3.2103654595661945E-4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35.340747793769552</v>
      </c>
      <c r="W54" s="58"/>
      <c r="X54" s="157">
        <f t="shared" si="9"/>
        <v>43870</v>
      </c>
      <c r="Y54" s="383">
        <f t="shared" si="10"/>
        <v>29.129000000000001</v>
      </c>
      <c r="Z54" s="383">
        <f t="shared" si="11"/>
        <v>29.346973083114428</v>
      </c>
      <c r="AA54" s="384">
        <f t="shared" si="12"/>
        <v>30.251571946213701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2.9902540757472836E-2</v>
      </c>
      <c r="AD54" s="230">
        <f>(INDEX(Models!$BJ54:$BT54,,AH54)*(1-AF54)+INDEX(Models!$BJ54:$BT54,,AH54+1)*AF54-ERP_i)*AE54*Ramure*Pc/MaxiM</f>
        <v>3.2103654595661945E-4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9.157</v>
      </c>
      <c r="C55" s="388"/>
      <c r="D55" s="391">
        <f t="shared" si="0"/>
        <v>9.225698883393914</v>
      </c>
      <c r="E55" s="383">
        <f t="shared" si="1"/>
        <v>9.5107055981326898</v>
      </c>
      <c r="F55" s="383">
        <f t="shared" si="2"/>
        <v>9.5107055981326898</v>
      </c>
      <c r="G55" s="110">
        <f t="shared" si="23"/>
        <v>0.25644977070233993</v>
      </c>
      <c r="H55" s="412" t="b">
        <f>Wh_hp&gt;='2019'!Maxi_hp</f>
        <v>1</v>
      </c>
      <c r="I55" s="388">
        <f>IF(H55,Wh_hp,'2019'!Maxi_hp)</f>
        <v>9.5107055981326898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7.4464692878248862E-3</v>
      </c>
      <c r="M55" s="832"/>
      <c r="N55" s="832"/>
      <c r="O55" s="48">
        <f>IF(t&lt;Tnet,'2019'!Resal+('2019'!Salim-'2019'!Resal)*(1-EXP(('2019'!Tnet-t)/('2019'!Tau_j))),Resal+(Salim-Resal)*(1-EXP((Tnet-t)/(Tau_j))))*Salcycl</f>
        <v>2.996693692156057E-2</v>
      </c>
      <c r="P55" s="169">
        <f>(INDEX(Models!$BJ55:$BT55,,T55)*(1-R55)+INDEX(Models!$BJ55:$BT55,,T55+1)*R55-ERP_i)*Q55*Ramure*Pc/MaxiM</f>
        <v>3.1110529006724832E-4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35.695688804042788</v>
      </c>
      <c r="W55" s="58"/>
      <c r="X55" s="157">
        <f t="shared" si="9"/>
        <v>43871</v>
      </c>
      <c r="Y55" s="383">
        <f t="shared" si="10"/>
        <v>9.157</v>
      </c>
      <c r="Z55" s="383">
        <f t="shared" si="11"/>
        <v>9.225698883393914</v>
      </c>
      <c r="AA55" s="384">
        <f t="shared" si="12"/>
        <v>9.5107055981326898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2.996693692156057E-2</v>
      </c>
      <c r="AD55" s="230">
        <f>(INDEX(Models!$BJ55:$BT55,,AH55)*(1-AF55)+INDEX(Models!$BJ55:$BT55,,AH55+1)*AF55-ERP_i)*AE55*Ramure*Pc/MaxiM</f>
        <v>3.1110529006724832E-4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8.4220000000000006</v>
      </c>
      <c r="C56" s="388"/>
      <c r="D56" s="391">
        <f t="shared" si="0"/>
        <v>8.4853472867694535</v>
      </c>
      <c r="E56" s="383">
        <f t="shared" si="1"/>
        <v>8.7480629595858375</v>
      </c>
      <c r="F56" s="383">
        <f t="shared" si="2"/>
        <v>8.7480629595858375</v>
      </c>
      <c r="G56" s="110">
        <f t="shared" si="23"/>
        <v>0.2335397137532193</v>
      </c>
      <c r="H56" s="412" t="b">
        <f>Wh_hp&gt;='2019'!Maxi_hp</f>
        <v>1</v>
      </c>
      <c r="I56" s="388">
        <f>IF(H56,Wh_hp,'2019'!Maxi_hp)</f>
        <v>8.7480629595858375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7.4654913498031217E-3</v>
      </c>
      <c r="M56" s="832"/>
      <c r="N56" s="832"/>
      <c r="O56" s="48">
        <f>IF(t&lt;Tnet,'2019'!Resal+('2019'!Salim-'2019'!Resal)*(1-EXP(('2019'!Tnet-t)/('2019'!Tau_j))),Resal+(Salim-Resal)*(1-EXP((Tnet-t)/(Tau_j))))*Salcycl</f>
        <v>3.0031296531594968E-2</v>
      </c>
      <c r="P56" s="169">
        <f>(INDEX(Models!$BJ56:$BT56,,T56)*(1-R56)+INDEX(Models!$BJ56:$BT56,,T56+1)*R56-ERP_i)*Q56*Ramure*Pc/MaxiM</f>
        <v>3.0141192635839057E-4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36.05151934738187</v>
      </c>
      <c r="W56" s="58"/>
      <c r="X56" s="157">
        <f t="shared" si="9"/>
        <v>43872</v>
      </c>
      <c r="Y56" s="383">
        <f t="shared" si="10"/>
        <v>8.4220000000000006</v>
      </c>
      <c r="Z56" s="383">
        <f t="shared" si="11"/>
        <v>8.4853472867694535</v>
      </c>
      <c r="AA56" s="384">
        <f t="shared" si="12"/>
        <v>8.7480629595858375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3.0031296531594968E-2</v>
      </c>
      <c r="AD56" s="230">
        <f>(INDEX(Models!$BJ56:$BT56,,AH56)*(1-AF56)+INDEX(Models!$BJ56:$BT56,,AH56+1)*AF56-ERP_i)*AE56*Ramure*Pc/MaxiM</f>
        <v>3.0141192635839057E-4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20.038</v>
      </c>
      <c r="C57" s="388"/>
      <c r="D57" s="391">
        <f t="shared" si="0"/>
        <v>20.189105624458119</v>
      </c>
      <c r="E57" s="383">
        <f t="shared" si="1"/>
        <v>20.81556281787341</v>
      </c>
      <c r="F57" s="383">
        <f t="shared" si="2"/>
        <v>20.817736666864409</v>
      </c>
      <c r="G57" s="110">
        <f t="shared" si="23"/>
        <v>0.55026830259131687</v>
      </c>
      <c r="H57" s="412" t="b">
        <f>Wh_hp&gt;='2019'!Maxi_hp</f>
        <v>1</v>
      </c>
      <c r="I57" s="388">
        <f>IF(H57,Wh_hp,'2019'!Maxi_hp)</f>
        <v>20.817736666864409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7.4845130472278587E-3</v>
      </c>
      <c r="M57" s="832"/>
      <c r="N57" s="832"/>
      <c r="O57" s="48">
        <f>IF(t&lt;Tnet,'2019'!Resal+('2019'!Salim-'2019'!Resal)*(1-EXP(('2019'!Tnet-t)/('2019'!Tau_j))),Resal+(Salim-Resal)*(1-EXP((Tnet-t)/(Tau_j))))*Salcycl</f>
        <v>3.0095616385514206E-2</v>
      </c>
      <c r="P57" s="169">
        <f>(INDEX(Models!$BJ57:$BT57,,T57)*(1-R57)+INDEX(Models!$BJ57:$BT57,,T57+1)*R57-ERP_i)*Q57*Ramure*Pc/MaxiM</f>
        <v>2.9195032971047856E-4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36.408133703369963</v>
      </c>
      <c r="W57" s="58"/>
      <c r="X57" s="157">
        <f t="shared" si="9"/>
        <v>43873</v>
      </c>
      <c r="Y57" s="383">
        <f t="shared" si="10"/>
        <v>20.038</v>
      </c>
      <c r="Z57" s="383">
        <f t="shared" si="11"/>
        <v>20.189105624458119</v>
      </c>
      <c r="AA57" s="384">
        <f t="shared" si="12"/>
        <v>20.81556281787341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3.0095616385514206E-2</v>
      </c>
      <c r="AD57" s="230">
        <f>(INDEX(Models!$BJ57:$BT57,,AH57)*(1-AF57)+INDEX(Models!$BJ57:$BT57,,AH57+1)*AF57-ERP_i)*AE57*Ramure*Pc/MaxiM</f>
        <v>2.9195032971047856E-4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16.951000000000001</v>
      </c>
      <c r="C58" s="388"/>
      <c r="D58" s="391">
        <f t="shared" si="0"/>
        <v>17.079154019367451</v>
      </c>
      <c r="E58" s="383">
        <f t="shared" si="1"/>
        <v>17.61027812786331</v>
      </c>
      <c r="F58" s="383">
        <f t="shared" si="2"/>
        <v>17.611423187384954</v>
      </c>
      <c r="G58" s="110">
        <f t="shared" si="23"/>
        <v>0.46095778947456056</v>
      </c>
      <c r="H58" s="412" t="b">
        <f>Wh_hp&gt;='2019'!Maxi_hp</f>
        <v>1</v>
      </c>
      <c r="I58" s="388">
        <f>IF(H58,Wh_hp,'2019'!Maxi_hp)</f>
        <v>17.611423187384954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7.5035343801060916E-3</v>
      </c>
      <c r="M58" s="832"/>
      <c r="N58" s="832"/>
      <c r="O58" s="48">
        <f>IF(t&lt;Tnet,'2019'!Resal+('2019'!Salim-'2019'!Resal)*(1-EXP(('2019'!Tnet-t)/('2019'!Tau_j))),Resal+(Salim-Resal)*(1-EXP((Tnet-t)/(Tau_j))))*Salcycl</f>
        <v>3.0159893253219234E-2</v>
      </c>
      <c r="P58" s="169">
        <f>(INDEX(Models!$BJ58:$BT58,,T58)*(1-R58)+INDEX(Models!$BJ58:$BT58,,T58+1)*R58-ERP_i)*Q58*Ramure*Pc/MaxiM</f>
        <v>2.8258497008302455E-4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36.765430955871508</v>
      </c>
      <c r="W58" s="58"/>
      <c r="X58" s="157">
        <f t="shared" si="9"/>
        <v>43874</v>
      </c>
      <c r="Y58" s="383">
        <f t="shared" si="10"/>
        <v>16.951000000000001</v>
      </c>
      <c r="Z58" s="383">
        <f t="shared" si="11"/>
        <v>17.079154019367451</v>
      </c>
      <c r="AA58" s="384">
        <f t="shared" si="12"/>
        <v>17.61027812786331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3.0159893253219234E-2</v>
      </c>
      <c r="AD58" s="230">
        <f>(INDEX(Models!$BJ58:$BT58,,AH58)*(1-AF58)+INDEX(Models!$BJ58:$BT58,,AH58+1)*AF58-ERP_i)*AE58*Ramure*Pc/MaxiM</f>
        <v>2.8258497008302455E-4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30.757999999999999</v>
      </c>
      <c r="C59" s="388"/>
      <c r="D59" s="391">
        <f t="shared" si="0"/>
        <v>30.991132509614566</v>
      </c>
      <c r="E59" s="383">
        <f t="shared" si="1"/>
        <v>31.957004988603682</v>
      </c>
      <c r="F59" s="383">
        <f t="shared" si="2"/>
        <v>31.963599822298601</v>
      </c>
      <c r="G59" s="110">
        <f t="shared" si="23"/>
        <v>0.82848061874930357</v>
      </c>
      <c r="H59" s="412" t="b">
        <f>Wh_hp&gt;='2019'!Maxi_hp</f>
        <v>1</v>
      </c>
      <c r="I59" s="388">
        <f>IF(H59,Wh_hp,'2019'!Maxi_hp)</f>
        <v>31.963599822298601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7.5225553484449259E-3</v>
      </c>
      <c r="M59" s="832"/>
      <c r="N59" s="832"/>
      <c r="O59" s="48">
        <f>IF(t&lt;Tnet,'2019'!Resal+('2019'!Salim-'2019'!Resal)*(1-EXP(('2019'!Tnet-t)/('2019'!Tau_j))),Resal+(Salim-Resal)*(1-EXP((Tnet-t)/(Tau_j))))*Salcycl</f>
        <v>3.0224123923176169E-2</v>
      </c>
      <c r="P59" s="169">
        <f>(INDEX(Models!$BJ59:$BT59,,T59)*(1-R59)+INDEX(Models!$BJ59:$BT59,,T59+1)*R59-ERP_i)*Q59*Ramure*Pc/MaxiM</f>
        <v>2.7325716487016868E-4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37.123307565265428</v>
      </c>
      <c r="W59" s="58"/>
      <c r="X59" s="157">
        <f t="shared" si="9"/>
        <v>43875</v>
      </c>
      <c r="Y59" s="383">
        <f t="shared" si="10"/>
        <v>30.757999999999999</v>
      </c>
      <c r="Z59" s="383">
        <f t="shared" si="11"/>
        <v>30.991132509614566</v>
      </c>
      <c r="AA59" s="384">
        <f t="shared" si="12"/>
        <v>31.957004988603682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3.0224123923176169E-2</v>
      </c>
      <c r="AD59" s="230">
        <f>(INDEX(Models!$BJ59:$BT59,,AH59)*(1-AF59)+INDEX(Models!$BJ59:$BT59,,AH59+1)*AF59-ERP_i)*AE59*Ramure*Pc/MaxiM</f>
        <v>2.7325716487016868E-4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36.521000000000001</v>
      </c>
      <c r="C60" s="388"/>
      <c r="D60" s="391">
        <f t="shared" si="0"/>
        <v>36.798518824646415</v>
      </c>
      <c r="E60" s="383">
        <f t="shared" si="1"/>
        <v>37.947896291119612</v>
      </c>
      <c r="F60" s="383">
        <f t="shared" si="2"/>
        <v>37.957548920378891</v>
      </c>
      <c r="G60" s="110">
        <f t="shared" si="23"/>
        <v>0.97436049859415608</v>
      </c>
      <c r="H60" s="412" t="b">
        <f>Wh_hp&gt;='2019'!Maxi_hp</f>
        <v>1</v>
      </c>
      <c r="I60" s="388">
        <f>IF(H60,Wh_hp,'2019'!Maxi_hp)</f>
        <v>37.957548920378891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7.5415759522511339E-3</v>
      </c>
      <c r="M60" s="832"/>
      <c r="N60" s="832"/>
      <c r="O60" s="48">
        <f>IF(t&lt;Tnet,'2019'!Resal+('2019'!Salim-'2019'!Resal)*(1-EXP(('2019'!Tnet-t)/('2019'!Tau_j))),Resal+(Salim-Resal)*(1-EXP((Tnet-t)/(Tau_j))))*Salcycl</f>
        <v>3.0288305250327382E-2</v>
      </c>
      <c r="P60" s="169">
        <f>(INDEX(Models!$BJ60:$BT60,,T60)*(1-R60)+INDEX(Models!$BJ60:$BT60,,T60+1)*R60-ERP_i)*Q60*Ramure*Pc/MaxiM</f>
        <v>2.6396558962764869E-4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37.481657958783615</v>
      </c>
      <c r="W60" s="58"/>
      <c r="X60" s="157">
        <f t="shared" si="9"/>
        <v>43876</v>
      </c>
      <c r="Y60" s="383">
        <f t="shared" si="10"/>
        <v>36.521000000000001</v>
      </c>
      <c r="Z60" s="383">
        <f t="shared" si="11"/>
        <v>36.798518824646415</v>
      </c>
      <c r="AA60" s="384">
        <f t="shared" si="12"/>
        <v>37.947896291119612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3.0288305250327382E-2</v>
      </c>
      <c r="AD60" s="230">
        <f>(INDEX(Models!$BJ60:$BT60,,AH60)*(1-AF60)+INDEX(Models!$BJ60:$BT60,,AH60+1)*AF60-ERP_i)*AE60*Ramure*Pc/MaxiM</f>
        <v>2.6396558962764869E-4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21.6</v>
      </c>
      <c r="C61" s="388"/>
      <c r="D61" s="391">
        <f t="shared" si="0"/>
        <v>21.764552996495702</v>
      </c>
      <c r="E61" s="383">
        <f t="shared" si="1"/>
        <v>22.445838843154295</v>
      </c>
      <c r="F61" s="383">
        <f t="shared" si="2"/>
        <v>22.448050936605757</v>
      </c>
      <c r="G61" s="110">
        <f t="shared" si="23"/>
        <v>0.5707296919384941</v>
      </c>
      <c r="H61" s="412" t="b">
        <f>Wh_hp&gt;='2019'!Maxi_hp</f>
        <v>1</v>
      </c>
      <c r="I61" s="388">
        <f>IF(H61,Wh_hp,'2019'!Maxi_hp)</f>
        <v>22.448050936605757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7.560596191531932E-3</v>
      </c>
      <c r="M61" s="832"/>
      <c r="N61" s="832"/>
      <c r="O61" s="48">
        <f>IF(t&lt;Tnet,'2019'!Resal+('2019'!Salim-'2019'!Resal)*(1-EXP(('2019'!Tnet-t)/('2019'!Tau_j))),Resal+(Salim-Resal)*(1-EXP((Tnet-t)/(Tau_j))))*Salcycl</f>
        <v>3.0352434204809264E-2</v>
      </c>
      <c r="P61" s="169">
        <f>(INDEX(Models!$BJ61:$BT61,,T61)*(1-R61)+INDEX(Models!$BJ61:$BT61,,T61+1)*R61-ERP_i)*Q61*Ramure*Pc/MaxiM</f>
        <v>2.5470882490280831E-4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37.840376602351576</v>
      </c>
      <c r="W61" s="58"/>
      <c r="X61" s="157">
        <f t="shared" si="9"/>
        <v>43877</v>
      </c>
      <c r="Y61" s="383">
        <f t="shared" si="10"/>
        <v>21.6</v>
      </c>
      <c r="Z61" s="383">
        <f t="shared" si="11"/>
        <v>21.764552996495702</v>
      </c>
      <c r="AA61" s="384">
        <f t="shared" si="12"/>
        <v>22.445838843154295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3.0352434204809264E-2</v>
      </c>
      <c r="AD61" s="230">
        <f>(INDEX(Models!$BJ61:$BT61,,AH61)*(1-AF61)+INDEX(Models!$BJ61:$BT61,,AH61+1)*AF61-ERP_i)*AE61*Ramure*Pc/MaxiM</f>
        <v>2.5470882490280831E-4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5.7690000000000001</v>
      </c>
      <c r="C62" s="388"/>
      <c r="D62" s="391">
        <f t="shared" si="0"/>
        <v>5.8130607687975218</v>
      </c>
      <c r="E62" s="383">
        <f t="shared" si="1"/>
        <v>5.9954205246759074</v>
      </c>
      <c r="F62" s="383">
        <f t="shared" si="2"/>
        <v>5.9954205246759074</v>
      </c>
      <c r="G62" s="110">
        <f t="shared" si="23"/>
        <v>0.15098640650973319</v>
      </c>
      <c r="H62" s="412" t="b">
        <f>Wh_hp&gt;='2019'!Maxi_hp</f>
        <v>1</v>
      </c>
      <c r="I62" s="388">
        <f>IF(H62,Wh_hp,'2019'!Maxi_hp)</f>
        <v>5.9954205246759074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7.5796160662940926E-3</v>
      </c>
      <c r="M62" s="832"/>
      <c r="N62" s="832"/>
      <c r="O62" s="48">
        <f>IF(t&lt;Tnet,'2019'!Resal+('2019'!Salim-'2019'!Resal)*(1-EXP(('2019'!Tnet-t)/('2019'!Tau_j))),Resal+(Salim-Resal)*(1-EXP((Tnet-t)/(Tau_j))))*Salcycl</f>
        <v>3.0416507920975795E-2</v>
      </c>
      <c r="P62" s="169">
        <f>(INDEX(Models!$BJ62:$BT62,,T62)*(1-R62)+INDEX(Models!$BJ62:$BT62,,T62+1)*R62-ERP_i)*Q62*Ramure*Pc/MaxiM</f>
        <v>2.4548536204689229E-4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38.19935799700319</v>
      </c>
      <c r="W62" s="58"/>
      <c r="X62" s="157">
        <f t="shared" si="9"/>
        <v>43878</v>
      </c>
      <c r="Y62" s="383">
        <f t="shared" si="10"/>
        <v>5.7690000000000001</v>
      </c>
      <c r="Z62" s="383">
        <f t="shared" si="11"/>
        <v>5.8130607687975218</v>
      </c>
      <c r="AA62" s="384">
        <f t="shared" si="12"/>
        <v>5.9954205246759074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3.0416507920975795E-2</v>
      </c>
      <c r="AD62" s="230">
        <f>(INDEX(Models!$BJ62:$BT62,,AH62)*(1-AF62)+INDEX(Models!$BJ62:$BT62,,AH62+1)*AF62-ERP_i)*AE62*Ramure*Pc/MaxiM</f>
        <v>2.4548536204689229E-4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28.812999999999999</v>
      </c>
      <c r="C63" s="388"/>
      <c r="D63" s="391">
        <f t="shared" si="0"/>
        <v>29.033615866438453</v>
      </c>
      <c r="E63" s="383">
        <f t="shared" si="1"/>
        <v>29.946397754302581</v>
      </c>
      <c r="F63" s="383">
        <f t="shared" si="2"/>
        <v>29.950919629336866</v>
      </c>
      <c r="G63" s="110">
        <f t="shared" si="23"/>
        <v>0.74719047317004905</v>
      </c>
      <c r="H63" s="412" t="b">
        <f>Wh_hp&gt;='2019'!Maxi_hp</f>
        <v>1</v>
      </c>
      <c r="I63" s="388">
        <f>IF(H63,Wh_hp,'2019'!Maxi_hp)</f>
        <v>29.950919629336866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7.5986355765447211E-3</v>
      </c>
      <c r="M63" s="832"/>
      <c r="N63" s="832"/>
      <c r="O63" s="48">
        <f>IF(t&lt;Tnet,'2019'!Resal+('2019'!Salim-'2019'!Resal)*(1-EXP(('2019'!Tnet-t)/('2019'!Tau_j))),Resal+(Salim-Resal)*(1-EXP((Tnet-t)/(Tau_j))))*Salcycl</f>
        <v>3.0480523746232013E-2</v>
      </c>
      <c r="P63" s="169">
        <f>(INDEX(Models!$BJ63:$BT63,,T63)*(1-R63)+INDEX(Models!$BJ63:$BT63,,T63+1)*R63-ERP_i)*Q63*Ramure*Pc/MaxiM</f>
        <v>2.3629360669291097E-4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38.558496677795247</v>
      </c>
      <c r="W63" s="58"/>
      <c r="X63" s="157">
        <f t="shared" si="9"/>
        <v>43879</v>
      </c>
      <c r="Y63" s="383">
        <f t="shared" si="10"/>
        <v>28.812999999999999</v>
      </c>
      <c r="Z63" s="383">
        <f t="shared" si="11"/>
        <v>29.033615866438453</v>
      </c>
      <c r="AA63" s="384">
        <f t="shared" si="12"/>
        <v>29.946397754302581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3.0480523746232013E-2</v>
      </c>
      <c r="AD63" s="230">
        <f>(INDEX(Models!$BJ63:$BT63,,AH63)*(1-AF63)+INDEX(Models!$BJ63:$BT63,,AH63+1)*AF63-ERP_i)*AE63*Ramure*Pc/MaxiM</f>
        <v>2.3629360669291097E-4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26.882000000000001</v>
      </c>
      <c r="C64" s="388"/>
      <c r="D64" s="391">
        <f t="shared" si="0"/>
        <v>27.088349694972973</v>
      </c>
      <c r="E64" s="383">
        <f t="shared" si="1"/>
        <v>27.94181797542576</v>
      </c>
      <c r="F64" s="383">
        <f t="shared" si="2"/>
        <v>27.945361027693011</v>
      </c>
      <c r="G64" s="110">
        <f t="shared" si="23"/>
        <v>0.69067059374688689</v>
      </c>
      <c r="H64" s="412" t="b">
        <f>Wh_hp&gt;='2019'!Maxi_hp</f>
        <v>1</v>
      </c>
      <c r="I64" s="388">
        <f>IF(H64,Wh_hp,'2019'!Maxi_hp)</f>
        <v>27.945361027693011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7.617654722290701E-3</v>
      </c>
      <c r="M64" s="832"/>
      <c r="N64" s="832"/>
      <c r="O64" s="48">
        <f>IF(t&lt;Tnet,'2019'!Resal+('2019'!Salim-'2019'!Resal)*(1-EXP(('2019'!Tnet-t)/('2019'!Tau_j))),Resal+(Salim-Resal)*(1-EXP((Tnet-t)/(Tau_j))))*Salcycl</f>
        <v>3.0544479289192801E-2</v>
      </c>
      <c r="P64" s="169">
        <f>(INDEX(Models!$BJ64:$BT64,,T64)*(1-R64)+INDEX(Models!$BJ64:$BT64,,T64+1)*R64-ERP_i)*Q64*Ramure*Pc/MaxiM</f>
        <v>2.27131879933276E-4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38.917687210318803</v>
      </c>
      <c r="W64" s="58"/>
      <c r="X64" s="157">
        <f t="shared" si="9"/>
        <v>43880</v>
      </c>
      <c r="Y64" s="383">
        <f t="shared" si="10"/>
        <v>26.882000000000001</v>
      </c>
      <c r="Z64" s="383">
        <f t="shared" si="11"/>
        <v>27.088349694972973</v>
      </c>
      <c r="AA64" s="384">
        <f t="shared" si="12"/>
        <v>27.94181797542576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3.0544479289192801E-2</v>
      </c>
      <c r="AD64" s="230">
        <f>(INDEX(Models!$BJ64:$BT64,,AH64)*(1-AF64)+INDEX(Models!$BJ64:$BT64,,AH64+1)*AF64-ERP_i)*AE64*Ramure*Pc/MaxiM</f>
        <v>2.27131879933276E-4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39.883000000000003</v>
      </c>
      <c r="C65" s="388"/>
      <c r="D65" s="391">
        <f t="shared" si="0"/>
        <v>40.189917276373919</v>
      </c>
      <c r="E65" s="383">
        <f t="shared" si="1"/>
        <v>41.4589069421205</v>
      </c>
      <c r="F65" s="383">
        <f t="shared" si="2"/>
        <v>41.467946828147284</v>
      </c>
      <c r="G65" s="110">
        <f t="shared" si="23"/>
        <v>1.0154265973490231</v>
      </c>
      <c r="H65" s="412" t="b">
        <f>Wh_hp&gt;='2019'!Maxi_hp</f>
        <v>1</v>
      </c>
      <c r="I65" s="388">
        <f>IF(H65,Wh_hp,'2019'!Maxi_hp)</f>
        <v>41.467946828147284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7.6366735035391375E-3</v>
      </c>
      <c r="M65" s="832"/>
      <c r="N65" s="832"/>
      <c r="O65" s="48">
        <f>IF(t&lt;Tnet,'2019'!Resal+('2019'!Salim-'2019'!Resal)*(1-EXP(('2019'!Tnet-t)/('2019'!Tau_j))),Resal+(Salim-Resal)*(1-EXP((Tnet-t)/(Tau_j))))*Salcycl</f>
        <v>3.0608372466697707E-2</v>
      </c>
      <c r="P65" s="169">
        <f>(INDEX(Models!$BJ65:$BT65,,T65)*(1-R65)+INDEX(Models!$BJ65:$BT65,,T65+1)*R65-ERP_i)*Q65*Ramure*Pc/MaxiM</f>
        <v>2.179969523026115E-4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39.277088175671842</v>
      </c>
      <c r="W65" s="58"/>
      <c r="X65" s="157">
        <f t="shared" si="9"/>
        <v>43881</v>
      </c>
      <c r="Y65" s="383">
        <f t="shared" si="10"/>
        <v>39.883000000000003</v>
      </c>
      <c r="Z65" s="383">
        <f t="shared" si="11"/>
        <v>40.189917276373919</v>
      </c>
      <c r="AA65" s="384">
        <f t="shared" si="12"/>
        <v>41.4589069421205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3.0608372466697707E-2</v>
      </c>
      <c r="AD65" s="230">
        <f>(INDEX(Models!$BJ65:$BT65,,AH65)*(1-AF65)+INDEX(Models!$BJ65:$BT65,,AH65+1)*AF65-ERP_i)*AE65*Ramure*Pc/MaxiM</f>
        <v>2.179969523026115E-4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13.829000000000001</v>
      </c>
      <c r="C66" s="388"/>
      <c r="D66" s="391">
        <f t="shared" si="0"/>
        <v>13.93568732888755</v>
      </c>
      <c r="E66" s="383">
        <f t="shared" si="1"/>
        <v>14.376650861721219</v>
      </c>
      <c r="F66" s="383">
        <f t="shared" si="2"/>
        <v>14.376860709433835</v>
      </c>
      <c r="G66" s="110">
        <f t="shared" si="23"/>
        <v>0.34882403013484914</v>
      </c>
      <c r="H66" s="412" t="b">
        <f>Wh_hp&gt;='2019'!Maxi_hp</f>
        <v>1</v>
      </c>
      <c r="I66" s="388">
        <f>IF(H66,Wh_hp,'2019'!Maxi_hp)</f>
        <v>14.376860709433835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7.6556919202970253E-3</v>
      </c>
      <c r="M66" s="832"/>
      <c r="N66" s="832"/>
      <c r="O66" s="48">
        <f>IF(t&lt;Tnet,'2019'!Resal+('2019'!Salim-'2019'!Resal)*(1-EXP(('2019'!Tnet-t)/('2019'!Tau_j))),Resal+(Salim-Resal)*(1-EXP((Tnet-t)/(Tau_j))))*Salcycl</f>
        <v>3.0672201549233113E-2</v>
      </c>
      <c r="P66" s="169">
        <f>(INDEX(Models!$BJ66:$BT66,,T66)*(1-R66)+INDEX(Models!$BJ66:$BT66,,T66+1)*R66-ERP_i)*Q66*Ramure*Pc/MaxiM</f>
        <v>2.0897856755288868E-4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39.636924789352349</v>
      </c>
      <c r="W66" s="58"/>
      <c r="X66" s="157">
        <f t="shared" si="9"/>
        <v>43882</v>
      </c>
      <c r="Y66" s="383">
        <f t="shared" si="10"/>
        <v>13.829000000000001</v>
      </c>
      <c r="Z66" s="383">
        <f t="shared" si="11"/>
        <v>13.93568732888755</v>
      </c>
      <c r="AA66" s="384">
        <f t="shared" si="12"/>
        <v>14.376650861721219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3.0672201549233113E-2</v>
      </c>
      <c r="AD66" s="230">
        <f>(INDEX(Models!$BJ66:$BT66,,AH66)*(1-AF66)+INDEX(Models!$BJ66:$BT66,,AH66+1)*AF66-ERP_i)*AE66*Ramure*Pc/MaxiM</f>
        <v>2.0897856755288868E-4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38.417000000000002</v>
      </c>
      <c r="C67" s="388"/>
      <c r="D67" s="391">
        <f t="shared" si="0"/>
        <v>38.714119640081051</v>
      </c>
      <c r="E67" s="383">
        <f t="shared" si="1"/>
        <v>39.941768445212823</v>
      </c>
      <c r="F67" s="383">
        <f t="shared" si="2"/>
        <v>39.949310572645629</v>
      </c>
      <c r="G67" s="110">
        <f t="shared" si="23"/>
        <v>0.96048146736965789</v>
      </c>
      <c r="H67" s="412" t="b">
        <f>Wh_hp&gt;='2019'!Maxi_hp</f>
        <v>1</v>
      </c>
      <c r="I67" s="388">
        <f>IF(H67,Wh_hp,'2019'!Maxi_hp)</f>
        <v>39.949310572645629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7.6747099725712475E-3</v>
      </c>
      <c r="M67" s="832"/>
      <c r="N67" s="832"/>
      <c r="O67" s="48">
        <f>IF(t&lt;Tnet,'2019'!Resal+('2019'!Salim-'2019'!Resal)*(1-EXP(('2019'!Tnet-t)/('2019'!Tau_j))),Resal+(Salim-Resal)*(1-EXP((Tnet-t)/(Tau_j))))*Salcycl</f>
        <v>3.0735965204337613E-2</v>
      </c>
      <c r="P67" s="169">
        <f>(INDEX(Models!$BJ67:$BT67,,T67)*(1-R67)+INDEX(Models!$BJ67:$BT67,,T67+1)*R67-ERP_i)*Q67*Ramure*Pc/MaxiM</f>
        <v>2.0008514562419011E-4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39.99719660499327</v>
      </c>
      <c r="W67" s="58"/>
      <c r="X67" s="157">
        <f t="shared" si="9"/>
        <v>43883</v>
      </c>
      <c r="Y67" s="383">
        <f t="shared" si="10"/>
        <v>38.417000000000002</v>
      </c>
      <c r="Z67" s="383">
        <f t="shared" si="11"/>
        <v>38.714119640081051</v>
      </c>
      <c r="AA67" s="384">
        <f t="shared" si="12"/>
        <v>39.941768445212823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3.0735965204337613E-2</v>
      </c>
      <c r="AD67" s="230">
        <f>(INDEX(Models!$BJ67:$BT67,,AH67)*(1-AF67)+INDEX(Models!$BJ67:$BT67,,AH67+1)*AF67-ERP_i)*AE67*Ramure*Pc/MaxiM</f>
        <v>2.0008514562419011E-4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39.973999999999997</v>
      </c>
      <c r="C68" s="388"/>
      <c r="D68" s="391">
        <f t="shared" si="0"/>
        <v>40.283933614316929</v>
      </c>
      <c r="E68" s="383">
        <f t="shared" si="1"/>
        <v>41.564093673130344</v>
      </c>
      <c r="F68" s="383">
        <f t="shared" si="2"/>
        <v>41.571938803017574</v>
      </c>
      <c r="G68" s="110">
        <f t="shared" si="23"/>
        <v>0.99048494624725036</v>
      </c>
      <c r="H68" s="412" t="b">
        <f>Wh_hp&gt;='2019'!Maxi_hp</f>
        <v>1</v>
      </c>
      <c r="I68" s="388">
        <f>IF(H68,Wh_hp,'2019'!Maxi_hp)</f>
        <v>41.571938803017574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7.6937276603687987E-3</v>
      </c>
      <c r="M68" s="832"/>
      <c r="N68" s="832"/>
      <c r="O68" s="48">
        <f>IF(t&lt;Tnet,'2019'!Resal+('2019'!Salim-'2019'!Resal)*(1-EXP(('2019'!Tnet-t)/('2019'!Tau_j))),Resal+(Salim-Resal)*(1-EXP((Tnet-t)/(Tau_j))))*Salcycl</f>
        <v>3.0799662537595279E-2</v>
      </c>
      <c r="P68" s="169">
        <f>(INDEX(Models!$BJ68:$BT68,,T68)*(1-R68)+INDEX(Models!$BJ68:$BT68,,T68+1)*R68-ERP_i)*Q68*Ramure*Pc/MaxiM</f>
        <v>1.9131193505250932E-4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40.357903679372939</v>
      </c>
      <c r="W68" s="58"/>
      <c r="X68" s="157">
        <f t="shared" si="9"/>
        <v>43884</v>
      </c>
      <c r="Y68" s="383">
        <f t="shared" si="10"/>
        <v>39.973999999999997</v>
      </c>
      <c r="Z68" s="383">
        <f t="shared" si="11"/>
        <v>40.283933614316929</v>
      </c>
      <c r="AA68" s="384">
        <f t="shared" si="12"/>
        <v>41.564093673130344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3.0799662537595279E-2</v>
      </c>
      <c r="AD68" s="230">
        <f>(INDEX(Models!$BJ68:$BT68,,AH68)*(1-AF68)+INDEX(Models!$BJ68:$BT68,,AH68+1)*AF68-ERP_i)*AE68*Ramure*Pc/MaxiM</f>
        <v>1.9131193505250932E-4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39.926000000000002</v>
      </c>
      <c r="C69" s="388"/>
      <c r="D69" s="391">
        <f t="shared" si="0"/>
        <v>40.23633257220866</v>
      </c>
      <c r="E69" s="383">
        <f t="shared" si="1"/>
        <v>41.517705693136435</v>
      </c>
      <c r="F69" s="383">
        <f t="shared" si="2"/>
        <v>41.52507944394246</v>
      </c>
      <c r="G69" s="110">
        <f t="shared" si="23"/>
        <v>0.980518970259736</v>
      </c>
      <c r="H69" s="412" t="b">
        <f>Wh_hp&gt;='2019'!Maxi_hp</f>
        <v>1</v>
      </c>
      <c r="I69" s="388">
        <f>IF(H69,Wh_hp,'2019'!Maxi_hp)</f>
        <v>41.52507944394246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7.7127449836967843E-3</v>
      </c>
      <c r="M69" s="832"/>
      <c r="N69" s="832"/>
      <c r="O69" s="48">
        <f>IF(t&lt;Tnet,'2019'!Resal+('2019'!Salim-'2019'!Resal)*(1-EXP(('2019'!Tnet-t)/('2019'!Tau_j))),Resal+(Salim-Resal)*(1-EXP((Tnet-t)/(Tau_j))))*Salcycl</f>
        <v>3.0863293130853429E-2</v>
      </c>
      <c r="P69" s="169">
        <f>(INDEX(Models!$BJ69:$BT69,,T69)*(1-R69)+INDEX(Models!$BJ69:$BT69,,T69+1)*R69-ERP_i)*Q69*Ramure*Pc/MaxiM</f>
        <v>1.8265543856778015E-4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40.719046005943525</v>
      </c>
      <c r="W69" s="58"/>
      <c r="X69" s="157">
        <f t="shared" si="9"/>
        <v>43885</v>
      </c>
      <c r="Y69" s="383">
        <f t="shared" si="10"/>
        <v>39.926000000000002</v>
      </c>
      <c r="Z69" s="383">
        <f t="shared" si="11"/>
        <v>40.23633257220866</v>
      </c>
      <c r="AA69" s="384">
        <f t="shared" si="12"/>
        <v>41.517705693136435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3.0863293130853429E-2</v>
      </c>
      <c r="AD69" s="230">
        <f>(INDEX(Models!$BJ69:$BT69,,AH69)*(1-AF69)+INDEX(Models!$BJ69:$BT69,,AH69+1)*AF69-ERP_i)*AE69*Ramure*Pc/MaxiM</f>
        <v>1.8265543856778015E-4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16.076000000000001</v>
      </c>
      <c r="C70" s="388"/>
      <c r="D70" s="391">
        <f t="shared" si="0"/>
        <v>16.201264318882121</v>
      </c>
      <c r="E70" s="383">
        <f t="shared" si="1"/>
        <v>16.718309074194487</v>
      </c>
      <c r="F70" s="383">
        <f t="shared" si="2"/>
        <v>16.718688859203585</v>
      </c>
      <c r="G70" s="110">
        <f t="shared" si="23"/>
        <v>0.39126879558616007</v>
      </c>
      <c r="H70" s="412" t="b">
        <f>Wh_hp&gt;='2019'!Maxi_hp</f>
        <v>1</v>
      </c>
      <c r="I70" s="388">
        <f>IF(H70,Wh_hp,'2019'!Maxi_hp)</f>
        <v>16.718688859203585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7.7317619425620876E-3</v>
      </c>
      <c r="M70" s="832"/>
      <c r="N70" s="832"/>
      <c r="O70" s="48">
        <f>IF(t&lt;Tnet,'2019'!Resal+('2019'!Salim-'2019'!Resal)*(1-EXP(('2019'!Tnet-t)/('2019'!Tau_j))),Resal+(Salim-Resal)*(1-EXP((Tnet-t)/(Tau_j))))*Salcycl</f>
        <v>3.0926857077337333E-2</v>
      </c>
      <c r="P70" s="169">
        <f>(INDEX(Models!$BJ70:$BT70,,T70)*(1-R70)+INDEX(Models!$BJ70:$BT70,,T70+1)*R70-ERP_i)*Q70*Ramure*Pc/MaxiM</f>
        <v>1.7411231649585863E-4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41.080623555973617</v>
      </c>
      <c r="W70" s="58"/>
      <c r="X70" s="157">
        <f t="shared" si="9"/>
        <v>43886</v>
      </c>
      <c r="Y70" s="383">
        <f t="shared" si="10"/>
        <v>16.076000000000001</v>
      </c>
      <c r="Z70" s="383">
        <f t="shared" si="11"/>
        <v>16.201264318882121</v>
      </c>
      <c r="AA70" s="384">
        <f t="shared" si="12"/>
        <v>16.718309074194487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3.0926857077337333E-2</v>
      </c>
      <c r="AD70" s="230">
        <f>(INDEX(Models!$BJ70:$BT70,,AH70)*(1-AF70)+INDEX(Models!$BJ70:$BT70,,AH70+1)*AF70-ERP_i)*AE70*Ramure*Pc/MaxiM</f>
        <v>1.7411231649585863E-4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19.751000000000001</v>
      </c>
      <c r="C71" s="388"/>
      <c r="D71" s="391">
        <f t="shared" si="0"/>
        <v>19.905281428065027</v>
      </c>
      <c r="E71" s="383">
        <f t="shared" si="1"/>
        <v>20.541881632498828</v>
      </c>
      <c r="F71" s="383">
        <f t="shared" si="2"/>
        <v>20.542740223257699</v>
      </c>
      <c r="G71" s="110">
        <f t="shared" si="23"/>
        <v>0.47652743258737884</v>
      </c>
      <c r="H71" s="412" t="b">
        <f>Wh_hp&gt;='2019'!Maxi_hp</f>
        <v>1</v>
      </c>
      <c r="I71" s="388">
        <f>IF(H71,Wh_hp,'2019'!Maxi_hp)</f>
        <v>20.542740223257699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7.750778536971703E-3</v>
      </c>
      <c r="M71" s="832"/>
      <c r="N71" s="832"/>
      <c r="O71" s="48">
        <f>IF(t&lt;Tnet,'2019'!Resal+('2019'!Salim-'2019'!Resal)*(1-EXP(('2019'!Tnet-t)/('2019'!Tau_j))),Resal+(Salim-Resal)*(1-EXP((Tnet-t)/(Tau_j))))*Salcycl</f>
        <v>3.099035501337187E-2</v>
      </c>
      <c r="P71" s="169">
        <f>(INDEX(Models!$BJ71:$BT71,,T71)*(1-R71)+INDEX(Models!$BJ71:$BT71,,T71+1)*R71-ERP_i)*Q71*Ramure*Pc/MaxiM</f>
        <v>1.6567937003039943E-4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41.442636275887253</v>
      </c>
      <c r="W71" s="58"/>
      <c r="X71" s="157">
        <f t="shared" si="9"/>
        <v>43887</v>
      </c>
      <c r="Y71" s="383">
        <f t="shared" si="10"/>
        <v>19.751000000000001</v>
      </c>
      <c r="Z71" s="383">
        <f t="shared" si="11"/>
        <v>19.905281428065027</v>
      </c>
      <c r="AA71" s="384">
        <f t="shared" si="12"/>
        <v>20.541881632498828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3.099035501337187E-2</v>
      </c>
      <c r="AD71" s="230">
        <f>(INDEX(Models!$BJ71:$BT71,,AH71)*(1-AF71)+INDEX(Models!$BJ71:$BT71,,AH71+1)*AF71-ERP_i)*AE71*Ramure*Pc/MaxiM</f>
        <v>1.6567937003039943E-4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8.0790000000000006</v>
      </c>
      <c r="C72" s="388"/>
      <c r="D72" s="391">
        <f t="shared" si="0"/>
        <v>8.1422637180273139</v>
      </c>
      <c r="E72" s="383">
        <f t="shared" si="1"/>
        <v>8.4032153884492988</v>
      </c>
      <c r="F72" s="383">
        <f t="shared" si="2"/>
        <v>8.4032153884492988</v>
      </c>
      <c r="G72" s="110">
        <f t="shared" si="23"/>
        <v>0.19322359749902174</v>
      </c>
      <c r="H72" s="412" t="b">
        <f>Wh_hp&gt;='2019'!Maxi_hp</f>
        <v>1</v>
      </c>
      <c r="I72" s="388">
        <f>IF(H72,Wh_hp,'2019'!Maxi_hp)</f>
        <v>8.4032153884492988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7.7697947669326251E-3</v>
      </c>
      <c r="M72" s="832"/>
      <c r="N72" s="832"/>
      <c r="O72" s="48">
        <f>IF(t&lt;Tnet,'2019'!Resal+('2019'!Salim-'2019'!Resal)*(1-EXP(('2019'!Tnet-t)/('2019'!Tau_j))),Resal+(Salim-Resal)*(1-EXP((Tnet-t)/(Tau_j))))*Salcycl</f>
        <v>3.1053788146460995E-2</v>
      </c>
      <c r="P72" s="169">
        <f>(INDEX(Models!$BJ72:$BT72,,T72)*(1-R72)+INDEX(Models!$BJ72:$BT72,,T72+1)*R72-ERP_i)*Q72*Ramure*Pc/MaxiM</f>
        <v>1.5762900460074725E-4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41.805072567871669</v>
      </c>
      <c r="W72" s="58"/>
      <c r="X72" s="157">
        <f t="shared" si="9"/>
        <v>43888</v>
      </c>
      <c r="Y72" s="383">
        <f t="shared" si="10"/>
        <v>8.0790000000000006</v>
      </c>
      <c r="Z72" s="383">
        <f t="shared" si="11"/>
        <v>8.1422637180273139</v>
      </c>
      <c r="AA72" s="384">
        <f t="shared" si="12"/>
        <v>8.4032153884492988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3.1053788146460995E-2</v>
      </c>
      <c r="AD72" s="230">
        <f>(INDEX(Models!$BJ72:$BT72,,AH72)*(1-AF72)+INDEX(Models!$BJ72:$BT72,,AH72+1)*AF72-ERP_i)*AE72*Ramure*Pc/MaxiM</f>
        <v>1.5762900460074725E-4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18.189</v>
      </c>
      <c r="C73" s="388"/>
      <c r="D73" s="391">
        <f t="shared" si="0"/>
        <v>18.331782784664995</v>
      </c>
      <c r="E73" s="383">
        <f t="shared" si="1"/>
        <v>18.920536101261263</v>
      </c>
      <c r="F73" s="383">
        <f t="shared" si="2"/>
        <v>18.921068884574435</v>
      </c>
      <c r="G73" s="110">
        <f t="shared" si="23"/>
        <v>0.43129420019547743</v>
      </c>
      <c r="H73" s="412" t="b">
        <f>Wh_hp&gt;='2019'!Maxi_hp</f>
        <v>1</v>
      </c>
      <c r="I73" s="388">
        <f>IF(H73,Wh_hp,'2019'!Maxi_hp)</f>
        <v>18.921068884574435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7.788810632451848E-3</v>
      </c>
      <c r="M73" s="832"/>
      <c r="N73" s="832"/>
      <c r="O73" s="48">
        <f>IF(t&lt;Tnet,'2019'!Resal+('2019'!Salim-'2019'!Resal)*(1-EXP(('2019'!Tnet-t)/('2019'!Tau_j))),Resal+(Salim-Resal)*(1-EXP((Tnet-t)/(Tau_j))))*Salcycl</f>
        <v>3.1117158279517252E-2</v>
      </c>
      <c r="P73" s="169">
        <f>(INDEX(Models!$BJ73:$BT73,,T73)*(1-R73)+INDEX(Models!$BJ73:$BT73,,T73+1)*R73-ERP_i)*Q73*Ramure*Pc/MaxiM</f>
        <v>1.5006642475921551E-4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42.167927462706622</v>
      </c>
      <c r="W73" s="58"/>
      <c r="X73" s="157">
        <f t="shared" si="9"/>
        <v>43889</v>
      </c>
      <c r="Y73" s="383">
        <f t="shared" si="10"/>
        <v>18.189</v>
      </c>
      <c r="Z73" s="383">
        <f t="shared" si="11"/>
        <v>18.331782784664995</v>
      </c>
      <c r="AA73" s="384">
        <f t="shared" si="12"/>
        <v>18.920536101261263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3.1117158279517252E-2</v>
      </c>
      <c r="AD73" s="230">
        <f>(INDEX(Models!$BJ73:$BT73,,AH73)*(1-AF73)+INDEX(Models!$BJ73:$BT73,,AH73+1)*AF73-ERP_i)*AE73*Ramure*Pc/MaxiM</f>
        <v>1.5006642475921551E-4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15.598000000000001</v>
      </c>
      <c r="C74" s="388"/>
      <c r="D74" s="391">
        <f t="shared" si="0"/>
        <v>15.720744842419297</v>
      </c>
      <c r="E74" s="383">
        <f t="shared" si="1"/>
        <v>16.2267009700195</v>
      </c>
      <c r="F74" s="383">
        <f t="shared" si="2"/>
        <v>16.226922185785103</v>
      </c>
      <c r="G74" s="110">
        <f t="shared" si="23"/>
        <v>0.3666950880110153</v>
      </c>
      <c r="H74" s="412" t="b">
        <f>Wh_hp&gt;='2019'!Maxi_hp</f>
        <v>1</v>
      </c>
      <c r="I74" s="388">
        <f>IF(H74,Wh_hp,'2019'!Maxi_hp)</f>
        <v>16.226922185785103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7.8078261335362553E-3</v>
      </c>
      <c r="M74" s="832"/>
      <c r="N74" s="832"/>
      <c r="O74" s="48">
        <f>IF(t&lt;Tnet,'2019'!Resal+('2019'!Salim-'2019'!Resal)*(1-EXP(('2019'!Tnet-t)/('2019'!Tau_j))),Resal+(Salim-Resal)*(1-EXP((Tnet-t)/(Tau_j))))*Salcycl</f>
        <v>3.1180467831077148E-2</v>
      </c>
      <c r="P74" s="169">
        <f>(INDEX(Models!$BJ74:$BT74,,T74)*(1-R74)+INDEX(Models!$BJ74:$BT74,,T74+1)*R74-ERP_i)*Q74*Ramure*Pc/MaxiM</f>
        <v>1.4298001002509137E-4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42.531200777161303</v>
      </c>
      <c r="W74" s="58"/>
      <c r="X74" s="157">
        <f t="shared" si="9"/>
        <v>43890</v>
      </c>
      <c r="Y74" s="383">
        <f t="shared" si="10"/>
        <v>15.598000000000003</v>
      </c>
      <c r="Z74" s="383">
        <f t="shared" si="11"/>
        <v>15.720744842419299</v>
      </c>
      <c r="AA74" s="384">
        <f t="shared" si="12"/>
        <v>16.2267009700195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3.1180467831077148E-2</v>
      </c>
      <c r="AD74" s="230">
        <f>(INDEX(Models!$BJ74:$BT74,,AH74)*(1-AF74)+INDEX(Models!$BJ74:$BT74,,AH74+1)*AF74-ERP_i)*AE74*Ramure*Pc/MaxiM</f>
        <v>1.4298001002509137E-4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29.762</v>
      </c>
      <c r="C75" s="388"/>
      <c r="D75" s="391">
        <f t="shared" si="0"/>
        <v>29.996780035958341</v>
      </c>
      <c r="E75" s="383">
        <f t="shared" si="1"/>
        <v>30.964217368847923</v>
      </c>
      <c r="F75" s="383">
        <f t="shared" si="2"/>
        <v>30.966593074683484</v>
      </c>
      <c r="G75" s="110">
        <f t="shared" si="23"/>
        <v>0.69379413864993666</v>
      </c>
      <c r="H75" s="412" t="b">
        <f>Wh_hp&gt;='2019'!Maxi_hp</f>
        <v>1</v>
      </c>
      <c r="I75" s="388">
        <f>IF(H75,Wh_hp,'2019'!Maxi_hp)</f>
        <v>30.966593074683484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7.8268412701930634E-3</v>
      </c>
      <c r="M75" s="832"/>
      <c r="N75" s="832"/>
      <c r="O75" s="48">
        <f>IF(t&lt;Tnet,'2019'!Resal+('2019'!Salim-'2019'!Resal)*(1-EXP(('2019'!Tnet-t)/('2019'!Tau_j))),Resal+(Salim-Resal)*(1-EXP((Tnet-t)/(Tau_j))))*Salcycl</f>
        <v>3.1243719851381947E-2</v>
      </c>
      <c r="P75" s="169">
        <f>(INDEX(Models!$BJ75:$BT75,,T75)*(1-R75)+INDEX(Models!$BJ75:$BT75,,T75+1)*R75-ERP_i)*Q75*Ramure*Pc/MaxiM</f>
        <v>1.3635855558057541E-4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42.894892294476811</v>
      </c>
      <c r="W75" s="58"/>
      <c r="X75" s="157">
        <f t="shared" si="9"/>
        <v>43891</v>
      </c>
      <c r="Y75" s="383">
        <f t="shared" si="10"/>
        <v>29.762</v>
      </c>
      <c r="Z75" s="383">
        <f t="shared" si="11"/>
        <v>29.996780035958341</v>
      </c>
      <c r="AA75" s="384">
        <f t="shared" si="12"/>
        <v>30.964217368847923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3.1243719851381947E-2</v>
      </c>
      <c r="AD75" s="230">
        <f>(INDEX(Models!$BJ75:$BT75,,AH75)*(1-AF75)+INDEX(Models!$BJ75:$BT75,,AH75+1)*AF75-ERP_i)*AE75*Ramure*Pc/MaxiM</f>
        <v>1.3635855558057541E-4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23.271000000000001</v>
      </c>
      <c r="C76" s="388"/>
      <c r="D76" s="391">
        <f t="shared" si="0"/>
        <v>23.455024747641609</v>
      </c>
      <c r="E76" s="383">
        <f t="shared" si="1"/>
        <v>24.213061065786405</v>
      </c>
      <c r="F76" s="383">
        <f t="shared" si="2"/>
        <v>24.214132661085298</v>
      </c>
      <c r="G76" s="110">
        <f t="shared" si="23"/>
        <v>0.53789960793849623</v>
      </c>
      <c r="H76" s="412" t="b">
        <f>Wh_hp&gt;='2019'!Maxi_hp</f>
        <v>1</v>
      </c>
      <c r="I76" s="388">
        <f>IF(H76,Wh_hp,'2019'!Maxi_hp)</f>
        <v>24.214132661085298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7.8458560424290447E-3</v>
      </c>
      <c r="M76" s="832"/>
      <c r="N76" s="832"/>
      <c r="O76" s="48">
        <f>IF(t&lt;Tnet,'2019'!Resal+('2019'!Salim-'2019'!Resal)*(1-EXP(('2019'!Tnet-t)/('2019'!Tau_j))),Resal+(Salim-Resal)*(1-EXP((Tnet-t)/(Tau_j))))*Salcycl</f>
        <v>3.130691803424715E-2</v>
      </c>
      <c r="P76" s="169">
        <f>(INDEX(Models!$BJ76:$BT76,,T76)*(1-R76)+INDEX(Models!$BJ76:$BT76,,T76+1)*R76-ERP_i)*Q76*Ramure*Pc/MaxiM</f>
        <v>1.3019125321939149E-4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43.259001762478263</v>
      </c>
      <c r="W76" s="58"/>
      <c r="X76" s="157">
        <f t="shared" si="9"/>
        <v>43892</v>
      </c>
      <c r="Y76" s="383">
        <f t="shared" si="10"/>
        <v>23.271000000000001</v>
      </c>
      <c r="Z76" s="383">
        <f t="shared" si="11"/>
        <v>23.455024747641609</v>
      </c>
      <c r="AA76" s="384">
        <f t="shared" si="12"/>
        <v>24.213061065786405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3.130691803424715E-2</v>
      </c>
      <c r="AD76" s="230">
        <f>(INDEX(Models!$BJ76:$BT76,,AH76)*(1-AF76)+INDEX(Models!$BJ76:$BT76,,AH76+1)*AF76-ERP_i)*AE76*Ramure*Pc/MaxiM</f>
        <v>1.3019125321939149E-4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5.3719999999999999</v>
      </c>
      <c r="C77" s="388"/>
      <c r="D77" s="391">
        <f t="shared" si="0"/>
        <v>5.4145850096427122</v>
      </c>
      <c r="E77" s="383">
        <f t="shared" si="1"/>
        <v>5.5899418587384631</v>
      </c>
      <c r="F77" s="383">
        <f t="shared" si="2"/>
        <v>5.5899418587384631</v>
      </c>
      <c r="G77" s="110">
        <f t="shared" si="23"/>
        <v>0.12312922626852597</v>
      </c>
      <c r="H77" s="412" t="b">
        <f>Wh_hp&gt;='2019'!Maxi_hp</f>
        <v>1</v>
      </c>
      <c r="I77" s="388">
        <f>IF(H77,Wh_hp,'2019'!Maxi_hp)</f>
        <v>5.5899418587384631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7.8648704502511935E-3</v>
      </c>
      <c r="M77" s="832"/>
      <c r="N77" s="832"/>
      <c r="O77" s="48">
        <f>IF(t&lt;Tnet,'2019'!Resal+('2019'!Salim-'2019'!Resal)*(1-EXP(('2019'!Tnet-t)/('2019'!Tau_j))),Resal+(Salim-Resal)*(1-EXP((Tnet-t)/(Tau_j))))*Salcycl</f>
        <v>3.1370066724687756E-2</v>
      </c>
      <c r="P77" s="169">
        <f>(INDEX(Models!$BJ77:$BT77,,T77)*(1-R77)+INDEX(Models!$BJ77:$BT77,,T77+1)*R77-ERP_i)*Q77*Ramure*Pc/MaxiM</f>
        <v>1.244676749168943E-4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43.623528892614793</v>
      </c>
      <c r="W77" s="58"/>
      <c r="X77" s="157">
        <f t="shared" si="9"/>
        <v>43893</v>
      </c>
      <c r="Y77" s="383">
        <f t="shared" si="10"/>
        <v>5.3719999999999999</v>
      </c>
      <c r="Z77" s="383">
        <f t="shared" si="11"/>
        <v>5.4145850096427122</v>
      </c>
      <c r="AA77" s="384">
        <f t="shared" si="12"/>
        <v>5.5899418587384631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3.1370066724687756E-2</v>
      </c>
      <c r="AD77" s="230">
        <f>(INDEX(Models!$BJ77:$BT77,,AH77)*(1-AF77)+INDEX(Models!$BJ77:$BT77,,AH77+1)*AF77-ERP_i)*AE77*Ramure*Pc/MaxiM</f>
        <v>1.244676749168943E-4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8.7349999999999994</v>
      </c>
      <c r="C78" s="388"/>
      <c r="D78" s="391">
        <f t="shared" si="0"/>
        <v>8.8044129749288782</v>
      </c>
      <c r="E78" s="383">
        <f t="shared" si="1"/>
        <v>9.0901450582535439</v>
      </c>
      <c r="F78" s="383">
        <f t="shared" si="2"/>
        <v>9.0901450582535439</v>
      </c>
      <c r="G78" s="110">
        <f t="shared" si="23"/>
        <v>0.19855108203745525</v>
      </c>
      <c r="H78" s="412" t="b">
        <f>Wh_hp&gt;='2019'!Maxi_hp</f>
        <v>1</v>
      </c>
      <c r="I78" s="388">
        <f>IF(H78,Wh_hp,'2019'!Maxi_hp)</f>
        <v>9.0901450582535439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7.8838844936666153E-3</v>
      </c>
      <c r="M78" s="832"/>
      <c r="N78" s="832"/>
      <c r="O78" s="48">
        <f>IF(t&lt;Tnet,'2019'!Resal+('2019'!Salim-'2019'!Resal)*(1-EXP(('2019'!Tnet-t)/('2019'!Tau_j))),Resal+(Salim-Resal)*(1-EXP((Tnet-t)/(Tau_j))))*Salcycl</f>
        <v>3.1433170922309066E-2</v>
      </c>
      <c r="P78" s="169">
        <f>(INDEX(Models!$BJ78:$BT78,,T78)*(1-R78)+INDEX(Models!$BJ78:$BT78,,T78+1)*R78-ERP_i)*Q78*Ramure*Pc/MaxiM</f>
        <v>1.191777590080276E-4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43.988473357337149</v>
      </c>
      <c r="W78" s="58"/>
      <c r="X78" s="157">
        <f t="shared" si="9"/>
        <v>43894</v>
      </c>
      <c r="Y78" s="383">
        <f t="shared" si="10"/>
        <v>8.7349999999999994</v>
      </c>
      <c r="Z78" s="383">
        <f t="shared" si="11"/>
        <v>8.8044129749288782</v>
      </c>
      <c r="AA78" s="384">
        <f t="shared" si="12"/>
        <v>9.0901450582535439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3.1433170922309066E-2</v>
      </c>
      <c r="AD78" s="230">
        <f>(INDEX(Models!$BJ78:$BT78,,AH78)*(1-AF78)+INDEX(Models!$BJ78:$BT78,,AH78+1)*AF78-ERP_i)*AE78*Ramure*Pc/MaxiM</f>
        <v>1.191777590080276E-4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</v>
      </c>
      <c r="C79" s="388"/>
      <c r="D79" s="391">
        <f t="shared" ref="D79:D142" si="24">Wh/(1-Ppv)</f>
        <v>11.087624366344169</v>
      </c>
      <c r="E79" s="383">
        <f t="shared" si="1"/>
        <v>11.448199564824353</v>
      </c>
      <c r="F79" s="383">
        <f t="shared" ref="F79:F142" si="25">Wh_sa/(1-Pvg*MEDIAN((-Sdif+Wh/Env_an)/Csdif,0,1))</f>
        <v>11.448199564824353</v>
      </c>
      <c r="G79" s="110">
        <f t="shared" si="23"/>
        <v>0.24797087617757202</v>
      </c>
      <c r="H79" s="412" t="b">
        <f>Wh_hp&gt;='2019'!Maxi_hp</f>
        <v>1</v>
      </c>
      <c r="I79" s="388">
        <f>IF(H79,Wh_hp,'2019'!Maxi_hp)</f>
        <v>11.448199564824353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7.9028981726823044E-3</v>
      </c>
      <c r="M79" s="832"/>
      <c r="N79" s="832"/>
      <c r="O79" s="48">
        <f>IF(t&lt;Tnet,'2019'!Resal+('2019'!Salim-'2019'!Resal)*(1-EXP(('2019'!Tnet-t)/('2019'!Tau_j))),Resal+(Salim-Resal)*(1-EXP((Tnet-t)/(Tau_j))))*Salcycl</f>
        <v>3.1496236280513908E-2</v>
      </c>
      <c r="P79" s="169">
        <f>(INDEX(Models!$BJ79:$BT79,,T79)*(1-R79)+INDEX(Models!$BJ79:$BT79,,T79+1)*R79-ERP_i)*Q79*Ramure*Pc/MaxiM</f>
        <v>1.1430885457729766E-4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44.35497737534083</v>
      </c>
      <c r="W79" s="58"/>
      <c r="X79" s="157">
        <f t="shared" ref="X79:X142" si="33">t</f>
        <v>43895</v>
      </c>
      <c r="Y79" s="383">
        <f t="shared" ref="Y79:Y142" si="34">Wh_pvt_s*(1-Ppv)</f>
        <v>11</v>
      </c>
      <c r="Z79" s="383">
        <f t="shared" ref="Z79:Z142" si="35">Wh_sa_s*(1-Psa_s)</f>
        <v>11.087624366344169</v>
      </c>
      <c r="AA79" s="384">
        <f t="shared" ref="AA79:AA142" si="36">Wh_hp*(1-Pvg_s*MEDIAN((-Sdif+Wh/Env_an)/Csdif,0,1))</f>
        <v>11.448199564824353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3.1496236280513908E-2</v>
      </c>
      <c r="AD79" s="230">
        <f>(INDEX(Models!$BJ79:$BT79,,AH79)*(1-AF79)+INDEX(Models!$BJ79:$BT79,,AH79+1)*AF79-ERP_i)*AE79*Ramure*Pc/MaxiM</f>
        <v>1.1430885457729766E-4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21.175000000000001</v>
      </c>
      <c r="C80" s="388"/>
      <c r="D80" s="391">
        <f t="shared" si="24"/>
        <v>21.344085959750576</v>
      </c>
      <c r="E80" s="383">
        <f t="shared" ref="E80:E143" si="46">Wh_pvt/(1-Psa)</f>
        <v>22.039640918397282</v>
      </c>
      <c r="F80" s="383">
        <f t="shared" si="25"/>
        <v>22.040240976103327</v>
      </c>
      <c r="G80" s="110">
        <f t="shared" ref="G80:G143" si="47">+Wh_hp/MaxiM</f>
        <v>0.47342210647840954</v>
      </c>
      <c r="H80" s="412" t="b">
        <f>Wh_hp&gt;='2019'!Maxi_hp</f>
        <v>1</v>
      </c>
      <c r="I80" s="388">
        <f>IF(H80,Wh_hp,'2019'!Maxi_hp)</f>
        <v>22.040240976103327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7.9219114873050334E-3</v>
      </c>
      <c r="M80" s="832"/>
      <c r="N80" s="832"/>
      <c r="O80" s="48">
        <f>IF(t&lt;Tnet,'2019'!Resal+('2019'!Salim-'2019'!Resal)*(1-EXP(('2019'!Tnet-t)/('2019'!Tau_j))),Resal+(Salim-Resal)*(1-EXP((Tnet-t)/(Tau_j))))*Salcycl</f>
        <v>3.1559269101616903E-2</v>
      </c>
      <c r="P80" s="169">
        <f>(INDEX(Models!$BJ80:$BT80,,T80)*(1-R80)+INDEX(Models!$BJ80:$BT80,,T80+1)*R80-ERP_i)*Q80*Ramure*Pc/MaxiM</f>
        <v>1.0986826922958607E-4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44.723830389537241</v>
      </c>
      <c r="W80" s="58"/>
      <c r="X80" s="157">
        <f t="shared" si="33"/>
        <v>43896</v>
      </c>
      <c r="Y80" s="383">
        <f t="shared" si="34"/>
        <v>21.175000000000001</v>
      </c>
      <c r="Z80" s="383">
        <f t="shared" si="35"/>
        <v>21.344085959750576</v>
      </c>
      <c r="AA80" s="384">
        <f t="shared" si="36"/>
        <v>22.039640918397282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3.1559269101616903E-2</v>
      </c>
      <c r="AD80" s="230">
        <f>(INDEX(Models!$BJ80:$BT80,,AH80)*(1-AF80)+INDEX(Models!$BJ80:$BT80,,AH80+1)*AF80-ERP_i)*AE80*Ramure*Pc/MaxiM</f>
        <v>1.0986826922958607E-4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27.581</v>
      </c>
      <c r="C81" s="388"/>
      <c r="D81" s="391">
        <f t="shared" si="24"/>
        <v>27.801771768846198</v>
      </c>
      <c r="E81" s="383">
        <f t="shared" si="46"/>
        <v>28.709635805565856</v>
      </c>
      <c r="F81" s="383">
        <f t="shared" si="25"/>
        <v>28.71098765149868</v>
      </c>
      <c r="G81" s="110">
        <f t="shared" si="47"/>
        <v>0.6115906948595603</v>
      </c>
      <c r="H81" s="412" t="b">
        <f>Wh_hp&gt;='2019'!Maxi_hp</f>
        <v>1</v>
      </c>
      <c r="I81" s="388">
        <f>IF(H81,Wh_hp,'2019'!Maxi_hp)</f>
        <v>28.71098765149868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7.9409244375420185E-3</v>
      </c>
      <c r="M81" s="832"/>
      <c r="N81" s="832"/>
      <c r="O81" s="48">
        <f>IF(t&lt;Tnet,'2019'!Resal+('2019'!Salim-'2019'!Resal)*(1-EXP(('2019'!Tnet-t)/('2019'!Tau_j))),Resal+(Salim-Resal)*(1-EXP((Tnet-t)/(Tau_j))))*Salcycl</f>
        <v>3.1622276327993443E-2</v>
      </c>
      <c r="P81" s="169">
        <f>(INDEX(Models!$BJ81:$BT81,,T81)*(1-R81)+INDEX(Models!$BJ81:$BT81,,T81+1)*R81-ERP_i)*Q81*Ramure*Pc/MaxiM</f>
        <v>1.057651532444653E-4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45.09450795736349</v>
      </c>
      <c r="W81" s="58"/>
      <c r="X81" s="157">
        <f t="shared" si="33"/>
        <v>43897</v>
      </c>
      <c r="Y81" s="383">
        <f t="shared" si="34"/>
        <v>27.581</v>
      </c>
      <c r="Z81" s="383">
        <f t="shared" si="35"/>
        <v>27.801771768846198</v>
      </c>
      <c r="AA81" s="384">
        <f t="shared" si="36"/>
        <v>28.709635805565856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3.1622276327993443E-2</v>
      </c>
      <c r="AD81" s="230">
        <f>(INDEX(Models!$BJ81:$BT81,,AH81)*(1-AF81)+INDEX(Models!$BJ81:$BT81,,AH81+1)*AF81-ERP_i)*AE81*Ramure*Pc/MaxiM</f>
        <v>1.057651532444653E-4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32.066000000000003</v>
      </c>
      <c r="C82" s="388"/>
      <c r="D82" s="391">
        <f t="shared" si="24"/>
        <v>32.323291363643619</v>
      </c>
      <c r="E82" s="383">
        <f t="shared" si="46"/>
        <v>33.380976466619984</v>
      </c>
      <c r="F82" s="383">
        <f t="shared" si="25"/>
        <v>33.382947719665616</v>
      </c>
      <c r="G82" s="110">
        <f t="shared" si="47"/>
        <v>0.70523650491552958</v>
      </c>
      <c r="H82" s="412" t="b">
        <f>Wh_hp&gt;='2019'!Maxi_hp</f>
        <v>1</v>
      </c>
      <c r="I82" s="388">
        <f>IF(H82,Wh_hp,'2019'!Maxi_hp)</f>
        <v>33.382947719665616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7.9599370234001432E-3</v>
      </c>
      <c r="M82" s="832"/>
      <c r="N82" s="832"/>
      <c r="O82" s="48">
        <f>IF(t&lt;Tnet,'2019'!Resal+('2019'!Salim-'2019'!Resal)*(1-EXP(('2019'!Tnet-t)/('2019'!Tau_j))),Resal+(Salim-Resal)*(1-EXP((Tnet-t)/(Tau_j))))*Salcycl</f>
        <v>3.1685265529425737E-2</v>
      </c>
      <c r="P82" s="169">
        <f>(INDEX(Models!$BJ82:$BT82,,T82)*(1-R82)+INDEX(Models!$BJ82:$BT82,,T82+1)*R82-ERP_i)*Q82*Ramure*Pc/MaxiM</f>
        <v>1.0199402115478085E-4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45.466482013600306</v>
      </c>
      <c r="W82" s="58"/>
      <c r="X82" s="157">
        <f t="shared" si="33"/>
        <v>43898</v>
      </c>
      <c r="Y82" s="383">
        <f t="shared" si="34"/>
        <v>32.066000000000003</v>
      </c>
      <c r="Z82" s="383">
        <f t="shared" si="35"/>
        <v>32.323291363643619</v>
      </c>
      <c r="AA82" s="384">
        <f t="shared" si="36"/>
        <v>33.380976466619984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3.1685265529425737E-2</v>
      </c>
      <c r="AD82" s="230">
        <f>(INDEX(Models!$BJ82:$BT82,,AH82)*(1-AF82)+INDEX(Models!$BJ82:$BT82,,AH82+1)*AF82-ERP_i)*AE82*Ramure*Pc/MaxiM</f>
        <v>1.0199402115478085E-4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26.501000000000001</v>
      </c>
      <c r="C83" s="388"/>
      <c r="D83" s="391">
        <f t="shared" si="24"/>
        <v>26.71415085378257</v>
      </c>
      <c r="E83" s="383">
        <f t="shared" si="46"/>
        <v>27.590087715008032</v>
      </c>
      <c r="F83" s="383">
        <f t="shared" si="25"/>
        <v>27.591168085810995</v>
      </c>
      <c r="G83" s="110">
        <f t="shared" si="47"/>
        <v>0.57809498699560935</v>
      </c>
      <c r="H83" s="412" t="b">
        <f>Wh_hp&gt;='2019'!Maxi_hp</f>
        <v>1</v>
      </c>
      <c r="I83" s="388">
        <f>IF(H83,Wh_hp,'2019'!Maxi_hp)</f>
        <v>27.591168085810995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7.9789492448864019E-3</v>
      </c>
      <c r="M83" s="832"/>
      <c r="N83" s="832"/>
      <c r="O83" s="48">
        <f>IF(t&lt;Tnet,'2019'!Resal+('2019'!Salim-'2019'!Resal)*(1-EXP(('2019'!Tnet-t)/('2019'!Tau_j))),Resal+(Salim-Resal)*(1-EXP((Tnet-t)/(Tau_j))))*Salcycl</f>
        <v>3.1748244886839715E-2</v>
      </c>
      <c r="P83" s="169">
        <f>(INDEX(Models!$BJ83:$BT83,,T83)*(1-R83)+INDEX(Models!$BJ83:$BT83,,T83+1)*R83-ERP_i)*Q83*Ramure*Pc/MaxiM</f>
        <v>9.8549405753879939E-5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45.839224626439417</v>
      </c>
      <c r="W83" s="58"/>
      <c r="X83" s="157">
        <f t="shared" si="33"/>
        <v>43899</v>
      </c>
      <c r="Y83" s="383">
        <f t="shared" si="34"/>
        <v>26.501000000000001</v>
      </c>
      <c r="Z83" s="383">
        <f t="shared" si="35"/>
        <v>26.71415085378257</v>
      </c>
      <c r="AA83" s="384">
        <f t="shared" si="36"/>
        <v>27.590087715008032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3.1748244886839715E-2</v>
      </c>
      <c r="AD83" s="230">
        <f>(INDEX(Models!$BJ83:$BT83,,AH83)*(1-AF83)+INDEX(Models!$BJ83:$BT83,,AH83+1)*AF83-ERP_i)*AE83*Ramure*Pc/MaxiM</f>
        <v>9.8549405753879939E-5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32.311999999999998</v>
      </c>
      <c r="C84" s="388"/>
      <c r="D84" s="391">
        <f t="shared" si="24"/>
        <v>32.572513697547599</v>
      </c>
      <c r="E84" s="383">
        <f t="shared" si="46"/>
        <v>33.642730092662681</v>
      </c>
      <c r="F84" s="383">
        <f t="shared" si="25"/>
        <v>33.644561072825525</v>
      </c>
      <c r="G84" s="110">
        <f t="shared" si="47"/>
        <v>0.6991805063392259</v>
      </c>
      <c r="H84" s="412" t="b">
        <f>Wh_hp&gt;='2019'!Maxi_hp</f>
        <v>1</v>
      </c>
      <c r="I84" s="388">
        <f>IF(H84,Wh_hp,'2019'!Maxi_hp)</f>
        <v>33.644561072825525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7.997961102007678E-3</v>
      </c>
      <c r="M84" s="832"/>
      <c r="N84" s="832"/>
      <c r="O84" s="48">
        <f>IF(t&lt;Tnet,'2019'!Resal+('2019'!Salim-'2019'!Resal)*(1-EXP(('2019'!Tnet-t)/('2019'!Tau_j))),Resal+(Salim-Resal)*(1-EXP((Tnet-t)/(Tau_j))))*Salcycl</f>
        <v>3.181122317265489E-2</v>
      </c>
      <c r="P84" s="169">
        <f>(INDEX(Models!$BJ84:$BT84,,T84)*(1-R84)+INDEX(Models!$BJ84:$BT84,,T84+1)*R84-ERP_i)*Q84*Ramure*Pc/MaxiM</f>
        <v>9.5425906477073473E-5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46.212207997121773</v>
      </c>
      <c r="W84" s="58"/>
      <c r="X84" s="157">
        <f t="shared" si="33"/>
        <v>43900</v>
      </c>
      <c r="Y84" s="383">
        <f t="shared" si="34"/>
        <v>32.311999999999998</v>
      </c>
      <c r="Z84" s="383">
        <f t="shared" si="35"/>
        <v>32.572513697547599</v>
      </c>
      <c r="AA84" s="384">
        <f t="shared" si="36"/>
        <v>33.642730092662681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3.181122317265489E-2</v>
      </c>
      <c r="AD84" s="230">
        <f>(INDEX(Models!$BJ84:$BT84,,AH84)*(1-AF84)+INDEX(Models!$BJ84:$BT84,,AH84+1)*AF84-ERP_i)*AE84*Ramure*Pc/MaxiM</f>
        <v>9.5425906477073473E-5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41.677999999999997</v>
      </c>
      <c r="C85" s="388"/>
      <c r="D85" s="391">
        <f t="shared" si="24"/>
        <v>42.014831754751768</v>
      </c>
      <c r="E85" s="383">
        <f t="shared" si="46"/>
        <v>43.398112287605947</v>
      </c>
      <c r="F85" s="383">
        <f t="shared" si="25"/>
        <v>43.401527185164618</v>
      </c>
      <c r="G85" s="110">
        <f t="shared" si="47"/>
        <v>0.89465503006954028</v>
      </c>
      <c r="H85" s="412" t="b">
        <f>Wh_hp&gt;='2019'!Maxi_hp</f>
        <v>1</v>
      </c>
      <c r="I85" s="388">
        <f>IF(H85,Wh_hp,'2019'!Maxi_hp)</f>
        <v>43.401527185164618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8.0169725947711878E-3</v>
      </c>
      <c r="M85" s="832"/>
      <c r="N85" s="832"/>
      <c r="O85" s="48">
        <f>IF(t&lt;Tnet,'2019'!Resal+('2019'!Salim-'2019'!Resal)*(1-EXP(('2019'!Tnet-t)/('2019'!Tau_j))),Resal+(Salim-Resal)*(1-EXP((Tnet-t)/(Tau_j))))*Salcycl</f>
        <v>3.1874209727993812E-2</v>
      </c>
      <c r="P85" s="169">
        <f>(INDEX(Models!$BJ85:$BT85,,T85)*(1-R85)+INDEX(Models!$BJ85:$BT85,,T85+1)*R85-ERP_i)*Q85*Ramure*Pc/MaxiM</f>
        <v>9.2618235933517691E-5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46.584904458716039</v>
      </c>
      <c r="W85" s="58"/>
      <c r="X85" s="157">
        <f t="shared" si="33"/>
        <v>43901</v>
      </c>
      <c r="Y85" s="383">
        <f t="shared" si="34"/>
        <v>41.677999999999997</v>
      </c>
      <c r="Z85" s="383">
        <f t="shared" si="35"/>
        <v>42.014831754751768</v>
      </c>
      <c r="AA85" s="384">
        <f t="shared" si="36"/>
        <v>43.398112287605947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3.1874209727993812E-2</v>
      </c>
      <c r="AD85" s="230">
        <f>(INDEX(Models!$BJ85:$BT85,,AH85)*(1-AF85)+INDEX(Models!$BJ85:$BT85,,AH85+1)*AF85-ERP_i)*AE85*Ramure*Pc/MaxiM</f>
        <v>9.2618235933517691E-5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16.687000000000001</v>
      </c>
      <c r="C86" s="388"/>
      <c r="D86" s="391">
        <f t="shared" si="24"/>
        <v>16.82218278706528</v>
      </c>
      <c r="E86" s="383">
        <f t="shared" si="46"/>
        <v>17.377160901069303</v>
      </c>
      <c r="F86" s="383">
        <f t="shared" si="25"/>
        <v>17.377284775492466</v>
      </c>
      <c r="G86" s="110">
        <f t="shared" si="47"/>
        <v>0.35533979947681105</v>
      </c>
      <c r="H86" s="412" t="b">
        <f>Wh_hp&gt;='2019'!Maxi_hp</f>
        <v>0</v>
      </c>
      <c r="I86" s="388">
        <f>IF(H86,Wh_hp,'2019'!Maxi_hp)</f>
        <v>27.973421127248677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8.0359837231837039E-3</v>
      </c>
      <c r="M86" s="832"/>
      <c r="N86" s="832"/>
      <c r="O86" s="48">
        <f>IF(t&lt;Tnet,'2019'!Resal+('2019'!Salim-'2019'!Resal)*(1-EXP(('2019'!Tnet-t)/('2019'!Tau_j))),Resal+(Salim-Resal)*(1-EXP((Tnet-t)/(Tau_j))))*Salcycl</f>
        <v>3.193721443701851E-2</v>
      </c>
      <c r="P86" s="169">
        <f>(INDEX(Models!$BJ86:$BT86,,T86)*(1-R86)+INDEX(Models!$BJ86:$BT86,,T86+1)*R86-ERP_i)*Q86*Ramure*Pc/MaxiM</f>
        <v>9.0121578474028065E-5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46.956786460805112</v>
      </c>
      <c r="W86" s="58"/>
      <c r="X86" s="157">
        <f t="shared" si="33"/>
        <v>43902</v>
      </c>
      <c r="Y86" s="383">
        <f t="shared" si="34"/>
        <v>16.687000000000001</v>
      </c>
      <c r="Z86" s="383">
        <f t="shared" si="35"/>
        <v>16.82218278706528</v>
      </c>
      <c r="AA86" s="384">
        <f t="shared" si="36"/>
        <v>17.377160901069303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3.193721443701851E-2</v>
      </c>
      <c r="AD86" s="230">
        <f>(INDEX(Models!$BJ86:$BT86,,AH86)*(1-AF86)+INDEX(Models!$BJ86:$BT86,,AH86+1)*AF86-ERP_i)*AE86*Ramure*Pc/MaxiM</f>
        <v>9.0121578474028065E-5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40.29</v>
      </c>
      <c r="C87" s="388"/>
      <c r="D87" s="391">
        <f t="shared" si="24"/>
        <v>40.617171089211382</v>
      </c>
      <c r="E87" s="383">
        <f t="shared" si="46"/>
        <v>41.959898225849898</v>
      </c>
      <c r="F87" s="383">
        <f t="shared" si="25"/>
        <v>41.9627960937136</v>
      </c>
      <c r="G87" s="110">
        <f t="shared" si="47"/>
        <v>0.85128914837645253</v>
      </c>
      <c r="H87" s="412" t="b">
        <f>Wh_hp&gt;='2019'!Maxi_hp</f>
        <v>1</v>
      </c>
      <c r="I87" s="388">
        <f>IF(H87,Wh_hp,'2019'!Maxi_hp)</f>
        <v>41.9627960937136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8.0549944872523316E-3</v>
      </c>
      <c r="M87" s="832"/>
      <c r="N87" s="832"/>
      <c r="O87" s="48">
        <f>IF(t&lt;Tnet,'2019'!Resal+('2019'!Salim-'2019'!Resal)*(1-EXP(('2019'!Tnet-t)/('2019'!Tau_j))),Resal+(Salim-Resal)*(1-EXP((Tnet-t)/(Tau_j))))*Salcycl</f>
        <v>3.2000247698677924E-2</v>
      </c>
      <c r="P87" s="169">
        <f>(INDEX(Models!$BJ87:$BT87,,T87)*(1-R87)+INDEX(Models!$BJ87:$BT87,,T87+1)*R87-ERP_i)*Q87*Ramure*Pc/MaxiM</f>
        <v>8.7683981985159834E-5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47.327338290690186</v>
      </c>
      <c r="W87" s="58"/>
      <c r="X87" s="157">
        <f t="shared" si="33"/>
        <v>43903</v>
      </c>
      <c r="Y87" s="383">
        <f t="shared" si="34"/>
        <v>40.29</v>
      </c>
      <c r="Z87" s="383">
        <f t="shared" si="35"/>
        <v>40.617171089211382</v>
      </c>
      <c r="AA87" s="384">
        <f t="shared" si="36"/>
        <v>41.959898225849898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3.2000247698677924E-2</v>
      </c>
      <c r="AD87" s="230">
        <f>(INDEX(Models!$BJ87:$BT87,,AH87)*(1-AF87)+INDEX(Models!$BJ87:$BT87,,AH87+1)*AF87-ERP_i)*AE87*Ramure*Pc/MaxiM</f>
        <v>8.7683981985159834E-5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32.552999999999997</v>
      </c>
      <c r="C88" s="388"/>
      <c r="D88" s="391">
        <f t="shared" si="24"/>
        <v>32.817972470104529</v>
      </c>
      <c r="E88" s="383">
        <f t="shared" si="46"/>
        <v>33.905081976577719</v>
      </c>
      <c r="F88" s="383">
        <f t="shared" si="25"/>
        <v>33.906662518762403</v>
      </c>
      <c r="G88" s="110">
        <f t="shared" si="47"/>
        <v>0.68248318729107815</v>
      </c>
      <c r="H88" s="412" t="b">
        <f>Wh_hp&gt;='2019'!Maxi_hp</f>
        <v>1</v>
      </c>
      <c r="I88" s="388">
        <f>IF(H88,Wh_hp,'2019'!Maxi_hp)</f>
        <v>33.906662518762403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8.0740048869839542E-3</v>
      </c>
      <c r="M88" s="832"/>
      <c r="N88" s="832"/>
      <c r="O88" s="48">
        <f>IF(t&lt;Tnet,'2019'!Resal+('2019'!Salim-'2019'!Resal)*(1-EXP(('2019'!Tnet-t)/('2019'!Tau_j))),Resal+(Salim-Resal)*(1-EXP((Tnet-t)/(Tau_j))))*Salcycl</f>
        <v>3.2063320396163247E-2</v>
      </c>
      <c r="P88" s="169">
        <f>(INDEX(Models!$BJ88:$BT88,,T88)*(1-R88)+INDEX(Models!$BJ88:$BT88,,T88+1)*R88-ERP_i)*Q88*Ramure*Pc/MaxiM</f>
        <v>8.530544520425688E-5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47.696032724577016</v>
      </c>
      <c r="W88" s="58"/>
      <c r="X88" s="157">
        <f t="shared" si="33"/>
        <v>43904</v>
      </c>
      <c r="Y88" s="383">
        <f t="shared" si="34"/>
        <v>32.552999999999997</v>
      </c>
      <c r="Z88" s="383">
        <f t="shared" si="35"/>
        <v>32.817972470104529</v>
      </c>
      <c r="AA88" s="384">
        <f t="shared" si="36"/>
        <v>33.905081976577719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3.2063320396163247E-2</v>
      </c>
      <c r="AD88" s="230">
        <f>(INDEX(Models!$BJ88:$BT88,,AH88)*(1-AF88)+INDEX(Models!$BJ88:$BT88,,AH88+1)*AF88-ERP_i)*AE88*Ramure*Pc/MaxiM</f>
        <v>8.530544520425688E-5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48.665999999999997</v>
      </c>
      <c r="C89" s="388"/>
      <c r="D89" s="391">
        <f t="shared" si="24"/>
        <v>49.06306814261621</v>
      </c>
      <c r="E89" s="383">
        <f t="shared" si="46"/>
        <v>50.691609282629486</v>
      </c>
      <c r="F89" s="383">
        <f t="shared" si="25"/>
        <v>50.695816320188271</v>
      </c>
      <c r="G89" s="110">
        <f t="shared" si="47"/>
        <v>1.0125598814102907</v>
      </c>
      <c r="H89" s="412" t="b">
        <f>Wh_hp&gt;='2019'!Maxi_hp</f>
        <v>1</v>
      </c>
      <c r="I89" s="388">
        <f>IF(H89,Wh_hp,'2019'!Maxi_hp)</f>
        <v>50.695816320188271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8.0930149223855663E-3</v>
      </c>
      <c r="M89" s="832"/>
      <c r="N89" s="832"/>
      <c r="O89" s="48">
        <f>IF(t&lt;Tnet,'2019'!Resal+('2019'!Salim-'2019'!Resal)*(1-EXP(('2019'!Tnet-t)/('2019'!Tau_j))),Resal+(Salim-Resal)*(1-EXP((Tnet-t)/(Tau_j))))*Salcycl</f>
        <v>3.2126443864376047E-2</v>
      </c>
      <c r="P89" s="169">
        <f>(INDEX(Models!$BJ89:$BT89,,T89)*(1-R89)+INDEX(Models!$BJ89:$BT89,,T89+1)*R89-ERP_i)*Q89*Ramure*Pc/MaxiM</f>
        <v>8.2985892409905243E-5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48.062342675692548</v>
      </c>
      <c r="W89" s="58"/>
      <c r="X89" s="157">
        <f t="shared" si="33"/>
        <v>43905</v>
      </c>
      <c r="Y89" s="383">
        <f t="shared" si="34"/>
        <v>48.665999999999997</v>
      </c>
      <c r="Z89" s="383">
        <f t="shared" si="35"/>
        <v>49.06306814261621</v>
      </c>
      <c r="AA89" s="384">
        <f t="shared" si="36"/>
        <v>50.691609282629486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3.2126443864376047E-2</v>
      </c>
      <c r="AD89" s="230">
        <f>(INDEX(Models!$BJ89:$BT89,,AH89)*(1-AF89)+INDEX(Models!$BJ89:$BT89,,AH89+1)*AF89-ERP_i)*AE89*Ramure*Pc/MaxiM</f>
        <v>8.2985892409905243E-5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9.4250000000000007</v>
      </c>
      <c r="C90" s="388"/>
      <c r="D90" s="391">
        <f t="shared" si="24"/>
        <v>9.5020811156996494</v>
      </c>
      <c r="E90" s="383">
        <f t="shared" si="46"/>
        <v>9.8181228563226455</v>
      </c>
      <c r="F90" s="383">
        <f t="shared" si="25"/>
        <v>9.8181228563226455</v>
      </c>
      <c r="G90" s="110">
        <f t="shared" si="47"/>
        <v>0.19461218211181844</v>
      </c>
      <c r="H90" s="412" t="b">
        <f>Wh_hp&gt;='2019'!Maxi_hp</f>
        <v>0</v>
      </c>
      <c r="I90" s="388">
        <f>IF(H90,Wh_hp,'2019'!Maxi_hp)</f>
        <v>15.866798805277901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8.1120245934642732E-3</v>
      </c>
      <c r="M90" s="832"/>
      <c r="N90" s="832"/>
      <c r="O90" s="48">
        <f>IF(t&lt;Tnet,'2019'!Resal+('2019'!Salim-'2019'!Resal)*(1-EXP(('2019'!Tnet-t)/('2019'!Tau_j))),Resal+(Salim-Resal)*(1-EXP((Tnet-t)/(Tau_j))))*Salcycl</f>
        <v>3.21896298557185E-2</v>
      </c>
      <c r="P90" s="169">
        <f>(INDEX(Models!$BJ90:$BT90,,T90)*(1-R90)+INDEX(Models!$BJ90:$BT90,,T90+1)*R90-ERP_i)*Q90*Ramure*Pc/MaxiM</f>
        <v>8.0725182584291054E-5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48.425741199177622</v>
      </c>
      <c r="W90" s="58"/>
      <c r="X90" s="157">
        <f t="shared" si="33"/>
        <v>43906</v>
      </c>
      <c r="Y90" s="383">
        <f t="shared" si="34"/>
        <v>9.4250000000000007</v>
      </c>
      <c r="Z90" s="383">
        <f t="shared" si="35"/>
        <v>9.5020811156996494</v>
      </c>
      <c r="AA90" s="384">
        <f t="shared" si="36"/>
        <v>9.8181228563226455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3.21896298557185E-2</v>
      </c>
      <c r="AD90" s="230">
        <f>(INDEX(Models!$BJ90:$BT90,,AH90)*(1-AF90)+INDEX(Models!$BJ90:$BT90,,AH90+1)*AF90-ERP_i)*AE90*Ramure*Pc/MaxiM</f>
        <v>8.0725182584291054E-5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13.103</v>
      </c>
      <c r="C91" s="388"/>
      <c r="D91" s="391">
        <f t="shared" si="24"/>
        <v>13.210414326726656</v>
      </c>
      <c r="E91" s="383">
        <f t="shared" si="46"/>
        <v>13.65068848783608</v>
      </c>
      <c r="F91" s="383">
        <f t="shared" si="25"/>
        <v>13.65068848783608</v>
      </c>
      <c r="G91" s="110">
        <f t="shared" si="47"/>
        <v>0.26856170377020722</v>
      </c>
      <c r="H91" s="412" t="b">
        <f>Wh_hp&gt;='2019'!Maxi_hp</f>
        <v>0</v>
      </c>
      <c r="I91" s="388">
        <f>IF(H91,Wh_hp,'2019'!Maxi_hp)</f>
        <v>34.112652515484889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8.1310339002268472E-3</v>
      </c>
      <c r="M91" s="832"/>
      <c r="N91" s="832"/>
      <c r="O91" s="48">
        <f>IF(t&lt;Tnet,'2019'!Resal+('2019'!Salim-'2019'!Resal)*(1-EXP(('2019'!Tnet-t)/('2019'!Tau_j))),Resal+(Salim-Resal)*(1-EXP((Tnet-t)/(Tau_j))))*Salcycl</f>
        <v>3.225289050451513E-2</v>
      </c>
      <c r="P91" s="169">
        <f>(INDEX(Models!$BJ91:$BT91,,T91)*(1-R91)+INDEX(Models!$BJ91:$BT91,,T91+1)*R91-ERP_i)*Q91*Ramure*Pc/MaxiM</f>
        <v>7.8523118568755E-5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48.785701489248808</v>
      </c>
      <c r="W91" s="58"/>
      <c r="X91" s="157">
        <f t="shared" si="33"/>
        <v>43907</v>
      </c>
      <c r="Y91" s="383">
        <f t="shared" si="34"/>
        <v>13.103</v>
      </c>
      <c r="Z91" s="383">
        <f t="shared" si="35"/>
        <v>13.210414326726656</v>
      </c>
      <c r="AA91" s="384">
        <f t="shared" si="36"/>
        <v>13.65068848783608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3.225289050451513E-2</v>
      </c>
      <c r="AD91" s="230">
        <f>(INDEX(Models!$BJ91:$BT91,,AH91)*(1-AF91)+INDEX(Models!$BJ91:$BT91,,AH91+1)*AF91-ERP_i)*AE91*Ramure*Pc/MaxiM</f>
        <v>7.8523118568755E-5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44.927</v>
      </c>
      <c r="C92" s="388"/>
      <c r="D92" s="391">
        <f t="shared" si="24"/>
        <v>45.296165690990726</v>
      </c>
      <c r="E92" s="383">
        <f t="shared" si="46"/>
        <v>46.808851696513898</v>
      </c>
      <c r="F92" s="383">
        <f t="shared" si="25"/>
        <v>46.811989092410982</v>
      </c>
      <c r="G92" s="110">
        <f t="shared" si="47"/>
        <v>0.91422523810936929</v>
      </c>
      <c r="H92" s="412" t="b">
        <f>Wh_hp&gt;='2019'!Maxi_hp</f>
        <v>1</v>
      </c>
      <c r="I92" s="388">
        <f>IF(H92,Wh_hp,'2019'!Maxi_hp)</f>
        <v>46.811989092410982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8.1500428426805049E-3</v>
      </c>
      <c r="M92" s="832"/>
      <c r="N92" s="832"/>
      <c r="O92" s="48">
        <f>IF(t&lt;Tnet,'2019'!Resal+('2019'!Salim-'2019'!Resal)*(1-EXP(('2019'!Tnet-t)/('2019'!Tau_j))),Resal+(Salim-Resal)*(1-EXP((Tnet-t)/(Tau_j))))*Salcycl</f>
        <v>3.2316238290370815E-2</v>
      </c>
      <c r="P92" s="169">
        <f>(INDEX(Models!$BJ92:$BT92,,T92)*(1-R92)+INDEX(Models!$BJ92:$BT92,,T92+1)*R92-ERP_i)*Q92*Ramure*Pc/MaxiM</f>
        <v>7.637945621085251E-5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49.141696882659872</v>
      </c>
      <c r="W92" s="58"/>
      <c r="X92" s="157">
        <f t="shared" si="33"/>
        <v>43908</v>
      </c>
      <c r="Y92" s="383">
        <f t="shared" si="34"/>
        <v>44.927</v>
      </c>
      <c r="Z92" s="383">
        <f t="shared" si="35"/>
        <v>45.296165690990726</v>
      </c>
      <c r="AA92" s="384">
        <f t="shared" si="36"/>
        <v>46.808851696513898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3.2316238290370815E-2</v>
      </c>
      <c r="AD92" s="230">
        <f>(INDEX(Models!$BJ92:$BT92,,AH92)*(1-AF92)+INDEX(Models!$BJ92:$BT92,,AH92+1)*AF92-ERP_i)*AE92*Ramure*Pc/MaxiM</f>
        <v>7.637945621085251E-5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46.67</v>
      </c>
      <c r="C93" s="388"/>
      <c r="D93" s="391">
        <f t="shared" si="24"/>
        <v>47.05438972927432</v>
      </c>
      <c r="E93" s="383">
        <f t="shared" si="46"/>
        <v>48.62898086006016</v>
      </c>
      <c r="F93" s="383">
        <f t="shared" si="25"/>
        <v>48.632298998213152</v>
      </c>
      <c r="G93" s="110">
        <f t="shared" si="47"/>
        <v>0.94289221612954421</v>
      </c>
      <c r="H93" s="412" t="b">
        <f>Wh_hp&gt;='2019'!Maxi_hp</f>
        <v>0</v>
      </c>
      <c r="I93" s="388">
        <f>IF(H93,Wh_hp,'2019'!Maxi_hp)</f>
        <v>50.974512464979433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8.1690514208321297E-3</v>
      </c>
      <c r="M93" s="832"/>
      <c r="N93" s="832"/>
      <c r="O93" s="48">
        <f>IF(t&lt;Tnet,'2019'!Resal+('2019'!Salim-'2019'!Resal)*(1-EXP(('2019'!Tnet-t)/('2019'!Tau_j))),Resal+(Salim-Resal)*(1-EXP((Tnet-t)/(Tau_j))))*Salcycl</f>
        <v>3.2379686000762589E-2</v>
      </c>
      <c r="P93" s="169">
        <f>(INDEX(Models!$BJ93:$BT93,,T93)*(1-R93)+INDEX(Models!$BJ93:$BT93,,T93+1)*R93-ERP_i)*Q93*Ramure*Pc/MaxiM</f>
        <v>7.4289199034875773E-5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49.496343651672255</v>
      </c>
      <c r="W93" s="58"/>
      <c r="X93" s="157">
        <f t="shared" si="33"/>
        <v>43909</v>
      </c>
      <c r="Y93" s="383">
        <f t="shared" si="34"/>
        <v>46.67</v>
      </c>
      <c r="Z93" s="383">
        <f t="shared" si="35"/>
        <v>47.05438972927432</v>
      </c>
      <c r="AA93" s="384">
        <f t="shared" si="36"/>
        <v>48.62898086006016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3.2379686000762589E-2</v>
      </c>
      <c r="AD93" s="230">
        <f>(INDEX(Models!$BJ93:$BT93,,AH93)*(1-AF93)+INDEX(Models!$BJ93:$BT93,,AH93+1)*AF93-ERP_i)*AE93*Ramure*Pc/MaxiM</f>
        <v>7.4289199034875773E-5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50.042000000000002</v>
      </c>
      <c r="C94" s="388"/>
      <c r="D94" s="391">
        <f t="shared" si="24"/>
        <v>50.455129610123635</v>
      </c>
      <c r="E94" s="383">
        <f t="shared" si="46"/>
        <v>52.146945838248257</v>
      </c>
      <c r="F94" s="383">
        <f t="shared" si="25"/>
        <v>52.150714918937091</v>
      </c>
      <c r="G94" s="110">
        <f t="shared" si="47"/>
        <v>1.0038103702350845</v>
      </c>
      <c r="H94" s="412" t="b">
        <f>Wh_hp&gt;='2019'!Maxi_hp</f>
        <v>1</v>
      </c>
      <c r="I94" s="388">
        <f>IF(H94,Wh_hp,'2019'!Maxi_hp)</f>
        <v>52.150714918937091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8.1880596346886048E-3</v>
      </c>
      <c r="M94" s="832"/>
      <c r="N94" s="832"/>
      <c r="O94" s="48">
        <f>IF(t&lt;Tnet,'2019'!Resal+('2019'!Salim-'2019'!Resal)*(1-EXP(('2019'!Tnet-t)/('2019'!Tau_j))),Resal+(Salim-Resal)*(1-EXP((Tnet-t)/(Tau_j))))*Salcycl</f>
        <v>3.2443246693150046E-2</v>
      </c>
      <c r="P94" s="169">
        <f>(INDEX(Models!$BJ94:$BT94,,T94)*(1-R94)+INDEX(Models!$BJ94:$BT94,,T94+1)*R94-ERP_i)*Q94*Ramure*Pc/MaxiM</f>
        <v>7.2272847931150616E-5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49.852045250618957</v>
      </c>
      <c r="W94" s="58"/>
      <c r="X94" s="157">
        <f t="shared" si="33"/>
        <v>43910</v>
      </c>
      <c r="Y94" s="383">
        <f t="shared" si="34"/>
        <v>50.042000000000002</v>
      </c>
      <c r="Z94" s="383">
        <f t="shared" si="35"/>
        <v>50.455129610123635</v>
      </c>
      <c r="AA94" s="384">
        <f t="shared" si="36"/>
        <v>52.146945838248257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3.2443246693150046E-2</v>
      </c>
      <c r="AD94" s="230">
        <f>(INDEX(Models!$BJ94:$BT94,,AH94)*(1-AF94)+INDEX(Models!$BJ94:$BT94,,AH94+1)*AF94-ERP_i)*AE94*Ramure*Pc/MaxiM</f>
        <v>7.2272847931150616E-5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48.831000000000003</v>
      </c>
      <c r="C95" s="388"/>
      <c r="D95" s="391">
        <f t="shared" si="24"/>
        <v>49.235075587942745</v>
      </c>
      <c r="E95" s="383">
        <f t="shared" si="46"/>
        <v>50.889331717940529</v>
      </c>
      <c r="F95" s="383">
        <f t="shared" si="25"/>
        <v>50.892769880316351</v>
      </c>
      <c r="G95" s="110">
        <f t="shared" si="47"/>
        <v>0.97257220873211914</v>
      </c>
      <c r="H95" s="412" t="b">
        <f>Wh_hp&gt;='2019'!Maxi_hp</f>
        <v>1</v>
      </c>
      <c r="I95" s="388">
        <f>IF(H95,Wh_hp,'2019'!Maxi_hp)</f>
        <v>50.892769880316351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8.2070674842570357E-3</v>
      </c>
      <c r="M95" s="832"/>
      <c r="N95" s="832"/>
      <c r="O95" s="48">
        <f>IF(t&lt;Tnet,'2019'!Resal+('2019'!Salim-'2019'!Resal)*(1-EXP(('2019'!Tnet-t)/('2019'!Tau_j))),Resal+(Salim-Resal)*(1-EXP((Tnet-t)/(Tau_j))))*Salcycl</f>
        <v>3.250693365687473E-2</v>
      </c>
      <c r="P95" s="169">
        <f>(INDEX(Models!$BJ95:$BT95,,T95)*(1-R95)+INDEX(Models!$BJ95:$BT95,,T95+1)*R95-ERP_i)*Q95*Ramure*Pc/MaxiM</f>
        <v>7.0311714352443922E-5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50.207958891457004</v>
      </c>
      <c r="W95" s="58"/>
      <c r="X95" s="157">
        <f t="shared" si="33"/>
        <v>43911</v>
      </c>
      <c r="Y95" s="383">
        <f t="shared" si="34"/>
        <v>48.831000000000003</v>
      </c>
      <c r="Z95" s="383">
        <f t="shared" si="35"/>
        <v>49.235075587942745</v>
      </c>
      <c r="AA95" s="384">
        <f t="shared" si="36"/>
        <v>50.889331717940529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3.250693365687473E-2</v>
      </c>
      <c r="AD95" s="230">
        <f>(INDEX(Models!$BJ95:$BT95,,AH95)*(1-AF95)+INDEX(Models!$BJ95:$BT95,,AH95+1)*AF95-ERP_i)*AE95*Ramure*Pc/MaxiM</f>
        <v>7.0311714352443922E-5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45.335999999999999</v>
      </c>
      <c r="C96" s="388"/>
      <c r="D96" s="391">
        <f t="shared" si="24"/>
        <v>45.71203059064878</v>
      </c>
      <c r="E96" s="383">
        <f t="shared" si="46"/>
        <v>47.251032652654395</v>
      </c>
      <c r="F96" s="383">
        <f t="shared" si="25"/>
        <v>47.253787703961521</v>
      </c>
      <c r="G96" s="110">
        <f t="shared" si="47"/>
        <v>0.89661067933021499</v>
      </c>
      <c r="H96" s="412" t="b">
        <f>Wh_hp&gt;='2019'!Maxi_hp</f>
        <v>1</v>
      </c>
      <c r="I96" s="388">
        <f>IF(H96,Wh_hp,'2019'!Maxi_hp)</f>
        <v>47.253787703961521</v>
      </c>
      <c r="J96" s="85">
        <f>IF(H96,An,'2019'!An_max)</f>
        <v>2020</v>
      </c>
      <c r="K96" s="197">
        <f t="shared" si="26"/>
        <v>43912</v>
      </c>
      <c r="L96" s="147">
        <f>IF(t&lt;Tvie,1-EXP((T0-t)*PertePVj)+'2019'!Pspv,1-EXP((T0-t)*PertePVj)+Pspv)</f>
        <v>8.2260749695444169E-3</v>
      </c>
      <c r="M96" s="832"/>
      <c r="N96" s="832"/>
      <c r="O96" s="48">
        <f>IF(t&lt;Tnet,'2019'!Resal+('2019'!Salim-'2019'!Resal)*(1-EXP(('2019'!Tnet-t)/('2019'!Tau_j))),Resal+(Salim-Resal)*(1-EXP((Tnet-t)/(Tau_j))))*Salcycl</f>
        <v>3.2570760375099636E-2</v>
      </c>
      <c r="P96" s="169">
        <f>(INDEX(Models!$BJ96:$BT96,,T96)*(1-R96)+INDEX(Models!$BJ96:$BT96,,T96+1)*R96-ERP_i)*Q96*Ramure*Pc/MaxiM</f>
        <v>6.8405888506725218E-5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50.563241111263274</v>
      </c>
      <c r="W96" s="58"/>
      <c r="X96" s="157">
        <f t="shared" si="33"/>
        <v>43912</v>
      </c>
      <c r="Y96" s="383">
        <f t="shared" si="34"/>
        <v>45.335999999999999</v>
      </c>
      <c r="Z96" s="383">
        <f t="shared" si="35"/>
        <v>45.71203059064878</v>
      </c>
      <c r="AA96" s="384">
        <f t="shared" si="36"/>
        <v>47.251032652654395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3.2570760375099636E-2</v>
      </c>
      <c r="AD96" s="230">
        <f>(INDEX(Models!$BJ96:$BT96,,AH96)*(1-AF96)+INDEX(Models!$BJ96:$BT96,,AH96+1)*AF96-ERP_i)*AE96*Ramure*Pc/MaxiM</f>
        <v>6.8405888506725218E-5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35.000999999999998</v>
      </c>
      <c r="C97" s="388"/>
      <c r="D97" s="391">
        <f t="shared" si="24"/>
        <v>35.291985316069749</v>
      </c>
      <c r="E97" s="383">
        <f t="shared" si="46"/>
        <v>36.482585010172329</v>
      </c>
      <c r="F97" s="383">
        <f t="shared" si="25"/>
        <v>36.483928887346444</v>
      </c>
      <c r="G97" s="110">
        <f t="shared" si="47"/>
        <v>0.68739175976765954</v>
      </c>
      <c r="H97" s="412" t="b">
        <f>Wh_hp&gt;='2019'!Maxi_hp</f>
        <v>0</v>
      </c>
      <c r="I97" s="388">
        <f>IF(H97,Wh_hp,'2019'!Maxi_hp)</f>
        <v>51.335617588086507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8.2450820905576316E-3</v>
      </c>
      <c r="M97" s="832"/>
      <c r="N97" s="832"/>
      <c r="O97" s="48">
        <f>IF(t&lt;Tnet,'2019'!Resal+('2019'!Salim-'2019'!Resal)*(1-EXP(('2019'!Tnet-t)/('2019'!Tau_j))),Resal+(Salim-Resal)*(1-EXP((Tnet-t)/(Tau_j))))*Salcycl</f>
        <v>3.263474048701881E-2</v>
      </c>
      <c r="P97" s="169">
        <f>(INDEX(Models!$BJ97:$BT97,,T97)*(1-R97)+INDEX(Models!$BJ97:$BT97,,T97+1)*R97-ERP_i)*Q97*Ramure*Pc/MaxiM</f>
        <v>6.6555313627146513E-5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50.917048707140303</v>
      </c>
      <c r="W97" s="58"/>
      <c r="X97" s="157">
        <f t="shared" si="33"/>
        <v>43913</v>
      </c>
      <c r="Y97" s="383">
        <f t="shared" si="34"/>
        <v>35.000999999999998</v>
      </c>
      <c r="Z97" s="383">
        <f t="shared" si="35"/>
        <v>35.291985316069749</v>
      </c>
      <c r="AA97" s="384">
        <f t="shared" si="36"/>
        <v>36.482585010172329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3.263474048701881E-2</v>
      </c>
      <c r="AD97" s="230">
        <f>(INDEX(Models!$BJ97:$BT97,,AH97)*(1-AF97)+INDEX(Models!$BJ97:$BT97,,AH97+1)*AF97-ERP_i)*AE97*Ramure*Pc/MaxiM</f>
        <v>6.6555313627146513E-5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42.533000000000001</v>
      </c>
      <c r="C98" s="388"/>
      <c r="D98" s="391">
        <f t="shared" si="24"/>
        <v>42.887425494720489</v>
      </c>
      <c r="E98" s="383">
        <f t="shared" si="46"/>
        <v>44.337202709284462</v>
      </c>
      <c r="F98" s="383">
        <f t="shared" si="25"/>
        <v>44.339375184993749</v>
      </c>
      <c r="G98" s="110">
        <f t="shared" si="47"/>
        <v>0.82959902025745591</v>
      </c>
      <c r="H98" s="412" t="b">
        <f>Wh_hp&gt;='2019'!Maxi_hp</f>
        <v>0</v>
      </c>
      <c r="I98" s="388">
        <f>IF(H98,Wh_hp,'2019'!Maxi_hp)</f>
        <v>44.782002730690941</v>
      </c>
      <c r="J98" s="85">
        <f>IF(H98,An,'2019'!An_max)</f>
        <v>2018</v>
      </c>
      <c r="K98" s="197">
        <f t="shared" si="26"/>
        <v>43914</v>
      </c>
      <c r="L98" s="147">
        <f>IF(t&lt;Tvie,1-EXP((T0-t)*PertePVj)+'2019'!Pspv,1-EXP((T0-t)*PertePVj)+Pspv)</f>
        <v>8.2640888473036744E-3</v>
      </c>
      <c r="M98" s="832"/>
      <c r="N98" s="832"/>
      <c r="O98" s="48">
        <f>IF(t&lt;Tnet,'2019'!Resal+('2019'!Salim-'2019'!Resal)*(1-EXP(('2019'!Tnet-t)/('2019'!Tau_j))),Resal+(Salim-Resal)*(1-EXP((Tnet-t)/(Tau_j))))*Salcycl</f>
        <v>3.2698887750543186E-2</v>
      </c>
      <c r="P98" s="169">
        <f>(INDEX(Models!$BJ98:$BT98,,T98)*(1-R98)+INDEX(Models!$BJ98:$BT98,,T98+1)*R98-ERP_i)*Q98*Ramure*Pc/MaxiM</f>
        <v>6.4759800611190524E-5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51.268538739275925</v>
      </c>
      <c r="W98" s="58"/>
      <c r="X98" s="157">
        <f t="shared" si="33"/>
        <v>43914</v>
      </c>
      <c r="Y98" s="383">
        <f t="shared" si="34"/>
        <v>42.533000000000001</v>
      </c>
      <c r="Z98" s="383">
        <f t="shared" si="35"/>
        <v>42.887425494720489</v>
      </c>
      <c r="AA98" s="384">
        <f t="shared" si="36"/>
        <v>44.337202709284462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3.2698887750543186E-2</v>
      </c>
      <c r="AD98" s="230">
        <f>(INDEX(Models!$BJ98:$BT98,,AH98)*(1-AF98)+INDEX(Models!$BJ98:$BT98,,AH98+1)*AF98-ERP_i)*AE98*Ramure*Pc/MaxiM</f>
        <v>6.4759800611190524E-5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52.134999999999998</v>
      </c>
      <c r="C99" s="388"/>
      <c r="D99" s="391">
        <f t="shared" si="24"/>
        <v>52.570446011108224</v>
      </c>
      <c r="E99" s="383">
        <f t="shared" si="46"/>
        <v>54.351164969150808</v>
      </c>
      <c r="F99" s="383">
        <f t="shared" si="25"/>
        <v>54.354590343376316</v>
      </c>
      <c r="G99" s="110">
        <f t="shared" si="47"/>
        <v>1.0100380259419393</v>
      </c>
      <c r="H99" s="412" t="b">
        <f>Wh_hp&gt;='2019'!Maxi_hp</f>
        <v>0</v>
      </c>
      <c r="I99" s="388">
        <f>IF(H99,Wh_hp,'2019'!Maxi_hp)</f>
        <v>54.664172365947202</v>
      </c>
      <c r="J99" s="85">
        <f>IF(H99,An,'2019'!An_max)</f>
        <v>2018</v>
      </c>
      <c r="K99" s="197">
        <f t="shared" si="26"/>
        <v>43915</v>
      </c>
      <c r="L99" s="147">
        <f>IF(t&lt;Tvie,1-EXP((T0-t)*PertePVj)+'2019'!Pspv,1-EXP((T0-t)*PertePVj)+Pspv)</f>
        <v>8.2830952397896507E-3</v>
      </c>
      <c r="M99" s="832"/>
      <c r="N99" s="832"/>
      <c r="O99" s="48">
        <f>IF(t&lt;Tnet,'2019'!Resal+('2019'!Salim-'2019'!Resal)*(1-EXP(('2019'!Tnet-t)/('2019'!Tau_j))),Resal+(Salim-Resal)*(1-EXP((Tnet-t)/(Tau_j))))*Salcycl</f>
        <v>3.2763216005642283E-2</v>
      </c>
      <c r="P99" s="169">
        <f>(INDEX(Models!$BJ99:$BT99,,T99)*(1-R99)+INDEX(Models!$BJ99:$BT99,,T99+1)*R99-ERP_i)*Q99*Ramure*Pc/MaxiM</f>
        <v>6.3019042253217148E-5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51.616868534607931</v>
      </c>
      <c r="W99" s="58"/>
      <c r="X99" s="157">
        <f t="shared" si="33"/>
        <v>43915</v>
      </c>
      <c r="Y99" s="383">
        <f t="shared" si="34"/>
        <v>52.134999999999998</v>
      </c>
      <c r="Z99" s="383">
        <f t="shared" si="35"/>
        <v>52.570446011108224</v>
      </c>
      <c r="AA99" s="384">
        <f t="shared" si="36"/>
        <v>54.351164969150808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3.2763216005642283E-2</v>
      </c>
      <c r="AD99" s="230">
        <f>(INDEX(Models!$BJ99:$BT99,,AH99)*(1-AF99)+INDEX(Models!$BJ99:$BT99,,AH99+1)*AF99-ERP_i)*AE99*Ramure*Pc/MaxiM</f>
        <v>6.3019042253217148E-5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26.934000000000001</v>
      </c>
      <c r="C100" s="388"/>
      <c r="D100" s="391">
        <f t="shared" si="24"/>
        <v>27.159480759653547</v>
      </c>
      <c r="E100" s="383">
        <f t="shared" si="46"/>
        <v>28.081327245118992</v>
      </c>
      <c r="F100" s="383">
        <f t="shared" si="25"/>
        <v>28.081864710688443</v>
      </c>
      <c r="G100" s="110">
        <f t="shared" si="47"/>
        <v>0.51832647775036222</v>
      </c>
      <c r="H100" s="412" t="b">
        <f>Wh_hp&gt;='2019'!Maxi_hp</f>
        <v>0</v>
      </c>
      <c r="I100" s="388">
        <f>IF(H100,Wh_hp,'2019'!Maxi_hp)</f>
        <v>53.82661692337178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8.3021012680223327E-3</v>
      </c>
      <c r="M100" s="832"/>
      <c r="N100" s="832"/>
      <c r="O100" s="48">
        <f>IF(t&lt;Tnet,'2019'!Resal+('2019'!Salim-'2019'!Resal)*(1-EXP(('2019'!Tnet-t)/('2019'!Tau_j))),Resal+(Salim-Resal)*(1-EXP((Tnet-t)/(Tau_j))))*Salcycl</f>
        <v>3.2827739138493801E-2</v>
      </c>
      <c r="P100" s="169">
        <f>(INDEX(Models!$BJ100:$BT100,,T100)*(1-R100)+INDEX(Models!$BJ100:$BT100,,T100+1)*R100-ERP_i)*Q100*Ramure*Pc/MaxiM</f>
        <v>6.1358227670150843E-5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51.961194359462503</v>
      </c>
      <c r="W100" s="58"/>
      <c r="X100" s="157">
        <f t="shared" si="33"/>
        <v>43916</v>
      </c>
      <c r="Y100" s="383">
        <f t="shared" si="34"/>
        <v>26.934000000000001</v>
      </c>
      <c r="Z100" s="383">
        <f t="shared" si="35"/>
        <v>27.159480759653547</v>
      </c>
      <c r="AA100" s="384">
        <f t="shared" si="36"/>
        <v>28.081327245118992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3.2827739138493801E-2</v>
      </c>
      <c r="AD100" s="230">
        <f>(INDEX(Models!$BJ100:$BT100,,AH100)*(1-AF100)+INDEX(Models!$BJ100:$BT100,,AH100+1)*AF100-ERP_i)*AE100*Ramure*Pc/MaxiM</f>
        <v>6.1358227670150843E-5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49.070999999999998</v>
      </c>
      <c r="C101" s="388"/>
      <c r="D101" s="391">
        <f t="shared" si="24"/>
        <v>49.482751264562424</v>
      </c>
      <c r="E101" s="383">
        <f t="shared" si="46"/>
        <v>51.165718167979328</v>
      </c>
      <c r="F101" s="383">
        <f t="shared" si="25"/>
        <v>51.168506991237216</v>
      </c>
      <c r="G101" s="110">
        <f t="shared" si="47"/>
        <v>0.93824299708396197</v>
      </c>
      <c r="H101" s="412" t="b">
        <f>Wh_hp&gt;='2019'!Maxi_hp</f>
        <v>0</v>
      </c>
      <c r="I101" s="388">
        <f>IF(H101,Wh_hp,'2019'!Maxi_hp)</f>
        <v>52.80850109732495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8.321106932008937E-3</v>
      </c>
      <c r="M101" s="832"/>
      <c r="N101" s="832"/>
      <c r="O101" s="48">
        <f>IF(t&lt;Tnet,'2019'!Resal+('2019'!Salim-'2019'!Resal)*(1-EXP(('2019'!Tnet-t)/('2019'!Tau_j))),Resal+(Salim-Resal)*(1-EXP((Tnet-t)/(Tau_j))))*Salcycl</f>
        <v>3.2892471046563794E-2</v>
      </c>
      <c r="P101" s="169">
        <f>(INDEX(Models!$BJ101:$BT101,,T101)*(1-R101)+INDEX(Models!$BJ101:$BT101,,T101+1)*R101-ERP_i)*Q101*Ramure*Pc/MaxiM</f>
        <v>5.9776001529555526E-5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52.300674104297933</v>
      </c>
      <c r="W101" s="58"/>
      <c r="X101" s="157">
        <f t="shared" si="33"/>
        <v>43917</v>
      </c>
      <c r="Y101" s="383">
        <f t="shared" si="34"/>
        <v>49.070999999999998</v>
      </c>
      <c r="Z101" s="383">
        <f t="shared" si="35"/>
        <v>49.482751264562424</v>
      </c>
      <c r="AA101" s="384">
        <f t="shared" si="36"/>
        <v>51.165718167979328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3.2892471046563794E-2</v>
      </c>
      <c r="AD101" s="230">
        <f>(INDEX(Models!$BJ101:$BT101,,AH101)*(1-AF101)+INDEX(Models!$BJ101:$BT101,,AH101+1)*AF101-ERP_i)*AE101*Ramure*Pc/MaxiM</f>
        <v>5.9776001529555526E-5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49.945999999999998</v>
      </c>
      <c r="C102" s="388"/>
      <c r="D102" s="391">
        <f t="shared" si="24"/>
        <v>50.36605858123874</v>
      </c>
      <c r="E102" s="383">
        <f t="shared" si="46"/>
        <v>52.082565871242629</v>
      </c>
      <c r="F102" s="383">
        <f t="shared" si="25"/>
        <v>52.085379503406976</v>
      </c>
      <c r="G102" s="110">
        <f t="shared" si="47"/>
        <v>0.94891791460187469</v>
      </c>
      <c r="H102" s="412" t="b">
        <f>Wh_hp&gt;='2019'!Maxi_hp</f>
        <v>0</v>
      </c>
      <c r="I102" s="388">
        <f>IF(H102,Wh_hp,'2019'!Maxi_hp)</f>
        <v>53.276688443249576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8.3401122317562359E-3</v>
      </c>
      <c r="M102" s="832"/>
      <c r="N102" s="832"/>
      <c r="O102" s="48">
        <f>IF(t&lt;Tnet,'2019'!Resal+('2019'!Salim-'2019'!Resal)*(1-EXP(('2019'!Tnet-t)/('2019'!Tau_j))),Resal+(Salim-Resal)*(1-EXP((Tnet-t)/(Tau_j))))*Salcycl</f>
        <v>3.2957425604710038E-2</v>
      </c>
      <c r="P102" s="169">
        <f>(INDEX(Models!$BJ102:$BT102,,T102)*(1-R102)+INDEX(Models!$BJ102:$BT102,,T102+1)*R102-ERP_i)*Q102*Ramure*Pc/MaxiM</f>
        <v>5.8271616089069645E-5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52.63446590008968</v>
      </c>
      <c r="W102" s="58"/>
      <c r="X102" s="157">
        <f t="shared" si="33"/>
        <v>43918</v>
      </c>
      <c r="Y102" s="383">
        <f t="shared" si="34"/>
        <v>49.945999999999998</v>
      </c>
      <c r="Z102" s="383">
        <f t="shared" si="35"/>
        <v>50.36605858123874</v>
      </c>
      <c r="AA102" s="384">
        <f t="shared" si="36"/>
        <v>52.082565871242629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3.2957425604710038E-2</v>
      </c>
      <c r="AD102" s="230">
        <f>(INDEX(Models!$BJ102:$BT102,,AH102)*(1-AF102)+INDEX(Models!$BJ102:$BT102,,AH102+1)*AF102-ERP_i)*AE102*Ramure*Pc/MaxiM</f>
        <v>5.8271616089069645E-5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29.283999999999999</v>
      </c>
      <c r="C103" s="388"/>
      <c r="D103" s="391">
        <f t="shared" si="24"/>
        <v>29.530851850669073</v>
      </c>
      <c r="E103" s="383">
        <f t="shared" si="46"/>
        <v>30.539340793911752</v>
      </c>
      <c r="F103" s="383">
        <f t="shared" si="25"/>
        <v>30.539968062843165</v>
      </c>
      <c r="G103" s="110">
        <f t="shared" si="47"/>
        <v>0.55290750202981243</v>
      </c>
      <c r="H103" s="412" t="b">
        <f>Wh_hp&gt;='2019'!Maxi_hp</f>
        <v>0</v>
      </c>
      <c r="I103" s="388">
        <f>IF(H103,Wh_hp,'2019'!Maxi_hp)</f>
        <v>54.228775027955102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8.3591171672713349E-3</v>
      </c>
      <c r="M103" s="832"/>
      <c r="N103" s="832"/>
      <c r="O103" s="48">
        <f>IF(t&lt;Tnet,'2019'!Resal+('2019'!Salim-'2019'!Resal)*(1-EXP(('2019'!Tnet-t)/('2019'!Tau_j))),Resal+(Salim-Resal)*(1-EXP((Tnet-t)/(Tau_j))))*Salcycl</f>
        <v>3.3022616632371049E-2</v>
      </c>
      <c r="P103" s="169">
        <f>(INDEX(Models!$BJ103:$BT103,,T103)*(1-R103)+INDEX(Models!$BJ103:$BT103,,T103+1)*R103-ERP_i)*Q103*Ramure*Pc/MaxiM</f>
        <v>5.6844317464555762E-5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52.961728162343157</v>
      </c>
      <c r="W103" s="58"/>
      <c r="X103" s="157">
        <f t="shared" si="33"/>
        <v>43919</v>
      </c>
      <c r="Y103" s="383">
        <f t="shared" si="34"/>
        <v>29.283999999999999</v>
      </c>
      <c r="Z103" s="383">
        <f t="shared" si="35"/>
        <v>29.530851850669073</v>
      </c>
      <c r="AA103" s="384">
        <f t="shared" si="36"/>
        <v>30.539340793911752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3.3022616632371049E-2</v>
      </c>
      <c r="AD103" s="230">
        <f>(INDEX(Models!$BJ103:$BT103,,AH103)*(1-AF103)+INDEX(Models!$BJ103:$BT103,,AH103+1)*AF103-ERP_i)*AE103*Ramure*Pc/MaxiM</f>
        <v>5.6844317464555762E-5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18.707000000000001</v>
      </c>
      <c r="C104" s="388"/>
      <c r="D104" s="391">
        <f t="shared" si="24"/>
        <v>18.865053716642528</v>
      </c>
      <c r="E104" s="383">
        <f t="shared" si="46"/>
        <v>19.510622316781326</v>
      </c>
      <c r="F104" s="383">
        <f t="shared" si="25"/>
        <v>19.510701349805476</v>
      </c>
      <c r="G104" s="110">
        <f t="shared" si="47"/>
        <v>0.35107862343420193</v>
      </c>
      <c r="H104" s="412" t="b">
        <f>Wh_hp&gt;='2019'!Maxi_hp</f>
        <v>0</v>
      </c>
      <c r="I104" s="388">
        <f>IF(H104,Wh_hp,'2019'!Maxi_hp)</f>
        <v>45.909262215228203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8.3781217385612283E-3</v>
      </c>
      <c r="M104" s="832"/>
      <c r="N104" s="832"/>
      <c r="O104" s="48">
        <f>IF(t&lt;Tnet,'2019'!Resal+('2019'!Salim-'2019'!Resal)*(1-EXP(('2019'!Tnet-t)/('2019'!Tau_j))),Resal+(Salim-Resal)*(1-EXP((Tnet-t)/(Tau_j))))*Salcycl</f>
        <v>3.3088057861872404E-2</v>
      </c>
      <c r="P104" s="169">
        <f>(INDEX(Models!$BJ104:$BT104,,T104)*(1-R104)+INDEX(Models!$BJ104:$BT104,,T104+1)*R104-ERP_i)*Q104*Ramure*Pc/MaxiM</f>
        <v>5.5493361780582941E-5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53.281619587749155</v>
      </c>
      <c r="W104" s="58"/>
      <c r="X104" s="157">
        <f t="shared" si="33"/>
        <v>43920</v>
      </c>
      <c r="Y104" s="383">
        <f t="shared" si="34"/>
        <v>18.707000000000001</v>
      </c>
      <c r="Z104" s="383">
        <f t="shared" si="35"/>
        <v>18.865053716642528</v>
      </c>
      <c r="AA104" s="384">
        <f t="shared" si="36"/>
        <v>19.510622316781326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3.3088057861872404E-2</v>
      </c>
      <c r="AD104" s="230">
        <f>(INDEX(Models!$BJ104:$BT104,,AH104)*(1-AF104)+INDEX(Models!$BJ104:$BT104,,AH104+1)*AF104-ERP_i)*AE104*Ramure*Pc/MaxiM</f>
        <v>5.5493361780582941E-5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45.128</v>
      </c>
      <c r="C105" s="388"/>
      <c r="D105" s="391">
        <f t="shared" si="24"/>
        <v>45.510154499134437</v>
      </c>
      <c r="E105" s="383">
        <f t="shared" si="46"/>
        <v>47.070726195314329</v>
      </c>
      <c r="F105" s="383">
        <f t="shared" si="25"/>
        <v>47.072702485113226</v>
      </c>
      <c r="G105" s="110">
        <f t="shared" si="47"/>
        <v>0.84203526508350646</v>
      </c>
      <c r="H105" s="412" t="b">
        <f>Wh_hp&gt;='2019'!Maxi_hp</f>
        <v>1</v>
      </c>
      <c r="I105" s="388">
        <f>IF(H105,Wh_hp,'2019'!Maxi_hp)</f>
        <v>47.072702485113226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8.3971259456327996E-3</v>
      </c>
      <c r="M105" s="832"/>
      <c r="N105" s="832"/>
      <c r="O105" s="48">
        <f>IF(t&lt;Tnet,'2019'!Resal+('2019'!Salim-'2019'!Resal)*(1-EXP(('2019'!Tnet-t)/('2019'!Tau_j))),Resal+(Salim-Resal)*(1-EXP((Tnet-t)/(Tau_j))))*Salcycl</f>
        <v>3.3153762907852491E-2</v>
      </c>
      <c r="P105" s="169">
        <f>(INDEX(Models!$BJ105:$BT105,,T105)*(1-R105)+INDEX(Models!$BJ105:$BT105,,T105+1)*R105-ERP_i)*Q105*Ramure*Pc/MaxiM</f>
        <v>5.4218030738589911E-5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53.593299165324403</v>
      </c>
      <c r="W105" s="58"/>
      <c r="X105" s="157">
        <f t="shared" si="33"/>
        <v>43921</v>
      </c>
      <c r="Y105" s="383">
        <f t="shared" si="34"/>
        <v>45.128</v>
      </c>
      <c r="Z105" s="383">
        <f t="shared" si="35"/>
        <v>45.510154499134437</v>
      </c>
      <c r="AA105" s="384">
        <f t="shared" si="36"/>
        <v>47.070726195314329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3.3153762907852491E-2</v>
      </c>
      <c r="AD105" s="230">
        <f>(INDEX(Models!$BJ105:$BT105,,AH105)*(1-AF105)+INDEX(Models!$BJ105:$BT105,,AH105+1)*AF105-ERP_i)*AE105*Ramure*Pc/MaxiM</f>
        <v>5.4218030738589911E-5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42.337000000000003</v>
      </c>
      <c r="C106" s="388"/>
      <c r="D106" s="391">
        <f t="shared" si="24"/>
        <v>42.696337921440204</v>
      </c>
      <c r="E106" s="383">
        <f t="shared" si="46"/>
        <v>44.163436014672676</v>
      </c>
      <c r="F106" s="383">
        <f t="shared" si="25"/>
        <v>44.165060139896411</v>
      </c>
      <c r="G106" s="110">
        <f t="shared" si="47"/>
        <v>0.78551970937202154</v>
      </c>
      <c r="H106" s="412" t="b">
        <f>Wh_hp&gt;='2019'!Maxi_hp</f>
        <v>1</v>
      </c>
      <c r="I106" s="388">
        <f>IF(H106,Wh_hp,'2019'!Maxi_hp)</f>
        <v>44.165060139896411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8.4161297884930431E-3</v>
      </c>
      <c r="M106" s="832"/>
      <c r="N106" s="832"/>
      <c r="O106" s="48">
        <f>IF(t&lt;Tnet,'2019'!Resal+('2019'!Salim-'2019'!Resal)*(1-EXP(('2019'!Tnet-t)/('2019'!Tau_j))),Resal+(Salim-Resal)*(1-EXP((Tnet-t)/(Tau_j))))*Salcycl</f>
        <v>3.3219745237781026E-2</v>
      </c>
      <c r="P106" s="169">
        <f>(INDEX(Models!$BJ106:$BT106,,T106)*(1-R106)+INDEX(Models!$BJ106:$BT106,,T106+1)*R106-ERP_i)*Q106*Ramure*Pc/MaxiM</f>
        <v>5.3017646691671334E-5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53.895926176843929</v>
      </c>
      <c r="W106" s="58"/>
      <c r="X106" s="157">
        <f t="shared" si="33"/>
        <v>43922</v>
      </c>
      <c r="Y106" s="383">
        <f t="shared" si="34"/>
        <v>42.337000000000003</v>
      </c>
      <c r="Z106" s="383">
        <f t="shared" si="35"/>
        <v>42.696337921440204</v>
      </c>
      <c r="AA106" s="384">
        <f t="shared" si="36"/>
        <v>44.163436014672676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3.3219745237781026E-2</v>
      </c>
      <c r="AD106" s="230">
        <f>(INDEX(Models!$BJ106:$BT106,,AH106)*(1-AF106)+INDEX(Models!$BJ106:$BT106,,AH106+1)*AF106-ERP_i)*AE106*Ramure*Pc/MaxiM</f>
        <v>5.3017646691671334E-5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27.228000000000002</v>
      </c>
      <c r="C107" s="388"/>
      <c r="D107" s="391">
        <f t="shared" si="24"/>
        <v>27.459625601413947</v>
      </c>
      <c r="E107" s="383">
        <f t="shared" si="46"/>
        <v>28.40511890464261</v>
      </c>
      <c r="F107" s="383">
        <f t="shared" si="25"/>
        <v>28.405545180440075</v>
      </c>
      <c r="G107" s="110">
        <f t="shared" si="47"/>
        <v>0.50242659290240377</v>
      </c>
      <c r="H107" s="412" t="b">
        <f>Wh_hp&gt;='2019'!Maxi_hp</f>
        <v>1</v>
      </c>
      <c r="I107" s="388">
        <f>IF(H107,Wh_hp,'2019'!Maxi_hp)</f>
        <v>28.405545180440075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8.4351332671490642E-3</v>
      </c>
      <c r="M107" s="832"/>
      <c r="N107" s="832"/>
      <c r="O107" s="48">
        <f>IF(t&lt;Tnet,'2019'!Resal+('2019'!Salim-'2019'!Resal)*(1-EXP(('2019'!Tnet-t)/('2019'!Tau_j))),Resal+(Salim-Resal)*(1-EXP((Tnet-t)/(Tau_j))))*Salcycl</f>
        <v>3.3286018143515901E-2</v>
      </c>
      <c r="P107" s="169">
        <f>(INDEX(Models!$BJ107:$BT107,,T107)*(1-R107)+INDEX(Models!$BJ107:$BT107,,T107+1)*R107-ERP_i)*Q107*Ramure*Pc/MaxiM</f>
        <v>5.1889354024004066E-5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54.190992536737809</v>
      </c>
      <c r="W107" s="58"/>
      <c r="X107" s="157">
        <f t="shared" si="33"/>
        <v>43923</v>
      </c>
      <c r="Y107" s="383">
        <f t="shared" si="34"/>
        <v>27.228000000000002</v>
      </c>
      <c r="Z107" s="383">
        <f t="shared" si="35"/>
        <v>27.459625601413947</v>
      </c>
      <c r="AA107" s="384">
        <f t="shared" si="36"/>
        <v>28.40511890464261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3.3286018143515901E-2</v>
      </c>
      <c r="AD107" s="230">
        <f>(INDEX(Models!$BJ107:$BT107,,AH107)*(1-AF107)+INDEX(Models!$BJ107:$BT107,,AH107+1)*AF107-ERP_i)*AE107*Ramure*Pc/MaxiM</f>
        <v>5.1889354024004066E-5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55.165999999999997</v>
      </c>
      <c r="C108" s="388"/>
      <c r="D108" s="391">
        <f t="shared" si="24"/>
        <v>55.63635735283674</v>
      </c>
      <c r="E108" s="383">
        <f t="shared" si="46"/>
        <v>57.555999269832313</v>
      </c>
      <c r="F108" s="383">
        <f t="shared" si="25"/>
        <v>57.558924699627966</v>
      </c>
      <c r="G108" s="110">
        <f t="shared" si="47"/>
        <v>1.0125828386719014</v>
      </c>
      <c r="H108" s="412" t="b">
        <f>Wh_hp&gt;='2019'!Maxi_hp</f>
        <v>1</v>
      </c>
      <c r="I108" s="388">
        <f>IF(H108,Wh_hp,'2019'!Maxi_hp)</f>
        <v>57.558924699627966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8.4541363816076354E-3</v>
      </c>
      <c r="M108" s="832"/>
      <c r="N108" s="832"/>
      <c r="O108" s="48">
        <f>IF(t&lt;Tnet,'2019'!Resal+('2019'!Salim-'2019'!Resal)*(1-EXP(('2019'!Tnet-t)/('2019'!Tau_j))),Resal+(Salim-Resal)*(1-EXP((Tnet-t)/(Tau_j))))*Salcycl</f>
        <v>3.3352594713818885E-2</v>
      </c>
      <c r="P108" s="169">
        <f>(INDEX(Models!$BJ108:$BT108,,T108)*(1-R108)+INDEX(Models!$BJ108:$BT108,,T108+1)*R108-ERP_i)*Q108*Ramure*Pc/MaxiM</f>
        <v>5.0824955659229784E-5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54.480480898091706</v>
      </c>
      <c r="W108" s="58"/>
      <c r="X108" s="157">
        <f t="shared" si="33"/>
        <v>43924</v>
      </c>
      <c r="Y108" s="383">
        <f t="shared" si="34"/>
        <v>55.165999999999997</v>
      </c>
      <c r="Z108" s="383">
        <f t="shared" si="35"/>
        <v>55.63635735283674</v>
      </c>
      <c r="AA108" s="384">
        <f t="shared" si="36"/>
        <v>57.555999269832313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3.3352594713818885E-2</v>
      </c>
      <c r="AD108" s="230">
        <f>(INDEX(Models!$BJ108:$BT108,,AH108)*(1-AF108)+INDEX(Models!$BJ108:$BT108,,AH108+1)*AF108-ERP_i)*AE108*Ramure*Pc/MaxiM</f>
        <v>5.0824955659229784E-5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56.668999999999997</v>
      </c>
      <c r="C109" s="388"/>
      <c r="D109" s="391">
        <f t="shared" si="24"/>
        <v>57.153267588115433</v>
      </c>
      <c r="E109" s="383">
        <f t="shared" si="46"/>
        <v>59.129339839976467</v>
      </c>
      <c r="F109" s="383">
        <f t="shared" si="25"/>
        <v>59.132284614261103</v>
      </c>
      <c r="G109" s="110">
        <f t="shared" si="47"/>
        <v>1.0347801875868516</v>
      </c>
      <c r="H109" s="412" t="b">
        <f>Wh_hp&gt;='2019'!Maxi_hp</f>
        <v>1</v>
      </c>
      <c r="I109" s="388">
        <f>IF(H109,Wh_hp,'2019'!Maxi_hp)</f>
        <v>59.132284614261103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8.473139131875973E-3</v>
      </c>
      <c r="M109" s="832"/>
      <c r="N109" s="832"/>
      <c r="O109" s="48">
        <f>IF(t&lt;Tnet,'2019'!Resal+('2019'!Salim-'2019'!Resal)*(1-EXP(('2019'!Tnet-t)/('2019'!Tau_j))),Resal+(Salim-Resal)*(1-EXP((Tnet-t)/(Tau_j))))*Salcycl</f>
        <v>3.3419487807726841E-2</v>
      </c>
      <c r="P109" s="169">
        <f>(INDEX(Models!$BJ109:$BT109,,T109)*(1-R109)+INDEX(Models!$BJ109:$BT109,,T109+1)*R109-ERP_i)*Q109*Ramure*Pc/MaxiM</f>
        <v>4.9799771881638862E-5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54.764287797347897</v>
      </c>
      <c r="W109" s="58"/>
      <c r="X109" s="157">
        <f t="shared" si="33"/>
        <v>43925</v>
      </c>
      <c r="Y109" s="383">
        <f t="shared" si="34"/>
        <v>56.668999999999997</v>
      </c>
      <c r="Z109" s="383">
        <f t="shared" si="35"/>
        <v>57.153267588115433</v>
      </c>
      <c r="AA109" s="384">
        <f t="shared" si="36"/>
        <v>59.129339839976467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3.3419487807726841E-2</v>
      </c>
      <c r="AD109" s="230">
        <f>(INDEX(Models!$BJ109:$BT109,,AH109)*(1-AF109)+INDEX(Models!$BJ109:$BT109,,AH109+1)*AF109-ERP_i)*AE109*Ramure*Pc/MaxiM</f>
        <v>4.9799771881638862E-5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57.189</v>
      </c>
      <c r="C110" s="388"/>
      <c r="D110" s="391">
        <f t="shared" si="24"/>
        <v>57.678816673782279</v>
      </c>
      <c r="E110" s="383">
        <f t="shared" si="46"/>
        <v>59.677210103848985</v>
      </c>
      <c r="F110" s="383">
        <f t="shared" si="25"/>
        <v>59.680123270108488</v>
      </c>
      <c r="G110" s="110">
        <f t="shared" si="47"/>
        <v>1.0390007527850458</v>
      </c>
      <c r="H110" s="412" t="b">
        <f>Wh_hp&gt;='2019'!Maxi_hp</f>
        <v>1</v>
      </c>
      <c r="I110" s="388">
        <f>IF(H110,Wh_hp,'2019'!Maxi_hp)</f>
        <v>59.680123270108488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8.4921415179608495E-3</v>
      </c>
      <c r="M110" s="832"/>
      <c r="N110" s="832"/>
      <c r="O110" s="48">
        <f>IF(t&lt;Tnet,'2019'!Resal+('2019'!Salim-'2019'!Resal)*(1-EXP(('2019'!Tnet-t)/('2019'!Tau_j))),Resal+(Salim-Resal)*(1-EXP((Tnet-t)/(Tau_j))))*Salcycl</f>
        <v>3.3486710028654935E-2</v>
      </c>
      <c r="P110" s="169">
        <f>(INDEX(Models!$BJ110:$BT110,,T110)*(1-R110)+INDEX(Models!$BJ110:$BT110,,T110+1)*R110-ERP_i)*Q110*Ramure*Pc/MaxiM</f>
        <v>4.8813006741308055E-5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55.042308532216794</v>
      </c>
      <c r="W110" s="58"/>
      <c r="X110" s="157">
        <f t="shared" si="33"/>
        <v>43926</v>
      </c>
      <c r="Y110" s="383">
        <f t="shared" si="34"/>
        <v>57.189</v>
      </c>
      <c r="Z110" s="383">
        <f t="shared" si="35"/>
        <v>57.678816673782279</v>
      </c>
      <c r="AA110" s="384">
        <f t="shared" si="36"/>
        <v>59.677210103848985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3.3486710028654935E-2</v>
      </c>
      <c r="AD110" s="230">
        <f>(INDEX(Models!$BJ110:$BT110,,AH110)*(1-AF110)+INDEX(Models!$BJ110:$BT110,,AH110+1)*AF110-ERP_i)*AE110*Ramure*Pc/MaxiM</f>
        <v>4.8813006741308055E-5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32.110999999999997</v>
      </c>
      <c r="C111" s="388"/>
      <c r="D111" s="391">
        <f t="shared" si="24"/>
        <v>32.38664740483771</v>
      </c>
      <c r="E111" s="383">
        <f t="shared" si="46"/>
        <v>33.51108761047373</v>
      </c>
      <c r="F111" s="383">
        <f t="shared" si="25"/>
        <v>33.511730397190455</v>
      </c>
      <c r="G111" s="110">
        <f t="shared" si="47"/>
        <v>0.58050085734163015</v>
      </c>
      <c r="H111" s="412" t="b">
        <f>Wh_hp&gt;='2019'!Maxi_hp</f>
        <v>1</v>
      </c>
      <c r="I111" s="388">
        <f>IF(H111,Wh_hp,'2019'!Maxi_hp)</f>
        <v>33.511730397190455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8.5111435398693702E-3</v>
      </c>
      <c r="M111" s="832"/>
      <c r="N111" s="832"/>
      <c r="O111" s="48">
        <f>IF(t&lt;Tnet,'2019'!Resal+('2019'!Salim-'2019'!Resal)*(1-EXP(('2019'!Tnet-t)/('2019'!Tau_j))),Resal+(Salim-Resal)*(1-EXP((Tnet-t)/(Tau_j))))*Salcycl</f>
        <v>3.3554273699090038E-2</v>
      </c>
      <c r="P111" s="169">
        <f>(INDEX(Models!$BJ111:$BT111,,T111)*(1-R111)+INDEX(Models!$BJ111:$BT111,,T111+1)*R111-ERP_i)*Q111*Ramure*Pc/MaxiM</f>
        <v>4.7863902688395873E-5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55.314438450585286</v>
      </c>
      <c r="W111" s="58"/>
      <c r="X111" s="157">
        <f t="shared" si="33"/>
        <v>43927</v>
      </c>
      <c r="Y111" s="383">
        <f t="shared" si="34"/>
        <v>32.110999999999997</v>
      </c>
      <c r="Z111" s="383">
        <f t="shared" si="35"/>
        <v>32.38664740483771</v>
      </c>
      <c r="AA111" s="384">
        <f t="shared" si="36"/>
        <v>33.51108761047373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3.3554273699090038E-2</v>
      </c>
      <c r="AD111" s="230">
        <f>(INDEX(Models!$BJ111:$BT111,,AH111)*(1-AF111)+INDEX(Models!$BJ111:$BT111,,AH111+1)*AF111-ERP_i)*AE111*Ramure*Pc/MaxiM</f>
        <v>4.7863902688395873E-5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35.213000000000001</v>
      </c>
      <c r="C112" s="388"/>
      <c r="D112" s="391">
        <f t="shared" si="24"/>
        <v>35.515956263761801</v>
      </c>
      <c r="E112" s="383">
        <f t="shared" si="46"/>
        <v>36.751626462196818</v>
      </c>
      <c r="F112" s="383">
        <f t="shared" si="25"/>
        <v>36.752448703352073</v>
      </c>
      <c r="G112" s="110">
        <f t="shared" si="47"/>
        <v>0.63353313213851747</v>
      </c>
      <c r="H112" s="412" t="b">
        <f>Wh_hp&gt;='2019'!Maxi_hp</f>
        <v>1</v>
      </c>
      <c r="I112" s="388">
        <f>IF(H112,Wh_hp,'2019'!Maxi_hp)</f>
        <v>36.752448703352073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8.5301451976084186E-3</v>
      </c>
      <c r="M112" s="832"/>
      <c r="N112" s="832"/>
      <c r="O112" s="48">
        <f>IF(t&lt;Tnet,'2019'!Resal+('2019'!Salim-'2019'!Resal)*(1-EXP(('2019'!Tnet-t)/('2019'!Tau_j))),Resal+(Salim-Resal)*(1-EXP((Tnet-t)/(Tau_j))))*Salcycl</f>
        <v>3.3622190835718407E-2</v>
      </c>
      <c r="P112" s="169">
        <f>(INDEX(Models!$BJ112:$BT112,,T112)*(1-R112)+INDEX(Models!$BJ112:$BT112,,T112+1)*R112-ERP_i)*Q112*Ramure*Pc/MaxiM</f>
        <v>4.6951742210284414E-5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55.58057295289742</v>
      </c>
      <c r="W112" s="58"/>
      <c r="X112" s="157">
        <f t="shared" si="33"/>
        <v>43928</v>
      </c>
      <c r="Y112" s="383">
        <f t="shared" si="34"/>
        <v>35.213000000000001</v>
      </c>
      <c r="Z112" s="383">
        <f t="shared" si="35"/>
        <v>35.515956263761801</v>
      </c>
      <c r="AA112" s="384">
        <f t="shared" si="36"/>
        <v>36.751626462196818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3.3622190835718407E-2</v>
      </c>
      <c r="AD112" s="230">
        <f>(INDEX(Models!$BJ112:$BT112,,AH112)*(1-AF112)+INDEX(Models!$BJ112:$BT112,,AH112+1)*AF112-ERP_i)*AE112*Ramure*Pc/MaxiM</f>
        <v>4.6951742210284414E-5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43.156999999999996</v>
      </c>
      <c r="C113" s="388"/>
      <c r="D113" s="391">
        <f t="shared" si="24"/>
        <v>43.529136968579245</v>
      </c>
      <c r="E113" s="383">
        <f t="shared" si="46"/>
        <v>45.04678444943243</v>
      </c>
      <c r="F113" s="383">
        <f t="shared" si="25"/>
        <v>45.048186570983958</v>
      </c>
      <c r="G113" s="110">
        <f t="shared" si="47"/>
        <v>0.77284894776554935</v>
      </c>
      <c r="H113" s="412" t="b">
        <f>Wh_hp&gt;='2019'!Maxi_hp</f>
        <v>1</v>
      </c>
      <c r="I113" s="388">
        <f>IF(H113,Wh_hp,'2019'!Maxi_hp)</f>
        <v>45.048186570983958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8.5491464911851001E-3</v>
      </c>
      <c r="M113" s="832"/>
      <c r="N113" s="832"/>
      <c r="O113" s="48">
        <f>IF(t&lt;Tnet,'2019'!Resal+('2019'!Salim-'2019'!Resal)*(1-EXP(('2019'!Tnet-t)/('2019'!Tau_j))),Resal+(Salim-Resal)*(1-EXP((Tnet-t)/(Tau_j))))*Salcycl</f>
        <v>3.369047312482043E-2</v>
      </c>
      <c r="P113" s="169">
        <f>(INDEX(Models!$BJ113:$BT113,,T113)*(1-R113)+INDEX(Models!$BJ113:$BT113,,T113+1)*R113-ERP_i)*Q113*Ramure*Pc/MaxiM</f>
        <v>4.607584957975943E-5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55.840607492260126</v>
      </c>
      <c r="W113" s="58"/>
      <c r="X113" s="157">
        <f t="shared" si="33"/>
        <v>43929</v>
      </c>
      <c r="Y113" s="383">
        <f t="shared" si="34"/>
        <v>43.156999999999996</v>
      </c>
      <c r="Z113" s="383">
        <f t="shared" si="35"/>
        <v>43.529136968579245</v>
      </c>
      <c r="AA113" s="384">
        <f t="shared" si="36"/>
        <v>45.04678444943243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3.369047312482043E-2</v>
      </c>
      <c r="AD113" s="230">
        <f>(INDEX(Models!$BJ113:$BT113,,AH113)*(1-AF113)+INDEX(Models!$BJ113:$BT113,,AH113+1)*AF113-ERP_i)*AE113*Ramure*Pc/MaxiM</f>
        <v>4.607584957975943E-5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55.725999999999999</v>
      </c>
      <c r="C114" s="388"/>
      <c r="D114" s="391">
        <f t="shared" si="24"/>
        <v>56.207594959773061</v>
      </c>
      <c r="E114" s="383">
        <f t="shared" si="46"/>
        <v>58.171411306756575</v>
      </c>
      <c r="F114" s="383">
        <f t="shared" si="25"/>
        <v>58.174018609089053</v>
      </c>
      <c r="G114" s="110">
        <f t="shared" si="47"/>
        <v>0.99343142002008156</v>
      </c>
      <c r="H114" s="412" t="b">
        <f>Wh_hp&gt;='2019'!Maxi_hp</f>
        <v>1</v>
      </c>
      <c r="I114" s="388">
        <f>IF(H114,Wh_hp,'2019'!Maxi_hp)</f>
        <v>58.174018609089053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8.568147420606298E-3</v>
      </c>
      <c r="M114" s="832"/>
      <c r="N114" s="832"/>
      <c r="O114" s="48">
        <f>IF(t&lt;Tnet,'2019'!Resal+('2019'!Salim-'2019'!Resal)*(1-EXP(('2019'!Tnet-t)/('2019'!Tau_j))),Resal+(Salim-Resal)*(1-EXP((Tnet-t)/(Tau_j))))*Salcycl</f>
        <v>3.3759131897757796E-2</v>
      </c>
      <c r="P114" s="169">
        <f>(INDEX(Models!$BJ114:$BT114,,T114)*(1-R114)+INDEX(Models!$BJ114:$BT114,,T114+1)*R114-ERP_i)*Q114*Ramure*Pc/MaxiM</f>
        <v>4.5243540968048379E-5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56.094437138694381</v>
      </c>
      <c r="W114" s="58"/>
      <c r="X114" s="157">
        <f t="shared" si="33"/>
        <v>43930</v>
      </c>
      <c r="Y114" s="383">
        <f t="shared" si="34"/>
        <v>55.725999999999999</v>
      </c>
      <c r="Z114" s="383">
        <f t="shared" si="35"/>
        <v>56.207594959773061</v>
      </c>
      <c r="AA114" s="384">
        <f t="shared" si="36"/>
        <v>58.171411306756575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3.3759131897757796E-2</v>
      </c>
      <c r="AD114" s="230">
        <f>(INDEX(Models!$BJ114:$BT114,,AH114)*(1-AF114)+INDEX(Models!$BJ114:$BT114,,AH114+1)*AF114-ERP_i)*AE114*Ramure*Pc/MaxiM</f>
        <v>4.5243540968048379E-5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56.899000000000001</v>
      </c>
      <c r="C115" s="388"/>
      <c r="D115" s="391">
        <f t="shared" si="24"/>
        <v>57.391832155903472</v>
      </c>
      <c r="E115" s="383">
        <f t="shared" si="46"/>
        <v>59.401268858596758</v>
      </c>
      <c r="F115" s="383">
        <f t="shared" si="25"/>
        <v>59.403908056990687</v>
      </c>
      <c r="G115" s="110">
        <f t="shared" si="47"/>
        <v>1.0098867890589629</v>
      </c>
      <c r="H115" s="412" t="b">
        <f>Wh_hp&gt;='2019'!Maxi_hp</f>
        <v>1</v>
      </c>
      <c r="I115" s="388">
        <f>IF(H115,Wh_hp,'2019'!Maxi_hp)</f>
        <v>59.403908056990687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8.5871479858790067E-3</v>
      </c>
      <c r="M115" s="832"/>
      <c r="N115" s="832"/>
      <c r="O115" s="48">
        <f>IF(t&lt;Tnet,'2019'!Resal+('2019'!Salim-'2019'!Resal)*(1-EXP(('2019'!Tnet-t)/('2019'!Tau_j))),Resal+(Salim-Resal)*(1-EXP((Tnet-t)/(Tau_j))))*Salcycl</f>
        <v>3.3828178106375201E-2</v>
      </c>
      <c r="P115" s="169">
        <f>(INDEX(Models!$BJ115:$BT115,,T115)*(1-R115)+INDEX(Models!$BJ115:$BT115,,T115+1)*R115-ERP_i)*Q115*Ramure*Pc/MaxiM</f>
        <v>4.4428026374986405E-5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56.341958936822884</v>
      </c>
      <c r="W115" s="58"/>
      <c r="X115" s="157">
        <f t="shared" si="33"/>
        <v>43931</v>
      </c>
      <c r="Y115" s="383">
        <f t="shared" si="34"/>
        <v>56.899000000000001</v>
      </c>
      <c r="Z115" s="383">
        <f t="shared" si="35"/>
        <v>57.391832155903472</v>
      </c>
      <c r="AA115" s="384">
        <f t="shared" si="36"/>
        <v>59.401268858596758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3.3828178106375201E-2</v>
      </c>
      <c r="AD115" s="230">
        <f>(INDEX(Models!$BJ115:$BT115,,AH115)*(1-AF115)+INDEX(Models!$BJ115:$BT115,,AH115+1)*AF115-ERP_i)*AE115*Ramure*Pc/MaxiM</f>
        <v>4.4428026374986405E-5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55.701000000000001</v>
      </c>
      <c r="C116" s="388"/>
      <c r="D116" s="391">
        <f t="shared" si="24"/>
        <v>56.184532411753437</v>
      </c>
      <c r="E116" s="383">
        <f t="shared" si="46"/>
        <v>58.155878412600224</v>
      </c>
      <c r="F116" s="383">
        <f t="shared" si="25"/>
        <v>58.158359261021324</v>
      </c>
      <c r="G116" s="110">
        <f t="shared" si="47"/>
        <v>0.9844101299975605</v>
      </c>
      <c r="H116" s="412" t="b">
        <f>Wh_hp&gt;='2019'!Maxi_hp</f>
        <v>0</v>
      </c>
      <c r="I116" s="388">
        <f>IF(H116,Wh_hp,'2019'!Maxi_hp)</f>
        <v>58.857771528976158</v>
      </c>
      <c r="J116" s="85">
        <f>IF(H116,An,'2019'!An_max)</f>
        <v>2018</v>
      </c>
      <c r="K116" s="197">
        <f t="shared" si="26"/>
        <v>43932</v>
      </c>
      <c r="L116" s="147">
        <f>IF(t&lt;Tvie,1-EXP((T0-t)*PertePVj)+'2019'!Pspv,1-EXP((T0-t)*PertePVj)+Pspv)</f>
        <v>8.6061481870103318E-3</v>
      </c>
      <c r="M116" s="832"/>
      <c r="N116" s="832"/>
      <c r="O116" s="48">
        <f>IF(t&lt;Tnet,'2019'!Resal+('2019'!Salim-'2019'!Resal)*(1-EXP(('2019'!Tnet-t)/('2019'!Tau_j))),Resal+(Salim-Resal)*(1-EXP((Tnet-t)/(Tau_j))))*Salcycl</f>
        <v>3.3897622298138419E-2</v>
      </c>
      <c r="P116" s="169">
        <f>(INDEX(Models!$BJ116:$BT116,,T116)*(1-R116)+INDEX(Models!$BJ116:$BT116,,T116+1)*R116-ERP_i)*Q116*Ramure*Pc/MaxiM</f>
        <v>4.3628380094583733E-5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56.583068561894912</v>
      </c>
      <c r="W116" s="58"/>
      <c r="X116" s="157">
        <f t="shared" si="33"/>
        <v>43932</v>
      </c>
      <c r="Y116" s="383">
        <f t="shared" si="34"/>
        <v>55.701000000000001</v>
      </c>
      <c r="Z116" s="383">
        <f t="shared" si="35"/>
        <v>56.184532411753437</v>
      </c>
      <c r="AA116" s="384">
        <f t="shared" si="36"/>
        <v>58.155878412600224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3.3897622298138419E-2</v>
      </c>
      <c r="AD116" s="230">
        <f>(INDEX(Models!$BJ116:$BT116,,AH116)*(1-AF116)+INDEX(Models!$BJ116:$BT116,,AH116+1)*AF116-ERP_i)*AE116*Ramure*Pc/MaxiM</f>
        <v>4.3628380094583733E-5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44.466999999999999</v>
      </c>
      <c r="C117" s="388"/>
      <c r="D117" s="391">
        <f t="shared" si="24"/>
        <v>44.85387127923314</v>
      </c>
      <c r="E117" s="383">
        <f t="shared" si="46"/>
        <v>46.431015622621224</v>
      </c>
      <c r="F117" s="383">
        <f t="shared" si="25"/>
        <v>46.43238720088965</v>
      </c>
      <c r="G117" s="110">
        <f t="shared" si="47"/>
        <v>0.78261595077716473</v>
      </c>
      <c r="H117" s="412" t="b">
        <f>Wh_hp&gt;='2019'!Maxi_hp</f>
        <v>0</v>
      </c>
      <c r="I117" s="388">
        <f>IF(H117,Wh_hp,'2019'!Maxi_hp)</f>
        <v>58.816606841862637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8.6251480240070455E-3</v>
      </c>
      <c r="M117" s="832"/>
      <c r="N117" s="832"/>
      <c r="O117" s="48">
        <f>IF(t&lt;Tnet,'2019'!Resal+('2019'!Salim-'2019'!Resal)*(1-EXP(('2019'!Tnet-t)/('2019'!Tau_j))),Resal+(Salim-Resal)*(1-EXP((Tnet-t)/(Tau_j))))*Salcycl</f>
        <v>3.3967474590835836E-2</v>
      </c>
      <c r="P117" s="169">
        <f>(INDEX(Models!$BJ117:$BT117,,T117)*(1-R117)+INDEX(Models!$BJ117:$BT117,,T117+1)*R117-ERP_i)*Q117*Ramure*Pc/MaxiM</f>
        <v>4.2843661713953742E-5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56.817661755360881</v>
      </c>
      <c r="W117" s="58"/>
      <c r="X117" s="157">
        <f t="shared" si="33"/>
        <v>43933</v>
      </c>
      <c r="Y117" s="383">
        <f t="shared" si="34"/>
        <v>44.466999999999999</v>
      </c>
      <c r="Z117" s="383">
        <f t="shared" si="35"/>
        <v>44.85387127923314</v>
      </c>
      <c r="AA117" s="384">
        <f t="shared" si="36"/>
        <v>46.431015622621224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3.3967474590835836E-2</v>
      </c>
      <c r="AD117" s="230">
        <f>(INDEX(Models!$BJ117:$BT117,,AH117)*(1-AF117)+INDEX(Models!$BJ117:$BT117,,AH117+1)*AF117-ERP_i)*AE117*Ramure*Pc/MaxiM</f>
        <v>4.2843661713953742E-5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17.306999999999999</v>
      </c>
      <c r="C118" s="388"/>
      <c r="D118" s="391">
        <f t="shared" si="24"/>
        <v>17.457908738119304</v>
      </c>
      <c r="E118" s="383">
        <f t="shared" si="46"/>
        <v>18.073075465804497</v>
      </c>
      <c r="F118" s="383">
        <f t="shared" si="25"/>
        <v>18.073079146822568</v>
      </c>
      <c r="G118" s="110">
        <f t="shared" si="47"/>
        <v>0.30337598258073373</v>
      </c>
      <c r="H118" s="412" t="b">
        <f>Wh_hp&gt;='2019'!Maxi_hp</f>
        <v>0</v>
      </c>
      <c r="I118" s="388">
        <f>IF(H118,Wh_hp,'2019'!Maxi_hp)</f>
        <v>29.202405391549902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8.6441474968761423E-3</v>
      </c>
      <c r="M118" s="832"/>
      <c r="N118" s="832"/>
      <c r="O118" s="48">
        <f>IF(t&lt;Tnet,'2019'!Resal+('2019'!Salim-'2019'!Resal)*(1-EXP(('2019'!Tnet-t)/('2019'!Tau_j))),Resal+(Salim-Resal)*(1-EXP((Tnet-t)/(Tau_j))))*Salcycl</f>
        <v>3.40377446466779E-2</v>
      </c>
      <c r="P118" s="169">
        <f>(INDEX(Models!$BJ118:$BT118,,T118)*(1-R118)+INDEX(Models!$BJ118:$BT118,,T118+1)*R118-ERP_i)*Q118*Ramure*Pc/MaxiM</f>
        <v>4.2072915526739272E-5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57.045634336875949</v>
      </c>
      <c r="W118" s="58"/>
      <c r="X118" s="157">
        <f t="shared" si="33"/>
        <v>43934</v>
      </c>
      <c r="Y118" s="383">
        <f t="shared" si="34"/>
        <v>17.306999999999999</v>
      </c>
      <c r="Z118" s="383">
        <f t="shared" si="35"/>
        <v>17.457908738119304</v>
      </c>
      <c r="AA118" s="384">
        <f t="shared" si="36"/>
        <v>18.073075465804497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3.40377446466779E-2</v>
      </c>
      <c r="AD118" s="230">
        <f>(INDEX(Models!$BJ118:$BT118,,AH118)*(1-AF118)+INDEX(Models!$BJ118:$BT118,,AH118+1)*AF118-ERP_i)*AE118*Ramure*Pc/MaxiM</f>
        <v>4.2072915526739272E-5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54.606000000000002</v>
      </c>
      <c r="C119" s="388"/>
      <c r="D119" s="391">
        <f t="shared" si="24"/>
        <v>55.083193783250337</v>
      </c>
      <c r="E119" s="383">
        <f t="shared" si="46"/>
        <v>57.02834164644586</v>
      </c>
      <c r="F119" s="383">
        <f t="shared" si="25"/>
        <v>57.030541471388275</v>
      </c>
      <c r="G119" s="110">
        <f t="shared" si="47"/>
        <v>0.9535327949475777</v>
      </c>
      <c r="H119" s="412" t="b">
        <f>Wh_hp&gt;='2019'!Maxi_hp</f>
        <v>1</v>
      </c>
      <c r="I119" s="388">
        <f>IF(H119,Wh_hp,'2019'!Maxi_hp)</f>
        <v>57.030541471388275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8.6631466056247275E-3</v>
      </c>
      <c r="M119" s="832"/>
      <c r="N119" s="832"/>
      <c r="O119" s="48">
        <f>IF(t&lt;Tnet,'2019'!Resal+('2019'!Salim-'2019'!Resal)*(1-EXP(('2019'!Tnet-t)/('2019'!Tau_j))),Resal+(Salim-Resal)*(1-EXP((Tnet-t)/(Tau_j))))*Salcycl</f>
        <v>3.4108441645641745E-2</v>
      </c>
      <c r="P119" s="169">
        <f>(INDEX(Models!$BJ119:$BT119,,T119)*(1-R119)+INDEX(Models!$BJ119:$BT119,,T119+1)*R119-ERP_i)*Q119*Ramure*Pc/MaxiM</f>
        <v>4.1315169929050899E-5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57.266882199643113</v>
      </c>
      <c r="W119" s="58"/>
      <c r="X119" s="157">
        <f t="shared" si="33"/>
        <v>43935</v>
      </c>
      <c r="Y119" s="383">
        <f t="shared" si="34"/>
        <v>54.606000000000002</v>
      </c>
      <c r="Z119" s="383">
        <f t="shared" si="35"/>
        <v>55.083193783250337</v>
      </c>
      <c r="AA119" s="384">
        <f t="shared" si="36"/>
        <v>57.02834164644586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3.4108441645641745E-2</v>
      </c>
      <c r="AD119" s="230">
        <f>(INDEX(Models!$BJ119:$BT119,,AH119)*(1-AF119)+INDEX(Models!$BJ119:$BT119,,AH119+1)*AF119-ERP_i)*AE119*Ramure*Pc/MaxiM</f>
        <v>4.1315169929050899E-5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49.283999999999999</v>
      </c>
      <c r="C120" s="388"/>
      <c r="D120" s="391">
        <f t="shared" si="24"/>
        <v>49.715638398758983</v>
      </c>
      <c r="E120" s="383">
        <f t="shared" si="46"/>
        <v>51.475033115561423</v>
      </c>
      <c r="F120" s="383">
        <f t="shared" si="25"/>
        <v>51.476696038894211</v>
      </c>
      <c r="G120" s="110">
        <f t="shared" si="47"/>
        <v>0.85738477593196449</v>
      </c>
      <c r="H120" s="412" t="b">
        <f>Wh_hp&gt;='2019'!Maxi_hp</f>
        <v>1</v>
      </c>
      <c r="I120" s="388">
        <f>IF(H120,Wh_hp,'2019'!Maxi_hp)</f>
        <v>51.476696038894211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8.6821453502597956E-3</v>
      </c>
      <c r="M120" s="832"/>
      <c r="N120" s="832"/>
      <c r="O120" s="48">
        <f>IF(t&lt;Tnet,'2019'!Resal+('2019'!Salim-'2019'!Resal)*(1-EXP(('2019'!Tnet-t)/('2019'!Tau_j))),Resal+(Salim-Resal)*(1-EXP((Tnet-t)/(Tau_j))))*Salcycl</f>
        <v>3.4179574257924152E-2</v>
      </c>
      <c r="P120" s="169">
        <f>(INDEX(Models!$BJ120:$BT120,,T120)*(1-R120)+INDEX(Models!$BJ120:$BT120,,T120+1)*R120-ERP_i)*Q120*Ramure*Pc/MaxiM</f>
        <v>4.0569436772733511E-5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57.481301319784158</v>
      </c>
      <c r="W120" s="58"/>
      <c r="X120" s="157">
        <f t="shared" si="33"/>
        <v>43936</v>
      </c>
      <c r="Y120" s="383">
        <f t="shared" si="34"/>
        <v>49.283999999999999</v>
      </c>
      <c r="Z120" s="383">
        <f t="shared" si="35"/>
        <v>49.715638398758983</v>
      </c>
      <c r="AA120" s="384">
        <f t="shared" si="36"/>
        <v>51.475033115561423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3.4179574257924152E-2</v>
      </c>
      <c r="AD120" s="230">
        <f>(INDEX(Models!$BJ120:$BT120,,AH120)*(1-AF120)+INDEX(Models!$BJ120:$BT120,,AH120+1)*AF120-ERP_i)*AE120*Ramure*Pc/MaxiM</f>
        <v>4.0569436772733511E-5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44.558</v>
      </c>
      <c r="C121" s="388"/>
      <c r="D121" s="391">
        <f t="shared" si="24"/>
        <v>44.949108654977778</v>
      </c>
      <c r="E121" s="383">
        <f t="shared" si="46"/>
        <v>46.543269177716148</v>
      </c>
      <c r="F121" s="383">
        <f t="shared" si="25"/>
        <v>46.544520369263715</v>
      </c>
      <c r="G121" s="110">
        <f t="shared" si="47"/>
        <v>0.77237226941248283</v>
      </c>
      <c r="H121" s="412" t="b">
        <f>Wh_hp&gt;='2019'!Maxi_hp</f>
        <v>1</v>
      </c>
      <c r="I121" s="388">
        <f>IF(H121,Wh_hp,'2019'!Maxi_hp)</f>
        <v>46.544520369263715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8.70114373078823E-3</v>
      </c>
      <c r="M121" s="832"/>
      <c r="N121" s="832"/>
      <c r="O121" s="48">
        <f>IF(t&lt;Tnet,'2019'!Resal+('2019'!Salim-'2019'!Resal)*(1-EXP(('2019'!Tnet-t)/('2019'!Tau_j))),Resal+(Salim-Resal)*(1-EXP((Tnet-t)/(Tau_j))))*Salcycl</f>
        <v>3.425115061538523E-2</v>
      </c>
      <c r="P121" s="169">
        <f>(INDEX(Models!$BJ121:$BT121,,T121)*(1-R121)+INDEX(Models!$BJ121:$BT121,,T121+1)*R121-ERP_i)*Q121*Ramure*Pc/MaxiM</f>
        <v>3.983452930152901E-5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57.689050465402204</v>
      </c>
      <c r="W121" s="58"/>
      <c r="X121" s="157">
        <f t="shared" si="33"/>
        <v>43937</v>
      </c>
      <c r="Y121" s="383">
        <f t="shared" si="34"/>
        <v>44.558</v>
      </c>
      <c r="Z121" s="383">
        <f t="shared" si="35"/>
        <v>44.949108654977778</v>
      </c>
      <c r="AA121" s="384">
        <f t="shared" si="36"/>
        <v>46.543269177716148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3.425115061538523E-2</v>
      </c>
      <c r="AD121" s="230">
        <f>(INDEX(Models!$BJ121:$BT121,,AH121)*(1-AF121)+INDEX(Models!$BJ121:$BT121,,AH121+1)*AF121-ERP_i)*AE121*Ramure*Pc/MaxiM</f>
        <v>3.983452930152901E-5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34.134</v>
      </c>
      <c r="C122" s="388"/>
      <c r="D122" s="391">
        <f t="shared" si="24"/>
        <v>34.434271730451727</v>
      </c>
      <c r="E122" s="383">
        <f t="shared" si="46"/>
        <v>35.658173579424869</v>
      </c>
      <c r="F122" s="383">
        <f t="shared" si="25"/>
        <v>35.658750880418729</v>
      </c>
      <c r="G122" s="110">
        <f t="shared" si="47"/>
        <v>0.58961835039839228</v>
      </c>
      <c r="H122" s="412" t="b">
        <f>Wh_hp&gt;='2019'!Maxi_hp</f>
        <v>1</v>
      </c>
      <c r="I122" s="388">
        <f>IF(H122,Wh_hp,'2019'!Maxi_hp)</f>
        <v>35.658750880418729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8.7201417472170251E-3</v>
      </c>
      <c r="M122" s="832"/>
      <c r="N122" s="832"/>
      <c r="O122" s="48">
        <f>IF(t&lt;Tnet,'2019'!Resal+('2019'!Salim-'2019'!Resal)*(1-EXP(('2019'!Tnet-t)/('2019'!Tau_j))),Resal+(Salim-Resal)*(1-EXP((Tnet-t)/(Tau_j))))*Salcycl</f>
        <v>3.4323178281889008E-2</v>
      </c>
      <c r="P122" s="169">
        <f>(INDEX(Models!$BJ122:$BT122,,T122)*(1-R122)+INDEX(Models!$BJ122:$BT122,,T122+1)*R122-ERP_i)*Q122*Ramure*Pc/MaxiM</f>
        <v>3.9128019143232046E-5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57.890357354615432</v>
      </c>
      <c r="W122" s="58"/>
      <c r="X122" s="157">
        <f t="shared" si="33"/>
        <v>43938</v>
      </c>
      <c r="Y122" s="383">
        <f t="shared" si="34"/>
        <v>34.134</v>
      </c>
      <c r="Z122" s="383">
        <f t="shared" si="35"/>
        <v>34.434271730451727</v>
      </c>
      <c r="AA122" s="384">
        <f t="shared" si="36"/>
        <v>35.658173579424869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3.4323178281889008E-2</v>
      </c>
      <c r="AD122" s="230">
        <f>(INDEX(Models!$BJ122:$BT122,,AH122)*(1-AF122)+INDEX(Models!$BJ122:$BT122,,AH122+1)*AF122-ERP_i)*AE122*Ramure*Pc/MaxiM</f>
        <v>3.9128019143232046E-5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43.994999999999997</v>
      </c>
      <c r="C123" s="388"/>
      <c r="D123" s="391">
        <f t="shared" si="24"/>
        <v>44.38286807102466</v>
      </c>
      <c r="E123" s="383">
        <f t="shared" si="46"/>
        <v>45.963824339382768</v>
      </c>
      <c r="F123" s="383">
        <f t="shared" si="25"/>
        <v>45.96497935321883</v>
      </c>
      <c r="G123" s="110">
        <f t="shared" si="47"/>
        <v>0.75741146522184177</v>
      </c>
      <c r="H123" s="412" t="b">
        <f>Wh_hp&gt;='2019'!Maxi_hp</f>
        <v>0</v>
      </c>
      <c r="I123" s="388">
        <f>IF(H123,Wh_hp,'2019'!Maxi_hp)</f>
        <v>51.818233928199938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8.7391393995531752E-3</v>
      </c>
      <c r="M123" s="832"/>
      <c r="N123" s="832"/>
      <c r="O123" s="48">
        <f>IF(t&lt;Tnet,'2019'!Resal+('2019'!Salim-'2019'!Resal)*(1-EXP(('2019'!Tnet-t)/('2019'!Tau_j))),Resal+(Salim-Resal)*(1-EXP((Tnet-t)/(Tau_j))))*Salcycl</f>
        <v>3.4395664222472269E-2</v>
      </c>
      <c r="P123" s="169">
        <f>(INDEX(Models!$BJ123:$BT123,,T123)*(1-R123)+INDEX(Models!$BJ123:$BT123,,T123+1)*R123-ERP_i)*Q123*Ramure*Pc/MaxiM</f>
        <v>3.8454000520210633E-5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58.085222806303712</v>
      </c>
      <c r="W123" s="58"/>
      <c r="X123" s="157">
        <f t="shared" si="33"/>
        <v>43939</v>
      </c>
      <c r="Y123" s="383">
        <f t="shared" si="34"/>
        <v>43.994999999999997</v>
      </c>
      <c r="Z123" s="383">
        <f t="shared" si="35"/>
        <v>44.38286807102466</v>
      </c>
      <c r="AA123" s="384">
        <f t="shared" si="36"/>
        <v>45.963824339382768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3.4395664222472269E-2</v>
      </c>
      <c r="AD123" s="230">
        <f>(INDEX(Models!$BJ123:$BT123,,AH123)*(1-AF123)+INDEX(Models!$BJ123:$BT123,,AH123+1)*AF123-ERP_i)*AE123*Ramure*Pc/MaxiM</f>
        <v>3.8454000520210633E-5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18.492999999999999</v>
      </c>
      <c r="C124" s="388"/>
      <c r="D124" s="391">
        <f t="shared" si="24"/>
        <v>18.656395259786901</v>
      </c>
      <c r="E124" s="383">
        <f t="shared" si="46"/>
        <v>19.32241203673345</v>
      </c>
      <c r="F124" s="383">
        <f t="shared" si="25"/>
        <v>19.322430142986583</v>
      </c>
      <c r="G124" s="110">
        <f t="shared" si="47"/>
        <v>0.31733585797146552</v>
      </c>
      <c r="H124" s="412" t="b">
        <f>Wh_hp&gt;='2019'!Maxi_hp</f>
        <v>0</v>
      </c>
      <c r="I124" s="388">
        <f>IF(H124,Wh_hp,'2019'!Maxi_hp)</f>
        <v>52.580415314681325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8.7581366878035638E-3</v>
      </c>
      <c r="M124" s="832"/>
      <c r="N124" s="832"/>
      <c r="O124" s="48">
        <f>IF(t&lt;Tnet,'2019'!Resal+('2019'!Salim-'2019'!Resal)*(1-EXP(('2019'!Tnet-t)/('2019'!Tau_j))),Resal+(Salim-Resal)*(1-EXP((Tnet-t)/(Tau_j))))*Salcycl</f>
        <v>3.446861477130278E-2</v>
      </c>
      <c r="P124" s="169">
        <f>(INDEX(Models!$BJ124:$BT124,,T124)*(1-R124)+INDEX(Models!$BJ124:$BT124,,T124+1)*R124-ERP_i)*Q124*Ramure*Pc/MaxiM</f>
        <v>3.7811724234994961E-5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58.273647971531304</v>
      </c>
      <c r="W124" s="58"/>
      <c r="X124" s="157">
        <f t="shared" si="33"/>
        <v>43940</v>
      </c>
      <c r="Y124" s="383">
        <f t="shared" si="34"/>
        <v>18.492999999999999</v>
      </c>
      <c r="Z124" s="383">
        <f t="shared" si="35"/>
        <v>18.656395259786901</v>
      </c>
      <c r="AA124" s="384">
        <f t="shared" si="36"/>
        <v>19.32241203673345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3.446861477130278E-2</v>
      </c>
      <c r="AD124" s="230">
        <f>(INDEX(Models!$BJ124:$BT124,,AH124)*(1-AF124)+INDEX(Models!$BJ124:$BT124,,AH124+1)*AF124-ERP_i)*AE124*Ramure*Pc/MaxiM</f>
        <v>3.7811724234994961E-5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14.622999999999999</v>
      </c>
      <c r="C125" s="388"/>
      <c r="D125" s="391">
        <f t="shared" si="24"/>
        <v>14.75248452780918</v>
      </c>
      <c r="E125" s="383">
        <f t="shared" si="46"/>
        <v>15.280297093983993</v>
      </c>
      <c r="F125" s="383">
        <f t="shared" si="25"/>
        <v>15.280297093983993</v>
      </c>
      <c r="G125" s="110">
        <f t="shared" si="47"/>
        <v>0.25014622207635495</v>
      </c>
      <c r="H125" s="412" t="b">
        <f>Wh_hp&gt;='2019'!Maxi_hp</f>
        <v>0</v>
      </c>
      <c r="I125" s="388">
        <f>IF(H125,Wh_hp,'2019'!Maxi_hp)</f>
        <v>19.41752089025811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8.7771336119754073E-3</v>
      </c>
      <c r="M125" s="832"/>
      <c r="N125" s="832"/>
      <c r="O125" s="48">
        <f>IF(t&lt;Tnet,'2019'!Resal+('2019'!Salim-'2019'!Resal)*(1-EXP(('2019'!Tnet-t)/('2019'!Tau_j))),Resal+(Salim-Resal)*(1-EXP((Tnet-t)/(Tau_j))))*Salcycl</f>
        <v>3.454203559841898E-2</v>
      </c>
      <c r="P125" s="169">
        <f>(INDEX(Models!$BJ125:$BT125,,T125)*(1-R125)+INDEX(Models!$BJ125:$BT125,,T125+1)*R125-ERP_i)*Q125*Ramure*Pc/MaxiM</f>
        <v>3.7200587603890773E-5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58.455634046490168</v>
      </c>
      <c r="W125" s="58"/>
      <c r="X125" s="157">
        <f t="shared" si="33"/>
        <v>43941</v>
      </c>
      <c r="Y125" s="383">
        <f t="shared" si="34"/>
        <v>14.622999999999999</v>
      </c>
      <c r="Z125" s="383">
        <f t="shared" si="35"/>
        <v>14.75248452780918</v>
      </c>
      <c r="AA125" s="384">
        <f t="shared" si="36"/>
        <v>15.280297093983993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3.454203559841898E-2</v>
      </c>
      <c r="AD125" s="230">
        <f>(INDEX(Models!$BJ125:$BT125,,AH125)*(1-AF125)+INDEX(Models!$BJ125:$BT125,,AH125+1)*AF125-ERP_i)*AE125*Ramure*Pc/MaxiM</f>
        <v>3.7200587603890773E-5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15.308999999999999</v>
      </c>
      <c r="C126" s="388"/>
      <c r="D126" s="391">
        <f t="shared" si="24"/>
        <v>15.444854954670102</v>
      </c>
      <c r="E126" s="383">
        <f t="shared" si="46"/>
        <v>15.998663600770099</v>
      </c>
      <c r="F126" s="383">
        <f t="shared" si="25"/>
        <v>15.998663600770099</v>
      </c>
      <c r="G126" s="110">
        <f t="shared" si="47"/>
        <v>0.2610972316817447</v>
      </c>
      <c r="H126" s="412" t="b">
        <f>Wh_hp&gt;='2019'!Maxi_hp</f>
        <v>0</v>
      </c>
      <c r="I126" s="388">
        <f>IF(H126,Wh_hp,'2019'!Maxi_hp)</f>
        <v>33.666082670797877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8.7961301720754781E-3</v>
      </c>
      <c r="M126" s="832"/>
      <c r="N126" s="832"/>
      <c r="O126" s="48">
        <f>IF(t&lt;Tnet,'2019'!Resal+('2019'!Salim-'2019'!Resal)*(1-EXP(('2019'!Tnet-t)/('2019'!Tau_j))),Resal+(Salim-Resal)*(1-EXP((Tnet-t)/(Tau_j))))*Salcycl</f>
        <v>3.4615931675276837E-2</v>
      </c>
      <c r="P126" s="169">
        <f>(INDEX(Models!$BJ126:$BT126,,T126)*(1-R126)+INDEX(Models!$BJ126:$BT126,,T126+1)*R126-ERP_i)*Q126*Ramure*Pc/MaxiM</f>
        <v>3.6620024086511836E-5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58.63118228197434</v>
      </c>
      <c r="W126" s="58"/>
      <c r="X126" s="157">
        <f t="shared" si="33"/>
        <v>43942</v>
      </c>
      <c r="Y126" s="383">
        <f t="shared" si="34"/>
        <v>15.308999999999999</v>
      </c>
      <c r="Z126" s="383">
        <f t="shared" si="35"/>
        <v>15.444854954670102</v>
      </c>
      <c r="AA126" s="384">
        <f t="shared" si="36"/>
        <v>15.998663600770099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3.4615931675276837E-2</v>
      </c>
      <c r="AD126" s="230">
        <f>(INDEX(Models!$BJ126:$BT126,,AH126)*(1-AF126)+INDEX(Models!$BJ126:$BT126,,AH126+1)*AF126-ERP_i)*AE126*Ramure*Pc/MaxiM</f>
        <v>3.6620024086511836E-5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9.6440000000000001</v>
      </c>
      <c r="C127" s="388"/>
      <c r="D127" s="391">
        <f t="shared" si="24"/>
        <v>9.7297691445416792</v>
      </c>
      <c r="E127" s="383">
        <f t="shared" si="46"/>
        <v>10.079427584233656</v>
      </c>
      <c r="F127" s="383">
        <f t="shared" si="25"/>
        <v>10.079427584233656</v>
      </c>
      <c r="G127" s="110">
        <f t="shared" si="47"/>
        <v>0.16400686954930094</v>
      </c>
      <c r="H127" s="412" t="b">
        <f>Wh_hp&gt;='2019'!Maxi_hp</f>
        <v>0</v>
      </c>
      <c r="I127" s="388">
        <f>IF(H127,Wh_hp,'2019'!Maxi_hp)</f>
        <v>37.431792141481438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8.8151263681107705E-3</v>
      </c>
      <c r="M127" s="832"/>
      <c r="N127" s="832"/>
      <c r="O127" s="48">
        <f>IF(t&lt;Tnet,'2019'!Resal+('2019'!Salim-'2019'!Resal)*(1-EXP(('2019'!Tnet-t)/('2019'!Tau_j))),Resal+(Salim-Resal)*(1-EXP((Tnet-t)/(Tau_j))))*Salcycl</f>
        <v>3.4690307239164699E-2</v>
      </c>
      <c r="P127" s="169">
        <f>(INDEX(Models!$BJ127:$BT127,,T127)*(1-R127)+INDEX(Models!$BJ127:$BT127,,T127+1)*R127-ERP_i)*Q127*Ramure*Pc/MaxiM</f>
        <v>3.6069399569804811E-5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58.80029399507341</v>
      </c>
      <c r="W127" s="58"/>
      <c r="X127" s="157">
        <f t="shared" si="33"/>
        <v>43943</v>
      </c>
      <c r="Y127" s="383">
        <f t="shared" si="34"/>
        <v>9.6440000000000001</v>
      </c>
      <c r="Z127" s="383">
        <f t="shared" si="35"/>
        <v>9.7297691445416792</v>
      </c>
      <c r="AA127" s="384">
        <f t="shared" si="36"/>
        <v>10.079427584233656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3.4690307239164699E-2</v>
      </c>
      <c r="AD127" s="230">
        <f>(INDEX(Models!$BJ127:$BT127,,AH127)*(1-AF127)+INDEX(Models!$BJ127:$BT127,,AH127+1)*AF127-ERP_i)*AE127*Ramure*Pc/MaxiM</f>
        <v>3.6069399569804811E-5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16.388999999999999</v>
      </c>
      <c r="C128" s="388"/>
      <c r="D128" s="391">
        <f t="shared" si="24"/>
        <v>16.535072854181198</v>
      </c>
      <c r="E128" s="383">
        <f t="shared" si="46"/>
        <v>17.130621759151428</v>
      </c>
      <c r="F128" s="383">
        <f t="shared" si="25"/>
        <v>17.130621759151428</v>
      </c>
      <c r="G128" s="110">
        <f t="shared" si="47"/>
        <v>0.27794422913676137</v>
      </c>
      <c r="H128" s="412" t="b">
        <f>Wh_hp&gt;='2019'!Maxi_hp</f>
        <v>0</v>
      </c>
      <c r="I128" s="388">
        <f>IF(H128,Wh_hp,'2019'!Maxi_hp)</f>
        <v>52.401935556214717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8.8341222000882791E-3</v>
      </c>
      <c r="M128" s="832"/>
      <c r="N128" s="832"/>
      <c r="O128" s="48">
        <f>IF(t&lt;Tnet,'2019'!Resal+('2019'!Salim-'2019'!Resal)*(1-EXP(('2019'!Tnet-t)/('2019'!Tau_j))),Resal+(Salim-Resal)*(1-EXP((Tnet-t)/(Tau_j))))*Salcycl</f>
        <v>3.4765165756583137E-2</v>
      </c>
      <c r="P128" s="169">
        <f>(INDEX(Models!$BJ128:$BT128,,T128)*(1-R128)+INDEX(Models!$BJ128:$BT128,,T128+1)*R128-ERP_i)*Q128*Ramure*Pc/MaxiM</f>
        <v>3.5556663139007522E-5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58.962970063263867</v>
      </c>
      <c r="W128" s="58"/>
      <c r="X128" s="157">
        <f t="shared" si="33"/>
        <v>43944</v>
      </c>
      <c r="Y128" s="383">
        <f t="shared" si="34"/>
        <v>16.388999999999999</v>
      </c>
      <c r="Z128" s="383">
        <f t="shared" si="35"/>
        <v>16.535072854181198</v>
      </c>
      <c r="AA128" s="384">
        <f t="shared" si="36"/>
        <v>17.130621759151428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3.4765165756583137E-2</v>
      </c>
      <c r="AD128" s="230">
        <f>(INDEX(Models!$BJ128:$BT128,,AH128)*(1-AF128)+INDEX(Models!$BJ128:$BT128,,AH128+1)*AF128-ERP_i)*AE128*Ramure*Pc/MaxiM</f>
        <v>3.5556663139007522E-5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54.923000000000002</v>
      </c>
      <c r="C129" s="388"/>
      <c r="D129" s="391">
        <f t="shared" si="24"/>
        <v>55.413582970443649</v>
      </c>
      <c r="E129" s="383">
        <f t="shared" si="46"/>
        <v>57.413912972956005</v>
      </c>
      <c r="F129" s="383">
        <f t="shared" si="25"/>
        <v>57.415722541484826</v>
      </c>
      <c r="G129" s="110">
        <f t="shared" si="47"/>
        <v>0.92901786814060283</v>
      </c>
      <c r="H129" s="412" t="b">
        <f>Wh_hp&gt;='2019'!Maxi_hp</f>
        <v>1</v>
      </c>
      <c r="I129" s="388">
        <f>IF(H129,Wh_hp,'2019'!Maxi_hp)</f>
        <v>57.415722541484826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8.8531176680149981E-3</v>
      </c>
      <c r="M129" s="832"/>
      <c r="N129" s="832"/>
      <c r="O129" s="48">
        <f>IF(t&lt;Tnet,'2019'!Resal+('2019'!Salim-'2019'!Resal)*(1-EXP(('2019'!Tnet-t)/('2019'!Tau_j))),Resal+(Salim-Resal)*(1-EXP((Tnet-t)/(Tau_j))))*Salcycl</f>
        <v>3.4840509885723743E-2</v>
      </c>
      <c r="P129" s="169">
        <f>(INDEX(Models!$BJ129:$BT129,,T129)*(1-R129)+INDEX(Models!$BJ129:$BT129,,T129+1)*R129-ERP_i)*Q129*Ramure*Pc/MaxiM</f>
        <v>3.5073327983759497E-5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59.119212396733467</v>
      </c>
      <c r="W129" s="58"/>
      <c r="X129" s="157">
        <f t="shared" si="33"/>
        <v>43945</v>
      </c>
      <c r="Y129" s="383">
        <f t="shared" si="34"/>
        <v>54.923000000000002</v>
      </c>
      <c r="Z129" s="383">
        <f t="shared" si="35"/>
        <v>55.413582970443649</v>
      </c>
      <c r="AA129" s="384">
        <f t="shared" si="36"/>
        <v>57.413912972956005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3.4840509885723743E-2</v>
      </c>
      <c r="AD129" s="230">
        <f>(INDEX(Models!$BJ129:$BT129,,AH129)*(1-AF129)+INDEX(Models!$BJ129:$BT129,,AH129+1)*AF129-ERP_i)*AE129*Ramure*Pc/MaxiM</f>
        <v>3.5073327983759497E-5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46.838999999999999</v>
      </c>
      <c r="C130" s="388"/>
      <c r="D130" s="391">
        <f t="shared" si="24"/>
        <v>47.258280796633755</v>
      </c>
      <c r="E130" s="383">
        <f t="shared" si="46"/>
        <v>48.968066527062035</v>
      </c>
      <c r="F130" s="383">
        <f t="shared" si="25"/>
        <v>48.969253892862483</v>
      </c>
      <c r="G130" s="110">
        <f t="shared" si="47"/>
        <v>0.79026972618268976</v>
      </c>
      <c r="H130" s="412" t="b">
        <f>Wh_hp&gt;='2019'!Maxi_hp</f>
        <v>1</v>
      </c>
      <c r="I130" s="388">
        <f>IF(H130,Wh_hp,'2019'!Maxi_hp)</f>
        <v>48.969253892862483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8.872112771898033E-3</v>
      </c>
      <c r="M130" s="832"/>
      <c r="N130" s="832"/>
      <c r="O130" s="48">
        <f>IF(t&lt;Tnet,'2019'!Resal+('2019'!Salim-'2019'!Resal)*(1-EXP(('2019'!Tnet-t)/('2019'!Tau_j))),Resal+(Salim-Resal)*(1-EXP((Tnet-t)/(Tau_j))))*Salcycl</f>
        <v>3.4916341438218111E-2</v>
      </c>
      <c r="P130" s="169">
        <f>(INDEX(Models!$BJ130:$BT130,,T130)*(1-R130)+INDEX(Models!$BJ130:$BT130,,T130+1)*R130-ERP_i)*Q130*Ramure*Pc/MaxiM</f>
        <v>3.4619177946032362E-5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59.269022489278065</v>
      </c>
      <c r="W130" s="58"/>
      <c r="X130" s="157">
        <f t="shared" si="33"/>
        <v>43946</v>
      </c>
      <c r="Y130" s="383">
        <f t="shared" si="34"/>
        <v>46.838999999999999</v>
      </c>
      <c r="Z130" s="383">
        <f t="shared" si="35"/>
        <v>47.258280796633755</v>
      </c>
      <c r="AA130" s="384">
        <f t="shared" si="36"/>
        <v>48.968066527062035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3.4916341438218111E-2</v>
      </c>
      <c r="AD130" s="230">
        <f>(INDEX(Models!$BJ130:$BT130,,AH130)*(1-AF130)+INDEX(Models!$BJ130:$BT130,,AH130+1)*AF130-ERP_i)*AE130*Ramure*Pc/MaxiM</f>
        <v>3.4619177946032362E-5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25.306999999999999</v>
      </c>
      <c r="C131" s="388"/>
      <c r="D131" s="391">
        <f t="shared" si="24"/>
        <v>25.534025768313722</v>
      </c>
      <c r="E131" s="383">
        <f t="shared" si="46"/>
        <v>26.45992910663216</v>
      </c>
      <c r="F131" s="383">
        <f t="shared" si="25"/>
        <v>26.460091908291709</v>
      </c>
      <c r="G131" s="110">
        <f t="shared" si="47"/>
        <v>0.42594289309059979</v>
      </c>
      <c r="H131" s="412" t="b">
        <f>Wh_hp&gt;='2019'!Maxi_hp</f>
        <v>0</v>
      </c>
      <c r="I131" s="388">
        <f>IF(H131,Wh_hp,'2019'!Maxi_hp)</f>
        <v>29.835618313978816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8.8911075117441563E-3</v>
      </c>
      <c r="M131" s="832"/>
      <c r="N131" s="832"/>
      <c r="O131" s="48">
        <f>IF(t&lt;Tnet,'2019'!Resal+('2019'!Salim-'2019'!Resal)*(1-EXP(('2019'!Tnet-t)/('2019'!Tau_j))),Resal+(Salim-Resal)*(1-EXP((Tnet-t)/(Tau_j))))*Salcycl</f>
        <v>3.4992661340364752E-2</v>
      </c>
      <c r="P131" s="169">
        <f>(INDEX(Models!$BJ131:$BT131,,T131)*(1-R131)+INDEX(Models!$BJ131:$BT131,,T131+1)*R131-ERP_i)*Q131*Ramure*Pc/MaxiM</f>
        <v>3.4194059836140564E-5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59.412401906612544</v>
      </c>
      <c r="W131" s="58"/>
      <c r="X131" s="157">
        <f t="shared" si="33"/>
        <v>43947</v>
      </c>
      <c r="Y131" s="383">
        <f t="shared" si="34"/>
        <v>25.306999999999999</v>
      </c>
      <c r="Z131" s="383">
        <f t="shared" si="35"/>
        <v>25.534025768313722</v>
      </c>
      <c r="AA131" s="384">
        <f t="shared" si="36"/>
        <v>26.45992910663216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3.4992661340364752E-2</v>
      </c>
      <c r="AD131" s="230">
        <f>(INDEX(Models!$BJ131:$BT131,,AH131)*(1-AF131)+INDEX(Models!$BJ131:$BT131,,AH131+1)*AF131-ERP_i)*AE131*Ramure*Pc/MaxiM</f>
        <v>3.4194059836140564E-5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21.885000000000002</v>
      </c>
      <c r="C132" s="388"/>
      <c r="D132" s="391">
        <f t="shared" si="24"/>
        <v>22.081750648130548</v>
      </c>
      <c r="E132" s="383">
        <f t="shared" si="46"/>
        <v>22.884290580837266</v>
      </c>
      <c r="F132" s="383">
        <f t="shared" si="25"/>
        <v>22.884365174229188</v>
      </c>
      <c r="G132" s="110">
        <f t="shared" si="47"/>
        <v>0.36749907138521742</v>
      </c>
      <c r="H132" s="412" t="b">
        <f>Wh_hp&gt;='2019'!Maxi_hp</f>
        <v>0</v>
      </c>
      <c r="I132" s="388">
        <f>IF(H132,Wh_hp,'2019'!Maxi_hp)</f>
        <v>46.721279625112096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8.9101018875603621E-3</v>
      </c>
      <c r="M132" s="832"/>
      <c r="N132" s="832"/>
      <c r="O132" s="48">
        <f>IF(t&lt;Tnet,'2019'!Resal+('2019'!Salim-'2019'!Resal)*(1-EXP(('2019'!Tnet-t)/('2019'!Tau_j))),Resal+(Salim-Resal)*(1-EXP((Tnet-t)/(Tau_j))))*Salcycl</f>
        <v>3.5069469594078105E-2</v>
      </c>
      <c r="P132" s="169">
        <f>(INDEX(Models!$BJ132:$BT132,,T132)*(1-R132)+INDEX(Models!$BJ132:$BT132,,T132+1)*R132-ERP_i)*Q132*Ramure*Pc/MaxiM</f>
        <v>3.3797884981387321E-5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59.549352286802439</v>
      </c>
      <c r="W132" s="58"/>
      <c r="X132" s="157">
        <f t="shared" si="33"/>
        <v>43948</v>
      </c>
      <c r="Y132" s="383">
        <f t="shared" si="34"/>
        <v>21.885000000000002</v>
      </c>
      <c r="Z132" s="383">
        <f t="shared" si="35"/>
        <v>22.081750648130548</v>
      </c>
      <c r="AA132" s="384">
        <f t="shared" si="36"/>
        <v>22.884290580837266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3.5069469594078105E-2</v>
      </c>
      <c r="AD132" s="230">
        <f>(INDEX(Models!$BJ132:$BT132,,AH132)*(1-AF132)+INDEX(Models!$BJ132:$BT132,,AH132+1)*AF132-ERP_i)*AE132*Ramure*Pc/MaxiM</f>
        <v>3.3797884981387321E-5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29.417999999999999</v>
      </c>
      <c r="C133" s="388"/>
      <c r="D133" s="391">
        <f t="shared" si="24"/>
        <v>29.683042735166921</v>
      </c>
      <c r="E133" s="383">
        <f t="shared" si="46"/>
        <v>30.764308669684699</v>
      </c>
      <c r="F133" s="383">
        <f t="shared" si="25"/>
        <v>30.764592133365397</v>
      </c>
      <c r="G133" s="110">
        <f t="shared" si="47"/>
        <v>0.49291804676247403</v>
      </c>
      <c r="H133" s="412" t="b">
        <f>Wh_hp&gt;='2019'!Maxi_hp</f>
        <v>0</v>
      </c>
      <c r="I133" s="388">
        <f>IF(H133,Wh_hp,'2019'!Maxi_hp)</f>
        <v>51.783140656081144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8.9290958993537561E-3</v>
      </c>
      <c r="M133" s="832"/>
      <c r="N133" s="832"/>
      <c r="O133" s="48">
        <f>IF(t&lt;Tnet,'2019'!Resal+('2019'!Salim-'2019'!Resal)*(1-EXP(('2019'!Tnet-t)/('2019'!Tau_j))),Resal+(Salim-Resal)*(1-EXP((Tnet-t)/(Tau_j))))*Salcycl</f>
        <v>3.5146765237837531E-2</v>
      </c>
      <c r="P133" s="169">
        <f>(INDEX(Models!$BJ133:$BT133,,T133)*(1-R133)+INDEX(Models!$BJ133:$BT133,,T133+1)*R133-ERP_i)*Q133*Ramure*Pc/MaxiM</f>
        <v>3.3430630852768072E-5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59.679875347614072</v>
      </c>
      <c r="W133" s="58"/>
      <c r="X133" s="157">
        <f t="shared" si="33"/>
        <v>43949</v>
      </c>
      <c r="Y133" s="383">
        <f t="shared" si="34"/>
        <v>29.417999999999999</v>
      </c>
      <c r="Z133" s="383">
        <f t="shared" si="35"/>
        <v>29.683042735166921</v>
      </c>
      <c r="AA133" s="384">
        <f t="shared" si="36"/>
        <v>30.764308669684699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3.5146765237837531E-2</v>
      </c>
      <c r="AD133" s="230">
        <f>(INDEX(Models!$BJ133:$BT133,,AH133)*(1-AF133)+INDEX(Models!$BJ133:$BT133,,AH133+1)*AF133-ERP_i)*AE133*Ramure*Pc/MaxiM</f>
        <v>3.3430630852768072E-5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52.289000000000001</v>
      </c>
      <c r="C134" s="388"/>
      <c r="D134" s="391">
        <f t="shared" si="24"/>
        <v>52.761111147150849</v>
      </c>
      <c r="E134" s="383">
        <f t="shared" si="46"/>
        <v>54.687451826476241</v>
      </c>
      <c r="F134" s="383">
        <f t="shared" si="25"/>
        <v>54.688936729003679</v>
      </c>
      <c r="G134" s="110">
        <f t="shared" si="47"/>
        <v>0.87433471138109409</v>
      </c>
      <c r="H134" s="412" t="b">
        <f>Wh_hp&gt;='2019'!Maxi_hp</f>
        <v>0</v>
      </c>
      <c r="I134" s="388">
        <f>IF(H134,Wh_hp,'2019'!Maxi_hp)</f>
        <v>61.648626642094747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8.9480895471312216E-3</v>
      </c>
      <c r="M134" s="832"/>
      <c r="N134" s="832"/>
      <c r="O134" s="48">
        <f>IF(t&lt;Tnet,'2019'!Resal+('2019'!Salim-'2019'!Resal)*(1-EXP(('2019'!Tnet-t)/('2019'!Tau_j))),Resal+(Salim-Resal)*(1-EXP((Tnet-t)/(Tau_j))))*Salcycl</f>
        <v>3.5224546307947996E-2</v>
      </c>
      <c r="P134" s="169">
        <f>(INDEX(Models!$BJ134:$BT134,,T134)*(1-R134)+INDEX(Models!$BJ134:$BT134,,T134+1)*R134-ERP_i)*Q134*Ramure*Pc/MaxiM</f>
        <v>3.3092342777205296E-5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59.803972878314092</v>
      </c>
      <c r="W134" s="58"/>
      <c r="X134" s="157">
        <f t="shared" si="33"/>
        <v>43950</v>
      </c>
      <c r="Y134" s="383">
        <f t="shared" si="34"/>
        <v>52.289000000000001</v>
      </c>
      <c r="Z134" s="383">
        <f t="shared" si="35"/>
        <v>52.761111147150849</v>
      </c>
      <c r="AA134" s="384">
        <f t="shared" si="36"/>
        <v>54.687451826476241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3.5224546307947996E-2</v>
      </c>
      <c r="AD134" s="230">
        <f>(INDEX(Models!$BJ134:$BT134,,AH134)*(1-AF134)+INDEX(Models!$BJ134:$BT134,,AH134+1)*AF134-ERP_i)*AE134*Ramure*Pc/MaxiM</f>
        <v>3.3092342777205296E-5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44.42</v>
      </c>
      <c r="C135" s="388"/>
      <c r="D135" s="391">
        <f t="shared" si="24"/>
        <v>44.821921886193621</v>
      </c>
      <c r="E135" s="383">
        <f t="shared" si="46"/>
        <v>46.462166928175925</v>
      </c>
      <c r="F135" s="383">
        <f t="shared" si="25"/>
        <v>46.463127243475235</v>
      </c>
      <c r="G135" s="110">
        <f t="shared" si="47"/>
        <v>0.74130365979766866</v>
      </c>
      <c r="H135" s="412" t="b">
        <f>Wh_hp&gt;='2019'!Maxi_hp</f>
        <v>0</v>
      </c>
      <c r="I135" s="388">
        <f>IF(H135,Wh_hp,'2019'!Maxi_hp)</f>
        <v>57.098058064772587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8.967082830899753E-3</v>
      </c>
      <c r="M135" s="832"/>
      <c r="N135" s="832"/>
      <c r="O135" s="48">
        <f>IF(t&lt;Tnet,'2019'!Resal+('2019'!Salim-'2019'!Resal)*(1-EXP(('2019'!Tnet-t)/('2019'!Tau_j))),Resal+(Salim-Resal)*(1-EXP((Tnet-t)/(Tau_j))))*Salcycl</f>
        <v>3.5302809800453354E-2</v>
      </c>
      <c r="P135" s="169">
        <f>(INDEX(Models!$BJ135:$BT135,,T135)*(1-R135)+INDEX(Models!$BJ135:$BT135,,T135+1)*R135-ERP_i)*Q135*Ramure*Pc/MaxiM</f>
        <v>3.2783633282904531E-5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59.920737258034293</v>
      </c>
      <c r="W135" s="58"/>
      <c r="X135" s="157">
        <f t="shared" si="33"/>
        <v>43951</v>
      </c>
      <c r="Y135" s="383">
        <f t="shared" si="34"/>
        <v>44.42</v>
      </c>
      <c r="Z135" s="383">
        <f t="shared" si="35"/>
        <v>44.821921886193621</v>
      </c>
      <c r="AA135" s="384">
        <f t="shared" si="36"/>
        <v>46.462166928175925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3.5302809800453354E-2</v>
      </c>
      <c r="AD135" s="230">
        <f>(INDEX(Models!$BJ135:$BT135,,AH135)*(1-AF135)+INDEX(Models!$BJ135:$BT135,,AH135+1)*AF135-ERP_i)*AE135*Ramure*Pc/MaxiM</f>
        <v>3.2783633282904531E-5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20.826000000000001</v>
      </c>
      <c r="C136" s="388"/>
      <c r="D136" s="391">
        <f t="shared" si="24"/>
        <v>21.01484095268907</v>
      </c>
      <c r="E136" s="383">
        <f t="shared" si="46"/>
        <v>21.785651091670886</v>
      </c>
      <c r="F136" s="383">
        <f t="shared" si="25"/>
        <v>21.785698594166412</v>
      </c>
      <c r="G136" s="110">
        <f t="shared" si="47"/>
        <v>0.3469186681619893</v>
      </c>
      <c r="H136" s="412" t="b">
        <f>Wh_hp&gt;='2019'!Maxi_hp</f>
        <v>0</v>
      </c>
      <c r="I136" s="388">
        <f>IF(H136,Wh_hp,'2019'!Maxi_hp)</f>
        <v>32.122594679155981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8.9860757506663447E-3</v>
      </c>
      <c r="M136" s="832"/>
      <c r="N136" s="832"/>
      <c r="O136" s="48">
        <f>IF(t&lt;Tnet,'2019'!Resal+('2019'!Salim-'2019'!Resal)*(1-EXP(('2019'!Tnet-t)/('2019'!Tau_j))),Resal+(Salim-Resal)*(1-EXP((Tnet-t)/(Tau_j))))*Salcycl</f>
        <v>3.5381551634071258E-2</v>
      </c>
      <c r="P136" s="169">
        <f>(INDEX(Models!$BJ136:$BT136,,T136)*(1-R136)+INDEX(Models!$BJ136:$BT136,,T136+1)*R136-ERP_i)*Q136*Ramure*Pc/MaxiM</f>
        <v>3.2523694193366243E-5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60.029540008406798</v>
      </c>
      <c r="W136" s="58"/>
      <c r="X136" s="157">
        <f t="shared" si="33"/>
        <v>43952</v>
      </c>
      <c r="Y136" s="383">
        <f t="shared" si="34"/>
        <v>20.826000000000001</v>
      </c>
      <c r="Z136" s="383">
        <f t="shared" si="35"/>
        <v>21.01484095268907</v>
      </c>
      <c r="AA136" s="384">
        <f t="shared" si="36"/>
        <v>21.785651091670886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3.5381551634071258E-2</v>
      </c>
      <c r="AD136" s="230">
        <f>(INDEX(Models!$BJ136:$BT136,,AH136)*(1-AF136)+INDEX(Models!$BJ136:$BT136,,AH136+1)*AF136-ERP_i)*AE136*Ramure*Pc/MaxiM</f>
        <v>3.2523694193366243E-5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35.152999999999999</v>
      </c>
      <c r="C137" s="388"/>
      <c r="D137" s="391">
        <f t="shared" si="24"/>
        <v>35.472431670185472</v>
      </c>
      <c r="E137" s="383">
        <f t="shared" si="46"/>
        <v>36.776556559218434</v>
      </c>
      <c r="F137" s="383">
        <f t="shared" si="25"/>
        <v>36.777039416989602</v>
      </c>
      <c r="G137" s="110">
        <f t="shared" si="47"/>
        <v>0.584597638794213</v>
      </c>
      <c r="H137" s="412" t="b">
        <f>Wh_hp&gt;='2019'!Maxi_hp</f>
        <v>1</v>
      </c>
      <c r="I137" s="388">
        <f>IF(H137,Wh_hp,'2019'!Maxi_hp)</f>
        <v>36.777039416989602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9.0050683064379911E-3</v>
      </c>
      <c r="M137" s="832"/>
      <c r="N137" s="832"/>
      <c r="O137" s="48">
        <f>IF(t&lt;Tnet,'2019'!Resal+('2019'!Salim-'2019'!Resal)*(1-EXP(('2019'!Tnet-t)/('2019'!Tau_j))),Resal+(Salim-Resal)*(1-EXP((Tnet-t)/(Tau_j))))*Salcycl</f>
        <v>3.5460766614542429E-2</v>
      </c>
      <c r="P137" s="169">
        <f>(INDEX(Models!$BJ137:$BT137,,T137)*(1-R137)+INDEX(Models!$BJ137:$BT137,,T137+1)*R137-ERP_i)*Q137*Ramure*Pc/MaxiM</f>
        <v>3.2291789491432325E-5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60.130804574598557</v>
      </c>
      <c r="W137" s="58"/>
      <c r="X137" s="157">
        <f t="shared" si="33"/>
        <v>43953</v>
      </c>
      <c r="Y137" s="383">
        <f t="shared" si="34"/>
        <v>35.152999999999999</v>
      </c>
      <c r="Z137" s="383">
        <f t="shared" si="35"/>
        <v>35.472431670185472</v>
      </c>
      <c r="AA137" s="384">
        <f t="shared" si="36"/>
        <v>36.776556559218434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3.5460766614542429E-2</v>
      </c>
      <c r="AD137" s="230">
        <f>(INDEX(Models!$BJ137:$BT137,,AH137)*(1-AF137)+INDEX(Models!$BJ137:$BT137,,AH137+1)*AF137-ERP_i)*AE137*Ramure*Pc/MaxiM</f>
        <v>3.2291789491432325E-5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51.606000000000002</v>
      </c>
      <c r="C138" s="388"/>
      <c r="D138" s="391">
        <f t="shared" si="24"/>
        <v>52.075936400580382</v>
      </c>
      <c r="E138" s="383">
        <f t="shared" si="46"/>
        <v>53.99494080828179</v>
      </c>
      <c r="F138" s="383">
        <f t="shared" si="25"/>
        <v>53.996319215710827</v>
      </c>
      <c r="G138" s="110">
        <f t="shared" si="47"/>
        <v>0.85688172111629268</v>
      </c>
      <c r="H138" s="412" t="b">
        <f>Wh_hp&gt;='2019'!Maxi_hp</f>
        <v>1</v>
      </c>
      <c r="I138" s="388">
        <f>IF(H138,Wh_hp,'2019'!Maxi_hp)</f>
        <v>53.996319215710827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9.0240604982216865E-3</v>
      </c>
      <c r="M138" s="832"/>
      <c r="N138" s="832"/>
      <c r="O138" s="48">
        <f>IF(t&lt;Tnet,'2019'!Resal+('2019'!Salim-'2019'!Resal)*(1-EXP(('2019'!Tnet-t)/('2019'!Tau_j))),Resal+(Salim-Resal)*(1-EXP((Tnet-t)/(Tau_j))))*Salcycl</f>
        <v>3.5540448400807716E-2</v>
      </c>
      <c r="P138" s="169">
        <f>(INDEX(Models!$BJ138:$BT138,,T138)*(1-R138)+INDEX(Models!$BJ138:$BT138,,T138+1)*R138-ERP_i)*Q138*Ramure*Pc/MaxiM</f>
        <v>3.2088110306110866E-5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60.224953069296276</v>
      </c>
      <c r="W138" s="58"/>
      <c r="X138" s="157">
        <f t="shared" si="33"/>
        <v>43954</v>
      </c>
      <c r="Y138" s="383">
        <f t="shared" si="34"/>
        <v>51.606000000000002</v>
      </c>
      <c r="Z138" s="383">
        <f t="shared" si="35"/>
        <v>52.075936400580382</v>
      </c>
      <c r="AA138" s="384">
        <f t="shared" si="36"/>
        <v>53.99494080828179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3.5540448400807716E-2</v>
      </c>
      <c r="AD138" s="230">
        <f>(INDEX(Models!$BJ138:$BT138,,AH138)*(1-AF138)+INDEX(Models!$BJ138:$BT138,,AH138+1)*AF138-ERP_i)*AE138*Ramure*Pc/MaxiM</f>
        <v>3.2088110306110866E-5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57.305999999999997</v>
      </c>
      <c r="C139" s="388"/>
      <c r="D139" s="391">
        <f t="shared" si="24"/>
        <v>57.828950222824048</v>
      </c>
      <c r="E139" s="383">
        <f t="shared" si="46"/>
        <v>59.964936612706232</v>
      </c>
      <c r="F139" s="383">
        <f t="shared" si="25"/>
        <v>59.96671405061354</v>
      </c>
      <c r="G139" s="110">
        <f t="shared" si="47"/>
        <v>0.95015059270121371</v>
      </c>
      <c r="H139" s="412" t="b">
        <f>Wh_hp&gt;='2019'!Maxi_hp</f>
        <v>1</v>
      </c>
      <c r="I139" s="388">
        <f>IF(H139,Wh_hp,'2019'!Maxi_hp)</f>
        <v>59.96671405061354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9.0430523260243145E-3</v>
      </c>
      <c r="M139" s="832"/>
      <c r="N139" s="832"/>
      <c r="O139" s="48">
        <f>IF(t&lt;Tnet,'2019'!Resal+('2019'!Salim-'2019'!Resal)*(1-EXP(('2019'!Tnet-t)/('2019'!Tau_j))),Resal+(Salim-Resal)*(1-EXP((Tnet-t)/(Tau_j))))*Salcycl</f>
        <v>3.5620589473442092E-2</v>
      </c>
      <c r="P139" s="169">
        <f>(INDEX(Models!$BJ139:$BT139,,T139)*(1-R139)+INDEX(Models!$BJ139:$BT139,,T139+1)*R139-ERP_i)*Q139*Ramure*Pc/MaxiM</f>
        <v>3.1912940398683792E-5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60.312407534805914</v>
      </c>
      <c r="W139" s="58"/>
      <c r="X139" s="157">
        <f t="shared" si="33"/>
        <v>43955</v>
      </c>
      <c r="Y139" s="383">
        <f t="shared" si="34"/>
        <v>57.305999999999997</v>
      </c>
      <c r="Z139" s="383">
        <f t="shared" si="35"/>
        <v>57.828950222824048</v>
      </c>
      <c r="AA139" s="384">
        <f t="shared" si="36"/>
        <v>59.964936612706232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3.5620589473442092E-2</v>
      </c>
      <c r="AD139" s="230">
        <f>(INDEX(Models!$BJ139:$BT139,,AH139)*(1-AF139)+INDEX(Models!$BJ139:$BT139,,AH139+1)*AF139-ERP_i)*AE139*Ramure*Pc/MaxiM</f>
        <v>3.1912940398683792E-5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51.91</v>
      </c>
      <c r="C140" s="388"/>
      <c r="D140" s="391">
        <f t="shared" si="24"/>
        <v>52.384712559129689</v>
      </c>
      <c r="E140" s="383">
        <f t="shared" si="46"/>
        <v>54.324148835109654</v>
      </c>
      <c r="F140" s="383">
        <f t="shared" si="25"/>
        <v>54.325528264538782</v>
      </c>
      <c r="G140" s="110">
        <f t="shared" si="47"/>
        <v>0.85952282580807571</v>
      </c>
      <c r="H140" s="412" t="b">
        <f>Wh_hp&gt;='2019'!Maxi_hp</f>
        <v>0</v>
      </c>
      <c r="I140" s="388">
        <f>IF(H140,Wh_hp,'2019'!Maxi_hp)</f>
        <v>63.959766591204975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9.0620437898528694E-3</v>
      </c>
      <c r="M140" s="832"/>
      <c r="N140" s="832"/>
      <c r="O140" s="48">
        <f>IF(t&lt;Tnet,'2019'!Resal+('2019'!Salim-'2019'!Resal)*(1-EXP(('2019'!Tnet-t)/('2019'!Tau_j))),Resal+(Salim-Resal)*(1-EXP((Tnet-t)/(Tau_j))))*Salcycl</f>
        <v>3.5701181105786794E-2</v>
      </c>
      <c r="P140" s="169">
        <f>(INDEX(Models!$BJ140:$BT140,,T140)*(1-R140)+INDEX(Models!$BJ140:$BT140,,T140+1)*R140-ERP_i)*Q140*Ramure*Pc/MaxiM</f>
        <v>3.1766656553286598E-5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60.393589931929263</v>
      </c>
      <c r="W140" s="58"/>
      <c r="X140" s="157">
        <f t="shared" si="33"/>
        <v>43956</v>
      </c>
      <c r="Y140" s="383">
        <f t="shared" si="34"/>
        <v>51.91</v>
      </c>
      <c r="Z140" s="383">
        <f t="shared" si="35"/>
        <v>52.384712559129689</v>
      </c>
      <c r="AA140" s="384">
        <f t="shared" si="36"/>
        <v>54.324148835109654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3.5701181105786794E-2</v>
      </c>
      <c r="AD140" s="230">
        <f>(INDEX(Models!$BJ140:$BT140,,AH140)*(1-AF140)+INDEX(Models!$BJ140:$BT140,,AH140+1)*AF140-ERP_i)*AE140*Ramure*Pc/MaxiM</f>
        <v>3.1766656553286598E-5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57.701000000000001</v>
      </c>
      <c r="C141" s="388"/>
      <c r="D141" s="391">
        <f t="shared" si="24"/>
        <v>58.229786724869165</v>
      </c>
      <c r="E141" s="383">
        <f t="shared" si="46"/>
        <v>60.390699622402828</v>
      </c>
      <c r="F141" s="383">
        <f t="shared" si="25"/>
        <v>60.392486037860046</v>
      </c>
      <c r="G141" s="110">
        <f t="shared" si="47"/>
        <v>0.95422373226746682</v>
      </c>
      <c r="H141" s="412" t="b">
        <f>Wh_hp&gt;='2019'!Maxi_hp</f>
        <v>1</v>
      </c>
      <c r="I141" s="388">
        <f>IF(H141,Wh_hp,'2019'!Maxi_hp)</f>
        <v>60.392486037860046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9.0810348897143456E-3</v>
      </c>
      <c r="M141" s="832"/>
      <c r="N141" s="832"/>
      <c r="O141" s="48">
        <f>IF(t&lt;Tnet,'2019'!Resal+('2019'!Salim-'2019'!Resal)*(1-EXP(('2019'!Tnet-t)/('2019'!Tau_j))),Resal+(Salim-Resal)*(1-EXP((Tnet-t)/(Tau_j))))*Salcycl</f>
        <v>3.5782213338227911E-2</v>
      </c>
      <c r="P141" s="169">
        <f>(INDEX(Models!$BJ141:$BT141,,T141)*(1-R141)+INDEX(Models!$BJ141:$BT141,,T141+1)*R141-ERP_i)*Q141*Ramure*Pc/MaxiM</f>
        <v>3.164972894461016E-5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60.468922146163379</v>
      </c>
      <c r="W141" s="58"/>
      <c r="X141" s="157">
        <f t="shared" si="33"/>
        <v>43957</v>
      </c>
      <c r="Y141" s="383">
        <f t="shared" si="34"/>
        <v>57.701000000000001</v>
      </c>
      <c r="Z141" s="383">
        <f t="shared" si="35"/>
        <v>58.229786724869165</v>
      </c>
      <c r="AA141" s="384">
        <f t="shared" si="36"/>
        <v>60.390699622402828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3.5782213338227911E-2</v>
      </c>
      <c r="AD141" s="230">
        <f>(INDEX(Models!$BJ141:$BT141,,AH141)*(1-AF141)+INDEX(Models!$BJ141:$BT141,,AH141+1)*AF141-ERP_i)*AE141*Ramure*Pc/MaxiM</f>
        <v>3.164972894461016E-5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51.043999999999997</v>
      </c>
      <c r="C142" s="388"/>
      <c r="D142" s="391">
        <f t="shared" si="24"/>
        <v>51.512767504335841</v>
      </c>
      <c r="E142" s="383">
        <f t="shared" si="46"/>
        <v>53.428925107648809</v>
      </c>
      <c r="F142" s="383">
        <f t="shared" si="25"/>
        <v>53.430233365099483</v>
      </c>
      <c r="G142" s="110">
        <f t="shared" si="47"/>
        <v>0.84315541158490237</v>
      </c>
      <c r="H142" s="412" t="b">
        <f>Wh_hp&gt;='2019'!Maxi_hp</f>
        <v>1</v>
      </c>
      <c r="I142" s="388">
        <f>IF(H142,Wh_hp,'2019'!Maxi_hp)</f>
        <v>53.430233365099483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9.1000256256157375E-3</v>
      </c>
      <c r="M142" s="832"/>
      <c r="N142" s="832"/>
      <c r="O142" s="48">
        <f>IF(t&lt;Tnet,'2019'!Resal+('2019'!Salim-'2019'!Resal)*(1-EXP(('2019'!Tnet-t)/('2019'!Tau_j))),Resal+(Salim-Resal)*(1-EXP((Tnet-t)/(Tau_j))))*Salcycl</f>
        <v>3.5863674956070825E-2</v>
      </c>
      <c r="P142" s="169">
        <f>(INDEX(Models!$BJ142:$BT142,,T142)*(1-R142)+INDEX(Models!$BJ142:$BT142,,T142+1)*R142-ERP_i)*Q142*Ramure*Pc/MaxiM</f>
        <v>3.1555517603024371E-5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60.538826412901876</v>
      </c>
      <c r="W142" s="58"/>
      <c r="X142" s="157">
        <f t="shared" si="33"/>
        <v>43958</v>
      </c>
      <c r="Y142" s="383">
        <f t="shared" si="34"/>
        <v>51.043999999999997</v>
      </c>
      <c r="Z142" s="383">
        <f t="shared" si="35"/>
        <v>51.512767504335841</v>
      </c>
      <c r="AA142" s="384">
        <f t="shared" si="36"/>
        <v>53.428925107648809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3.5863674956070825E-2</v>
      </c>
      <c r="AD142" s="230">
        <f>(INDEX(Models!$BJ142:$BT142,,AH142)*(1-AF142)+INDEX(Models!$BJ142:$BT142,,AH142+1)*AF142-ERP_i)*AE142*Ramure*Pc/MaxiM</f>
        <v>3.1555517603024371E-5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52.079000000000001</v>
      </c>
      <c r="C143" s="388"/>
      <c r="D143" s="391">
        <f t="shared" ref="D143:D206" si="48">Wh/(1-Ppv)</f>
        <v>52.5582797942482</v>
      </c>
      <c r="E143" s="383">
        <f t="shared" si="46"/>
        <v>54.517957967524531</v>
      </c>
      <c r="F143" s="383">
        <f t="shared" ref="F143:F206" si="49">Wh_sa/(1-Pvg*MEDIAN((-Sdif+Wh/Env_an)/Csdif,0,1))</f>
        <v>54.519329052918785</v>
      </c>
      <c r="G143" s="110">
        <f t="shared" si="47"/>
        <v>0.8593311793845827</v>
      </c>
      <c r="H143" s="412" t="b">
        <f>Wh_hp&gt;='2019'!Maxi_hp</f>
        <v>1</v>
      </c>
      <c r="I143" s="388">
        <f>IF(H143,Wh_hp,'2019'!Maxi_hp)</f>
        <v>54.519329052918785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9.1190159975640395E-3</v>
      </c>
      <c r="M143" s="832"/>
      <c r="N143" s="832"/>
      <c r="O143" s="48">
        <f>IF(t&lt;Tnet,'2019'!Resal+('2019'!Salim-'2019'!Resal)*(1-EXP(('2019'!Tnet-t)/('2019'!Tau_j))),Resal+(Salim-Resal)*(1-EXP((Tnet-t)/(Tau_j))))*Salcycl</f>
        <v>3.5945553471457538E-2</v>
      </c>
      <c r="P143" s="169">
        <f>(INDEX(Models!$BJ143:$BT143,,T143)*(1-R143)+INDEX(Models!$BJ143:$BT143,,T143+1)*R143-ERP_i)*Q143*Ramure*Pc/MaxiM</f>
        <v>3.1473047171016945E-5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60.603725165305804</v>
      </c>
      <c r="W143" s="58"/>
      <c r="X143" s="157">
        <f t="shared" ref="X143:X206" si="57">t</f>
        <v>43959</v>
      </c>
      <c r="Y143" s="383">
        <f t="shared" ref="Y143:Y206" si="58">Wh_pvt_s*(1-Ppv)</f>
        <v>52.079000000000001</v>
      </c>
      <c r="Z143" s="383">
        <f t="shared" ref="Z143:Z206" si="59">Wh_sa_s*(1-Psa_s)</f>
        <v>52.5582797942482</v>
      </c>
      <c r="AA143" s="384">
        <f t="shared" ref="AA143:AA206" si="60">Wh_hp*(1-Pvg_s*MEDIAN((-Sdif+Wh/Env_an)/Csdif,0,1))</f>
        <v>54.517957967524531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3.5945553471457538E-2</v>
      </c>
      <c r="AD143" s="230">
        <f>(INDEX(Models!$BJ143:$BT143,,AH143)*(1-AF143)+INDEX(Models!$BJ143:$BT143,,AH143+1)*AF143-ERP_i)*AE143*Ramure*Pc/MaxiM</f>
        <v>3.1473047171016945E-5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49.540999999999997</v>
      </c>
      <c r="C144" s="388"/>
      <c r="D144" s="391">
        <f t="shared" si="48"/>
        <v>49.997880936261133</v>
      </c>
      <c r="E144" s="383">
        <f t="shared" ref="E144:E169" si="70">Wh_pvt/(1-Psa)</f>
        <v>51.866519342863228</v>
      </c>
      <c r="F144" s="383">
        <f t="shared" si="49"/>
        <v>51.867721466832606</v>
      </c>
      <c r="G144" s="110">
        <f t="shared" ref="G144:G169" si="71">+Wh_hp/MaxiM</f>
        <v>0.81663852934601522</v>
      </c>
      <c r="H144" s="412" t="b">
        <f>Wh_hp&gt;='2019'!Maxi_hp</f>
        <v>1</v>
      </c>
      <c r="I144" s="388">
        <f>IF(H144,Wh_hp,'2019'!Maxi_hp)</f>
        <v>51.867721466832606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9.138006005566135E-3</v>
      </c>
      <c r="M144" s="832"/>
      <c r="N144" s="832"/>
      <c r="O144" s="48">
        <f>IF(t&lt;Tnet,'2019'!Resal+('2019'!Salim-'2019'!Resal)*(1-EXP(('2019'!Tnet-t)/('2019'!Tau_j))),Resal+(Salim-Resal)*(1-EXP((Tnet-t)/(Tau_j))))*Salcycl</f>
        <v>3.6027835109764698E-2</v>
      </c>
      <c r="P144" s="169">
        <f>(INDEX(Models!$BJ144:$BT144,,T144)*(1-R144)+INDEX(Models!$BJ144:$BT144,,T144+1)*R144-ERP_i)*Q144*Ramure*Pc/MaxiM</f>
        <v>3.1402027434618971E-5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60.664040111567054</v>
      </c>
      <c r="W144" s="58"/>
      <c r="X144" s="157">
        <f t="shared" si="57"/>
        <v>43960</v>
      </c>
      <c r="Y144" s="383">
        <f t="shared" si="58"/>
        <v>49.540999999999997</v>
      </c>
      <c r="Z144" s="383">
        <f t="shared" si="59"/>
        <v>49.997880936261133</v>
      </c>
      <c r="AA144" s="384">
        <f t="shared" si="60"/>
        <v>51.866519342863228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3.6027835109764698E-2</v>
      </c>
      <c r="AD144" s="230">
        <f>(INDEX(Models!$BJ144:$BT144,,AH144)*(1-AF144)+INDEX(Models!$BJ144:$BT144,,AH144+1)*AF144-ERP_i)*AE144*Ramure*Pc/MaxiM</f>
        <v>3.1402027434618971E-5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11.788</v>
      </c>
      <c r="C145" s="388"/>
      <c r="D145" s="391">
        <f t="shared" si="48"/>
        <v>11.89694022992936</v>
      </c>
      <c r="E145" s="383">
        <f t="shared" si="70"/>
        <v>12.342639160593832</v>
      </c>
      <c r="F145" s="383">
        <f t="shared" si="49"/>
        <v>12.342639160593832</v>
      </c>
      <c r="G145" s="110">
        <f t="shared" si="71"/>
        <v>0.19413032105506742</v>
      </c>
      <c r="H145" s="412" t="b">
        <f>Wh_hp&gt;='2019'!Maxi_hp</f>
        <v>0</v>
      </c>
      <c r="I145" s="388">
        <f>IF(H145,Wh_hp,'2019'!Maxi_hp)</f>
        <v>37.893036720520001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9.1569956496290184E-3</v>
      </c>
      <c r="M145" s="832"/>
      <c r="N145" s="832"/>
      <c r="O145" s="48">
        <f>IF(t&lt;Tnet,'2019'!Resal+('2019'!Salim-'2019'!Resal)*(1-EXP(('2019'!Tnet-t)/('2019'!Tau_j))),Resal+(Salim-Resal)*(1-EXP((Tnet-t)/(Tau_j))))*Salcycl</f>
        <v>3.6110504800905795E-2</v>
      </c>
      <c r="P145" s="169">
        <f>(INDEX(Models!$BJ145:$BT145,,T145)*(1-R145)+INDEX(Models!$BJ145:$BT145,,T145+1)*R145-ERP_i)*Q145*Ramure*Pc/MaxiM</f>
        <v>3.1342194014699786E-5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60.720192879469103</v>
      </c>
      <c r="W145" s="58"/>
      <c r="X145" s="157">
        <f t="shared" si="57"/>
        <v>43961</v>
      </c>
      <c r="Y145" s="383">
        <f t="shared" si="58"/>
        <v>11.788</v>
      </c>
      <c r="Z145" s="383">
        <f t="shared" si="59"/>
        <v>11.89694022992936</v>
      </c>
      <c r="AA145" s="384">
        <f t="shared" si="60"/>
        <v>12.342639160593832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3.6110504800905795E-2</v>
      </c>
      <c r="AD145" s="230">
        <f>(INDEX(Models!$BJ145:$BT145,,AH145)*(1-AF145)+INDEX(Models!$BJ145:$BT145,,AH145+1)*AF145-ERP_i)*AE145*Ramure*Pc/MaxiM</f>
        <v>3.1342194014699786E-5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8.2669999999999995</v>
      </c>
      <c r="C146" s="388"/>
      <c r="D146" s="391">
        <f t="shared" si="48"/>
        <v>8.3435603843473114</v>
      </c>
      <c r="E146" s="383">
        <f t="shared" si="70"/>
        <v>8.6568837044438602</v>
      </c>
      <c r="F146" s="383">
        <f t="shared" si="49"/>
        <v>8.6568837044438602</v>
      </c>
      <c r="G146" s="110">
        <f t="shared" si="71"/>
        <v>0.13602743038111145</v>
      </c>
      <c r="H146" s="412" t="b">
        <f>Wh_hp&gt;='2019'!Maxi_hp</f>
        <v>0</v>
      </c>
      <c r="I146" s="388">
        <f>IF(H146,Wh_hp,'2019'!Maxi_hp)</f>
        <v>56.127004376201441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9.1759849297597951E-3</v>
      </c>
      <c r="M146" s="832"/>
      <c r="N146" s="832"/>
      <c r="O146" s="48">
        <f>IF(t&lt;Tnet,'2019'!Resal+('2019'!Salim-'2019'!Resal)*(1-EXP(('2019'!Tnet-t)/('2019'!Tau_j))),Resal+(Salim-Resal)*(1-EXP((Tnet-t)/(Tau_j))))*Salcycl</f>
        <v>3.6193546175942046E-2</v>
      </c>
      <c r="P146" s="169">
        <f>(INDEX(Models!$BJ146:$BT146,,T146)*(1-R146)+INDEX(Models!$BJ146:$BT146,,T146+1)*R146-ERP_i)*Q146*Ramure*Pc/MaxiM</f>
        <v>3.12933085011669E-5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60.772605018395815</v>
      </c>
      <c r="W146" s="58"/>
      <c r="X146" s="157">
        <f t="shared" si="57"/>
        <v>43962</v>
      </c>
      <c r="Y146" s="383">
        <f t="shared" si="58"/>
        <v>8.2669999999999995</v>
      </c>
      <c r="Z146" s="383">
        <f t="shared" si="59"/>
        <v>8.3435603843473114</v>
      </c>
      <c r="AA146" s="384">
        <f t="shared" si="60"/>
        <v>8.6568837044438602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3.6193546175942046E-2</v>
      </c>
      <c r="AD146" s="230">
        <f>(INDEX(Models!$BJ146:$BT146,,AH146)*(1-AF146)+INDEX(Models!$BJ146:$BT146,,AH146+1)*AF146-ERP_i)*AE146*Ramure*Pc/MaxiM</f>
        <v>3.12933085011669E-5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20.25</v>
      </c>
      <c r="C147" s="388"/>
      <c r="D147" s="391">
        <f t="shared" si="48"/>
        <v>20.437926196845766</v>
      </c>
      <c r="E147" s="383">
        <f t="shared" si="70"/>
        <v>21.207260756142983</v>
      </c>
      <c r="F147" s="383">
        <f t="shared" si="49"/>
        <v>21.20729194774292</v>
      </c>
      <c r="G147" s="110">
        <f t="shared" si="71"/>
        <v>0.33293047603175147</v>
      </c>
      <c r="H147" s="412" t="b">
        <f>Wh_hp&gt;='2019'!Maxi_hp</f>
        <v>0</v>
      </c>
      <c r="I147" s="388">
        <f>IF(H147,Wh_hp,'2019'!Maxi_hp)</f>
        <v>64.735176440204555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9.1949738459653485E-3</v>
      </c>
      <c r="M147" s="832"/>
      <c r="N147" s="832"/>
      <c r="O147" s="48">
        <f>IF(t&lt;Tnet,'2019'!Resal+('2019'!Salim-'2019'!Resal)*(1-EXP(('2019'!Tnet-t)/('2019'!Tau_j))),Resal+(Salim-Resal)*(1-EXP((Tnet-t)/(Tau_j))))*Salcycl</f>
        <v>3.6276941569380702E-2</v>
      </c>
      <c r="P147" s="169">
        <f>(INDEX(Models!$BJ147:$BT147,,T147)*(1-R147)+INDEX(Models!$BJ147:$BT147,,T147+1)*R147-ERP_i)*Q147*Ramure*Pc/MaxiM</f>
        <v>3.1255158649705174E-5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60.821697992700003</v>
      </c>
      <c r="W147" s="58"/>
      <c r="X147" s="157">
        <f t="shared" si="57"/>
        <v>43963</v>
      </c>
      <c r="Y147" s="383">
        <f t="shared" si="58"/>
        <v>20.25</v>
      </c>
      <c r="Z147" s="383">
        <f t="shared" si="59"/>
        <v>20.437926196845766</v>
      </c>
      <c r="AA147" s="384">
        <f t="shared" si="60"/>
        <v>21.207260756142983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3.6276941569380702E-2</v>
      </c>
      <c r="AD147" s="230">
        <f>(INDEX(Models!$BJ147:$BT147,,AH147)*(1-AF147)+INDEX(Models!$BJ147:$BT147,,AH147+1)*AF147-ERP_i)*AE147*Ramure*Pc/MaxiM</f>
        <v>3.1255158649705174E-5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30.809000000000001</v>
      </c>
      <c r="C148" s="388"/>
      <c r="D148" s="391">
        <f t="shared" si="48"/>
        <v>31.095512886490507</v>
      </c>
      <c r="E148" s="383">
        <f t="shared" si="70"/>
        <v>32.268829201809233</v>
      </c>
      <c r="F148" s="383">
        <f t="shared" si="49"/>
        <v>32.269125982273593</v>
      </c>
      <c r="G148" s="110">
        <f t="shared" si="71"/>
        <v>0.50615060988046001</v>
      </c>
      <c r="H148" s="412" t="b">
        <f>Wh_hp&gt;='2019'!Maxi_hp</f>
        <v>0</v>
      </c>
      <c r="I148" s="388">
        <f>IF(H148,Wh_hp,'2019'!Maxi_hp)</f>
        <v>63.17753058579234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9.213962398252673E-3</v>
      </c>
      <c r="M148" s="832"/>
      <c r="N148" s="832"/>
      <c r="O148" s="48">
        <f>IF(t&lt;Tnet,'2019'!Resal+('2019'!Salim-'2019'!Resal)*(1-EXP(('2019'!Tnet-t)/('2019'!Tau_j))),Resal+(Salim-Resal)*(1-EXP((Tnet-t)/(Tau_j))))*Salcycl</f>
        <v>3.6360672027510171E-2</v>
      </c>
      <c r="P148" s="169">
        <f>(INDEX(Models!$BJ148:$BT148,,T148)*(1-R148)+INDEX(Models!$BJ148:$BT148,,T148+1)*R148-ERP_i)*Q148*Ramure*Pc/MaxiM</f>
        <v>3.122755861679249E-5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60.867893180661362</v>
      </c>
      <c r="W148" s="58"/>
      <c r="X148" s="157">
        <f t="shared" si="57"/>
        <v>43964</v>
      </c>
      <c r="Y148" s="383">
        <f t="shared" si="58"/>
        <v>30.808999999999997</v>
      </c>
      <c r="Z148" s="383">
        <f t="shared" si="59"/>
        <v>31.095512886490503</v>
      </c>
      <c r="AA148" s="384">
        <f t="shared" si="60"/>
        <v>32.268829201809233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3.6360672027510171E-2</v>
      </c>
      <c r="AD148" s="230">
        <f>(INDEX(Models!$BJ148:$BT148,,AH148)*(1-AF148)+INDEX(Models!$BJ148:$BT148,,AH148+1)*AF148-ERP_i)*AE148*Ramure*Pc/MaxiM</f>
        <v>3.122755861679249E-5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19.992000000000001</v>
      </c>
      <c r="C149" s="388"/>
      <c r="D149" s="391">
        <f t="shared" si="48"/>
        <v>20.178305295717266</v>
      </c>
      <c r="E149" s="383">
        <f t="shared" si="70"/>
        <v>20.94151281041043</v>
      </c>
      <c r="F149" s="383">
        <f t="shared" si="49"/>
        <v>20.941539161468619</v>
      </c>
      <c r="G149" s="110">
        <f t="shared" si="71"/>
        <v>0.3282115435279962</v>
      </c>
      <c r="H149" s="412" t="b">
        <f>Wh_hp&gt;='2019'!Maxi_hp</f>
        <v>0</v>
      </c>
      <c r="I149" s="388">
        <f>IF(H149,Wh_hp,'2019'!Maxi_hp)</f>
        <v>63.749746861981109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9.2329505866286521E-3</v>
      </c>
      <c r="M149" s="832"/>
      <c r="N149" s="832"/>
      <c r="O149" s="48">
        <f>IF(t&lt;Tnet,'2019'!Resal+('2019'!Salim-'2019'!Resal)*(1-EXP(('2019'!Tnet-t)/('2019'!Tau_j))),Resal+(Salim-Resal)*(1-EXP((Tnet-t)/(Tau_j))))*Salcycl</f>
        <v>3.6444717323084588E-2</v>
      </c>
      <c r="P149" s="169">
        <f>(INDEX(Models!$BJ149:$BT149,,T149)*(1-R149)+INDEX(Models!$BJ149:$BT149,,T149+1)*R149-ERP_i)*Q149*Ramure*Pc/MaxiM</f>
        <v>3.1211118811315736E-5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60.910109887992249</v>
      </c>
      <c r="W149" s="58"/>
      <c r="X149" s="157">
        <f t="shared" si="57"/>
        <v>43965</v>
      </c>
      <c r="Y149" s="383">
        <f t="shared" si="58"/>
        <v>19.992000000000001</v>
      </c>
      <c r="Z149" s="383">
        <f t="shared" si="59"/>
        <v>20.178305295717266</v>
      </c>
      <c r="AA149" s="384">
        <f t="shared" si="60"/>
        <v>20.94151281041043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3.6444717323084588E-2</v>
      </c>
      <c r="AD149" s="230">
        <f>(INDEX(Models!$BJ149:$BT149,,AH149)*(1-AF149)+INDEX(Models!$BJ149:$BT149,,AH149+1)*AF149-ERP_i)*AE149*Ramure*Pc/MaxiM</f>
        <v>3.1211118811315736E-5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16.515000000000001</v>
      </c>
      <c r="C150" s="388"/>
      <c r="D150" s="391">
        <f t="shared" si="48"/>
        <v>16.669222621050885</v>
      </c>
      <c r="E150" s="383">
        <f t="shared" si="70"/>
        <v>17.301219849393391</v>
      </c>
      <c r="F150" s="383">
        <f t="shared" si="49"/>
        <v>17.301219849393391</v>
      </c>
      <c r="G150" s="110">
        <f t="shared" si="71"/>
        <v>0.27096411421695826</v>
      </c>
      <c r="H150" s="412" t="b">
        <f>Wh_hp&gt;='2019'!Maxi_hp</f>
        <v>0</v>
      </c>
      <c r="I150" s="388">
        <f>IF(H150,Wh_hp,'2019'!Maxi_hp)</f>
        <v>54.786265720122543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9.2519384111003911E-3</v>
      </c>
      <c r="M150" s="832"/>
      <c r="N150" s="832"/>
      <c r="O150" s="48">
        <f>IF(t&lt;Tnet,'2019'!Resal+('2019'!Salim-'2019'!Resal)*(1-EXP(('2019'!Tnet-t)/('2019'!Tau_j))),Resal+(Salim-Resal)*(1-EXP((Tnet-t)/(Tau_j))))*Salcycl</f>
        <v>3.6529055976631815E-2</v>
      </c>
      <c r="P150" s="169">
        <f>(INDEX(Models!$BJ150:$BT150,,T150)*(1-R150)+INDEX(Models!$BJ150:$BT150,,T150+1)*R150-ERP_i)*Q150*Ramure*Pc/MaxiM</f>
        <v>3.1195516790323997E-5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60.947128935373442</v>
      </c>
      <c r="W150" s="58"/>
      <c r="X150" s="157">
        <f t="shared" si="57"/>
        <v>43966</v>
      </c>
      <c r="Y150" s="383">
        <f t="shared" si="58"/>
        <v>16.515000000000001</v>
      </c>
      <c r="Z150" s="383">
        <f t="shared" si="59"/>
        <v>16.669222621050885</v>
      </c>
      <c r="AA150" s="384">
        <f t="shared" si="60"/>
        <v>17.301219849393391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3.6529055976631815E-2</v>
      </c>
      <c r="AD150" s="230">
        <f>(INDEX(Models!$BJ150:$BT150,,AH150)*(1-AF150)+INDEX(Models!$BJ150:$BT150,,AH150+1)*AF150-ERP_i)*AE150*Ramure*Pc/MaxiM</f>
        <v>3.1195516790323997E-5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36.479999999999997</v>
      </c>
      <c r="C151" s="388"/>
      <c r="D151" s="391">
        <f t="shared" si="48"/>
        <v>36.821368174842604</v>
      </c>
      <c r="E151" s="383">
        <f t="shared" si="70"/>
        <v>38.220770679418777</v>
      </c>
      <c r="F151" s="383">
        <f t="shared" si="49"/>
        <v>38.221278037725483</v>
      </c>
      <c r="G151" s="110">
        <f t="shared" si="71"/>
        <v>0.59822642728475439</v>
      </c>
      <c r="H151" s="412" t="b">
        <f>Wh_hp&gt;='2019'!Maxi_hp</f>
        <v>1</v>
      </c>
      <c r="I151" s="388">
        <f>IF(H151,Wh_hp,'2019'!Maxi_hp)</f>
        <v>38.221278037725483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9.2709258716747733E-3</v>
      </c>
      <c r="M151" s="832"/>
      <c r="N151" s="832"/>
      <c r="O151" s="48">
        <f>IF(t&lt;Tnet,'2019'!Resal+('2019'!Salim-'2019'!Resal)*(1-EXP(('2019'!Tnet-t)/('2019'!Tau_j))),Resal+(Salim-Resal)*(1-EXP((Tnet-t)/(Tau_j))))*Salcycl</f>
        <v>3.6613665284612545E-2</v>
      </c>
      <c r="P151" s="169">
        <f>(INDEX(Models!$BJ151:$BT151,,T151)*(1-R151)+INDEX(Models!$BJ151:$BT151,,T151+1)*R151-ERP_i)*Q151*Ramure*Pc/MaxiM</f>
        <v>3.1156302091275644E-5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60.979164392958872</v>
      </c>
      <c r="W151" s="58"/>
      <c r="X151" s="157">
        <f t="shared" si="57"/>
        <v>43967</v>
      </c>
      <c r="Y151" s="383">
        <f t="shared" si="58"/>
        <v>36.479999999999997</v>
      </c>
      <c r="Z151" s="383">
        <f t="shared" si="59"/>
        <v>36.821368174842604</v>
      </c>
      <c r="AA151" s="384">
        <f t="shared" si="60"/>
        <v>38.220770679418777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3.6613665284612545E-2</v>
      </c>
      <c r="AD151" s="230">
        <f>(INDEX(Models!$BJ151:$BT151,,AH151)*(1-AF151)+INDEX(Models!$BJ151:$BT151,,AH151+1)*AF151-ERP_i)*AE151*Ramure*Pc/MaxiM</f>
        <v>3.1156302091275644E-5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62.137999999999998</v>
      </c>
      <c r="C152" s="388"/>
      <c r="D152" s="391">
        <f t="shared" si="48"/>
        <v>62.720669561543929</v>
      </c>
      <c r="E152" s="383">
        <f t="shared" si="70"/>
        <v>65.110114488501296</v>
      </c>
      <c r="F152" s="383">
        <f t="shared" si="49"/>
        <v>65.112138934007149</v>
      </c>
      <c r="G152" s="110">
        <f t="shared" si="71"/>
        <v>1.0185483901396619</v>
      </c>
      <c r="H152" s="412" t="b">
        <f>Wh_hp&gt;='2019'!Maxi_hp</f>
        <v>1</v>
      </c>
      <c r="I152" s="388">
        <f>IF(H152,Wh_hp,'2019'!Maxi_hp)</f>
        <v>65.112138934007149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9.2899129683587933E-3</v>
      </c>
      <c r="M152" s="832"/>
      <c r="N152" s="832"/>
      <c r="O152" s="48">
        <f>IF(t&lt;Tnet,'2019'!Resal+('2019'!Salim-'2019'!Resal)*(1-EXP(('2019'!Tnet-t)/('2019'!Tau_j))),Resal+(Salim-Resal)*(1-EXP((Tnet-t)/(Tau_j))))*Salcycl</f>
        <v>3.6698521354609943E-2</v>
      </c>
      <c r="P152" s="169">
        <f>(INDEX(Models!$BJ152:$BT152,,T152)*(1-R152)+INDEX(Models!$BJ152:$BT152,,T152+1)*R152-ERP_i)*Q152*Ramure*Pc/MaxiM</f>
        <v>3.1091675669091048E-5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61.006428954720278</v>
      </c>
      <c r="W152" s="58"/>
      <c r="X152" s="157">
        <f t="shared" si="57"/>
        <v>43968</v>
      </c>
      <c r="Y152" s="383">
        <f t="shared" si="58"/>
        <v>62.138000000000005</v>
      </c>
      <c r="Z152" s="383">
        <f t="shared" si="59"/>
        <v>62.720669561543936</v>
      </c>
      <c r="AA152" s="384">
        <f t="shared" si="60"/>
        <v>65.110114488501296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3.6698521354609943E-2</v>
      </c>
      <c r="AD152" s="230">
        <f>(INDEX(Models!$BJ152:$BT152,,AH152)*(1-AF152)+INDEX(Models!$BJ152:$BT152,,AH152+1)*AF152-ERP_i)*AE152*Ramure*Pc/MaxiM</f>
        <v>3.1091675669091048E-5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60.875999999999998</v>
      </c>
      <c r="C153" s="388"/>
      <c r="D153" s="391">
        <f t="shared" si="48"/>
        <v>61.448013393515744</v>
      </c>
      <c r="E153" s="383">
        <f t="shared" si="70"/>
        <v>63.794608708014174</v>
      </c>
      <c r="F153" s="383">
        <f t="shared" si="49"/>
        <v>63.796579298765408</v>
      </c>
      <c r="G153" s="110">
        <f t="shared" si="71"/>
        <v>0.99749067275565795</v>
      </c>
      <c r="H153" s="412" t="b">
        <f>Wh_hp&gt;='2019'!Maxi_hp</f>
        <v>1</v>
      </c>
      <c r="I153" s="388">
        <f>IF(H153,Wh_hp,'2019'!Maxi_hp)</f>
        <v>63.796579298765408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9.3088997011595565E-3</v>
      </c>
      <c r="M153" s="832"/>
      <c r="N153" s="832"/>
      <c r="O153" s="48">
        <f>IF(t&lt;Tnet,'2019'!Resal+('2019'!Salim-'2019'!Resal)*(1-EXP(('2019'!Tnet-t)/('2019'!Tau_j))),Resal+(Salim-Resal)*(1-EXP((Tnet-t)/(Tau_j))))*Salcycl</f>
        <v>3.6783599147675962E-2</v>
      </c>
      <c r="P153" s="169">
        <f>(INDEX(Models!$BJ153:$BT153,,T153)*(1-R153)+INDEX(Models!$BJ153:$BT153,,T153+1)*R153-ERP_i)*Q153*Ramure*Pc/MaxiM</f>
        <v>3.0999780149390794E-5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61.029135307074007</v>
      </c>
      <c r="W153" s="58"/>
      <c r="X153" s="157">
        <f t="shared" si="57"/>
        <v>43969</v>
      </c>
      <c r="Y153" s="383">
        <f t="shared" si="58"/>
        <v>60.875999999999998</v>
      </c>
      <c r="Z153" s="383">
        <f t="shared" si="59"/>
        <v>61.448013393515744</v>
      </c>
      <c r="AA153" s="384">
        <f t="shared" si="60"/>
        <v>63.794608708014174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3.6783599147675962E-2</v>
      </c>
      <c r="AD153" s="230">
        <f>(INDEX(Models!$BJ153:$BT153,,AH153)*(1-AF153)+INDEX(Models!$BJ153:$BT153,,AH153+1)*AF153-ERP_i)*AE153*Ramure*Pc/MaxiM</f>
        <v>3.0999780149390794E-5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59.414999999999999</v>
      </c>
      <c r="C154" s="388"/>
      <c r="D154" s="391">
        <f t="shared" si="48"/>
        <v>59.974434693942776</v>
      </c>
      <c r="E154" s="383">
        <f t="shared" si="70"/>
        <v>62.270269315618613</v>
      </c>
      <c r="F154" s="383">
        <f t="shared" si="49"/>
        <v>62.272118739933582</v>
      </c>
      <c r="G154" s="110">
        <f t="shared" si="71"/>
        <v>0.97325744180061191</v>
      </c>
      <c r="H154" s="412" t="b">
        <f>Wh_hp&gt;='2019'!Maxi_hp</f>
        <v>1</v>
      </c>
      <c r="I154" s="388">
        <f>IF(H154,Wh_hp,'2019'!Maxi_hp)</f>
        <v>62.272118739933582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9.3278860700837241E-3</v>
      </c>
      <c r="M154" s="832"/>
      <c r="N154" s="832"/>
      <c r="O154" s="48">
        <f>IF(t&lt;Tnet,'2019'!Resal+('2019'!Salim-'2019'!Resal)*(1-EXP(('2019'!Tnet-t)/('2019'!Tau_j))),Resal+(Salim-Resal)*(1-EXP((Tnet-t)/(Tau_j))))*Salcycl</f>
        <v>3.6868872527904675E-2</v>
      </c>
      <c r="P154" s="169">
        <f>(INDEX(Models!$BJ154:$BT154,,T154)*(1-R154)+INDEX(Models!$BJ154:$BT154,,T154+1)*R154-ERP_i)*Q154*Ramure*Pc/MaxiM</f>
        <v>3.0878703517560212E-5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61.047496128421827</v>
      </c>
      <c r="W154" s="58"/>
      <c r="X154" s="157">
        <f t="shared" si="57"/>
        <v>43970</v>
      </c>
      <c r="Y154" s="383">
        <f t="shared" si="58"/>
        <v>59.414999999999999</v>
      </c>
      <c r="Z154" s="383">
        <f t="shared" si="59"/>
        <v>59.974434693942776</v>
      </c>
      <c r="AA154" s="384">
        <f t="shared" si="60"/>
        <v>62.270269315618613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3.6868872527904675E-2</v>
      </c>
      <c r="AD154" s="230">
        <f>(INDEX(Models!$BJ154:$BT154,,AH154)*(1-AF154)+INDEX(Models!$BJ154:$BT154,,AH154+1)*AF154-ERP_i)*AE154*Ramure*Pc/MaxiM</f>
        <v>3.0878703517560212E-5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58.817999999999998</v>
      </c>
      <c r="C155" s="388"/>
      <c r="D155" s="391">
        <f t="shared" si="48"/>
        <v>59.372951381284288</v>
      </c>
      <c r="E155" s="383">
        <f t="shared" si="70"/>
        <v>61.651230324877886</v>
      </c>
      <c r="F155" s="383">
        <f t="shared" si="49"/>
        <v>61.653025263591708</v>
      </c>
      <c r="G155" s="110">
        <f t="shared" si="71"/>
        <v>0.96325326558392876</v>
      </c>
      <c r="H155" s="412" t="b">
        <f>Wh_hp&gt;='2019'!Maxi_hp</f>
        <v>1</v>
      </c>
      <c r="I155" s="388">
        <f>IF(H155,Wh_hp,'2019'!Maxi_hp)</f>
        <v>61.653025263591708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9.3468720751386236E-3</v>
      </c>
      <c r="M155" s="832"/>
      <c r="N155" s="832"/>
      <c r="O155" s="48">
        <f>IF(t&lt;Tnet,'2019'!Resal+('2019'!Salim-'2019'!Resal)*(1-EXP(('2019'!Tnet-t)/('2019'!Tau_j))),Resal+(Salim-Resal)*(1-EXP((Tnet-t)/(Tau_j))))*Salcycl</f>
        <v>3.6954314319243224E-2</v>
      </c>
      <c r="P155" s="169">
        <f>(INDEX(Models!$BJ155:$BT155,,T155)*(1-R155)+INDEX(Models!$BJ155:$BT155,,T155+1)*R155-ERP_i)*Q155*Ramure*Pc/MaxiM</f>
        <v>3.0726483378933096E-5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61.061724085964073</v>
      </c>
      <c r="W155" s="58"/>
      <c r="X155" s="157">
        <f t="shared" si="57"/>
        <v>43971</v>
      </c>
      <c r="Y155" s="383">
        <f t="shared" si="58"/>
        <v>58.817999999999998</v>
      </c>
      <c r="Z155" s="383">
        <f t="shared" si="59"/>
        <v>59.372951381284288</v>
      </c>
      <c r="AA155" s="384">
        <f t="shared" si="60"/>
        <v>61.651230324877886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3.6954314319243224E-2</v>
      </c>
      <c r="AD155" s="230">
        <f>(INDEX(Models!$BJ155:$BT155,,AH155)*(1-AF155)+INDEX(Models!$BJ155:$BT155,,AH155+1)*AF155-ERP_i)*AE155*Ramure*Pc/MaxiM</f>
        <v>3.0726483378933096E-5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54.374000000000002</v>
      </c>
      <c r="C156" s="388"/>
      <c r="D156" s="391">
        <f t="shared" si="48"/>
        <v>54.888073890380774</v>
      </c>
      <c r="E156" s="383">
        <f t="shared" si="70"/>
        <v>56.999322903871274</v>
      </c>
      <c r="F156" s="383">
        <f t="shared" si="49"/>
        <v>57.000792029583742</v>
      </c>
      <c r="G156" s="110">
        <f t="shared" si="71"/>
        <v>0.89032146383496646</v>
      </c>
      <c r="H156" s="412" t="b">
        <f>Wh_hp&gt;='2019'!Maxi_hp</f>
        <v>0</v>
      </c>
      <c r="I156" s="388">
        <f>IF(H156,Wh_hp,'2019'!Maxi_hp)</f>
        <v>60.757180610940942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9.3658577163310275E-3</v>
      </c>
      <c r="M156" s="832"/>
      <c r="N156" s="832"/>
      <c r="O156" s="48">
        <f>IF(t&lt;Tnet,'2019'!Resal+('2019'!Salim-'2019'!Resal)*(1-EXP(('2019'!Tnet-t)/('2019'!Tau_j))),Resal+(Salim-Resal)*(1-EXP((Tnet-t)/(Tau_j))))*Salcycl</f>
        <v>3.7039896369490205E-2</v>
      </c>
      <c r="P156" s="169">
        <f>(INDEX(Models!$BJ156:$BT156,,T156)*(1-R156)+INDEX(Models!$BJ156:$BT156,,T156+1)*R156-ERP_i)*Q156*Ramure*Pc/MaxiM</f>
        <v>3.0562184892859903E-5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61.072030538496406</v>
      </c>
      <c r="W156" s="58"/>
      <c r="X156" s="157">
        <f t="shared" si="57"/>
        <v>43972</v>
      </c>
      <c r="Y156" s="383">
        <f t="shared" si="58"/>
        <v>54.374000000000002</v>
      </c>
      <c r="Z156" s="383">
        <f t="shared" si="59"/>
        <v>54.888073890380774</v>
      </c>
      <c r="AA156" s="384">
        <f t="shared" si="60"/>
        <v>56.999322903871274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3.7039896369490205E-2</v>
      </c>
      <c r="AD156" s="230">
        <f>(INDEX(Models!$BJ156:$BT156,,AH156)*(1-AF156)+INDEX(Models!$BJ156:$BT156,,AH156+1)*AF156-ERP_i)*AE156*Ramure*Pc/MaxiM</f>
        <v>3.0562184892859903E-5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55.264000000000003</v>
      </c>
      <c r="C157" s="388"/>
      <c r="D157" s="391">
        <f t="shared" si="48"/>
        <v>55.787557467835867</v>
      </c>
      <c r="E157" s="383">
        <f t="shared" si="70"/>
        <v>57.93856069546856</v>
      </c>
      <c r="F157" s="383">
        <f t="shared" si="49"/>
        <v>57.940082195716684</v>
      </c>
      <c r="G157" s="110">
        <f t="shared" si="71"/>
        <v>0.90479720660230845</v>
      </c>
      <c r="H157" s="412" t="b">
        <f>Wh_hp&gt;='2019'!Maxi_hp</f>
        <v>1</v>
      </c>
      <c r="I157" s="388">
        <f>IF(H157,Wh_hp,'2019'!Maxi_hp)</f>
        <v>57.940082195716684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9.3848429936679301E-3</v>
      </c>
      <c r="M157" s="832"/>
      <c r="N157" s="832"/>
      <c r="O157" s="48">
        <f>IF(t&lt;Tnet,'2019'!Resal+('2019'!Salim-'2019'!Resal)*(1-EXP(('2019'!Tnet-t)/('2019'!Tau_j))),Resal+(Salim-Resal)*(1-EXP((Tnet-t)/(Tau_j))))*Salcycl</f>
        <v>3.7125589621368138E-2</v>
      </c>
      <c r="P157" s="169">
        <f>(INDEX(Models!$BJ157:$BT157,,T157)*(1-R157)+INDEX(Models!$BJ157:$BT157,,T157+1)*R157-ERP_i)*Q157*Ramure*Pc/MaxiM</f>
        <v>3.0393344891017542E-5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61.07862751957056</v>
      </c>
      <c r="W157" s="58"/>
      <c r="X157" s="157">
        <f t="shared" si="57"/>
        <v>43973</v>
      </c>
      <c r="Y157" s="383">
        <f t="shared" si="58"/>
        <v>55.264000000000003</v>
      </c>
      <c r="Z157" s="383">
        <f t="shared" si="59"/>
        <v>55.787557467835867</v>
      </c>
      <c r="AA157" s="384">
        <f t="shared" si="60"/>
        <v>57.93856069546856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3.7125589621368138E-2</v>
      </c>
      <c r="AD157" s="230">
        <f>(INDEX(Models!$BJ157:$BT157,,AH157)*(1-AF157)+INDEX(Models!$BJ157:$BT157,,AH157+1)*AF157-ERP_i)*AE157*Ramure*Pc/MaxiM</f>
        <v>3.0393344891017542E-5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17.702000000000002</v>
      </c>
      <c r="C158" s="388"/>
      <c r="D158" s="391">
        <f t="shared" si="48"/>
        <v>17.870046845225321</v>
      </c>
      <c r="E158" s="383">
        <f t="shared" si="70"/>
        <v>18.560716423704232</v>
      </c>
      <c r="F158" s="383">
        <f t="shared" si="49"/>
        <v>18.560716423704232</v>
      </c>
      <c r="G158" s="110">
        <f t="shared" si="71"/>
        <v>0.28979967942976753</v>
      </c>
      <c r="H158" s="412" t="b">
        <f>Wh_hp&gt;='2019'!Maxi_hp</f>
        <v>1</v>
      </c>
      <c r="I158" s="388">
        <f>IF(H158,Wh_hp,'2019'!Maxi_hp)</f>
        <v>18.560716423704232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9.4038279071563258E-3</v>
      </c>
      <c r="M158" s="832"/>
      <c r="N158" s="832"/>
      <c r="O158" s="48">
        <f>IF(t&lt;Tnet,'2019'!Resal+('2019'!Salim-'2019'!Resal)*(1-EXP(('2019'!Tnet-t)/('2019'!Tau_j))),Resal+(Salim-Resal)*(1-EXP((Tnet-t)/(Tau_j))))*Salcycl</f>
        <v>3.7211364190492348E-2</v>
      </c>
      <c r="P158" s="169">
        <f>(INDEX(Models!$BJ158:$BT158,,T158)*(1-R158)+INDEX(Models!$BJ158:$BT158,,T158+1)*R158-ERP_i)*Q158*Ramure*Pc/MaxiM</f>
        <v>3.0219121189922494E-5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61.081727543479275</v>
      </c>
      <c r="W158" s="58"/>
      <c r="X158" s="157">
        <f t="shared" si="57"/>
        <v>43974</v>
      </c>
      <c r="Y158" s="383">
        <f t="shared" si="58"/>
        <v>17.702000000000002</v>
      </c>
      <c r="Z158" s="383">
        <f t="shared" si="59"/>
        <v>17.870046845225321</v>
      </c>
      <c r="AA158" s="384">
        <f t="shared" si="60"/>
        <v>18.560716423704232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3.7211364190492348E-2</v>
      </c>
      <c r="AD158" s="230">
        <f>(INDEX(Models!$BJ158:$BT158,,AH158)*(1-AF158)+INDEX(Models!$BJ158:$BT158,,AH158+1)*AF158-ERP_i)*AE158*Ramure*Pc/MaxiM</f>
        <v>3.0219121189922494E-5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57.05</v>
      </c>
      <c r="C159" s="388"/>
      <c r="D159" s="391">
        <f t="shared" si="48"/>
        <v>57.592685070301172</v>
      </c>
      <c r="E159" s="383">
        <f t="shared" si="70"/>
        <v>59.823950277446102</v>
      </c>
      <c r="F159" s="383">
        <f t="shared" si="49"/>
        <v>59.825577923222795</v>
      </c>
      <c r="G159" s="110">
        <f t="shared" si="71"/>
        <v>0.93399471500665787</v>
      </c>
      <c r="H159" s="412" t="b">
        <f>Wh_hp&gt;='2019'!Maxi_hp</f>
        <v>1</v>
      </c>
      <c r="I159" s="388">
        <f>IF(H159,Wh_hp,'2019'!Maxi_hp)</f>
        <v>59.825577923222795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9.422812456803098E-3</v>
      </c>
      <c r="M159" s="832"/>
      <c r="N159" s="832"/>
      <c r="O159" s="48">
        <f>IF(t&lt;Tnet,'2019'!Resal+('2019'!Salim-'2019'!Resal)*(1-EXP(('2019'!Tnet-t)/('2019'!Tau_j))),Resal+(Salim-Resal)*(1-EXP((Tnet-t)/(Tau_j))))*Salcycl</f>
        <v>3.7297189449994099E-2</v>
      </c>
      <c r="P159" s="169">
        <f>(INDEX(Models!$BJ159:$BT159,,T159)*(1-R159)+INDEX(Models!$BJ159:$BT159,,T159+1)*R159-ERP_i)*Q159*Ramure*Pc/MaxiM</f>
        <v>3.0038869436373478E-5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61.081543068106491</v>
      </c>
      <c r="W159" s="58"/>
      <c r="X159" s="157">
        <f t="shared" si="57"/>
        <v>43975</v>
      </c>
      <c r="Y159" s="383">
        <f t="shared" si="58"/>
        <v>57.05</v>
      </c>
      <c r="Z159" s="383">
        <f t="shared" si="59"/>
        <v>57.592685070301172</v>
      </c>
      <c r="AA159" s="384">
        <f t="shared" si="60"/>
        <v>59.823950277446102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3.7297189449994099E-2</v>
      </c>
      <c r="AD159" s="230">
        <f>(INDEX(Models!$BJ159:$BT159,,AH159)*(1-AF159)+INDEX(Models!$BJ159:$BT159,,AH159+1)*AF159-ERP_i)*AE159*Ramure*Pc/MaxiM</f>
        <v>3.0038869436373478E-5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59.686</v>
      </c>
      <c r="C160" s="388"/>
      <c r="D160" s="391">
        <f t="shared" si="48"/>
        <v>60.254914650851489</v>
      </c>
      <c r="E160" s="383">
        <f t="shared" si="70"/>
        <v>62.594902008465397</v>
      </c>
      <c r="F160" s="383">
        <f t="shared" si="49"/>
        <v>62.596709791929555</v>
      </c>
      <c r="G160" s="110">
        <f t="shared" si="71"/>
        <v>0.97720393598077482</v>
      </c>
      <c r="H160" s="412" t="b">
        <f>Wh_hp&gt;='2019'!Maxi_hp</f>
        <v>1</v>
      </c>
      <c r="I160" s="388">
        <f>IF(H160,Wh_hp,'2019'!Maxi_hp)</f>
        <v>62.596709791929555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9.4417966426154631E-3</v>
      </c>
      <c r="M160" s="832"/>
      <c r="N160" s="832"/>
      <c r="O160" s="48">
        <f>IF(t&lt;Tnet,'2019'!Resal+('2019'!Salim-'2019'!Resal)*(1-EXP(('2019'!Tnet-t)/('2019'!Tau_j))),Resal+(Salim-Resal)*(1-EXP((Tnet-t)/(Tau_j))))*Salcycl</f>
        <v>3.7383034121491868E-2</v>
      </c>
      <c r="P160" s="169">
        <f>(INDEX(Models!$BJ160:$BT160,,T160)*(1-R160)+INDEX(Models!$BJ160:$BT160,,T160+1)*R160-ERP_i)*Q160*Ramure*Pc/MaxiM</f>
        <v>2.9851960639634954E-5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61.078286506189016</v>
      </c>
      <c r="W160" s="58"/>
      <c r="X160" s="157">
        <f t="shared" si="57"/>
        <v>43976</v>
      </c>
      <c r="Y160" s="383">
        <f t="shared" si="58"/>
        <v>59.686</v>
      </c>
      <c r="Z160" s="383">
        <f t="shared" si="59"/>
        <v>60.254914650851489</v>
      </c>
      <c r="AA160" s="384">
        <f t="shared" si="60"/>
        <v>62.594902008465397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3.7383034121491868E-2</v>
      </c>
      <c r="AD160" s="230">
        <f>(INDEX(Models!$BJ160:$BT160,,AH160)*(1-AF160)+INDEX(Models!$BJ160:$BT160,,AH160+1)*AF160-ERP_i)*AE160*Ramure*Pc/MaxiM</f>
        <v>2.9851960639634954E-5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59.369</v>
      </c>
      <c r="C161" s="388"/>
      <c r="D161" s="391">
        <f t="shared" si="48"/>
        <v>59.93604173275066</v>
      </c>
      <c r="E161" s="383">
        <f t="shared" si="70"/>
        <v>62.269197991383962</v>
      </c>
      <c r="F161" s="383">
        <f t="shared" si="49"/>
        <v>62.270971233570506</v>
      </c>
      <c r="G161" s="110">
        <f t="shared" si="71"/>
        <v>0.97211102278891193</v>
      </c>
      <c r="H161" s="412" t="b">
        <f>Wh_hp&gt;='2019'!Maxi_hp</f>
        <v>1</v>
      </c>
      <c r="I161" s="388">
        <f>IF(H161,Wh_hp,'2019'!Maxi_hp)</f>
        <v>62.270971233570506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9.4607804646000826E-3</v>
      </c>
      <c r="M161" s="832"/>
      <c r="N161" s="832"/>
      <c r="O161" s="48">
        <f>IF(t&lt;Tnet,'2019'!Resal+('2019'!Salim-'2019'!Resal)*(1-EXP(('2019'!Tnet-t)/('2019'!Tau_j))),Resal+(Salim-Resal)*(1-EXP((Tnet-t)/(Tau_j))))*Salcycl</f>
        <v>3.7468866372040555E-2</v>
      </c>
      <c r="P161" s="169">
        <f>(INDEX(Models!$BJ161:$BT161,,T161)*(1-R161)+INDEX(Models!$BJ161:$BT161,,T161+1)*R161-ERP_i)*Q161*Ramure*Pc/MaxiM</f>
        <v>2.9657783823931177E-5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61.072170213347086</v>
      </c>
      <c r="W161" s="58"/>
      <c r="X161" s="157">
        <f t="shared" si="57"/>
        <v>43977</v>
      </c>
      <c r="Y161" s="383">
        <f t="shared" si="58"/>
        <v>59.369</v>
      </c>
      <c r="Z161" s="383">
        <f t="shared" si="59"/>
        <v>59.93604173275066</v>
      </c>
      <c r="AA161" s="384">
        <f t="shared" si="60"/>
        <v>62.269197991383962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3.7468866372040555E-2</v>
      </c>
      <c r="AD161" s="230">
        <f>(INDEX(Models!$BJ161:$BT161,,AH161)*(1-AF161)+INDEX(Models!$BJ161:$BT161,,AH161+1)*AF161-ERP_i)*AE161*Ramure*Pc/MaxiM</f>
        <v>2.9657783823931177E-5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58.537999999999997</v>
      </c>
      <c r="C162" s="388"/>
      <c r="D162" s="391">
        <f t="shared" si="48"/>
        <v>59.098237338217785</v>
      </c>
      <c r="E162" s="383">
        <f t="shared" si="70"/>
        <v>61.404252801174998</v>
      </c>
      <c r="F162" s="383">
        <f t="shared" si="49"/>
        <v>61.405954695216622</v>
      </c>
      <c r="G162" s="110">
        <f t="shared" si="71"/>
        <v>0.95864121406402236</v>
      </c>
      <c r="H162" s="412" t="b">
        <f>Wh_hp&gt;='2019'!Maxi_hp</f>
        <v>1</v>
      </c>
      <c r="I162" s="388">
        <f>IF(H162,Wh_hp,'2019'!Maxi_hp)</f>
        <v>61.405954695216622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9.4797639227641728E-3</v>
      </c>
      <c r="M162" s="832"/>
      <c r="N162" s="832"/>
      <c r="O162" s="48">
        <f>IF(t&lt;Tnet,'2019'!Resal+('2019'!Salim-'2019'!Resal)*(1-EXP(('2019'!Tnet-t)/('2019'!Tau_j))),Resal+(Salim-Resal)*(1-EXP((Tnet-t)/(Tau_j))))*Salcycl</f>
        <v>3.7554653916627156E-2</v>
      </c>
      <c r="P162" s="169">
        <f>(INDEX(Models!$BJ162:$BT162,,T162)*(1-R162)+INDEX(Models!$BJ162:$BT162,,T162+1)*R162-ERP_i)*Q162*Ramure*Pc/MaxiM</f>
        <v>2.9455748763755739E-5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61.0634064810978</v>
      </c>
      <c r="W162" s="58"/>
      <c r="X162" s="157">
        <f t="shared" si="57"/>
        <v>43978</v>
      </c>
      <c r="Y162" s="383">
        <f t="shared" si="58"/>
        <v>58.537999999999997</v>
      </c>
      <c r="Z162" s="383">
        <f t="shared" si="59"/>
        <v>59.098237338217785</v>
      </c>
      <c r="AA162" s="384">
        <f t="shared" si="60"/>
        <v>61.404252801174998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3.7554653916627156E-2</v>
      </c>
      <c r="AD162" s="230">
        <f>(INDEX(Models!$BJ162:$BT162,,AH162)*(1-AF162)+INDEX(Models!$BJ162:$BT162,,AH162+1)*AF162-ERP_i)*AE162*Ramure*Pc/MaxiM</f>
        <v>2.9455748763755739E-5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58.517000000000003</v>
      </c>
      <c r="C163" s="388"/>
      <c r="D163" s="391">
        <f t="shared" si="48"/>
        <v>59.078168577552624</v>
      </c>
      <c r="E163" s="383">
        <f t="shared" si="70"/>
        <v>61.388867919300942</v>
      </c>
      <c r="F163" s="383">
        <f t="shared" si="49"/>
        <v>61.390556895613145</v>
      </c>
      <c r="G163" s="110">
        <f t="shared" si="71"/>
        <v>0.95849554853197538</v>
      </c>
      <c r="H163" s="412" t="b">
        <f>Wh_hp&gt;='2019'!Maxi_hp</f>
        <v>1</v>
      </c>
      <c r="I163" s="388">
        <f>IF(H163,Wh_hp,'2019'!Maxi_hp)</f>
        <v>61.390556895613145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9.4987470171146171E-3</v>
      </c>
      <c r="M163" s="832"/>
      <c r="N163" s="832"/>
      <c r="O163" s="48">
        <f>IF(t&lt;Tnet,'2019'!Resal+('2019'!Salim-'2019'!Resal)*(1-EXP(('2019'!Tnet-t)/('2019'!Tau_j))),Resal+(Salim-Resal)*(1-EXP((Tnet-t)/(Tau_j))))*Salcycl</f>
        <v>3.7640364125721616E-2</v>
      </c>
      <c r="P163" s="169">
        <f>(INDEX(Models!$BJ163:$BT163,,T163)*(1-R163)+INDEX(Models!$BJ163:$BT163,,T163+1)*R163-ERP_i)*Q163*Ramure*Pc/MaxiM</f>
        <v>2.9245973760582498E-5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61.050777564103448</v>
      </c>
      <c r="W163" s="58"/>
      <c r="X163" s="157">
        <f t="shared" si="57"/>
        <v>43979</v>
      </c>
      <c r="Y163" s="383">
        <f t="shared" si="58"/>
        <v>58.517000000000003</v>
      </c>
      <c r="Z163" s="383">
        <f t="shared" si="59"/>
        <v>59.078168577552624</v>
      </c>
      <c r="AA163" s="384">
        <f t="shared" si="60"/>
        <v>61.388867919300942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3.7640364125721616E-2</v>
      </c>
      <c r="AD163" s="230">
        <f>(INDEX(Models!$BJ163:$BT163,,AH163)*(1-AF163)+INDEX(Models!$BJ163:$BT163,,AH163+1)*AF163-ERP_i)*AE163*Ramure*Pc/MaxiM</f>
        <v>2.9245973760582498E-5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56.478999999999999</v>
      </c>
      <c r="C164" s="388"/>
      <c r="D164" s="391">
        <f t="shared" si="48"/>
        <v>57.021717294960816</v>
      </c>
      <c r="E164" s="383">
        <f t="shared" si="70"/>
        <v>59.257254347345693</v>
      </c>
      <c r="F164" s="383">
        <f t="shared" si="49"/>
        <v>59.25879141798292</v>
      </c>
      <c r="G164" s="110">
        <f t="shared" si="71"/>
        <v>0.92537864869986564</v>
      </c>
      <c r="H164" s="412" t="b">
        <f>Wh_hp&gt;='2019'!Maxi_hp</f>
        <v>1</v>
      </c>
      <c r="I164" s="388">
        <f>IF(H164,Wh_hp,'2019'!Maxi_hp)</f>
        <v>59.25879141798292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9.51772974765841E-3</v>
      </c>
      <c r="M164" s="832"/>
      <c r="N164" s="832"/>
      <c r="O164" s="48">
        <f>IF(t&lt;Tnet,'2019'!Resal+('2019'!Salim-'2019'!Resal)*(1-EXP(('2019'!Tnet-t)/('2019'!Tau_j))),Resal+(Salim-Resal)*(1-EXP((Tnet-t)/(Tau_j))))*Salcycl</f>
        <v>3.772596413733461E-2</v>
      </c>
      <c r="P164" s="169">
        <f>(INDEX(Models!$BJ164:$BT164,,T164)*(1-R164)+INDEX(Models!$BJ164:$BT164,,T164+1)*R164-ERP_i)*Q164*Ramure*Pc/MaxiM</f>
        <v>2.9033141974745719E-5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61.033205466371733</v>
      </c>
      <c r="W164" s="58"/>
      <c r="X164" s="157">
        <f t="shared" si="57"/>
        <v>43980</v>
      </c>
      <c r="Y164" s="383">
        <f t="shared" si="58"/>
        <v>56.478999999999999</v>
      </c>
      <c r="Z164" s="383">
        <f t="shared" si="59"/>
        <v>57.021717294960816</v>
      </c>
      <c r="AA164" s="384">
        <f t="shared" si="60"/>
        <v>59.257254347345693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3.772596413733461E-2</v>
      </c>
      <c r="AD164" s="230">
        <f>(INDEX(Models!$BJ164:$BT164,,AH164)*(1-AF164)+INDEX(Models!$BJ164:$BT164,,AH164+1)*AF164-ERP_i)*AE164*Ramure*Pc/MaxiM</f>
        <v>2.9033141974745719E-5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59.707000000000001</v>
      </c>
      <c r="C165" s="388"/>
      <c r="D165" s="391">
        <f t="shared" si="48"/>
        <v>60.281891040565661</v>
      </c>
      <c r="E165" s="383">
        <f t="shared" si="70"/>
        <v>62.650807081418201</v>
      </c>
      <c r="F165" s="383">
        <f t="shared" si="49"/>
        <v>62.652558232537473</v>
      </c>
      <c r="G165" s="110">
        <f t="shared" si="71"/>
        <v>0.97862415508738188</v>
      </c>
      <c r="H165" s="412" t="b">
        <f>Wh_hp&gt;='2019'!Maxi_hp</f>
        <v>0</v>
      </c>
      <c r="I165" s="388">
        <f>IF(H165,Wh_hp,'2019'!Maxi_hp)</f>
        <v>62.682352866116169</v>
      </c>
      <c r="J165" s="85">
        <f>IF(H165,An,'2019'!An_max)</f>
        <v>2018</v>
      </c>
      <c r="K165" s="197">
        <f t="shared" si="50"/>
        <v>43981</v>
      </c>
      <c r="L165" s="147">
        <f>IF(t&lt;Tvie,1-EXP((T0-t)*PertePVj)+'2019'!Pspv,1-EXP((T0-t)*PertePVj)+Pspv)</f>
        <v>9.5367121144025457E-3</v>
      </c>
      <c r="M165" s="832"/>
      <c r="N165" s="832"/>
      <c r="O165" s="48">
        <f>IF(t&lt;Tnet,'2019'!Resal+('2019'!Salim-'2019'!Resal)*(1-EXP(('2019'!Tnet-t)/('2019'!Tau_j))),Resal+(Salim-Resal)*(1-EXP((Tnet-t)/(Tau_j))))*Salcycl</f>
        <v>3.781142097298134E-2</v>
      </c>
      <c r="P165" s="169">
        <f>(INDEX(Models!$BJ165:$BT165,,T165)*(1-R165)+INDEX(Models!$BJ165:$BT165,,T165+1)*R165-ERP_i)*Q165*Ramure*Pc/MaxiM</f>
        <v>2.8830554276856946E-5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61.011111492023552</v>
      </c>
      <c r="W165" s="58"/>
      <c r="X165" s="157">
        <f t="shared" si="57"/>
        <v>43981</v>
      </c>
      <c r="Y165" s="383">
        <f t="shared" si="58"/>
        <v>59.707000000000001</v>
      </c>
      <c r="Z165" s="383">
        <f t="shared" si="59"/>
        <v>60.281891040565661</v>
      </c>
      <c r="AA165" s="384">
        <f t="shared" si="60"/>
        <v>62.650807081418201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3.781142097298134E-2</v>
      </c>
      <c r="AD165" s="230">
        <f>(INDEX(Models!$BJ165:$BT165,,AH165)*(1-AF165)+INDEX(Models!$BJ165:$BT165,,AH165+1)*AF165-ERP_i)*AE165*Ramure*Pc/MaxiM</f>
        <v>2.8830554276856946E-5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59.276000000000003</v>
      </c>
      <c r="C166" s="388"/>
      <c r="D166" s="391">
        <f t="shared" si="48"/>
        <v>59.847888112371436</v>
      </c>
      <c r="E166" s="383">
        <f t="shared" si="70"/>
        <v>62.205262382365163</v>
      </c>
      <c r="F166" s="383">
        <f t="shared" si="49"/>
        <v>62.206972575773953</v>
      </c>
      <c r="G166" s="110">
        <f t="shared" si="71"/>
        <v>0.97197691524872787</v>
      </c>
      <c r="H166" s="412" t="b">
        <f>Wh_hp&gt;='2019'!Maxi_hp</f>
        <v>0</v>
      </c>
      <c r="I166" s="388">
        <f>IF(H166,Wh_hp,'2019'!Maxi_hp)</f>
        <v>63.124729427681508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9.5556941173537968E-3</v>
      </c>
      <c r="M166" s="832"/>
      <c r="N166" s="832"/>
      <c r="O166" s="48">
        <f>IF(t&lt;Tnet,'2019'!Resal+('2019'!Salim-'2019'!Resal)*(1-EXP(('2019'!Tnet-t)/('2019'!Tau_j))),Resal+(Salim-Resal)*(1-EXP((Tnet-t)/(Tau_j))))*Salcycl</f>
        <v>3.7896701656900879E-2</v>
      </c>
      <c r="P166" s="169">
        <f>(INDEX(Models!$BJ166:$BT166,,T166)*(1-R166)+INDEX(Models!$BJ166:$BT166,,T166+1)*R166-ERP_i)*Q166*Ramure*Pc/MaxiM</f>
        <v>2.863842489859667E-5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60.984917555198926</v>
      </c>
      <c r="W166" s="58"/>
      <c r="X166" s="157">
        <f t="shared" si="57"/>
        <v>43982</v>
      </c>
      <c r="Y166" s="383">
        <f t="shared" si="58"/>
        <v>59.276000000000003</v>
      </c>
      <c r="Z166" s="383">
        <f t="shared" si="59"/>
        <v>59.847888112371436</v>
      </c>
      <c r="AA166" s="384">
        <f t="shared" si="60"/>
        <v>62.205262382365163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3.7896701656900879E-2</v>
      </c>
      <c r="AD166" s="230">
        <f>(INDEX(Models!$BJ166:$BT166,,AH166)*(1-AF166)+INDEX(Models!$BJ166:$BT166,,AH166+1)*AF166-ERP_i)*AE166*Ramure*Pc/MaxiM</f>
        <v>2.863842489859667E-5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30.527000000000001</v>
      </c>
      <c r="C167" s="388"/>
      <c r="D167" s="391">
        <f t="shared" si="48"/>
        <v>30.822111725906773</v>
      </c>
      <c r="E167" s="383">
        <f t="shared" si="70"/>
        <v>32.039010147289773</v>
      </c>
      <c r="F167" s="383">
        <f t="shared" si="49"/>
        <v>32.039271702267797</v>
      </c>
      <c r="G167" s="110">
        <f t="shared" si="71"/>
        <v>0.50080153841448738</v>
      </c>
      <c r="H167" s="412" t="b">
        <f>Wh_hp&gt;='2019'!Maxi_hp</f>
        <v>0</v>
      </c>
      <c r="I167" s="388">
        <f>IF(H167,Wh_hp,'2019'!Maxi_hp)</f>
        <v>62.353294055215706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9.5746757565193796E-3</v>
      </c>
      <c r="M167" s="832"/>
      <c r="N167" s="832"/>
      <c r="O167" s="48">
        <f>IF(t&lt;Tnet,'2019'!Resal+('2019'!Salim-'2019'!Resal)*(1-EXP(('2019'!Tnet-t)/('2019'!Tau_j))),Resal+(Salim-Resal)*(1-EXP((Tnet-t)/(Tau_j))))*Salcycl</f>
        <v>3.7981773337836491E-2</v>
      </c>
      <c r="P167" s="169">
        <f>(INDEX(Models!$BJ167:$BT167,,T167)*(1-R167)+INDEX(Models!$BJ167:$BT167,,T167+1)*R167-ERP_i)*Q167*Ramure*Pc/MaxiM</f>
        <v>2.8457017328049151E-5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60.955045373173455</v>
      </c>
      <c r="W167" s="58"/>
      <c r="X167" s="157">
        <f t="shared" si="57"/>
        <v>43983</v>
      </c>
      <c r="Y167" s="383">
        <f t="shared" si="58"/>
        <v>30.526999999999997</v>
      </c>
      <c r="Z167" s="383">
        <f t="shared" si="59"/>
        <v>30.822111725906769</v>
      </c>
      <c r="AA167" s="384">
        <f t="shared" si="60"/>
        <v>32.039010147289773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3.7981773337836491E-2</v>
      </c>
      <c r="AD167" s="230">
        <f>(INDEX(Models!$BJ167:$BT167,,AH167)*(1-AF167)+INDEX(Models!$BJ167:$BT167,,AH167+1)*AF167-ERP_i)*AE167*Ramure*Pc/MaxiM</f>
        <v>2.8457017328049151E-5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45.482999999999997</v>
      </c>
      <c r="C168" s="388"/>
      <c r="D168" s="391">
        <f t="shared" si="48"/>
        <v>45.923575028502462</v>
      </c>
      <c r="E168" s="383">
        <f t="shared" si="70"/>
        <v>47.740909288964467</v>
      </c>
      <c r="F168" s="383">
        <f t="shared" si="49"/>
        <v>47.741770837647287</v>
      </c>
      <c r="G168" s="110">
        <f t="shared" si="71"/>
        <v>0.74657096923211574</v>
      </c>
      <c r="H168" s="412" t="b">
        <f>Wh_hp&gt;='2019'!Maxi_hp</f>
        <v>0</v>
      </c>
      <c r="I168" s="388">
        <f>IF(H168,Wh_hp,'2019'!Maxi_hp)</f>
        <v>48.248550677509407</v>
      </c>
      <c r="J168" s="85">
        <f>IF(H168,An,'2019'!An_max)</f>
        <v>2018</v>
      </c>
      <c r="K168" s="197">
        <f t="shared" si="50"/>
        <v>43984</v>
      </c>
      <c r="L168" s="147">
        <f>IF(t&lt;Tvie,1-EXP((T0-t)*PertePVj)+'2019'!Pspv,1-EXP((T0-t)*PertePVj)+Pspv)</f>
        <v>9.5936570319061776E-3</v>
      </c>
      <c r="M168" s="832"/>
      <c r="N168" s="832"/>
      <c r="O168" s="48">
        <f>IF(t&lt;Tnet,'2019'!Resal+('2019'!Salim-'2019'!Resal)*(1-EXP(('2019'!Tnet-t)/('2019'!Tau_j))),Resal+(Salim-Resal)*(1-EXP((Tnet-t)/(Tau_j))))*Salcycl</f>
        <v>3.8066603412643521E-2</v>
      </c>
      <c r="P168" s="169">
        <f>(INDEX(Models!$BJ168:$BT168,,T168)*(1-R168)+INDEX(Models!$BJ168:$BT168,,T168+1)*R168-ERP_i)*Q168*Ramure*Pc/MaxiM</f>
        <v>2.8286643479251047E-5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60.921916457375659</v>
      </c>
      <c r="W168" s="58"/>
      <c r="X168" s="157">
        <f t="shared" si="57"/>
        <v>43984</v>
      </c>
      <c r="Y168" s="383">
        <f t="shared" si="58"/>
        <v>45.482999999999997</v>
      </c>
      <c r="Z168" s="383">
        <f t="shared" si="59"/>
        <v>45.923575028502462</v>
      </c>
      <c r="AA168" s="384">
        <f t="shared" si="60"/>
        <v>47.740909288964467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3.8066603412643521E-2</v>
      </c>
      <c r="AD168" s="230">
        <f>(INDEX(Models!$BJ168:$BT168,,AH168)*(1-AF168)+INDEX(Models!$BJ168:$BT168,,AH168+1)*AF168-ERP_i)*AE168*Ramure*Pc/MaxiM</f>
        <v>2.8286643479251047E-5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27.007000000000001</v>
      </c>
      <c r="C169" s="388"/>
      <c r="D169" s="391">
        <f t="shared" si="48"/>
        <v>27.269128256969694</v>
      </c>
      <c r="E169" s="383">
        <f t="shared" si="70"/>
        <v>28.350741938903916</v>
      </c>
      <c r="F169" s="383">
        <f t="shared" si="49"/>
        <v>28.350905491411844</v>
      </c>
      <c r="G169" s="110">
        <f t="shared" si="71"/>
        <v>0.44355709682813099</v>
      </c>
      <c r="H169" s="412" t="b">
        <f>Wh_hp&gt;='2019'!Maxi_hp</f>
        <v>0</v>
      </c>
      <c r="I169" s="388">
        <f>IF(H169,Wh_hp,'2019'!Maxi_hp)</f>
        <v>57.206955445857666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9.6126379435211851E-3</v>
      </c>
      <c r="M169" s="832"/>
      <c r="N169" s="832"/>
      <c r="O169" s="48">
        <f>IF(t&lt;Tnet,'2019'!Resal+('2019'!Salim-'2019'!Resal)*(1-EXP(('2019'!Tnet-t)/('2019'!Tau_j))),Resal+(Salim-Resal)*(1-EXP((Tnet-t)/(Tau_j))))*Salcycl</f>
        <v>3.8151159650957625E-2</v>
      </c>
      <c r="P169" s="169">
        <f>(INDEX(Models!$BJ169:$BT169,,T169)*(1-R169)+INDEX(Models!$BJ169:$BT169,,T169+1)*R169-ERP_i)*Q169*Ramure*Pc/MaxiM</f>
        <v>2.8127662636210107E-5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60.88595210301974</v>
      </c>
      <c r="W169" s="58"/>
      <c r="X169" s="157">
        <f t="shared" si="57"/>
        <v>43985</v>
      </c>
      <c r="Y169" s="383">
        <f t="shared" si="58"/>
        <v>27.007000000000001</v>
      </c>
      <c r="Z169" s="383">
        <f t="shared" si="59"/>
        <v>27.269128256969694</v>
      </c>
      <c r="AA169" s="384">
        <f t="shared" si="60"/>
        <v>28.350741938903916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3.8151159650957625E-2</v>
      </c>
      <c r="AD169" s="230">
        <f>(INDEX(Models!$BJ169:$BT169,,AH169)*(1-AF169)+INDEX(Models!$BJ169:$BT169,,AH169+1)*AF169-ERP_i)*AE169*Ramure*Pc/MaxiM</f>
        <v>2.8127662636210107E-5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35.353999999999999</v>
      </c>
      <c r="C170" s="388"/>
      <c r="D170" s="391">
        <f t="shared" si="48"/>
        <v>35.697827858907644</v>
      </c>
      <c r="E170" s="383">
        <f t="shared" ref="E170:E232" si="73">Wh_pvt/(1-Psa)</f>
        <v>37.117012044277793</v>
      </c>
      <c r="F170" s="383">
        <f t="shared" si="49"/>
        <v>37.117429337860266</v>
      </c>
      <c r="G170" s="110">
        <f t="shared" ref="G170:G232" si="74">+Wh_hp/MaxiM</f>
        <v>0.58101591028215838</v>
      </c>
      <c r="H170" s="412" t="b">
        <f>Wh_hp&gt;='2019'!Maxi_hp</f>
        <v>1</v>
      </c>
      <c r="I170" s="388">
        <f>IF(H170,Wh_hp,'2019'!Maxi_hp)</f>
        <v>37.117429337860266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9.6316184913713965E-3</v>
      </c>
      <c r="M170" s="832"/>
      <c r="N170" s="832"/>
      <c r="O170" s="48">
        <f>IF(t&lt;Tnet,'2019'!Resal+('2019'!Salim-'2019'!Resal)*(1-EXP(('2019'!Tnet-t)/('2019'!Tau_j))),Resal+(Salim-Resal)*(1-EXP((Tnet-t)/(Tau_j))))*Salcycl</f>
        <v>3.8235410320129469E-2</v>
      </c>
      <c r="P170" s="169">
        <f>(INDEX(Models!$BJ170:$BT170,,T170)*(1-R170)+INDEX(Models!$BJ170:$BT170,,T170+1)*R170-ERP_i)*Q170*Ramure*Pc/MaxiM</f>
        <v>2.8003730908031096E-5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60.847571971743228</v>
      </c>
      <c r="W170" s="58"/>
      <c r="X170" s="157">
        <f t="shared" si="57"/>
        <v>43986</v>
      </c>
      <c r="Y170" s="383">
        <f t="shared" si="58"/>
        <v>35.353999999999999</v>
      </c>
      <c r="Z170" s="383">
        <f t="shared" si="59"/>
        <v>35.697827858907644</v>
      </c>
      <c r="AA170" s="384">
        <f t="shared" si="60"/>
        <v>37.117012044277793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3.8235410320129469E-2</v>
      </c>
      <c r="AD170" s="230">
        <f>(INDEX(Models!$BJ170:$BT170,,AH170)*(1-AF170)+INDEX(Models!$BJ170:$BT170,,AH170+1)*AF170-ERP_i)*AE170*Ramure*Pc/MaxiM</f>
        <v>2.8003730908031096E-5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22.687999999999999</v>
      </c>
      <c r="C171" s="388"/>
      <c r="D171" s="391">
        <f t="shared" si="48"/>
        <v>22.909086398856889</v>
      </c>
      <c r="E171" s="383">
        <f t="shared" si="73"/>
        <v>23.821926527129708</v>
      </c>
      <c r="F171" s="383">
        <f t="shared" si="49"/>
        <v>23.82199592246252</v>
      </c>
      <c r="G171" s="110">
        <f t="shared" si="74"/>
        <v>0.37310440047742405</v>
      </c>
      <c r="H171" s="412" t="b">
        <f>Wh_hp&gt;='2019'!Maxi_hp</f>
        <v>0</v>
      </c>
      <c r="I171" s="388">
        <f>IF(H171,Wh_hp,'2019'!Maxi_hp)</f>
        <v>58.87079114151684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9.6505986754635842E-3</v>
      </c>
      <c r="M171" s="832"/>
      <c r="N171" s="832"/>
      <c r="O171" s="48">
        <f>IF(t&lt;Tnet,'2019'!Resal+('2019'!Salim-'2019'!Resal)*(1-EXP(('2019'!Tnet-t)/('2019'!Tau_j))),Resal+(Salim-Resal)*(1-EXP((Tnet-t)/(Tau_j))))*Salcycl</f>
        <v>3.8319324309611331E-2</v>
      </c>
      <c r="P171" s="169">
        <f>(INDEX(Models!$BJ171:$BT171,,T171)*(1-R171)+INDEX(Models!$BJ171:$BT171,,T171+1)*R171-ERP_i)*Q171*Ramure*Pc/MaxiM</f>
        <v>2.7890177416636503E-5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60.807198437990479</v>
      </c>
      <c r="W171" s="58"/>
      <c r="X171" s="157">
        <f t="shared" si="57"/>
        <v>43987</v>
      </c>
      <c r="Y171" s="383">
        <f t="shared" si="58"/>
        <v>22.687999999999999</v>
      </c>
      <c r="Z171" s="383">
        <f t="shared" si="59"/>
        <v>22.909086398856889</v>
      </c>
      <c r="AA171" s="384">
        <f t="shared" si="60"/>
        <v>23.821926527129708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3.8319324309611331E-2</v>
      </c>
      <c r="AD171" s="230">
        <f>(INDEX(Models!$BJ171:$BT171,,AH171)*(1-AF171)+INDEX(Models!$BJ171:$BT171,,AH171+1)*AF171-ERP_i)*AE171*Ramure*Pc/MaxiM</f>
        <v>2.7890177416636503E-5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26.338999999999999</v>
      </c>
      <c r="C172" s="388"/>
      <c r="D172" s="391">
        <f t="shared" si="48"/>
        <v>26.596173790151944</v>
      </c>
      <c r="E172" s="383">
        <f t="shared" si="73"/>
        <v>27.658333199096163</v>
      </c>
      <c r="F172" s="383">
        <f t="shared" si="49"/>
        <v>27.658479725652892</v>
      </c>
      <c r="G172" s="110">
        <f t="shared" si="74"/>
        <v>0.43344521289972993</v>
      </c>
      <c r="H172" s="412" t="b">
        <f>Wh_hp&gt;='2019'!Maxi_hp</f>
        <v>1</v>
      </c>
      <c r="I172" s="388">
        <f>IF(H172,Wh_hp,'2019'!Maxi_hp)</f>
        <v>27.658479725652892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9.6695784958049646E-3</v>
      </c>
      <c r="M172" s="832"/>
      <c r="N172" s="832"/>
      <c r="O172" s="48">
        <f>IF(t&lt;Tnet,'2019'!Resal+('2019'!Salim-'2019'!Resal)*(1-EXP(('2019'!Tnet-t)/('2019'!Tau_j))),Resal+(Salim-Resal)*(1-EXP((Tnet-t)/(Tau_j))))*Salcycl</f>
        <v>3.8402871253967193E-2</v>
      </c>
      <c r="P172" s="169">
        <f>(INDEX(Models!$BJ172:$BT172,,T172)*(1-R172)+INDEX(Models!$BJ172:$BT172,,T172+1)*R172-ERP_i)*Q172*Ramure*Pc/MaxiM</f>
        <v>2.7787620266977622E-5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60.765252103874602</v>
      </c>
      <c r="W172" s="58"/>
      <c r="X172" s="157">
        <f t="shared" si="57"/>
        <v>43988</v>
      </c>
      <c r="Y172" s="383">
        <f t="shared" si="58"/>
        <v>26.338999999999999</v>
      </c>
      <c r="Z172" s="383">
        <f t="shared" si="59"/>
        <v>26.596173790151944</v>
      </c>
      <c r="AA172" s="384">
        <f t="shared" si="60"/>
        <v>27.658333199096163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3.8402871253967193E-2</v>
      </c>
      <c r="AD172" s="230">
        <f>(INDEX(Models!$BJ172:$BT172,,AH172)*(1-AF172)+INDEX(Models!$BJ172:$BT172,,AH172+1)*AF172-ERP_i)*AE172*Ramure*Pc/MaxiM</f>
        <v>2.7787620266977622E-5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40.082999999999998</v>
      </c>
      <c r="C173" s="388"/>
      <c r="D173" s="391">
        <f t="shared" si="48"/>
        <v>40.475145795673313</v>
      </c>
      <c r="E173" s="383">
        <f t="shared" si="73"/>
        <v>42.095223477962321</v>
      </c>
      <c r="F173" s="383">
        <f t="shared" si="49"/>
        <v>42.095823267077229</v>
      </c>
      <c r="G173" s="110">
        <f t="shared" si="74"/>
        <v>0.6600961714695408</v>
      </c>
      <c r="H173" s="412" t="b">
        <f>Wh_hp&gt;='2019'!Maxi_hp</f>
        <v>0</v>
      </c>
      <c r="I173" s="388">
        <f>IF(H173,Wh_hp,'2019'!Maxi_hp)</f>
        <v>63.747853574878313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9.6885579524024212E-3</v>
      </c>
      <c r="M173" s="832"/>
      <c r="N173" s="832"/>
      <c r="O173" s="48">
        <f>IF(t&lt;Tnet,'2019'!Resal+('2019'!Salim-'2019'!Resal)*(1-EXP(('2019'!Tnet-t)/('2019'!Tau_j))),Resal+(Salim-Resal)*(1-EXP((Tnet-t)/(Tau_j))))*Salcycl</f>
        <v>3.8486021653671744E-2</v>
      </c>
      <c r="P173" s="169">
        <f>(INDEX(Models!$BJ173:$BT173,,T173)*(1-R173)+INDEX(Models!$BJ173:$BT173,,T173+1)*R173-ERP_i)*Q173*Ramure*Pc/MaxiM</f>
        <v>2.7696723903911757E-5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60.722153327046584</v>
      </c>
      <c r="W173" s="58"/>
      <c r="X173" s="157">
        <f t="shared" si="57"/>
        <v>43989</v>
      </c>
      <c r="Y173" s="383">
        <f t="shared" si="58"/>
        <v>40.082999999999998</v>
      </c>
      <c r="Z173" s="383">
        <f t="shared" si="59"/>
        <v>40.475145795673313</v>
      </c>
      <c r="AA173" s="384">
        <f t="shared" si="60"/>
        <v>42.095223477962321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3.8486021653671744E-2</v>
      </c>
      <c r="AD173" s="230">
        <f>(INDEX(Models!$BJ173:$BT173,,AH173)*(1-AF173)+INDEX(Models!$BJ173:$BT173,,AH173+1)*AF173-ERP_i)*AE173*Ramure*Pc/MaxiM</f>
        <v>2.7696723903911757E-5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42.82</v>
      </c>
      <c r="C174" s="388"/>
      <c r="D174" s="391">
        <f t="shared" si="48"/>
        <v>43.239751489411425</v>
      </c>
      <c r="E174" s="383">
        <f t="shared" si="73"/>
        <v>44.974356049033602</v>
      </c>
      <c r="F174" s="383">
        <f t="shared" si="49"/>
        <v>44.975075932131858</v>
      </c>
      <c r="G174" s="110">
        <f t="shared" si="74"/>
        <v>0.70568040124400855</v>
      </c>
      <c r="H174" s="412" t="b">
        <f>Wh_hp&gt;='2019'!Maxi_hp</f>
        <v>0</v>
      </c>
      <c r="I174" s="388">
        <f>IF(H174,Wh_hp,'2019'!Maxi_hp)</f>
        <v>52.278836274168064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9.7075370452629484E-3</v>
      </c>
      <c r="M174" s="832"/>
      <c r="N174" s="832"/>
      <c r="O174" s="48">
        <f>IF(t&lt;Tnet,'2019'!Resal+('2019'!Salim-'2019'!Resal)*(1-EXP(('2019'!Tnet-t)/('2019'!Tau_j))),Resal+(Salim-Resal)*(1-EXP((Tnet-t)/(Tau_j))))*Salcycl</f>
        <v>3.8568746992864444E-2</v>
      </c>
      <c r="P174" s="169">
        <f>(INDEX(Models!$BJ174:$BT174,,T174)*(1-R174)+INDEX(Models!$BJ174:$BT174,,T174+1)*R174-ERP_i)*Q174*Ramure*Pc/MaxiM</f>
        <v>2.7618196317259641E-5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60.678322217489445</v>
      </c>
      <c r="W174" s="58"/>
      <c r="X174" s="157">
        <f t="shared" si="57"/>
        <v>43990</v>
      </c>
      <c r="Y174" s="383">
        <f t="shared" si="58"/>
        <v>42.82</v>
      </c>
      <c r="Z174" s="383">
        <f t="shared" si="59"/>
        <v>43.239751489411425</v>
      </c>
      <c r="AA174" s="384">
        <f t="shared" si="60"/>
        <v>44.974356049033602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3.8568746992864444E-2</v>
      </c>
      <c r="AD174" s="230">
        <f>(INDEX(Models!$BJ174:$BT174,,AH174)*(1-AF174)+INDEX(Models!$BJ174:$BT174,,AH174+1)*AF174-ERP_i)*AE174*Ramure*Pc/MaxiM</f>
        <v>2.7618196317259641E-5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24.13</v>
      </c>
      <c r="C175" s="388"/>
      <c r="D175" s="391">
        <f t="shared" si="48"/>
        <v>24.367006068903933</v>
      </c>
      <c r="E175" s="383">
        <f t="shared" si="73"/>
        <v>25.346681145055015</v>
      </c>
      <c r="F175" s="383">
        <f t="shared" si="49"/>
        <v>25.346778877926415</v>
      </c>
      <c r="G175" s="110">
        <f t="shared" si="74"/>
        <v>0.39795093683587696</v>
      </c>
      <c r="H175" s="412" t="b">
        <f>Wh_hp&gt;='2019'!Maxi_hp</f>
        <v>1</v>
      </c>
      <c r="I175" s="388">
        <f>IF(H175,Wh_hp,'2019'!Maxi_hp)</f>
        <v>25.346778877926415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9.7265157743934294E-3</v>
      </c>
      <c r="M175" s="832"/>
      <c r="N175" s="832"/>
      <c r="O175" s="48">
        <f>IF(t&lt;Tnet,'2019'!Resal+('2019'!Salim-'2019'!Resal)*(1-EXP(('2019'!Tnet-t)/('2019'!Tau_j))),Resal+(Salim-Resal)*(1-EXP((Tnet-t)/(Tau_j))))*Salcycl</f>
        <v>3.8651019853232757E-2</v>
      </c>
      <c r="P175" s="169">
        <f>(INDEX(Models!$BJ175:$BT175,,T175)*(1-R175)+INDEX(Models!$BJ175:$BT175,,T175+1)*R175-ERP_i)*Q175*Ramure*Pc/MaxiM</f>
        <v>2.7552785900345601E-5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60.634178630421815</v>
      </c>
      <c r="W175" s="58"/>
      <c r="X175" s="157">
        <f t="shared" si="57"/>
        <v>43991</v>
      </c>
      <c r="Y175" s="383">
        <f t="shared" si="58"/>
        <v>24.13</v>
      </c>
      <c r="Z175" s="383">
        <f t="shared" si="59"/>
        <v>24.367006068903933</v>
      </c>
      <c r="AA175" s="384">
        <f t="shared" si="60"/>
        <v>25.346681145055015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3.8651019853232757E-2</v>
      </c>
      <c r="AD175" s="230">
        <f>(INDEX(Models!$BJ175:$BT175,,AH175)*(1-AF175)+INDEX(Models!$BJ175:$BT175,,AH175+1)*AF175-ERP_i)*AE175*Ramure*Pc/MaxiM</f>
        <v>2.7552785900345601E-5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41.365000000000002</v>
      </c>
      <c r="C176" s="388"/>
      <c r="D176" s="391">
        <f t="shared" si="48"/>
        <v>41.772089654939457</v>
      </c>
      <c r="E176" s="383">
        <f t="shared" si="73"/>
        <v>43.455233117619677</v>
      </c>
      <c r="F176" s="383">
        <f t="shared" si="49"/>
        <v>43.455886494813051</v>
      </c>
      <c r="G176" s="110">
        <f t="shared" si="74"/>
        <v>0.6826933039869626</v>
      </c>
      <c r="H176" s="412" t="b">
        <f>Wh_hp&gt;='2019'!Maxi_hp</f>
        <v>1</v>
      </c>
      <c r="I176" s="388">
        <f>IF(H176,Wh_hp,'2019'!Maxi_hp)</f>
        <v>43.455886494813051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9.7454941398009698E-3</v>
      </c>
      <c r="M176" s="832"/>
      <c r="N176" s="832"/>
      <c r="O176" s="48">
        <f>IF(t&lt;Tnet,'2019'!Resal+('2019'!Salim-'2019'!Resal)*(1-EXP(('2019'!Tnet-t)/('2019'!Tau_j))),Resal+(Salim-Resal)*(1-EXP((Tnet-t)/(Tau_j))))*Salcycl</f>
        <v>3.8732814023215156E-2</v>
      </c>
      <c r="P176" s="169">
        <f>(INDEX(Models!$BJ176:$BT176,,T176)*(1-R176)+INDEX(Models!$BJ176:$BT176,,T176+1)*R176-ERP_i)*Q176*Ramure*Pc/MaxiM</f>
        <v>2.7501277967377827E-5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60.590142162175688</v>
      </c>
      <c r="W176" s="58"/>
      <c r="X176" s="157">
        <f t="shared" si="57"/>
        <v>43992</v>
      </c>
      <c r="Y176" s="383">
        <f t="shared" si="58"/>
        <v>41.365000000000002</v>
      </c>
      <c r="Z176" s="383">
        <f t="shared" si="59"/>
        <v>41.772089654939457</v>
      </c>
      <c r="AA176" s="384">
        <f t="shared" si="60"/>
        <v>43.455233117619677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3.8732814023215156E-2</v>
      </c>
      <c r="AD176" s="230">
        <f>(INDEX(Models!$BJ176:$BT176,,AH176)*(1-AF176)+INDEX(Models!$BJ176:$BT176,,AH176+1)*AF176-ERP_i)*AE176*Ramure*Pc/MaxiM</f>
        <v>2.7501277967377827E-5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27.196999999999999</v>
      </c>
      <c r="C177" s="388"/>
      <c r="D177" s="391">
        <f t="shared" si="48"/>
        <v>27.465183014405149</v>
      </c>
      <c r="E177" s="383">
        <f t="shared" si="73"/>
        <v>28.574267626997443</v>
      </c>
      <c r="F177" s="383">
        <f t="shared" si="49"/>
        <v>28.574434899185601</v>
      </c>
      <c r="G177" s="110">
        <f t="shared" si="74"/>
        <v>0.4491890064218968</v>
      </c>
      <c r="H177" s="412" t="b">
        <f>Wh_hp&gt;='2019'!Maxi_hp</f>
        <v>0</v>
      </c>
      <c r="I177" s="388">
        <f>IF(H177,Wh_hp,'2019'!Maxi_hp)</f>
        <v>56.41651381708197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9.7644721414924529E-3</v>
      </c>
      <c r="M177" s="832"/>
      <c r="N177" s="832"/>
      <c r="O177" s="48">
        <f>IF(t&lt;Tnet,'2019'!Resal+('2019'!Salim-'2019'!Resal)*(1-EXP(('2019'!Tnet-t)/('2019'!Tau_j))),Resal+(Salim-Resal)*(1-EXP((Tnet-t)/(Tau_j))))*Salcycl</f>
        <v>3.88141046017366E-2</v>
      </c>
      <c r="P177" s="169">
        <f>(INDEX(Models!$BJ177:$BT177,,T177)*(1-R177)+INDEX(Models!$BJ177:$BT177,,T177+1)*R177-ERP_i)*Q177*Ramure*Pc/MaxiM</f>
        <v>2.7464964853399867E-5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60.5455873850429</v>
      </c>
      <c r="W177" s="58"/>
      <c r="X177" s="157">
        <f t="shared" si="57"/>
        <v>43993</v>
      </c>
      <c r="Y177" s="383">
        <f t="shared" si="58"/>
        <v>27.196999999999999</v>
      </c>
      <c r="Z177" s="383">
        <f t="shared" si="59"/>
        <v>27.465183014405149</v>
      </c>
      <c r="AA177" s="384">
        <f t="shared" si="60"/>
        <v>28.574267626997443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3.88141046017366E-2</v>
      </c>
      <c r="AD177" s="230">
        <f>(INDEX(Models!$BJ177:$BT177,,AH177)*(1-AF177)+INDEX(Models!$BJ177:$BT177,,AH177+1)*AF177-ERP_i)*AE177*Ramure*Pc/MaxiM</f>
        <v>2.7464964853399867E-5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55.634</v>
      </c>
      <c r="C178" s="388"/>
      <c r="D178" s="391">
        <f t="shared" si="48"/>
        <v>56.183670114996644</v>
      </c>
      <c r="E178" s="383">
        <f t="shared" si="73"/>
        <v>58.457361478944058</v>
      </c>
      <c r="F178" s="383">
        <f t="shared" si="49"/>
        <v>58.458782669342156</v>
      </c>
      <c r="G178" s="110">
        <f t="shared" si="74"/>
        <v>0.91957328642921243</v>
      </c>
      <c r="H178" s="412" t="b">
        <f>Wh_hp&gt;='2019'!Maxi_hp</f>
        <v>0</v>
      </c>
      <c r="I178" s="388">
        <f>IF(H178,Wh_hp,'2019'!Maxi_hp)</f>
        <v>64.279104061315721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9.7834497794747621E-3</v>
      </c>
      <c r="M178" s="832"/>
      <c r="N178" s="832"/>
      <c r="O178" s="48">
        <f>IF(t&lt;Tnet,'2019'!Resal+('2019'!Salim-'2019'!Resal)*(1-EXP(('2019'!Tnet-t)/('2019'!Tau_j))),Resal+(Salim-Resal)*(1-EXP((Tnet-t)/(Tau_j))))*Salcycl</f>
        <v>3.8894868095721104E-2</v>
      </c>
      <c r="P178" s="169">
        <f>(INDEX(Models!$BJ178:$BT178,,T178)*(1-R178)+INDEX(Models!$BJ178:$BT178,,T178+1)*R178-ERP_i)*Q178*Ramure*Pc/MaxiM</f>
        <v>2.7466657915483599E-5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60.499609170765247</v>
      </c>
      <c r="W178" s="58"/>
      <c r="X178" s="157">
        <f t="shared" si="57"/>
        <v>43994</v>
      </c>
      <c r="Y178" s="383">
        <f t="shared" si="58"/>
        <v>55.634</v>
      </c>
      <c r="Z178" s="383">
        <f t="shared" si="59"/>
        <v>56.183670114996644</v>
      </c>
      <c r="AA178" s="384">
        <f t="shared" si="60"/>
        <v>58.457361478944058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3.8894868095721104E-2</v>
      </c>
      <c r="AD178" s="230">
        <f>(INDEX(Models!$BJ178:$BT178,,AH178)*(1-AF178)+INDEX(Models!$BJ178:$BT178,,AH178+1)*AF178-ERP_i)*AE178*Ramure*Pc/MaxiM</f>
        <v>2.7466657915483599E-5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41.292000000000002</v>
      </c>
      <c r="C179" s="388"/>
      <c r="D179" s="391">
        <f t="shared" si="48"/>
        <v>41.700768743695591</v>
      </c>
      <c r="E179" s="383">
        <f t="shared" si="73"/>
        <v>43.391974531355729</v>
      </c>
      <c r="F179" s="383">
        <f t="shared" si="49"/>
        <v>43.392627585399175</v>
      </c>
      <c r="G179" s="110">
        <f t="shared" si="74"/>
        <v>0.68304345073138917</v>
      </c>
      <c r="H179" s="412" t="b">
        <f>Wh_hp&gt;='2019'!Maxi_hp</f>
        <v>1</v>
      </c>
      <c r="I179" s="388">
        <f>IF(H179,Wh_hp,'2019'!Maxi_hp)</f>
        <v>43.392627585399175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9.8024270537551139E-3</v>
      </c>
      <c r="M179" s="832"/>
      <c r="N179" s="832"/>
      <c r="O179" s="48">
        <f>IF(t&lt;Tnet,'2019'!Resal+('2019'!Salim-'2019'!Resal)*(1-EXP(('2019'!Tnet-t)/('2019'!Tau_j))),Resal+(Salim-Resal)*(1-EXP((Tnet-t)/(Tau_j))))*Salcycl</f>
        <v>3.8975082510662208E-2</v>
      </c>
      <c r="P179" s="169">
        <f>(INDEX(Models!$BJ179:$BT179,,T179)*(1-R179)+INDEX(Models!$BJ179:$BT179,,T179+1)*R179-ERP_i)*Q179*Ramure*Pc/MaxiM</f>
        <v>2.7502585822118455E-5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60.452209520659103</v>
      </c>
      <c r="W179" s="58"/>
      <c r="X179" s="157">
        <f t="shared" si="57"/>
        <v>43995</v>
      </c>
      <c r="Y179" s="383">
        <f t="shared" si="58"/>
        <v>41.292000000000002</v>
      </c>
      <c r="Z179" s="383">
        <f t="shared" si="59"/>
        <v>41.700768743695591</v>
      </c>
      <c r="AA179" s="384">
        <f t="shared" si="60"/>
        <v>43.391974531355729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3.8975082510662208E-2</v>
      </c>
      <c r="AD179" s="230">
        <f>(INDEX(Models!$BJ179:$BT179,,AH179)*(1-AF179)+INDEX(Models!$BJ179:$BT179,,AH179+1)*AF179-ERP_i)*AE179*Ramure*Pc/MaxiM</f>
        <v>2.7502585822118455E-5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47.137999999999998</v>
      </c>
      <c r="C180" s="388"/>
      <c r="D180" s="391">
        <f t="shared" si="48"/>
        <v>47.605553370598599</v>
      </c>
      <c r="E180" s="383">
        <f t="shared" si="73"/>
        <v>49.540337758733315</v>
      </c>
      <c r="F180" s="383">
        <f t="shared" si="49"/>
        <v>49.541275251885928</v>
      </c>
      <c r="G180" s="110">
        <f t="shared" si="74"/>
        <v>0.78037991253569805</v>
      </c>
      <c r="H180" s="412" t="b">
        <f>Wh_hp&gt;='2019'!Maxi_hp</f>
        <v>1</v>
      </c>
      <c r="I180" s="388">
        <f>IF(H180,Wh_hp,'2019'!Maxi_hp)</f>
        <v>49.541275251885928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9.8214039643401696E-3</v>
      </c>
      <c r="M180" s="832"/>
      <c r="N180" s="832"/>
      <c r="O180" s="48">
        <f>IF(t&lt;Tnet,'2019'!Resal+('2019'!Salim-'2019'!Resal)*(1-EXP(('2019'!Tnet-t)/('2019'!Tau_j))),Resal+(Salim-Resal)*(1-EXP((Tnet-t)/(Tau_j))))*Salcycl</f>
        <v>3.9054727433577886E-2</v>
      </c>
      <c r="P180" s="169">
        <f>(INDEX(Models!$BJ180:$BT180,,T180)*(1-R180)+INDEX(Models!$BJ180:$BT180,,T180+1)*R180-ERP_i)*Q180*Ramure*Pc/MaxiM</f>
        <v>2.7574523756124097E-5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60.40338999250703</v>
      </c>
      <c r="W180" s="58"/>
      <c r="X180" s="157">
        <f t="shared" si="57"/>
        <v>43996</v>
      </c>
      <c r="Y180" s="383">
        <f t="shared" si="58"/>
        <v>47.137999999999998</v>
      </c>
      <c r="Z180" s="383">
        <f t="shared" si="59"/>
        <v>47.605553370598599</v>
      </c>
      <c r="AA180" s="384">
        <f t="shared" si="60"/>
        <v>49.540337758733315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3.9054727433577886E-2</v>
      </c>
      <c r="AD180" s="230">
        <f>(INDEX(Models!$BJ180:$BT180,,AH180)*(1-AF180)+INDEX(Models!$BJ180:$BT180,,AH180+1)*AF180-ERP_i)*AE180*Ramure*Pc/MaxiM</f>
        <v>2.7574523756124097E-5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43.448999999999998</v>
      </c>
      <c r="C181" s="388"/>
      <c r="D181" s="391">
        <f t="shared" si="48"/>
        <v>43.880803806595843</v>
      </c>
      <c r="E181" s="383">
        <f t="shared" si="73"/>
        <v>45.667964052464413</v>
      </c>
      <c r="F181" s="383">
        <f t="shared" si="49"/>
        <v>45.668722477651635</v>
      </c>
      <c r="G181" s="110">
        <f t="shared" si="74"/>
        <v>0.71990471479323415</v>
      </c>
      <c r="H181" s="412" t="b">
        <f>Wh_hp&gt;='2019'!Maxi_hp</f>
        <v>0</v>
      </c>
      <c r="I181" s="388">
        <f>IF(H181,Wh_hp,'2019'!Maxi_hp)</f>
        <v>63.760579589282713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9.8403805112371456E-3</v>
      </c>
      <c r="M181" s="832"/>
      <c r="N181" s="832"/>
      <c r="O181" s="48">
        <f>IF(t&lt;Tnet,'2019'!Resal+('2019'!Salim-'2019'!Resal)*(1-EXP(('2019'!Tnet-t)/('2019'!Tau_j))),Resal+(Salim-Resal)*(1-EXP((Tnet-t)/(Tau_j))))*Salcycl</f>
        <v>3.9133784107726673E-2</v>
      </c>
      <c r="P181" s="169">
        <f>(INDEX(Models!$BJ181:$BT181,,T181)*(1-R181)+INDEX(Models!$BJ181:$BT181,,T181+1)*R181-ERP_i)*Q181*Ramure*Pc/MaxiM</f>
        <v>2.7684260396824533E-5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60.3531520321866</v>
      </c>
      <c r="W181" s="58"/>
      <c r="X181" s="157">
        <f t="shared" si="57"/>
        <v>43997</v>
      </c>
      <c r="Y181" s="383">
        <f t="shared" si="58"/>
        <v>43.448999999999998</v>
      </c>
      <c r="Z181" s="383">
        <f t="shared" si="59"/>
        <v>43.880803806595843</v>
      </c>
      <c r="AA181" s="384">
        <f t="shared" si="60"/>
        <v>45.667964052464413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3.9133784107726673E-2</v>
      </c>
      <c r="AD181" s="230">
        <f>(INDEX(Models!$BJ181:$BT181,,AH181)*(1-AF181)+INDEX(Models!$BJ181:$BT181,,AH181+1)*AF181-ERP_i)*AE181*Ramure*Pc/MaxiM</f>
        <v>2.7684260396824533E-5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30.068999999999999</v>
      </c>
      <c r="C182" s="388"/>
      <c r="D182" s="391">
        <f t="shared" si="48"/>
        <v>30.368413016170898</v>
      </c>
      <c r="E182" s="383">
        <f t="shared" si="73"/>
        <v>31.607826554627298</v>
      </c>
      <c r="F182" s="383">
        <f t="shared" si="49"/>
        <v>31.608076212623082</v>
      </c>
      <c r="G182" s="110">
        <f t="shared" si="74"/>
        <v>0.49863439683507754</v>
      </c>
      <c r="H182" s="412" t="b">
        <f>Wh_hp&gt;='2019'!Maxi_hp</f>
        <v>0</v>
      </c>
      <c r="I182" s="388">
        <f>IF(H182,Wh_hp,'2019'!Maxi_hp)</f>
        <v>62.238525909161851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9.8593566944530364E-3</v>
      </c>
      <c r="M182" s="832"/>
      <c r="N182" s="832"/>
      <c r="O182" s="48">
        <f>IF(t&lt;Tnet,'2019'!Resal+('2019'!Salim-'2019'!Resal)*(1-EXP(('2019'!Tnet-t)/('2019'!Tau_j))),Resal+(Salim-Resal)*(1-EXP((Tnet-t)/(Tau_j))))*Salcycl</f>
        <v>3.9212235498519335E-2</v>
      </c>
      <c r="P182" s="169">
        <f>(INDEX(Models!$BJ182:$BT182,,T182)*(1-R182)+INDEX(Models!$BJ182:$BT182,,T182+1)*R182-ERP_i)*Q182*Ramure*Pc/MaxiM</f>
        <v>2.7833592615585889E-5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60.301496967202205</v>
      </c>
      <c r="W182" s="58"/>
      <c r="X182" s="157">
        <f t="shared" si="57"/>
        <v>43998</v>
      </c>
      <c r="Y182" s="383">
        <f t="shared" si="58"/>
        <v>30.068999999999999</v>
      </c>
      <c r="Z182" s="383">
        <f t="shared" si="59"/>
        <v>30.368413016170898</v>
      </c>
      <c r="AA182" s="384">
        <f t="shared" si="60"/>
        <v>31.607826554627298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3.9212235498519335E-2</v>
      </c>
      <c r="AD182" s="230">
        <f>(INDEX(Models!$BJ182:$BT182,,AH182)*(1-AF182)+INDEX(Models!$BJ182:$BT182,,AH182+1)*AF182-ERP_i)*AE182*Ramure*Pc/MaxiM</f>
        <v>2.7833592615585889E-5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52.363999999999997</v>
      </c>
      <c r="C183" s="388"/>
      <c r="D183" s="391">
        <f t="shared" si="48"/>
        <v>52.886429738434259</v>
      </c>
      <c r="E183" s="383">
        <f t="shared" si="73"/>
        <v>55.049321221766718</v>
      </c>
      <c r="F183" s="383">
        <f t="shared" si="49"/>
        <v>55.050575558112357</v>
      </c>
      <c r="G183" s="110">
        <f t="shared" si="74"/>
        <v>0.86913018515360152</v>
      </c>
      <c r="H183" s="412" t="b">
        <f>Wh_hp&gt;='2019'!Maxi_hp</f>
        <v>0</v>
      </c>
      <c r="I183" s="388">
        <f>IF(H183,Wh_hp,'2019'!Maxi_hp)</f>
        <v>59.296704532872539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9.8783325139945033E-3</v>
      </c>
      <c r="M183" s="832"/>
      <c r="N183" s="832"/>
      <c r="O183" s="48">
        <f>IF(t&lt;Tnet,'2019'!Resal+('2019'!Salim-'2019'!Resal)*(1-EXP(('2019'!Tnet-t)/('2019'!Tau_j))),Resal+(Salim-Resal)*(1-EXP((Tnet-t)/(Tau_j))))*Salcycl</f>
        <v>3.9290066350123186E-2</v>
      </c>
      <c r="P183" s="169">
        <f>(INDEX(Models!$BJ183:$BT183,,T183)*(1-R183)+INDEX(Models!$BJ183:$BT183,,T183+1)*R183-ERP_i)*Q183*Ramure*Pc/MaxiM</f>
        <v>2.8024320285705348E-5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60.248426006824786</v>
      </c>
      <c r="W183" s="58"/>
      <c r="X183" s="157">
        <f t="shared" si="57"/>
        <v>43999</v>
      </c>
      <c r="Y183" s="383">
        <f t="shared" si="58"/>
        <v>52.363999999999997</v>
      </c>
      <c r="Z183" s="383">
        <f t="shared" si="59"/>
        <v>52.886429738434259</v>
      </c>
      <c r="AA183" s="384">
        <f t="shared" si="60"/>
        <v>55.049321221766718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3.9290066350123186E-2</v>
      </c>
      <c r="AD183" s="230">
        <f>(INDEX(Models!$BJ183:$BT183,,AH183)*(1-AF183)+INDEX(Models!$BJ183:$BT183,,AH183+1)*AF183-ERP_i)*AE183*Ramure*Pc/MaxiM</f>
        <v>2.8024320285705348E-5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44.738999999999997</v>
      </c>
      <c r="C184" s="388"/>
      <c r="D184" s="391">
        <f t="shared" si="48"/>
        <v>45.18622195468032</v>
      </c>
      <c r="E184" s="383">
        <f t="shared" si="73"/>
        <v>47.037978433591903</v>
      </c>
      <c r="F184" s="383">
        <f t="shared" si="49"/>
        <v>47.038820809374492</v>
      </c>
      <c r="G184" s="110">
        <f t="shared" si="74"/>
        <v>0.74323988030500876</v>
      </c>
      <c r="H184" s="412" t="b">
        <f>Wh_hp&gt;='2019'!Maxi_hp</f>
        <v>0</v>
      </c>
      <c r="I184" s="388">
        <f>IF(H184,Wh_hp,'2019'!Maxi_hp)</f>
        <v>51.670458904015952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9.8973079698688737E-3</v>
      </c>
      <c r="M184" s="832"/>
      <c r="N184" s="832"/>
      <c r="O184" s="48">
        <f>IF(t&lt;Tnet,'2019'!Resal+('2019'!Salim-'2019'!Resal)*(1-EXP(('2019'!Tnet-t)/('2019'!Tau_j))),Resal+(Salim-Resal)*(1-EXP((Tnet-t)/(Tau_j))))*Salcycl</f>
        <v>3.9367263232323847E-2</v>
      </c>
      <c r="P184" s="169">
        <f>(INDEX(Models!$BJ184:$BT184,,T184)*(1-R184)+INDEX(Models!$BJ184:$BT184,,T184+1)*R184-ERP_i)*Q184*Ramure*Pc/MaxiM</f>
        <v>2.8281412965262385E-5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60.193938841874505</v>
      </c>
      <c r="W184" s="58"/>
      <c r="X184" s="157">
        <f t="shared" si="57"/>
        <v>44000</v>
      </c>
      <c r="Y184" s="383">
        <f t="shared" si="58"/>
        <v>44.738999999999997</v>
      </c>
      <c r="Z184" s="383">
        <f t="shared" si="59"/>
        <v>45.18622195468032</v>
      </c>
      <c r="AA184" s="384">
        <f t="shared" si="60"/>
        <v>47.037978433591903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3.9367263232323847E-2</v>
      </c>
      <c r="AD184" s="230">
        <f>(INDEX(Models!$BJ184:$BT184,,AH184)*(1-AF184)+INDEX(Models!$BJ184:$BT184,,AH184+1)*AF184-ERP_i)*AE184*Ramure*Pc/MaxiM</f>
        <v>2.8281412965262385E-5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54.198</v>
      </c>
      <c r="C185" s="388"/>
      <c r="D185" s="391">
        <f t="shared" si="48"/>
        <v>54.740825520917511</v>
      </c>
      <c r="E185" s="383">
        <f t="shared" si="73"/>
        <v>56.988676301977449</v>
      </c>
      <c r="F185" s="383">
        <f t="shared" si="49"/>
        <v>56.990075158502776</v>
      </c>
      <c r="G185" s="110">
        <f t="shared" si="74"/>
        <v>0.90122297141683627</v>
      </c>
      <c r="H185" s="412" t="b">
        <f>Wh_hp&gt;='2019'!Maxi_hp</f>
        <v>1</v>
      </c>
      <c r="I185" s="388">
        <f>IF(H185,Wh_hp,'2019'!Maxi_hp)</f>
        <v>56.990075158502776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9.9162830620829201E-3</v>
      </c>
      <c r="M185" s="832"/>
      <c r="N185" s="832"/>
      <c r="O185" s="48">
        <f>IF(t&lt;Tnet,'2019'!Resal+('2019'!Salim-'2019'!Resal)*(1-EXP(('2019'!Tnet-t)/('2019'!Tau_j))),Resal+(Salim-Resal)*(1-EXP((Tnet-t)/(Tau_j))))*Salcycl</f>
        <v>3.944381457728189E-2</v>
      </c>
      <c r="P185" s="169">
        <f>(INDEX(Models!$BJ185:$BT185,,T185)*(1-R185)+INDEX(Models!$BJ185:$BT185,,T185+1)*R185-ERP_i)*Q185*Ramure*Pc/MaxiM</f>
        <v>2.8578129011276644E-5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60.138038154212666</v>
      </c>
      <c r="W185" s="58"/>
      <c r="X185" s="157">
        <f t="shared" si="57"/>
        <v>44001</v>
      </c>
      <c r="Y185" s="383">
        <f t="shared" si="58"/>
        <v>54.198</v>
      </c>
      <c r="Z185" s="383">
        <f t="shared" si="59"/>
        <v>54.740825520917511</v>
      </c>
      <c r="AA185" s="384">
        <f t="shared" si="60"/>
        <v>56.988676301977449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3.944381457728189E-2</v>
      </c>
      <c r="AD185" s="230">
        <f>(INDEX(Models!$BJ185:$BT185,,AH185)*(1-AF185)+INDEX(Models!$BJ185:$BT185,,AH185+1)*AF185-ERP_i)*AE185*Ramure*Pc/MaxiM</f>
        <v>2.8578129011276644E-5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49.634</v>
      </c>
      <c r="C186" s="388"/>
      <c r="D186" s="391">
        <f t="shared" si="48"/>
        <v>50.132075089595034</v>
      </c>
      <c r="E186" s="383">
        <f t="shared" si="73"/>
        <v>52.194798423650347</v>
      </c>
      <c r="F186" s="383">
        <f t="shared" si="49"/>
        <v>52.195932812822107</v>
      </c>
      <c r="G186" s="110">
        <f t="shared" si="74"/>
        <v>0.82611592410602297</v>
      </c>
      <c r="H186" s="412" t="b">
        <f>Wh_hp&gt;='2019'!Maxi_hp</f>
        <v>1</v>
      </c>
      <c r="I186" s="388">
        <f>IF(H186,Wh_hp,'2019'!Maxi_hp)</f>
        <v>52.195932812822107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9.9352577906436368E-3</v>
      </c>
      <c r="M186" s="832"/>
      <c r="N186" s="832"/>
      <c r="O186" s="48">
        <f>IF(t&lt;Tnet,'2019'!Resal+('2019'!Salim-'2019'!Resal)*(1-EXP(('2019'!Tnet-t)/('2019'!Tau_j))),Resal+(Salim-Resal)*(1-EXP((Tnet-t)/(Tau_j))))*Salcycl</f>
        <v>3.9519710705897784E-2</v>
      </c>
      <c r="P186" s="169">
        <f>(INDEX(Models!$BJ186:$BT186,,T186)*(1-R186)+INDEX(Models!$BJ186:$BT186,,T186+1)*R186-ERP_i)*Q186*Ramure*Pc/MaxiM</f>
        <v>2.8915925941915989E-5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60.080724800028406</v>
      </c>
      <c r="W186" s="58"/>
      <c r="X186" s="157">
        <f t="shared" si="57"/>
        <v>44002</v>
      </c>
      <c r="Y186" s="383">
        <f t="shared" si="58"/>
        <v>49.634</v>
      </c>
      <c r="Z186" s="383">
        <f t="shared" si="59"/>
        <v>50.132075089595034</v>
      </c>
      <c r="AA186" s="384">
        <f t="shared" si="60"/>
        <v>52.194798423650347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3.9519710705897784E-2</v>
      </c>
      <c r="AD186" s="230">
        <f>(INDEX(Models!$BJ186:$BT186,,AH186)*(1-AF186)+INDEX(Models!$BJ186:$BT186,,AH186+1)*AF186-ERP_i)*AE186*Ramure*Pc/MaxiM</f>
        <v>2.8915925941915989E-5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60.545000000000002</v>
      </c>
      <c r="C187" s="388"/>
      <c r="D187" s="391">
        <f t="shared" si="48"/>
        <v>61.153738510311932</v>
      </c>
      <c r="E187" s="383">
        <f t="shared" si="73"/>
        <v>63.674944356344362</v>
      </c>
      <c r="F187" s="383">
        <f t="shared" si="49"/>
        <v>63.676809848065162</v>
      </c>
      <c r="G187" s="110">
        <f t="shared" si="74"/>
        <v>1.0087134799825728</v>
      </c>
      <c r="H187" s="412" t="b">
        <f>Wh_hp&gt;='2019'!Maxi_hp</f>
        <v>1</v>
      </c>
      <c r="I187" s="388">
        <f>IF(H187,Wh_hp,'2019'!Maxi_hp)</f>
        <v>63.676809848065162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9.9542321555580182E-3</v>
      </c>
      <c r="M187" s="832"/>
      <c r="N187" s="832"/>
      <c r="O187" s="48">
        <f>IF(t&lt;Tnet,'2019'!Resal+('2019'!Salim-'2019'!Resal)*(1-EXP(('2019'!Tnet-t)/('2019'!Tau_j))),Resal+(Salim-Resal)*(1-EXP((Tnet-t)/(Tau_j))))*Salcycl</f>
        <v>3.9594943843578354E-2</v>
      </c>
      <c r="P187" s="169">
        <f>(INDEX(Models!$BJ187:$BT187,,T187)*(1-R187)+INDEX(Models!$BJ187:$BT187,,T187+1)*R187-ERP_i)*Q187*Ramure*Pc/MaxiM</f>
        <v>2.9296249690392276E-5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60.02199950876637</v>
      </c>
      <c r="W187" s="58"/>
      <c r="X187" s="157">
        <f t="shared" si="57"/>
        <v>44003</v>
      </c>
      <c r="Y187" s="383">
        <f t="shared" si="58"/>
        <v>60.545000000000002</v>
      </c>
      <c r="Z187" s="383">
        <f t="shared" si="59"/>
        <v>61.153738510311932</v>
      </c>
      <c r="AA187" s="384">
        <f t="shared" si="60"/>
        <v>63.674944356344362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3.9594943843578354E-2</v>
      </c>
      <c r="AD187" s="230">
        <f>(INDEX(Models!$BJ187:$BT187,,AH187)*(1-AF187)+INDEX(Models!$BJ187:$BT187,,AH187+1)*AF187-ERP_i)*AE187*Ramure*Pc/MaxiM</f>
        <v>2.9296249690392276E-5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48.999000000000002</v>
      </c>
      <c r="C188" s="388"/>
      <c r="D188" s="391">
        <f t="shared" si="48"/>
        <v>49.49259990206091</v>
      </c>
      <c r="E188" s="383">
        <f t="shared" si="73"/>
        <v>51.53704929793841</v>
      </c>
      <c r="F188" s="383">
        <f t="shared" si="49"/>
        <v>51.538180958048045</v>
      </c>
      <c r="G188" s="110">
        <f t="shared" si="74"/>
        <v>0.81716306436961195</v>
      </c>
      <c r="H188" s="412" t="b">
        <f>Wh_hp&gt;='2019'!Maxi_hp</f>
        <v>0</v>
      </c>
      <c r="I188" s="388">
        <f>IF(H188,Wh_hp,'2019'!Maxi_hp)</f>
        <v>54.409239843799597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9.9732061568330588E-3</v>
      </c>
      <c r="M188" s="832"/>
      <c r="N188" s="832"/>
      <c r="O188" s="48">
        <f>IF(t&lt;Tnet,'2019'!Resal+('2019'!Salim-'2019'!Resal)*(1-EXP(('2019'!Tnet-t)/('2019'!Tau_j))),Resal+(Salim-Resal)*(1-EXP((Tnet-t)/(Tau_j))))*Salcycl</f>
        <v>3.966950812527948E-2</v>
      </c>
      <c r="P188" s="169">
        <f>(INDEX(Models!$BJ188:$BT188,,T188)*(1-R188)+INDEX(Models!$BJ188:$BT188,,T188+1)*R188-ERP_i)*Q188*Ramure*Pc/MaxiM</f>
        <v>2.9720227835776382E-5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59.961862903739984</v>
      </c>
      <c r="W188" s="58"/>
      <c r="X188" s="157">
        <f t="shared" si="57"/>
        <v>44004</v>
      </c>
      <c r="Y188" s="383">
        <f t="shared" si="58"/>
        <v>48.999000000000002</v>
      </c>
      <c r="Z188" s="383">
        <f t="shared" si="59"/>
        <v>49.49259990206091</v>
      </c>
      <c r="AA188" s="384">
        <f t="shared" si="60"/>
        <v>51.53704929793841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3.966950812527948E-2</v>
      </c>
      <c r="AD188" s="230">
        <f>(INDEX(Models!$BJ188:$BT188,,AH188)*(1-AF188)+INDEX(Models!$BJ188:$BT188,,AH188+1)*AF188-ERP_i)*AE188*Ramure*Pc/MaxiM</f>
        <v>2.9720227835776382E-5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59.359000000000002</v>
      </c>
      <c r="C189" s="388"/>
      <c r="D189" s="391">
        <f t="shared" si="48"/>
        <v>59.958112237615609</v>
      </c>
      <c r="E189" s="383">
        <f t="shared" si="73"/>
        <v>62.43967728209504</v>
      </c>
      <c r="F189" s="383">
        <f t="shared" si="49"/>
        <v>62.441537989908561</v>
      </c>
      <c r="G189" s="110">
        <f t="shared" si="74"/>
        <v>0.99096267497489066</v>
      </c>
      <c r="H189" s="412" t="b">
        <f>Wh_hp&gt;='2019'!Maxi_hp</f>
        <v>1</v>
      </c>
      <c r="I189" s="388">
        <f>IF(H189,Wh_hp,'2019'!Maxi_hp)</f>
        <v>62.441537989908561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9.9921797944756419E-3</v>
      </c>
      <c r="M189" s="832"/>
      <c r="N189" s="832"/>
      <c r="O189" s="48">
        <f>IF(t&lt;Tnet,'2019'!Resal+('2019'!Salim-'2019'!Resal)*(1-EXP(('2019'!Tnet-t)/('2019'!Tau_j))),Resal+(Salim-Resal)*(1-EXP((Tnet-t)/(Tau_j))))*Salcycl</f>
        <v>3.9743399589783547E-2</v>
      </c>
      <c r="P189" s="169">
        <f>(INDEX(Models!$BJ189:$BT189,,T189)*(1-R189)+INDEX(Models!$BJ189:$BT189,,T189+1)*R189-ERP_i)*Q189*Ramure*Pc/MaxiM</f>
        <v>3.0188935470910668E-5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59.900315485085969</v>
      </c>
      <c r="W189" s="58"/>
      <c r="X189" s="157">
        <f t="shared" si="57"/>
        <v>44005</v>
      </c>
      <c r="Y189" s="383">
        <f t="shared" si="58"/>
        <v>59.359000000000002</v>
      </c>
      <c r="Z189" s="383">
        <f t="shared" si="59"/>
        <v>59.958112237615609</v>
      </c>
      <c r="AA189" s="384">
        <f t="shared" si="60"/>
        <v>62.43967728209504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3.9743399589783547E-2</v>
      </c>
      <c r="AD189" s="230">
        <f>(INDEX(Models!$BJ189:$BT189,,AH189)*(1-AF189)+INDEX(Models!$BJ189:$BT189,,AH189+1)*AF189-ERP_i)*AE189*Ramure*Pc/MaxiM</f>
        <v>3.0188935470910668E-5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55.472999999999999</v>
      </c>
      <c r="C190" s="388"/>
      <c r="D190" s="391">
        <f t="shared" si="48"/>
        <v>56.033964596611177</v>
      </c>
      <c r="E190" s="383">
        <f t="shared" si="73"/>
        <v>58.357565377467836</v>
      </c>
      <c r="F190" s="383">
        <f t="shared" si="49"/>
        <v>58.359170518097258</v>
      </c>
      <c r="G190" s="110">
        <f t="shared" si="74"/>
        <v>0.92706002971083845</v>
      </c>
      <c r="H190" s="412" t="b">
        <f>Wh_hp&gt;='2019'!Maxi_hp</f>
        <v>1</v>
      </c>
      <c r="I190" s="388">
        <f>IF(H190,Wh_hp,'2019'!Maxi_hp)</f>
        <v>58.359170518097258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1.0011153068492762E-2</v>
      </c>
      <c r="M190" s="832"/>
      <c r="N190" s="832"/>
      <c r="O190" s="48">
        <f>IF(t&lt;Tnet,'2019'!Resal+('2019'!Salim-'2019'!Resal)*(1-EXP(('2019'!Tnet-t)/('2019'!Tau_j))),Resal+(Salim-Resal)*(1-EXP((Tnet-t)/(Tau_j))))*Salcycl</f>
        <v>3.9816616163254354E-2</v>
      </c>
      <c r="P190" s="169">
        <f>(INDEX(Models!$BJ190:$BT190,,T190)*(1-R190)+INDEX(Models!$BJ190:$BT190,,T190+1)*R190-ERP_i)*Q190*Ramure*Pc/MaxiM</f>
        <v>3.0703709222431211E-5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59.837357612614682</v>
      </c>
      <c r="W190" s="58"/>
      <c r="X190" s="157">
        <f t="shared" si="57"/>
        <v>44006</v>
      </c>
      <c r="Y190" s="383">
        <f t="shared" si="58"/>
        <v>55.472999999999999</v>
      </c>
      <c r="Z190" s="383">
        <f t="shared" si="59"/>
        <v>56.033964596611177</v>
      </c>
      <c r="AA190" s="384">
        <f t="shared" si="60"/>
        <v>58.357565377467836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3.9816616163254354E-2</v>
      </c>
      <c r="AD190" s="230">
        <f>(INDEX(Models!$BJ190:$BT190,,AH190)*(1-AF190)+INDEX(Models!$BJ190:$BT190,,AH190+1)*AF190-ERP_i)*AE190*Ramure*Pc/MaxiM</f>
        <v>3.0703709222431211E-5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50.716999999999999</v>
      </c>
      <c r="C191" s="388"/>
      <c r="D191" s="391">
        <f t="shared" si="48"/>
        <v>51.230851898548366</v>
      </c>
      <c r="E191" s="383">
        <f t="shared" si="73"/>
        <v>53.359309819066333</v>
      </c>
      <c r="F191" s="383">
        <f t="shared" si="49"/>
        <v>53.360617087326986</v>
      </c>
      <c r="G191" s="110">
        <f t="shared" si="74"/>
        <v>0.84848787361234135</v>
      </c>
      <c r="H191" s="412" t="b">
        <f>Wh_hp&gt;='2019'!Maxi_hp</f>
        <v>0</v>
      </c>
      <c r="I191" s="388">
        <f>IF(H191,Wh_hp,'2019'!Maxi_hp)</f>
        <v>59.724831210924705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1.0030125978891413E-2</v>
      </c>
      <c r="M191" s="832"/>
      <c r="N191" s="832"/>
      <c r="O191" s="48">
        <f>IF(t&lt;Tnet,'2019'!Resal+('2019'!Salim-'2019'!Resal)*(1-EXP(('2019'!Tnet-t)/('2019'!Tau_j))),Resal+(Salim-Resal)*(1-EXP((Tnet-t)/(Tau_j))))*Salcycl</f>
        <v>3.9889157632196963E-2</v>
      </c>
      <c r="P191" s="169">
        <f>(INDEX(Models!$BJ191:$BT191,,T191)*(1-R191)+INDEX(Models!$BJ191:$BT191,,T191+1)*R191-ERP_i)*Q191*Ramure*Pc/MaxiM</f>
        <v>3.1265856975887097E-5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59.772989528014435</v>
      </c>
      <c r="W191" s="58"/>
      <c r="X191" s="157">
        <f t="shared" si="57"/>
        <v>44007</v>
      </c>
      <c r="Y191" s="383">
        <f t="shared" si="58"/>
        <v>50.716999999999999</v>
      </c>
      <c r="Z191" s="383">
        <f t="shared" si="59"/>
        <v>51.230851898548366</v>
      </c>
      <c r="AA191" s="384">
        <f t="shared" si="60"/>
        <v>53.359309819066333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3.9889157632196963E-2</v>
      </c>
      <c r="AD191" s="230">
        <f>(INDEX(Models!$BJ191:$BT191,,AH191)*(1-AF191)+INDEX(Models!$BJ191:$BT191,,AH191+1)*AF191-ERP_i)*AE191*Ramure*Pc/MaxiM</f>
        <v>3.1265856975887097E-5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47.253</v>
      </c>
      <c r="C192" s="388"/>
      <c r="D192" s="391">
        <f t="shared" si="48"/>
        <v>47.732670306806838</v>
      </c>
      <c r="E192" s="383">
        <f t="shared" si="73"/>
        <v>49.719513040539347</v>
      </c>
      <c r="F192" s="383">
        <f t="shared" si="49"/>
        <v>49.720626806129793</v>
      </c>
      <c r="G192" s="110">
        <f t="shared" si="74"/>
        <v>0.79140444078158401</v>
      </c>
      <c r="H192" s="412" t="b">
        <f>Wh_hp&gt;='2019'!Maxi_hp</f>
        <v>0</v>
      </c>
      <c r="I192" s="388">
        <f>IF(H192,Wh_hp,'2019'!Maxi_hp)</f>
        <v>59.284461981263078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1.0049098525678701E-2</v>
      </c>
      <c r="M192" s="832"/>
      <c r="N192" s="832"/>
      <c r="O192" s="48">
        <f>IF(t&lt;Tnet,'2019'!Resal+('2019'!Salim-'2019'!Resal)*(1-EXP(('2019'!Tnet-t)/('2019'!Tau_j))),Resal+(Salim-Resal)*(1-EXP((Tnet-t)/(Tau_j))))*Salcycl</f>
        <v>3.9961025606033582E-2</v>
      </c>
      <c r="P192" s="169">
        <f>(INDEX(Models!$BJ192:$BT192,,T192)*(1-R192)+INDEX(Models!$BJ192:$BT192,,T192+1)*R192-ERP_i)*Q192*Ramure*Pc/MaxiM</f>
        <v>3.190872962111684E-5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59.707209438513644</v>
      </c>
      <c r="W192" s="58"/>
      <c r="X192" s="157">
        <f t="shared" si="57"/>
        <v>44008</v>
      </c>
      <c r="Y192" s="383">
        <f t="shared" si="58"/>
        <v>47.253</v>
      </c>
      <c r="Z192" s="383">
        <f t="shared" si="59"/>
        <v>47.732670306806838</v>
      </c>
      <c r="AA192" s="384">
        <f t="shared" si="60"/>
        <v>49.719513040539347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3.9961025606033582E-2</v>
      </c>
      <c r="AD192" s="230">
        <f>(INDEX(Models!$BJ192:$BT192,,AH192)*(1-AF192)+INDEX(Models!$BJ192:$BT192,,AH192+1)*AF192-ERP_i)*AE192*Ramure*Pc/MaxiM</f>
        <v>3.190872962111684E-5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42.372</v>
      </c>
      <c r="C193" s="388"/>
      <c r="D193" s="391">
        <f t="shared" si="48"/>
        <v>42.802943057247731</v>
      </c>
      <c r="E193" s="383">
        <f t="shared" si="73"/>
        <v>44.587895660362058</v>
      </c>
      <c r="F193" s="383">
        <f t="shared" si="49"/>
        <v>44.58874824564105</v>
      </c>
      <c r="G193" s="110">
        <f t="shared" si="74"/>
        <v>0.71045296954131854</v>
      </c>
      <c r="H193" s="412" t="b">
        <f>Wh_hp&gt;='2019'!Maxi_hp</f>
        <v>0</v>
      </c>
      <c r="I193" s="388">
        <f>IF(H193,Wh_hp,'2019'!Maxi_hp)</f>
        <v>58.768659974881878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1.0068070708861288E-2</v>
      </c>
      <c r="M193" s="832"/>
      <c r="N193" s="832"/>
      <c r="O193" s="48">
        <f>IF(t&lt;Tnet,'2019'!Resal+('2019'!Salim-'2019'!Resal)*(1-EXP(('2019'!Tnet-t)/('2019'!Tau_j))),Resal+(Salim-Resal)*(1-EXP((Tnet-t)/(Tau_j))))*Salcycl</f>
        <v>4.0032223469588957E-2</v>
      </c>
      <c r="P193" s="169">
        <f>(INDEX(Models!$BJ193:$BT193,,T193)*(1-R193)+INDEX(Models!$BJ193:$BT193,,T193+1)*R193-ERP_i)*Q193*Ramure*Pc/MaxiM</f>
        <v>3.2608967499671771E-5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59.6400188289768</v>
      </c>
      <c r="W193" s="58"/>
      <c r="X193" s="157">
        <f t="shared" si="57"/>
        <v>44009</v>
      </c>
      <c r="Y193" s="383">
        <f t="shared" si="58"/>
        <v>42.372</v>
      </c>
      <c r="Z193" s="383">
        <f t="shared" si="59"/>
        <v>42.802943057247731</v>
      </c>
      <c r="AA193" s="384">
        <f t="shared" si="60"/>
        <v>44.587895660362058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4.0032223469588957E-2</v>
      </c>
      <c r="AD193" s="230">
        <f>(INDEX(Models!$BJ193:$BT193,,AH193)*(1-AF193)+INDEX(Models!$BJ193:$BT193,,AH193+1)*AF193-ERP_i)*AE193*Ramure*Pc/MaxiM</f>
        <v>3.2608967499671771E-5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47.529000000000003</v>
      </c>
      <c r="C194" s="388"/>
      <c r="D194" s="391">
        <f t="shared" si="48"/>
        <v>48.013312323337082</v>
      </c>
      <c r="E194" s="383">
        <f t="shared" si="73"/>
        <v>50.019220952817193</v>
      </c>
      <c r="F194" s="383">
        <f t="shared" si="49"/>
        <v>50.020408026532486</v>
      </c>
      <c r="G194" s="110">
        <f t="shared" si="74"/>
        <v>0.79784137952970879</v>
      </c>
      <c r="H194" s="412" t="b">
        <f>Wh_hp&gt;='2019'!Maxi_hp</f>
        <v>0</v>
      </c>
      <c r="I194" s="388">
        <f>IF(H194,Wh_hp,'2019'!Maxi_hp)</f>
        <v>57.102404093147875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1.0087042528446388E-2</v>
      </c>
      <c r="M194" s="832"/>
      <c r="N194" s="832"/>
      <c r="O194" s="48">
        <f>IF(t&lt;Tnet,'2019'!Resal+('2019'!Salim-'2019'!Resal)*(1-EXP(('2019'!Tnet-t)/('2019'!Tau_j))),Resal+(Salim-Resal)*(1-EXP((Tnet-t)/(Tau_j))))*Salcycl</f>
        <v>4.010275632585867E-2</v>
      </c>
      <c r="P194" s="169">
        <f>(INDEX(Models!$BJ194:$BT194,,T194)*(1-R194)+INDEX(Models!$BJ194:$BT194,,T194+1)*R194-ERP_i)*Q194*Ramure*Pc/MaxiM</f>
        <v>3.3368047901840687E-5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59.5714175859694</v>
      </c>
      <c r="W194" s="58"/>
      <c r="X194" s="157">
        <f t="shared" si="57"/>
        <v>44010</v>
      </c>
      <c r="Y194" s="383">
        <f t="shared" si="58"/>
        <v>47.529000000000003</v>
      </c>
      <c r="Z194" s="383">
        <f t="shared" si="59"/>
        <v>48.013312323337082</v>
      </c>
      <c r="AA194" s="384">
        <f t="shared" si="60"/>
        <v>50.019220952817193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4.010275632585867E-2</v>
      </c>
      <c r="AD194" s="230">
        <f>(INDEX(Models!$BJ194:$BT194,,AH194)*(1-AF194)+INDEX(Models!$BJ194:$BT194,,AH194+1)*AF194-ERP_i)*AE194*Ramure*Pc/MaxiM</f>
        <v>3.3368047901840687E-5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25.844000000000001</v>
      </c>
      <c r="C195" s="388"/>
      <c r="D195" s="391">
        <f t="shared" si="48"/>
        <v>26.107846259401143</v>
      </c>
      <c r="E195" s="383">
        <f t="shared" si="73"/>
        <v>27.20056449805589</v>
      </c>
      <c r="F195" s="383">
        <f t="shared" si="49"/>
        <v>27.200742967085755</v>
      </c>
      <c r="G195" s="110">
        <f t="shared" si="74"/>
        <v>0.43433068193132529</v>
      </c>
      <c r="H195" s="412" t="b">
        <f>Wh_hp&gt;='2019'!Maxi_hp</f>
        <v>0</v>
      </c>
      <c r="I195" s="388">
        <f>IF(H195,Wh_hp,'2019'!Maxi_hp)</f>
        <v>52.702185547178217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1.0106013984440887E-2</v>
      </c>
      <c r="M195" s="832"/>
      <c r="N195" s="832"/>
      <c r="O195" s="48">
        <f>IF(t&lt;Tnet,'2019'!Resal+('2019'!Salim-'2019'!Resal)*(1-EXP(('2019'!Tnet-t)/('2019'!Tau_j))),Resal+(Salim-Resal)*(1-EXP((Tnet-t)/(Tau_j))))*Salcycl</f>
        <v>4.0172630929510525E-2</v>
      </c>
      <c r="P195" s="169">
        <f>(INDEX(Models!$BJ195:$BT195,,T195)*(1-R195)+INDEX(Models!$BJ195:$BT195,,T195+1)*R195-ERP_i)*Q195*Ramure*Pc/MaxiM</f>
        <v>3.4187404022127416E-5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59.501405492058375</v>
      </c>
      <c r="W195" s="58"/>
      <c r="X195" s="157">
        <f t="shared" si="57"/>
        <v>44011</v>
      </c>
      <c r="Y195" s="383">
        <f t="shared" si="58"/>
        <v>25.844000000000001</v>
      </c>
      <c r="Z195" s="383">
        <f t="shared" si="59"/>
        <v>26.107846259401143</v>
      </c>
      <c r="AA195" s="384">
        <f t="shared" si="60"/>
        <v>27.20056449805589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4.0172630929510525E-2</v>
      </c>
      <c r="AD195" s="230">
        <f>(INDEX(Models!$BJ195:$BT195,,AH195)*(1-AF195)+INDEX(Models!$BJ195:$BT195,,AH195+1)*AF195-ERP_i)*AE195*Ramure*Pc/MaxiM</f>
        <v>3.4187404022127416E-5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57.911999999999999</v>
      </c>
      <c r="C196" s="388"/>
      <c r="D196" s="391">
        <f t="shared" si="48"/>
        <v>58.504355728683748</v>
      </c>
      <c r="E196" s="383">
        <f t="shared" si="73"/>
        <v>60.957394392279816</v>
      </c>
      <c r="F196" s="383">
        <f t="shared" si="49"/>
        <v>60.959454139649438</v>
      </c>
      <c r="G196" s="110">
        <f t="shared" si="74"/>
        <v>0.97445638912571753</v>
      </c>
      <c r="H196" s="412" t="b">
        <f>Wh_hp&gt;='2019'!Maxi_hp</f>
        <v>1</v>
      </c>
      <c r="I196" s="388">
        <f>IF(H196,Wh_hp,'2019'!Maxi_hp)</f>
        <v>60.959454139649438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1.0124985076851778E-2</v>
      </c>
      <c r="M196" s="832"/>
      <c r="N196" s="832"/>
      <c r="O196" s="48">
        <f>IF(t&lt;Tnet,'2019'!Resal+('2019'!Salim-'2019'!Resal)*(1-EXP(('2019'!Tnet-t)/('2019'!Tau_j))),Resal+(Salim-Resal)*(1-EXP((Tnet-t)/(Tau_j))))*Salcycl</f>
        <v>4.0241855611642494E-2</v>
      </c>
      <c r="P196" s="169">
        <f>(INDEX(Models!$BJ196:$BT196,,T196)*(1-R196)+INDEX(Models!$BJ196:$BT196,,T196+1)*R196-ERP_i)*Q196*Ramure*Pc/MaxiM</f>
        <v>3.5068424210410889E-5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59.429982232857668</v>
      </c>
      <c r="W196" s="58"/>
      <c r="X196" s="157">
        <f t="shared" si="57"/>
        <v>44012</v>
      </c>
      <c r="Y196" s="383">
        <f t="shared" si="58"/>
        <v>57.911999999999999</v>
      </c>
      <c r="Z196" s="383">
        <f t="shared" si="59"/>
        <v>58.504355728683748</v>
      </c>
      <c r="AA196" s="384">
        <f t="shared" si="60"/>
        <v>60.957394392279816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4.0241855611642494E-2</v>
      </c>
      <c r="AD196" s="230">
        <f>(INDEX(Models!$BJ196:$BT196,,AH196)*(1-AF196)+INDEX(Models!$BJ196:$BT196,,AH196+1)*AF196-ERP_i)*AE196*Ramure*Pc/MaxiM</f>
        <v>3.5068424210410889E-5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42.107999999999997</v>
      </c>
      <c r="C197" s="388"/>
      <c r="D197" s="391">
        <f t="shared" si="48"/>
        <v>42.539519000738629</v>
      </c>
      <c r="E197" s="383">
        <f t="shared" si="73"/>
        <v>44.326332996103268</v>
      </c>
      <c r="F197" s="383">
        <f t="shared" si="49"/>
        <v>44.327266624704656</v>
      </c>
      <c r="G197" s="110">
        <f t="shared" si="74"/>
        <v>0.70939006176156083</v>
      </c>
      <c r="H197" s="412" t="b">
        <f>Wh_hp&gt;='2019'!Maxi_hp</f>
        <v>1</v>
      </c>
      <c r="I197" s="388">
        <f>IF(H197,Wh_hp,'2019'!Maxi_hp)</f>
        <v>44.327266624704656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1.0143955805686056E-2</v>
      </c>
      <c r="M197" s="832"/>
      <c r="N197" s="832"/>
      <c r="O197" s="48">
        <f>IF(t&lt;Tnet,'2019'!Resal+('2019'!Salim-'2019'!Resal)*(1-EXP(('2019'!Tnet-t)/('2019'!Tau_j))),Resal+(Salim-Resal)*(1-EXP((Tnet-t)/(Tau_j))))*Salcycl</f>
        <v>4.0310440196388853E-2</v>
      </c>
      <c r="P197" s="169">
        <f>(INDEX(Models!$BJ197:$BT197,,T197)*(1-R197)+INDEX(Models!$BJ197:$BT197,,T197+1)*R197-ERP_i)*Q197*Ramure*Pc/MaxiM</f>
        <v>3.6012451721091488E-5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59.357147400520198</v>
      </c>
      <c r="W197" s="58"/>
      <c r="X197" s="157">
        <f t="shared" si="57"/>
        <v>44013</v>
      </c>
      <c r="Y197" s="383">
        <f t="shared" si="58"/>
        <v>42.107999999999997</v>
      </c>
      <c r="Z197" s="383">
        <f t="shared" si="59"/>
        <v>42.539519000738629</v>
      </c>
      <c r="AA197" s="384">
        <f t="shared" si="60"/>
        <v>44.326332996103268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4.0310440196388853E-2</v>
      </c>
      <c r="AD197" s="230">
        <f>(INDEX(Models!$BJ197:$BT197,,AH197)*(1-AF197)+INDEX(Models!$BJ197:$BT197,,AH197+1)*AF197-ERP_i)*AE197*Ramure*Pc/MaxiM</f>
        <v>3.6012451721091488E-5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19.082999999999998</v>
      </c>
      <c r="C198" s="388"/>
      <c r="D198" s="391">
        <f t="shared" si="48"/>
        <v>19.278930345758841</v>
      </c>
      <c r="E198" s="383">
        <f t="shared" si="73"/>
        <v>20.090137887257608</v>
      </c>
      <c r="F198" s="383">
        <f t="shared" si="49"/>
        <v>20.090161157563543</v>
      </c>
      <c r="G198" s="110">
        <f t="shared" si="74"/>
        <v>0.32188566136032876</v>
      </c>
      <c r="H198" s="412" t="b">
        <f>Wh_hp&gt;='2019'!Maxi_hp</f>
        <v>0</v>
      </c>
      <c r="I198" s="388">
        <f>IF(H198,Wh_hp,'2019'!Maxi_hp)</f>
        <v>49.626071649823778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1.0162926170950493E-2</v>
      </c>
      <c r="M198" s="832"/>
      <c r="N198" s="832"/>
      <c r="O198" s="48">
        <f>IF(t&lt;Tnet,'2019'!Resal+('2019'!Salim-'2019'!Resal)*(1-EXP(('2019'!Tnet-t)/('2019'!Tau_j))),Resal+(Salim-Resal)*(1-EXP((Tnet-t)/(Tau_j))))*Salcycl</f>
        <v>4.0378395910029383E-2</v>
      </c>
      <c r="P198" s="169">
        <f>(INDEX(Models!$BJ198:$BT198,,T198)*(1-R198)+INDEX(Models!$BJ198:$BT198,,T198+1)*R198-ERP_i)*Q198*Ramure*Pc/MaxiM</f>
        <v>3.7027805630334528E-5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59.282900085283821</v>
      </c>
      <c r="W198" s="58"/>
      <c r="X198" s="157">
        <f t="shared" si="57"/>
        <v>44014</v>
      </c>
      <c r="Y198" s="383">
        <f t="shared" si="58"/>
        <v>19.082999999999998</v>
      </c>
      <c r="Z198" s="383">
        <f t="shared" si="59"/>
        <v>19.278930345758841</v>
      </c>
      <c r="AA198" s="384">
        <f t="shared" si="60"/>
        <v>20.090137887257608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4.0378395910029383E-2</v>
      </c>
      <c r="AD198" s="230">
        <f>(INDEX(Models!$BJ198:$BT198,,AH198)*(1-AF198)+INDEX(Models!$BJ198:$BT198,,AH198+1)*AF198-ERP_i)*AE198*Ramure*Pc/MaxiM</f>
        <v>3.7027805630334528E-5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44.774000000000001</v>
      </c>
      <c r="C199" s="388"/>
      <c r="D199" s="391">
        <f t="shared" si="48"/>
        <v>45.234573733165277</v>
      </c>
      <c r="E199" s="383">
        <f t="shared" si="73"/>
        <v>47.141235672086829</v>
      </c>
      <c r="F199" s="383">
        <f t="shared" si="49"/>
        <v>47.142405951935856</v>
      </c>
      <c r="G199" s="110">
        <f t="shared" si="74"/>
        <v>0.7562150353858631</v>
      </c>
      <c r="H199" s="412" t="b">
        <f>Wh_hp&gt;='2019'!Maxi_hp</f>
        <v>0</v>
      </c>
      <c r="I199" s="388">
        <f>IF(H199,Wh_hp,'2019'!Maxi_hp)</f>
        <v>58.082093863284776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1.0181896172652305E-2</v>
      </c>
      <c r="M199" s="832"/>
      <c r="N199" s="832"/>
      <c r="O199" s="48">
        <f>IF(t&lt;Tnet,'2019'!Resal+('2019'!Salim-'2019'!Resal)*(1-EXP(('2019'!Tnet-t)/('2019'!Tau_j))),Resal+(Salim-Resal)*(1-EXP((Tnet-t)/(Tau_j))))*Salcycl</f>
        <v>4.0445735283314209E-2</v>
      </c>
      <c r="P199" s="169">
        <f>(INDEX(Models!$BJ199:$BT199,,T199)*(1-R199)+INDEX(Models!$BJ199:$BT199,,T199+1)*R199-ERP_i)*Q199*Ramure*Pc/MaxiM</f>
        <v>3.808876406192572E-5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59.207241313029321</v>
      </c>
      <c r="W199" s="58"/>
      <c r="X199" s="157">
        <f t="shared" si="57"/>
        <v>44015</v>
      </c>
      <c r="Y199" s="383">
        <f t="shared" si="58"/>
        <v>44.774000000000001</v>
      </c>
      <c r="Z199" s="383">
        <f t="shared" si="59"/>
        <v>45.234573733165277</v>
      </c>
      <c r="AA199" s="384">
        <f t="shared" si="60"/>
        <v>47.141235672086829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4.0445735283314209E-2</v>
      </c>
      <c r="AD199" s="230">
        <f>(INDEX(Models!$BJ199:$BT199,,AH199)*(1-AF199)+INDEX(Models!$BJ199:$BT199,,AH199+1)*AF199-ERP_i)*AE199*Ramure*Pc/MaxiM</f>
        <v>3.808876406192572E-5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58.3</v>
      </c>
      <c r="C200" s="388"/>
      <c r="D200" s="391">
        <f t="shared" si="48"/>
        <v>58.900839560500025</v>
      </c>
      <c r="E200" s="383">
        <f t="shared" si="73"/>
        <v>61.387811560414924</v>
      </c>
      <c r="F200" s="383">
        <f t="shared" si="49"/>
        <v>61.390169549077257</v>
      </c>
      <c r="G200" s="110">
        <f t="shared" si="74"/>
        <v>0.98595951455300423</v>
      </c>
      <c r="H200" s="412" t="b">
        <f>Wh_hp&gt;='2019'!Maxi_hp</f>
        <v>1</v>
      </c>
      <c r="I200" s="388">
        <f>IF(H200,Wh_hp,'2019'!Maxi_hp)</f>
        <v>61.390169549077257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1.0200865810798376E-2</v>
      </c>
      <c r="M200" s="832"/>
      <c r="N200" s="832"/>
      <c r="O200" s="48">
        <f>IF(t&lt;Tnet,'2019'!Resal+('2019'!Salim-'2019'!Resal)*(1-EXP(('2019'!Tnet-t)/('2019'!Tau_j))),Resal+(Salim-Resal)*(1-EXP((Tnet-t)/(Tau_j))))*Salcycl</f>
        <v>4.0512472047767117E-2</v>
      </c>
      <c r="P200" s="169">
        <f>(INDEX(Models!$BJ200:$BT200,,T200)*(1-R200)+INDEX(Models!$BJ200:$BT200,,T200+1)*R200-ERP_i)*Q200*Ramure*Pc/MaxiM</f>
        <v>3.9196017662177556E-5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59.130170463927016</v>
      </c>
      <c r="W200" s="58"/>
      <c r="X200" s="157">
        <f t="shared" si="57"/>
        <v>44016</v>
      </c>
      <c r="Y200" s="383">
        <f t="shared" si="58"/>
        <v>58.3</v>
      </c>
      <c r="Z200" s="383">
        <f t="shared" si="59"/>
        <v>58.900839560500025</v>
      </c>
      <c r="AA200" s="384">
        <f t="shared" si="60"/>
        <v>61.387811560414924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4.0512472047767117E-2</v>
      </c>
      <c r="AD200" s="230">
        <f>(INDEX(Models!$BJ200:$BT200,,AH200)*(1-AF200)+INDEX(Models!$BJ200:$BT200,,AH200+1)*AF200-ERP_i)*AE200*Ramure*Pc/MaxiM</f>
        <v>3.9196017662177556E-5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57.863999999999997</v>
      </c>
      <c r="C201" s="388"/>
      <c r="D201" s="391">
        <f t="shared" si="48"/>
        <v>58.46146654696031</v>
      </c>
      <c r="E201" s="383">
        <f t="shared" si="73"/>
        <v>60.934087803552913</v>
      </c>
      <c r="F201" s="383">
        <f t="shared" si="49"/>
        <v>60.936475957669771</v>
      </c>
      <c r="G201" s="110">
        <f t="shared" si="74"/>
        <v>0.97988619794613452</v>
      </c>
      <c r="H201" s="412" t="b">
        <f>Wh_hp&gt;='2019'!Maxi_hp</f>
        <v>1</v>
      </c>
      <c r="I201" s="388">
        <f>IF(H201,Wh_hp,'2019'!Maxi_hp)</f>
        <v>60.936475957669771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1.0219835085395701E-2</v>
      </c>
      <c r="M201" s="832"/>
      <c r="N201" s="832"/>
      <c r="O201" s="48">
        <f>IF(t&lt;Tnet,'2019'!Resal+('2019'!Salim-'2019'!Resal)*(1-EXP(('2019'!Tnet-t)/('2019'!Tau_j))),Resal+(Salim-Resal)*(1-EXP((Tnet-t)/(Tau_j))))*Salcycl</f>
        <v>4.0578621026774855E-2</v>
      </c>
      <c r="P201" s="169">
        <f>(INDEX(Models!$BJ201:$BT201,,T201)*(1-R201)+INDEX(Models!$BJ201:$BT201,,T201+1)*R201-ERP_i)*Q201*Ramure*Pc/MaxiM</f>
        <v>4.0350238380019166E-5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59.051686852556628</v>
      </c>
      <c r="W201" s="58"/>
      <c r="X201" s="157">
        <f t="shared" si="57"/>
        <v>44017</v>
      </c>
      <c r="Y201" s="383">
        <f t="shared" si="58"/>
        <v>57.863999999999997</v>
      </c>
      <c r="Z201" s="383">
        <f t="shared" si="59"/>
        <v>58.46146654696031</v>
      </c>
      <c r="AA201" s="384">
        <f t="shared" si="60"/>
        <v>60.934087803552913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4.0578621026774855E-2</v>
      </c>
      <c r="AD201" s="230">
        <f>(INDEX(Models!$BJ201:$BT201,,AH201)*(1-AF201)+INDEX(Models!$BJ201:$BT201,,AH201+1)*AF201-ERP_i)*AE201*Ramure*Pc/MaxiM</f>
        <v>4.0350238380019166E-5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40.103999999999999</v>
      </c>
      <c r="C202" s="388"/>
      <c r="D202" s="391">
        <f t="shared" si="48"/>
        <v>40.518864713965009</v>
      </c>
      <c r="E202" s="383">
        <f t="shared" si="73"/>
        <v>42.235492431938312</v>
      </c>
      <c r="F202" s="383">
        <f t="shared" si="49"/>
        <v>42.236445288169605</v>
      </c>
      <c r="G202" s="110">
        <f t="shared" si="74"/>
        <v>0.6800410587543595</v>
      </c>
      <c r="H202" s="412" t="b">
        <f>Wh_hp&gt;='2019'!Maxi_hp</f>
        <v>0</v>
      </c>
      <c r="I202" s="388">
        <f>IF(H202,Wh_hp,'2019'!Maxi_hp)</f>
        <v>52.209461295007706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1.0238803996451162E-2</v>
      </c>
      <c r="M202" s="832"/>
      <c r="N202" s="832"/>
      <c r="O202" s="48">
        <f>IF(t&lt;Tnet,'2019'!Resal+('2019'!Salim-'2019'!Resal)*(1-EXP(('2019'!Tnet-t)/('2019'!Tau_j))),Resal+(Salim-Resal)*(1-EXP((Tnet-t)/(Tau_j))))*Salcycl</f>
        <v>4.0644198022305907E-2</v>
      </c>
      <c r="P202" s="169">
        <f>(INDEX(Models!$BJ202:$BT202,,T202)*(1-R202)+INDEX(Models!$BJ202:$BT202,,T202+1)*R202-ERP_i)*Q202*Ramure*Pc/MaxiM</f>
        <v>4.1552081083542649E-5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58.971789732487338</v>
      </c>
      <c r="W202" s="58"/>
      <c r="X202" s="157">
        <f t="shared" si="57"/>
        <v>44018</v>
      </c>
      <c r="Y202" s="383">
        <f t="shared" si="58"/>
        <v>40.103999999999999</v>
      </c>
      <c r="Z202" s="383">
        <f t="shared" si="59"/>
        <v>40.518864713965009</v>
      </c>
      <c r="AA202" s="384">
        <f t="shared" si="60"/>
        <v>42.235492431938312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4.0644198022305907E-2</v>
      </c>
      <c r="AD202" s="230">
        <f>(INDEX(Models!$BJ202:$BT202,,AH202)*(1-AF202)+INDEX(Models!$BJ202:$BT202,,AH202+1)*AF202-ERP_i)*AE202*Ramure*Pc/MaxiM</f>
        <v>4.1552081083542649E-5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59.982999999999997</v>
      </c>
      <c r="C203" s="388"/>
      <c r="D203" s="391">
        <f t="shared" si="48"/>
        <v>60.604668908768865</v>
      </c>
      <c r="E203" s="383">
        <f t="shared" si="73"/>
        <v>63.176536409218748</v>
      </c>
      <c r="F203" s="383">
        <f t="shared" si="49"/>
        <v>63.179240618782657</v>
      </c>
      <c r="G203" s="110">
        <f t="shared" si="74"/>
        <v>1.0185517544472629</v>
      </c>
      <c r="H203" s="412" t="b">
        <f>Wh_hp&gt;='2019'!Maxi_hp</f>
        <v>1</v>
      </c>
      <c r="I203" s="388">
        <f>IF(H203,Wh_hp,'2019'!Maxi_hp)</f>
        <v>63.179240618782657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1.0257772543971755E-2</v>
      </c>
      <c r="M203" s="832"/>
      <c r="N203" s="832"/>
      <c r="O203" s="48">
        <f>IF(t&lt;Tnet,'2019'!Resal+('2019'!Salim-'2019'!Resal)*(1-EXP(('2019'!Tnet-t)/('2019'!Tau_j))),Resal+(Salim-Resal)*(1-EXP((Tnet-t)/(Tau_j))))*Salcycl</f>
        <v>4.0709219698131335E-2</v>
      </c>
      <c r="P203" s="169">
        <f>(INDEX(Models!$BJ203:$BT203,,T203)*(1-R203)+INDEX(Models!$BJ203:$BT203,,T203+1)*R203-ERP_i)*Q203*Ramure*Pc/MaxiM</f>
        <v>4.280218529728539E-5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58.89047830716364</v>
      </c>
      <c r="W203" s="58"/>
      <c r="X203" s="157">
        <f t="shared" si="57"/>
        <v>44019</v>
      </c>
      <c r="Y203" s="383">
        <f t="shared" si="58"/>
        <v>59.982999999999997</v>
      </c>
      <c r="Z203" s="383">
        <f t="shared" si="59"/>
        <v>60.604668908768865</v>
      </c>
      <c r="AA203" s="384">
        <f t="shared" si="60"/>
        <v>63.176536409218748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4.0709219698131335E-2</v>
      </c>
      <c r="AD203" s="230">
        <f>(INDEX(Models!$BJ203:$BT203,,AH203)*(1-AF203)+INDEX(Models!$BJ203:$BT203,,AH203+1)*AF203-ERP_i)*AE203*Ramure*Pc/MaxiM</f>
        <v>4.280218529728539E-5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58.048000000000002</v>
      </c>
      <c r="C204" s="388"/>
      <c r="D204" s="391">
        <f t="shared" si="48"/>
        <v>58.650738432373153</v>
      </c>
      <c r="E204" s="383">
        <f t="shared" si="73"/>
        <v>61.143797500086954</v>
      </c>
      <c r="F204" s="383">
        <f t="shared" si="49"/>
        <v>61.146444361076334</v>
      </c>
      <c r="G204" s="110">
        <f t="shared" si="74"/>
        <v>0.98707995184646347</v>
      </c>
      <c r="H204" s="412" t="b">
        <f>Wh_hp&gt;='2019'!Maxi_hp</f>
        <v>1</v>
      </c>
      <c r="I204" s="388">
        <f>IF(H204,Wh_hp,'2019'!Maxi_hp)</f>
        <v>61.146444361076334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1.0276740727964362E-2</v>
      </c>
      <c r="M204" s="832"/>
      <c r="N204" s="832"/>
      <c r="O204" s="48">
        <f>IF(t&lt;Tnet,'2019'!Resal+('2019'!Salim-'2019'!Resal)*(1-EXP(('2019'!Tnet-t)/('2019'!Tau_j))),Resal+(Salim-Resal)*(1-EXP((Tnet-t)/(Tau_j))))*Salcycl</f>
        <v>4.0773703460441055E-2</v>
      </c>
      <c r="P204" s="169">
        <f>(INDEX(Models!$BJ204:$BT204,,T204)*(1-R204)+INDEX(Models!$BJ204:$BT204,,T204+1)*R204-ERP_i)*Q204*Ramure*Pc/MaxiM</f>
        <v>4.4101177037145716E-5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58.807751734922192</v>
      </c>
      <c r="W204" s="58"/>
      <c r="X204" s="157">
        <f t="shared" si="57"/>
        <v>44020</v>
      </c>
      <c r="Y204" s="383">
        <f t="shared" si="58"/>
        <v>58.048000000000002</v>
      </c>
      <c r="Z204" s="383">
        <f t="shared" si="59"/>
        <v>58.650738432373153</v>
      </c>
      <c r="AA204" s="384">
        <f t="shared" si="60"/>
        <v>61.143797500086954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4.0773703460441055E-2</v>
      </c>
      <c r="AD204" s="230">
        <f>(INDEX(Models!$BJ204:$BT204,,AH204)*(1-AF204)+INDEX(Models!$BJ204:$BT204,,AH204+1)*AF204-ERP_i)*AE204*Ramure*Pc/MaxiM</f>
        <v>4.4101177037145716E-5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54.444000000000003</v>
      </c>
      <c r="C205" s="388"/>
      <c r="D205" s="391">
        <f t="shared" si="48"/>
        <v>55.010370744324995</v>
      </c>
      <c r="E205" s="383">
        <f t="shared" si="73"/>
        <v>57.352513616315136</v>
      </c>
      <c r="F205" s="383">
        <f t="shared" si="49"/>
        <v>57.354848940580823</v>
      </c>
      <c r="G205" s="110">
        <f t="shared" si="74"/>
        <v>0.92711133606255647</v>
      </c>
      <c r="H205" s="412" t="b">
        <f>Wh_hp&gt;='2019'!Maxi_hp</f>
        <v>0</v>
      </c>
      <c r="I205" s="388">
        <f>IF(H205,Wh_hp,'2019'!Maxi_hp)</f>
        <v>60.131672275516188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1.02957085484362E-2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4.0837667336761252E-2</v>
      </c>
      <c r="P205" s="169">
        <f>(INDEX(Models!$BJ205:$BT205,,T205)*(1-R205)+INDEX(Models!$BJ205:$BT205,,T205+1)*R205-ERP_i)*Q205*Ramure*Pc/MaxiM</f>
        <v>4.5449321258203035E-5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58.724060672977473</v>
      </c>
      <c r="W205" s="58"/>
      <c r="X205" s="157">
        <f t="shared" si="57"/>
        <v>44021</v>
      </c>
      <c r="Y205" s="383">
        <f t="shared" si="58"/>
        <v>54.444000000000003</v>
      </c>
      <c r="Z205" s="383">
        <f t="shared" si="59"/>
        <v>55.010370744324995</v>
      </c>
      <c r="AA205" s="384">
        <f t="shared" si="60"/>
        <v>57.352513616315136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4.0837667336761252E-2</v>
      </c>
      <c r="AD205" s="230">
        <f>(INDEX(Models!$BJ205:$BT205,,AH205)*(1-AF205)+INDEX(Models!$BJ205:$BT205,,AH205+1)*AF205-ERP_i)*AE205*Ramure*Pc/MaxiM</f>
        <v>4.5449321258203035E-5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46.033999999999999</v>
      </c>
      <c r="C206" s="388"/>
      <c r="D206" s="391">
        <f t="shared" si="48"/>
        <v>46.513774513898817</v>
      </c>
      <c r="E206" s="383">
        <f t="shared" si="73"/>
        <v>48.49737181613218</v>
      </c>
      <c r="F206" s="383">
        <f t="shared" si="49"/>
        <v>48.49894736541745</v>
      </c>
      <c r="G206" s="110">
        <f t="shared" si="74"/>
        <v>0.78501980415190287</v>
      </c>
      <c r="H206" s="412" t="b">
        <f>Wh_hp&gt;='2019'!Maxi_hp</f>
        <v>0</v>
      </c>
      <c r="I206" s="388">
        <f>IF(H206,Wh_hp,'2019'!Maxi_hp)</f>
        <v>60.983970970198122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1.0314676005394041E-2</v>
      </c>
      <c r="M206" s="832"/>
      <c r="N206" s="832"/>
      <c r="O206" s="48">
        <f>IF(t&lt;Tnet,'2019'!Resal+('2019'!Salim-'2019'!Resal)*(1-EXP(('2019'!Tnet-t)/('2019'!Tau_j))),Resal+(Salim-Resal)*(1-EXP((Tnet-t)/(Tau_j))))*Salcycl</f>
        <v>4.0901129854082938E-2</v>
      </c>
      <c r="P206" s="169">
        <f>(INDEX(Models!$BJ206:$BT206,,T206)*(1-R206)+INDEX(Models!$BJ206:$BT206,,T206+1)*R206-ERP_i)*Q206*Ramure*Pc/MaxiM</f>
        <v>4.6884374616672644E-5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58.639714478629223</v>
      </c>
      <c r="W206" s="58"/>
      <c r="X206" s="157">
        <f t="shared" si="57"/>
        <v>44022</v>
      </c>
      <c r="Y206" s="383">
        <f t="shared" si="58"/>
        <v>46.033999999999999</v>
      </c>
      <c r="Z206" s="383">
        <f t="shared" si="59"/>
        <v>46.513774513898817</v>
      </c>
      <c r="AA206" s="384">
        <f t="shared" si="60"/>
        <v>48.49737181613218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4.0901129854082938E-2</v>
      </c>
      <c r="AD206" s="230">
        <f>(INDEX(Models!$BJ206:$BT206,,AH206)*(1-AF206)+INDEX(Models!$BJ206:$BT206,,AH206+1)*AF206-ERP_i)*AE206*Ramure*Pc/MaxiM</f>
        <v>4.6884374616672644E-5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47.225999999999999</v>
      </c>
      <c r="C207" s="388"/>
      <c r="D207" s="391">
        <f t="shared" ref="D207:D270" si="75">Wh/(1-Ppv)</f>
        <v>47.719112275246097</v>
      </c>
      <c r="E207" s="383">
        <f t="shared" si="73"/>
        <v>49.757379018549102</v>
      </c>
      <c r="F207" s="383">
        <f t="shared" ref="F207:F270" si="76">Wh_sa/(1-Pvg*MEDIAN((-Sdif+Wh/Env_an)/Csdif,0,1))</f>
        <v>49.759120685023632</v>
      </c>
      <c r="G207" s="110">
        <f t="shared" si="74"/>
        <v>0.80651980535833423</v>
      </c>
      <c r="H207" s="412" t="b">
        <f>Wh_hp&gt;='2019'!Maxi_hp</f>
        <v>0</v>
      </c>
      <c r="I207" s="388">
        <f>IF(H207,Wh_hp,'2019'!Maxi_hp)</f>
        <v>61.397076269848142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1.033364309884488E-2</v>
      </c>
      <c r="M207" s="832"/>
      <c r="N207" s="832"/>
      <c r="O207" s="48">
        <f>IF(t&lt;Tnet,'2019'!Resal+('2019'!Salim-'2019'!Resal)*(1-EXP(('2019'!Tnet-t)/('2019'!Tau_j))),Resal+(Salim-Resal)*(1-EXP((Tnet-t)/(Tau_j))))*Salcycl</f>
        <v>4.0964109917107097E-2</v>
      </c>
      <c r="P207" s="169">
        <f>(INDEX(Models!$BJ207:$BT207,,T207)*(1-R207)+INDEX(Models!$BJ207:$BT207,,T207+1)*R207-ERP_i)*Q207*Ramure*Pc/MaxiM</f>
        <v>4.8370954622090842E-5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58.554505791106926</v>
      </c>
      <c r="W207" s="58"/>
      <c r="X207" s="157">
        <f t="shared" ref="X207:X270" si="84">t</f>
        <v>44023</v>
      </c>
      <c r="Y207" s="383">
        <f t="shared" ref="Y207:Y270" si="85">Wh_pvt_s*(1-Ppv)</f>
        <v>47.225999999999999</v>
      </c>
      <c r="Z207" s="383">
        <f t="shared" ref="Z207:Z270" si="86">Wh_sa_s*(1-Psa_s)</f>
        <v>47.719112275246097</v>
      </c>
      <c r="AA207" s="384">
        <f t="shared" ref="AA207:AA270" si="87">Wh_hp*(1-Pvg_s*MEDIAN((-Sdif+Wh/Env_an)/Csdif,0,1))</f>
        <v>49.757379018549102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4.0964109917107097E-2</v>
      </c>
      <c r="AD207" s="230">
        <f>(INDEX(Models!$BJ207:$BT207,,AH207)*(1-AF207)+INDEX(Models!$BJ207:$BT207,,AH207+1)*AF207-ERP_i)*AE207*Ramure*Pc/MaxiM</f>
        <v>4.8370954622090842E-5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38.625999999999998</v>
      </c>
      <c r="C208" s="388"/>
      <c r="D208" s="391">
        <f t="shared" si="75"/>
        <v>39.030063013977013</v>
      </c>
      <c r="E208" s="383">
        <f t="shared" si="73"/>
        <v>40.699840162567583</v>
      </c>
      <c r="F208" s="383">
        <f t="shared" si="76"/>
        <v>40.700886700196349</v>
      </c>
      <c r="G208" s="110">
        <f t="shared" si="74"/>
        <v>0.66061634715252793</v>
      </c>
      <c r="H208" s="412" t="b">
        <f>Wh_hp&gt;='2019'!Maxi_hp</f>
        <v>0</v>
      </c>
      <c r="I208" s="388">
        <f>IF(H208,Wh_hp,'2019'!Maxi_hp)</f>
        <v>53.678698874330564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1.0352609828795711E-2</v>
      </c>
      <c r="M208" s="832"/>
      <c r="N208" s="832"/>
      <c r="O208" s="48">
        <f>IF(t&lt;Tnet,'2019'!Resal+('2019'!Salim-'2019'!Resal)*(1-EXP(('2019'!Tnet-t)/('2019'!Tau_j))),Resal+(Salim-Resal)*(1-EXP((Tnet-t)/(Tau_j))))*Salcycl</f>
        <v>4.1026626687499672E-2</v>
      </c>
      <c r="P208" s="169">
        <f>(INDEX(Models!$BJ208:$BT208,,T208)*(1-R208)+INDEX(Models!$BJ208:$BT208,,T208+1)*R208-ERP_i)*Q208*Ramure*Pc/MaxiM</f>
        <v>4.9909630703718126E-5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58.468225195067262</v>
      </c>
      <c r="W208" s="58"/>
      <c r="X208" s="157">
        <f t="shared" si="84"/>
        <v>44024</v>
      </c>
      <c r="Y208" s="383">
        <f t="shared" si="85"/>
        <v>38.625999999999998</v>
      </c>
      <c r="Z208" s="383">
        <f t="shared" si="86"/>
        <v>39.030063013977013</v>
      </c>
      <c r="AA208" s="384">
        <f t="shared" si="87"/>
        <v>40.699840162567583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4.1026626687499672E-2</v>
      </c>
      <c r="AD208" s="230">
        <f>(INDEX(Models!$BJ208:$BT208,,AH208)*(1-AF208)+INDEX(Models!$BJ208:$BT208,,AH208+1)*AF208-ERP_i)*AE208*Ramure*Pc/MaxiM</f>
        <v>4.9909630703718126E-5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57.844999999999999</v>
      </c>
      <c r="C209" s="388"/>
      <c r="D209" s="391">
        <f t="shared" si="75"/>
        <v>58.451231400173292</v>
      </c>
      <c r="E209" s="383">
        <f t="shared" si="73"/>
        <v>60.955827058836036</v>
      </c>
      <c r="F209" s="383">
        <f t="shared" si="76"/>
        <v>60.958925353372848</v>
      </c>
      <c r="G209" s="110">
        <f t="shared" si="74"/>
        <v>0.99082397558762647</v>
      </c>
      <c r="H209" s="412" t="b">
        <f>Wh_hp&gt;='2019'!Maxi_hp</f>
        <v>0</v>
      </c>
      <c r="I209" s="388">
        <f>IF(H209,Wh_hp,'2019'!Maxi_hp)</f>
        <v>61.162094530225126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1.0371576195253529E-2</v>
      </c>
      <c r="M209" s="832"/>
      <c r="N209" s="832"/>
      <c r="O209" s="48">
        <f>IF(t&lt;Tnet,'2019'!Resal+('2019'!Salim-'2019'!Resal)*(1-EXP(('2019'!Tnet-t)/('2019'!Tau_j))),Resal+(Salim-Resal)*(1-EXP((Tnet-t)/(Tau_j))))*Salcycl</f>
        <v>4.1088699465028078E-2</v>
      </c>
      <c r="P209" s="169">
        <f>(INDEX(Models!$BJ209:$BT209,,T209)*(1-R209)+INDEX(Models!$BJ209:$BT209,,T209+1)*R209-ERP_i)*Q209*Ramure*Pc/MaxiM</f>
        <v>5.1500994661144652E-5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58.380663341371104</v>
      </c>
      <c r="W209" s="58"/>
      <c r="X209" s="157">
        <f t="shared" si="84"/>
        <v>44025</v>
      </c>
      <c r="Y209" s="383">
        <f t="shared" si="85"/>
        <v>57.844999999999999</v>
      </c>
      <c r="Z209" s="383">
        <f t="shared" si="86"/>
        <v>58.451231400173292</v>
      </c>
      <c r="AA209" s="384">
        <f t="shared" si="87"/>
        <v>60.955827058836036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4.1088699465028078E-2</v>
      </c>
      <c r="AD209" s="230">
        <f>(INDEX(Models!$BJ209:$BT209,,AH209)*(1-AF209)+INDEX(Models!$BJ209:$BT209,,AH209+1)*AF209-ERP_i)*AE209*Ramure*Pc/MaxiM</f>
        <v>5.1500994661144652E-5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47.076999999999998</v>
      </c>
      <c r="C210" s="388"/>
      <c r="D210" s="391">
        <f t="shared" si="75"/>
        <v>47.571291511878243</v>
      </c>
      <c r="E210" s="383">
        <f t="shared" si="73"/>
        <v>49.612878715020152</v>
      </c>
      <c r="F210" s="383">
        <f t="shared" si="76"/>
        <v>49.61479082462111</v>
      </c>
      <c r="G210" s="110">
        <f t="shared" si="74"/>
        <v>0.80760012583045815</v>
      </c>
      <c r="H210" s="412" t="b">
        <f>Wh_hp&gt;='2019'!Maxi_hp</f>
        <v>0</v>
      </c>
      <c r="I210" s="388">
        <f>IF(H210,Wh_hp,'2019'!Maxi_hp)</f>
        <v>62.506291921724774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1.0390542198225217E-2</v>
      </c>
      <c r="M210" s="832"/>
      <c r="N210" s="832"/>
      <c r="O210" s="48">
        <f>IF(t&lt;Tnet,'2019'!Resal+('2019'!Salim-'2019'!Resal)*(1-EXP(('2019'!Tnet-t)/('2019'!Tau_j))),Resal+(Salim-Resal)*(1-EXP((Tnet-t)/(Tau_j))))*Salcycl</f>
        <v>4.1150347571422427E-2</v>
      </c>
      <c r="P210" s="169">
        <f>(INDEX(Models!$BJ210:$BT210,,T210)*(1-R210)+INDEX(Models!$BJ210:$BT210,,T210+1)*R210-ERP_i)*Q210*Ramure*Pc/MaxiM</f>
        <v>5.3145664706758833E-5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58.291610952942371</v>
      </c>
      <c r="W210" s="58"/>
      <c r="X210" s="157">
        <f t="shared" si="84"/>
        <v>44026</v>
      </c>
      <c r="Y210" s="383">
        <f t="shared" si="85"/>
        <v>47.076999999999998</v>
      </c>
      <c r="Z210" s="383">
        <f t="shared" si="86"/>
        <v>47.571291511878243</v>
      </c>
      <c r="AA210" s="384">
        <f t="shared" si="87"/>
        <v>49.612878715020152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4.1150347571422427E-2</v>
      </c>
      <c r="AD210" s="230">
        <f>(INDEX(Models!$BJ210:$BT210,,AH210)*(1-AF210)+INDEX(Models!$BJ210:$BT210,,AH210+1)*AF210-ERP_i)*AE210*Ramure*Pc/MaxiM</f>
        <v>5.3145664706758833E-5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19.605</v>
      </c>
      <c r="C211" s="388"/>
      <c r="D211" s="391">
        <f t="shared" si="75"/>
        <v>19.811225102984306</v>
      </c>
      <c r="E211" s="383">
        <f t="shared" si="73"/>
        <v>20.662770744065675</v>
      </c>
      <c r="F211" s="383">
        <f t="shared" si="76"/>
        <v>20.66283040209721</v>
      </c>
      <c r="G211" s="110">
        <f t="shared" si="74"/>
        <v>0.33683319752341589</v>
      </c>
      <c r="H211" s="412" t="b">
        <f>Wh_hp&gt;='2019'!Maxi_hp</f>
        <v>0</v>
      </c>
      <c r="I211" s="388">
        <f>IF(H211,Wh_hp,'2019'!Maxi_hp)</f>
        <v>60.8270261955942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1.0409507837717769E-2</v>
      </c>
      <c r="M211" s="832"/>
      <c r="N211" s="832"/>
      <c r="O211" s="48">
        <f>IF(t&lt;Tnet,'2019'!Resal+('2019'!Salim-'2019'!Resal)*(1-EXP(('2019'!Tnet-t)/('2019'!Tau_j))),Resal+(Salim-Resal)*(1-EXP((Tnet-t)/(Tau_j))))*Salcycl</f>
        <v>4.1211590237767735E-2</v>
      </c>
      <c r="P211" s="169">
        <f>(INDEX(Models!$BJ211:$BT211,,T211)*(1-R211)+INDEX(Models!$BJ211:$BT211,,T211+1)*R211-ERP_i)*Q211*Ramure*Pc/MaxiM</f>
        <v>5.4844289421408469E-5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58.200858830875603</v>
      </c>
      <c r="W211" s="58"/>
      <c r="X211" s="157">
        <f t="shared" si="84"/>
        <v>44027</v>
      </c>
      <c r="Y211" s="383">
        <f t="shared" si="85"/>
        <v>19.605</v>
      </c>
      <c r="Z211" s="383">
        <f t="shared" si="86"/>
        <v>19.811225102984306</v>
      </c>
      <c r="AA211" s="384">
        <f t="shared" si="87"/>
        <v>20.662770744065675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4.1211590237767735E-2</v>
      </c>
      <c r="AD211" s="230">
        <f>(INDEX(Models!$BJ211:$BT211,,AH211)*(1-AF211)+INDEX(Models!$BJ211:$BT211,,AH211+1)*AF211-ERP_i)*AE211*Ramure*Pc/MaxiM</f>
        <v>5.4844289421408469E-5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23.753</v>
      </c>
      <c r="C212" s="388"/>
      <c r="D212" s="391">
        <f t="shared" si="75"/>
        <v>24.003317955944073</v>
      </c>
      <c r="E212" s="383">
        <f t="shared" si="73"/>
        <v>25.036641398508291</v>
      </c>
      <c r="F212" s="383">
        <f t="shared" si="76"/>
        <v>25.03686150366341</v>
      </c>
      <c r="G212" s="110">
        <f t="shared" si="74"/>
        <v>0.40875238470447012</v>
      </c>
      <c r="H212" s="412" t="b">
        <f>Wh_hp&gt;='2019'!Maxi_hp</f>
        <v>0</v>
      </c>
      <c r="I212" s="388">
        <f>IF(H212,Wh_hp,'2019'!Maxi_hp)</f>
        <v>53.299103359044103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1.0428473113738179E-2</v>
      </c>
      <c r="M212" s="832"/>
      <c r="N212" s="832"/>
      <c r="O212" s="48">
        <f>IF(t&lt;Tnet,'2019'!Resal+('2019'!Salim-'2019'!Resal)*(1-EXP(('2019'!Tnet-t)/('2019'!Tau_j))),Resal+(Salim-Resal)*(1-EXP((Tnet-t)/(Tau_j))))*Salcycl</f>
        <v>4.1272446496189559E-2</v>
      </c>
      <c r="P212" s="169">
        <f>(INDEX(Models!$BJ212:$BT212,,T212)*(1-R212)+INDEX(Models!$BJ212:$BT212,,T212+1)*R212-ERP_i)*Q212*Ramure*Pc/MaxiM</f>
        <v>5.6575914304692523E-5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58.108199118929598</v>
      </c>
      <c r="W212" s="58"/>
      <c r="X212" s="157">
        <f t="shared" si="84"/>
        <v>44028</v>
      </c>
      <c r="Y212" s="383">
        <f t="shared" si="85"/>
        <v>23.753</v>
      </c>
      <c r="Z212" s="383">
        <f t="shared" si="86"/>
        <v>24.003317955944073</v>
      </c>
      <c r="AA212" s="384">
        <f t="shared" si="87"/>
        <v>25.036641398508291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4.1272446496189559E-2</v>
      </c>
      <c r="AD212" s="230">
        <f>(INDEX(Models!$BJ212:$BT212,,AH212)*(1-AF212)+INDEX(Models!$BJ212:$BT212,,AH212+1)*AF212-ERP_i)*AE212*Ramure*Pc/MaxiM</f>
        <v>5.6575914304692523E-5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27.015999999999998</v>
      </c>
      <c r="C213" s="388"/>
      <c r="D213" s="391">
        <f t="shared" si="75"/>
        <v>27.301227886384716</v>
      </c>
      <c r="E213" s="383">
        <f t="shared" si="73"/>
        <v>28.478320456919587</v>
      </c>
      <c r="F213" s="383">
        <f t="shared" si="76"/>
        <v>28.478713664933096</v>
      </c>
      <c r="G213" s="110">
        <f t="shared" si="74"/>
        <v>0.46566459194213883</v>
      </c>
      <c r="H213" s="412" t="b">
        <f>Wh_hp&gt;='2019'!Maxi_hp</f>
        <v>0</v>
      </c>
      <c r="I213" s="388">
        <f>IF(H213,Wh_hp,'2019'!Maxi_hp)</f>
        <v>41.350908962990601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1.0447438026293443E-2</v>
      </c>
      <c r="M213" s="832"/>
      <c r="N213" s="832"/>
      <c r="O213" s="48">
        <f>IF(t&lt;Tnet,'2019'!Resal+('2019'!Salim-'2019'!Resal)*(1-EXP(('2019'!Tnet-t)/('2019'!Tau_j))),Resal+(Salim-Resal)*(1-EXP((Tnet-t)/(Tau_j))))*Salcycl</f>
        <v>4.1332935076544002E-2</v>
      </c>
      <c r="P213" s="169">
        <f>(INDEX(Models!$BJ213:$BT213,,T213)*(1-R213)+INDEX(Models!$BJ213:$BT213,,T213+1)*R213-ERP_i)*Q213*Ramure*Pc/MaxiM</f>
        <v>5.8333224104523159E-5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58.013423250714425</v>
      </c>
      <c r="W213" s="58"/>
      <c r="X213" s="157">
        <f t="shared" si="84"/>
        <v>44029</v>
      </c>
      <c r="Y213" s="383">
        <f t="shared" si="85"/>
        <v>27.015999999999998</v>
      </c>
      <c r="Z213" s="383">
        <f t="shared" si="86"/>
        <v>27.301227886384716</v>
      </c>
      <c r="AA213" s="384">
        <f t="shared" si="87"/>
        <v>28.478320456919587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4.1332935076544002E-2</v>
      </c>
      <c r="AD213" s="230">
        <f>(INDEX(Models!$BJ213:$BT213,,AH213)*(1-AF213)+INDEX(Models!$BJ213:$BT213,,AH213+1)*AF213-ERP_i)*AE213*Ramure*Pc/MaxiM</f>
        <v>5.8333224104523159E-5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57.856000000000002</v>
      </c>
      <c r="C214" s="388"/>
      <c r="D214" s="391">
        <f t="shared" si="75"/>
        <v>58.467949092964403</v>
      </c>
      <c r="E214" s="383">
        <f t="shared" si="73"/>
        <v>60.992621194348516</v>
      </c>
      <c r="F214" s="383">
        <f t="shared" si="76"/>
        <v>60.996282625351171</v>
      </c>
      <c r="G214" s="110">
        <f t="shared" si="74"/>
        <v>0.99895836811613903</v>
      </c>
      <c r="H214" s="412" t="b">
        <f>Wh_hp&gt;='2019'!Maxi_hp</f>
        <v>1</v>
      </c>
      <c r="I214" s="388">
        <f>IF(H214,Wh_hp,'2019'!Maxi_hp)</f>
        <v>60.996282625351171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1.0466402575390443E-2</v>
      </c>
      <c r="M214" s="832"/>
      <c r="N214" s="832"/>
      <c r="O214" s="48">
        <f>IF(t&lt;Tnet,'2019'!Resal+('2019'!Salim-'2019'!Resal)*(1-EXP(('2019'!Tnet-t)/('2019'!Tau_j))),Resal+(Salim-Resal)*(1-EXP((Tnet-t)/(Tau_j))))*Salcycl</f>
        <v>4.1393074308766514E-2</v>
      </c>
      <c r="P214" s="169">
        <f>(INDEX(Models!$BJ214:$BT214,,T214)*(1-R214)+INDEX(Models!$BJ214:$BT214,,T214+1)*R214-ERP_i)*Q214*Ramure*Pc/MaxiM</f>
        <v>6.0116565660131106E-5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57.916322312472772</v>
      </c>
      <c r="W214" s="58"/>
      <c r="X214" s="157">
        <f t="shared" si="84"/>
        <v>44030</v>
      </c>
      <c r="Y214" s="383">
        <f t="shared" si="85"/>
        <v>57.856000000000002</v>
      </c>
      <c r="Z214" s="383">
        <f t="shared" si="86"/>
        <v>58.467949092964403</v>
      </c>
      <c r="AA214" s="384">
        <f t="shared" si="87"/>
        <v>60.992621194348516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4.1393074308766514E-2</v>
      </c>
      <c r="AD214" s="230">
        <f>(INDEX(Models!$BJ214:$BT214,,AH214)*(1-AF214)+INDEX(Models!$BJ214:$BT214,,AH214+1)*AF214-ERP_i)*AE214*Ramure*Pc/MaxiM</f>
        <v>6.0116565660131106E-5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56.694000000000003</v>
      </c>
      <c r="C215" s="388"/>
      <c r="D215" s="391">
        <f t="shared" si="75"/>
        <v>57.294756535761742</v>
      </c>
      <c r="E215" s="383">
        <f t="shared" si="73"/>
        <v>59.772498880584791</v>
      </c>
      <c r="F215" s="383">
        <f t="shared" si="76"/>
        <v>59.776097909915435</v>
      </c>
      <c r="G215" s="110">
        <f t="shared" si="74"/>
        <v>0.98058026264812004</v>
      </c>
      <c r="H215" s="412" t="b">
        <f>Wh_hp&gt;='2019'!Maxi_hp</f>
        <v>1</v>
      </c>
      <c r="I215" s="388">
        <f>IF(H215,Wh_hp,'2019'!Maxi_hp)</f>
        <v>59.776097909915435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1.0485366761036174E-2</v>
      </c>
      <c r="M215" s="832"/>
      <c r="N215" s="832"/>
      <c r="O215" s="48">
        <f>IF(t&lt;Tnet,'2019'!Resal+('2019'!Salim-'2019'!Resal)*(1-EXP(('2019'!Tnet-t)/('2019'!Tau_j))),Resal+(Salim-Resal)*(1-EXP((Tnet-t)/(Tau_j))))*Salcycl</f>
        <v>4.1452882031469906E-2</v>
      </c>
      <c r="P215" s="169">
        <f>(INDEX(Models!$BJ215:$BT215,,T215)*(1-R215)+INDEX(Models!$BJ215:$BT215,,T215+1)*R215-ERP_i)*Q215*Ramure*Pc/MaxiM</f>
        <v>6.19263437804583E-5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57.816687488413734</v>
      </c>
      <c r="W215" s="58"/>
      <c r="X215" s="157">
        <f t="shared" si="84"/>
        <v>44031</v>
      </c>
      <c r="Y215" s="383">
        <f t="shared" si="85"/>
        <v>56.694000000000003</v>
      </c>
      <c r="Z215" s="383">
        <f t="shared" si="86"/>
        <v>57.294756535761742</v>
      </c>
      <c r="AA215" s="384">
        <f t="shared" si="87"/>
        <v>59.772498880584791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4.1452882031469906E-2</v>
      </c>
      <c r="AD215" s="230">
        <f>(INDEX(Models!$BJ215:$BT215,,AH215)*(1-AF215)+INDEX(Models!$BJ215:$BT215,,AH215+1)*AF215-ERP_i)*AE215*Ramure*Pc/MaxiM</f>
        <v>6.19263437804583E-5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49.101999999999997</v>
      </c>
      <c r="C216" s="388"/>
      <c r="D216" s="391">
        <f t="shared" si="75"/>
        <v>49.6232591183973</v>
      </c>
      <c r="E216" s="383">
        <f t="shared" si="73"/>
        <v>51.772456785409432</v>
      </c>
      <c r="F216" s="383">
        <f t="shared" si="76"/>
        <v>51.775054354495516</v>
      </c>
      <c r="G216" s="110">
        <f t="shared" si="74"/>
        <v>0.85076530381116477</v>
      </c>
      <c r="H216" s="412" t="b">
        <f>Wh_hp&gt;='2019'!Maxi_hp</f>
        <v>1</v>
      </c>
      <c r="I216" s="388">
        <f>IF(H216,Wh_hp,'2019'!Maxi_hp)</f>
        <v>51.775054354495516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1.0504330583237631E-2</v>
      </c>
      <c r="M216" s="832"/>
      <c r="N216" s="832"/>
      <c r="O216" s="48">
        <f>IF(t&lt;Tnet,'2019'!Resal+('2019'!Salim-'2019'!Resal)*(1-EXP(('2019'!Tnet-t)/('2019'!Tau_j))),Resal+(Salim-Resal)*(1-EXP((Tnet-t)/(Tau_j))))*Salcycl</f>
        <v>4.1512375507314576E-2</v>
      </c>
      <c r="P216" s="169">
        <f>(INDEX(Models!$BJ216:$BT216,,T216)*(1-R216)+INDEX(Models!$BJ216:$BT216,,T216+1)*R216-ERP_i)*Q216*Ramure*Pc/MaxiM</f>
        <v>6.3763021844935846E-5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57.714310063951395</v>
      </c>
      <c r="W216" s="58"/>
      <c r="X216" s="157">
        <f t="shared" si="84"/>
        <v>44032</v>
      </c>
      <c r="Y216" s="383">
        <f t="shared" si="85"/>
        <v>49.101999999999997</v>
      </c>
      <c r="Z216" s="383">
        <f t="shared" si="86"/>
        <v>49.6232591183973</v>
      </c>
      <c r="AA216" s="384">
        <f t="shared" si="87"/>
        <v>51.772456785409432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4.1512375507314576E-2</v>
      </c>
      <c r="AD216" s="230">
        <f>(INDEX(Models!$BJ216:$BT216,,AH216)*(1-AF216)+INDEX(Models!$BJ216:$BT216,,AH216+1)*AF216-ERP_i)*AE216*Ramure*Pc/MaxiM</f>
        <v>6.3763021844935846E-5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52.485999999999997</v>
      </c>
      <c r="C217" s="388"/>
      <c r="D217" s="391">
        <f t="shared" si="75"/>
        <v>53.044199710779196</v>
      </c>
      <c r="E217" s="383">
        <f t="shared" si="73"/>
        <v>55.344977386836725</v>
      </c>
      <c r="F217" s="383">
        <f t="shared" si="76"/>
        <v>55.348148280408218</v>
      </c>
      <c r="G217" s="110">
        <f t="shared" si="74"/>
        <v>0.91106562005194502</v>
      </c>
      <c r="H217" s="412" t="b">
        <f>Wh_hp&gt;='2019'!Maxi_hp</f>
        <v>1</v>
      </c>
      <c r="I217" s="388">
        <f>IF(H217,Wh_hp,'2019'!Maxi_hp)</f>
        <v>55.348148280408218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1.0523294042001807E-2</v>
      </c>
      <c r="M217" s="832"/>
      <c r="N217" s="832"/>
      <c r="O217" s="48">
        <f>IF(t&lt;Tnet,'2019'!Resal+('2019'!Salim-'2019'!Resal)*(1-EXP(('2019'!Tnet-t)/('2019'!Tau_j))),Resal+(Salim-Resal)*(1-EXP((Tnet-t)/(Tau_j))))*Salcycl</f>
        <v>4.1571571345600515E-2</v>
      </c>
      <c r="P217" s="169">
        <f>(INDEX(Models!$BJ217:$BT217,,T217)*(1-R217)+INDEX(Models!$BJ217:$BT217,,T217+1)*R217-ERP_i)*Q217*Ramure*Pc/MaxiM</f>
        <v>6.5627122280657388E-5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57.608981434277709</v>
      </c>
      <c r="W217" s="58"/>
      <c r="X217" s="157">
        <f t="shared" si="84"/>
        <v>44033</v>
      </c>
      <c r="Y217" s="383">
        <f t="shared" si="85"/>
        <v>52.485999999999997</v>
      </c>
      <c r="Z217" s="383">
        <f t="shared" si="86"/>
        <v>53.044199710779196</v>
      </c>
      <c r="AA217" s="384">
        <f t="shared" si="87"/>
        <v>55.344977386836725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4.1571571345600515E-2</v>
      </c>
      <c r="AD217" s="230">
        <f>(INDEX(Models!$BJ217:$BT217,,AH217)*(1-AF217)+INDEX(Models!$BJ217:$BT217,,AH217+1)*AF217-ERP_i)*AE217*Ramure*Pc/MaxiM</f>
        <v>6.5627122280657388E-5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51.682000000000002</v>
      </c>
      <c r="C218" s="388"/>
      <c r="D218" s="391">
        <f t="shared" si="75"/>
        <v>52.232650027554946</v>
      </c>
      <c r="E218" s="383">
        <f t="shared" si="73"/>
        <v>54.501577140759153</v>
      </c>
      <c r="F218" s="383">
        <f t="shared" si="76"/>
        <v>54.504725268823599</v>
      </c>
      <c r="G218" s="110">
        <f t="shared" si="74"/>
        <v>0.89880091008576024</v>
      </c>
      <c r="H218" s="412" t="b">
        <f>Wh_hp&gt;='2019'!Maxi_hp</f>
        <v>0</v>
      </c>
      <c r="I218" s="388">
        <f>IF(H218,Wh_hp,'2019'!Maxi_hp)</f>
        <v>56.109961045476417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1.0542257137335587E-2</v>
      </c>
      <c r="M218" s="832"/>
      <c r="N218" s="832"/>
      <c r="O218" s="48">
        <f>IF(t&lt;Tnet,'2019'!Resal+('2019'!Salim-'2019'!Resal)*(1-EXP(('2019'!Tnet-t)/('2019'!Tau_j))),Resal+(Salim-Resal)*(1-EXP((Tnet-t)/(Tau_j))))*Salcycl</f>
        <v>4.1630485432455205E-2</v>
      </c>
      <c r="P218" s="169">
        <f>(INDEX(Models!$BJ218:$BT218,,T218)*(1-R218)+INDEX(Models!$BJ218:$BT218,,T218+1)*R218-ERP_i)*Q218*Ramure*Pc/MaxiM</f>
        <v>6.7519226961978008E-5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57.500493104814254</v>
      </c>
      <c r="W218" s="58"/>
      <c r="X218" s="157">
        <f t="shared" si="84"/>
        <v>44034</v>
      </c>
      <c r="Y218" s="383">
        <f t="shared" si="85"/>
        <v>51.682000000000002</v>
      </c>
      <c r="Z218" s="383">
        <f t="shared" si="86"/>
        <v>52.232650027554946</v>
      </c>
      <c r="AA218" s="384">
        <f t="shared" si="87"/>
        <v>54.501577140759153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4.1630485432455205E-2</v>
      </c>
      <c r="AD218" s="230">
        <f>(INDEX(Models!$BJ218:$BT218,,AH218)*(1-AF218)+INDEX(Models!$BJ218:$BT218,,AH218+1)*AF218-ERP_i)*AE218*Ramure*Pc/MaxiM</f>
        <v>6.7519226961978008E-5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47.62</v>
      </c>
      <c r="C219" s="388"/>
      <c r="D219" s="391">
        <f t="shared" si="75"/>
        <v>48.128293489473933</v>
      </c>
      <c r="E219" s="383">
        <f t="shared" si="73"/>
        <v>50.222005343168462</v>
      </c>
      <c r="F219" s="383">
        <f t="shared" si="76"/>
        <v>50.224644796405329</v>
      </c>
      <c r="G219" s="110">
        <f t="shared" si="74"/>
        <v>0.82975945698667053</v>
      </c>
      <c r="H219" s="412" t="b">
        <f>Wh_hp&gt;='2019'!Maxi_hp</f>
        <v>0</v>
      </c>
      <c r="I219" s="388">
        <f>IF(H219,Wh_hp,'2019'!Maxi_hp)</f>
        <v>56.342293101754187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1.0561219869245964E-2</v>
      </c>
      <c r="M219" s="832"/>
      <c r="N219" s="832"/>
      <c r="O219" s="48">
        <f>IF(t&lt;Tnet,'2019'!Resal+('2019'!Salim-'2019'!Resal)*(1-EXP(('2019'!Tnet-t)/('2019'!Tau_j))),Resal+(Salim-Resal)*(1-EXP((Tnet-t)/(Tau_j))))*Salcycl</f>
        <v>4.168913286891137E-2</v>
      </c>
      <c r="P219" s="169">
        <f>(INDEX(Models!$BJ219:$BT219,,T219)*(1-R219)+INDEX(Models!$BJ219:$BT219,,T219+1)*R219-ERP_i)*Q219*Ramure*Pc/MaxiM</f>
        <v>6.9439235784802704E-5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57.389157100700764</v>
      </c>
      <c r="W219" s="58"/>
      <c r="X219" s="157">
        <f t="shared" si="84"/>
        <v>44035</v>
      </c>
      <c r="Y219" s="383">
        <f t="shared" si="85"/>
        <v>47.62</v>
      </c>
      <c r="Z219" s="383">
        <f t="shared" si="86"/>
        <v>48.128293489473933</v>
      </c>
      <c r="AA219" s="384">
        <f t="shared" si="87"/>
        <v>50.222005343168462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4.168913286891137E-2</v>
      </c>
      <c r="AD219" s="230">
        <f>(INDEX(Models!$BJ219:$BT219,,AH219)*(1-AF219)+INDEX(Models!$BJ219:$BT219,,AH219+1)*AF219-ERP_i)*AE219*Ramure*Pc/MaxiM</f>
        <v>6.9439235784802704E-5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56.234000000000002</v>
      </c>
      <c r="C220" s="388"/>
      <c r="D220" s="391">
        <f t="shared" si="75"/>
        <v>56.835328129148131</v>
      </c>
      <c r="E220" s="383">
        <f t="shared" si="73"/>
        <v>59.311433870457599</v>
      </c>
      <c r="F220" s="383">
        <f t="shared" si="76"/>
        <v>59.315557328001788</v>
      </c>
      <c r="G220" s="110">
        <f t="shared" si="74"/>
        <v>0.98181542410018208</v>
      </c>
      <c r="H220" s="412" t="b">
        <f>Wh_hp&gt;='2019'!Maxi_hp</f>
        <v>1</v>
      </c>
      <c r="I220" s="388">
        <f>IF(H220,Wh_hp,'2019'!Maxi_hp)</f>
        <v>59.315557328001788</v>
      </c>
      <c r="J220" s="85">
        <f>IF(H220,An,'2019'!An_max)</f>
        <v>2020</v>
      </c>
      <c r="K220" s="197">
        <f t="shared" si="77"/>
        <v>44036</v>
      </c>
      <c r="L220" s="147">
        <f>IF(t&lt;Tvie,1-EXP((T0-t)*PertePVj)+'2019'!Pspv,1-EXP((T0-t)*PertePVj)+Pspv)</f>
        <v>1.0580182237739821E-2</v>
      </c>
      <c r="M220" s="832"/>
      <c r="N220" s="832"/>
      <c r="O220" s="48">
        <f>IF(t&lt;Tnet,'2019'!Resal+('2019'!Salim-'2019'!Resal)*(1-EXP(('2019'!Tnet-t)/('2019'!Tau_j))),Resal+(Salim-Resal)*(1-EXP((Tnet-t)/(Tau_j))))*Salcycl</f>
        <v>4.1747527917088377E-2</v>
      </c>
      <c r="P220" s="169">
        <f>(INDEX(Models!$BJ220:$BT220,,T220)*(1-R220)+INDEX(Models!$BJ220:$BT220,,T220+1)*R220-ERP_i)*Q220*Ramure*Pc/MaxiM</f>
        <v>7.1371195401751439E-5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57.275425055048956</v>
      </c>
      <c r="W220" s="58"/>
      <c r="X220" s="157">
        <f t="shared" si="84"/>
        <v>44036</v>
      </c>
      <c r="Y220" s="383">
        <f t="shared" si="85"/>
        <v>56.234000000000002</v>
      </c>
      <c r="Z220" s="383">
        <f t="shared" si="86"/>
        <v>56.835328129148131</v>
      </c>
      <c r="AA220" s="384">
        <f t="shared" si="87"/>
        <v>59.311433870457599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4.1747527917088377E-2</v>
      </c>
      <c r="AD220" s="230">
        <f>(INDEX(Models!$BJ220:$BT220,,AH220)*(1-AF220)+INDEX(Models!$BJ220:$BT220,,AH220+1)*AF220-ERP_i)*AE220*Ramure*Pc/MaxiM</f>
        <v>7.1371195401751439E-5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55.341999999999999</v>
      </c>
      <c r="C221" s="388"/>
      <c r="D221" s="391">
        <f t="shared" si="75"/>
        <v>55.934861667011077</v>
      </c>
      <c r="E221" s="383">
        <f t="shared" si="73"/>
        <v>58.375280181020493</v>
      </c>
      <c r="F221" s="383">
        <f t="shared" si="76"/>
        <v>58.379363630430667</v>
      </c>
      <c r="G221" s="110">
        <f t="shared" si="74"/>
        <v>0.96820319332882476</v>
      </c>
      <c r="H221" s="412" t="b">
        <f>Wh_hp&gt;='2019'!Maxi_hp</f>
        <v>1</v>
      </c>
      <c r="I221" s="388">
        <f>IF(H221,Wh_hp,'2019'!Maxi_hp)</f>
        <v>58.379363630430667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1.0599144242824377E-2</v>
      </c>
      <c r="M221" s="832"/>
      <c r="N221" s="832"/>
      <c r="O221" s="48">
        <f>IF(t&lt;Tnet,'2019'!Resal+('2019'!Salim-'2019'!Resal)*(1-EXP(('2019'!Tnet-t)/('2019'!Tau_j))),Resal+(Salim-Resal)*(1-EXP((Tnet-t)/(Tau_j))))*Salcycl</f>
        <v>4.180568395460775E-2</v>
      </c>
      <c r="P221" s="169">
        <f>(INDEX(Models!$BJ221:$BT221,,T221)*(1-R221)+INDEX(Models!$BJ221:$BT221,,T221+1)*R221-ERP_i)*Q221*Ramure*Pc/MaxiM</f>
        <v>7.3274897845562495E-5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57.159298982482774</v>
      </c>
      <c r="W221" s="58"/>
      <c r="X221" s="157">
        <f t="shared" si="84"/>
        <v>44037</v>
      </c>
      <c r="Y221" s="383">
        <f t="shared" si="85"/>
        <v>55.341999999999999</v>
      </c>
      <c r="Z221" s="383">
        <f t="shared" si="86"/>
        <v>55.934861667011077</v>
      </c>
      <c r="AA221" s="384">
        <f t="shared" si="87"/>
        <v>58.375280181020493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4.180568395460775E-2</v>
      </c>
      <c r="AD221" s="230">
        <f>(INDEX(Models!$BJ221:$BT221,,AH221)*(1-AF221)+INDEX(Models!$BJ221:$BT221,,AH221+1)*AF221-ERP_i)*AE221*Ramure*Pc/MaxiM</f>
        <v>7.3274897845562495E-5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45.497999999999998</v>
      </c>
      <c r="C222" s="388"/>
      <c r="D222" s="391">
        <f t="shared" si="75"/>
        <v>45.986287267441007</v>
      </c>
      <c r="E222" s="383">
        <f t="shared" si="73"/>
        <v>47.995554612444806</v>
      </c>
      <c r="F222" s="383">
        <f t="shared" si="76"/>
        <v>47.998118919388709</v>
      </c>
      <c r="G222" s="110">
        <f t="shared" si="74"/>
        <v>0.79762255314916974</v>
      </c>
      <c r="H222" s="412" t="b">
        <f>Wh_hp&gt;='2019'!Maxi_hp</f>
        <v>1</v>
      </c>
      <c r="I222" s="388">
        <f>IF(H222,Wh_hp,'2019'!Maxi_hp)</f>
        <v>47.998118919388709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1.061810588450629E-2</v>
      </c>
      <c r="M222" s="832"/>
      <c r="N222" s="832"/>
      <c r="O222" s="48">
        <f>IF(t&lt;Tnet,'2019'!Resal+('2019'!Salim-'2019'!Resal)*(1-EXP(('2019'!Tnet-t)/('2019'!Tau_j))),Resal+(Salim-Resal)*(1-EXP((Tnet-t)/(Tau_j))))*Salcycl</f>
        <v>4.1863613437291343E-2</v>
      </c>
      <c r="P222" s="169">
        <f>(INDEX(Models!$BJ222:$BT222,,T222)*(1-R222)+INDEX(Models!$BJ222:$BT222,,T222+1)*R222-ERP_i)*Q222*Ramure*Pc/MaxiM</f>
        <v>7.5149942395488409E-5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57.040778665526425</v>
      </c>
      <c r="W222" s="58"/>
      <c r="X222" s="157">
        <f t="shared" si="84"/>
        <v>44038</v>
      </c>
      <c r="Y222" s="383">
        <f t="shared" si="85"/>
        <v>45.497999999999998</v>
      </c>
      <c r="Z222" s="383">
        <f t="shared" si="86"/>
        <v>45.986287267441007</v>
      </c>
      <c r="AA222" s="384">
        <f t="shared" si="87"/>
        <v>47.995554612444806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4.1863613437291343E-2</v>
      </c>
      <c r="AD222" s="230">
        <f>(INDEX(Models!$BJ222:$BT222,,AH222)*(1-AF222)+INDEX(Models!$BJ222:$BT222,,AH222+1)*AF222-ERP_i)*AE222*Ramure*Pc/MaxiM</f>
        <v>7.5149942395488409E-5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53.284999999999997</v>
      </c>
      <c r="C223" s="388"/>
      <c r="D223" s="391">
        <f t="shared" si="75"/>
        <v>53.857889993102937</v>
      </c>
      <c r="E223" s="383">
        <f t="shared" si="73"/>
        <v>56.21447544946615</v>
      </c>
      <c r="F223" s="383">
        <f t="shared" si="76"/>
        <v>56.218409152668862</v>
      </c>
      <c r="G223" s="110">
        <f t="shared" si="74"/>
        <v>0.93613410155559118</v>
      </c>
      <c r="H223" s="412" t="b">
        <f>Wh_hp&gt;='2019'!Maxi_hp</f>
        <v>1</v>
      </c>
      <c r="I223" s="388">
        <f>IF(H223,Wh_hp,'2019'!Maxi_hp)</f>
        <v>56.218409152668862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1.0637067162792779E-2</v>
      </c>
      <c r="M223" s="832"/>
      <c r="N223" s="832"/>
      <c r="O223" s="48">
        <f>IF(t&lt;Tnet,'2019'!Resal+('2019'!Salim-'2019'!Resal)*(1-EXP(('2019'!Tnet-t)/('2019'!Tau_j))),Resal+(Salim-Resal)*(1-EXP((Tnet-t)/(Tau_j))))*Salcycl</f>
        <v>4.1921327870108008E-2</v>
      </c>
      <c r="P223" s="169">
        <f>(INDEX(Models!$BJ223:$BT223,,T223)*(1-R223)+INDEX(Models!$BJ223:$BT223,,T223+1)*R223-ERP_i)*Q223*Ramure*Pc/MaxiM</f>
        <v>7.6995955048959409E-5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56.919863941596006</v>
      </c>
      <c r="W223" s="58"/>
      <c r="X223" s="157">
        <f t="shared" si="84"/>
        <v>44039</v>
      </c>
      <c r="Y223" s="383">
        <f t="shared" si="85"/>
        <v>53.284999999999997</v>
      </c>
      <c r="Z223" s="383">
        <f t="shared" si="86"/>
        <v>53.857889993102937</v>
      </c>
      <c r="AA223" s="384">
        <f t="shared" si="87"/>
        <v>56.21447544946615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4.1921327870108008E-2</v>
      </c>
      <c r="AD223" s="230">
        <f>(INDEX(Models!$BJ223:$BT223,,AH223)*(1-AF223)+INDEX(Models!$BJ223:$BT223,,AH223+1)*AF223-ERP_i)*AE223*Ramure*Pc/MaxiM</f>
        <v>7.6995955048959409E-5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34.636000000000003</v>
      </c>
      <c r="C224" s="388"/>
      <c r="D224" s="391">
        <f t="shared" si="75"/>
        <v>35.009057499690186</v>
      </c>
      <c r="E224" s="383">
        <f t="shared" si="73"/>
        <v>36.543094119959797</v>
      </c>
      <c r="F224" s="383">
        <f t="shared" si="76"/>
        <v>36.544368900622857</v>
      </c>
      <c r="G224" s="110">
        <f t="shared" si="74"/>
        <v>0.60979893205306812</v>
      </c>
      <c r="H224" s="412" t="b">
        <f>Wh_hp&gt;='2019'!Maxi_hp</f>
        <v>0</v>
      </c>
      <c r="I224" s="388">
        <f>IF(H224,Wh_hp,'2019'!Maxi_hp)</f>
        <v>59.204840320642759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1.0656028077690616E-2</v>
      </c>
      <c r="M224" s="832"/>
      <c r="N224" s="832"/>
      <c r="O224" s="48">
        <f>IF(t&lt;Tnet,'2019'!Resal+('2019'!Salim-'2019'!Resal)*(1-EXP(('2019'!Tnet-t)/('2019'!Tau_j))),Resal+(Salim-Resal)*(1-EXP((Tnet-t)/(Tau_j))))*Salcycl</f>
        <v>4.1978837786254213E-2</v>
      </c>
      <c r="P224" s="169">
        <f>(INDEX(Models!$BJ224:$BT224,,T224)*(1-R224)+INDEX(Models!$BJ224:$BT224,,T224+1)*R224-ERP_i)*Q224*Ramure*Pc/MaxiM</f>
        <v>7.8812584576127716E-5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56.796554707772948</v>
      </c>
      <c r="W224" s="58"/>
      <c r="X224" s="157">
        <f t="shared" si="84"/>
        <v>44040</v>
      </c>
      <c r="Y224" s="383">
        <f t="shared" si="85"/>
        <v>34.636000000000003</v>
      </c>
      <c r="Z224" s="383">
        <f t="shared" si="86"/>
        <v>35.009057499690186</v>
      </c>
      <c r="AA224" s="384">
        <f t="shared" si="87"/>
        <v>36.543094119959797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4.1978837786254213E-2</v>
      </c>
      <c r="AD224" s="230">
        <f>(INDEX(Models!$BJ224:$BT224,,AH224)*(1-AF224)+INDEX(Models!$BJ224:$BT224,,AH224+1)*AF224-ERP_i)*AE224*Ramure*Pc/MaxiM</f>
        <v>7.8812584576127716E-5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49.616999999999997</v>
      </c>
      <c r="C225" s="388"/>
      <c r="D225" s="391">
        <f t="shared" si="75"/>
        <v>50.152376043997378</v>
      </c>
      <c r="E225" s="383">
        <f t="shared" si="73"/>
        <v>52.353098905704975</v>
      </c>
      <c r="F225" s="383">
        <f t="shared" si="76"/>
        <v>52.35656845482881</v>
      </c>
      <c r="G225" s="110">
        <f t="shared" si="74"/>
        <v>0.87551692002406112</v>
      </c>
      <c r="H225" s="412" t="b">
        <f>Wh_hp&gt;='2019'!Maxi_hp</f>
        <v>1</v>
      </c>
      <c r="I225" s="388">
        <f>IF(H225,Wh_hp,'2019'!Maxi_hp)</f>
        <v>52.35656845482881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1.0674988629206905E-2</v>
      </c>
      <c r="M225" s="832"/>
      <c r="N225" s="832"/>
      <c r="O225" s="48">
        <f>IF(t&lt;Tnet,'2019'!Resal+('2019'!Salim-'2019'!Resal)*(1-EXP(('2019'!Tnet-t)/('2019'!Tau_j))),Resal+(Salim-Resal)*(1-EXP((Tnet-t)/(Tau_j))))*Salcycl</f>
        <v>4.2036152734175325E-2</v>
      </c>
      <c r="P225" s="169">
        <f>(INDEX(Models!$BJ225:$BT225,,T225)*(1-R225)+INDEX(Models!$BJ225:$BT225,,T225+1)*R225-ERP_i)*Q225*Ramure*Pc/MaxiM</f>
        <v>8.0599498734911488E-5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56.670850919040873</v>
      </c>
      <c r="W225" s="58"/>
      <c r="X225" s="157">
        <f t="shared" si="84"/>
        <v>44041</v>
      </c>
      <c r="Y225" s="383">
        <f t="shared" si="85"/>
        <v>49.616999999999997</v>
      </c>
      <c r="Z225" s="383">
        <f t="shared" si="86"/>
        <v>50.152376043997378</v>
      </c>
      <c r="AA225" s="384">
        <f t="shared" si="87"/>
        <v>52.353098905704975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4.2036152734175325E-2</v>
      </c>
      <c r="AD225" s="230">
        <f>(INDEX(Models!$BJ225:$BT225,,AH225)*(1-AF225)+INDEX(Models!$BJ225:$BT225,,AH225+1)*AF225-ERP_i)*AE225*Ramure*Pc/MaxiM</f>
        <v>8.0599498734911488E-5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53.23</v>
      </c>
      <c r="C226" s="388"/>
      <c r="D226" s="391">
        <f t="shared" si="75"/>
        <v>53.805392109314376</v>
      </c>
      <c r="E226" s="383">
        <f t="shared" si="73"/>
        <v>56.169761687001078</v>
      </c>
      <c r="F226" s="383">
        <f t="shared" si="76"/>
        <v>56.174003852080347</v>
      </c>
      <c r="G226" s="110">
        <f t="shared" si="74"/>
        <v>0.94140510575007863</v>
      </c>
      <c r="H226" s="412" t="b">
        <f>Wh_hp&gt;='2019'!Maxi_hp</f>
        <v>0</v>
      </c>
      <c r="I226" s="388">
        <f>IF(H226,Wh_hp,'2019'!Maxi_hp)</f>
        <v>56.915628803098912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1.0693948817348531E-2</v>
      </c>
      <c r="M226" s="832"/>
      <c r="N226" s="832"/>
      <c r="O226" s="48">
        <f>IF(t&lt;Tnet,'2019'!Resal+('2019'!Salim-'2019'!Resal)*(1-EXP(('2019'!Tnet-t)/('2019'!Tau_j))),Resal+(Salim-Resal)*(1-EXP((Tnet-t)/(Tau_j))))*Salcycl</f>
        <v>4.2093281272259239E-2</v>
      </c>
      <c r="P226" s="169">
        <f>(INDEX(Models!$BJ226:$BT226,,T226)*(1-R226)+INDEX(Models!$BJ226:$BT226,,T226+1)*R226-ERP_i)*Q226*Ramure*Pc/MaxiM</f>
        <v>8.2416357214230328E-5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56.54274919837642</v>
      </c>
      <c r="W226" s="58"/>
      <c r="X226" s="157">
        <f t="shared" si="84"/>
        <v>44042</v>
      </c>
      <c r="Y226" s="383">
        <f t="shared" si="85"/>
        <v>53.23</v>
      </c>
      <c r="Z226" s="383">
        <f t="shared" si="86"/>
        <v>53.805392109314376</v>
      </c>
      <c r="AA226" s="384">
        <f t="shared" si="87"/>
        <v>56.169761687001078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4.2093281272259239E-2</v>
      </c>
      <c r="AD226" s="230">
        <f>(INDEX(Models!$BJ226:$BT226,,AH226)*(1-AF226)+INDEX(Models!$BJ226:$BT226,,AH226+1)*AF226-ERP_i)*AE226*Ramure*Pc/MaxiM</f>
        <v>8.2416357214230328E-5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51.5</v>
      </c>
      <c r="C227" s="388"/>
      <c r="D227" s="391">
        <f t="shared" si="75"/>
        <v>52.057689269261601</v>
      </c>
      <c r="E227" s="383">
        <f t="shared" si="73"/>
        <v>54.348490705412495</v>
      </c>
      <c r="F227" s="383">
        <f t="shared" si="76"/>
        <v>54.352502015602994</v>
      </c>
      <c r="G227" s="110">
        <f t="shared" si="74"/>
        <v>0.91291273688764285</v>
      </c>
      <c r="H227" s="412" t="b">
        <f>Wh_hp&gt;='2019'!Maxi_hp</f>
        <v>1</v>
      </c>
      <c r="I227" s="388">
        <f>IF(H227,Wh_hp,'2019'!Maxi_hp)</f>
        <v>54.352502015602994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1.0712908642122487E-2</v>
      </c>
      <c r="M227" s="832"/>
      <c r="N227" s="832"/>
      <c r="O227" s="48">
        <f>IF(t&lt;Tnet,'2019'!Resal+('2019'!Salim-'2019'!Resal)*(1-EXP(('2019'!Tnet-t)/('2019'!Tau_j))),Resal+(Salim-Resal)*(1-EXP((Tnet-t)/(Tau_j))))*Salcycl</f>
        <v>4.2150230970862117E-2</v>
      </c>
      <c r="P227" s="169">
        <f>(INDEX(Models!$BJ227:$BT227,,T227)*(1-R227)+INDEX(Models!$BJ227:$BT227,,T227+1)*R227-ERP_i)*Q227*Ramure*Pc/MaxiM</f>
        <v>8.4286751623278522E-5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56.412248292799411</v>
      </c>
      <c r="W227" s="58"/>
      <c r="X227" s="157">
        <f t="shared" si="84"/>
        <v>44043</v>
      </c>
      <c r="Y227" s="383">
        <f t="shared" si="85"/>
        <v>51.5</v>
      </c>
      <c r="Z227" s="383">
        <f t="shared" si="86"/>
        <v>52.057689269261601</v>
      </c>
      <c r="AA227" s="384">
        <f t="shared" si="87"/>
        <v>54.348490705412495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4.2150230970862117E-2</v>
      </c>
      <c r="AD227" s="230">
        <f>(INDEX(Models!$BJ227:$BT227,,AH227)*(1-AF227)+INDEX(Models!$BJ227:$BT227,,AH227+1)*AF227-ERP_i)*AE227*Ramure*Pc/MaxiM</f>
        <v>8.4286751623278522E-5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45.91</v>
      </c>
      <c r="C228" s="388"/>
      <c r="D228" s="391">
        <f t="shared" si="75"/>
        <v>46.40804501807694</v>
      </c>
      <c r="E228" s="383">
        <f t="shared" si="73"/>
        <v>48.453105656559515</v>
      </c>
      <c r="F228" s="383">
        <f t="shared" si="76"/>
        <v>48.456183576394736</v>
      </c>
      <c r="G228" s="110">
        <f t="shared" si="74"/>
        <v>0.81573364891445066</v>
      </c>
      <c r="H228" s="412" t="b">
        <f>Wh_hp&gt;='2019'!Maxi_hp</f>
        <v>0</v>
      </c>
      <c r="I228" s="388">
        <f>IF(H228,Wh_hp,'2019'!Maxi_hp)</f>
        <v>56.407154558267514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1.0731868103535658E-2</v>
      </c>
      <c r="M228" s="832"/>
      <c r="N228" s="832"/>
      <c r="O228" s="48">
        <f>IF(t&lt;Tnet,'2019'!Resal+('2019'!Salim-'2019'!Resal)*(1-EXP(('2019'!Tnet-t)/('2019'!Tau_j))),Resal+(Salim-Resal)*(1-EXP((Tnet-t)/(Tau_j))))*Salcycl</f>
        <v>4.2207008421259358E-2</v>
      </c>
      <c r="P228" s="169">
        <f>(INDEX(Models!$BJ228:$BT228,,T228)*(1-R228)+INDEX(Models!$BJ228:$BT228,,T228+1)*R228-ERP_i)*Q228*Ramure*Pc/MaxiM</f>
        <v>8.6211476298780044E-5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56.279348305889044</v>
      </c>
      <c r="W228" s="58"/>
      <c r="X228" s="157">
        <f t="shared" si="84"/>
        <v>44044</v>
      </c>
      <c r="Y228" s="383">
        <f t="shared" si="85"/>
        <v>45.91</v>
      </c>
      <c r="Z228" s="383">
        <f t="shared" si="86"/>
        <v>46.40804501807694</v>
      </c>
      <c r="AA228" s="384">
        <f t="shared" si="87"/>
        <v>48.453105656559515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4.2207008421259358E-2</v>
      </c>
      <c r="AD228" s="230">
        <f>(INDEX(Models!$BJ228:$BT228,,AH228)*(1-AF228)+INDEX(Models!$BJ228:$BT228,,AH228+1)*AF228-ERP_i)*AE228*Ramure*Pc/MaxiM</f>
        <v>8.6211476298780044E-5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34.630000000000003</v>
      </c>
      <c r="C229" s="388"/>
      <c r="D229" s="391">
        <f t="shared" si="75"/>
        <v>35.006347189594379</v>
      </c>
      <c r="E229" s="383">
        <f t="shared" si="73"/>
        <v>36.551130241308726</v>
      </c>
      <c r="F229" s="383">
        <f t="shared" si="76"/>
        <v>36.552589188790996</v>
      </c>
      <c r="G229" s="110">
        <f t="shared" si="74"/>
        <v>0.61677646070667047</v>
      </c>
      <c r="H229" s="412" t="b">
        <f>Wh_hp&gt;='2019'!Maxi_hp</f>
        <v>0</v>
      </c>
      <c r="I229" s="388">
        <f>IF(H229,Wh_hp,'2019'!Maxi_hp)</f>
        <v>56.932913500318811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1.0750827201595148E-2</v>
      </c>
      <c r="M229" s="832"/>
      <c r="N229" s="832"/>
      <c r="O229" s="48">
        <f>IF(t&lt;Tnet,'2019'!Resal+('2019'!Salim-'2019'!Resal)*(1-EXP(('2019'!Tnet-t)/('2019'!Tau_j))),Resal+(Salim-Resal)*(1-EXP((Tnet-t)/(Tau_j))))*Salcycl</f>
        <v>4.2263619251053701E-2</v>
      </c>
      <c r="P229" s="169">
        <f>(INDEX(Models!$BJ229:$BT229,,T229)*(1-R229)+INDEX(Models!$BJ229:$BT229,,T229+1)*R229-ERP_i)*Q229*Ramure*Pc/MaxiM</f>
        <v>8.8191316662139784E-5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56.144049398730751</v>
      </c>
      <c r="W229" s="58"/>
      <c r="X229" s="157">
        <f t="shared" si="84"/>
        <v>44045</v>
      </c>
      <c r="Y229" s="383">
        <f t="shared" si="85"/>
        <v>34.630000000000003</v>
      </c>
      <c r="Z229" s="383">
        <f t="shared" si="86"/>
        <v>35.006347189594379</v>
      </c>
      <c r="AA229" s="384">
        <f t="shared" si="87"/>
        <v>36.551130241308726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4.2263619251053701E-2</v>
      </c>
      <c r="AD229" s="230">
        <f>(INDEX(Models!$BJ229:$BT229,,AH229)*(1-AF229)+INDEX(Models!$BJ229:$BT229,,AH229+1)*AF229-ERP_i)*AE229*Ramure*Pc/MaxiM</f>
        <v>8.8191316662139784E-5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47.789000000000001</v>
      </c>
      <c r="C230" s="388"/>
      <c r="D230" s="391">
        <f t="shared" si="75"/>
        <v>48.309280610916602</v>
      </c>
      <c r="E230" s="383">
        <f t="shared" si="73"/>
        <v>50.44407740420003</v>
      </c>
      <c r="F230" s="383">
        <f t="shared" si="76"/>
        <v>50.447675091739939</v>
      </c>
      <c r="G230" s="110">
        <f t="shared" si="74"/>
        <v>0.85326207887937122</v>
      </c>
      <c r="H230" s="412" t="b">
        <f>Wh_hp&gt;='2019'!Maxi_hp</f>
        <v>0</v>
      </c>
      <c r="I230" s="388">
        <f>IF(H230,Wh_hp,'2019'!Maxi_hp)</f>
        <v>54.159308534997784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1.0769785936307841E-2</v>
      </c>
      <c r="M230" s="832"/>
      <c r="N230" s="832"/>
      <c r="O230" s="48">
        <f>IF(t&lt;Tnet,'2019'!Resal+('2019'!Salim-'2019'!Resal)*(1-EXP(('2019'!Tnet-t)/('2019'!Tau_j))),Resal+(Salim-Resal)*(1-EXP((Tnet-t)/(Tau_j))))*Salcycl</f>
        <v>4.2320068145515893E-2</v>
      </c>
      <c r="P230" s="169">
        <f>(INDEX(Models!$BJ230:$BT230,,T230)*(1-R230)+INDEX(Models!$BJ230:$BT230,,T230+1)*R230-ERP_i)*Q230*Ramure*Pc/MaxiM</f>
        <v>9.0227049050285604E-5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56.006351789795353</v>
      </c>
      <c r="W230" s="58"/>
      <c r="X230" s="157">
        <f t="shared" si="84"/>
        <v>44046</v>
      </c>
      <c r="Y230" s="383">
        <f t="shared" si="85"/>
        <v>47.789000000000001</v>
      </c>
      <c r="Z230" s="383">
        <f t="shared" si="86"/>
        <v>48.309280610916602</v>
      </c>
      <c r="AA230" s="384">
        <f t="shared" si="87"/>
        <v>50.44407740420003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4.2320068145515893E-2</v>
      </c>
      <c r="AD230" s="230">
        <f>(INDEX(Models!$BJ230:$BT230,,AH230)*(1-AF230)+INDEX(Models!$BJ230:$BT230,,AH230+1)*AF230-ERP_i)*AE230*Ramure*Pc/MaxiM</f>
        <v>9.0227049050285604E-5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54.463000000000001</v>
      </c>
      <c r="C231" s="388"/>
      <c r="D231" s="391">
        <f t="shared" si="75"/>
        <v>55.056995850580954</v>
      </c>
      <c r="E231" s="383">
        <f t="shared" si="73"/>
        <v>57.493354890298924</v>
      </c>
      <c r="F231" s="383">
        <f t="shared" si="76"/>
        <v>57.498472641811972</v>
      </c>
      <c r="G231" s="110">
        <f t="shared" si="74"/>
        <v>0.97487864237027377</v>
      </c>
      <c r="H231" s="412" t="b">
        <f>Wh_hp&gt;='2019'!Maxi_hp</f>
        <v>1</v>
      </c>
      <c r="I231" s="388">
        <f>IF(H231,Wh_hp,'2019'!Maxi_hp)</f>
        <v>57.498472641811972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1.078874430768062E-2</v>
      </c>
      <c r="M231" s="832"/>
      <c r="N231" s="832"/>
      <c r="O231" s="48">
        <f>IF(t&lt;Tnet,'2019'!Resal+('2019'!Salim-'2019'!Resal)*(1-EXP(('2019'!Tnet-t)/('2019'!Tau_j))),Resal+(Salim-Resal)*(1-EXP((Tnet-t)/(Tau_j))))*Salcycl</f>
        <v>4.2376358874285598E-2</v>
      </c>
      <c r="P231" s="169">
        <f>(INDEX(Models!$BJ231:$BT231,,T231)*(1-R231)+INDEX(Models!$BJ231:$BT231,,T231+1)*R231-ERP_i)*Q231*Ramure*Pc/MaxiM</f>
        <v>9.231944056234482E-5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55.866255754484499</v>
      </c>
      <c r="W231" s="58"/>
      <c r="X231" s="157">
        <f t="shared" si="84"/>
        <v>44047</v>
      </c>
      <c r="Y231" s="383">
        <f t="shared" si="85"/>
        <v>54.463000000000001</v>
      </c>
      <c r="Z231" s="383">
        <f t="shared" si="86"/>
        <v>55.056995850580954</v>
      </c>
      <c r="AA231" s="384">
        <f t="shared" si="87"/>
        <v>57.493354890298924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4.2376358874285598E-2</v>
      </c>
      <c r="AD231" s="230">
        <f>(INDEX(Models!$BJ231:$BT231,,AH231)*(1-AF231)+INDEX(Models!$BJ231:$BT231,,AH231+1)*AF231-ERP_i)*AE231*Ramure*Pc/MaxiM</f>
        <v>9.231944056234482E-5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55.325000000000003</v>
      </c>
      <c r="C232" s="388"/>
      <c r="D232" s="391">
        <f t="shared" si="75"/>
        <v>55.929469052192403</v>
      </c>
      <c r="E232" s="383">
        <f t="shared" si="73"/>
        <v>58.407860250687619</v>
      </c>
      <c r="F232" s="383">
        <f t="shared" si="76"/>
        <v>58.413322100606401</v>
      </c>
      <c r="G232" s="110">
        <f t="shared" si="74"/>
        <v>0.99284299832965006</v>
      </c>
      <c r="H232" s="412" t="b">
        <f>Wh_hp&gt;='2019'!Maxi_hp</f>
        <v>1</v>
      </c>
      <c r="I232" s="388">
        <f>IF(H232,Wh_hp,'2019'!Maxi_hp)</f>
        <v>58.413322100606401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1.0807702315720591E-2</v>
      </c>
      <c r="M232" s="832"/>
      <c r="N232" s="832"/>
      <c r="O232" s="48">
        <f>IF(t&lt;Tnet,'2019'!Resal+('2019'!Salim-'2019'!Resal)*(1-EXP(('2019'!Tnet-t)/('2019'!Tau_j))),Resal+(Salim-Resal)*(1-EXP((Tnet-t)/(Tau_j))))*Salcycl</f>
        <v>4.2432494322817454E-2</v>
      </c>
      <c r="P232" s="169">
        <f>(INDEX(Models!$BJ232:$BT232,,T232)*(1-R232)+INDEX(Models!$BJ232:$BT232,,T232+1)*R232-ERP_i)*Q232*Ramure*Pc/MaxiM</f>
        <v>9.4469248934799809E-5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55.72376161979826</v>
      </c>
      <c r="W232" s="58"/>
      <c r="X232" s="157">
        <f t="shared" si="84"/>
        <v>44048</v>
      </c>
      <c r="Y232" s="383">
        <f t="shared" si="85"/>
        <v>55.325000000000003</v>
      </c>
      <c r="Z232" s="383">
        <f t="shared" si="86"/>
        <v>55.929469052192403</v>
      </c>
      <c r="AA232" s="384">
        <f t="shared" si="87"/>
        <v>58.407860250687619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4.2432494322817454E-2</v>
      </c>
      <c r="AD232" s="230">
        <f>(INDEX(Models!$BJ232:$BT232,,AH232)*(1-AF232)+INDEX(Models!$BJ232:$BT232,,AH232+1)*AF232-ERP_i)*AE232*Ramure*Pc/MaxiM</f>
        <v>9.4469248934799809E-5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53.555999999999997</v>
      </c>
      <c r="C233" s="388"/>
      <c r="D233" s="391">
        <f t="shared" si="75"/>
        <v>54.142178961129147</v>
      </c>
      <c r="E233" s="383">
        <f t="shared" ref="E233:E296" si="97">Wh_pvt/(1-Psa)</f>
        <v>56.544676104577498</v>
      </c>
      <c r="F233" s="383">
        <f t="shared" si="76"/>
        <v>56.549858824776372</v>
      </c>
      <c r="G233" s="110">
        <f t="shared" ref="G233:G296" si="98">+Wh_hp/MaxiM</f>
        <v>0.96359096227409013</v>
      </c>
      <c r="H233" s="412" t="b">
        <f>Wh_hp&gt;='2019'!Maxi_hp</f>
        <v>1</v>
      </c>
      <c r="I233" s="388">
        <f>IF(H233,Wh_hp,'2019'!Maxi_hp)</f>
        <v>56.549858824776372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1.0826659960434748E-2</v>
      </c>
      <c r="M233" s="832"/>
      <c r="N233" s="832"/>
      <c r="O233" s="48">
        <f>IF(t&lt;Tnet,'2019'!Resal+('2019'!Salim-'2019'!Resal)*(1-EXP(('2019'!Tnet-t)/('2019'!Tau_j))),Resal+(Salim-Resal)*(1-EXP((Tnet-t)/(Tau_j))))*Salcycl</f>
        <v>4.2488476527923029E-2</v>
      </c>
      <c r="P233" s="169">
        <f>(INDEX(Models!$BJ233:$BT233,,T233)*(1-R233)+INDEX(Models!$BJ233:$BT233,,T233+1)*R233-ERP_i)*Q233*Ramure*Pc/MaxiM</f>
        <v>9.667643886339275E-5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55.579320277705953</v>
      </c>
      <c r="W233" s="58"/>
      <c r="X233" s="157">
        <f t="shared" si="84"/>
        <v>44049</v>
      </c>
      <c r="Y233" s="383">
        <f t="shared" si="85"/>
        <v>53.555999999999997</v>
      </c>
      <c r="Z233" s="383">
        <f t="shared" si="86"/>
        <v>54.142178961129147</v>
      </c>
      <c r="AA233" s="384">
        <f t="shared" si="87"/>
        <v>56.544676104577498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4.2488476527923029E-2</v>
      </c>
      <c r="AD233" s="230">
        <f>(INDEX(Models!$BJ233:$BT233,,AH233)*(1-AF233)+INDEX(Models!$BJ233:$BT233,,AH233+1)*AF233-ERP_i)*AE233*Ramure*Pc/MaxiM</f>
        <v>9.667643886339275E-5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51.975999999999999</v>
      </c>
      <c r="C234" s="388"/>
      <c r="D234" s="391">
        <f t="shared" si="75"/>
        <v>52.545892639194996</v>
      </c>
      <c r="E234" s="383">
        <f t="shared" si="97"/>
        <v>54.880756371093099</v>
      </c>
      <c r="F234" s="383">
        <f t="shared" si="76"/>
        <v>54.885705172557358</v>
      </c>
      <c r="G234" s="110">
        <f t="shared" si="98"/>
        <v>0.9376240711460978</v>
      </c>
      <c r="H234" s="412" t="b">
        <f>Wh_hp&gt;='2019'!Maxi_hp</f>
        <v>0</v>
      </c>
      <c r="I234" s="388">
        <f>IF(H234,Wh_hp,'2019'!Maxi_hp)</f>
        <v>55.078662974016289</v>
      </c>
      <c r="J234" s="85">
        <f>IF(H234,An,'2019'!An_max)</f>
        <v>2018</v>
      </c>
      <c r="K234" s="197">
        <f t="shared" si="77"/>
        <v>44050</v>
      </c>
      <c r="L234" s="147">
        <f>IF(t&lt;Tvie,1-EXP((T0-t)*PertePVj)+'2019'!Pspv,1-EXP((T0-t)*PertePVj)+Pspv)</f>
        <v>1.0845617241829864E-2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4.2544306716733343E-2</v>
      </c>
      <c r="P234" s="169">
        <f>(INDEX(Models!$BJ234:$BT234,,T234)*(1-R234)+INDEX(Models!$BJ234:$BT234,,T234+1)*R234-ERP_i)*Q234*Ramure*Pc/MaxiM</f>
        <v>9.8984794585073573E-5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55.433241499078335</v>
      </c>
      <c r="W234" s="58"/>
      <c r="X234" s="157">
        <f t="shared" si="84"/>
        <v>44050</v>
      </c>
      <c r="Y234" s="383">
        <f t="shared" si="85"/>
        <v>51.975999999999999</v>
      </c>
      <c r="Z234" s="383">
        <f t="shared" si="86"/>
        <v>52.545892639194996</v>
      </c>
      <c r="AA234" s="384">
        <f t="shared" si="87"/>
        <v>54.880756371093099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4.2544306716733343E-2</v>
      </c>
      <c r="AD234" s="230">
        <f>(INDEX(Models!$BJ234:$BT234,,AH234)*(1-AF234)+INDEX(Models!$BJ234:$BT234,,AH234+1)*AF234-ERP_i)*AE234*Ramure*Pc/MaxiM</f>
        <v>9.8984794585073573E-5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50.381999999999998</v>
      </c>
      <c r="C235" s="388"/>
      <c r="D235" s="391">
        <f t="shared" si="75"/>
        <v>50.935391336540029</v>
      </c>
      <c r="E235" s="383">
        <f t="shared" si="97"/>
        <v>53.201786669154032</v>
      </c>
      <c r="F235" s="383">
        <f t="shared" si="76"/>
        <v>53.206498813061685</v>
      </c>
      <c r="G235" s="110">
        <f t="shared" si="98"/>
        <v>0.91129716782412284</v>
      </c>
      <c r="H235" s="412" t="b">
        <f>Wh_hp&gt;='2019'!Maxi_hp</f>
        <v>1</v>
      </c>
      <c r="I235" s="388">
        <f>IF(H235,Wh_hp,'2019'!Maxi_hp)</f>
        <v>53.206498813061685</v>
      </c>
      <c r="J235" s="85">
        <f>IF(H235,An,'2019'!An_max)</f>
        <v>2020</v>
      </c>
      <c r="K235" s="197">
        <f t="shared" si="77"/>
        <v>44051</v>
      </c>
      <c r="L235" s="147">
        <f>IF(t&lt;Tvie,1-EXP((T0-t)*PertePVj)+'2019'!Pspv,1-EXP((T0-t)*PertePVj)+Pspv)</f>
        <v>1.0864574159913043E-2</v>
      </c>
      <c r="M235" s="832"/>
      <c r="N235" s="832"/>
      <c r="O235" s="48">
        <f>IF(t&lt;Tnet,'2019'!Resal+('2019'!Salim-'2019'!Resal)*(1-EXP(('2019'!Tnet-t)/('2019'!Tau_j))),Resal+(Salim-Resal)*(1-EXP((Tnet-t)/(Tau_j))))*Salcycl</f>
        <v>4.2599985348387617E-2</v>
      </c>
      <c r="P235" s="169">
        <f>(INDEX(Models!$BJ235:$BT235,,T235)*(1-R235)+INDEX(Models!$BJ235:$BT235,,T235+1)*R235-ERP_i)*Q235*Ramure*Pc/MaxiM</f>
        <v>1.0141243257504989E-4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55.285316752062521</v>
      </c>
      <c r="W235" s="58"/>
      <c r="X235" s="157">
        <f t="shared" si="84"/>
        <v>44051</v>
      </c>
      <c r="Y235" s="383">
        <f t="shared" si="85"/>
        <v>50.381999999999998</v>
      </c>
      <c r="Z235" s="383">
        <f t="shared" si="86"/>
        <v>50.935391336540029</v>
      </c>
      <c r="AA235" s="384">
        <f t="shared" si="87"/>
        <v>53.201786669154032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4.2599985348387617E-2</v>
      </c>
      <c r="AD235" s="230">
        <f>(INDEX(Models!$BJ235:$BT235,,AH235)*(1-AF235)+INDEX(Models!$BJ235:$BT235,,AH235+1)*AF235-ERP_i)*AE235*Ramure*Pc/MaxiM</f>
        <v>1.0141243257504989E-4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40.457999999999998</v>
      </c>
      <c r="C236" s="388"/>
      <c r="D236" s="391">
        <f t="shared" si="75"/>
        <v>40.903170917003472</v>
      </c>
      <c r="E236" s="383">
        <f t="shared" si="97"/>
        <v>42.725655640629974</v>
      </c>
      <c r="F236" s="383">
        <f t="shared" si="76"/>
        <v>42.72840843450151</v>
      </c>
      <c r="G236" s="110">
        <f t="shared" si="98"/>
        <v>0.73376533892466589</v>
      </c>
      <c r="H236" s="412" t="b">
        <f>Wh_hp&gt;='2019'!Maxi_hp</f>
        <v>1</v>
      </c>
      <c r="I236" s="388">
        <f>IF(H236,Wh_hp,'2019'!Maxi_hp)</f>
        <v>42.72840843450151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1.0883530714691281E-2</v>
      </c>
      <c r="M236" s="832"/>
      <c r="N236" s="832"/>
      <c r="O236" s="48">
        <f>IF(t&lt;Tnet,'2019'!Resal+('2019'!Salim-'2019'!Resal)*(1-EXP(('2019'!Tnet-t)/('2019'!Tau_j))),Resal+(Salim-Resal)*(1-EXP((Tnet-t)/(Tau_j))))*Salcycl</f>
        <v>4.2655512157744623E-2</v>
      </c>
      <c r="P236" s="169">
        <f>(INDEX(Models!$BJ236:$BT236,,T236)*(1-R236)+INDEX(Models!$BJ236:$BT236,,T236+1)*R236-ERP_i)*Q236*Ramure*Pc/MaxiM</f>
        <v>1.0396116157588532E-4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55.135338523220398</v>
      </c>
      <c r="W236" s="58"/>
      <c r="X236" s="157">
        <f t="shared" si="84"/>
        <v>44052</v>
      </c>
      <c r="Y236" s="383">
        <f t="shared" si="85"/>
        <v>40.457999999999998</v>
      </c>
      <c r="Z236" s="383">
        <f t="shared" si="86"/>
        <v>40.903170917003472</v>
      </c>
      <c r="AA236" s="384">
        <f t="shared" si="87"/>
        <v>42.725655640629974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4.2655512157744623E-2</v>
      </c>
      <c r="AD236" s="230">
        <f>(INDEX(Models!$BJ236:$BT236,,AH236)*(1-AF236)+INDEX(Models!$BJ236:$BT236,,AH236+1)*AF236-ERP_i)*AE236*Ramure*Pc/MaxiM</f>
        <v>1.0396116157588532E-4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36.767000000000003</v>
      </c>
      <c r="C237" s="388"/>
      <c r="D237" s="391">
        <f t="shared" si="75"/>
        <v>37.17227018900833</v>
      </c>
      <c r="E237" s="383">
        <f t="shared" si="97"/>
        <v>38.830766644224511</v>
      </c>
      <c r="F237" s="383">
        <f t="shared" si="76"/>
        <v>38.832947676296747</v>
      </c>
      <c r="G237" s="110">
        <f t="shared" si="98"/>
        <v>0.6686626386372545</v>
      </c>
      <c r="H237" s="412" t="b">
        <f>Wh_hp&gt;='2019'!Maxi_hp</f>
        <v>1</v>
      </c>
      <c r="I237" s="388">
        <f>IF(H237,Wh_hp,'2019'!Maxi_hp)</f>
        <v>38.832947676296747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1.0902486906171349E-2</v>
      </c>
      <c r="M237" s="832"/>
      <c r="N237" s="832"/>
      <c r="O237" s="48">
        <f>IF(t&lt;Tnet,'2019'!Resal+('2019'!Salim-'2019'!Resal)*(1-EXP(('2019'!Tnet-t)/('2019'!Tau_j))),Resal+(Salim-Resal)*(1-EXP((Tnet-t)/(Tau_j))))*Salcycl</f>
        <v>4.2710886200410782E-2</v>
      </c>
      <c r="P237" s="169">
        <f>(INDEX(Models!$BJ237:$BT237,,T237)*(1-R237)+INDEX(Models!$BJ237:$BT237,,T237+1)*R237-ERP_i)*Q237*Ramure*Pc/MaxiM</f>
        <v>1.0663280922050743E-4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54.983099401839681</v>
      </c>
      <c r="W237" s="58"/>
      <c r="X237" s="157">
        <f t="shared" si="84"/>
        <v>44053</v>
      </c>
      <c r="Y237" s="383">
        <f t="shared" si="85"/>
        <v>36.767000000000003</v>
      </c>
      <c r="Z237" s="383">
        <f t="shared" si="86"/>
        <v>37.17227018900833</v>
      </c>
      <c r="AA237" s="384">
        <f t="shared" si="87"/>
        <v>38.830766644224511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4.2710886200410782E-2</v>
      </c>
      <c r="AD237" s="230">
        <f>(INDEX(Models!$BJ237:$BT237,,AH237)*(1-AF237)+INDEX(Models!$BJ237:$BT237,,AH237+1)*AF237-ERP_i)*AE237*Ramure*Pc/MaxiM</f>
        <v>1.0663280922050743E-4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42.232999999999997</v>
      </c>
      <c r="C238" s="388"/>
      <c r="D238" s="391">
        <f t="shared" si="75"/>
        <v>42.699338378900229</v>
      </c>
      <c r="E238" s="383">
        <f t="shared" si="97"/>
        <v>44.607006335661112</v>
      </c>
      <c r="F238" s="383">
        <f t="shared" si="76"/>
        <v>44.610285953281704</v>
      </c>
      <c r="G238" s="110">
        <f t="shared" si="98"/>
        <v>0.7702484353133191</v>
      </c>
      <c r="H238" s="412" t="b">
        <f>Wh_hp&gt;='2019'!Maxi_hp</f>
        <v>1</v>
      </c>
      <c r="I238" s="388">
        <f>IF(H238,Wh_hp,'2019'!Maxi_hp)</f>
        <v>44.610285953281704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1.0921442734360354E-2</v>
      </c>
      <c r="M238" s="832"/>
      <c r="N238" s="832"/>
      <c r="O238" s="48">
        <f>IF(t&lt;Tnet,'2019'!Resal+('2019'!Salim-'2019'!Resal)*(1-EXP(('2019'!Tnet-t)/('2019'!Tau_j))),Resal+(Salim-Resal)*(1-EXP((Tnet-t)/(Tau_j))))*Salcycl</f>
        <v>4.2766105898386593E-2</v>
      </c>
      <c r="P238" s="169">
        <f>(INDEX(Models!$BJ238:$BT238,,T238)*(1-R238)+INDEX(Models!$BJ238:$BT238,,T238+1)*R238-ERP_i)*Q238*Ramure*Pc/MaxiM</f>
        <v>1.0942922826807617E-4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54.828392080057874</v>
      </c>
      <c r="W238" s="58"/>
      <c r="X238" s="157">
        <f t="shared" si="84"/>
        <v>44054</v>
      </c>
      <c r="Y238" s="383">
        <f t="shared" si="85"/>
        <v>42.232999999999997</v>
      </c>
      <c r="Z238" s="383">
        <f t="shared" si="86"/>
        <v>42.699338378900229</v>
      </c>
      <c r="AA238" s="384">
        <f t="shared" si="87"/>
        <v>44.607006335661112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4.2766105898386593E-2</v>
      </c>
      <c r="AD238" s="230">
        <f>(INDEX(Models!$BJ238:$BT238,,AH238)*(1-AF238)+INDEX(Models!$BJ238:$BT238,,AH238+1)*AF238-ERP_i)*AE238*Ramure*Pc/MaxiM</f>
        <v>1.0942922826807617E-4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28.698</v>
      </c>
      <c r="C239" s="388"/>
      <c r="D239" s="391">
        <f t="shared" si="75"/>
        <v>29.015440472698398</v>
      </c>
      <c r="E239" s="383">
        <f t="shared" si="97"/>
        <v>30.313499980960902</v>
      </c>
      <c r="F239" s="383">
        <f t="shared" si="76"/>
        <v>30.314594358288005</v>
      </c>
      <c r="G239" s="110">
        <f t="shared" si="98"/>
        <v>0.52488168765240806</v>
      </c>
      <c r="H239" s="412" t="b">
        <f>Wh_hp&gt;='2019'!Maxi_hp</f>
        <v>0</v>
      </c>
      <c r="I239" s="388">
        <f>IF(H239,Wh_hp,'2019'!Maxi_hp)</f>
        <v>49.870847104426645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1.0940398199265289E-2</v>
      </c>
      <c r="M239" s="832"/>
      <c r="N239" s="832"/>
      <c r="O239" s="48">
        <f>IF(t&lt;Tnet,'2019'!Resal+('2019'!Salim-'2019'!Resal)*(1-EXP(('2019'!Tnet-t)/('2019'!Tau_j))),Resal+(Salim-Resal)*(1-EXP((Tnet-t)/(Tau_j))))*Salcycl</f>
        <v>4.2821169085647745E-2</v>
      </c>
      <c r="P239" s="169">
        <f>(INDEX(Models!$BJ239:$BT239,,T239)*(1-R239)+INDEX(Models!$BJ239:$BT239,,T239+1)*R239-ERP_i)*Q239*Ramure*Pc/MaxiM</f>
        <v>1.1235230297021005E-4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54.671009347140405</v>
      </c>
      <c r="W239" s="58"/>
      <c r="X239" s="157">
        <f t="shared" si="84"/>
        <v>44055</v>
      </c>
      <c r="Y239" s="383">
        <f t="shared" si="85"/>
        <v>28.698</v>
      </c>
      <c r="Z239" s="383">
        <f t="shared" si="86"/>
        <v>29.015440472698398</v>
      </c>
      <c r="AA239" s="384">
        <f t="shared" si="87"/>
        <v>30.313499980960902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4.2821169085647745E-2</v>
      </c>
      <c r="AD239" s="230">
        <f>(INDEX(Models!$BJ239:$BT239,,AH239)*(1-AF239)+INDEX(Models!$BJ239:$BT239,,AH239+1)*AF239-ERP_i)*AE239*Ramure*Pc/MaxiM</f>
        <v>1.1235230297021005E-4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16.992999999999999</v>
      </c>
      <c r="C240" s="388"/>
      <c r="D240" s="391">
        <f t="shared" si="75"/>
        <v>17.18129589184592</v>
      </c>
      <c r="E240" s="383">
        <f t="shared" si="97"/>
        <v>17.950962679044316</v>
      </c>
      <c r="F240" s="383">
        <f t="shared" si="76"/>
        <v>17.950997431473731</v>
      </c>
      <c r="G240" s="110">
        <f t="shared" si="98"/>
        <v>0.3117013374006074</v>
      </c>
      <c r="H240" s="412" t="b">
        <f>Wh_hp&gt;='2019'!Maxi_hp</f>
        <v>0</v>
      </c>
      <c r="I240" s="388">
        <f>IF(H240,Wh_hp,'2019'!Maxi_hp)</f>
        <v>56.99494858795164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1.0959353300893038E-2</v>
      </c>
      <c r="M240" s="832"/>
      <c r="N240" s="832"/>
      <c r="O240" s="48">
        <f>IF(t&lt;Tnet,'2019'!Resal+('2019'!Salim-'2019'!Resal)*(1-EXP(('2019'!Tnet-t)/('2019'!Tau_j))),Resal+(Salim-Resal)*(1-EXP((Tnet-t)/(Tau_j))))*Salcycl</f>
        <v>4.2876073053000785E-2</v>
      </c>
      <c r="P240" s="169">
        <f>(INDEX(Models!$BJ240:$BT240,,T240)*(1-R240)+INDEX(Models!$BJ240:$BT240,,T240+1)*R240-ERP_i)*Q240*Ramure*Pc/MaxiM</f>
        <v>1.1546425829665023E-4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54.510740799518452</v>
      </c>
      <c r="W240" s="58"/>
      <c r="X240" s="157">
        <f t="shared" si="84"/>
        <v>44056</v>
      </c>
      <c r="Y240" s="383">
        <f t="shared" si="85"/>
        <v>16.992999999999999</v>
      </c>
      <c r="Z240" s="383">
        <f t="shared" si="86"/>
        <v>17.18129589184592</v>
      </c>
      <c r="AA240" s="384">
        <f t="shared" si="87"/>
        <v>17.950962679044316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4.2876073053000785E-2</v>
      </c>
      <c r="AD240" s="230">
        <f>(INDEX(Models!$BJ240:$BT240,,AH240)*(1-AF240)+INDEX(Models!$BJ240:$BT240,,AH240+1)*AF240-ERP_i)*AE240*Ramure*Pc/MaxiM</f>
        <v>1.1546425829665023E-4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47.960999999999999</v>
      </c>
      <c r="C241" s="388"/>
      <c r="D241" s="391">
        <f t="shared" si="75"/>
        <v>48.493375210928534</v>
      </c>
      <c r="E241" s="383">
        <f t="shared" si="97"/>
        <v>50.668620357090148</v>
      </c>
      <c r="F241" s="383">
        <f t="shared" si="76"/>
        <v>50.673625731633024</v>
      </c>
      <c r="G241" s="110">
        <f t="shared" si="98"/>
        <v>0.88247200956045702</v>
      </c>
      <c r="H241" s="412" t="b">
        <f>Wh_hp&gt;='2019'!Maxi_hp</f>
        <v>1</v>
      </c>
      <c r="I241" s="388">
        <f>IF(H241,Wh_hp,'2019'!Maxi_hp)</f>
        <v>50.673625731633024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1.0978308039250595E-2</v>
      </c>
      <c r="M241" s="832"/>
      <c r="N241" s="832"/>
      <c r="O241" s="48">
        <f>IF(t&lt;Tnet,'2019'!Resal+('2019'!Salim-'2019'!Resal)*(1-EXP(('2019'!Tnet-t)/('2019'!Tau_j))),Resal+(Salim-Resal)*(1-EXP((Tnet-t)/(Tau_j))))*Salcycl</f>
        <v>4.2930814591584265E-2</v>
      </c>
      <c r="P241" s="169">
        <f>(INDEX(Models!$BJ241:$BT241,,T241)*(1-R241)+INDEX(Models!$BJ241:$BT241,,T241+1)*R241-ERP_i)*Q241*Ramure*Pc/MaxiM</f>
        <v>1.1870375784803206E-4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54.347382880524407</v>
      </c>
      <c r="W241" s="58"/>
      <c r="X241" s="157">
        <f t="shared" si="84"/>
        <v>44057</v>
      </c>
      <c r="Y241" s="383">
        <f t="shared" si="85"/>
        <v>47.960999999999999</v>
      </c>
      <c r="Z241" s="383">
        <f t="shared" si="86"/>
        <v>48.493375210928534</v>
      </c>
      <c r="AA241" s="384">
        <f t="shared" si="87"/>
        <v>50.668620357090148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4.2930814591584265E-2</v>
      </c>
      <c r="AD241" s="230">
        <f>(INDEX(Models!$BJ241:$BT241,,AH241)*(1-AF241)+INDEX(Models!$BJ241:$BT241,,AH241+1)*AF241-ERP_i)*AE241*Ramure*Pc/MaxiM</f>
        <v>1.1870375784803206E-4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46.070999999999998</v>
      </c>
      <c r="C242" s="388"/>
      <c r="D242" s="391">
        <f t="shared" si="75"/>
        <v>46.583288649400636</v>
      </c>
      <c r="E242" s="383">
        <f t="shared" si="97"/>
        <v>48.675629571711887</v>
      </c>
      <c r="F242" s="383">
        <f t="shared" si="76"/>
        <v>48.680301431247884</v>
      </c>
      <c r="G242" s="110">
        <f t="shared" si="98"/>
        <v>0.85029859247472128</v>
      </c>
      <c r="H242" s="412" t="b">
        <f>Wh_hp&gt;='2019'!Maxi_hp</f>
        <v>0</v>
      </c>
      <c r="I242" s="388">
        <f>IF(H242,Wh_hp,'2019'!Maxi_hp)</f>
        <v>55.891220971481495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1.0997262414344955E-2</v>
      </c>
      <c r="M242" s="832"/>
      <c r="N242" s="832"/>
      <c r="O242" s="48">
        <f>IF(t&lt;Tnet,'2019'!Resal+('2019'!Salim-'2019'!Resal)*(1-EXP(('2019'!Tnet-t)/('2019'!Tau_j))),Resal+(Salim-Resal)*(1-EXP((Tnet-t)/(Tau_j))))*Salcycl</f>
        <v>4.2985390034425433E-2</v>
      </c>
      <c r="P242" s="169">
        <f>(INDEX(Models!$BJ242:$BT242,,T242)*(1-R242)+INDEX(Models!$BJ242:$BT242,,T242+1)*R242-ERP_i)*Q242*Ramure*Pc/MaxiM</f>
        <v>1.2207272465981724E-4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54.180728657077736</v>
      </c>
      <c r="W242" s="58"/>
      <c r="X242" s="157">
        <f t="shared" si="84"/>
        <v>44058</v>
      </c>
      <c r="Y242" s="383">
        <f t="shared" si="85"/>
        <v>46.070999999999998</v>
      </c>
      <c r="Z242" s="383">
        <f t="shared" si="86"/>
        <v>46.583288649400636</v>
      </c>
      <c r="AA242" s="384">
        <f t="shared" si="87"/>
        <v>48.675629571711887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4.2985390034425433E-2</v>
      </c>
      <c r="AD242" s="230">
        <f>(INDEX(Models!$BJ242:$BT242,,AH242)*(1-AF242)+INDEX(Models!$BJ242:$BT242,,AH242+1)*AF242-ERP_i)*AE242*Ramure*Pc/MaxiM</f>
        <v>1.2207272465981724E-4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18.710999999999999</v>
      </c>
      <c r="C243" s="388"/>
      <c r="D243" s="391">
        <f t="shared" si="75"/>
        <v>18.919420430116105</v>
      </c>
      <c r="E243" s="383">
        <f t="shared" si="97"/>
        <v>19.770331448587651</v>
      </c>
      <c r="F243" s="383">
        <f t="shared" si="76"/>
        <v>19.770496126510491</v>
      </c>
      <c r="G243" s="110">
        <f t="shared" si="98"/>
        <v>0.34639156358177448</v>
      </c>
      <c r="H243" s="412" t="b">
        <f>Wh_hp&gt;='2019'!Maxi_hp</f>
        <v>0</v>
      </c>
      <c r="I243" s="388">
        <f>IF(H243,Wh_hp,'2019'!Maxi_hp)</f>
        <v>54.973908818601828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1.1016216426183001E-2</v>
      </c>
      <c r="M243" s="832"/>
      <c r="N243" s="832"/>
      <c r="O243" s="48">
        <f>IF(t&lt;Tnet,'2019'!Resal+('2019'!Salim-'2019'!Resal)*(1-EXP(('2019'!Tnet-t)/('2019'!Tau_j))),Resal+(Salim-Resal)*(1-EXP((Tnet-t)/(Tau_j))))*Salcycl</f>
        <v>4.3039795295507548E-2</v>
      </c>
      <c r="P243" s="169">
        <f>(INDEX(Models!$BJ243:$BT243,,T243)*(1-R243)+INDEX(Models!$BJ243:$BT243,,T243+1)*R243-ERP_i)*Q243*Ramure*Pc/MaxiM</f>
        <v>1.2557314457141739E-4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54.010571279617587</v>
      </c>
      <c r="W243" s="58"/>
      <c r="X243" s="157">
        <f t="shared" si="84"/>
        <v>44059</v>
      </c>
      <c r="Y243" s="383">
        <f t="shared" si="85"/>
        <v>18.710999999999999</v>
      </c>
      <c r="Z243" s="383">
        <f t="shared" si="86"/>
        <v>18.919420430116105</v>
      </c>
      <c r="AA243" s="384">
        <f t="shared" si="87"/>
        <v>19.770331448587651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4.3039795295507548E-2</v>
      </c>
      <c r="AD243" s="230">
        <f>(INDEX(Models!$BJ243:$BT243,,AH243)*(1-AF243)+INDEX(Models!$BJ243:$BT243,,AH243+1)*AF243-ERP_i)*AE243*Ramure*Pc/MaxiM</f>
        <v>1.2557314457141739E-4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42.470999999999997</v>
      </c>
      <c r="C244" s="388"/>
      <c r="D244" s="391">
        <f t="shared" si="75"/>
        <v>42.944904323049649</v>
      </c>
      <c r="E244" s="383">
        <f t="shared" si="97"/>
        <v>44.87891755896235</v>
      </c>
      <c r="F244" s="383">
        <f t="shared" si="76"/>
        <v>44.882967764386819</v>
      </c>
      <c r="G244" s="110">
        <f t="shared" si="98"/>
        <v>0.7888548464068329</v>
      </c>
      <c r="H244" s="412" t="b">
        <f>Wh_hp&gt;='2019'!Maxi_hp</f>
        <v>1</v>
      </c>
      <c r="I244" s="388">
        <f>IF(H244,Wh_hp,'2019'!Maxi_hp)</f>
        <v>44.882967764386819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1.1035170074771727E-2</v>
      </c>
      <c r="M244" s="832"/>
      <c r="N244" s="832"/>
      <c r="O244" s="48">
        <f>IF(t&lt;Tnet,'2019'!Resal+('2019'!Salim-'2019'!Resal)*(1-EXP(('2019'!Tnet-t)/('2019'!Tau_j))),Resal+(Salim-Resal)*(1-EXP((Tnet-t)/(Tau_j))))*Salcycl</f>
        <v>4.309402590585594E-2</v>
      </c>
      <c r="P244" s="169">
        <f>(INDEX(Models!$BJ244:$BT244,,T244)*(1-R244)+INDEX(Models!$BJ244:$BT244,,T244+1)*R244-ERP_i)*Q244*Ramure*Pc/MaxiM</f>
        <v>1.2920707304240329E-4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53.836703978867291</v>
      </c>
      <c r="W244" s="58"/>
      <c r="X244" s="157">
        <f t="shared" si="84"/>
        <v>44060</v>
      </c>
      <c r="Y244" s="383">
        <f t="shared" si="85"/>
        <v>42.470999999999997</v>
      </c>
      <c r="Z244" s="383">
        <f t="shared" si="86"/>
        <v>42.944904323049649</v>
      </c>
      <c r="AA244" s="384">
        <f t="shared" si="87"/>
        <v>44.87891755896235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4.309402590585594E-2</v>
      </c>
      <c r="AD244" s="230">
        <f>(INDEX(Models!$BJ244:$BT244,,AH244)*(1-AF244)+INDEX(Models!$BJ244:$BT244,,AH244+1)*AF244-ERP_i)*AE244*Ramure*Pc/MaxiM</f>
        <v>1.2920707304240329E-4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41.753999999999998</v>
      </c>
      <c r="C245" s="388"/>
      <c r="D245" s="391">
        <f t="shared" si="75"/>
        <v>42.22071296951718</v>
      </c>
      <c r="E245" s="383">
        <f t="shared" si="97"/>
        <v>44.124604817830438</v>
      </c>
      <c r="F245" s="383">
        <f t="shared" si="76"/>
        <v>44.128613024470162</v>
      </c>
      <c r="G245" s="110">
        <f t="shared" si="98"/>
        <v>0.77810436738945743</v>
      </c>
      <c r="H245" s="412" t="b">
        <f>Wh_hp&gt;='2019'!Maxi_hp</f>
        <v>1</v>
      </c>
      <c r="I245" s="388">
        <f>IF(H245,Wh_hp,'2019'!Maxi_hp)</f>
        <v>44.128613024470162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1.1054123360118129E-2</v>
      </c>
      <c r="M245" s="832"/>
      <c r="N245" s="832"/>
      <c r="O245" s="48">
        <f>IF(t&lt;Tnet,'2019'!Resal+('2019'!Salim-'2019'!Resal)*(1-EXP(('2019'!Tnet-t)/('2019'!Tau_j))),Resal+(Salim-Resal)*(1-EXP((Tnet-t)/(Tau_j))))*Salcycl</f>
        <v>4.3148077046208731E-2</v>
      </c>
      <c r="P245" s="169">
        <f>(INDEX(Models!$BJ245:$BT245,,T245)*(1-R245)+INDEX(Models!$BJ245:$BT245,,T245+1)*R245-ERP_i)*Q245*Ramure*Pc/MaxiM</f>
        <v>1.3297664216961022E-4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53.658920067227513</v>
      </c>
      <c r="W245" s="58"/>
      <c r="X245" s="157">
        <f t="shared" si="84"/>
        <v>44061</v>
      </c>
      <c r="Y245" s="383">
        <f t="shared" si="85"/>
        <v>41.753999999999998</v>
      </c>
      <c r="Z245" s="383">
        <f t="shared" si="86"/>
        <v>42.22071296951718</v>
      </c>
      <c r="AA245" s="384">
        <f t="shared" si="87"/>
        <v>44.124604817830438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4.3148077046208731E-2</v>
      </c>
      <c r="AD245" s="230">
        <f>(INDEX(Models!$BJ245:$BT245,,AH245)*(1-AF245)+INDEX(Models!$BJ245:$BT245,,AH245+1)*AF245-ERP_i)*AE245*Ramure*Pc/MaxiM</f>
        <v>1.3297664216961022E-4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51.228999999999999</v>
      </c>
      <c r="C246" s="388"/>
      <c r="D246" s="391">
        <f t="shared" si="75"/>
        <v>51.802614299760137</v>
      </c>
      <c r="E246" s="383">
        <f t="shared" si="97"/>
        <v>54.141638302825697</v>
      </c>
      <c r="F246" s="383">
        <f t="shared" si="76"/>
        <v>54.148605267577729</v>
      </c>
      <c r="G246" s="110">
        <f t="shared" si="98"/>
        <v>0.95795512919223502</v>
      </c>
      <c r="H246" s="412" t="b">
        <f>Wh_hp&gt;='2019'!Maxi_hp</f>
        <v>1</v>
      </c>
      <c r="I246" s="388">
        <f>IF(H246,Wh_hp,'2019'!Maxi_hp)</f>
        <v>54.148605267577729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1.1073076282229088E-2</v>
      </c>
      <c r="M246" s="832"/>
      <c r="N246" s="832"/>
      <c r="O246" s="48">
        <f>IF(t&lt;Tnet,'2019'!Resal+('2019'!Salim-'2019'!Resal)*(1-EXP(('2019'!Tnet-t)/('2019'!Tau_j))),Resal+(Salim-Resal)*(1-EXP((Tnet-t)/(Tau_j))))*Salcycl</f>
        <v>4.3201943575901777E-2</v>
      </c>
      <c r="P246" s="169">
        <f>(INDEX(Models!$BJ246:$BT246,,T246)*(1-R246)+INDEX(Models!$BJ246:$BT246,,T246+1)*R246-ERP_i)*Q246*Ramure*Pc/MaxiM</f>
        <v>1.3688406795429013E-4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53.477012928950593</v>
      </c>
      <c r="W246" s="58"/>
      <c r="X246" s="157">
        <f t="shared" si="84"/>
        <v>44062</v>
      </c>
      <c r="Y246" s="383">
        <f t="shared" si="85"/>
        <v>51.228999999999999</v>
      </c>
      <c r="Z246" s="383">
        <f t="shared" si="86"/>
        <v>51.802614299760137</v>
      </c>
      <c r="AA246" s="384">
        <f t="shared" si="87"/>
        <v>54.141638302825697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4.3201943575901777E-2</v>
      </c>
      <c r="AD246" s="230">
        <f>(INDEX(Models!$BJ246:$BT246,,AH246)*(1-AF246)+INDEX(Models!$BJ246:$BT246,,AH246+1)*AF246-ERP_i)*AE246*Ramure*Pc/MaxiM</f>
        <v>1.3688406795429013E-4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51.607999999999997</v>
      </c>
      <c r="C247" s="388"/>
      <c r="D247" s="391">
        <f t="shared" si="75"/>
        <v>52.186858135566709</v>
      </c>
      <c r="E247" s="383">
        <f t="shared" si="97"/>
        <v>54.546291809638994</v>
      </c>
      <c r="F247" s="383">
        <f t="shared" si="76"/>
        <v>54.553633144965026</v>
      </c>
      <c r="G247" s="110">
        <f t="shared" si="98"/>
        <v>0.96840715688711598</v>
      </c>
      <c r="H247" s="412" t="b">
        <f>Wh_hp&gt;='2019'!Maxi_hp</f>
        <v>1</v>
      </c>
      <c r="I247" s="388">
        <f>IF(H247,Wh_hp,'2019'!Maxi_hp)</f>
        <v>54.553633144965026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1.1092028841111712E-2</v>
      </c>
      <c r="M247" s="832"/>
      <c r="N247" s="832"/>
      <c r="O247" s="48">
        <f>IF(t&lt;Tnet,'2019'!Resal+('2019'!Salim-'2019'!Resal)*(1-EXP(('2019'!Tnet-t)/('2019'!Tau_j))),Resal+(Salim-Resal)*(1-EXP((Tnet-t)/(Tau_j))))*Salcycl</f>
        <v>4.3255620057665325E-2</v>
      </c>
      <c r="P247" s="169">
        <f>(INDEX(Models!$BJ247:$BT247,,T247)*(1-R247)+INDEX(Models!$BJ247:$BT247,,T247+1)*R247-ERP_i)*Q247*Ramure*Pc/MaxiM</f>
        <v>1.4093028472042792E-4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53.291295295876786</v>
      </c>
      <c r="W247" s="58"/>
      <c r="X247" s="157">
        <f t="shared" si="84"/>
        <v>44063</v>
      </c>
      <c r="Y247" s="383">
        <f t="shared" si="85"/>
        <v>51.607999999999997</v>
      </c>
      <c r="Z247" s="383">
        <f t="shared" si="86"/>
        <v>52.186858135566709</v>
      </c>
      <c r="AA247" s="384">
        <f t="shared" si="87"/>
        <v>54.546291809638994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4.3255620057665325E-2</v>
      </c>
      <c r="AD247" s="230">
        <f>(INDEX(Models!$BJ247:$BT247,,AH247)*(1-AF247)+INDEX(Models!$BJ247:$BT247,,AH247+1)*AF247-ERP_i)*AE247*Ramure*Pc/MaxiM</f>
        <v>1.4093028472042792E-4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46.465000000000003</v>
      </c>
      <c r="C248" s="388"/>
      <c r="D248" s="391">
        <f t="shared" si="75"/>
        <v>46.987072471200989</v>
      </c>
      <c r="E248" s="383">
        <f t="shared" si="97"/>
        <v>49.114162692899875</v>
      </c>
      <c r="F248" s="383">
        <f t="shared" si="76"/>
        <v>49.120018741583252</v>
      </c>
      <c r="G248" s="110">
        <f t="shared" si="98"/>
        <v>0.87498786457150635</v>
      </c>
      <c r="H248" s="412" t="b">
        <f>Wh_hp&gt;='2019'!Maxi_hp</f>
        <v>0</v>
      </c>
      <c r="I248" s="388">
        <f>IF(H248,Wh_hp,'2019'!Maxi_hp)</f>
        <v>56.59830554422004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1.1110981036772771E-2</v>
      </c>
      <c r="M248" s="832"/>
      <c r="N248" s="832"/>
      <c r="O248" s="48">
        <f>IF(t&lt;Tnet,'2019'!Resal+('2019'!Salim-'2019'!Resal)*(1-EXP(('2019'!Tnet-t)/('2019'!Tau_j))),Resal+(Salim-Resal)*(1-EXP((Tnet-t)/(Tau_j))))*Salcycl</f>
        <v>4.3309100778101704E-2</v>
      </c>
      <c r="P248" s="169">
        <f>(INDEX(Models!$BJ248:$BT248,,T248)*(1-R248)+INDEX(Models!$BJ248:$BT248,,T248+1)*R248-ERP_i)*Q248*Ramure*Pc/MaxiM</f>
        <v>1.4513374009149236E-4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53.102217319845636</v>
      </c>
      <c r="W248" s="58"/>
      <c r="X248" s="157">
        <f t="shared" si="84"/>
        <v>44064</v>
      </c>
      <c r="Y248" s="383">
        <f t="shared" si="85"/>
        <v>46.465000000000003</v>
      </c>
      <c r="Z248" s="383">
        <f t="shared" si="86"/>
        <v>46.987072471200989</v>
      </c>
      <c r="AA248" s="384">
        <f t="shared" si="87"/>
        <v>49.114162692899875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4.3309100778101704E-2</v>
      </c>
      <c r="AD248" s="230">
        <f>(INDEX(Models!$BJ248:$BT248,,AH248)*(1-AF248)+INDEX(Models!$BJ248:$BT248,,AH248+1)*AF248-ERP_i)*AE248*Ramure*Pc/MaxiM</f>
        <v>1.4513374009149236E-4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37.284999999999997</v>
      </c>
      <c r="C249" s="388"/>
      <c r="D249" s="391">
        <f t="shared" si="75"/>
        <v>37.70465022587134</v>
      </c>
      <c r="E249" s="383">
        <f t="shared" si="97"/>
        <v>39.41372305278712</v>
      </c>
      <c r="F249" s="383">
        <f t="shared" si="76"/>
        <v>39.417128734245914</v>
      </c>
      <c r="G249" s="110">
        <f t="shared" si="98"/>
        <v>0.70464566819116914</v>
      </c>
      <c r="H249" s="412" t="b">
        <f>Wh_hp&gt;='2019'!Maxi_hp</f>
        <v>0</v>
      </c>
      <c r="I249" s="388">
        <f>IF(H249,Wh_hp,'2019'!Maxi_hp)</f>
        <v>53.920594526150673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1.1129932869219372E-2</v>
      </c>
      <c r="M249" s="832"/>
      <c r="N249" s="832"/>
      <c r="O249" s="48">
        <f>IF(t&lt;Tnet,'2019'!Resal+('2019'!Salim-'2019'!Resal)*(1-EXP(('2019'!Tnet-t)/('2019'!Tau_j))),Resal+(Salim-Resal)*(1-EXP((Tnet-t)/(Tau_j))))*Salcycl</f>
        <v>4.3362379763688078E-2</v>
      </c>
      <c r="P249" s="169">
        <f>(INDEX(Models!$BJ249:$BT249,,T249)*(1-R249)+INDEX(Models!$BJ249:$BT249,,T249+1)*R249-ERP_i)*Q249*Ramure*Pc/MaxiM</f>
        <v>1.4944951058638785E-4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52.909782488078285</v>
      </c>
      <c r="W249" s="58"/>
      <c r="X249" s="157">
        <f t="shared" si="84"/>
        <v>44065</v>
      </c>
      <c r="Y249" s="383">
        <f t="shared" si="85"/>
        <v>37.284999999999997</v>
      </c>
      <c r="Z249" s="383">
        <f t="shared" si="86"/>
        <v>37.70465022587134</v>
      </c>
      <c r="AA249" s="384">
        <f t="shared" si="87"/>
        <v>39.41372305278712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4.3362379763688078E-2</v>
      </c>
      <c r="AD249" s="230">
        <f>(INDEX(Models!$BJ249:$BT249,,AH249)*(1-AF249)+INDEX(Models!$BJ249:$BT249,,AH249+1)*AF249-ERP_i)*AE249*Ramure*Pc/MaxiM</f>
        <v>1.4944951058638785E-4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42.247999999999998</v>
      </c>
      <c r="C250" s="388"/>
      <c r="D250" s="391">
        <f t="shared" si="75"/>
        <v>42.724328597977134</v>
      </c>
      <c r="E250" s="383">
        <f t="shared" si="97"/>
        <v>44.663410707773387</v>
      </c>
      <c r="F250" s="383">
        <f t="shared" si="76"/>
        <v>44.668334667892985</v>
      </c>
      <c r="G250" s="110">
        <f t="shared" si="98"/>
        <v>0.80142205925313914</v>
      </c>
      <c r="H250" s="412" t="b">
        <f>Wh_hp&gt;='2019'!Maxi_hp</f>
        <v>0</v>
      </c>
      <c r="I250" s="388">
        <f>IF(H250,Wh_hp,'2019'!Maxi_hp)</f>
        <v>53.710943273979339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1.1148884338458398E-2</v>
      </c>
      <c r="M250" s="832"/>
      <c r="N250" s="832"/>
      <c r="O250" s="48">
        <f>IF(t&lt;Tnet,'2019'!Resal+('2019'!Salim-'2019'!Resal)*(1-EXP(('2019'!Tnet-t)/('2019'!Tau_j))),Resal+(Salim-Resal)*(1-EXP((Tnet-t)/(Tau_j))))*Salcycl</f>
        <v>4.3415450792224551E-2</v>
      </c>
      <c r="P250" s="169">
        <f>(INDEX(Models!$BJ250:$BT250,,T250)*(1-R250)+INDEX(Models!$BJ250:$BT250,,T250+1)*R250-ERP_i)*Q250*Ramure*Pc/MaxiM</f>
        <v>1.5387889900354544E-4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52.713991823235354</v>
      </c>
      <c r="W250" s="58"/>
      <c r="X250" s="157">
        <f t="shared" si="84"/>
        <v>44066</v>
      </c>
      <c r="Y250" s="383">
        <f t="shared" si="85"/>
        <v>42.247999999999998</v>
      </c>
      <c r="Z250" s="383">
        <f t="shared" si="86"/>
        <v>42.724328597977134</v>
      </c>
      <c r="AA250" s="384">
        <f t="shared" si="87"/>
        <v>44.663410707773387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4.3415450792224551E-2</v>
      </c>
      <c r="AD250" s="230">
        <f>(INDEX(Models!$BJ250:$BT250,,AH250)*(1-AF250)+INDEX(Models!$BJ250:$BT250,,AH250+1)*AF250-ERP_i)*AE250*Ramure*Pc/MaxiM</f>
        <v>1.5387889900354544E-4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47.832000000000001</v>
      </c>
      <c r="C251" s="388"/>
      <c r="D251" s="391">
        <f t="shared" si="75"/>
        <v>48.372212913908697</v>
      </c>
      <c r="E251" s="383">
        <f t="shared" si="97"/>
        <v>50.570423633755169</v>
      </c>
      <c r="F251" s="383">
        <f t="shared" si="76"/>
        <v>50.577415556955025</v>
      </c>
      <c r="G251" s="110">
        <f t="shared" si="98"/>
        <v>0.91080975912360407</v>
      </c>
      <c r="H251" s="412" t="b">
        <f>Wh_hp&gt;='2019'!Maxi_hp</f>
        <v>1</v>
      </c>
      <c r="I251" s="388">
        <f>IF(H251,Wh_hp,'2019'!Maxi_hp)</f>
        <v>50.577415556955025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1.1167835444496843E-2</v>
      </c>
      <c r="M251" s="832"/>
      <c r="N251" s="832"/>
      <c r="O251" s="48">
        <f>IF(t&lt;Tnet,'2019'!Resal+('2019'!Salim-'2019'!Resal)*(1-EXP(('2019'!Tnet-t)/('2019'!Tau_j))),Resal+(Salim-Resal)*(1-EXP((Tnet-t)/(Tau_j))))*Salcycl</f>
        <v>4.346830739972668E-2</v>
      </c>
      <c r="P251" s="169">
        <f>(INDEX(Models!$BJ251:$BT251,,T251)*(1-R251)+INDEX(Models!$BJ251:$BT251,,T251+1)*R251-ERP_i)*Q251*Ramure*Pc/MaxiM</f>
        <v>1.5842328598181539E-4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52.514846351009375</v>
      </c>
      <c r="W251" s="58"/>
      <c r="X251" s="157">
        <f t="shared" si="84"/>
        <v>44067</v>
      </c>
      <c r="Y251" s="383">
        <f t="shared" si="85"/>
        <v>47.832000000000001</v>
      </c>
      <c r="Z251" s="383">
        <f t="shared" si="86"/>
        <v>48.372212913908697</v>
      </c>
      <c r="AA251" s="384">
        <f t="shared" si="87"/>
        <v>50.570423633755169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4.346830739972668E-2</v>
      </c>
      <c r="AD251" s="230">
        <f>(INDEX(Models!$BJ251:$BT251,,AH251)*(1-AF251)+INDEX(Models!$BJ251:$BT251,,AH251+1)*AF251-ERP_i)*AE251*Ramure*Pc/MaxiM</f>
        <v>1.5842328598181539E-4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50.917000000000002</v>
      </c>
      <c r="C252" s="388"/>
      <c r="D252" s="391">
        <f t="shared" si="75"/>
        <v>51.493041647041338</v>
      </c>
      <c r="E252" s="383">
        <f t="shared" si="97"/>
        <v>53.836036726451624</v>
      </c>
      <c r="F252" s="383">
        <f t="shared" si="76"/>
        <v>53.844483293966427</v>
      </c>
      <c r="G252" s="110">
        <f t="shared" si="98"/>
        <v>0.97332057060186361</v>
      </c>
      <c r="H252" s="412" t="b">
        <f>Wh_hp&gt;='2019'!Maxi_hp</f>
        <v>1</v>
      </c>
      <c r="I252" s="388">
        <f>IF(H252,Wh_hp,'2019'!Maxi_hp)</f>
        <v>53.844483293966427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1.1186786187341702E-2</v>
      </c>
      <c r="M252" s="832"/>
      <c r="N252" s="832"/>
      <c r="O252" s="48">
        <f>IF(t&lt;Tnet,'2019'!Resal+('2019'!Salim-'2019'!Resal)*(1-EXP(('2019'!Tnet-t)/('2019'!Tau_j))),Resal+(Salim-Resal)*(1-EXP((Tnet-t)/(Tau_j))))*Salcycl</f>
        <v>4.3520942882838372E-2</v>
      </c>
      <c r="P252" s="169">
        <f>(INDEX(Models!$BJ252:$BT252,,T252)*(1-R252)+INDEX(Models!$BJ252:$BT252,,T252+1)*R252-ERP_i)*Q252*Ramure*Pc/MaxiM</f>
        <v>1.6308397913364226E-4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52.312347108844186</v>
      </c>
      <c r="W252" s="58"/>
      <c r="X252" s="157">
        <f t="shared" si="84"/>
        <v>44068</v>
      </c>
      <c r="Y252" s="383">
        <f t="shared" si="85"/>
        <v>50.917000000000002</v>
      </c>
      <c r="Z252" s="383">
        <f t="shared" si="86"/>
        <v>51.493041647041338</v>
      </c>
      <c r="AA252" s="384">
        <f t="shared" si="87"/>
        <v>53.836036726451624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4.3520942882838372E-2</v>
      </c>
      <c r="AD252" s="230">
        <f>(INDEX(Models!$BJ252:$BT252,,AH252)*(1-AF252)+INDEX(Models!$BJ252:$BT252,,AH252+1)*AF252-ERP_i)*AE252*Ramure*Pc/MaxiM</f>
        <v>1.6308397913364226E-4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27.321999999999999</v>
      </c>
      <c r="C253" s="388"/>
      <c r="D253" s="391">
        <f t="shared" si="75"/>
        <v>27.631632798051033</v>
      </c>
      <c r="E253" s="383">
        <f t="shared" si="97"/>
        <v>28.890488158845407</v>
      </c>
      <c r="F253" s="383">
        <f t="shared" si="76"/>
        <v>28.892042541533222</v>
      </c>
      <c r="G253" s="110">
        <f t="shared" si="98"/>
        <v>0.52428940655441492</v>
      </c>
      <c r="H253" s="412" t="b">
        <f>Wh_hp&gt;='2019'!Maxi_hp</f>
        <v>0</v>
      </c>
      <c r="I253" s="388">
        <f>IF(H253,Wh_hp,'2019'!Maxi_hp)</f>
        <v>32.470019573915089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1.1205736566999858E-2</v>
      </c>
      <c r="M253" s="832"/>
      <c r="N253" s="832"/>
      <c r="O253" s="48">
        <f>IF(t&lt;Tnet,'2019'!Resal+('2019'!Salim-'2019'!Resal)*(1-EXP(('2019'!Tnet-t)/('2019'!Tau_j))),Resal+(Salim-Resal)*(1-EXP((Tnet-t)/(Tau_j))))*Salcycl</f>
        <v>4.3573350296919493E-2</v>
      </c>
      <c r="P253" s="169">
        <f>(INDEX(Models!$BJ253:$BT253,,T253)*(1-R253)+INDEX(Models!$BJ253:$BT253,,T253+1)*R253-ERP_i)*Q253*Ramure*Pc/MaxiM</f>
        <v>1.678623056687563E-4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52.106495137579799</v>
      </c>
      <c r="W253" s="58"/>
      <c r="X253" s="157">
        <f t="shared" si="84"/>
        <v>44069</v>
      </c>
      <c r="Y253" s="383">
        <f t="shared" si="85"/>
        <v>27.321999999999999</v>
      </c>
      <c r="Z253" s="383">
        <f t="shared" si="86"/>
        <v>27.631632798051033</v>
      </c>
      <c r="AA253" s="384">
        <f t="shared" si="87"/>
        <v>28.890488158845407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4.3573350296919493E-2</v>
      </c>
      <c r="AD253" s="230">
        <f>(INDEX(Models!$BJ253:$BT253,,AH253)*(1-AF253)+INDEX(Models!$BJ253:$BT253,,AH253+1)*AF253-ERP_i)*AE253*Ramure*Pc/MaxiM</f>
        <v>1.678623056687563E-4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48.662999999999997</v>
      </c>
      <c r="C254" s="388"/>
      <c r="D254" s="391">
        <f t="shared" si="75"/>
        <v>49.215427751583341</v>
      </c>
      <c r="E254" s="383">
        <f t="shared" si="97"/>
        <v>51.460415252468138</v>
      </c>
      <c r="F254" s="383">
        <f t="shared" si="76"/>
        <v>51.468515503537539</v>
      </c>
      <c r="G254" s="110">
        <f t="shared" si="98"/>
        <v>0.93766457173425699</v>
      </c>
      <c r="H254" s="412" t="b">
        <f>Wh_hp&gt;='2019'!Maxi_hp</f>
        <v>1</v>
      </c>
      <c r="I254" s="388">
        <f>IF(H254,Wh_hp,'2019'!Maxi_hp)</f>
        <v>51.468515503537539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1.1224686583478305E-2</v>
      </c>
      <c r="M254" s="832"/>
      <c r="N254" s="832"/>
      <c r="O254" s="48">
        <f>IF(t&lt;Tnet,'2019'!Resal+('2019'!Salim-'2019'!Resal)*(1-EXP(('2019'!Tnet-t)/('2019'!Tau_j))),Resal+(Salim-Resal)*(1-EXP((Tnet-t)/(Tau_j))))*Salcycl</f>
        <v>4.36255224500375E-2</v>
      </c>
      <c r="P254" s="169">
        <f>(INDEX(Models!$BJ254:$BT254,,T254)*(1-R254)+INDEX(Models!$BJ254:$BT254,,T254+1)*R254-ERP_i)*Q254*Ramure*Pc/MaxiM</f>
        <v>1.7276380689172324E-4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51.897291265536794</v>
      </c>
      <c r="W254" s="58"/>
      <c r="X254" s="157">
        <f t="shared" si="84"/>
        <v>44070</v>
      </c>
      <c r="Y254" s="383">
        <f t="shared" si="85"/>
        <v>48.662999999999997</v>
      </c>
      <c r="Z254" s="383">
        <f t="shared" si="86"/>
        <v>49.215427751583341</v>
      </c>
      <c r="AA254" s="384">
        <f t="shared" si="87"/>
        <v>51.460415252468138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4.36255224500375E-2</v>
      </c>
      <c r="AD254" s="230">
        <f>(INDEX(Models!$BJ254:$BT254,,AH254)*(1-AF254)+INDEX(Models!$BJ254:$BT254,,AH254+1)*AF254-ERP_i)*AE254*Ramure*Pc/MaxiM</f>
        <v>1.7276380689172324E-4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9.5429999999999993</v>
      </c>
      <c r="C255" s="388"/>
      <c r="D255" s="391">
        <f t="shared" si="75"/>
        <v>9.6515181593160637</v>
      </c>
      <c r="E255" s="383">
        <f t="shared" si="97"/>
        <v>10.092325208082267</v>
      </c>
      <c r="F255" s="383">
        <f t="shared" si="76"/>
        <v>10.092325208082267</v>
      </c>
      <c r="G255" s="110">
        <f t="shared" si="98"/>
        <v>0.18460582346869511</v>
      </c>
      <c r="H255" s="412" t="b">
        <f>Wh_hp&gt;='2019'!Maxi_hp</f>
        <v>0</v>
      </c>
      <c r="I255" s="388">
        <f>IF(H255,Wh_hp,'2019'!Maxi_hp)</f>
        <v>51.264666030068604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1.1243636236784038E-2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4.367745189316645E-2</v>
      </c>
      <c r="P255" s="169">
        <f>(INDEX(Models!$BJ255:$BT255,,T255)*(1-R255)+INDEX(Models!$BJ255:$BT255,,T255+1)*R255-ERP_i)*Q255*Ramure*Pc/MaxiM</f>
        <v>1.7772609248573414E-4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51.684739845259486</v>
      </c>
      <c r="W255" s="58"/>
      <c r="X255" s="157">
        <f t="shared" si="84"/>
        <v>44071</v>
      </c>
      <c r="Y255" s="383">
        <f t="shared" si="85"/>
        <v>9.5429999999999993</v>
      </c>
      <c r="Z255" s="383">
        <f t="shared" si="86"/>
        <v>9.6515181593160637</v>
      </c>
      <c r="AA255" s="384">
        <f t="shared" si="87"/>
        <v>10.092325208082267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4.367745189316645E-2</v>
      </c>
      <c r="AD255" s="230">
        <f>(INDEX(Models!$BJ255:$BT255,,AH255)*(1-AF255)+INDEX(Models!$BJ255:$BT255,,AH255+1)*AF255-ERP_i)*AE255*Ramure*Pc/MaxiM</f>
        <v>1.7772609248573414E-4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22.712</v>
      </c>
      <c r="C256" s="388"/>
      <c r="D256" s="391">
        <f t="shared" si="75"/>
        <v>22.970709581273223</v>
      </c>
      <c r="E256" s="383">
        <f t="shared" si="97"/>
        <v>24.021132843939462</v>
      </c>
      <c r="F256" s="383">
        <f t="shared" si="76"/>
        <v>24.022018854890714</v>
      </c>
      <c r="G256" s="110">
        <f t="shared" si="98"/>
        <v>0.44121231613293055</v>
      </c>
      <c r="H256" s="412" t="b">
        <f>Wh_hp&gt;='2019'!Maxi_hp</f>
        <v>0</v>
      </c>
      <c r="I256" s="388">
        <f>IF(H256,Wh_hp,'2019'!Maxi_hp)</f>
        <v>50.471632607079094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1.1262585526924052E-2</v>
      </c>
      <c r="M256" s="832"/>
      <c r="N256" s="832"/>
      <c r="O256" s="48">
        <f>IF(t&lt;Tnet,'2019'!Resal+('2019'!Salim-'2019'!Resal)*(1-EXP(('2019'!Tnet-t)/('2019'!Tau_j))),Resal+(Salim-Resal)*(1-EXP((Tnet-t)/(Tau_j))))*Salcycl</f>
        <v>4.3729130906965605E-2</v>
      </c>
      <c r="P256" s="169">
        <f>(INDEX(Models!$BJ256:$BT256,,T256)*(1-R256)+INDEX(Models!$BJ256:$BT256,,T256+1)*R256-ERP_i)*Q256*Ramure*Pc/MaxiM</f>
        <v>1.8274989132592228E-4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51.468841927304283</v>
      </c>
      <c r="W256" s="58"/>
      <c r="X256" s="157">
        <f t="shared" si="84"/>
        <v>44072</v>
      </c>
      <c r="Y256" s="383">
        <f t="shared" si="85"/>
        <v>22.712</v>
      </c>
      <c r="Z256" s="383">
        <f t="shared" si="86"/>
        <v>22.970709581273223</v>
      </c>
      <c r="AA256" s="384">
        <f t="shared" si="87"/>
        <v>24.021132843939462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4.3729130906965605E-2</v>
      </c>
      <c r="AD256" s="230">
        <f>(INDEX(Models!$BJ256:$BT256,,AH256)*(1-AF256)+INDEX(Models!$BJ256:$BT256,,AH256+1)*AF256-ERP_i)*AE256*Ramure*Pc/MaxiM</f>
        <v>1.8274989132592228E-4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32.860999999999997</v>
      </c>
      <c r="C257" s="388"/>
      <c r="D257" s="391">
        <f t="shared" si="75"/>
        <v>33.235952543730448</v>
      </c>
      <c r="E257" s="383">
        <f t="shared" si="97"/>
        <v>34.757662161510737</v>
      </c>
      <c r="F257" s="383">
        <f t="shared" si="76"/>
        <v>34.760844702097884</v>
      </c>
      <c r="G257" s="110">
        <f t="shared" si="98"/>
        <v>0.64113352591835149</v>
      </c>
      <c r="H257" s="412" t="b">
        <f>Wh_hp&gt;='2019'!Maxi_hp</f>
        <v>0</v>
      </c>
      <c r="I257" s="388">
        <f>IF(H257,Wh_hp,'2019'!Maxi_hp)</f>
        <v>48.069780960366188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1.1281534453905118E-2</v>
      </c>
      <c r="M257" s="832"/>
      <c r="N257" s="832"/>
      <c r="O257" s="48">
        <f>IF(t&lt;Tnet,'2019'!Resal+('2019'!Salim-'2019'!Resal)*(1-EXP(('2019'!Tnet-t)/('2019'!Tau_j))),Resal+(Salim-Resal)*(1-EXP((Tnet-t)/(Tau_j))))*Salcycl</f>
        <v>4.3780551485576392E-2</v>
      </c>
      <c r="P257" s="169">
        <f>(INDEX(Models!$BJ257:$BT257,,T257)*(1-R257)+INDEX(Models!$BJ257:$BT257,,T257+1)*R257-ERP_i)*Q257*Ramure*Pc/MaxiM</f>
        <v>1.8783593128744884E-4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51.24959857056318</v>
      </c>
      <c r="W257" s="58"/>
      <c r="X257" s="157">
        <f t="shared" si="84"/>
        <v>44073</v>
      </c>
      <c r="Y257" s="383">
        <f t="shared" si="85"/>
        <v>32.860999999999997</v>
      </c>
      <c r="Z257" s="383">
        <f t="shared" si="86"/>
        <v>33.235952543730448</v>
      </c>
      <c r="AA257" s="384">
        <f t="shared" si="87"/>
        <v>34.757662161510737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4.3780551485576392E-2</v>
      </c>
      <c r="AD257" s="230">
        <f>(INDEX(Models!$BJ257:$BT257,,AH257)*(1-AF257)+INDEX(Models!$BJ257:$BT257,,AH257+1)*AF257-ERP_i)*AE257*Ramure*Pc/MaxiM</f>
        <v>1.8783593128744884E-4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45.25</v>
      </c>
      <c r="C258" s="388"/>
      <c r="D258" s="391">
        <f t="shared" si="75"/>
        <v>45.767191368832897</v>
      </c>
      <c r="E258" s="383">
        <f t="shared" si="97"/>
        <v>47.865204926138006</v>
      </c>
      <c r="F258" s="383">
        <f t="shared" si="76"/>
        <v>47.872949450269061</v>
      </c>
      <c r="G258" s="110">
        <f t="shared" si="98"/>
        <v>0.8867575557239924</v>
      </c>
      <c r="H258" s="412" t="b">
        <f>Wh_hp&gt;='2019'!Maxi_hp</f>
        <v>1</v>
      </c>
      <c r="I258" s="388">
        <f>IF(H258,Wh_hp,'2019'!Maxi_hp)</f>
        <v>47.872949450269061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1.1300483017734342E-2</v>
      </c>
      <c r="M258" s="832"/>
      <c r="N258" s="832"/>
      <c r="O258" s="48">
        <f>IF(t&lt;Tnet,'2019'!Resal+('2019'!Salim-'2019'!Resal)*(1-EXP(('2019'!Tnet-t)/('2019'!Tau_j))),Resal+(Salim-Resal)*(1-EXP((Tnet-t)/(Tau_j))))*Salcycl</f>
        <v>4.3831705317936072E-2</v>
      </c>
      <c r="P258" s="169">
        <f>(INDEX(Models!$BJ258:$BT258,,T258)*(1-R258)+INDEX(Models!$BJ258:$BT258,,T258+1)*R258-ERP_i)*Q258*Ramure*Pc/MaxiM</f>
        <v>1.9298493672988923E-4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51.027010837628282</v>
      </c>
      <c r="W258" s="58"/>
      <c r="X258" s="157">
        <f t="shared" si="84"/>
        <v>44074</v>
      </c>
      <c r="Y258" s="383">
        <f t="shared" si="85"/>
        <v>45.25</v>
      </c>
      <c r="Z258" s="383">
        <f t="shared" si="86"/>
        <v>45.767191368832897</v>
      </c>
      <c r="AA258" s="384">
        <f t="shared" si="87"/>
        <v>47.865204926138006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4.3831705317936072E-2</v>
      </c>
      <c r="AD258" s="230">
        <f>(INDEX(Models!$BJ258:$BT258,,AH258)*(1-AF258)+INDEX(Models!$BJ258:$BT258,,AH258+1)*AF258-ERP_i)*AE258*Ramure*Pc/MaxiM</f>
        <v>1.9298493672988923E-4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46.79</v>
      </c>
      <c r="C259" s="388"/>
      <c r="D259" s="391">
        <f t="shared" si="75"/>
        <v>47.325700006082364</v>
      </c>
      <c r="E259" s="383">
        <f t="shared" si="97"/>
        <v>49.497790964365606</v>
      </c>
      <c r="F259" s="383">
        <f t="shared" si="76"/>
        <v>49.506496280747506</v>
      </c>
      <c r="G259" s="110">
        <f t="shared" si="98"/>
        <v>0.92102282033040161</v>
      </c>
      <c r="H259" s="412" t="b">
        <f>Wh_hp&gt;='2019'!Maxi_hp</f>
        <v>0</v>
      </c>
      <c r="I259" s="388">
        <f>IF(H259,Wh_hp,'2019'!Maxi_hp)</f>
        <v>52.448101483562709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1.1319431218418718E-2</v>
      </c>
      <c r="M259" s="832"/>
      <c r="N259" s="832"/>
      <c r="O259" s="48">
        <f>IF(t&lt;Tnet,'2019'!Resal+('2019'!Salim-'2019'!Resal)*(1-EXP(('2019'!Tnet-t)/('2019'!Tau_j))),Resal+(Salim-Resal)*(1-EXP((Tnet-t)/(Tau_j))))*Salcycl</f>
        <v>4.3882583767161948E-2</v>
      </c>
      <c r="P259" s="169">
        <f>(INDEX(Models!$BJ259:$BT259,,T259)*(1-R259)+INDEX(Models!$BJ259:$BT259,,T259+1)*R259-ERP_i)*Q259*Ramure*Pc/MaxiM</f>
        <v>1.9819762565503703E-4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50.801079798280547</v>
      </c>
      <c r="W259" s="58"/>
      <c r="X259" s="157">
        <f t="shared" si="84"/>
        <v>44075</v>
      </c>
      <c r="Y259" s="383">
        <f t="shared" si="85"/>
        <v>46.79</v>
      </c>
      <c r="Z259" s="383">
        <f t="shared" si="86"/>
        <v>47.325700006082364</v>
      </c>
      <c r="AA259" s="384">
        <f t="shared" si="87"/>
        <v>49.497790964365606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4.3882583767161948E-2</v>
      </c>
      <c r="AD259" s="230">
        <f>(INDEX(Models!$BJ259:$BT259,,AH259)*(1-AF259)+INDEX(Models!$BJ259:$BT259,,AH259+1)*AF259-ERP_i)*AE259*Ramure*Pc/MaxiM</f>
        <v>1.9819762565503703E-4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52.018000000000001</v>
      </c>
      <c r="C260" s="388"/>
      <c r="D260" s="391">
        <f t="shared" si="75"/>
        <v>52.614563869011135</v>
      </c>
      <c r="E260" s="383">
        <f t="shared" si="97"/>
        <v>55.032308045806907</v>
      </c>
      <c r="F260" s="383">
        <f t="shared" si="76"/>
        <v>55.043508007448153</v>
      </c>
      <c r="G260" s="110">
        <f t="shared" si="98"/>
        <v>1.0285968323383408</v>
      </c>
      <c r="H260" s="412" t="b">
        <f>Wh_hp&gt;='2019'!Maxi_hp</f>
        <v>1</v>
      </c>
      <c r="I260" s="388">
        <f>IF(H260,Wh_hp,'2019'!Maxi_hp)</f>
        <v>55.043508007448153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1.1338379055965131E-2</v>
      </c>
      <c r="M260" s="832"/>
      <c r="N260" s="832"/>
      <c r="O260" s="48">
        <f>IF(t&lt;Tnet,'2019'!Resal+('2019'!Salim-'2019'!Resal)*(1-EXP(('2019'!Tnet-t)/('2019'!Tau_j))),Resal+(Salim-Resal)*(1-EXP((Tnet-t)/(Tau_j))))*Salcycl</f>
        <v>4.3933177848607174E-2</v>
      </c>
      <c r="P260" s="169">
        <f>(INDEX(Models!$BJ260:$BT260,,T260)*(1-R260)+INDEX(Models!$BJ260:$BT260,,T260+1)*R260-ERP_i)*Q260*Ramure*Pc/MaxiM</f>
        <v>2.0347470658543587E-4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50.571806527680906</v>
      </c>
      <c r="W260" s="58"/>
      <c r="X260" s="157">
        <f t="shared" si="84"/>
        <v>44076</v>
      </c>
      <c r="Y260" s="383">
        <f t="shared" si="85"/>
        <v>52.018000000000001</v>
      </c>
      <c r="Z260" s="383">
        <f t="shared" si="86"/>
        <v>52.614563869011135</v>
      </c>
      <c r="AA260" s="384">
        <f t="shared" si="87"/>
        <v>55.032308045806907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4.3933177848607174E-2</v>
      </c>
      <c r="AD260" s="230">
        <f>(INDEX(Models!$BJ260:$BT260,,AH260)*(1-AF260)+INDEX(Models!$BJ260:$BT260,,AH260+1)*AF260-ERP_i)*AE260*Ramure*Pc/MaxiM</f>
        <v>2.0347470658543587E-4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50.156999999999996</v>
      </c>
      <c r="C261" s="388"/>
      <c r="D261" s="391">
        <f t="shared" si="75"/>
        <v>50.733193443871002</v>
      </c>
      <c r="E261" s="383">
        <f t="shared" si="97"/>
        <v>53.06727685912125</v>
      </c>
      <c r="F261" s="383">
        <f t="shared" si="76"/>
        <v>53.078303197500396</v>
      </c>
      <c r="G261" s="110">
        <f t="shared" si="98"/>
        <v>0.99637963446374755</v>
      </c>
      <c r="H261" s="412" t="b">
        <f>Wh_hp&gt;='2019'!Maxi_hp</f>
        <v>0</v>
      </c>
      <c r="I261" s="388">
        <f>IF(H261,Wh_hp,'2019'!Maxi_hp)</f>
        <v>53.392231312994895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1.1357326530380574E-2</v>
      </c>
      <c r="M261" s="832"/>
      <c r="N261" s="832"/>
      <c r="O261" s="48">
        <f>IF(t&lt;Tnet,'2019'!Resal+('2019'!Salim-'2019'!Resal)*(1-EXP(('2019'!Tnet-t)/('2019'!Tau_j))),Resal+(Salim-Resal)*(1-EXP((Tnet-t)/(Tau_j))))*Salcycl</f>
        <v>4.3983478207230906E-2</v>
      </c>
      <c r="P261" s="169">
        <f>(INDEX(Models!$BJ261:$BT261,,T261)*(1-R261)+INDEX(Models!$BJ261:$BT261,,T261+1)*R261-ERP_i)*Q261*Ramure*Pc/MaxiM</f>
        <v>2.088168751242675E-4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50.339192112004014</v>
      </c>
      <c r="W261" s="58"/>
      <c r="X261" s="157">
        <f t="shared" si="84"/>
        <v>44077</v>
      </c>
      <c r="Y261" s="383">
        <f t="shared" si="85"/>
        <v>50.156999999999996</v>
      </c>
      <c r="Z261" s="383">
        <f t="shared" si="86"/>
        <v>50.733193443871002</v>
      </c>
      <c r="AA261" s="384">
        <f t="shared" si="87"/>
        <v>53.06727685912125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4.3983478207230906E-2</v>
      </c>
      <c r="AD261" s="230">
        <f>(INDEX(Models!$BJ261:$BT261,,AH261)*(1-AF261)+INDEX(Models!$BJ261:$BT261,,AH261+1)*AF261-ERP_i)*AE261*Ramure*Pc/MaxiM</f>
        <v>2.088168751242675E-4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50.482999999999997</v>
      </c>
      <c r="C262" s="388"/>
      <c r="D262" s="391">
        <f t="shared" si="75"/>
        <v>51.06391709407788</v>
      </c>
      <c r="E262" s="383">
        <f t="shared" si="97"/>
        <v>53.416009623506611</v>
      </c>
      <c r="F262" s="383">
        <f t="shared" si="76"/>
        <v>53.427461866974461</v>
      </c>
      <c r="G262" s="110">
        <f t="shared" si="98"/>
        <v>1.0075797245837459</v>
      </c>
      <c r="H262" s="412" t="b">
        <f>Wh_hp&gt;='2019'!Maxi_hp</f>
        <v>1</v>
      </c>
      <c r="I262" s="388">
        <f>IF(H262,Wh_hp,'2019'!Maxi_hp)</f>
        <v>53.427461866974461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1.1376273641672041E-2</v>
      </c>
      <c r="M262" s="832"/>
      <c r="N262" s="832"/>
      <c r="O262" s="48">
        <f>IF(t&lt;Tnet,'2019'!Resal+('2019'!Salim-'2019'!Resal)*(1-EXP(('2019'!Tnet-t)/('2019'!Tau_j))),Resal+(Salim-Resal)*(1-EXP((Tnet-t)/(Tau_j))))*Salcycl</f>
        <v>4.4033475094958217E-2</v>
      </c>
      <c r="P262" s="169">
        <f>(INDEX(Models!$BJ262:$BT262,,T262)*(1-R262)+INDEX(Models!$BJ262:$BT262,,T262+1)*R262-ERP_i)*Q262*Ramure*Pc/MaxiM</f>
        <v>2.1435125434870016E-4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50.103231305945215</v>
      </c>
      <c r="W262" s="58"/>
      <c r="X262" s="157">
        <f t="shared" si="84"/>
        <v>44078</v>
      </c>
      <c r="Y262" s="383">
        <f t="shared" si="85"/>
        <v>50.482999999999997</v>
      </c>
      <c r="Z262" s="383">
        <f t="shared" si="86"/>
        <v>51.06391709407788</v>
      </c>
      <c r="AA262" s="384">
        <f t="shared" si="87"/>
        <v>53.416009623506611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4.4033475094958217E-2</v>
      </c>
      <c r="AD262" s="230">
        <f>(INDEX(Models!$BJ262:$BT262,,AH262)*(1-AF262)+INDEX(Models!$BJ262:$BT262,,AH262+1)*AF262-ERP_i)*AE262*Ramure*Pc/MaxiM</f>
        <v>2.1435125434870016E-4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45.305</v>
      </c>
      <c r="C263" s="388"/>
      <c r="D263" s="391">
        <f t="shared" si="75"/>
        <v>45.827211171147248</v>
      </c>
      <c r="E263" s="383">
        <f t="shared" si="97"/>
        <v>47.940583505134626</v>
      </c>
      <c r="F263" s="383">
        <f t="shared" si="76"/>
        <v>47.949757197941807</v>
      </c>
      <c r="G263" s="110">
        <f t="shared" si="98"/>
        <v>0.90854653982856659</v>
      </c>
      <c r="H263" s="412" t="b">
        <f>Wh_hp&gt;='2019'!Maxi_hp</f>
        <v>0</v>
      </c>
      <c r="I263" s="388">
        <f>IF(H263,Wh_hp,'2019'!Maxi_hp)</f>
        <v>54.427802265876565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1.1395220389846306E-2</v>
      </c>
      <c r="M263" s="832"/>
      <c r="N263" s="832"/>
      <c r="O263" s="48">
        <f>IF(t&lt;Tnet,'2019'!Resal+('2019'!Salim-'2019'!Resal)*(1-EXP(('2019'!Tnet-t)/('2019'!Tau_j))),Resal+(Salim-Resal)*(1-EXP((Tnet-t)/(Tau_j))))*Salcycl</f>
        <v>4.4083158348730285E-2</v>
      </c>
      <c r="P263" s="169">
        <f>(INDEX(Models!$BJ263:$BT263,,T263)*(1-R263)+INDEX(Models!$BJ263:$BT263,,T263+1)*R263-ERP_i)*Q263*Ramure*Pc/MaxiM</f>
        <v>2.2006115264774426E-4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49.863926166874954</v>
      </c>
      <c r="W263" s="58"/>
      <c r="X263" s="157">
        <f t="shared" si="84"/>
        <v>44079</v>
      </c>
      <c r="Y263" s="383">
        <f t="shared" si="85"/>
        <v>45.305</v>
      </c>
      <c r="Z263" s="383">
        <f t="shared" si="86"/>
        <v>45.827211171147248</v>
      </c>
      <c r="AA263" s="384">
        <f t="shared" si="87"/>
        <v>47.940583505134626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4.4083158348730285E-2</v>
      </c>
      <c r="AD263" s="230">
        <f>(INDEX(Models!$BJ263:$BT263,,AH263)*(1-AF263)+INDEX(Models!$BJ263:$BT263,,AH263+1)*AF263-ERP_i)*AE263*Ramure*Pc/MaxiM</f>
        <v>2.2006115264774426E-4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28.015000000000001</v>
      </c>
      <c r="C264" s="388"/>
      <c r="D264" s="391">
        <f t="shared" si="75"/>
        <v>28.338459907528648</v>
      </c>
      <c r="E264" s="383">
        <f t="shared" si="97"/>
        <v>29.646850031508855</v>
      </c>
      <c r="F264" s="383">
        <f t="shared" si="76"/>
        <v>29.64938211653412</v>
      </c>
      <c r="G264" s="110">
        <f t="shared" si="98"/>
        <v>0.56449699513495155</v>
      </c>
      <c r="H264" s="412" t="b">
        <f>Wh_hp&gt;='2019'!Maxi_hp</f>
        <v>0</v>
      </c>
      <c r="I264" s="388">
        <f>IF(H264,Wh_hp,'2019'!Maxi_hp)</f>
        <v>49.351657913110358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1.1414166774910584E-2</v>
      </c>
      <c r="M264" s="832"/>
      <c r="N264" s="832"/>
      <c r="O264" s="48">
        <f>IF(t&lt;Tnet,'2019'!Resal+('2019'!Salim-'2019'!Resal)*(1-EXP(('2019'!Tnet-t)/('2019'!Tau_j))),Resal+(Salim-Resal)*(1-EXP((Tnet-t)/(Tau_j))))*Salcycl</f>
        <v>4.4132517369961523E-2</v>
      </c>
      <c r="P264" s="169">
        <f>(INDEX(Models!$BJ264:$BT264,,T264)*(1-R264)+INDEX(Models!$BJ264:$BT264,,T264+1)*R264-ERP_i)*Q264*Ramure*Pc/MaxiM</f>
        <v>2.2594859954150329E-4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49.621277814344865</v>
      </c>
      <c r="W264" s="58"/>
      <c r="X264" s="157">
        <f t="shared" si="84"/>
        <v>44080</v>
      </c>
      <c r="Y264" s="383">
        <f t="shared" si="85"/>
        <v>28.015000000000001</v>
      </c>
      <c r="Z264" s="383">
        <f t="shared" si="86"/>
        <v>28.338459907528648</v>
      </c>
      <c r="AA264" s="384">
        <f t="shared" si="87"/>
        <v>29.646850031508855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4.4132517369961523E-2</v>
      </c>
      <c r="AD264" s="230">
        <f>(INDEX(Models!$BJ264:$BT264,,AH264)*(1-AF264)+INDEX(Models!$BJ264:$BT264,,AH264+1)*AF264-ERP_i)*AE264*Ramure*Pc/MaxiM</f>
        <v>2.2594859954150329E-4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45.552999999999997</v>
      </c>
      <c r="C265" s="388"/>
      <c r="D265" s="391">
        <f t="shared" si="75"/>
        <v>46.079835962217373</v>
      </c>
      <c r="E265" s="383">
        <f t="shared" si="97"/>
        <v>48.209820111178445</v>
      </c>
      <c r="F265" s="383">
        <f t="shared" si="76"/>
        <v>48.219770599083176</v>
      </c>
      <c r="G265" s="110">
        <f t="shared" si="98"/>
        <v>0.9225633580522733</v>
      </c>
      <c r="H265" s="412" t="b">
        <f>Wh_hp&gt;='2019'!Maxi_hp</f>
        <v>1</v>
      </c>
      <c r="I265" s="388">
        <f>IF(H265,Wh_hp,'2019'!Maxi_hp)</f>
        <v>48.219770599083176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1.1433112796871647E-2</v>
      </c>
      <c r="M265" s="832"/>
      <c r="N265" s="832"/>
      <c r="O265" s="48">
        <f>IF(t&lt;Tnet,'2019'!Resal+('2019'!Salim-'2019'!Resal)*(1-EXP(('2019'!Tnet-t)/('2019'!Tau_j))),Resal+(Salim-Resal)*(1-EXP((Tnet-t)/(Tau_j))))*Salcycl</f>
        <v>4.4181541106128167E-2</v>
      </c>
      <c r="P265" s="169">
        <f>(INDEX(Models!$BJ265:$BT265,,T265)*(1-R265)+INDEX(Models!$BJ265:$BT265,,T265+1)*R265-ERP_i)*Q265*Ramure*Pc/MaxiM</f>
        <v>2.3201560912101821E-4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49.375287382936371</v>
      </c>
      <c r="W265" s="58"/>
      <c r="X265" s="157">
        <f t="shared" si="84"/>
        <v>44081</v>
      </c>
      <c r="Y265" s="383">
        <f t="shared" si="85"/>
        <v>45.552999999999997</v>
      </c>
      <c r="Z265" s="383">
        <f t="shared" si="86"/>
        <v>46.079835962217373</v>
      </c>
      <c r="AA265" s="384">
        <f t="shared" si="87"/>
        <v>48.209820111178445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4.4181541106128167E-2</v>
      </c>
      <c r="AD265" s="230">
        <f>(INDEX(Models!$BJ265:$BT265,,AH265)*(1-AF265)+INDEX(Models!$BJ265:$BT265,,AH265+1)*AF265-ERP_i)*AE265*Ramure*Pc/MaxiM</f>
        <v>2.3201560912101821E-4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47.585000000000001</v>
      </c>
      <c r="C266" s="388"/>
      <c r="D266" s="391">
        <f t="shared" si="75"/>
        <v>48.136259254826768</v>
      </c>
      <c r="E266" s="383">
        <f t="shared" si="97"/>
        <v>50.363863937895559</v>
      </c>
      <c r="F266" s="383">
        <f t="shared" si="76"/>
        <v>50.375328728188094</v>
      </c>
      <c r="G266" s="110">
        <f t="shared" si="98"/>
        <v>0.96862220478103633</v>
      </c>
      <c r="H266" s="412" t="b">
        <f>Wh_hp&gt;='2019'!Maxi_hp</f>
        <v>1</v>
      </c>
      <c r="I266" s="388">
        <f>IF(H266,Wh_hp,'2019'!Maxi_hp)</f>
        <v>50.375328728188094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1.1452058455736602E-2</v>
      </c>
      <c r="M266" s="832"/>
      <c r="N266" s="832"/>
      <c r="O266" s="48">
        <f>IF(t&lt;Tnet,'2019'!Resal+('2019'!Salim-'2019'!Resal)*(1-EXP(('2019'!Tnet-t)/('2019'!Tau_j))),Resal+(Salim-Resal)*(1-EXP((Tnet-t)/(Tau_j))))*Salcycl</f>
        <v>4.4230218035210468E-2</v>
      </c>
      <c r="P266" s="169">
        <f>(INDEX(Models!$BJ266:$BT266,,T266)*(1-R266)+INDEX(Models!$BJ266:$BT266,,T266+1)*R266-ERP_i)*Q266*Ramure*Pc/MaxiM</f>
        <v>2.3826417523395614E-4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49.125956018059831</v>
      </c>
      <c r="W266" s="58"/>
      <c r="X266" s="157">
        <f t="shared" si="84"/>
        <v>44082</v>
      </c>
      <c r="Y266" s="383">
        <f t="shared" si="85"/>
        <v>47.585000000000001</v>
      </c>
      <c r="Z266" s="383">
        <f t="shared" si="86"/>
        <v>48.136259254826768</v>
      </c>
      <c r="AA266" s="384">
        <f t="shared" si="87"/>
        <v>50.363863937895559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4.4230218035210468E-2</v>
      </c>
      <c r="AD266" s="230">
        <f>(INDEX(Models!$BJ266:$BT266,,AH266)*(1-AF266)+INDEX(Models!$BJ266:$BT266,,AH266+1)*AF266-ERP_i)*AE266*Ramure*Pc/MaxiM</f>
        <v>2.3826417523395614E-4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24.550999999999998</v>
      </c>
      <c r="C267" s="388"/>
      <c r="D267" s="391">
        <f t="shared" si="75"/>
        <v>24.83589261738619</v>
      </c>
      <c r="E267" s="383">
        <f t="shared" si="97"/>
        <v>25.986538501954495</v>
      </c>
      <c r="F267" s="383">
        <f t="shared" si="76"/>
        <v>25.988376690016047</v>
      </c>
      <c r="G267" s="110">
        <f t="shared" si="98"/>
        <v>0.50225248296757052</v>
      </c>
      <c r="H267" s="412" t="b">
        <f>Wh_hp&gt;='2019'!Maxi_hp</f>
        <v>1</v>
      </c>
      <c r="I267" s="388">
        <f>IF(H267,Wh_hp,'2019'!Maxi_hp)</f>
        <v>25.988376690016047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1.1471003751512221E-2</v>
      </c>
      <c r="M267" s="832"/>
      <c r="N267" s="832"/>
      <c r="O267" s="48">
        <f>IF(t&lt;Tnet,'2019'!Resal+('2019'!Salim-'2019'!Resal)*(1-EXP(('2019'!Tnet-t)/('2019'!Tau_j))),Resal+(Salim-Resal)*(1-EXP((Tnet-t)/(Tau_j))))*Salcycl</f>
        <v>4.4278536153699928E-2</v>
      </c>
      <c r="P267" s="169">
        <f>(INDEX(Models!$BJ267:$BT267,,T267)*(1-R267)+INDEX(Models!$BJ267:$BT267,,T267+1)*R267-ERP_i)*Q267*Ramure*Pc/MaxiM</f>
        <v>2.4469626629635934E-4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48.873284877667516</v>
      </c>
      <c r="W267" s="58"/>
      <c r="X267" s="157">
        <f t="shared" si="84"/>
        <v>44083</v>
      </c>
      <c r="Y267" s="383">
        <f t="shared" si="85"/>
        <v>24.550999999999998</v>
      </c>
      <c r="Z267" s="383">
        <f t="shared" si="86"/>
        <v>24.83589261738619</v>
      </c>
      <c r="AA267" s="384">
        <f t="shared" si="87"/>
        <v>25.986538501954495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4.4278536153699928E-2</v>
      </c>
      <c r="AD267" s="230">
        <f>(INDEX(Models!$BJ267:$BT267,,AH267)*(1-AF267)+INDEX(Models!$BJ267:$BT267,,AH267+1)*AF267-ERP_i)*AE267*Ramure*Pc/MaxiM</f>
        <v>2.4469626629635934E-4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43.604999999999997</v>
      </c>
      <c r="C268" s="388"/>
      <c r="D268" s="391">
        <f t="shared" si="75"/>
        <v>44.111842810255581</v>
      </c>
      <c r="E268" s="383">
        <f t="shared" si="97"/>
        <v>46.157858331464432</v>
      </c>
      <c r="F268" s="383">
        <f t="shared" si="76"/>
        <v>46.167756947234523</v>
      </c>
      <c r="G268" s="110">
        <f t="shared" si="98"/>
        <v>0.89687030266440115</v>
      </c>
      <c r="H268" s="412" t="b">
        <f>Wh_hp&gt;='2019'!Maxi_hp</f>
        <v>0</v>
      </c>
      <c r="I268" s="388">
        <f>IF(H268,Wh_hp,'2019'!Maxi_hp)</f>
        <v>47.570695071045627</v>
      </c>
      <c r="J268" s="85">
        <f>IF(H268,An,'2019'!An_max)</f>
        <v>2018</v>
      </c>
      <c r="K268" s="197">
        <f t="shared" si="77"/>
        <v>44084</v>
      </c>
      <c r="L268" s="147">
        <f>IF(t&lt;Tvie,1-EXP((T0-t)*PertePVj)+'2019'!Pspv,1-EXP((T0-t)*PertePVj)+Pspv)</f>
        <v>1.1489948684205609E-2</v>
      </c>
      <c r="M268" s="832"/>
      <c r="N268" s="832"/>
      <c r="O268" s="48">
        <f>IF(t&lt;Tnet,'2019'!Resal+('2019'!Salim-'2019'!Resal)*(1-EXP(('2019'!Tnet-t)/('2019'!Tau_j))),Resal+(Salim-Resal)*(1-EXP((Tnet-t)/(Tau_j))))*Salcycl</f>
        <v>4.4326482968863053E-2</v>
      </c>
      <c r="P268" s="169">
        <f>(INDEX(Models!$BJ268:$BT268,,T268)*(1-R268)+INDEX(Models!$BJ268:$BT268,,T268+1)*R268-ERP_i)*Q268*Ramure*Pc/MaxiM</f>
        <v>2.5143723322094882E-4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48.617269130771191</v>
      </c>
      <c r="W268" s="58"/>
      <c r="X268" s="157">
        <f t="shared" si="84"/>
        <v>44084</v>
      </c>
      <c r="Y268" s="383">
        <f t="shared" si="85"/>
        <v>43.604999999999997</v>
      </c>
      <c r="Z268" s="383">
        <f t="shared" si="86"/>
        <v>44.111842810255581</v>
      </c>
      <c r="AA268" s="384">
        <f t="shared" si="87"/>
        <v>46.157858331464432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4.4326482968863053E-2</v>
      </c>
      <c r="AD268" s="230">
        <f>(INDEX(Models!$BJ268:$BT268,,AH268)*(1-AF268)+INDEX(Models!$BJ268:$BT268,,AH268+1)*AF268-ERP_i)*AE268*Ramure*Pc/MaxiM</f>
        <v>2.5143723322094882E-4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43.33</v>
      </c>
      <c r="C269" s="388"/>
      <c r="D269" s="391">
        <f t="shared" si="75"/>
        <v>43.834486425102689</v>
      </c>
      <c r="E269" s="383">
        <f t="shared" si="97"/>
        <v>45.869920357961234</v>
      </c>
      <c r="F269" s="383">
        <f t="shared" si="76"/>
        <v>45.880018194961629</v>
      </c>
      <c r="G269" s="110">
        <f t="shared" si="98"/>
        <v>0.89599273120057943</v>
      </c>
      <c r="H269" s="412" t="b">
        <f>Wh_hp&gt;='2019'!Maxi_hp</f>
        <v>0</v>
      </c>
      <c r="I269" s="388">
        <f>IF(H269,Wh_hp,'2019'!Maxi_hp)</f>
        <v>50.716513586551613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1.150889325382376E-2</v>
      </c>
      <c r="M269" s="832"/>
      <c r="N269" s="832"/>
      <c r="O269" s="48">
        <f>IF(t&lt;Tnet,'2019'!Resal+('2019'!Salim-'2019'!Resal)*(1-EXP(('2019'!Tnet-t)/('2019'!Tau_j))),Resal+(Salim-Resal)*(1-EXP((Tnet-t)/(Tau_j))))*Salcycl</f>
        <v>4.4374045495923109E-2</v>
      </c>
      <c r="P269" s="169">
        <f>(INDEX(Models!$BJ269:$BT269,,T269)*(1-R269)+INDEX(Models!$BJ269:$BT269,,T269+1)*R269-ERP_i)*Q269*Ramure*Pc/MaxiM</f>
        <v>2.5848585269228053E-4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48.3579102047484</v>
      </c>
      <c r="W269" s="58"/>
      <c r="X269" s="157">
        <f t="shared" si="84"/>
        <v>44085</v>
      </c>
      <c r="Y269" s="383">
        <f t="shared" si="85"/>
        <v>43.33</v>
      </c>
      <c r="Z269" s="383">
        <f t="shared" si="86"/>
        <v>43.834486425102689</v>
      </c>
      <c r="AA269" s="384">
        <f t="shared" si="87"/>
        <v>45.869920357961234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4.4374045495923109E-2</v>
      </c>
      <c r="AD269" s="230">
        <f>(INDEX(Models!$BJ269:$BT269,,AH269)*(1-AF269)+INDEX(Models!$BJ269:$BT269,,AH269+1)*AF269-ERP_i)*AE269*Ramure*Pc/MaxiM</f>
        <v>2.5848585269228053E-4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46.220999999999997</v>
      </c>
      <c r="C270" s="388"/>
      <c r="D270" s="391">
        <f t="shared" si="75"/>
        <v>46.760042165726702</v>
      </c>
      <c r="E270" s="383">
        <f t="shared" si="97"/>
        <v>48.933738031677976</v>
      </c>
      <c r="F270" s="383">
        <f t="shared" si="76"/>
        <v>48.946025733501244</v>
      </c>
      <c r="G270" s="110">
        <f t="shared" si="98"/>
        <v>0.96101704176742586</v>
      </c>
      <c r="H270" s="412" t="b">
        <f>Wh_hp&gt;='2019'!Maxi_hp</f>
        <v>1</v>
      </c>
      <c r="I270" s="388">
        <f>IF(H270,Wh_hp,'2019'!Maxi_hp)</f>
        <v>48.946025733501244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1.1527837460373447E-2</v>
      </c>
      <c r="M270" s="832"/>
      <c r="N270" s="832"/>
      <c r="O270" s="48">
        <f>IF(t&lt;Tnet,'2019'!Resal+('2019'!Salim-'2019'!Resal)*(1-EXP(('2019'!Tnet-t)/('2019'!Tau_j))),Resal+(Salim-Resal)*(1-EXP((Tnet-t)/(Tau_j))))*Salcycl</f>
        <v>4.4421210260783613E-2</v>
      </c>
      <c r="P270" s="169">
        <f>(INDEX(Models!$BJ270:$BT270,,T270)*(1-R270)+INDEX(Models!$BJ270:$BT270,,T270+1)*R270-ERP_i)*Q270*Ramure*Pc/MaxiM</f>
        <v>2.6584547158284158E-4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48.09520931576342</v>
      </c>
      <c r="W270" s="58"/>
      <c r="X270" s="157">
        <f t="shared" si="84"/>
        <v>44086</v>
      </c>
      <c r="Y270" s="383">
        <f t="shared" si="85"/>
        <v>46.220999999999997</v>
      </c>
      <c r="Z270" s="383">
        <f t="shared" si="86"/>
        <v>46.760042165726702</v>
      </c>
      <c r="AA270" s="384">
        <f t="shared" si="87"/>
        <v>48.933738031677976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4.4421210260783613E-2</v>
      </c>
      <c r="AD270" s="230">
        <f>(INDEX(Models!$BJ270:$BT270,,AH270)*(1-AF270)+INDEX(Models!$BJ270:$BT270,,AH270+1)*AF270-ERP_i)*AE270*Ramure*Pc/MaxiM</f>
        <v>2.6584547158284158E-4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45.725000000000001</v>
      </c>
      <c r="C271" s="388"/>
      <c r="D271" s="391">
        <f t="shared" ref="D271:D334" si="99">Wh/(1-Ppv)</f>
        <v>46.259144221630976</v>
      </c>
      <c r="E271" s="383">
        <f t="shared" si="97"/>
        <v>48.41192387627288</v>
      </c>
      <c r="F271" s="383">
        <f t="shared" ref="F271:F334" si="100">Wh_sa/(1-Pvg*MEDIAN((-Sdif+Wh/Env_an)/Csdif,0,1))</f>
        <v>48.424336454195235</v>
      </c>
      <c r="G271" s="110">
        <f t="shared" si="98"/>
        <v>0.95599016225916833</v>
      </c>
      <c r="H271" s="412" t="b">
        <f>Wh_hp&gt;='2019'!Maxi_hp</f>
        <v>1</v>
      </c>
      <c r="I271" s="388">
        <f>IF(H271,Wh_hp,'2019'!Maxi_hp)</f>
        <v>48.424336454195235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1.1546781303861775E-2</v>
      </c>
      <c r="M271" s="832"/>
      <c r="N271" s="832"/>
      <c r="O271" s="48">
        <f>IF(t&lt;Tnet,'2019'!Resal+('2019'!Salim-'2019'!Resal)*(1-EXP(('2019'!Tnet-t)/('2019'!Tau_j))),Resal+(Salim-Resal)*(1-EXP((Tnet-t)/(Tau_j))))*Salcycl</f>
        <v>4.4467963308869936E-2</v>
      </c>
      <c r="P271" s="169">
        <f>(INDEX(Models!$BJ271:$BT271,,T271)*(1-R271)+INDEX(Models!$BJ271:$BT271,,T271+1)*R271-ERP_i)*Q271*Ramure*Pc/MaxiM</f>
        <v>2.7351940340182893E-4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47.829167691957188</v>
      </c>
      <c r="W271" s="58"/>
      <c r="X271" s="157">
        <f t="shared" ref="X271:X334" si="108">t</f>
        <v>44087</v>
      </c>
      <c r="Y271" s="383">
        <f t="shared" ref="Y271:Y334" si="109">Wh_pvt_s*(1-Ppv)</f>
        <v>45.725000000000001</v>
      </c>
      <c r="Z271" s="383">
        <f t="shared" ref="Z271:Z334" si="110">Wh_sa_s*(1-Psa_s)</f>
        <v>46.259144221630976</v>
      </c>
      <c r="AA271" s="384">
        <f t="shared" ref="AA271:AA334" si="111">Wh_hp*(1-Pvg_s*MEDIAN((-Sdif+Wh/Env_an)/Csdif,0,1))</f>
        <v>48.41192387627288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4.4467963308869936E-2</v>
      </c>
      <c r="AD271" s="230">
        <f>(INDEX(Models!$BJ271:$BT271,,AH271)*(1-AF271)+INDEX(Models!$BJ271:$BT271,,AH271+1)*AF271-ERP_i)*AE271*Ramure*Pc/MaxiM</f>
        <v>2.7351940340182893E-4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46.771999999999998</v>
      </c>
      <c r="C272" s="388"/>
      <c r="D272" s="391">
        <f t="shared" si="99"/>
        <v>47.319281790175701</v>
      </c>
      <c r="E272" s="383">
        <f t="shared" si="97"/>
        <v>49.5237985308029</v>
      </c>
      <c r="F272" s="383">
        <f t="shared" si="100"/>
        <v>49.537413864977964</v>
      </c>
      <c r="G272" s="110">
        <f t="shared" si="98"/>
        <v>0.98342931535476741</v>
      </c>
      <c r="H272" s="412" t="b">
        <f>Wh_hp&gt;='2019'!Maxi_hp</f>
        <v>1</v>
      </c>
      <c r="I272" s="388">
        <f>IF(H272,Wh_hp,'2019'!Maxi_hp)</f>
        <v>49.537413864977964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1.1565724784295628E-2</v>
      </c>
      <c r="M272" s="832"/>
      <c r="N272" s="832"/>
      <c r="O272" s="48">
        <f>IF(t&lt;Tnet,'2019'!Resal+('2019'!Salim-'2019'!Resal)*(1-EXP(('2019'!Tnet-t)/('2019'!Tau_j))),Resal+(Salim-Resal)*(1-EXP((Tnet-t)/(Tau_j))))*Salcycl</f>
        <v>4.4514290220610368E-2</v>
      </c>
      <c r="P272" s="169">
        <f>(INDEX(Models!$BJ272:$BT272,,T272)*(1-R272)+INDEX(Models!$BJ272:$BT272,,T272+1)*R272-ERP_i)*Q272*Ramure*Pc/MaxiM</f>
        <v>2.8151092069500023E-4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47.559786572156888</v>
      </c>
      <c r="W272" s="58"/>
      <c r="X272" s="157">
        <f t="shared" si="108"/>
        <v>44088</v>
      </c>
      <c r="Y272" s="383">
        <f t="shared" si="109"/>
        <v>46.771999999999998</v>
      </c>
      <c r="Z272" s="383">
        <f t="shared" si="110"/>
        <v>47.319281790175701</v>
      </c>
      <c r="AA272" s="384">
        <f t="shared" si="111"/>
        <v>49.5237985308029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4.4514290220610368E-2</v>
      </c>
      <c r="AD272" s="230">
        <f>(INDEX(Models!$BJ272:$BT272,,AH272)*(1-AF272)+INDEX(Models!$BJ272:$BT272,,AH272+1)*AF272-ERP_i)*AE272*Ramure*Pc/MaxiM</f>
        <v>2.8151092069500023E-4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40.478999999999999</v>
      </c>
      <c r="C273" s="388"/>
      <c r="D273" s="391">
        <f t="shared" si="99"/>
        <v>40.953431908089364</v>
      </c>
      <c r="E273" s="383">
        <f t="shared" si="97"/>
        <v>42.863434080421676</v>
      </c>
      <c r="F273" s="383">
        <f t="shared" si="100"/>
        <v>42.873304097627468</v>
      </c>
      <c r="G273" s="110">
        <f t="shared" si="98"/>
        <v>0.85597582805061434</v>
      </c>
      <c r="H273" s="412" t="b">
        <f>Wh_hp&gt;='2019'!Maxi_hp</f>
        <v>0</v>
      </c>
      <c r="I273" s="388">
        <f>IF(H273,Wh_hp,'2019'!Maxi_hp)</f>
        <v>43.865326468567289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1.1584667901682111E-2</v>
      </c>
      <c r="M273" s="832"/>
      <c r="N273" s="832"/>
      <c r="O273" s="48">
        <f>IF(t&lt;Tnet,'2019'!Resal+('2019'!Salim-'2019'!Resal)*(1-EXP(('2019'!Tnet-t)/('2019'!Tau_j))),Resal+(Salim-Resal)*(1-EXP((Tnet-t)/(Tau_j))))*Salcycl</f>
        <v>4.4560176134014598E-2</v>
      </c>
      <c r="P273" s="169">
        <f>(INDEX(Models!$BJ273:$BT273,,T273)*(1-R273)+INDEX(Models!$BJ273:$BT273,,T273+1)*R273-ERP_i)*Q273*Ramure*Pc/MaxiM</f>
        <v>2.8982324729279467E-4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47.287067202821248</v>
      </c>
      <c r="W273" s="58"/>
      <c r="X273" s="157">
        <f t="shared" si="108"/>
        <v>44089</v>
      </c>
      <c r="Y273" s="383">
        <f t="shared" si="109"/>
        <v>40.478999999999999</v>
      </c>
      <c r="Z273" s="383">
        <f t="shared" si="110"/>
        <v>40.953431908089364</v>
      </c>
      <c r="AA273" s="384">
        <f t="shared" si="111"/>
        <v>42.863434080421676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4.4560176134014598E-2</v>
      </c>
      <c r="AD273" s="230">
        <f>(INDEX(Models!$BJ273:$BT273,,AH273)*(1-AF273)+INDEX(Models!$BJ273:$BT273,,AH273+1)*AF273-ERP_i)*AE273*Ramure*Pc/MaxiM</f>
        <v>2.8982324729279467E-4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41.162999999999997</v>
      </c>
      <c r="C274" s="388"/>
      <c r="D274" s="391">
        <f t="shared" si="99"/>
        <v>41.646246833541248</v>
      </c>
      <c r="E274" s="383">
        <f t="shared" si="97"/>
        <v>43.590633444434822</v>
      </c>
      <c r="F274" s="383">
        <f t="shared" si="100"/>
        <v>43.601334104164124</v>
      </c>
      <c r="G274" s="110">
        <f t="shared" si="98"/>
        <v>0.87555692763313864</v>
      </c>
      <c r="H274" s="412" t="b">
        <f>Wh_hp&gt;='2019'!Maxi_hp</f>
        <v>1</v>
      </c>
      <c r="I274" s="388">
        <f>IF(H274,Wh_hp,'2019'!Maxi_hp)</f>
        <v>43.601334104164124</v>
      </c>
      <c r="J274" s="85">
        <f>IF(H274,An,'2019'!An_max)</f>
        <v>2020</v>
      </c>
      <c r="K274" s="197">
        <f t="shared" si="101"/>
        <v>44090</v>
      </c>
      <c r="L274" s="147">
        <f>IF(t&lt;Tvie,1-EXP((T0-t)*PertePVj)+'2019'!Pspv,1-EXP((T0-t)*PertePVj)+Pspv)</f>
        <v>1.1603610656027996E-2</v>
      </c>
      <c r="M274" s="832"/>
      <c r="N274" s="832"/>
      <c r="O274" s="48">
        <f>IF(t&lt;Tnet,'2019'!Resal+('2019'!Salim-'2019'!Resal)*(1-EXP(('2019'!Tnet-t)/('2019'!Tau_j))),Resal+(Salim-Resal)*(1-EXP((Tnet-t)/(Tau_j))))*Salcycl</f>
        <v>4.4605605774738009E-2</v>
      </c>
      <c r="P274" s="169">
        <f>(INDEX(Models!$BJ274:$BT274,,T274)*(1-R274)+INDEX(Models!$BJ274:$BT274,,T274+1)*R274-ERP_i)*Q274*Ramure*Pc/MaxiM</f>
        <v>2.9845955048655548E-4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47.011010840247813</v>
      </c>
      <c r="W274" s="58"/>
      <c r="X274" s="157">
        <f t="shared" si="108"/>
        <v>44090</v>
      </c>
      <c r="Y274" s="383">
        <f t="shared" si="109"/>
        <v>41.162999999999997</v>
      </c>
      <c r="Z274" s="383">
        <f t="shared" si="110"/>
        <v>41.646246833541248</v>
      </c>
      <c r="AA274" s="384">
        <f t="shared" si="111"/>
        <v>43.590633444434822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4.4605605774738009E-2</v>
      </c>
      <c r="AD274" s="230">
        <f>(INDEX(Models!$BJ274:$BT274,,AH274)*(1-AF274)+INDEX(Models!$BJ274:$BT274,,AH274+1)*AF274-ERP_i)*AE274*Ramure*Pc/MaxiM</f>
        <v>2.9845955048655548E-4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41.536000000000001</v>
      </c>
      <c r="C275" s="388"/>
      <c r="D275" s="391">
        <f t="shared" si="99"/>
        <v>42.024431180681773</v>
      </c>
      <c r="E275" s="383">
        <f t="shared" si="97"/>
        <v>43.98854447894503</v>
      </c>
      <c r="F275" s="383">
        <f t="shared" si="100"/>
        <v>43.999922794337635</v>
      </c>
      <c r="G275" s="110">
        <f t="shared" si="98"/>
        <v>0.88878091863813979</v>
      </c>
      <c r="H275" s="412" t="b">
        <f>Wh_hp&gt;='2019'!Maxi_hp</f>
        <v>1</v>
      </c>
      <c r="I275" s="388">
        <f>IF(H275,Wh_hp,'2019'!Maxi_hp)</f>
        <v>43.999922794337635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1.1622553047340278E-2</v>
      </c>
      <c r="M275" s="832"/>
      <c r="N275" s="832"/>
      <c r="O275" s="48">
        <f>IF(t&lt;Tnet,'2019'!Resal+('2019'!Salim-'2019'!Resal)*(1-EXP(('2019'!Tnet-t)/('2019'!Tau_j))),Resal+(Salim-Resal)*(1-EXP((Tnet-t)/(Tau_j))))*Salcycl</f>
        <v>4.4650563493942676E-2</v>
      </c>
      <c r="P275" s="169">
        <f>(INDEX(Models!$BJ275:$BT275,,T275)*(1-R275)+INDEX(Models!$BJ275:$BT275,,T275+1)*R275-ERP_i)*Q275*Ramure*Pc/MaxiM</f>
        <v>3.0742441021966649E-4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46.731394174545166</v>
      </c>
      <c r="W275" s="58"/>
      <c r="X275" s="157">
        <f t="shared" si="108"/>
        <v>44091</v>
      </c>
      <c r="Y275" s="383">
        <f t="shared" si="109"/>
        <v>41.536000000000001</v>
      </c>
      <c r="Z275" s="383">
        <f t="shared" si="110"/>
        <v>42.024431180681773</v>
      </c>
      <c r="AA275" s="384">
        <f t="shared" si="111"/>
        <v>43.98854447894503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4.4650563493942676E-2</v>
      </c>
      <c r="AD275" s="230">
        <f>(INDEX(Models!$BJ275:$BT275,,AH275)*(1-AF275)+INDEX(Models!$BJ275:$BT275,,AH275+1)*AF275-ERP_i)*AE275*Ramure*Pc/MaxiM</f>
        <v>3.0742441021966649E-4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19.276</v>
      </c>
      <c r="C276" s="388"/>
      <c r="D276" s="391">
        <f t="shared" si="99"/>
        <v>19.503044597643179</v>
      </c>
      <c r="E276" s="383">
        <f t="shared" si="97"/>
        <v>20.415516801199058</v>
      </c>
      <c r="F276" s="383">
        <f t="shared" si="100"/>
        <v>20.416579285986888</v>
      </c>
      <c r="G276" s="110">
        <f t="shared" si="98"/>
        <v>0.41489131005833002</v>
      </c>
      <c r="H276" s="412" t="b">
        <f>Wh_hp&gt;='2019'!Maxi_hp</f>
        <v>0</v>
      </c>
      <c r="I276" s="388">
        <f>IF(H276,Wh_hp,'2019'!Maxi_hp)</f>
        <v>42.678942947106243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1.1641495075626063E-2</v>
      </c>
      <c r="M276" s="832"/>
      <c r="N276" s="832"/>
      <c r="O276" s="48">
        <f>IF(t&lt;Tnet,'2019'!Resal+('2019'!Salim-'2019'!Resal)*(1-EXP(('2019'!Tnet-t)/('2019'!Tau_j))),Resal+(Salim-Resal)*(1-EXP((Tnet-t)/(Tau_j))))*Salcycl</f>
        <v>4.4695033314184222E-2</v>
      </c>
      <c r="P276" s="169">
        <f>(INDEX(Models!$BJ276:$BT276,,T276)*(1-R276)+INDEX(Models!$BJ276:$BT276,,T276+1)*R276-ERP_i)*Q276*Ramure*Pc/MaxiM</f>
        <v>3.1676376659366237E-4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46.448061112841302</v>
      </c>
      <c r="W276" s="58"/>
      <c r="X276" s="157">
        <f t="shared" si="108"/>
        <v>44092</v>
      </c>
      <c r="Y276" s="383">
        <f t="shared" si="109"/>
        <v>19.276</v>
      </c>
      <c r="Z276" s="383">
        <f t="shared" si="110"/>
        <v>19.503044597643179</v>
      </c>
      <c r="AA276" s="384">
        <f t="shared" si="111"/>
        <v>20.415516801199058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4.4695033314184222E-2</v>
      </c>
      <c r="AD276" s="230">
        <f>(INDEX(Models!$BJ276:$BT276,,AH276)*(1-AF276)+INDEX(Models!$BJ276:$BT276,,AH276+1)*AF276-ERP_i)*AE276*Ramure*Pc/MaxiM</f>
        <v>3.1676376659366237E-4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32.499000000000002</v>
      </c>
      <c r="C277" s="388"/>
      <c r="D277" s="391">
        <f t="shared" si="99"/>
        <v>32.882423418154623</v>
      </c>
      <c r="E277" s="383">
        <f t="shared" si="97"/>
        <v>34.422449344381292</v>
      </c>
      <c r="F277" s="383">
        <f t="shared" si="100"/>
        <v>34.428934520362347</v>
      </c>
      <c r="G277" s="110">
        <f t="shared" si="98"/>
        <v>0.70393683854248212</v>
      </c>
      <c r="H277" s="412" t="b">
        <f>Wh_hp&gt;='2019'!Maxi_hp</f>
        <v>0</v>
      </c>
      <c r="I277" s="388">
        <f>IF(H277,Wh_hp,'2019'!Maxi_hp)</f>
        <v>47.27532550671782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1.1660436740892122E-2</v>
      </c>
      <c r="M277" s="832"/>
      <c r="N277" s="832"/>
      <c r="O277" s="48">
        <f>IF(t&lt;Tnet,'2019'!Resal+('2019'!Salim-'2019'!Resal)*(1-EXP(('2019'!Tnet-t)/('2019'!Tau_j))),Resal+(Salim-Resal)*(1-EXP((Tnet-t)/(Tau_j))))*Salcycl</f>
        <v>4.4738998983465554E-2</v>
      </c>
      <c r="P277" s="169">
        <f>(INDEX(Models!$BJ277:$BT277,,T277)*(1-R277)+INDEX(Models!$BJ277:$BT277,,T277+1)*R277-ERP_i)*Q277*Ramure*Pc/MaxiM</f>
        <v>3.2634601123727964E-4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46.16112284873175</v>
      </c>
      <c r="W277" s="58"/>
      <c r="X277" s="157">
        <f t="shared" si="108"/>
        <v>44093</v>
      </c>
      <c r="Y277" s="383">
        <f t="shared" si="109"/>
        <v>32.499000000000002</v>
      </c>
      <c r="Z277" s="383">
        <f t="shared" si="110"/>
        <v>32.882423418154623</v>
      </c>
      <c r="AA277" s="384">
        <f t="shared" si="111"/>
        <v>34.422449344381292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4.4738998983465554E-2</v>
      </c>
      <c r="AD277" s="230">
        <f>(INDEX(Models!$BJ277:$BT277,,AH277)*(1-AF277)+INDEX(Models!$BJ277:$BT277,,AH277+1)*AF277-ERP_i)*AE277*Ramure*Pc/MaxiM</f>
        <v>3.2634601123727964E-4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31.495999999999999</v>
      </c>
      <c r="C278" s="388"/>
      <c r="D278" s="391">
        <f t="shared" si="99"/>
        <v>31.868200764280893</v>
      </c>
      <c r="E278" s="383">
        <f t="shared" si="97"/>
        <v>33.362243569916366</v>
      </c>
      <c r="F278" s="383">
        <f t="shared" si="100"/>
        <v>33.368439275647795</v>
      </c>
      <c r="G278" s="110">
        <f t="shared" si="98"/>
        <v>0.68652254845351102</v>
      </c>
      <c r="H278" s="412" t="b">
        <f>Wh_hp&gt;='2019'!Maxi_hp</f>
        <v>0</v>
      </c>
      <c r="I278" s="388">
        <f>IF(H278,Wh_hp,'2019'!Maxi_hp)</f>
        <v>34.248415791465085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1.167937804314545E-2</v>
      </c>
      <c r="M278" s="832"/>
      <c r="N278" s="832"/>
      <c r="O278" s="48">
        <f>IF(t&lt;Tnet,'2019'!Resal+('2019'!Salim-'2019'!Resal)*(1-EXP(('2019'!Tnet-t)/('2019'!Tau_j))),Resal+(Salim-Resal)*(1-EXP((Tnet-t)/(Tau_j))))*Salcycl</f>
        <v>4.478244403750737E-2</v>
      </c>
      <c r="P278" s="169">
        <f>(INDEX(Models!$BJ278:$BT278,,T278)*(1-R278)+INDEX(Models!$BJ278:$BT278,,T278+1)*R278-ERP_i)*Q278*Ramure*Pc/MaxiM</f>
        <v>3.3617234338833825E-4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45.870684285520475</v>
      </c>
      <c r="W278" s="58"/>
      <c r="X278" s="157">
        <f t="shared" si="108"/>
        <v>44094</v>
      </c>
      <c r="Y278" s="383">
        <f t="shared" si="109"/>
        <v>31.496000000000002</v>
      </c>
      <c r="Z278" s="383">
        <f t="shared" si="110"/>
        <v>31.868200764280896</v>
      </c>
      <c r="AA278" s="384">
        <f t="shared" si="111"/>
        <v>33.362243569916366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4.478244403750737E-2</v>
      </c>
      <c r="AD278" s="230">
        <f>(INDEX(Models!$BJ278:$BT278,,AH278)*(1-AF278)+INDEX(Models!$BJ278:$BT278,,AH278+1)*AF278-ERP_i)*AE278*Ramure*Pc/MaxiM</f>
        <v>3.3617234338833825E-4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27.753</v>
      </c>
      <c r="C279" s="388"/>
      <c r="D279" s="391">
        <f t="shared" si="99"/>
        <v>28.081506419602629</v>
      </c>
      <c r="E279" s="383">
        <f t="shared" si="97"/>
        <v>29.399342282152283</v>
      </c>
      <c r="F279" s="383">
        <f t="shared" si="100"/>
        <v>29.40383536658749</v>
      </c>
      <c r="G279" s="110">
        <f t="shared" si="98"/>
        <v>0.60880974723265491</v>
      </c>
      <c r="H279" s="412" t="b">
        <f>Wh_hp&gt;='2019'!Maxi_hp</f>
        <v>1</v>
      </c>
      <c r="I279" s="388">
        <f>IF(H279,Wh_hp,'2019'!Maxi_hp)</f>
        <v>29.40383536658749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1.1698318982393041E-2</v>
      </c>
      <c r="M279" s="832"/>
      <c r="N279" s="832"/>
      <c r="O279" s="48">
        <f>IF(t&lt;Tnet,'2019'!Resal+('2019'!Salim-'2019'!Resal)*(1-EXP(('2019'!Tnet-t)/('2019'!Tau_j))),Resal+(Salim-Resal)*(1-EXP((Tnet-t)/(Tau_j))))*Salcycl</f>
        <v>4.4825351870190738E-2</v>
      </c>
      <c r="P279" s="169">
        <f>(INDEX(Models!$BJ279:$BT279,,T279)*(1-R279)+INDEX(Models!$BJ279:$BT279,,T279+1)*R279-ERP_i)*Q279*Ramure*Pc/MaxiM</f>
        <v>3.4624378821423632E-4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45.576850286295517</v>
      </c>
      <c r="W279" s="58"/>
      <c r="X279" s="157">
        <f t="shared" si="108"/>
        <v>44095</v>
      </c>
      <c r="Y279" s="383">
        <f t="shared" si="109"/>
        <v>27.753</v>
      </c>
      <c r="Z279" s="383">
        <f t="shared" si="110"/>
        <v>28.081506419602629</v>
      </c>
      <c r="AA279" s="384">
        <f t="shared" si="111"/>
        <v>29.399342282152283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4.4825351870190738E-2</v>
      </c>
      <c r="AD279" s="230">
        <f>(INDEX(Models!$BJ279:$BT279,,AH279)*(1-AF279)+INDEX(Models!$BJ279:$BT279,,AH279+1)*AF279-ERP_i)*AE279*Ramure*Pc/MaxiM</f>
        <v>3.4624378821423632E-4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25.324999999999999</v>
      </c>
      <c r="C280" s="388"/>
      <c r="D280" s="391">
        <f t="shared" si="99"/>
        <v>25.625257796862954</v>
      </c>
      <c r="E280" s="383">
        <f t="shared" si="97"/>
        <v>26.829014109138576</v>
      </c>
      <c r="F280" s="383">
        <f t="shared" si="100"/>
        <v>26.832558199295637</v>
      </c>
      <c r="G280" s="110">
        <f t="shared" si="98"/>
        <v>0.55917552355124012</v>
      </c>
      <c r="H280" s="412" t="b">
        <f>Wh_hp&gt;='2019'!Maxi_hp</f>
        <v>0</v>
      </c>
      <c r="I280" s="388">
        <f>IF(H280,Wh_hp,'2019'!Maxi_hp)</f>
        <v>41.863369362780062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1.171725955864189E-2</v>
      </c>
      <c r="M280" s="832"/>
      <c r="N280" s="832"/>
      <c r="O280" s="48">
        <f>IF(t&lt;Tnet,'2019'!Resal+('2019'!Salim-'2019'!Resal)*(1-EXP(('2019'!Tnet-t)/('2019'!Tau_j))),Resal+(Salim-Resal)*(1-EXP((Tnet-t)/(Tau_j))))*Salcycl</f>
        <v>4.4867705812029673E-2</v>
      </c>
      <c r="P280" s="169">
        <f>(INDEX(Models!$BJ280:$BT280,,T280)*(1-R280)+INDEX(Models!$BJ280:$BT280,,T280+1)*R280-ERP_i)*Q280*Ramure*Pc/MaxiM</f>
        <v>3.5656308133020847E-4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45.279725581471418</v>
      </c>
      <c r="W280" s="58"/>
      <c r="X280" s="157">
        <f t="shared" si="108"/>
        <v>44096</v>
      </c>
      <c r="Y280" s="383">
        <f t="shared" si="109"/>
        <v>25.324999999999999</v>
      </c>
      <c r="Z280" s="383">
        <f t="shared" si="110"/>
        <v>25.625257796862954</v>
      </c>
      <c r="AA280" s="384">
        <f t="shared" si="111"/>
        <v>26.829014109138576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4.4867705812029673E-2</v>
      </c>
      <c r="AD280" s="230">
        <f>(INDEX(Models!$BJ280:$BT280,,AH280)*(1-AF280)+INDEX(Models!$BJ280:$BT280,,AH280+1)*AF280-ERP_i)*AE280*Ramure*Pc/MaxiM</f>
        <v>3.5656308133020847E-4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37.786000000000001</v>
      </c>
      <c r="C281" s="388"/>
      <c r="D281" s="391">
        <f t="shared" si="99"/>
        <v>38.234730434605233</v>
      </c>
      <c r="E281" s="383">
        <f t="shared" si="97"/>
        <v>40.032572832534044</v>
      </c>
      <c r="F281" s="383">
        <f t="shared" si="100"/>
        <v>40.0439154518075</v>
      </c>
      <c r="G281" s="110">
        <f t="shared" si="98"/>
        <v>0.84000269455018195</v>
      </c>
      <c r="H281" s="412" t="b">
        <f>Wh_hp&gt;='2019'!Maxi_hp</f>
        <v>1</v>
      </c>
      <c r="I281" s="388">
        <f>IF(H281,Wh_hp,'2019'!Maxi_hp)</f>
        <v>40.0439154518075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1.1736199771898992E-2</v>
      </c>
      <c r="M281" s="832"/>
      <c r="N281" s="832"/>
      <c r="O281" s="48">
        <f>IF(t&lt;Tnet,'2019'!Resal+('2019'!Salim-'2019'!Resal)*(1-EXP(('2019'!Tnet-t)/('2019'!Tau_j))),Resal+(Salim-Resal)*(1-EXP((Tnet-t)/(Tau_j))))*Salcycl</f>
        <v>4.4909489216434353E-2</v>
      </c>
      <c r="P281" s="169">
        <f>(INDEX(Models!$BJ281:$BT281,,T281)*(1-R281)+INDEX(Models!$BJ281:$BT281,,T281+1)*R281-ERP_i)*Q281*Ramure*Pc/MaxiM</f>
        <v>3.6713200837716723E-4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44.979414889524683</v>
      </c>
      <c r="W281" s="58"/>
      <c r="X281" s="157">
        <f t="shared" si="108"/>
        <v>44097</v>
      </c>
      <c r="Y281" s="383">
        <f t="shared" si="109"/>
        <v>37.786000000000001</v>
      </c>
      <c r="Z281" s="383">
        <f t="shared" si="110"/>
        <v>38.234730434605233</v>
      </c>
      <c r="AA281" s="384">
        <f t="shared" si="111"/>
        <v>40.032572832534044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4.4909489216434353E-2</v>
      </c>
      <c r="AD281" s="230">
        <f>(INDEX(Models!$BJ281:$BT281,,AH281)*(1-AF281)+INDEX(Models!$BJ281:$BT281,,AH281+1)*AF281-ERP_i)*AE281*Ramure*Pc/MaxiM</f>
        <v>3.6713200837716723E-4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20.876000000000001</v>
      </c>
      <c r="C282" s="388"/>
      <c r="D282" s="391">
        <f t="shared" si="99"/>
        <v>21.124319323065968</v>
      </c>
      <c r="E282" s="383">
        <f t="shared" si="97"/>
        <v>22.118563935420422</v>
      </c>
      <c r="F282" s="383">
        <f t="shared" si="100"/>
        <v>22.120563971666616</v>
      </c>
      <c r="G282" s="110">
        <f t="shared" si="98"/>
        <v>0.46714088435266587</v>
      </c>
      <c r="H282" s="412" t="b">
        <f>Wh_hp&gt;='2019'!Maxi_hp</f>
        <v>0</v>
      </c>
      <c r="I282" s="388">
        <f>IF(H282,Wh_hp,'2019'!Maxi_hp)</f>
        <v>30.777386946422261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1.1755139622171118E-2</v>
      </c>
      <c r="M282" s="832"/>
      <c r="N282" s="832"/>
      <c r="O282" s="48">
        <f>IF(t&lt;Tnet,'2019'!Resal+('2019'!Salim-'2019'!Resal)*(1-EXP(('2019'!Tnet-t)/('2019'!Tau_j))),Resal+(Salim-Resal)*(1-EXP((Tnet-t)/(Tau_j))))*Salcycl</f>
        <v>4.4950685553426933E-2</v>
      </c>
      <c r="P282" s="169">
        <f>(INDEX(Models!$BJ282:$BT282,,T282)*(1-R282)+INDEX(Models!$BJ282:$BT282,,T282+1)*R282-ERP_i)*Q282*Ramure*Pc/MaxiM</f>
        <v>3.7836199968477427E-4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44.676004561132643</v>
      </c>
      <c r="W282" s="58"/>
      <c r="X282" s="157">
        <f t="shared" si="108"/>
        <v>44098</v>
      </c>
      <c r="Y282" s="383">
        <f t="shared" si="109"/>
        <v>20.876000000000001</v>
      </c>
      <c r="Z282" s="383">
        <f t="shared" si="110"/>
        <v>21.124319323065968</v>
      </c>
      <c r="AA282" s="384">
        <f t="shared" si="111"/>
        <v>22.118563935420422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4.4950685553426933E-2</v>
      </c>
      <c r="AD282" s="230">
        <f>(INDEX(Models!$BJ282:$BT282,,AH282)*(1-AF282)+INDEX(Models!$BJ282:$BT282,,AH282+1)*AF282-ERP_i)*AE282*Ramure*Pc/MaxiM</f>
        <v>3.7836199968477427E-4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20.646000000000001</v>
      </c>
      <c r="C283" s="388"/>
      <c r="D283" s="391">
        <f t="shared" si="99"/>
        <v>20.891983870849053</v>
      </c>
      <c r="E283" s="383">
        <f t="shared" si="97"/>
        <v>21.876223117901674</v>
      </c>
      <c r="F283" s="383">
        <f t="shared" si="100"/>
        <v>21.878238891009094</v>
      </c>
      <c r="G283" s="110">
        <f t="shared" si="98"/>
        <v>0.46517986808582545</v>
      </c>
      <c r="H283" s="412" t="b">
        <f>Wh_hp&gt;='2019'!Maxi_hp</f>
        <v>0</v>
      </c>
      <c r="I283" s="388">
        <f>IF(H283,Wh_hp,'2019'!Maxi_hp)</f>
        <v>37.9593535581526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1.1774079109465374E-2</v>
      </c>
      <c r="M283" s="832"/>
      <c r="N283" s="832"/>
      <c r="O283" s="48">
        <f>IF(t&lt;Tnet,'2019'!Resal+('2019'!Salim-'2019'!Resal)*(1-EXP(('2019'!Tnet-t)/('2019'!Tau_j))),Resal+(Salim-Resal)*(1-EXP((Tnet-t)/(Tau_j))))*Salcycl</f>
        <v>4.4991278510375113E-2</v>
      </c>
      <c r="P283" s="169">
        <f>(INDEX(Models!$BJ283:$BT283,,T283)*(1-R283)+INDEX(Models!$BJ283:$BT283,,T283+1)*R283-ERP_i)*Q283*Ramure*Pc/MaxiM</f>
        <v>3.9012677865076721E-4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44.369605245642965</v>
      </c>
      <c r="W283" s="58"/>
      <c r="X283" s="157">
        <f t="shared" si="108"/>
        <v>44099</v>
      </c>
      <c r="Y283" s="383">
        <f t="shared" si="109"/>
        <v>20.646000000000001</v>
      </c>
      <c r="Z283" s="383">
        <f t="shared" si="110"/>
        <v>20.891983870849053</v>
      </c>
      <c r="AA283" s="384">
        <f t="shared" si="111"/>
        <v>21.876223117901674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4.4991278510375113E-2</v>
      </c>
      <c r="AD283" s="230">
        <f>(INDEX(Models!$BJ283:$BT283,,AH283)*(1-AF283)+INDEX(Models!$BJ283:$BT283,,AH283+1)*AF283-ERP_i)*AE283*Ramure*Pc/MaxiM</f>
        <v>3.9012677865076721E-4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14.234999999999999</v>
      </c>
      <c r="C284" s="388"/>
      <c r="D284" s="391">
        <f t="shared" si="99"/>
        <v>14.404876976843397</v>
      </c>
      <c r="E284" s="383">
        <f t="shared" si="97"/>
        <v>15.084134437392025</v>
      </c>
      <c r="F284" s="383">
        <f t="shared" si="100"/>
        <v>15.084334584847774</v>
      </c>
      <c r="G284" s="110">
        <f t="shared" si="98"/>
        <v>0.32295407027453954</v>
      </c>
      <c r="H284" s="412" t="b">
        <f>Wh_hp&gt;='2019'!Maxi_hp</f>
        <v>0</v>
      </c>
      <c r="I284" s="388">
        <f>IF(H284,Wh_hp,'2019'!Maxi_hp)</f>
        <v>37.960845399345402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1.1793018233788755E-2</v>
      </c>
      <c r="M284" s="832"/>
      <c r="N284" s="832"/>
      <c r="O284" s="48">
        <f>IF(t&lt;Tnet,'2019'!Resal+('2019'!Salim-'2019'!Resal)*(1-EXP(('2019'!Tnet-t)/('2019'!Tau_j))),Resal+(Salim-Resal)*(1-EXP((Tnet-t)/(Tau_j))))*Salcycl</f>
        <v>4.5031252099213548E-2</v>
      </c>
      <c r="P284" s="169">
        <f>(INDEX(Models!$BJ284:$BT284,,T284)*(1-R284)+INDEX(Models!$BJ284:$BT284,,T284+1)*R284-ERP_i)*Q284*Ramure*Pc/MaxiM</f>
        <v>4.0242956399646682E-4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44.060321666052715</v>
      </c>
      <c r="W284" s="58"/>
      <c r="X284" s="157">
        <f t="shared" si="108"/>
        <v>44100</v>
      </c>
      <c r="Y284" s="383">
        <f t="shared" si="109"/>
        <v>14.234999999999999</v>
      </c>
      <c r="Z284" s="383">
        <f t="shared" si="110"/>
        <v>14.404876976843397</v>
      </c>
      <c r="AA284" s="384">
        <f t="shared" si="111"/>
        <v>15.084134437392025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4.5031252099213548E-2</v>
      </c>
      <c r="AD284" s="230">
        <f>(INDEX(Models!$BJ284:$BT284,,AH284)*(1-AF284)+INDEX(Models!$BJ284:$BT284,,AH284+1)*AF284-ERP_i)*AE284*Ramure*Pc/MaxiM</f>
        <v>4.0242956399646682E-4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12.301</v>
      </c>
      <c r="C285" s="388"/>
      <c r="D285" s="391">
        <f t="shared" si="99"/>
        <v>12.448035661912581</v>
      </c>
      <c r="E285" s="383">
        <f t="shared" si="97"/>
        <v>13.035555865793096</v>
      </c>
      <c r="F285" s="383">
        <f t="shared" si="100"/>
        <v>13.035555865793096</v>
      </c>
      <c r="G285" s="110">
        <f t="shared" si="98"/>
        <v>0.2810601415645998</v>
      </c>
      <c r="H285" s="412" t="b">
        <f>Wh_hp&gt;='2019'!Maxi_hp</f>
        <v>0</v>
      </c>
      <c r="I285" s="388">
        <f>IF(H285,Wh_hp,'2019'!Maxi_hp)</f>
        <v>38.326040675068562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1.1811956995148032E-2</v>
      </c>
      <c r="M285" s="832"/>
      <c r="N285" s="832"/>
      <c r="O285" s="48">
        <f>IF(t&lt;Tnet,'2019'!Resal+('2019'!Salim-'2019'!Resal)*(1-EXP(('2019'!Tnet-t)/('2019'!Tau_j))),Resal+(Salim-Resal)*(1-EXP((Tnet-t)/(Tau_j))))*Salcycl</f>
        <v>4.5070590769530711E-2</v>
      </c>
      <c r="P285" s="169">
        <f>(INDEX(Models!$BJ285:$BT285,,T285)*(1-R285)+INDEX(Models!$BJ285:$BT285,,T285+1)*R285-ERP_i)*Q285*Ramure*Pc/MaxiM</f>
        <v>4.1527323135829978E-4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43.748258488494827</v>
      </c>
      <c r="W285" s="58"/>
      <c r="X285" s="157">
        <f t="shared" si="108"/>
        <v>44101</v>
      </c>
      <c r="Y285" s="383">
        <f t="shared" si="109"/>
        <v>12.301</v>
      </c>
      <c r="Z285" s="383">
        <f t="shared" si="110"/>
        <v>12.448035661912581</v>
      </c>
      <c r="AA285" s="384">
        <f t="shared" si="111"/>
        <v>13.035555865793096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4.5070590769530711E-2</v>
      </c>
      <c r="AD285" s="230">
        <f>(INDEX(Models!$BJ285:$BT285,,AH285)*(1-AF285)+INDEX(Models!$BJ285:$BT285,,AH285+1)*AF285-ERP_i)*AE285*Ramure*Pc/MaxiM</f>
        <v>4.1527323135829978E-4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30.709</v>
      </c>
      <c r="C286" s="388"/>
      <c r="D286" s="391">
        <f t="shared" si="99"/>
        <v>31.07666477007519</v>
      </c>
      <c r="E286" s="383">
        <f t="shared" si="97"/>
        <v>32.544734286113275</v>
      </c>
      <c r="F286" s="383">
        <f t="shared" si="100"/>
        <v>32.552848295286509</v>
      </c>
      <c r="G286" s="110">
        <f t="shared" si="98"/>
        <v>0.70690768528685866</v>
      </c>
      <c r="H286" s="412" t="b">
        <f>Wh_hp&gt;='2019'!Maxi_hp</f>
        <v>0</v>
      </c>
      <c r="I286" s="388">
        <f>IF(H286,Wh_hp,'2019'!Maxi_hp)</f>
        <v>44.025423023353014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1.1830895393550311E-2</v>
      </c>
      <c r="M286" s="832"/>
      <c r="N286" s="832"/>
      <c r="O286" s="48">
        <f>IF(t&lt;Tnet,'2019'!Resal+('2019'!Salim-'2019'!Resal)*(1-EXP(('2019'!Tnet-t)/('2019'!Tau_j))),Resal+(Salim-Resal)*(1-EXP((Tnet-t)/(Tau_j))))*Salcycl</f>
        <v>4.510927952681134E-2</v>
      </c>
      <c r="P286" s="169">
        <f>(INDEX(Models!$BJ286:$BT286,,T286)*(1-R286)+INDEX(Models!$BJ286:$BT286,,T286+1)*R286-ERP_i)*Q286*Ramure*Pc/MaxiM</f>
        <v>4.2866028962072072E-4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43.433520323273029</v>
      </c>
      <c r="W286" s="58"/>
      <c r="X286" s="157">
        <f t="shared" si="108"/>
        <v>44102</v>
      </c>
      <c r="Y286" s="383">
        <f t="shared" si="109"/>
        <v>30.709</v>
      </c>
      <c r="Z286" s="383">
        <f t="shared" si="110"/>
        <v>31.07666477007519</v>
      </c>
      <c r="AA286" s="384">
        <f t="shared" si="111"/>
        <v>32.544734286113275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4.510927952681134E-2</v>
      </c>
      <c r="AD286" s="230">
        <f>(INDEX(Models!$BJ286:$BT286,,AH286)*(1-AF286)+INDEX(Models!$BJ286:$BT286,,AH286+1)*AF286-ERP_i)*AE286*Ramure*Pc/MaxiM</f>
        <v>4.2866028962072072E-4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34.106999999999999</v>
      </c>
      <c r="C287" s="388"/>
      <c r="D287" s="391">
        <f t="shared" si="99"/>
        <v>34.516008956771699</v>
      </c>
      <c r="E287" s="383">
        <f t="shared" si="97"/>
        <v>36.147993406054475</v>
      </c>
      <c r="F287" s="383">
        <f t="shared" si="100"/>
        <v>36.159220038545989</v>
      </c>
      <c r="G287" s="110">
        <f t="shared" si="98"/>
        <v>0.79094361942205738</v>
      </c>
      <c r="H287" s="412" t="b">
        <f>Wh_hp&gt;='2019'!Maxi_hp</f>
        <v>1</v>
      </c>
      <c r="I287" s="388">
        <f>IF(H287,Wh_hp,'2019'!Maxi_hp)</f>
        <v>36.159220038545989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1.1849833429002476E-2</v>
      </c>
      <c r="M287" s="832"/>
      <c r="N287" s="832"/>
      <c r="O287" s="48">
        <f>IF(t&lt;Tnet,'2019'!Resal+('2019'!Salim-'2019'!Resal)*(1-EXP(('2019'!Tnet-t)/('2019'!Tau_j))),Resal+(Salim-Resal)*(1-EXP((Tnet-t)/(Tau_j))))*Salcycl</f>
        <v>4.5147304055041422E-2</v>
      </c>
      <c r="P287" s="169">
        <f>(INDEX(Models!$BJ287:$BT287,,T287)*(1-R287)+INDEX(Models!$BJ287:$BT287,,T287+1)*R287-ERP_i)*Q287*Ramure*Pc/MaxiM</f>
        <v>4.4259285925928445E-4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43.116211715167744</v>
      </c>
      <c r="W287" s="58"/>
      <c r="X287" s="157">
        <f t="shared" si="108"/>
        <v>44103</v>
      </c>
      <c r="Y287" s="383">
        <f t="shared" si="109"/>
        <v>34.106999999999999</v>
      </c>
      <c r="Z287" s="383">
        <f t="shared" si="110"/>
        <v>34.516008956771699</v>
      </c>
      <c r="AA287" s="384">
        <f t="shared" si="111"/>
        <v>36.147993406054475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4.5147304055041422E-2</v>
      </c>
      <c r="AD287" s="230">
        <f>(INDEX(Models!$BJ287:$BT287,,AH287)*(1-AF287)+INDEX(Models!$BJ287:$BT287,,AH287+1)*AF287-ERP_i)*AE287*Ramure*Pc/MaxiM</f>
        <v>4.4259285925928445E-4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41.97</v>
      </c>
      <c r="C288" s="388"/>
      <c r="D288" s="391">
        <f t="shared" si="99"/>
        <v>42.474115555264582</v>
      </c>
      <c r="E288" s="383">
        <f t="shared" si="97"/>
        <v>44.484114748213941</v>
      </c>
      <c r="F288" s="383">
        <f t="shared" si="100"/>
        <v>44.503895100671492</v>
      </c>
      <c r="G288" s="110">
        <f t="shared" si="98"/>
        <v>0.98067674216486178</v>
      </c>
      <c r="H288" s="412" t="b">
        <f>Wh_hp&gt;='2019'!Maxi_hp</f>
        <v>1</v>
      </c>
      <c r="I288" s="388">
        <f>IF(H288,Wh_hp,'2019'!Maxi_hp)</f>
        <v>44.503895100671492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1.1868771101511522E-2</v>
      </c>
      <c r="M288" s="832"/>
      <c r="N288" s="832"/>
      <c r="O288" s="48">
        <f>IF(t&lt;Tnet,'2019'!Resal+('2019'!Salim-'2019'!Resal)*(1-EXP(('2019'!Tnet-t)/('2019'!Tau_j))),Resal+(Salim-Resal)*(1-EXP((Tnet-t)/(Tau_j))))*Salcycl</f>
        <v>4.5184650842805832E-2</v>
      </c>
      <c r="P288" s="169">
        <f>(INDEX(Models!$BJ288:$BT288,,T288)*(1-R288)+INDEX(Models!$BJ288:$BT288,,T288+1)*R288-ERP_i)*Q288*Ramure*Pc/MaxiM</f>
        <v>4.5707265289034746E-4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42.796437143620381</v>
      </c>
      <c r="W288" s="58"/>
      <c r="X288" s="157">
        <f t="shared" si="108"/>
        <v>44104</v>
      </c>
      <c r="Y288" s="383">
        <f t="shared" si="109"/>
        <v>41.97</v>
      </c>
      <c r="Z288" s="383">
        <f t="shared" si="110"/>
        <v>42.474115555264582</v>
      </c>
      <c r="AA288" s="384">
        <f t="shared" si="111"/>
        <v>44.484114748213941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4.5184650842805832E-2</v>
      </c>
      <c r="AD288" s="230">
        <f>(INDEX(Models!$BJ288:$BT288,,AH288)*(1-AF288)+INDEX(Models!$BJ288:$BT288,,AH288+1)*AF288-ERP_i)*AE288*Ramure*Pc/MaxiM</f>
        <v>4.5707265289034746E-4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7.9740000000000002</v>
      </c>
      <c r="C289" s="388"/>
      <c r="D289" s="391">
        <f t="shared" si="99"/>
        <v>8.0699330105261193</v>
      </c>
      <c r="E289" s="383">
        <f t="shared" si="97"/>
        <v>8.4521502965323041</v>
      </c>
      <c r="F289" s="383">
        <f t="shared" si="100"/>
        <v>8.4521502965323041</v>
      </c>
      <c r="G289" s="110">
        <f t="shared" si="98"/>
        <v>0.18765550808118761</v>
      </c>
      <c r="H289" s="412" t="b">
        <f>Wh_hp&gt;='2019'!Maxi_hp</f>
        <v>0</v>
      </c>
      <c r="I289" s="388">
        <f>IF(H289,Wh_hp,'2019'!Maxi_hp)</f>
        <v>24.19091803437507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1.1887708411084441E-2</v>
      </c>
      <c r="M289" s="832"/>
      <c r="N289" s="832"/>
      <c r="O289" s="48">
        <f>IF(t&lt;Tnet,'2019'!Resal+('2019'!Salim-'2019'!Resal)*(1-EXP(('2019'!Tnet-t)/('2019'!Tau_j))),Resal+(Salim-Resal)*(1-EXP((Tnet-t)/(Tau_j))))*Salcycl</f>
        <v>4.5221307311939241E-2</v>
      </c>
      <c r="P289" s="169">
        <f>(INDEX(Models!$BJ289:$BT289,,T289)*(1-R289)+INDEX(Models!$BJ289:$BT289,,T289+1)*R289-ERP_i)*Q289*Ramure*Pc/MaxiM</f>
        <v>4.7211879192728356E-4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42.472695879008867</v>
      </c>
      <c r="W289" s="58"/>
      <c r="X289" s="157">
        <f t="shared" si="108"/>
        <v>44105</v>
      </c>
      <c r="Y289" s="383">
        <f t="shared" si="109"/>
        <v>7.9740000000000002</v>
      </c>
      <c r="Z289" s="383">
        <f t="shared" si="110"/>
        <v>8.0699330105261193</v>
      </c>
      <c r="AA289" s="384">
        <f t="shared" si="111"/>
        <v>8.4521502965323041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4.5221307311939241E-2</v>
      </c>
      <c r="AD289" s="230">
        <f>(INDEX(Models!$BJ289:$BT289,,AH289)*(1-AF289)+INDEX(Models!$BJ289:$BT289,,AH289+1)*AF289-ERP_i)*AE289*Ramure*Pc/MaxiM</f>
        <v>4.7211879192728356E-4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5.9889999999999999</v>
      </c>
      <c r="C290" s="388"/>
      <c r="D290" s="391">
        <f t="shared" si="99"/>
        <v>6.0611681799724781</v>
      </c>
      <c r="E290" s="383">
        <f t="shared" si="97"/>
        <v>6.3484831446192498</v>
      </c>
      <c r="F290" s="383">
        <f t="shared" si="100"/>
        <v>6.3484831446192498</v>
      </c>
      <c r="G290" s="110">
        <f t="shared" si="98"/>
        <v>0.14203926162069425</v>
      </c>
      <c r="H290" s="412" t="b">
        <f>Wh_hp&gt;='2019'!Maxi_hp</f>
        <v>0</v>
      </c>
      <c r="I290" s="388">
        <f>IF(H290,Wh_hp,'2019'!Maxi_hp)</f>
        <v>35.39360414639436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1.1906645357728007E-2</v>
      </c>
      <c r="M290" s="832"/>
      <c r="N290" s="832"/>
      <c r="O290" s="48">
        <f>IF(t&lt;Tnet,'2019'!Resal+('2019'!Salim-'2019'!Resal)*(1-EXP(('2019'!Tnet-t)/('2019'!Tau_j))),Resal+(Salim-Resal)*(1-EXP((Tnet-t)/(Tau_j))))*Salcycl</f>
        <v>4.5257261947728403E-2</v>
      </c>
      <c r="P290" s="169">
        <f>(INDEX(Models!$BJ290:$BT290,,T290)*(1-R290)+INDEX(Models!$BJ290:$BT290,,T290+1)*R290-ERP_i)*Q290*Ramure*Pc/MaxiM</f>
        <v>4.8865873780111892E-4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42.143794289811872</v>
      </c>
      <c r="W290" s="58"/>
      <c r="X290" s="157">
        <f t="shared" si="108"/>
        <v>44106</v>
      </c>
      <c r="Y290" s="383">
        <f t="shared" si="109"/>
        <v>5.9889999999999999</v>
      </c>
      <c r="Z290" s="383">
        <f t="shared" si="110"/>
        <v>6.0611681799724781</v>
      </c>
      <c r="AA290" s="384">
        <f t="shared" si="111"/>
        <v>6.3484831446192498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4.5257261947728403E-2</v>
      </c>
      <c r="AD290" s="230">
        <f>(INDEX(Models!$BJ290:$BT290,,AH290)*(1-AF290)+INDEX(Models!$BJ290:$BT290,,AH290+1)*AF290-ERP_i)*AE290*Ramure*Pc/MaxiM</f>
        <v>4.8865873780111892E-4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16.891999999999999</v>
      </c>
      <c r="C291" s="388"/>
      <c r="D291" s="391">
        <f t="shared" si="99"/>
        <v>17.095878297497858</v>
      </c>
      <c r="E291" s="383">
        <f t="shared" si="97"/>
        <v>17.906927909143455</v>
      </c>
      <c r="F291" s="383">
        <f t="shared" si="100"/>
        <v>17.90827614102523</v>
      </c>
      <c r="G291" s="110">
        <f t="shared" si="98"/>
        <v>0.40384043265618552</v>
      </c>
      <c r="H291" s="412" t="b">
        <f>Wh_hp&gt;='2019'!Maxi_hp</f>
        <v>1</v>
      </c>
      <c r="I291" s="388">
        <f>IF(H291,Wh_hp,'2019'!Maxi_hp)</f>
        <v>17.90827614102523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1.1925581941449437E-2</v>
      </c>
      <c r="M291" s="832"/>
      <c r="N291" s="832"/>
      <c r="O291" s="48">
        <f>IF(t&lt;Tnet,'2019'!Resal+('2019'!Salim-'2019'!Resal)*(1-EXP(('2019'!Tnet-t)/('2019'!Tau_j))),Resal+(Salim-Resal)*(1-EXP((Tnet-t)/(Tau_j))))*Salcycl</f>
        <v>4.529250442961065E-2</v>
      </c>
      <c r="P291" s="169">
        <f>(INDEX(Models!$BJ291:$BT291,,T291)*(1-R291)+INDEX(Models!$BJ291:$BT291,,T291+1)*R291-ERP_i)*Q291*Ramure*Pc/MaxiM</f>
        <v>5.0665696806810254E-4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41.810357155006059</v>
      </c>
      <c r="W291" s="58"/>
      <c r="X291" s="157">
        <f t="shared" si="108"/>
        <v>44107</v>
      </c>
      <c r="Y291" s="383">
        <f t="shared" si="109"/>
        <v>16.891999999999999</v>
      </c>
      <c r="Z291" s="383">
        <f t="shared" si="110"/>
        <v>17.095878297497858</v>
      </c>
      <c r="AA291" s="384">
        <f t="shared" si="111"/>
        <v>17.906927909143455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4.529250442961065E-2</v>
      </c>
      <c r="AD291" s="230">
        <f>(INDEX(Models!$BJ291:$BT291,,AH291)*(1-AF291)+INDEX(Models!$BJ291:$BT291,,AH291+1)*AF291-ERP_i)*AE291*Ramure*Pc/MaxiM</f>
        <v>5.0665696806810254E-4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21.129000000000001</v>
      </c>
      <c r="C292" s="388"/>
      <c r="D292" s="391">
        <f t="shared" si="99"/>
        <v>21.384426672782471</v>
      </c>
      <c r="E292" s="383">
        <f t="shared" si="97"/>
        <v>22.399740277381074</v>
      </c>
      <c r="F292" s="383">
        <f t="shared" si="100"/>
        <v>22.403267297125293</v>
      </c>
      <c r="G292" s="110">
        <f t="shared" si="98"/>
        <v>0.50927603765415297</v>
      </c>
      <c r="H292" s="412" t="b">
        <f>Wh_hp&gt;='2019'!Maxi_hp</f>
        <v>0</v>
      </c>
      <c r="I292" s="388">
        <f>IF(H292,Wh_hp,'2019'!Maxi_hp)</f>
        <v>39.702894936148411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1.1944518162255502E-2</v>
      </c>
      <c r="M292" s="832"/>
      <c r="N292" s="832"/>
      <c r="O292" s="48">
        <f>IF(t&lt;Tnet,'2019'!Resal+('2019'!Salim-'2019'!Resal)*(1-EXP(('2019'!Tnet-t)/('2019'!Tau_j))),Resal+(Salim-Resal)*(1-EXP((Tnet-t)/(Tau_j))))*Salcycl</f>
        <v>4.5327025761269769E-2</v>
      </c>
      <c r="P292" s="169">
        <f>(INDEX(Models!$BJ292:$BT292,,T292)*(1-R292)+INDEX(Models!$BJ292:$BT292,,T292+1)*R292-ERP_i)*Q292*Ramure*Pc/MaxiM</f>
        <v>5.2612069433995731E-4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41.473007200988867</v>
      </c>
      <c r="W292" s="58"/>
      <c r="X292" s="157">
        <f t="shared" si="108"/>
        <v>44108</v>
      </c>
      <c r="Y292" s="383">
        <f t="shared" si="109"/>
        <v>21.129000000000001</v>
      </c>
      <c r="Z292" s="383">
        <f t="shared" si="110"/>
        <v>21.384426672782471</v>
      </c>
      <c r="AA292" s="384">
        <f t="shared" si="111"/>
        <v>22.399740277381074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4.5327025761269769E-2</v>
      </c>
      <c r="AD292" s="230">
        <f>(INDEX(Models!$BJ292:$BT292,,AH292)*(1-AF292)+INDEX(Models!$BJ292:$BT292,,AH292+1)*AF292-ERP_i)*AE292*Ramure*Pc/MaxiM</f>
        <v>5.2612069433995731E-4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28.23</v>
      </c>
      <c r="C293" s="388"/>
      <c r="D293" s="391">
        <f t="shared" si="99"/>
        <v>28.571817626446194</v>
      </c>
      <c r="E293" s="383">
        <f t="shared" si="97"/>
        <v>29.929441591250228</v>
      </c>
      <c r="F293" s="383">
        <f t="shared" si="100"/>
        <v>29.938480404074163</v>
      </c>
      <c r="G293" s="110">
        <f t="shared" si="98"/>
        <v>0.68615252666493354</v>
      </c>
      <c r="H293" s="412" t="b">
        <f>Wh_hp&gt;='2019'!Maxi_hp</f>
        <v>1</v>
      </c>
      <c r="I293" s="388">
        <f>IF(H293,Wh_hp,'2019'!Maxi_hp)</f>
        <v>29.938480404074163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1.1963454020153308E-2</v>
      </c>
      <c r="M293" s="832"/>
      <c r="N293" s="832"/>
      <c r="O293" s="48">
        <f>IF(t&lt;Tnet,'2019'!Resal+('2019'!Salim-'2019'!Resal)*(1-EXP(('2019'!Tnet-t)/('2019'!Tau_j))),Resal+(Salim-Resal)*(1-EXP((Tnet-t)/(Tau_j))))*Salcycl</f>
        <v>4.5360818398995167E-2</v>
      </c>
      <c r="P293" s="169">
        <f>(INDEX(Models!$BJ293:$BT293,,T293)*(1-R293)+INDEX(Models!$BJ293:$BT293,,T293+1)*R293-ERP_i)*Q293*Ramure*Pc/MaxiM</f>
        <v>5.4705571741582918E-4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41.13236697513701</v>
      </c>
      <c r="W293" s="58"/>
      <c r="X293" s="157">
        <f t="shared" si="108"/>
        <v>44109</v>
      </c>
      <c r="Y293" s="383">
        <f t="shared" si="109"/>
        <v>28.23</v>
      </c>
      <c r="Z293" s="383">
        <f t="shared" si="110"/>
        <v>28.571817626446194</v>
      </c>
      <c r="AA293" s="384">
        <f t="shared" si="111"/>
        <v>29.929441591250228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4.5360818398995167E-2</v>
      </c>
      <c r="AD293" s="230">
        <f>(INDEX(Models!$BJ293:$BT293,,AH293)*(1-AF293)+INDEX(Models!$BJ293:$BT293,,AH293+1)*AF293-ERP_i)*AE293*Ramure*Pc/MaxiM</f>
        <v>5.4705571741582918E-4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6.4269999999999996</v>
      </c>
      <c r="C294" s="388"/>
      <c r="D294" s="391">
        <f t="shared" si="99"/>
        <v>6.5049447821543129</v>
      </c>
      <c r="E294" s="383">
        <f t="shared" si="97"/>
        <v>6.8142709555090804</v>
      </c>
      <c r="F294" s="383">
        <f t="shared" si="100"/>
        <v>6.8142709555090804</v>
      </c>
      <c r="G294" s="110">
        <f t="shared" si="98"/>
        <v>0.15747703481800129</v>
      </c>
      <c r="H294" s="412" t="b">
        <f>Wh_hp&gt;='2019'!Maxi_hp</f>
        <v>0</v>
      </c>
      <c r="I294" s="388">
        <f>IF(H294,Wh_hp,'2019'!Maxi_hp)</f>
        <v>30.782356997616411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1.1982389515149627E-2</v>
      </c>
      <c r="M294" s="832"/>
      <c r="N294" s="832"/>
      <c r="O294" s="48">
        <f>IF(t&lt;Tnet,'2019'!Resal+('2019'!Salim-'2019'!Resal)*(1-EXP(('2019'!Tnet-t)/('2019'!Tau_j))),Resal+(Salim-Resal)*(1-EXP((Tnet-t)/(Tau_j))))*Salcycl</f>
        <v>4.5393876377147757E-2</v>
      </c>
      <c r="P294" s="169">
        <f>(INDEX(Models!$BJ294:$BT294,,T294)*(1-R294)+INDEX(Models!$BJ294:$BT294,,T294+1)*R294-ERP_i)*Q294*Ramure*Pc/MaxiM</f>
        <v>5.69466169644239E-4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40.789058851350944</v>
      </c>
      <c r="W294" s="58"/>
      <c r="X294" s="157">
        <f t="shared" si="108"/>
        <v>44110</v>
      </c>
      <c r="Y294" s="383">
        <f t="shared" si="109"/>
        <v>6.4269999999999996</v>
      </c>
      <c r="Z294" s="383">
        <f t="shared" si="110"/>
        <v>6.5049447821543129</v>
      </c>
      <c r="AA294" s="384">
        <f t="shared" si="111"/>
        <v>6.8142709555090804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4.5393876377147757E-2</v>
      </c>
      <c r="AD294" s="230">
        <f>(INDEX(Models!$BJ294:$BT294,,AH294)*(1-AF294)+INDEX(Models!$BJ294:$BT294,,AH294+1)*AF294-ERP_i)*AE294*Ramure*Pc/MaxiM</f>
        <v>5.69466169644239E-4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29.568999999999999</v>
      </c>
      <c r="C295" s="388"/>
      <c r="D295" s="391">
        <f t="shared" si="99"/>
        <v>29.928177777609754</v>
      </c>
      <c r="E295" s="383">
        <f t="shared" si="97"/>
        <v>31.35239793331386</v>
      </c>
      <c r="F295" s="383">
        <f t="shared" si="100"/>
        <v>31.36385935960125</v>
      </c>
      <c r="G295" s="110">
        <f t="shared" si="98"/>
        <v>0.73094831809975391</v>
      </c>
      <c r="H295" s="412" t="b">
        <f>Wh_hp&gt;='2019'!Maxi_hp</f>
        <v>0</v>
      </c>
      <c r="I295" s="388">
        <f>IF(H295,Wh_hp,'2019'!Maxi_hp)</f>
        <v>40.032829351489561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1.2001324647251566E-2</v>
      </c>
      <c r="M295" s="832"/>
      <c r="N295" s="832"/>
      <c r="O295" s="48">
        <f>IF(t&lt;Tnet,'2019'!Resal+('2019'!Salim-'2019'!Resal)*(1-EXP(('2019'!Tnet-t)/('2019'!Tau_j))),Resal+(Salim-Resal)*(1-EXP((Tnet-t)/(Tau_j))))*Salcycl</f>
        <v>4.5426195429561798E-2</v>
      </c>
      <c r="P295" s="169">
        <f>(INDEX(Models!$BJ295:$BT295,,T295)*(1-R295)+INDEX(Models!$BJ295:$BT295,,T295+1)*R295-ERP_i)*Q295*Ramure*Pc/MaxiM</f>
        <v>5.9335425251105421E-4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40.443705027723659</v>
      </c>
      <c r="W295" s="58"/>
      <c r="X295" s="157">
        <f t="shared" si="108"/>
        <v>44111</v>
      </c>
      <c r="Y295" s="383">
        <f t="shared" si="109"/>
        <v>29.568999999999999</v>
      </c>
      <c r="Z295" s="383">
        <f t="shared" si="110"/>
        <v>29.928177777609754</v>
      </c>
      <c r="AA295" s="384">
        <f t="shared" si="111"/>
        <v>31.35239793331386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4.5426195429561798E-2</v>
      </c>
      <c r="AD295" s="230">
        <f>(INDEX(Models!$BJ295:$BT295,,AH295)*(1-AF295)+INDEX(Models!$BJ295:$BT295,,AH295+1)*AF295-ERP_i)*AE295*Ramure*Pc/MaxiM</f>
        <v>5.9335425251105421E-4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35.393999999999998</v>
      </c>
      <c r="C296" s="388"/>
      <c r="D296" s="391">
        <f t="shared" si="99"/>
        <v>35.824621240811183</v>
      </c>
      <c r="E296" s="383">
        <f t="shared" si="97"/>
        <v>37.530682489941427</v>
      </c>
      <c r="F296" s="383">
        <f t="shared" si="100"/>
        <v>37.550037556426517</v>
      </c>
      <c r="G296" s="110">
        <f t="shared" si="98"/>
        <v>0.88261981808138534</v>
      </c>
      <c r="H296" s="412" t="b">
        <f>Wh_hp&gt;='2019'!Maxi_hp</f>
        <v>1</v>
      </c>
      <c r="I296" s="388">
        <f>IF(H296,Wh_hp,'2019'!Maxi_hp)</f>
        <v>37.550037556426517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1.2020259416465895E-2</v>
      </c>
      <c r="M296" s="832"/>
      <c r="N296" s="832"/>
      <c r="O296" s="48">
        <f>IF(t&lt;Tnet,'2019'!Resal+('2019'!Salim-'2019'!Resal)*(1-EXP(('2019'!Tnet-t)/('2019'!Tau_j))),Resal+(Salim-Resal)*(1-EXP((Tnet-t)/(Tau_j))))*Salcycl</f>
        <v>4.5457773105711211E-2</v>
      </c>
      <c r="P296" s="169">
        <f>(INDEX(Models!$BJ296:$BT296,,T296)*(1-R296)+INDEX(Models!$BJ296:$BT296,,T296+1)*R296-ERP_i)*Q296*Ramure*Pc/MaxiM</f>
        <v>6.1919691328760627E-4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40.096908395184876</v>
      </c>
      <c r="W296" s="58"/>
      <c r="X296" s="157">
        <f t="shared" si="108"/>
        <v>44112</v>
      </c>
      <c r="Y296" s="383">
        <f t="shared" si="109"/>
        <v>35.393999999999998</v>
      </c>
      <c r="Z296" s="383">
        <f t="shared" si="110"/>
        <v>35.824621240811183</v>
      </c>
      <c r="AA296" s="384">
        <f t="shared" si="111"/>
        <v>37.530682489941427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4.5457773105711211E-2</v>
      </c>
      <c r="AD296" s="230">
        <f>(INDEX(Models!$BJ296:$BT296,,AH296)*(1-AF296)+INDEX(Models!$BJ296:$BT296,,AH296+1)*AF296-ERP_i)*AE296*Ramure*Pc/MaxiM</f>
        <v>6.1919691328760627E-4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24.646999999999998</v>
      </c>
      <c r="C297" s="388"/>
      <c r="D297" s="391">
        <f t="shared" si="99"/>
        <v>24.947345933052453</v>
      </c>
      <c r="E297" s="383">
        <f t="shared" ref="E297:E360" si="121">Wh_pvt/(1-Psa)</f>
        <v>26.136247471905328</v>
      </c>
      <c r="F297" s="383">
        <f t="shared" si="100"/>
        <v>26.143976330460617</v>
      </c>
      <c r="G297" s="110">
        <f t="shared" ref="G297:G360" si="122">+Wh_hp/MaxiM</f>
        <v>0.61984343719405299</v>
      </c>
      <c r="H297" s="412" t="b">
        <f>Wh_hp&gt;='2019'!Maxi_hp</f>
        <v>0</v>
      </c>
      <c r="I297" s="388">
        <f>IF(H297,Wh_hp,'2019'!Maxi_hp)</f>
        <v>30.035777339277747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1.2039193822799832E-2</v>
      </c>
      <c r="M297" s="832"/>
      <c r="N297" s="832"/>
      <c r="O297" s="48">
        <f>IF(t&lt;Tnet,'2019'!Resal+('2019'!Salim-'2019'!Resal)*(1-EXP(('2019'!Tnet-t)/('2019'!Tau_j))),Resal+(Salim-Resal)*(1-EXP((Tnet-t)/(Tau_j))))*Salcycl</f>
        <v>4.5488608880477656E-2</v>
      </c>
      <c r="P297" s="169">
        <f>(INDEX(Models!$BJ297:$BT297,,T297)*(1-R297)+INDEX(Models!$BJ297:$BT297,,T297+1)*R297-ERP_i)*Q297*Ramure*Pc/MaxiM</f>
        <v>6.4656004309157763E-4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39.749308471677786</v>
      </c>
      <c r="W297" s="58"/>
      <c r="X297" s="157">
        <f t="shared" si="108"/>
        <v>44113</v>
      </c>
      <c r="Y297" s="383">
        <f t="shared" si="109"/>
        <v>24.646999999999998</v>
      </c>
      <c r="Z297" s="383">
        <f t="shared" si="110"/>
        <v>24.947345933052453</v>
      </c>
      <c r="AA297" s="384">
        <f t="shared" si="111"/>
        <v>26.136247471905328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4.5488608880477656E-2</v>
      </c>
      <c r="AD297" s="230">
        <f>(INDEX(Models!$BJ297:$BT297,,AH297)*(1-AF297)+INDEX(Models!$BJ297:$BT297,,AH297+1)*AF297-ERP_i)*AE297*Ramure*Pc/MaxiM</f>
        <v>6.4656004309157763E-4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22.869</v>
      </c>
      <c r="C298" s="388"/>
      <c r="D298" s="391">
        <f t="shared" si="99"/>
        <v>23.148123027327436</v>
      </c>
      <c r="E298" s="383">
        <f t="shared" si="121"/>
        <v>24.252044676572858</v>
      </c>
      <c r="F298" s="383">
        <f t="shared" si="100"/>
        <v>24.258608329983037</v>
      </c>
      <c r="G298" s="110">
        <f t="shared" si="122"/>
        <v>0.5801739248838701</v>
      </c>
      <c r="H298" s="412" t="b">
        <f>Wh_hp&gt;='2019'!Maxi_hp</f>
        <v>0</v>
      </c>
      <c r="I298" s="388">
        <f>IF(H298,Wh_hp,'2019'!Maxi_hp)</f>
        <v>41.65840472713716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1.2058127866260149E-2</v>
      </c>
      <c r="M298" s="832"/>
      <c r="N298" s="832"/>
      <c r="O298" s="48">
        <f>IF(t&lt;Tnet,'2019'!Resal+('2019'!Salim-'2019'!Resal)*(1-EXP(('2019'!Tnet-t)/('2019'!Tau_j))),Resal+(Salim-Resal)*(1-EXP((Tnet-t)/(Tau_j))))*Salcycl</f>
        <v>4.5518704256379418E-2</v>
      </c>
      <c r="P298" s="169">
        <f>(INDEX(Models!$BJ298:$BT298,,T298)*(1-R298)+INDEX(Models!$BJ298:$BT298,,T298+1)*R298-ERP_i)*Q298*Ramure*Pc/MaxiM</f>
        <v>6.7543861147763599E-4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39.401526981902798</v>
      </c>
      <c r="W298" s="58"/>
      <c r="X298" s="157">
        <f t="shared" si="108"/>
        <v>44114</v>
      </c>
      <c r="Y298" s="383">
        <f t="shared" si="109"/>
        <v>22.869</v>
      </c>
      <c r="Z298" s="383">
        <f t="shared" si="110"/>
        <v>23.148123027327436</v>
      </c>
      <c r="AA298" s="384">
        <f t="shared" si="111"/>
        <v>24.252044676572858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4.5518704256379418E-2</v>
      </c>
      <c r="AD298" s="230">
        <f>(INDEX(Models!$BJ298:$BT298,,AH298)*(1-AF298)+INDEX(Models!$BJ298:$BT298,,AH298+1)*AF298-ERP_i)*AE298*Ramure*Pc/MaxiM</f>
        <v>6.7543861147763599E-4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15.739000000000001</v>
      </c>
      <c r="C299" s="388"/>
      <c r="D299" s="391">
        <f t="shared" si="99"/>
        <v>15.931404553318252</v>
      </c>
      <c r="E299" s="383">
        <f t="shared" si="121"/>
        <v>16.691678159309852</v>
      </c>
      <c r="F299" s="383">
        <f t="shared" si="100"/>
        <v>16.693411957954225</v>
      </c>
      <c r="G299" s="110">
        <f t="shared" si="122"/>
        <v>0.40276156120261669</v>
      </c>
      <c r="H299" s="412" t="b">
        <f>Wh_hp&gt;='2019'!Maxi_hp</f>
        <v>0</v>
      </c>
      <c r="I299" s="388">
        <f>IF(H299,Wh_hp,'2019'!Maxi_hp)</f>
        <v>20.912532278728975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1.207706154685384E-2</v>
      </c>
      <c r="M299" s="832"/>
      <c r="N299" s="832"/>
      <c r="O299" s="48">
        <f>IF(t&lt;Tnet,'2019'!Resal+('2019'!Salim-'2019'!Resal)*(1-EXP(('2019'!Tnet-t)/('2019'!Tau_j))),Resal+(Salim-Resal)*(1-EXP((Tnet-t)/(Tau_j))))*Salcycl</f>
        <v>4.5548062857152245E-2</v>
      </c>
      <c r="P299" s="169">
        <f>(INDEX(Models!$BJ299:$BT299,,T299)*(1-R299)+INDEX(Models!$BJ299:$BT299,,T299+1)*R299-ERP_i)*Q299*Ramure*Pc/MaxiM</f>
        <v>7.0582451516940591E-4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39.05418548159966</v>
      </c>
      <c r="W299" s="58"/>
      <c r="X299" s="157">
        <f t="shared" si="108"/>
        <v>44115</v>
      </c>
      <c r="Y299" s="383">
        <f t="shared" si="109"/>
        <v>15.738999999999999</v>
      </c>
      <c r="Z299" s="383">
        <f t="shared" si="110"/>
        <v>15.93140455331825</v>
      </c>
      <c r="AA299" s="384">
        <f t="shared" si="111"/>
        <v>16.691678159309852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4.5548062857152245E-2</v>
      </c>
      <c r="AD299" s="230">
        <f>(INDEX(Models!$BJ299:$BT299,,AH299)*(1-AF299)+INDEX(Models!$BJ299:$BT299,,AH299+1)*AF299-ERP_i)*AE299*Ramure*Pc/MaxiM</f>
        <v>7.0582451516940591E-4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24.847000000000001</v>
      </c>
      <c r="C300" s="388"/>
      <c r="D300" s="391">
        <f t="shared" si="99"/>
        <v>25.151229138497335</v>
      </c>
      <c r="E300" s="383">
        <f t="shared" si="121"/>
        <v>26.35227879333711</v>
      </c>
      <c r="F300" s="383">
        <f t="shared" si="100"/>
        <v>26.361777669498071</v>
      </c>
      <c r="G300" s="110">
        <f t="shared" si="122"/>
        <v>0.64166788825001109</v>
      </c>
      <c r="H300" s="412" t="b">
        <f>Wh_hp&gt;='2019'!Maxi_hp</f>
        <v>0</v>
      </c>
      <c r="I300" s="388">
        <f>IF(H300,Wh_hp,'2019'!Maxi_hp)</f>
        <v>39.39832701671196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1.2095994864587789E-2</v>
      </c>
      <c r="M300" s="832"/>
      <c r="N300" s="832"/>
      <c r="O300" s="48">
        <f>IF(t&lt;Tnet,'2019'!Resal+('2019'!Salim-'2019'!Resal)*(1-EXP(('2019'!Tnet-t)/('2019'!Tau_j))),Resal+(Salim-Resal)*(1-EXP((Tnet-t)/(Tau_j))))*Salcycl</f>
        <v>4.5576690511617092E-2</v>
      </c>
      <c r="P300" s="169">
        <f>(INDEX(Models!$BJ300:$BT300,,T300)*(1-R300)+INDEX(Models!$BJ300:$BT300,,T300+1)*R300-ERP_i)*Q300*Ramure*Pc/MaxiM</f>
        <v>7.3770629916896171E-4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38.707905361081842</v>
      </c>
      <c r="W300" s="58"/>
      <c r="X300" s="157">
        <f t="shared" si="108"/>
        <v>44116</v>
      </c>
      <c r="Y300" s="383">
        <f t="shared" si="109"/>
        <v>24.847000000000001</v>
      </c>
      <c r="Z300" s="383">
        <f t="shared" si="110"/>
        <v>25.151229138497335</v>
      </c>
      <c r="AA300" s="384">
        <f t="shared" si="111"/>
        <v>26.35227879333711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4.5576690511617092E-2</v>
      </c>
      <c r="AD300" s="230">
        <f>(INDEX(Models!$BJ300:$BT300,,AH300)*(1-AF300)+INDEX(Models!$BJ300:$BT300,,AH300+1)*AF300-ERP_i)*AE300*Ramure*Pc/MaxiM</f>
        <v>7.3770629916896171E-4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22.4</v>
      </c>
      <c r="C301" s="388"/>
      <c r="D301" s="391">
        <f t="shared" si="99"/>
        <v>22.674702382694285</v>
      </c>
      <c r="E301" s="383">
        <f t="shared" si="121"/>
        <v>23.75818478553871</v>
      </c>
      <c r="F301" s="383">
        <f t="shared" si="100"/>
        <v>23.76561662362435</v>
      </c>
      <c r="G301" s="110">
        <f t="shared" si="122"/>
        <v>0.58362354274662354</v>
      </c>
      <c r="H301" s="412" t="b">
        <f>Wh_hp&gt;='2019'!Maxi_hp</f>
        <v>1</v>
      </c>
      <c r="I301" s="388">
        <f>IF(H301,Wh_hp,'2019'!Maxi_hp)</f>
        <v>23.76561662362435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1.2114927819469101E-2</v>
      </c>
      <c r="M301" s="832"/>
      <c r="N301" s="832"/>
      <c r="O301" s="48">
        <f>IF(t&lt;Tnet,'2019'!Resal+('2019'!Salim-'2019'!Resal)*(1-EXP(('2019'!Tnet-t)/('2019'!Tau_j))),Resal+(Salim-Resal)*(1-EXP((Tnet-t)/(Tau_j))))*Salcycl</f>
        <v>4.5604595326825086E-2</v>
      </c>
      <c r="P301" s="169">
        <f>(INDEX(Models!$BJ301:$BT301,,T301)*(1-R301)+INDEX(Models!$BJ301:$BT301,,T301+1)*R301-ERP_i)*Q301*Ramure*Pc/MaxiM</f>
        <v>7.7106888109889802E-4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38.363307845373981</v>
      </c>
      <c r="W301" s="58"/>
      <c r="X301" s="157">
        <f t="shared" si="108"/>
        <v>44117</v>
      </c>
      <c r="Y301" s="383">
        <f t="shared" si="109"/>
        <v>22.4</v>
      </c>
      <c r="Z301" s="383">
        <f t="shared" si="110"/>
        <v>22.674702382694285</v>
      </c>
      <c r="AA301" s="384">
        <f t="shared" si="111"/>
        <v>23.75818478553871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4.5604595326825086E-2</v>
      </c>
      <c r="AD301" s="230">
        <f>(INDEX(Models!$BJ301:$BT301,,AH301)*(1-AF301)+INDEX(Models!$BJ301:$BT301,,AH301+1)*AF301-ERP_i)*AE301*Ramure*Pc/MaxiM</f>
        <v>7.7106888109889802E-4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13.771000000000001</v>
      </c>
      <c r="C302" s="388"/>
      <c r="D302" s="391">
        <f t="shared" si="99"/>
        <v>13.940147807613323</v>
      </c>
      <c r="E302" s="383">
        <f t="shared" si="121"/>
        <v>14.606676572705105</v>
      </c>
      <c r="F302" s="383">
        <f t="shared" si="100"/>
        <v>14.607722529127509</v>
      </c>
      <c r="G302" s="110">
        <f t="shared" si="122"/>
        <v>0.36192846844285276</v>
      </c>
      <c r="H302" s="412" t="b">
        <f>Wh_hp&gt;='2019'!Maxi_hp</f>
        <v>0</v>
      </c>
      <c r="I302" s="388">
        <f>IF(H302,Wh_hp,'2019'!Maxi_hp)</f>
        <v>32.319718219874517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1.213386041150466E-2</v>
      </c>
      <c r="M302" s="832"/>
      <c r="N302" s="832"/>
      <c r="O302" s="48">
        <f>IF(t&lt;Tnet,'2019'!Resal+('2019'!Salim-'2019'!Resal)*(1-EXP(('2019'!Tnet-t)/('2019'!Tau_j))),Resal+(Salim-Resal)*(1-EXP((Tnet-t)/(Tau_j))))*Salcycl</f>
        <v>4.5631787749534844E-2</v>
      </c>
      <c r="P302" s="169">
        <f>(INDEX(Models!$BJ302:$BT302,,T302)*(1-R302)+INDEX(Models!$BJ302:$BT302,,T302+1)*R302-ERP_i)*Q302*Ramure*Pc/MaxiM</f>
        <v>8.0589328078297566E-4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38.021013995771305</v>
      </c>
      <c r="W302" s="58"/>
      <c r="X302" s="157">
        <f t="shared" si="108"/>
        <v>44118</v>
      </c>
      <c r="Y302" s="383">
        <f t="shared" si="109"/>
        <v>13.771000000000001</v>
      </c>
      <c r="Z302" s="383">
        <f t="shared" si="110"/>
        <v>13.940147807613323</v>
      </c>
      <c r="AA302" s="384">
        <f t="shared" si="111"/>
        <v>14.606676572705105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4.5631787749534844E-2</v>
      </c>
      <c r="AD302" s="230">
        <f>(INDEX(Models!$BJ302:$BT302,,AH302)*(1-AF302)+INDEX(Models!$BJ302:$BT302,,AH302+1)*AF302-ERP_i)*AE302*Ramure*Pc/MaxiM</f>
        <v>8.0589328078297566E-4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19.210999999999999</v>
      </c>
      <c r="C303" s="388"/>
      <c r="D303" s="391">
        <f t="shared" si="99"/>
        <v>19.44733948416437</v>
      </c>
      <c r="E303" s="383">
        <f t="shared" si="121"/>
        <v>20.377752632149228</v>
      </c>
      <c r="F303" s="383">
        <f t="shared" si="100"/>
        <v>20.382899240055625</v>
      </c>
      <c r="G303" s="110">
        <f t="shared" si="122"/>
        <v>0.50955923970372397</v>
      </c>
      <c r="H303" s="412" t="b">
        <f>Wh_hp&gt;='2019'!Maxi_hp</f>
        <v>0</v>
      </c>
      <c r="I303" s="388">
        <f>IF(H303,Wh_hp,'2019'!Maxi_hp)</f>
        <v>33.491975682750187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1.2152792640701349E-2</v>
      </c>
      <c r="M303" s="832"/>
      <c r="N303" s="832"/>
      <c r="O303" s="48">
        <f>IF(t&lt;Tnet,'2019'!Resal+('2019'!Salim-'2019'!Resal)*(1-EXP(('2019'!Tnet-t)/('2019'!Tau_j))),Resal+(Salim-Resal)*(1-EXP((Tnet-t)/(Tau_j))))*Salcycl</f>
        <v>4.5658280615153764E-2</v>
      </c>
      <c r="P303" s="169">
        <f>(INDEX(Models!$BJ303:$BT303,,T303)*(1-R303)+INDEX(Models!$BJ303:$BT303,,T303+1)*R303-ERP_i)*Q303*Ramure*Pc/MaxiM</f>
        <v>8.4221605720294747E-4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37.678971427973217</v>
      </c>
      <c r="W303" s="58"/>
      <c r="X303" s="157">
        <f t="shared" si="108"/>
        <v>44119</v>
      </c>
      <c r="Y303" s="383">
        <f t="shared" si="109"/>
        <v>19.210999999999999</v>
      </c>
      <c r="Z303" s="383">
        <f t="shared" si="110"/>
        <v>19.44733948416437</v>
      </c>
      <c r="AA303" s="384">
        <f t="shared" si="111"/>
        <v>20.377752632149228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4.5658280615153764E-2</v>
      </c>
      <c r="AD303" s="230">
        <f>(INDEX(Models!$BJ303:$BT303,,AH303)*(1-AF303)+INDEX(Models!$BJ303:$BT303,,AH303+1)*AF303-ERP_i)*AE303*Ramure*Pc/MaxiM</f>
        <v>8.4221605720294747E-4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9.5749999999999993</v>
      </c>
      <c r="C304" s="388"/>
      <c r="D304" s="391">
        <f t="shared" si="99"/>
        <v>9.6929802856898402</v>
      </c>
      <c r="E304" s="383">
        <f t="shared" si="121"/>
        <v>10.156993272170462</v>
      </c>
      <c r="F304" s="383">
        <f t="shared" si="100"/>
        <v>10.156993272170462</v>
      </c>
      <c r="G304" s="110">
        <f t="shared" si="122"/>
        <v>0.25623565156666145</v>
      </c>
      <c r="H304" s="412" t="b">
        <f>Wh_hp&gt;='2019'!Maxi_hp</f>
        <v>0</v>
      </c>
      <c r="I304" s="388">
        <f>IF(H304,Wh_hp,'2019'!Maxi_hp)</f>
        <v>20.310327668561452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1.2171724507066273E-2</v>
      </c>
      <c r="M304" s="832"/>
      <c r="N304" s="832"/>
      <c r="O304" s="48">
        <f>IF(t&lt;Tnet,'2019'!Resal+('2019'!Salim-'2019'!Resal)*(1-EXP(('2019'!Tnet-t)/('2019'!Tau_j))),Resal+(Salim-Resal)*(1-EXP((Tnet-t)/(Tau_j))))*Salcycl</f>
        <v>4.5684089183359873E-2</v>
      </c>
      <c r="P304" s="169">
        <f>(INDEX(Models!$BJ304:$BT304,,T304)*(1-R304)+INDEX(Models!$BJ304:$BT304,,T304+1)*R304-ERP_i)*Q304*Ramure*Pc/MaxiM</f>
        <v>8.7951622479569703E-4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37.335080320229252</v>
      </c>
      <c r="W304" s="58"/>
      <c r="X304" s="157">
        <f t="shared" si="108"/>
        <v>44120</v>
      </c>
      <c r="Y304" s="383">
        <f t="shared" si="109"/>
        <v>9.5749999999999993</v>
      </c>
      <c r="Z304" s="383">
        <f t="shared" si="110"/>
        <v>9.6929802856898402</v>
      </c>
      <c r="AA304" s="384">
        <f t="shared" si="111"/>
        <v>10.156993272170462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4.5684089183359873E-2</v>
      </c>
      <c r="AD304" s="230">
        <f>(INDEX(Models!$BJ304:$BT304,,AH304)*(1-AF304)+INDEX(Models!$BJ304:$BT304,,AH304+1)*AF304-ERP_i)*AE304*Ramure*Pc/MaxiM</f>
        <v>8.7951622479569703E-4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36.518999999999998</v>
      </c>
      <c r="C305" s="388"/>
      <c r="D305" s="391">
        <f t="shared" si="99"/>
        <v>36.969684709109316</v>
      </c>
      <c r="E305" s="383">
        <f t="shared" si="121"/>
        <v>38.740482373142143</v>
      </c>
      <c r="F305" s="383">
        <f t="shared" si="100"/>
        <v>38.775386152374139</v>
      </c>
      <c r="G305" s="110">
        <f t="shared" si="122"/>
        <v>0.98725319731957417</v>
      </c>
      <c r="H305" s="412" t="b">
        <f>Wh_hp&gt;='2019'!Maxi_hp</f>
        <v>1</v>
      </c>
      <c r="I305" s="388">
        <f>IF(H305,Wh_hp,'2019'!Maxi_hp)</f>
        <v>38.775386152374139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1.2190656010606205E-2</v>
      </c>
      <c r="M305" s="832"/>
      <c r="N305" s="832"/>
      <c r="O305" s="48">
        <f>IF(t&lt;Tnet,'2019'!Resal+('2019'!Salim-'2019'!Resal)*(1-EXP(('2019'!Tnet-t)/('2019'!Tau_j))),Resal+(Salim-Resal)*(1-EXP((Tnet-t)/(Tau_j))))*Salcycl</f>
        <v>4.5709231159715251E-2</v>
      </c>
      <c r="P305" s="169">
        <f>(INDEX(Models!$BJ305:$BT305,,T305)*(1-R305)+INDEX(Models!$BJ305:$BT305,,T305+1)*R305-ERP_i)*Q305*Ramure*Pc/MaxiM</f>
        <v>9.1682654913126968E-4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36.989893421793305</v>
      </c>
      <c r="W305" s="58"/>
      <c r="X305" s="157">
        <f t="shared" si="108"/>
        <v>44121</v>
      </c>
      <c r="Y305" s="383">
        <f t="shared" si="109"/>
        <v>36.518999999999998</v>
      </c>
      <c r="Z305" s="383">
        <f t="shared" si="110"/>
        <v>36.969684709109316</v>
      </c>
      <c r="AA305" s="384">
        <f t="shared" si="111"/>
        <v>38.740482373142143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4.5709231159715251E-2</v>
      </c>
      <c r="AD305" s="230">
        <f>(INDEX(Models!$BJ305:$BT305,,AH305)*(1-AF305)+INDEX(Models!$BJ305:$BT305,,AH305+1)*AF305-ERP_i)*AE305*Ramure*Pc/MaxiM</f>
        <v>9.1682654913126968E-4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36.308999999999997</v>
      </c>
      <c r="C306" s="388"/>
      <c r="D306" s="391">
        <f t="shared" si="99"/>
        <v>36.757797532463492</v>
      </c>
      <c r="E306" s="383">
        <f t="shared" si="121"/>
        <v>38.519434838090604</v>
      </c>
      <c r="F306" s="383">
        <f t="shared" si="100"/>
        <v>38.555741543850147</v>
      </c>
      <c r="G306" s="110">
        <f t="shared" si="122"/>
        <v>0.99084759756940388</v>
      </c>
      <c r="H306" s="412" t="b">
        <f>Wh_hp&gt;='2019'!Maxi_hp</f>
        <v>1</v>
      </c>
      <c r="I306" s="388">
        <f>IF(H306,Wh_hp,'2019'!Maxi_hp)</f>
        <v>38.555741543850147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1.2209587151328249E-2</v>
      </c>
      <c r="M306" s="832"/>
      <c r="N306" s="832"/>
      <c r="O306" s="48">
        <f>IF(t&lt;Tnet,'2019'!Resal+('2019'!Salim-'2019'!Resal)*(1-EXP(('2019'!Tnet-t)/('2019'!Tau_j))),Resal+(Salim-Resal)*(1-EXP((Tnet-t)/(Tau_j))))*Salcycl</f>
        <v>4.5733726702684795E-2</v>
      </c>
      <c r="P306" s="169">
        <f>(INDEX(Models!$BJ306:$BT306,,T306)*(1-R306)+INDEX(Models!$BJ306:$BT306,,T306+1)*R306-ERP_i)*Q306*Ramure*Pc/MaxiM</f>
        <v>9.5412616611431243E-4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36.643927196287137</v>
      </c>
      <c r="W306" s="58"/>
      <c r="X306" s="157">
        <f t="shared" si="108"/>
        <v>44122</v>
      </c>
      <c r="Y306" s="383">
        <f t="shared" si="109"/>
        <v>36.308999999999997</v>
      </c>
      <c r="Z306" s="383">
        <f t="shared" si="110"/>
        <v>36.757797532463492</v>
      </c>
      <c r="AA306" s="384">
        <f t="shared" si="111"/>
        <v>38.519434838090604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4.5733726702684795E-2</v>
      </c>
      <c r="AD306" s="230">
        <f>(INDEX(Models!$BJ306:$BT306,,AH306)*(1-AF306)+INDEX(Models!$BJ306:$BT306,,AH306+1)*AF306-ERP_i)*AE306*Ramure*Pc/MaxiM</f>
        <v>9.5412616611431243E-4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29.86</v>
      </c>
      <c r="C307" s="388"/>
      <c r="D307" s="391">
        <f t="shared" si="99"/>
        <v>30.229663988073028</v>
      </c>
      <c r="E307" s="383">
        <f t="shared" si="121"/>
        <v>31.679229447234714</v>
      </c>
      <c r="F307" s="383">
        <f t="shared" si="100"/>
        <v>31.702695928532638</v>
      </c>
      <c r="G307" s="110">
        <f t="shared" si="122"/>
        <v>0.82243491179794126</v>
      </c>
      <c r="H307" s="412" t="b">
        <f>Wh_hp&gt;='2019'!Maxi_hp</f>
        <v>1</v>
      </c>
      <c r="I307" s="388">
        <f>IF(H307,Wh_hp,'2019'!Maxi_hp)</f>
        <v>31.702695928532638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1.2228517929239291E-2</v>
      </c>
      <c r="M307" s="832"/>
      <c r="N307" s="832"/>
      <c r="O307" s="48">
        <f>IF(t&lt;Tnet,'2019'!Resal+('2019'!Salim-'2019'!Resal)*(1-EXP(('2019'!Tnet-t)/('2019'!Tau_j))),Resal+(Salim-Resal)*(1-EXP((Tnet-t)/(Tau_j))))*Salcycl</f>
        <v>4.5757598415583252E-2</v>
      </c>
      <c r="P307" s="169">
        <f>(INDEX(Models!$BJ307:$BT307,,T307)*(1-R307)+INDEX(Models!$BJ307:$BT307,,T307+1)*R307-ERP_i)*Q307*Ramure*Pc/MaxiM</f>
        <v>9.9139279535067747E-4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36.297697892185063</v>
      </c>
      <c r="W307" s="58"/>
      <c r="X307" s="157">
        <f t="shared" si="108"/>
        <v>44123</v>
      </c>
      <c r="Y307" s="383">
        <f t="shared" si="109"/>
        <v>29.86</v>
      </c>
      <c r="Z307" s="383">
        <f t="shared" si="110"/>
        <v>30.229663988073028</v>
      </c>
      <c r="AA307" s="384">
        <f t="shared" si="111"/>
        <v>31.679229447234714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4.5757598415583252E-2</v>
      </c>
      <c r="AD307" s="230">
        <f>(INDEX(Models!$BJ307:$BT307,,AH307)*(1-AF307)+INDEX(Models!$BJ307:$BT307,,AH307+1)*AF307-ERP_i)*AE307*Ramure*Pc/MaxiM</f>
        <v>9.9139279535067747E-4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5.6079999999999997</v>
      </c>
      <c r="C308" s="388"/>
      <c r="D308" s="391">
        <f t="shared" si="99"/>
        <v>5.6775353205617822</v>
      </c>
      <c r="E308" s="383">
        <f t="shared" si="121"/>
        <v>5.9499282187248506</v>
      </c>
      <c r="F308" s="383">
        <f t="shared" si="100"/>
        <v>5.9499282187248506</v>
      </c>
      <c r="G308" s="110">
        <f t="shared" si="122"/>
        <v>0.15582651830011754</v>
      </c>
      <c r="H308" s="412" t="b">
        <f>Wh_hp&gt;='2019'!Maxi_hp</f>
        <v>0</v>
      </c>
      <c r="I308" s="388">
        <f>IF(H308,Wh_hp,'2019'!Maxi_hp)</f>
        <v>24.418087613545492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1.2247448344346323E-2</v>
      </c>
      <c r="M308" s="832"/>
      <c r="N308" s="832"/>
      <c r="O308" s="48">
        <f>IF(t&lt;Tnet,'2019'!Resal+('2019'!Salim-'2019'!Resal)*(1-EXP(('2019'!Tnet-t)/('2019'!Tau_j))),Resal+(Salim-Resal)*(1-EXP((Tnet-t)/(Tau_j))))*Salcycl</f>
        <v>4.5780871323090576E-2</v>
      </c>
      <c r="P308" s="169">
        <f>(INDEX(Models!$BJ308:$BT308,,T308)*(1-R308)+INDEX(Models!$BJ308:$BT308,,T308+1)*R308-ERP_i)*Q308*Ramure*Pc/MaxiM</f>
        <v>1.0286027836714062E-3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35.951721547159437</v>
      </c>
      <c r="W308" s="58"/>
      <c r="X308" s="157">
        <f t="shared" si="108"/>
        <v>44124</v>
      </c>
      <c r="Y308" s="383">
        <f t="shared" si="109"/>
        <v>5.6079999999999997</v>
      </c>
      <c r="Z308" s="383">
        <f t="shared" si="110"/>
        <v>5.6775353205617822</v>
      </c>
      <c r="AA308" s="384">
        <f t="shared" si="111"/>
        <v>5.9499282187248506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4.5780871323090576E-2</v>
      </c>
      <c r="AD308" s="230">
        <f>(INDEX(Models!$BJ308:$BT308,,AH308)*(1-AF308)+INDEX(Models!$BJ308:$BT308,,AH308+1)*AF308-ERP_i)*AE308*Ramure*Pc/MaxiM</f>
        <v>1.0286027836714062E-3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24.57</v>
      </c>
      <c r="C309" s="388"/>
      <c r="D309" s="391">
        <f t="shared" si="99"/>
        <v>24.875127729393903</v>
      </c>
      <c r="E309" s="383">
        <f t="shared" si="121"/>
        <v>26.069189761299306</v>
      </c>
      <c r="F309" s="383">
        <f t="shared" si="100"/>
        <v>26.084679596950284</v>
      </c>
      <c r="G309" s="110">
        <f t="shared" si="122"/>
        <v>0.68971645119090863</v>
      </c>
      <c r="H309" s="412" t="b">
        <f>Wh_hp&gt;='2019'!Maxi_hp</f>
        <v>1</v>
      </c>
      <c r="I309" s="388">
        <f>IF(H309,Wh_hp,'2019'!Maxi_hp)</f>
        <v>26.084679596950284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1.226637839665623E-2</v>
      </c>
      <c r="M309" s="832"/>
      <c r="N309" s="832"/>
      <c r="O309" s="48">
        <f>IF(t&lt;Tnet,'2019'!Resal+('2019'!Salim-'2019'!Resal)*(1-EXP(('2019'!Tnet-t)/('2019'!Tau_j))),Resal+(Salim-Resal)*(1-EXP((Tnet-t)/(Tau_j))))*Salcycl</f>
        <v>4.5803572832095969E-2</v>
      </c>
      <c r="P309" s="169">
        <f>(INDEX(Models!$BJ309:$BT309,,T309)*(1-R309)+INDEX(Models!$BJ309:$BT309,,T309+1)*R309-ERP_i)*Q309*Ramure*Pc/MaxiM</f>
        <v>1.0657311502976035E-3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35.606513994406399</v>
      </c>
      <c r="W309" s="58"/>
      <c r="X309" s="157">
        <f t="shared" si="108"/>
        <v>44125</v>
      </c>
      <c r="Y309" s="383">
        <f t="shared" si="109"/>
        <v>24.57</v>
      </c>
      <c r="Z309" s="383">
        <f t="shared" si="110"/>
        <v>24.875127729393903</v>
      </c>
      <c r="AA309" s="384">
        <f t="shared" si="111"/>
        <v>26.069189761299306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4.5803572832095969E-2</v>
      </c>
      <c r="AD309" s="230">
        <f>(INDEX(Models!$BJ309:$BT309,,AH309)*(1-AF309)+INDEX(Models!$BJ309:$BT309,,AH309+1)*AF309-ERP_i)*AE309*Ramure*Pc/MaxiM</f>
        <v>1.0657311502976035E-3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4.9950000000000001</v>
      </c>
      <c r="C310" s="388"/>
      <c r="D310" s="391">
        <f t="shared" si="99"/>
        <v>5.0571283801818785</v>
      </c>
      <c r="E310" s="383">
        <f t="shared" si="121"/>
        <v>5.3000049921370316</v>
      </c>
      <c r="F310" s="383">
        <f t="shared" si="100"/>
        <v>5.3000049921370316</v>
      </c>
      <c r="G310" s="110">
        <f t="shared" si="122"/>
        <v>0.14149532500728981</v>
      </c>
      <c r="H310" s="412" t="b">
        <f>Wh_hp&gt;='2019'!Maxi_hp</f>
        <v>0</v>
      </c>
      <c r="I310" s="388">
        <f>IF(H310,Wh_hp,'2019'!Maxi_hp)</f>
        <v>18.032818335876019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1.2285308086176006E-2</v>
      </c>
      <c r="M310" s="832"/>
      <c r="N310" s="832"/>
      <c r="O310" s="48">
        <f>IF(t&lt;Tnet,'2019'!Resal+('2019'!Salim-'2019'!Resal)*(1-EXP(('2019'!Tnet-t)/('2019'!Tau_j))),Resal+(Salim-Resal)*(1-EXP((Tnet-t)/(Tau_j))))*Salcycl</f>
        <v>4.5825732676757658E-2</v>
      </c>
      <c r="P310" s="169">
        <f>(INDEX(Models!$BJ310:$BT310,,T310)*(1-R310)+INDEX(Models!$BJ310:$BT310,,T310+1)*R310-ERP_i)*Q310*Ramure*Pc/MaxiM</f>
        <v>1.1018000847465576E-3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35.262624459992814</v>
      </c>
      <c r="W310" s="58"/>
      <c r="X310" s="157">
        <f t="shared" si="108"/>
        <v>44126</v>
      </c>
      <c r="Y310" s="383">
        <f t="shared" si="109"/>
        <v>4.9950000000000001</v>
      </c>
      <c r="Z310" s="383">
        <f t="shared" si="110"/>
        <v>5.0571283801818785</v>
      </c>
      <c r="AA310" s="384">
        <f t="shared" si="111"/>
        <v>5.3000049921370316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4.5825732676757658E-2</v>
      </c>
      <c r="AD310" s="230">
        <f>(INDEX(Models!$BJ310:$BT310,,AH310)*(1-AF310)+INDEX(Models!$BJ310:$BT310,,AH310+1)*AF310-ERP_i)*AE310*Ramure*Pc/MaxiM</f>
        <v>1.1018000847465576E-3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9.5969999999999995</v>
      </c>
      <c r="C311" s="388"/>
      <c r="D311" s="391">
        <f t="shared" si="99"/>
        <v>9.716554797058583</v>
      </c>
      <c r="E311" s="383">
        <f t="shared" si="121"/>
        <v>10.183438815122589</v>
      </c>
      <c r="F311" s="383">
        <f t="shared" si="100"/>
        <v>10.183438815122589</v>
      </c>
      <c r="G311" s="110">
        <f t="shared" si="122"/>
        <v>0.27451129844470179</v>
      </c>
      <c r="H311" s="412" t="b">
        <f>Wh_hp&gt;='2019'!Maxi_hp</f>
        <v>0</v>
      </c>
      <c r="I311" s="388">
        <f>IF(H311,Wh_hp,'2019'!Maxi_hp)</f>
        <v>17.785128153170593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1.2304237412912644E-2</v>
      </c>
      <c r="M311" s="832"/>
      <c r="N311" s="832"/>
      <c r="O311" s="48">
        <f>IF(t&lt;Tnet,'2019'!Resal+('2019'!Salim-'2019'!Resal)*(1-EXP(('2019'!Tnet-t)/('2019'!Tau_j))),Resal+(Salim-Resal)*(1-EXP((Tnet-t)/(Tau_j))))*Salcycl</f>
        <v>4.5847382847793466E-2</v>
      </c>
      <c r="P311" s="169">
        <f>(INDEX(Models!$BJ311:$BT311,,T311)*(1-R311)+INDEX(Models!$BJ311:$BT311,,T311+1)*R311-ERP_i)*Q311*Ramure*Pc/MaxiM</f>
        <v>1.13629596439666E-3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34.92058440560227</v>
      </c>
      <c r="W311" s="58"/>
      <c r="X311" s="157">
        <f t="shared" si="108"/>
        <v>44127</v>
      </c>
      <c r="Y311" s="383">
        <f t="shared" si="109"/>
        <v>9.5969999999999995</v>
      </c>
      <c r="Z311" s="383">
        <f t="shared" si="110"/>
        <v>9.716554797058583</v>
      </c>
      <c r="AA311" s="384">
        <f t="shared" si="111"/>
        <v>10.183438815122589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4.5847382847793466E-2</v>
      </c>
      <c r="AD311" s="230">
        <f>(INDEX(Models!$BJ311:$BT311,,AH311)*(1-AF311)+INDEX(Models!$BJ311:$BT311,,AH311+1)*AF311-ERP_i)*AE311*Ramure*Pc/MaxiM</f>
        <v>1.13629596439666E-3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30.431999999999999</v>
      </c>
      <c r="C312" s="388"/>
      <c r="D312" s="391">
        <f t="shared" si="99"/>
        <v>30.811697676825428</v>
      </c>
      <c r="E312" s="383">
        <f t="shared" si="121"/>
        <v>32.292927687501482</v>
      </c>
      <c r="F312" s="383">
        <f t="shared" si="100"/>
        <v>32.324243434315413</v>
      </c>
      <c r="G312" s="110">
        <f t="shared" si="122"/>
        <v>0.87984665286173136</v>
      </c>
      <c r="H312" s="412" t="b">
        <f>Wh_hp&gt;='2019'!Maxi_hp</f>
        <v>1</v>
      </c>
      <c r="I312" s="388">
        <f>IF(H312,Wh_hp,'2019'!Maxi_hp)</f>
        <v>32.324243434315413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1.2323166376872918E-2</v>
      </c>
      <c r="M312" s="832"/>
      <c r="N312" s="832"/>
      <c r="O312" s="48">
        <f>IF(t&lt;Tnet,'2019'!Resal+('2019'!Salim-'2019'!Resal)*(1-EXP(('2019'!Tnet-t)/('2019'!Tau_j))),Resal+(Salim-Resal)*(1-EXP((Tnet-t)/(Tau_j))))*Salcycl</f>
        <v>4.5868557506148523E-2</v>
      </c>
      <c r="P312" s="169">
        <f>(INDEX(Models!$BJ312:$BT312,,T312)*(1-R312)+INDEX(Models!$BJ312:$BT312,,T312+1)*R312-ERP_i)*Q312*Ramure*Pc/MaxiM</f>
        <v>1.1691953983424209E-3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34.580907449061513</v>
      </c>
      <c r="W312" s="58"/>
      <c r="X312" s="157">
        <f t="shared" si="108"/>
        <v>44128</v>
      </c>
      <c r="Y312" s="383">
        <f t="shared" si="109"/>
        <v>30.431999999999995</v>
      </c>
      <c r="Z312" s="383">
        <f t="shared" si="110"/>
        <v>30.811697676825425</v>
      </c>
      <c r="AA312" s="384">
        <f t="shared" si="111"/>
        <v>32.292927687501482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4.5868557506148523E-2</v>
      </c>
      <c r="AD312" s="230">
        <f>(INDEX(Models!$BJ312:$BT312,,AH312)*(1-AF312)+INDEX(Models!$BJ312:$BT312,,AH312+1)*AF312-ERP_i)*AE312*Ramure*Pc/MaxiM</f>
        <v>1.1691953983424209E-3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22.297999999999998</v>
      </c>
      <c r="C313" s="388"/>
      <c r="D313" s="391">
        <f t="shared" si="99"/>
        <v>22.576643073093976</v>
      </c>
      <c r="E313" s="383">
        <f t="shared" si="121"/>
        <v>23.662498392113363</v>
      </c>
      <c r="F313" s="383">
        <f t="shared" si="100"/>
        <v>23.676756603089075</v>
      </c>
      <c r="G313" s="110">
        <f t="shared" si="122"/>
        <v>0.65075873270924034</v>
      </c>
      <c r="H313" s="412" t="b">
        <f>Wh_hp&gt;='2019'!Maxi_hp</f>
        <v>0</v>
      </c>
      <c r="I313" s="388">
        <f>IF(H313,Wh_hp,'2019'!Maxi_hp)</f>
        <v>35.899581400046522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1.2342094978064044E-2</v>
      </c>
      <c r="M313" s="832"/>
      <c r="N313" s="832"/>
      <c r="O313" s="48">
        <f>IF(t&lt;Tnet,'2019'!Resal+('2019'!Salim-'2019'!Resal)*(1-EXP(('2019'!Tnet-t)/('2019'!Tau_j))),Resal+(Salim-Resal)*(1-EXP((Tnet-t)/(Tau_j))))*Salcycl</f>
        <v>4.5889292881317274E-2</v>
      </c>
      <c r="P313" s="169">
        <f>(INDEX(Models!$BJ313:$BT313,,T313)*(1-R313)+INDEX(Models!$BJ313:$BT313,,T313+1)*R313-ERP_i)*Q313*Ramure*Pc/MaxiM</f>
        <v>1.2004664230958297E-3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34.24410731827993</v>
      </c>
      <c r="W313" s="58"/>
      <c r="X313" s="157">
        <f t="shared" si="108"/>
        <v>44129</v>
      </c>
      <c r="Y313" s="383">
        <f t="shared" si="109"/>
        <v>22.297999999999998</v>
      </c>
      <c r="Z313" s="383">
        <f t="shared" si="110"/>
        <v>22.576643073093976</v>
      </c>
      <c r="AA313" s="384">
        <f t="shared" si="111"/>
        <v>23.662498392113363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4.5889292881317274E-2</v>
      </c>
      <c r="AD313" s="230">
        <f>(INDEX(Models!$BJ313:$BT313,,AH313)*(1-AF313)+INDEX(Models!$BJ313:$BT313,,AH313+1)*AF313-ERP_i)*AE313*Ramure*Pc/MaxiM</f>
        <v>1.2004664230958297E-3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23.433</v>
      </c>
      <c r="C314" s="388"/>
      <c r="D314" s="391">
        <f t="shared" si="99"/>
        <v>23.726281111662292</v>
      </c>
      <c r="E314" s="383">
        <f t="shared" si="121"/>
        <v>24.867959877748476</v>
      </c>
      <c r="F314" s="383">
        <f t="shared" si="100"/>
        <v>24.885058970048526</v>
      </c>
      <c r="G314" s="110">
        <f t="shared" si="122"/>
        <v>0.69064542722207078</v>
      </c>
      <c r="H314" s="412" t="b">
        <f>Wh_hp&gt;='2019'!Maxi_hp</f>
        <v>1</v>
      </c>
      <c r="I314" s="388">
        <f>IF(H314,Wh_hp,'2019'!Maxi_hp)</f>
        <v>24.885058970048526</v>
      </c>
      <c r="J314" s="85">
        <f>IF(H314,An,'2019'!An_max)</f>
        <v>2020</v>
      </c>
      <c r="K314" s="197">
        <f t="shared" si="101"/>
        <v>44130</v>
      </c>
      <c r="L314" s="147">
        <f>IF(t&lt;Tvie,1-EXP((T0-t)*PertePVj)+'2019'!Pspv,1-EXP((T0-t)*PertePVj)+Pspv)</f>
        <v>1.2361023216492795E-2</v>
      </c>
      <c r="M314" s="832"/>
      <c r="N314" s="832"/>
      <c r="O314" s="48">
        <f>IF(t&lt;Tnet,'2019'!Resal+('2019'!Salim-'2019'!Resal)*(1-EXP(('2019'!Tnet-t)/('2019'!Tau_j))),Resal+(Salim-Resal)*(1-EXP((Tnet-t)/(Tau_j))))*Salcycl</f>
        <v>4.590962715472853E-2</v>
      </c>
      <c r="P314" s="169">
        <f>(INDEX(Models!$BJ314:$BT314,,T314)*(1-R314)+INDEX(Models!$BJ314:$BT314,,T314+1)*R314-ERP_i)*Q314*Ramure*Pc/MaxiM</f>
        <v>1.2300775027182982E-3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33.910697547348541</v>
      </c>
      <c r="W314" s="58"/>
      <c r="X314" s="157">
        <f t="shared" si="108"/>
        <v>44130</v>
      </c>
      <c r="Y314" s="383">
        <f t="shared" si="109"/>
        <v>23.433</v>
      </c>
      <c r="Z314" s="383">
        <f t="shared" si="110"/>
        <v>23.726281111662292</v>
      </c>
      <c r="AA314" s="384">
        <f t="shared" si="111"/>
        <v>24.867959877748476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4.590962715472853E-2</v>
      </c>
      <c r="AD314" s="230">
        <f>(INDEX(Models!$BJ314:$BT314,,AH314)*(1-AF314)+INDEX(Models!$BJ314:$BT314,,AH314+1)*AF314-ERP_i)*AE314*Ramure*Pc/MaxiM</f>
        <v>1.2300775027182982E-3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24.466000000000001</v>
      </c>
      <c r="C315" s="388"/>
      <c r="D315" s="391">
        <f t="shared" si="99"/>
        <v>24.772684624067615</v>
      </c>
      <c r="E315" s="383">
        <f t="shared" si="121"/>
        <v>25.965258572745991</v>
      </c>
      <c r="F315" s="383">
        <f t="shared" si="100"/>
        <v>25.985272086310616</v>
      </c>
      <c r="G315" s="110">
        <f t="shared" si="122"/>
        <v>0.72820691977137275</v>
      </c>
      <c r="H315" s="412" t="b">
        <f>Wh_hp&gt;='2019'!Maxi_hp</f>
        <v>1</v>
      </c>
      <c r="I315" s="388">
        <f>IF(H315,Wh_hp,'2019'!Maxi_hp)</f>
        <v>25.985272086310616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1.2379951092166164E-2</v>
      </c>
      <c r="M315" s="832"/>
      <c r="N315" s="832"/>
      <c r="O315" s="48">
        <f>IF(t&lt;Tnet,'2019'!Resal+('2019'!Salim-'2019'!Resal)*(1-EXP(('2019'!Tnet-t)/('2019'!Tau_j))),Resal+(Salim-Resal)*(1-EXP((Tnet-t)/(Tau_j))))*Salcycl</f>
        <v>4.5929600328730842E-2</v>
      </c>
      <c r="P315" s="169">
        <f>(INDEX(Models!$BJ315:$BT315,,T315)*(1-R315)+INDEX(Models!$BJ315:$BT315,,T315+1)*R315-ERP_i)*Q315*Ramure*Pc/MaxiM</f>
        <v>1.2579977048596661E-3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33.581191492923196</v>
      </c>
      <c r="W315" s="58"/>
      <c r="X315" s="157">
        <f t="shared" si="108"/>
        <v>44131</v>
      </c>
      <c r="Y315" s="383">
        <f t="shared" si="109"/>
        <v>24.466000000000001</v>
      </c>
      <c r="Z315" s="383">
        <f t="shared" si="110"/>
        <v>24.772684624067615</v>
      </c>
      <c r="AA315" s="384">
        <f t="shared" si="111"/>
        <v>25.965258572745991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4.5929600328730842E-2</v>
      </c>
      <c r="AD315" s="230">
        <f>(INDEX(Models!$BJ315:$BT315,,AH315)*(1-AF315)+INDEX(Models!$BJ315:$BT315,,AH315+1)*AF315-ERP_i)*AE315*Ramure*Pc/MaxiM</f>
        <v>1.2579977048596661E-3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13.099</v>
      </c>
      <c r="C316" s="388"/>
      <c r="D316" s="391">
        <f t="shared" si="99"/>
        <v>13.263451930369108</v>
      </c>
      <c r="E316" s="383">
        <f t="shared" si="121"/>
        <v>13.902249945420509</v>
      </c>
      <c r="F316" s="383">
        <f t="shared" si="100"/>
        <v>13.904644796800467</v>
      </c>
      <c r="G316" s="110">
        <f t="shared" si="122"/>
        <v>0.39344453993139666</v>
      </c>
      <c r="H316" s="412" t="b">
        <f>Wh_hp&gt;='2019'!Maxi_hp</f>
        <v>0</v>
      </c>
      <c r="I316" s="388">
        <f>IF(H316,Wh_hp,'2019'!Maxi_hp)</f>
        <v>29.777598995663187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1.2398878605091146E-2</v>
      </c>
      <c r="M316" s="832"/>
      <c r="N316" s="832"/>
      <c r="O316" s="48">
        <f>IF(t&lt;Tnet,'2019'!Resal+('2019'!Salim-'2019'!Resal)*(1-EXP(('2019'!Tnet-t)/('2019'!Tau_j))),Resal+(Salim-Resal)*(1-EXP((Tnet-t)/(Tau_j))))*Salcycl</f>
        <v>4.594925408184198E-2</v>
      </c>
      <c r="P316" s="169">
        <f>(INDEX(Models!$BJ316:$BT316,,T316)*(1-R316)+INDEX(Models!$BJ316:$BT316,,T316+1)*R316-ERP_i)*Q316*Ramure*Pc/MaxiM</f>
        <v>1.2841968719089726E-3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33.256102347633728</v>
      </c>
      <c r="W316" s="58"/>
      <c r="X316" s="157">
        <f t="shared" si="108"/>
        <v>44132</v>
      </c>
      <c r="Y316" s="383">
        <f t="shared" si="109"/>
        <v>13.099</v>
      </c>
      <c r="Z316" s="383">
        <f t="shared" si="110"/>
        <v>13.263451930369108</v>
      </c>
      <c r="AA316" s="384">
        <f t="shared" si="111"/>
        <v>13.902249945420509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4.594925408184198E-2</v>
      </c>
      <c r="AD316" s="230">
        <f>(INDEX(Models!$BJ316:$BT316,,AH316)*(1-AF316)+INDEX(Models!$BJ316:$BT316,,AH316+1)*AF316-ERP_i)*AE316*Ramure*Pc/MaxiM</f>
        <v>1.2841968719089726E-3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26.818000000000001</v>
      </c>
      <c r="C317" s="388"/>
      <c r="D317" s="391">
        <f t="shared" si="99"/>
        <v>27.155208099422694</v>
      </c>
      <c r="E317" s="383">
        <f t="shared" si="121"/>
        <v>28.463642810067132</v>
      </c>
      <c r="F317" s="383">
        <f t="shared" si="100"/>
        <v>28.491037803008169</v>
      </c>
      <c r="G317" s="110">
        <f t="shared" si="122"/>
        <v>0.8140128067755501</v>
      </c>
      <c r="H317" s="412" t="b">
        <f>Wh_hp&gt;='2019'!Maxi_hp</f>
        <v>1</v>
      </c>
      <c r="I317" s="388">
        <f>IF(H317,Wh_hp,'2019'!Maxi_hp)</f>
        <v>28.491037803008169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1.2417805755274736E-2</v>
      </c>
      <c r="M317" s="832"/>
      <c r="N317" s="832"/>
      <c r="O317" s="48">
        <f>IF(t&lt;Tnet,'2019'!Resal+('2019'!Salim-'2019'!Resal)*(1-EXP(('2019'!Tnet-t)/('2019'!Tau_j))),Resal+(Salim-Resal)*(1-EXP((Tnet-t)/(Tau_j))))*Salcycl</f>
        <v>4.5968631611048229E-2</v>
      </c>
      <c r="P317" s="169">
        <f>(INDEX(Models!$BJ317:$BT317,,T317)*(1-R317)+INDEX(Models!$BJ317:$BT317,,T317+1)*R317-ERP_i)*Q317*Ramure*Pc/MaxiM</f>
        <v>1.3087237645688821E-3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32.933978161109025</v>
      </c>
      <c r="W317" s="58"/>
      <c r="X317" s="157">
        <f t="shared" si="108"/>
        <v>44133</v>
      </c>
      <c r="Y317" s="383">
        <f t="shared" si="109"/>
        <v>26.818000000000001</v>
      </c>
      <c r="Z317" s="383">
        <f t="shared" si="110"/>
        <v>27.155208099422694</v>
      </c>
      <c r="AA317" s="384">
        <f t="shared" si="111"/>
        <v>28.463642810067132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4.5968631611048229E-2</v>
      </c>
      <c r="AD317" s="230">
        <f>(INDEX(Models!$BJ317:$BT317,,AH317)*(1-AF317)+INDEX(Models!$BJ317:$BT317,,AH317+1)*AF317-ERP_i)*AE317*Ramure*Pc/MaxiM</f>
        <v>1.3087237645688821E-3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32.104999999999997</v>
      </c>
      <c r="C318" s="388"/>
      <c r="D318" s="391">
        <f t="shared" si="99"/>
        <v>32.509309588500784</v>
      </c>
      <c r="E318" s="383">
        <f t="shared" si="121"/>
        <v>34.076407849384537</v>
      </c>
      <c r="F318" s="383">
        <f t="shared" si="100"/>
        <v>34.120858369867321</v>
      </c>
      <c r="G318" s="110">
        <f t="shared" si="122"/>
        <v>0.98438797742065753</v>
      </c>
      <c r="H318" s="412" t="b">
        <f>Wh_hp&gt;='2019'!Maxi_hp</f>
        <v>1</v>
      </c>
      <c r="I318" s="388">
        <f>IF(H318,Wh_hp,'2019'!Maxi_hp)</f>
        <v>34.120858369867321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1.2436732542723705E-2</v>
      </c>
      <c r="M318" s="832"/>
      <c r="N318" s="832"/>
      <c r="O318" s="48">
        <f>IF(t&lt;Tnet,'2019'!Resal+('2019'!Salim-'2019'!Resal)*(1-EXP(('2019'!Tnet-t)/('2019'!Tau_j))),Resal+(Salim-Resal)*(1-EXP((Tnet-t)/(Tau_j))))*Salcycl</f>
        <v>4.5987777462056047E-2</v>
      </c>
      <c r="P318" s="169">
        <f>(INDEX(Models!$BJ318:$BT318,,T318)*(1-R318)+INDEX(Models!$BJ318:$BT318,,T318+1)*R318-ERP_i)*Q318*Ramure*Pc/MaxiM</f>
        <v>1.3323981421839819E-3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32.613204588165836</v>
      </c>
      <c r="W318" s="58"/>
      <c r="X318" s="157">
        <f t="shared" si="108"/>
        <v>44134</v>
      </c>
      <c r="Y318" s="383">
        <f t="shared" si="109"/>
        <v>32.104999999999997</v>
      </c>
      <c r="Z318" s="383">
        <f t="shared" si="110"/>
        <v>32.509309588500784</v>
      </c>
      <c r="AA318" s="384">
        <f t="shared" si="111"/>
        <v>34.076407849384537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4.5987777462056047E-2</v>
      </c>
      <c r="AD318" s="230">
        <f>(INDEX(Models!$BJ318:$BT318,,AH318)*(1-AF318)+INDEX(Models!$BJ318:$BT318,,AH318+1)*AF318-ERP_i)*AE318*Ramure*Pc/MaxiM</f>
        <v>1.3323981421839819E-3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30.908000000000001</v>
      </c>
      <c r="C319" s="388"/>
      <c r="D319" s="391">
        <f t="shared" si="99"/>
        <v>31.297835161187063</v>
      </c>
      <c r="E319" s="383">
        <f t="shared" si="121"/>
        <v>32.807186786832325</v>
      </c>
      <c r="F319" s="383">
        <f t="shared" si="100"/>
        <v>32.848992554762482</v>
      </c>
      <c r="G319" s="110">
        <f t="shared" si="122"/>
        <v>0.9570000728533824</v>
      </c>
      <c r="H319" s="412" t="b">
        <f>Wh_hp&gt;='2019'!Maxi_hp</f>
        <v>1</v>
      </c>
      <c r="I319" s="388">
        <f>IF(H319,Wh_hp,'2019'!Maxi_hp)</f>
        <v>32.848992554762482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1.245565896744516E-2</v>
      </c>
      <c r="M319" s="832"/>
      <c r="N319" s="832"/>
      <c r="O319" s="48">
        <f>IF(t&lt;Tnet,'2019'!Resal+('2019'!Salim-'2019'!Resal)*(1-EXP(('2019'!Tnet-t)/('2019'!Tau_j))),Resal+(Salim-Resal)*(1-EXP((Tnet-t)/(Tau_j))))*Salcycl</f>
        <v>4.6006737348508693E-2</v>
      </c>
      <c r="P319" s="169">
        <f>(INDEX(Models!$BJ319:$BT319,,T319)*(1-R319)+INDEX(Models!$BJ319:$BT319,,T319+1)*R319-ERP_i)*Q319*Ramure*Pc/MaxiM</f>
        <v>1.3557952762351941E-3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32.294069996959848</v>
      </c>
      <c r="W319" s="58"/>
      <c r="X319" s="157">
        <f t="shared" si="108"/>
        <v>44135</v>
      </c>
      <c r="Y319" s="383">
        <f t="shared" si="109"/>
        <v>30.908000000000005</v>
      </c>
      <c r="Z319" s="383">
        <f t="shared" si="110"/>
        <v>31.297835161187066</v>
      </c>
      <c r="AA319" s="384">
        <f t="shared" si="111"/>
        <v>32.807186786832325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4.6006737348508693E-2</v>
      </c>
      <c r="AD319" s="230">
        <f>(INDEX(Models!$BJ319:$BT319,,AH319)*(1-AF319)+INDEX(Models!$BJ319:$BT319,,AH319+1)*AF319-ERP_i)*AE319*Ramure*Pc/MaxiM</f>
        <v>1.3557952762351941E-3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27.364000000000001</v>
      </c>
      <c r="C320" s="388"/>
      <c r="D320" s="391">
        <f t="shared" si="99"/>
        <v>27.709666592040001</v>
      </c>
      <c r="E320" s="383">
        <f t="shared" si="121"/>
        <v>29.04655027531167</v>
      </c>
      <c r="F320" s="383">
        <f t="shared" si="100"/>
        <v>29.07838367630567</v>
      </c>
      <c r="G320" s="110">
        <f t="shared" si="122"/>
        <v>0.85549978083134526</v>
      </c>
      <c r="H320" s="412" t="b">
        <f>Wh_hp&gt;='2019'!Maxi_hp</f>
        <v>1</v>
      </c>
      <c r="I320" s="388">
        <f>IF(H320,Wh_hp,'2019'!Maxi_hp)</f>
        <v>29.07838367630567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1.2474585029445984E-2</v>
      </c>
      <c r="M320" s="832"/>
      <c r="N320" s="832"/>
      <c r="O320" s="48">
        <f>IF(t&lt;Tnet,'2019'!Resal+('2019'!Salim-'2019'!Resal)*(1-EXP(('2019'!Tnet-t)/('2019'!Tau_j))),Resal+(Salim-Resal)*(1-EXP((Tnet-t)/(Tau_j))))*Salcycl</f>
        <v>4.6025557961282722E-2</v>
      </c>
      <c r="P320" s="169">
        <f>(INDEX(Models!$BJ320:$BT320,,T320)*(1-R320)+INDEX(Models!$BJ320:$BT320,,T320+1)*R320-ERP_i)*Q320*Ramure*Pc/MaxiM</f>
        <v>1.3789122911487867E-3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31.976881962873918</v>
      </c>
      <c r="W320" s="58"/>
      <c r="X320" s="157">
        <f t="shared" si="108"/>
        <v>44136</v>
      </c>
      <c r="Y320" s="383">
        <f t="shared" si="109"/>
        <v>27.364000000000001</v>
      </c>
      <c r="Z320" s="383">
        <f t="shared" si="110"/>
        <v>27.709666592040001</v>
      </c>
      <c r="AA320" s="384">
        <f t="shared" si="111"/>
        <v>29.04655027531167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4.6025557961282722E-2</v>
      </c>
      <c r="AD320" s="230">
        <f>(INDEX(Models!$BJ320:$BT320,,AH320)*(1-AF320)+INDEX(Models!$BJ320:$BT320,,AH320+1)*AF320-ERP_i)*AE320*Ramure*Pc/MaxiM</f>
        <v>1.3789122911487867E-3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27.866</v>
      </c>
      <c r="C321" s="388"/>
      <c r="D321" s="391">
        <f t="shared" si="99"/>
        <v>28.21854874145059</v>
      </c>
      <c r="E321" s="383">
        <f t="shared" si="121"/>
        <v>29.58056474747448</v>
      </c>
      <c r="F321" s="383">
        <f t="shared" si="100"/>
        <v>29.614967506581426</v>
      </c>
      <c r="G321" s="110">
        <f t="shared" si="122"/>
        <v>0.87989855138119466</v>
      </c>
      <c r="H321" s="412" t="b">
        <f>Wh_hp&gt;='2019'!Maxi_hp</f>
        <v>1</v>
      </c>
      <c r="I321" s="388">
        <f>IF(H321,Wh_hp,'2019'!Maxi_hp)</f>
        <v>29.614967506581426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1.2493510728733059E-2</v>
      </c>
      <c r="M321" s="832"/>
      <c r="N321" s="832"/>
      <c r="O321" s="48">
        <f>IF(t&lt;Tnet,'2019'!Resal+('2019'!Salim-'2019'!Resal)*(1-EXP(('2019'!Tnet-t)/('2019'!Tau_j))),Resal+(Salim-Resal)*(1-EXP((Tnet-t)/(Tau_j))))*Salcycl</f>
        <v>4.604428676907444E-2</v>
      </c>
      <c r="P321" s="169">
        <f>(INDEX(Models!$BJ321:$BT321,,T321)*(1-R321)+INDEX(Models!$BJ321:$BT321,,T321+1)*R321-ERP_i)*Q321*Ramure*Pc/MaxiM</f>
        <v>1.4017469905042528E-3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31.661947997941123</v>
      </c>
      <c r="W321" s="58"/>
      <c r="X321" s="157">
        <f t="shared" si="108"/>
        <v>44137</v>
      </c>
      <c r="Y321" s="383">
        <f t="shared" si="109"/>
        <v>27.866</v>
      </c>
      <c r="Z321" s="383">
        <f t="shared" si="110"/>
        <v>28.21854874145059</v>
      </c>
      <c r="AA321" s="384">
        <f t="shared" si="111"/>
        <v>29.58056474747448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4.604428676907444E-2</v>
      </c>
      <c r="AD321" s="230">
        <f>(INDEX(Models!$BJ321:$BT321,,AH321)*(1-AF321)+INDEX(Models!$BJ321:$BT321,,AH321+1)*AF321-ERP_i)*AE321*Ramure*Pc/MaxiM</f>
        <v>1.4017469905042528E-3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5.1719999999999997</v>
      </c>
      <c r="C322" s="388"/>
      <c r="D322" s="391">
        <f t="shared" si="99"/>
        <v>5.2375343132342289</v>
      </c>
      <c r="E322" s="383">
        <f t="shared" si="121"/>
        <v>5.4904403104894079</v>
      </c>
      <c r="F322" s="383">
        <f t="shared" si="100"/>
        <v>5.4904403104894079</v>
      </c>
      <c r="G322" s="110">
        <f t="shared" si="122"/>
        <v>0.16474333188962775</v>
      </c>
      <c r="H322" s="412" t="b">
        <f>Wh_hp&gt;='2019'!Maxi_hp</f>
        <v>0</v>
      </c>
      <c r="I322" s="388">
        <f>IF(H322,Wh_hp,'2019'!Maxi_hp)</f>
        <v>12.452040044547871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1.2512436065313604E-2</v>
      </c>
      <c r="M322" s="832"/>
      <c r="N322" s="832"/>
      <c r="O322" s="48">
        <f>IF(t&lt;Tnet,'2019'!Resal+('2019'!Salim-'2019'!Resal)*(1-EXP(('2019'!Tnet-t)/('2019'!Tau_j))),Resal+(Salim-Resal)*(1-EXP((Tnet-t)/(Tau_j))))*Salcycl</f>
        <v>4.6062971811569556E-2</v>
      </c>
      <c r="P322" s="169">
        <f>(INDEX(Models!$BJ322:$BT322,,T322)*(1-R322)+INDEX(Models!$BJ322:$BT322,,T322+1)*R322-ERP_i)*Q322*Ramure*Pc/MaxiM</f>
        <v>1.4242978252041833E-3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31.34957556344779</v>
      </c>
      <c r="W322" s="58"/>
      <c r="X322" s="157">
        <f t="shared" si="108"/>
        <v>44138</v>
      </c>
      <c r="Y322" s="383">
        <f t="shared" si="109"/>
        <v>5.1719999999999997</v>
      </c>
      <c r="Z322" s="383">
        <f t="shared" si="110"/>
        <v>5.2375343132342289</v>
      </c>
      <c r="AA322" s="384">
        <f t="shared" si="111"/>
        <v>5.4904403104894079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4.6062971811569556E-2</v>
      </c>
      <c r="AD322" s="230">
        <f>(INDEX(Models!$BJ322:$BT322,,AH322)*(1-AF322)+INDEX(Models!$BJ322:$BT322,,AH322+1)*AF322-ERP_i)*AE322*Ramure*Pc/MaxiM</f>
        <v>1.4242978252041833E-3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15.654999999999999</v>
      </c>
      <c r="C323" s="388"/>
      <c r="D323" s="391">
        <f t="shared" si="99"/>
        <v>15.853668037979455</v>
      </c>
      <c r="E323" s="383">
        <f t="shared" si="121"/>
        <v>16.619523284021827</v>
      </c>
      <c r="F323" s="383">
        <f t="shared" si="100"/>
        <v>16.626544495845593</v>
      </c>
      <c r="G323" s="110">
        <f t="shared" si="122"/>
        <v>0.50383124647228494</v>
      </c>
      <c r="H323" s="412" t="b">
        <f>Wh_hp&gt;='2019'!Maxi_hp</f>
        <v>1</v>
      </c>
      <c r="I323" s="388">
        <f>IF(H323,Wh_hp,'2019'!Maxi_hp)</f>
        <v>16.626544495845593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1.2531361039194278E-2</v>
      </c>
      <c r="M323" s="832"/>
      <c r="N323" s="832"/>
      <c r="O323" s="48">
        <f>IF(t&lt;Tnet,'2019'!Resal+('2019'!Salim-'2019'!Resal)*(1-EXP(('2019'!Tnet-t)/('2019'!Tau_j))),Resal+(Salim-Resal)*(1-EXP((Tnet-t)/(Tau_j))))*Salcycl</f>
        <v>4.6081661486564542E-2</v>
      </c>
      <c r="P323" s="169">
        <f>(INDEX(Models!$BJ323:$BT323,,T323)*(1-R323)+INDEX(Models!$BJ323:$BT323,,T323+1)*R323-ERP_i)*Q323*Ramure*Pc/MaxiM</f>
        <v>1.4465638471808536E-3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31.040072082021748</v>
      </c>
      <c r="W323" s="58"/>
      <c r="X323" s="157">
        <f t="shared" si="108"/>
        <v>44139</v>
      </c>
      <c r="Y323" s="383">
        <f t="shared" si="109"/>
        <v>15.654999999999999</v>
      </c>
      <c r="Z323" s="383">
        <f t="shared" si="110"/>
        <v>15.853668037979455</v>
      </c>
      <c r="AA323" s="384">
        <f t="shared" si="111"/>
        <v>16.619523284021827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4.6081661486564542E-2</v>
      </c>
      <c r="AD323" s="230">
        <f>(INDEX(Models!$BJ323:$BT323,,AH323)*(1-AF323)+INDEX(Models!$BJ323:$BT323,,AH323+1)*AF323-ERP_i)*AE323*Ramure*Pc/MaxiM</f>
        <v>1.4465638471808536E-3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23.021999999999998</v>
      </c>
      <c r="C324" s="388"/>
      <c r="D324" s="391">
        <f t="shared" si="99"/>
        <v>23.314604951973077</v>
      </c>
      <c r="E324" s="383">
        <f t="shared" si="121"/>
        <v>24.441361604370698</v>
      </c>
      <c r="F324" s="383">
        <f t="shared" si="100"/>
        <v>24.464414265930557</v>
      </c>
      <c r="G324" s="110">
        <f t="shared" si="122"/>
        <v>0.74868432937360219</v>
      </c>
      <c r="H324" s="412" t="b">
        <f>Wh_hp&gt;='2019'!Maxi_hp</f>
        <v>1</v>
      </c>
      <c r="I324" s="388">
        <f>IF(H324,Wh_hp,'2019'!Maxi_hp)</f>
        <v>24.464414265930557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1.2550285650382187E-2</v>
      </c>
      <c r="M324" s="832"/>
      <c r="N324" s="832"/>
      <c r="O324" s="48">
        <f>IF(t&lt;Tnet,'2019'!Resal+('2019'!Salim-'2019'!Resal)*(1-EXP(('2019'!Tnet-t)/('2019'!Tau_j))),Resal+(Salim-Resal)*(1-EXP((Tnet-t)/(Tau_j))))*Salcycl</f>
        <v>4.6100404332470993E-2</v>
      </c>
      <c r="P324" s="169">
        <f>(INDEX(Models!$BJ324:$BT324,,T324)*(1-R324)+INDEX(Models!$BJ324:$BT324,,T324+1)*R324-ERP_i)*Q324*Ramure*Pc/MaxiM</f>
        <v>1.4687959120281131E-3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30.733737209536905</v>
      </c>
      <c r="W324" s="58"/>
      <c r="X324" s="157">
        <f t="shared" si="108"/>
        <v>44140</v>
      </c>
      <c r="Y324" s="383">
        <f t="shared" si="109"/>
        <v>23.021999999999998</v>
      </c>
      <c r="Z324" s="383">
        <f t="shared" si="110"/>
        <v>23.314604951973077</v>
      </c>
      <c r="AA324" s="384">
        <f t="shared" si="111"/>
        <v>24.441361604370698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4.6100404332470993E-2</v>
      </c>
      <c r="AD324" s="230">
        <f>(INDEX(Models!$BJ324:$BT324,,AH324)*(1-AF324)+INDEX(Models!$BJ324:$BT324,,AH324+1)*AF324-ERP_i)*AE324*Ramure*Pc/MaxiM</f>
        <v>1.4687959120281131E-3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16.626000000000001</v>
      </c>
      <c r="C325" s="388"/>
      <c r="D325" s="391">
        <f t="shared" si="99"/>
        <v>16.837635778298395</v>
      </c>
      <c r="E325" s="383">
        <f t="shared" si="121"/>
        <v>17.65171983736121</v>
      </c>
      <c r="F325" s="383">
        <f t="shared" si="100"/>
        <v>17.660993083535338</v>
      </c>
      <c r="G325" s="110">
        <f t="shared" si="122"/>
        <v>0.54582492826267126</v>
      </c>
      <c r="H325" s="412" t="b">
        <f>Wh_hp&gt;='2019'!Maxi_hp</f>
        <v>1</v>
      </c>
      <c r="I325" s="388">
        <f>IF(H325,Wh_hp,'2019'!Maxi_hp)</f>
        <v>17.660993083535338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1.2569209898884215E-2</v>
      </c>
      <c r="M325" s="832"/>
      <c r="N325" s="832"/>
      <c r="O325" s="48">
        <f>IF(t&lt;Tnet,'2019'!Resal+('2019'!Salim-'2019'!Resal)*(1-EXP(('2019'!Tnet-t)/('2019'!Tau_j))),Resal+(Salim-Resal)*(1-EXP((Tnet-t)/(Tau_j))))*Salcycl</f>
        <v>4.6119248807685295E-2</v>
      </c>
      <c r="P325" s="169">
        <f>(INDEX(Models!$BJ325:$BT325,,T325)*(1-R325)+INDEX(Models!$BJ325:$BT325,,T325+1)*R325-ERP_i)*Q325*Ramure*Pc/MaxiM</f>
        <v>1.4919560462034671E-3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30.430849227621596</v>
      </c>
      <c r="W325" s="58"/>
      <c r="X325" s="157">
        <f t="shared" si="108"/>
        <v>44141</v>
      </c>
      <c r="Y325" s="383">
        <f t="shared" si="109"/>
        <v>16.626000000000001</v>
      </c>
      <c r="Z325" s="383">
        <f t="shared" si="110"/>
        <v>16.837635778298395</v>
      </c>
      <c r="AA325" s="384">
        <f t="shared" si="111"/>
        <v>17.65171983736121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4.6119248807685295E-2</v>
      </c>
      <c r="AD325" s="230">
        <f>(INDEX(Models!$BJ325:$BT325,,AH325)*(1-AF325)+INDEX(Models!$BJ325:$BT325,,AH325+1)*AF325-ERP_i)*AE325*Ramure*Pc/MaxiM</f>
        <v>1.4919560462034671E-3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5.3550000000000004</v>
      </c>
      <c r="C326" s="388"/>
      <c r="D326" s="391">
        <f t="shared" si="99"/>
        <v>5.4232688336281445</v>
      </c>
      <c r="E326" s="383">
        <f t="shared" si="121"/>
        <v>5.6855920621804827</v>
      </c>
      <c r="F326" s="383">
        <f t="shared" si="100"/>
        <v>5.6855920621804827</v>
      </c>
      <c r="G326" s="110">
        <f t="shared" si="122"/>
        <v>0.17745028121699605</v>
      </c>
      <c r="H326" s="412" t="b">
        <f>Wh_hp&gt;='2019'!Maxi_hp</f>
        <v>0</v>
      </c>
      <c r="I326" s="388">
        <f>IF(H326,Wh_hp,'2019'!Maxi_hp)</f>
        <v>13.546734711418843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1.2588133784707245E-2</v>
      </c>
      <c r="M326" s="832"/>
      <c r="N326" s="832"/>
      <c r="O326" s="48">
        <f>IF(t&lt;Tnet,'2019'!Resal+('2019'!Salim-'2019'!Resal)*(1-EXP(('2019'!Tnet-t)/('2019'!Tau_j))),Resal+(Salim-Resal)*(1-EXP((Tnet-t)/(Tau_j))))*Salcycl</f>
        <v>4.6138243068345464E-2</v>
      </c>
      <c r="P326" s="169">
        <f>(INDEX(Models!$BJ326:$BT326,,T326)*(1-R326)+INDEX(Models!$BJ326:$BT326,,T326+1)*R326-ERP_i)*Q326*Ramure*Pc/MaxiM</f>
        <v>1.5160447708937536E-3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30.131716577633377</v>
      </c>
      <c r="W326" s="58"/>
      <c r="X326" s="157">
        <f t="shared" si="108"/>
        <v>44142</v>
      </c>
      <c r="Y326" s="383">
        <f t="shared" si="109"/>
        <v>5.3550000000000004</v>
      </c>
      <c r="Z326" s="383">
        <f t="shared" si="110"/>
        <v>5.4232688336281445</v>
      </c>
      <c r="AA326" s="384">
        <f t="shared" si="111"/>
        <v>5.6855920621804827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4.6138243068345464E-2</v>
      </c>
      <c r="AD326" s="230">
        <f>(INDEX(Models!$BJ326:$BT326,,AH326)*(1-AF326)+INDEX(Models!$BJ326:$BT326,,AH326+1)*AF326-ERP_i)*AE326*Ramure*Pc/MaxiM</f>
        <v>1.5160447708937536E-3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22.867999999999999</v>
      </c>
      <c r="C327" s="388"/>
      <c r="D327" s="391">
        <f t="shared" si="99"/>
        <v>23.159979184831986</v>
      </c>
      <c r="E327" s="383">
        <f t="shared" si="121"/>
        <v>24.280714688660634</v>
      </c>
      <c r="F327" s="383">
        <f t="shared" si="100"/>
        <v>24.305673600704964</v>
      </c>
      <c r="G327" s="110">
        <f t="shared" si="122"/>
        <v>0.7660454934904225</v>
      </c>
      <c r="H327" s="412" t="b">
        <f>Wh_hp&gt;='2019'!Maxi_hp</f>
        <v>1</v>
      </c>
      <c r="I327" s="388">
        <f>IF(H327,Wh_hp,'2019'!Maxi_hp)</f>
        <v>24.305673600704964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1.2607057307858494E-2</v>
      </c>
      <c r="M327" s="832"/>
      <c r="N327" s="832"/>
      <c r="O327" s="48">
        <f>IF(t&lt;Tnet,'2019'!Resal+('2019'!Salim-'2019'!Resal)*(1-EXP(('2019'!Tnet-t)/('2019'!Tau_j))),Resal+(Salim-Resal)*(1-EXP((Tnet-t)/(Tau_j))))*Salcycl</f>
        <v>4.6157434746022769E-2</v>
      </c>
      <c r="P327" s="169">
        <f>(INDEX(Models!$BJ327:$BT327,,T327)*(1-R327)+INDEX(Models!$BJ327:$BT327,,T327+1)*R327-ERP_i)*Q327*Ramure*Pc/MaxiM</f>
        <v>1.5410624916058315E-3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29.836647679407498</v>
      </c>
      <c r="W327" s="58"/>
      <c r="X327" s="157">
        <f t="shared" si="108"/>
        <v>44143</v>
      </c>
      <c r="Y327" s="383">
        <f t="shared" si="109"/>
        <v>22.867999999999999</v>
      </c>
      <c r="Z327" s="383">
        <f t="shared" si="110"/>
        <v>23.159979184831986</v>
      </c>
      <c r="AA327" s="384">
        <f t="shared" si="111"/>
        <v>24.280714688660634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4.6157434746022769E-2</v>
      </c>
      <c r="AD327" s="230">
        <f>(INDEX(Models!$BJ327:$BT327,,AH327)*(1-AF327)+INDEX(Models!$BJ327:$BT327,,AH327+1)*AF327-ERP_i)*AE327*Ramure*Pc/MaxiM</f>
        <v>1.5410624916058315E-3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14.817</v>
      </c>
      <c r="C328" s="388"/>
      <c r="D328" s="391">
        <f t="shared" si="99"/>
        <v>15.006471414984365</v>
      </c>
      <c r="E328" s="383">
        <f t="shared" si="121"/>
        <v>15.732970772496158</v>
      </c>
      <c r="F328" s="383">
        <f t="shared" si="100"/>
        <v>15.74007037130697</v>
      </c>
      <c r="G328" s="110">
        <f t="shared" si="122"/>
        <v>0.50093014226342669</v>
      </c>
      <c r="H328" s="412" t="b">
        <f>Wh_hp&gt;='2019'!Maxi_hp</f>
        <v>0</v>
      </c>
      <c r="I328" s="388">
        <f>IF(H328,Wh_hp,'2019'!Maxi_hp)</f>
        <v>19.151082328690954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1.2625980468344622E-2</v>
      </c>
      <c r="M328" s="832"/>
      <c r="N328" s="832"/>
      <c r="O328" s="48">
        <f>IF(t&lt;Tnet,'2019'!Resal+('2019'!Salim-'2019'!Resal)*(1-EXP(('2019'!Tnet-t)/('2019'!Tau_j))),Resal+(Salim-Resal)*(1-EXP((Tnet-t)/(Tau_j))))*Salcycl</f>
        <v>4.6176870726908972E-2</v>
      </c>
      <c r="P328" s="169">
        <f>(INDEX(Models!$BJ328:$BT328,,T328)*(1-R328)+INDEX(Models!$BJ328:$BT328,,T328+1)*R328-ERP_i)*Q328*Ramure*Pc/MaxiM</f>
        <v>1.5670094074719523E-3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29.545950935843138</v>
      </c>
      <c r="W328" s="58"/>
      <c r="X328" s="157">
        <f t="shared" si="108"/>
        <v>44144</v>
      </c>
      <c r="Y328" s="383">
        <f t="shared" si="109"/>
        <v>14.817</v>
      </c>
      <c r="Z328" s="383">
        <f t="shared" si="110"/>
        <v>15.006471414984365</v>
      </c>
      <c r="AA328" s="384">
        <f t="shared" si="111"/>
        <v>15.732970772496158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4.6176870726908972E-2</v>
      </c>
      <c r="AD328" s="230">
        <f>(INDEX(Models!$BJ328:$BT328,,AH328)*(1-AF328)+INDEX(Models!$BJ328:$BT328,,AH328+1)*AF328-ERP_i)*AE328*Ramure*Pc/MaxiM</f>
        <v>1.5670094074719523E-3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10.241</v>
      </c>
      <c r="C329" s="388"/>
      <c r="D329" s="391">
        <f t="shared" si="99"/>
        <v>10.372154895312992</v>
      </c>
      <c r="E329" s="383">
        <f t="shared" si="121"/>
        <v>10.87452074711871</v>
      </c>
      <c r="F329" s="383">
        <f t="shared" si="100"/>
        <v>10.875758960269664</v>
      </c>
      <c r="G329" s="110">
        <f t="shared" si="122"/>
        <v>0.34948270843455664</v>
      </c>
      <c r="H329" s="412" t="b">
        <f>Wh_hp&gt;='2019'!Maxi_hp</f>
        <v>0</v>
      </c>
      <c r="I329" s="388">
        <f>IF(H329,Wh_hp,'2019'!Maxi_hp)</f>
        <v>24.228823723355269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1.2644903266172736E-2</v>
      </c>
      <c r="M329" s="832"/>
      <c r="N329" s="832"/>
      <c r="O329" s="48">
        <f>IF(t&lt;Tnet,'2019'!Resal+('2019'!Salim-'2019'!Resal)*(1-EXP(('2019'!Tnet-t)/('2019'!Tau_j))),Resal+(Salim-Resal)*(1-EXP((Tnet-t)/(Tau_j))))*Salcycl</f>
        <v>4.6196596934060183E-2</v>
      </c>
      <c r="P329" s="169">
        <f>(INDEX(Models!$BJ329:$BT329,,T329)*(1-R329)+INDEX(Models!$BJ329:$BT329,,T329+1)*R329-ERP_i)*Q329*Ramure*Pc/MaxiM</f>
        <v>1.5938854024069075E-3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29.259934733078655</v>
      </c>
      <c r="W329" s="58"/>
      <c r="X329" s="157">
        <f t="shared" si="108"/>
        <v>44145</v>
      </c>
      <c r="Y329" s="383">
        <f t="shared" si="109"/>
        <v>10.241</v>
      </c>
      <c r="Z329" s="383">
        <f t="shared" si="110"/>
        <v>10.372154895312992</v>
      </c>
      <c r="AA329" s="384">
        <f t="shared" si="111"/>
        <v>10.87452074711871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4.6196596934060183E-2</v>
      </c>
      <c r="AD329" s="230">
        <f>(INDEX(Models!$BJ329:$BT329,,AH329)*(1-AF329)+INDEX(Models!$BJ329:$BT329,,AH329+1)*AF329-ERP_i)*AE329*Ramure*Pc/MaxiM</f>
        <v>1.5938854024069075E-3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24.347000000000001</v>
      </c>
      <c r="C330" s="388"/>
      <c r="D330" s="391">
        <f t="shared" si="99"/>
        <v>24.659280834407571</v>
      </c>
      <c r="E330" s="383">
        <f t="shared" si="121"/>
        <v>25.854174372193285</v>
      </c>
      <c r="F330" s="383">
        <f t="shared" si="100"/>
        <v>25.88656869722448</v>
      </c>
      <c r="G330" s="110">
        <f t="shared" si="122"/>
        <v>0.83985130156378418</v>
      </c>
      <c r="H330" s="412" t="b">
        <f>Wh_hp&gt;='2019'!Maxi_hp</f>
        <v>1</v>
      </c>
      <c r="I330" s="388">
        <f>IF(H330,Wh_hp,'2019'!Maxi_hp)</f>
        <v>25.88656869722448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1.2663825701349718E-2</v>
      </c>
      <c r="M330" s="832"/>
      <c r="N330" s="832"/>
      <c r="O330" s="48">
        <f>IF(t&lt;Tnet,'2019'!Resal+('2019'!Salim-'2019'!Resal)*(1-EXP(('2019'!Tnet-t)/('2019'!Tau_j))),Resal+(Salim-Resal)*(1-EXP((Tnet-t)/(Tau_j))))*Salcycl</f>
        <v>4.6216658114244247E-2</v>
      </c>
      <c r="P330" s="169">
        <f>(INDEX(Models!$BJ330:$BT330,,T330)*(1-R330)+INDEX(Models!$BJ330:$BT330,,T330+1)*R330-ERP_i)*Q330*Ramure*Pc/MaxiM</f>
        <v>1.6216899163075448E-3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28.978907445206193</v>
      </c>
      <c r="W330" s="58"/>
      <c r="X330" s="157">
        <f t="shared" si="108"/>
        <v>44146</v>
      </c>
      <c r="Y330" s="383">
        <f t="shared" si="109"/>
        <v>24.347000000000001</v>
      </c>
      <c r="Z330" s="383">
        <f t="shared" si="110"/>
        <v>24.659280834407571</v>
      </c>
      <c r="AA330" s="384">
        <f t="shared" si="111"/>
        <v>25.854174372193285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4.6216658114244247E-2</v>
      </c>
      <c r="AD330" s="230">
        <f>(INDEX(Models!$BJ330:$BT330,,AH330)*(1-AF330)+INDEX(Models!$BJ330:$BT330,,AH330+1)*AF330-ERP_i)*AE330*Ramure*Pc/MaxiM</f>
        <v>1.6216899163075448E-3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27.334</v>
      </c>
      <c r="C331" s="388"/>
      <c r="D331" s="391">
        <f t="shared" si="99"/>
        <v>27.6851234376485</v>
      </c>
      <c r="E331" s="383">
        <f t="shared" si="121"/>
        <v>29.027259677305935</v>
      </c>
      <c r="F331" s="383">
        <f t="shared" si="100"/>
        <v>29.071978311267806</v>
      </c>
      <c r="G331" s="110">
        <f t="shared" si="122"/>
        <v>0.95225448534538915</v>
      </c>
      <c r="H331" s="412" t="b">
        <f>Wh_hp&gt;='2019'!Maxi_hp</f>
        <v>1</v>
      </c>
      <c r="I331" s="388">
        <f>IF(H331,Wh_hp,'2019'!Maxi_hp)</f>
        <v>29.071978311267806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1.2682747773882563E-2</v>
      </c>
      <c r="M331" s="832"/>
      <c r="N331" s="832"/>
      <c r="O331" s="48">
        <f>IF(t&lt;Tnet,'2019'!Resal+('2019'!Salim-'2019'!Resal)*(1-EXP(('2019'!Tnet-t)/('2019'!Tau_j))),Resal+(Salim-Resal)*(1-EXP((Tnet-t)/(Tau_j))))*Salcycl</f>
        <v>4.6237097630912188E-2</v>
      </c>
      <c r="P331" s="169">
        <f>(INDEX(Models!$BJ331:$BT331,,T331)*(1-R331)+INDEX(Models!$BJ331:$BT331,,T331+1)*R331-ERP_i)*Q331*Ramure*Pc/MaxiM</f>
        <v>1.650530584503753E-3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28.701282436855411</v>
      </c>
      <c r="W331" s="58"/>
      <c r="X331" s="157">
        <f t="shared" si="108"/>
        <v>44147</v>
      </c>
      <c r="Y331" s="383">
        <f t="shared" si="109"/>
        <v>27.334</v>
      </c>
      <c r="Z331" s="383">
        <f t="shared" si="110"/>
        <v>27.6851234376485</v>
      </c>
      <c r="AA331" s="384">
        <f t="shared" si="111"/>
        <v>29.027259677305935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4.6237097630912188E-2</v>
      </c>
      <c r="AD331" s="230">
        <f>(INDEX(Models!$BJ331:$BT331,,AH331)*(1-AF331)+INDEX(Models!$BJ331:$BT331,,AH331+1)*AF331-ERP_i)*AE331*Ramure*Pc/MaxiM</f>
        <v>1.650530584503753E-3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18.699000000000002</v>
      </c>
      <c r="C332" s="388"/>
      <c r="D332" s="391">
        <f t="shared" si="99"/>
        <v>18.939564083151023</v>
      </c>
      <c r="E332" s="383">
        <f t="shared" si="121"/>
        <v>19.858162096780873</v>
      </c>
      <c r="F332" s="383">
        <f t="shared" si="100"/>
        <v>19.875209801097167</v>
      </c>
      <c r="G332" s="110">
        <f t="shared" si="122"/>
        <v>0.65728055896284443</v>
      </c>
      <c r="H332" s="412" t="b">
        <f>Wh_hp&gt;='2019'!Maxi_hp</f>
        <v>1</v>
      </c>
      <c r="I332" s="388">
        <f>IF(H332,Wh_hp,'2019'!Maxi_hp)</f>
        <v>19.875209801097167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1.2701669483778266E-2</v>
      </c>
      <c r="M332" s="832"/>
      <c r="N332" s="832"/>
      <c r="O332" s="48">
        <f>IF(t&lt;Tnet,'2019'!Resal+('2019'!Salim-'2019'!Resal)*(1-EXP(('2019'!Tnet-t)/('2019'!Tau_j))),Resal+(Salim-Resal)*(1-EXP((Tnet-t)/(Tau_j))))*Salcycl</f>
        <v>4.6257957264774198E-2</v>
      </c>
      <c r="P332" s="169">
        <f>(INDEX(Models!$BJ332:$BT332,,T332)*(1-R332)+INDEX(Models!$BJ332:$BT332,,T332+1)*R332-ERP_i)*Q332*Ramure*Pc/MaxiM</f>
        <v>1.6779804196185655E-3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28.425683443526392</v>
      </c>
      <c r="W332" s="58"/>
      <c r="X332" s="157">
        <f t="shared" si="108"/>
        <v>44148</v>
      </c>
      <c r="Y332" s="383">
        <f t="shared" si="109"/>
        <v>18.699000000000002</v>
      </c>
      <c r="Z332" s="383">
        <f t="shared" si="110"/>
        <v>18.939564083151023</v>
      </c>
      <c r="AA332" s="384">
        <f t="shared" si="111"/>
        <v>19.858162096780873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4.6257957264774198E-2</v>
      </c>
      <c r="AD332" s="230">
        <f>(INDEX(Models!$BJ332:$BT332,,AH332)*(1-AF332)+INDEX(Models!$BJ332:$BT332,,AH332+1)*AF332-ERP_i)*AE332*Ramure*Pc/MaxiM</f>
        <v>1.6779804196185655E-3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25.303000000000001</v>
      </c>
      <c r="C333" s="388"/>
      <c r="D333" s="391">
        <f t="shared" si="99"/>
        <v>25.62901622884937</v>
      </c>
      <c r="E333" s="383">
        <f t="shared" si="121"/>
        <v>26.872663675442013</v>
      </c>
      <c r="F333" s="383">
        <f t="shared" si="100"/>
        <v>26.911873928380832</v>
      </c>
      <c r="G333" s="110">
        <f t="shared" si="122"/>
        <v>0.89855708387674382</v>
      </c>
      <c r="H333" s="412" t="b">
        <f>Wh_hp&gt;='2019'!Maxi_hp</f>
        <v>1</v>
      </c>
      <c r="I333" s="388">
        <f>IF(H333,Wh_hp,'2019'!Maxi_hp)</f>
        <v>26.911873928380832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1.2720590831043599E-2</v>
      </c>
      <c r="M333" s="832"/>
      <c r="N333" s="832"/>
      <c r="O333" s="48">
        <f>IF(t&lt;Tnet,'2019'!Resal+('2019'!Salim-'2019'!Resal)*(1-EXP(('2019'!Tnet-t)/('2019'!Tau_j))),Resal+(Salim-Resal)*(1-EXP((Tnet-t)/(Tau_j))))*Salcycl</f>
        <v>4.6279277023407582E-2</v>
      </c>
      <c r="P333" s="169">
        <f>(INDEX(Models!$BJ333:$BT333,,T333)*(1-R333)+INDEX(Models!$BJ333:$BT333,,T333+1)*R333-ERP_i)*Q333*Ramure*Pc/MaxiM</f>
        <v>1.7032851000596391E-3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28.152645259951804</v>
      </c>
      <c r="W333" s="58"/>
      <c r="X333" s="157">
        <f t="shared" si="108"/>
        <v>44149</v>
      </c>
      <c r="Y333" s="383">
        <f t="shared" si="109"/>
        <v>25.303000000000001</v>
      </c>
      <c r="Z333" s="383">
        <f t="shared" si="110"/>
        <v>25.62901622884937</v>
      </c>
      <c r="AA333" s="384">
        <f t="shared" si="111"/>
        <v>26.872663675442013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4.6279277023407582E-2</v>
      </c>
      <c r="AD333" s="230">
        <f>(INDEX(Models!$BJ333:$BT333,,AH333)*(1-AF333)+INDEX(Models!$BJ333:$BT333,,AH333+1)*AF333-ERP_i)*AE333*Ramure*Pc/MaxiM</f>
        <v>1.7032851000596391E-3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19.539000000000001</v>
      </c>
      <c r="C334" s="388"/>
      <c r="D334" s="391">
        <f t="shared" si="99"/>
        <v>19.791129325892982</v>
      </c>
      <c r="E334" s="383">
        <f t="shared" si="121"/>
        <v>20.751968174996527</v>
      </c>
      <c r="F334" s="383">
        <f t="shared" si="100"/>
        <v>20.772499884462185</v>
      </c>
      <c r="G334" s="110">
        <f t="shared" si="122"/>
        <v>0.70023988709401397</v>
      </c>
      <c r="H334" s="412" t="b">
        <f>Wh_hp&gt;='2019'!Maxi_hp</f>
        <v>1</v>
      </c>
      <c r="I334" s="388">
        <f>IF(H334,Wh_hp,'2019'!Maxi_hp)</f>
        <v>20.772499884462185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1.2739511815685778E-2</v>
      </c>
      <c r="M334" s="832"/>
      <c r="N334" s="832"/>
      <c r="O334" s="48">
        <f>IF(t&lt;Tnet,'2019'!Resal+('2019'!Salim-'2019'!Resal)*(1-EXP(('2019'!Tnet-t)/('2019'!Tau_j))),Resal+(Salim-Resal)*(1-EXP((Tnet-t)/(Tau_j))))*Salcycl</f>
        <v>4.6301094961259344E-2</v>
      </c>
      <c r="P334" s="169">
        <f>(INDEX(Models!$BJ334:$BT334,,T334)*(1-R334)+INDEX(Models!$BJ334:$BT334,,T334+1)*R334-ERP_i)*Q334*Ramure*Pc/MaxiM</f>
        <v>1.7264445565237777E-3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27.882680778800609</v>
      </c>
      <c r="W334" s="58"/>
      <c r="X334" s="157">
        <f t="shared" si="108"/>
        <v>44150</v>
      </c>
      <c r="Y334" s="383">
        <f t="shared" si="109"/>
        <v>19.539000000000001</v>
      </c>
      <c r="Z334" s="383">
        <f t="shared" si="110"/>
        <v>19.791129325892982</v>
      </c>
      <c r="AA334" s="384">
        <f t="shared" si="111"/>
        <v>20.751968174996527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4.6301094961259344E-2</v>
      </c>
      <c r="AD334" s="230">
        <f>(INDEX(Models!$BJ334:$BT334,,AH334)*(1-AF334)+INDEX(Models!$BJ334:$BT334,,AH334+1)*AF334-ERP_i)*AE334*Ramure*Pc/MaxiM</f>
        <v>1.7264445565237777E-3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21.817</v>
      </c>
      <c r="C335" s="388"/>
      <c r="D335" s="391">
        <f t="shared" ref="D335:D379" si="123">Wh/(1-Ppv)</f>
        <v>22.098947934162517</v>
      </c>
      <c r="E335" s="383">
        <f t="shared" si="121"/>
        <v>23.17237208454786</v>
      </c>
      <c r="F335" s="383">
        <f t="shared" ref="F335:F379" si="124">Wh_sa/(1-Pvg*MEDIAN((-Sdif+Wh/Env_an)/Csdif,0,1))</f>
        <v>23.200751935750731</v>
      </c>
      <c r="G335" s="110">
        <f t="shared" si="122"/>
        <v>0.78958972097648272</v>
      </c>
      <c r="H335" s="412" t="b">
        <f>Wh_hp&gt;='2019'!Maxi_hp</f>
        <v>1</v>
      </c>
      <c r="I335" s="388">
        <f>IF(H335,Wh_hp,'2019'!Maxi_hp)</f>
        <v>23.200751935750731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1.2758432437711464E-2</v>
      </c>
      <c r="M335" s="832"/>
      <c r="N335" s="832"/>
      <c r="O335" s="48">
        <f>IF(t&lt;Tnet,'2019'!Resal+('2019'!Salim-'2019'!Resal)*(1-EXP(('2019'!Tnet-t)/('2019'!Tau_j))),Resal+(Salim-Resal)*(1-EXP((Tnet-t)/(Tau_j))))*Salcycl</f>
        <v>4.632344701132865E-2</v>
      </c>
      <c r="P335" s="169">
        <f>(INDEX(Models!$BJ335:$BT335,,T335)*(1-R335)+INDEX(Models!$BJ335:$BT335,,T335+1)*R335-ERP_i)*Q335*Ramure*Pc/MaxiM</f>
        <v>1.7474555658225084E-3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27.616302973518231</v>
      </c>
      <c r="W335" s="58"/>
      <c r="X335" s="157">
        <f t="shared" ref="X335:X379" si="132">t</f>
        <v>44151</v>
      </c>
      <c r="Y335" s="383">
        <f t="shared" ref="Y335:Y379" si="133">Wh_pvt_s*(1-Ppv)</f>
        <v>21.817</v>
      </c>
      <c r="Z335" s="383">
        <f t="shared" ref="Z335:Z379" si="134">Wh_sa_s*(1-Psa_s)</f>
        <v>22.098947934162517</v>
      </c>
      <c r="AA335" s="384">
        <f t="shared" ref="AA335:AA379" si="135">Wh_hp*(1-Pvg_s*MEDIAN((-Sdif+Wh/Env_an)/Csdif,0,1))</f>
        <v>23.17237208454786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4.632344701132865E-2</v>
      </c>
      <c r="AD335" s="230">
        <f>(INDEX(Models!$BJ335:$BT335,,AH335)*(1-AF335)+INDEX(Models!$BJ335:$BT335,,AH335+1)*AF335-ERP_i)*AE335*Ramure*Pc/MaxiM</f>
        <v>1.7474555658225084E-3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25.614000000000001</v>
      </c>
      <c r="C336" s="388"/>
      <c r="D336" s="391">
        <f t="shared" si="123"/>
        <v>25.945514996012673</v>
      </c>
      <c r="E336" s="383">
        <f t="shared" si="121"/>
        <v>27.206434384107393</v>
      </c>
      <c r="F336" s="383">
        <f t="shared" si="124"/>
        <v>27.250192771666942</v>
      </c>
      <c r="G336" s="110">
        <f t="shared" si="122"/>
        <v>0.93623816419138495</v>
      </c>
      <c r="H336" s="412" t="b">
        <f>Wh_hp&gt;='2019'!Maxi_hp</f>
        <v>1</v>
      </c>
      <c r="I336" s="388">
        <f>IF(H336,Wh_hp,'2019'!Maxi_hp)</f>
        <v>27.250192771666942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1.2777352697127764E-2</v>
      </c>
      <c r="M336" s="832"/>
      <c r="N336" s="832"/>
      <c r="O336" s="48">
        <f>IF(t&lt;Tnet,'2019'!Resal+('2019'!Salim-'2019'!Resal)*(1-EXP(('2019'!Tnet-t)/('2019'!Tau_j))),Resal+(Salim-Resal)*(1-EXP((Tnet-t)/(Tau_j))))*Salcycl</f>
        <v>4.6346366829726413E-2</v>
      </c>
      <c r="P336" s="169">
        <f>(INDEX(Models!$BJ336:$BT336,,T336)*(1-R336)+INDEX(Models!$BJ336:$BT336,,T336+1)*R336-ERP_i)*Q336*Ramure*Pc/MaxiM</f>
        <v>1.766311545979063E-3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27.354024916438597</v>
      </c>
      <c r="W336" s="58"/>
      <c r="X336" s="157">
        <f t="shared" si="132"/>
        <v>44152</v>
      </c>
      <c r="Y336" s="383">
        <f t="shared" si="133"/>
        <v>25.614000000000001</v>
      </c>
      <c r="Z336" s="383">
        <f t="shared" si="134"/>
        <v>25.945514996012673</v>
      </c>
      <c r="AA336" s="384">
        <f t="shared" si="135"/>
        <v>27.206434384107393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4.6346366829726413E-2</v>
      </c>
      <c r="AD336" s="230">
        <f>(INDEX(Models!$BJ336:$BT336,,AH336)*(1-AF336)+INDEX(Models!$BJ336:$BT336,,AH336+1)*AF336-ERP_i)*AE336*Ramure*Pc/MaxiM</f>
        <v>1.766311545979063E-3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26.841999999999999</v>
      </c>
      <c r="C337" s="388"/>
      <c r="D337" s="391">
        <f t="shared" si="123"/>
        <v>27.189929752928599</v>
      </c>
      <c r="E337" s="383">
        <f t="shared" si="121"/>
        <v>28.512029290917962</v>
      </c>
      <c r="F337" s="383">
        <f t="shared" si="124"/>
        <v>28.562272949049884</v>
      </c>
      <c r="G337" s="110">
        <f t="shared" si="122"/>
        <v>0.99058904142120285</v>
      </c>
      <c r="H337" s="412" t="b">
        <f>Wh_hp&gt;='2019'!Maxi_hp</f>
        <v>1</v>
      </c>
      <c r="I337" s="388">
        <f>IF(H337,Wh_hp,'2019'!Maxi_hp)</f>
        <v>28.562272949049884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1.2796272593941671E-2</v>
      </c>
      <c r="M337" s="832"/>
      <c r="N337" s="832"/>
      <c r="O337" s="48">
        <f>IF(t&lt;Tnet,'2019'!Resal+('2019'!Salim-'2019'!Resal)*(1-EXP(('2019'!Tnet-t)/('2019'!Tau_j))),Resal+(Salim-Resal)*(1-EXP((Tnet-t)/(Tau_j))))*Salcycl</f>
        <v>4.6369885654210415E-2</v>
      </c>
      <c r="P337" s="169">
        <f>(INDEX(Models!$BJ337:$BT337,,T337)*(1-R337)+INDEX(Models!$BJ337:$BT337,,T337+1)*R337-ERP_i)*Q337*Ramure*Pc/MaxiM</f>
        <v>1.7830023792953641E-3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27.09635977887261</v>
      </c>
      <c r="W337" s="58"/>
      <c r="X337" s="157">
        <f t="shared" si="132"/>
        <v>44153</v>
      </c>
      <c r="Y337" s="383">
        <f t="shared" si="133"/>
        <v>26.841999999999999</v>
      </c>
      <c r="Z337" s="383">
        <f t="shared" si="134"/>
        <v>27.189929752928599</v>
      </c>
      <c r="AA337" s="384">
        <f t="shared" si="135"/>
        <v>28.512029290917962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4.6369885654210415E-2</v>
      </c>
      <c r="AD337" s="230">
        <f>(INDEX(Models!$BJ337:$BT337,,AH337)*(1-AF337)+INDEX(Models!$BJ337:$BT337,,AH337+1)*AF337-ERP_i)*AE337*Ramure*Pc/MaxiM</f>
        <v>1.7830023792953641E-3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8.8290000000000006</v>
      </c>
      <c r="C338" s="388"/>
      <c r="D338" s="391">
        <f t="shared" si="123"/>
        <v>8.943614133440164</v>
      </c>
      <c r="E338" s="383">
        <f t="shared" si="121"/>
        <v>9.3787312949226784</v>
      </c>
      <c r="F338" s="383">
        <f t="shared" si="124"/>
        <v>9.3794278545764893</v>
      </c>
      <c r="G338" s="110">
        <f t="shared" si="122"/>
        <v>0.32833568476600394</v>
      </c>
      <c r="H338" s="412" t="b">
        <f>Wh_hp&gt;='2019'!Maxi_hp</f>
        <v>0</v>
      </c>
      <c r="I338" s="388">
        <f>IF(H338,Wh_hp,'2019'!Maxi_hp)</f>
        <v>28.66422438766487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1.2815192128160069E-2</v>
      </c>
      <c r="M338" s="832"/>
      <c r="N338" s="832"/>
      <c r="O338" s="48">
        <f>IF(t&lt;Tnet,'2019'!Resal+('2019'!Salim-'2019'!Resal)*(1-EXP(('2019'!Tnet-t)/('2019'!Tau_j))),Resal+(Salim-Resal)*(1-EXP((Tnet-t)/(Tau_j))))*Salcycl</f>
        <v>4.6394032177686124E-2</v>
      </c>
      <c r="P338" s="169">
        <f>(INDEX(Models!$BJ338:$BT338,,T338)*(1-R338)+INDEX(Models!$BJ338:$BT338,,T338+1)*R338-ERP_i)*Q338*Ramure*Pc/MaxiM</f>
        <v>1.7986183185079829E-3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26.843791154692369</v>
      </c>
      <c r="W338" s="58"/>
      <c r="X338" s="157">
        <f t="shared" si="132"/>
        <v>44154</v>
      </c>
      <c r="Y338" s="383">
        <f t="shared" si="133"/>
        <v>8.8290000000000006</v>
      </c>
      <c r="Z338" s="383">
        <f t="shared" si="134"/>
        <v>8.943614133440164</v>
      </c>
      <c r="AA338" s="384">
        <f t="shared" si="135"/>
        <v>9.3787312949226784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4.6394032177686124E-2</v>
      </c>
      <c r="AD338" s="230">
        <f>(INDEX(Models!$BJ338:$BT338,,AH338)*(1-AF338)+INDEX(Models!$BJ338:$BT338,,AH338+1)*AF338-ERP_i)*AE338*Ramure*Pc/MaxiM</f>
        <v>1.7986183185079829E-3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19.265999999999998</v>
      </c>
      <c r="C339" s="388"/>
      <c r="D339" s="391">
        <f t="shared" si="123"/>
        <v>19.516476633291408</v>
      </c>
      <c r="E339" s="383">
        <f t="shared" si="121"/>
        <v>20.466508040610194</v>
      </c>
      <c r="F339" s="383">
        <f t="shared" si="124"/>
        <v>20.489026658115929</v>
      </c>
      <c r="G339" s="110">
        <f t="shared" si="122"/>
        <v>0.72385411931091592</v>
      </c>
      <c r="H339" s="412" t="b">
        <f>Wh_hp&gt;='2019'!Maxi_hp</f>
        <v>0</v>
      </c>
      <c r="I339" s="388">
        <f>IF(H339,Wh_hp,'2019'!Maxi_hp)</f>
        <v>27.981917732937102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1.2834111299789841E-2</v>
      </c>
      <c r="M339" s="832"/>
      <c r="N339" s="832"/>
      <c r="O339" s="48">
        <f>IF(t&lt;Tnet,'2019'!Resal+('2019'!Salim-'2019'!Resal)*(1-EXP(('2019'!Tnet-t)/('2019'!Tau_j))),Resal+(Salim-Resal)*(1-EXP((Tnet-t)/(Tau_j))))*Salcycl</f>
        <v>4.6418832437546582E-2</v>
      </c>
      <c r="P339" s="169">
        <f>(INDEX(Models!$BJ339:$BT339,,T339)*(1-R339)+INDEX(Models!$BJ339:$BT339,,T339+1)*R339-ERP_i)*Q339*Ramure*Pc/MaxiM</f>
        <v>1.8128920759676603E-3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26.596839911405151</v>
      </c>
      <c r="W339" s="58"/>
      <c r="X339" s="157">
        <f t="shared" si="132"/>
        <v>44155</v>
      </c>
      <c r="Y339" s="383">
        <f t="shared" si="133"/>
        <v>19.265999999999998</v>
      </c>
      <c r="Z339" s="383">
        <f t="shared" si="134"/>
        <v>19.516476633291408</v>
      </c>
      <c r="AA339" s="384">
        <f t="shared" si="135"/>
        <v>20.466508040610194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4.6418832437546582E-2</v>
      </c>
      <c r="AD339" s="230">
        <f>(INDEX(Models!$BJ339:$BT339,,AH339)*(1-AF339)+INDEX(Models!$BJ339:$BT339,,AH339+1)*AF339-ERP_i)*AE339*Ramure*Pc/MaxiM</f>
        <v>1.8128920759676603E-3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27.439</v>
      </c>
      <c r="C340" s="388"/>
      <c r="D340" s="391">
        <f t="shared" si="123"/>
        <v>27.796266246985788</v>
      </c>
      <c r="E340" s="383">
        <f t="shared" si="121"/>
        <v>29.150123616660924</v>
      </c>
      <c r="F340" s="383">
        <f t="shared" si="124"/>
        <v>29.203443370360098</v>
      </c>
      <c r="G340" s="110">
        <f t="shared" si="122"/>
        <v>1.0410904176789828</v>
      </c>
      <c r="H340" s="412" t="b">
        <f>Wh_hp&gt;='2019'!Maxi_hp</f>
        <v>1</v>
      </c>
      <c r="I340" s="388">
        <f>IF(H340,Wh_hp,'2019'!Maxi_hp)</f>
        <v>29.203443370360098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1.2853030108838093E-2</v>
      </c>
      <c r="M340" s="832"/>
      <c r="N340" s="832"/>
      <c r="O340" s="48">
        <f>IF(t&lt;Tnet,'2019'!Resal+('2019'!Salim-'2019'!Resal)*(1-EXP(('2019'!Tnet-t)/('2019'!Tau_j))),Resal+(Salim-Resal)*(1-EXP((Tnet-t)/(Tau_j))))*Salcycl</f>
        <v>4.6444309721600283E-2</v>
      </c>
      <c r="P340" s="169">
        <f>(INDEX(Models!$BJ340:$BT340,,T340)*(1-R340)+INDEX(Models!$BJ340:$BT340,,T340+1)*R340-ERP_i)*Q340*Ramure*Pc/MaxiM</f>
        <v>1.8258036568828072E-3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26.356020124719596</v>
      </c>
      <c r="W340" s="58"/>
      <c r="X340" s="157">
        <f t="shared" si="132"/>
        <v>44156</v>
      </c>
      <c r="Y340" s="383">
        <f t="shared" si="133"/>
        <v>27.439</v>
      </c>
      <c r="Z340" s="383">
        <f t="shared" si="134"/>
        <v>27.796266246985788</v>
      </c>
      <c r="AA340" s="384">
        <f t="shared" si="135"/>
        <v>29.150123616660924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4.6444309721600283E-2</v>
      </c>
      <c r="AD340" s="230">
        <f>(INDEX(Models!$BJ340:$BT340,,AH340)*(1-AF340)+INDEX(Models!$BJ340:$BT340,,AH340+1)*AF340-ERP_i)*AE340*Ramure*Pc/MaxiM</f>
        <v>1.8258036568828072E-3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27.347000000000001</v>
      </c>
      <c r="C341" s="388"/>
      <c r="D341" s="391">
        <f t="shared" si="123"/>
        <v>27.70359930505159</v>
      </c>
      <c r="E341" s="383">
        <f t="shared" si="121"/>
        <v>29.053740712230791</v>
      </c>
      <c r="F341" s="383">
        <f t="shared" si="124"/>
        <v>29.107219927904186</v>
      </c>
      <c r="G341" s="110">
        <f t="shared" si="122"/>
        <v>1.0469014992264492</v>
      </c>
      <c r="H341" s="412" t="b">
        <f>Wh_hp&gt;='2019'!Maxi_hp</f>
        <v>1</v>
      </c>
      <c r="I341" s="388">
        <f>IF(H341,Wh_hp,'2019'!Maxi_hp)</f>
        <v>29.107219927904186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1.2871948555311596E-2</v>
      </c>
      <c r="M341" s="832"/>
      <c r="N341" s="832"/>
      <c r="O341" s="48">
        <f>IF(t&lt;Tnet,'2019'!Resal+('2019'!Salim-'2019'!Resal)*(1-EXP(('2019'!Tnet-t)/('2019'!Tau_j))),Resal+(Salim-Resal)*(1-EXP((Tnet-t)/(Tau_j))))*Salcycl</f>
        <v>4.647048449120459E-2</v>
      </c>
      <c r="P341" s="169">
        <f>(INDEX(Models!$BJ341:$BT341,,T341)*(1-R341)+INDEX(Models!$BJ341:$BT341,,T341+1)*R341-ERP_i)*Q341*Ramure*Pc/MaxiM</f>
        <v>1.8373178821563714E-3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26.121846248387818</v>
      </c>
      <c r="W341" s="58"/>
      <c r="X341" s="157">
        <f t="shared" si="132"/>
        <v>44157</v>
      </c>
      <c r="Y341" s="383">
        <f t="shared" si="133"/>
        <v>27.347000000000001</v>
      </c>
      <c r="Z341" s="383">
        <f t="shared" si="134"/>
        <v>27.70359930505159</v>
      </c>
      <c r="AA341" s="384">
        <f t="shared" si="135"/>
        <v>29.053740712230791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4.647048449120459E-2</v>
      </c>
      <c r="AD341" s="230">
        <f>(INDEX(Models!$BJ341:$BT341,,AH341)*(1-AF341)+INDEX(Models!$BJ341:$BT341,,AH341+1)*AF341-ERP_i)*AE341*Ramure*Pc/MaxiM</f>
        <v>1.8373178821563714E-3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25.472999999999999</v>
      </c>
      <c r="C342" s="388"/>
      <c r="D342" s="391">
        <f t="shared" si="123"/>
        <v>25.805657286619155</v>
      </c>
      <c r="E342" s="383">
        <f t="shared" si="121"/>
        <v>27.064065259675679</v>
      </c>
      <c r="F342" s="383">
        <f t="shared" si="124"/>
        <v>27.112988230859333</v>
      </c>
      <c r="G342" s="110">
        <f t="shared" si="122"/>
        <v>0.98366740791809637</v>
      </c>
      <c r="H342" s="412" t="b">
        <f>Wh_hp&gt;='2019'!Maxi_hp</f>
        <v>1</v>
      </c>
      <c r="I342" s="388">
        <f>IF(H342,Wh_hp,'2019'!Maxi_hp)</f>
        <v>27.112988230859333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1.2890866639217458E-2</v>
      </c>
      <c r="M342" s="832"/>
      <c r="N342" s="832"/>
      <c r="O342" s="48">
        <f>IF(t&lt;Tnet,'2019'!Resal+('2019'!Salim-'2019'!Resal)*(1-EXP(('2019'!Tnet-t)/('2019'!Tau_j))),Resal+(Salim-Resal)*(1-EXP((Tnet-t)/(Tau_j))))*Salcycl</f>
        <v>4.6497374322086803E-2</v>
      </c>
      <c r="P342" s="169">
        <f>(INDEX(Models!$BJ342:$BT342,,T342)*(1-R342)+INDEX(Models!$BJ342:$BT342,,T342+1)*R342-ERP_i)*Q342*Ramure*Pc/MaxiM</f>
        <v>1.8474031902243793E-3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25.894832615577791</v>
      </c>
      <c r="W342" s="58"/>
      <c r="X342" s="157">
        <f t="shared" si="132"/>
        <v>44158</v>
      </c>
      <c r="Y342" s="383">
        <f t="shared" si="133"/>
        <v>25.472999999999999</v>
      </c>
      <c r="Z342" s="383">
        <f t="shared" si="134"/>
        <v>25.805657286619155</v>
      </c>
      <c r="AA342" s="384">
        <f t="shared" si="135"/>
        <v>27.064065259675679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4.6497374322086803E-2</v>
      </c>
      <c r="AD342" s="230">
        <f>(INDEX(Models!$BJ342:$BT342,,AH342)*(1-AF342)+INDEX(Models!$BJ342:$BT342,,AH342+1)*AF342-ERP_i)*AE342*Ramure*Pc/MaxiM</f>
        <v>1.8474031902243793E-3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24.155999999999999</v>
      </c>
      <c r="C343" s="388"/>
      <c r="D343" s="391">
        <f t="shared" si="123"/>
        <v>24.471927304386998</v>
      </c>
      <c r="E343" s="383">
        <f t="shared" si="121"/>
        <v>25.666039641185648</v>
      </c>
      <c r="F343" s="383">
        <f t="shared" si="124"/>
        <v>25.709723482797013</v>
      </c>
      <c r="G343" s="110">
        <f t="shared" si="122"/>
        <v>0.94067142995990827</v>
      </c>
      <c r="H343" s="412" t="b">
        <f>Wh_hp&gt;='2019'!Maxi_hp</f>
        <v>1</v>
      </c>
      <c r="I343" s="388">
        <f>IF(H343,Wh_hp,'2019'!Maxi_hp)</f>
        <v>25.709723482797013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1.290978436056256E-2</v>
      </c>
      <c r="M343" s="832"/>
      <c r="N343" s="832"/>
      <c r="O343" s="48">
        <f>IF(t&lt;Tnet,'2019'!Resal+('2019'!Salim-'2019'!Resal)*(1-EXP(('2019'!Tnet-t)/('2019'!Tau_j))),Resal+(Salim-Resal)*(1-EXP((Tnet-t)/(Tau_j))))*Salcycl</f>
        <v>4.6524993863193732E-2</v>
      </c>
      <c r="P343" s="169">
        <f>(INDEX(Models!$BJ343:$BT343,,T343)*(1-R343)+INDEX(Models!$BJ343:$BT343,,T343+1)*R343-ERP_i)*Q343*Ramure*Pc/MaxiM</f>
        <v>1.8560337426036934E-3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25.675493388111462</v>
      </c>
      <c r="W343" s="58"/>
      <c r="X343" s="157">
        <f t="shared" si="132"/>
        <v>44159</v>
      </c>
      <c r="Y343" s="383">
        <f t="shared" si="133"/>
        <v>24.155999999999999</v>
      </c>
      <c r="Z343" s="383">
        <f t="shared" si="134"/>
        <v>24.471927304386998</v>
      </c>
      <c r="AA343" s="384">
        <f t="shared" si="135"/>
        <v>25.666039641185648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4.6524993863193732E-2</v>
      </c>
      <c r="AD343" s="230">
        <f>(INDEX(Models!$BJ343:$BT343,,AH343)*(1-AF343)+INDEX(Models!$BJ343:$BT343,,AH343+1)*AF343-ERP_i)*AE343*Ramure*Pc/MaxiM</f>
        <v>1.8560337426036934E-3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25.283999999999999</v>
      </c>
      <c r="C344" s="388"/>
      <c r="D344" s="391">
        <f t="shared" si="123"/>
        <v>25.615170904109501</v>
      </c>
      <c r="E344" s="383">
        <f t="shared" si="121"/>
        <v>26.86586714991925</v>
      </c>
      <c r="F344" s="383">
        <f t="shared" si="124"/>
        <v>26.915508219914461</v>
      </c>
      <c r="G344" s="110">
        <f t="shared" si="122"/>
        <v>0.99289907847691605</v>
      </c>
      <c r="H344" s="412" t="b">
        <f>Wh_hp&gt;='2019'!Maxi_hp</f>
        <v>1</v>
      </c>
      <c r="I344" s="388">
        <f>IF(H344,Wh_hp,'2019'!Maxi_hp)</f>
        <v>26.915508219914461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1.2928701719353786E-2</v>
      </c>
      <c r="M344" s="832"/>
      <c r="N344" s="832"/>
      <c r="O344" s="48">
        <f>IF(t&lt;Tnet,'2019'!Resal+('2019'!Salim-'2019'!Resal)*(1-EXP(('2019'!Tnet-t)/('2019'!Tau_j))),Resal+(Salim-Resal)*(1-EXP((Tnet-t)/(Tau_j))))*Salcycl</f>
        <v>4.6553354813768169E-2</v>
      </c>
      <c r="P344" s="169">
        <f>(INDEX(Models!$BJ344:$BT344,,T344)*(1-R344)+INDEX(Models!$BJ344:$BT344,,T344+1)*R344-ERP_i)*Q344*Ramure*Pc/MaxiM</f>
        <v>1.8631801674374891E-3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25.464342802867169</v>
      </c>
      <c r="W344" s="58"/>
      <c r="X344" s="157">
        <f t="shared" si="132"/>
        <v>44160</v>
      </c>
      <c r="Y344" s="383">
        <f t="shared" si="133"/>
        <v>25.283999999999999</v>
      </c>
      <c r="Z344" s="383">
        <f t="shared" si="134"/>
        <v>25.615170904109501</v>
      </c>
      <c r="AA344" s="384">
        <f t="shared" si="135"/>
        <v>26.86586714991925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4.6553354813768169E-2</v>
      </c>
      <c r="AD344" s="230">
        <f>(INDEX(Models!$BJ344:$BT344,,AH344)*(1-AF344)+INDEX(Models!$BJ344:$BT344,,AH344+1)*AF344-ERP_i)*AE344*Ramure*Pc/MaxiM</f>
        <v>1.8631801674374891E-3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21.893999999999998</v>
      </c>
      <c r="C345" s="388"/>
      <c r="D345" s="391">
        <f t="shared" si="123"/>
        <v>22.181193637880124</v>
      </c>
      <c r="E345" s="383">
        <f t="shared" si="121"/>
        <v>23.264931517389961</v>
      </c>
      <c r="F345" s="383">
        <f t="shared" si="124"/>
        <v>23.300191289146664</v>
      </c>
      <c r="G345" s="110">
        <f t="shared" si="122"/>
        <v>0.86646240303740329</v>
      </c>
      <c r="H345" s="412" t="b">
        <f>Wh_hp&gt;='2019'!Maxi_hp</f>
        <v>1</v>
      </c>
      <c r="I345" s="388">
        <f>IF(H345,Wh_hp,'2019'!Maxi_hp)</f>
        <v>23.300191289146664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1.2947618715598241E-2</v>
      </c>
      <c r="M345" s="832"/>
      <c r="N345" s="832"/>
      <c r="O345" s="48">
        <f>IF(t&lt;Tnet,'2019'!Resal+('2019'!Salim-'2019'!Resal)*(1-EXP(('2019'!Tnet-t)/('2019'!Tau_j))),Resal+(Salim-Resal)*(1-EXP((Tnet-t)/(Tau_j))))*Salcycl</f>
        <v>4.6582465918705601E-2</v>
      </c>
      <c r="P345" s="169">
        <f>(INDEX(Models!$BJ345:$BT345,,T345)*(1-R345)+INDEX(Models!$BJ345:$BT345,,T345+1)*R345-ERP_i)*Q345*Ramure*Pc/MaxiM</f>
        <v>1.8690041971291189E-3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25.259261046879828</v>
      </c>
      <c r="W345" s="58"/>
      <c r="X345" s="157">
        <f t="shared" si="132"/>
        <v>44161</v>
      </c>
      <c r="Y345" s="383">
        <f t="shared" si="133"/>
        <v>21.893999999999998</v>
      </c>
      <c r="Z345" s="383">
        <f t="shared" si="134"/>
        <v>22.181193637880124</v>
      </c>
      <c r="AA345" s="384">
        <f t="shared" si="135"/>
        <v>23.264931517389961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4.6582465918705601E-2</v>
      </c>
      <c r="AD345" s="230">
        <f>(INDEX(Models!$BJ345:$BT345,,AH345)*(1-AF345)+INDEX(Models!$BJ345:$BT345,,AH345+1)*AF345-ERP_i)*AE345*Ramure*Pc/MaxiM</f>
        <v>1.8690041971291189E-3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15.404999999999999</v>
      </c>
      <c r="C346" s="388"/>
      <c r="D346" s="391">
        <f t="shared" si="123"/>
        <v>15.607373560988327</v>
      </c>
      <c r="E346" s="383">
        <f t="shared" si="121"/>
        <v>16.370437861658736</v>
      </c>
      <c r="F346" s="383">
        <f t="shared" si="124"/>
        <v>16.384266753107251</v>
      </c>
      <c r="G346" s="110">
        <f t="shared" si="122"/>
        <v>0.61413535225781712</v>
      </c>
      <c r="H346" s="412" t="b">
        <f>Wh_hp&gt;='2019'!Maxi_hp</f>
        <v>1</v>
      </c>
      <c r="I346" s="388">
        <f>IF(H346,Wh_hp,'2019'!Maxi_hp)</f>
        <v>16.384266753107251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1.2966535349302699E-2</v>
      </c>
      <c r="M346" s="832"/>
      <c r="N346" s="832"/>
      <c r="O346" s="48">
        <f>IF(t&lt;Tnet,'2019'!Resal+('2019'!Salim-'2019'!Resal)*(1-EXP(('2019'!Tnet-t)/('2019'!Tau_j))),Resal+(Salim-Resal)*(1-EXP((Tnet-t)/(Tau_j))))*Salcycl</f>
        <v>4.6612332982099693E-2</v>
      </c>
      <c r="P346" s="169">
        <f>(INDEX(Models!$BJ346:$BT346,,T346)*(1-R346)+INDEX(Models!$BJ346:$BT346,,T346+1)*R346-ERP_i)*Q346*Ramure*Pc/MaxiM</f>
        <v>1.8769979056669577E-3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25.05811415123538</v>
      </c>
      <c r="W346" s="58"/>
      <c r="X346" s="157">
        <f t="shared" si="132"/>
        <v>44162</v>
      </c>
      <c r="Y346" s="383">
        <f t="shared" si="133"/>
        <v>15.405000000000001</v>
      </c>
      <c r="Z346" s="383">
        <f t="shared" si="134"/>
        <v>15.607373560988329</v>
      </c>
      <c r="AA346" s="384">
        <f t="shared" si="135"/>
        <v>16.370437861658736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4.6612332982099693E-2</v>
      </c>
      <c r="AD346" s="230">
        <f>(INDEX(Models!$BJ346:$BT346,,AH346)*(1-AF346)+INDEX(Models!$BJ346:$BT346,,AH346+1)*AF346-ERP_i)*AE346*Ramure*Pc/MaxiM</f>
        <v>1.8769979056669577E-3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8.6669999999999998</v>
      </c>
      <c r="C347" s="388"/>
      <c r="D347" s="391">
        <f t="shared" si="123"/>
        <v>8.7810255828846966</v>
      </c>
      <c r="E347" s="383">
        <f t="shared" si="121"/>
        <v>9.21063694326042</v>
      </c>
      <c r="F347" s="383">
        <f t="shared" si="124"/>
        <v>9.2118458160245016</v>
      </c>
      <c r="G347" s="110">
        <f t="shared" si="122"/>
        <v>0.34799878537238516</v>
      </c>
      <c r="H347" s="412" t="b">
        <f>Wh_hp&gt;='2019'!Maxi_hp</f>
        <v>0</v>
      </c>
      <c r="I347" s="388">
        <f>IF(H347,Wh_hp,'2019'!Maxi_hp)</f>
        <v>16.175594142321199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1.2985451620474264E-2</v>
      </c>
      <c r="M347" s="832"/>
      <c r="N347" s="832"/>
      <c r="O347" s="48">
        <f>IF(t&lt;Tnet,'2019'!Resal+('2019'!Salim-'2019'!Resal)*(1-EXP(('2019'!Tnet-t)/('2019'!Tau_j))),Resal+(Salim-Resal)*(1-EXP((Tnet-t)/(Tau_j))))*Salcycl</f>
        <v>4.6642958898741295E-2</v>
      </c>
      <c r="P347" s="169">
        <f>(INDEX(Models!$BJ347:$BT347,,T347)*(1-R347)+INDEX(Models!$BJ347:$BT347,,T347+1)*R347-ERP_i)*Q347*Ramure*Pc/MaxiM</f>
        <v>1.8896854447857929E-3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24.86145881005357</v>
      </c>
      <c r="W347" s="58"/>
      <c r="X347" s="157">
        <f t="shared" si="132"/>
        <v>44163</v>
      </c>
      <c r="Y347" s="383">
        <f t="shared" si="133"/>
        <v>8.6669999999999998</v>
      </c>
      <c r="Z347" s="383">
        <f t="shared" si="134"/>
        <v>8.7810255828846966</v>
      </c>
      <c r="AA347" s="384">
        <f t="shared" si="135"/>
        <v>9.21063694326042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4.6642958898741295E-2</v>
      </c>
      <c r="AD347" s="230">
        <f>(INDEX(Models!$BJ347:$BT347,,AH347)*(1-AF347)+INDEX(Models!$BJ347:$BT347,,AH347+1)*AF347-ERP_i)*AE347*Ramure*Pc/MaxiM</f>
        <v>1.8896854447857929E-3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23.771999999999998</v>
      </c>
      <c r="C348" s="388"/>
      <c r="D348" s="391">
        <f t="shared" si="123"/>
        <v>24.085212961366729</v>
      </c>
      <c r="E348" s="383">
        <f t="shared" si="121"/>
        <v>25.26441285019618</v>
      </c>
      <c r="F348" s="383">
        <f t="shared" si="124"/>
        <v>25.310170680267795</v>
      </c>
      <c r="G348" s="110">
        <f t="shared" si="122"/>
        <v>0.96350705212929011</v>
      </c>
      <c r="H348" s="412" t="b">
        <f>Wh_hp&gt;='2019'!Maxi_hp</f>
        <v>1</v>
      </c>
      <c r="I348" s="388">
        <f>IF(H348,Wh_hp,'2019'!Maxi_hp)</f>
        <v>25.310170680267795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1.3004367529119709E-2</v>
      </c>
      <c r="M348" s="832"/>
      <c r="N348" s="832"/>
      <c r="O348" s="48">
        <f>IF(t&lt;Tnet,'2019'!Resal+('2019'!Salim-'2019'!Resal)*(1-EXP(('2019'!Tnet-t)/('2019'!Tau_j))),Resal+(Salim-Resal)*(1-EXP((Tnet-t)/(Tau_j))))*Salcycl</f>
        <v>4.6674343703194086E-2</v>
      </c>
      <c r="P348" s="169">
        <f>(INDEX(Models!$BJ348:$BT348,,T348)*(1-R348)+INDEX(Models!$BJ348:$BT348,,T348+1)*R348-ERP_i)*Q348*Ramure*Pc/MaxiM</f>
        <v>1.9070417197010574E-3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24.669916509413646</v>
      </c>
      <c r="W348" s="58"/>
      <c r="X348" s="157">
        <f t="shared" si="132"/>
        <v>44164</v>
      </c>
      <c r="Y348" s="383">
        <f t="shared" si="133"/>
        <v>23.771999999999998</v>
      </c>
      <c r="Z348" s="383">
        <f t="shared" si="134"/>
        <v>24.085212961366729</v>
      </c>
      <c r="AA348" s="384">
        <f t="shared" si="135"/>
        <v>25.26441285019618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4.6674343703194086E-2</v>
      </c>
      <c r="AD348" s="230">
        <f>(INDEX(Models!$BJ348:$BT348,,AH348)*(1-AF348)+INDEX(Models!$BJ348:$BT348,,AH348+1)*AF348-ERP_i)*AE348*Ramure*Pc/MaxiM</f>
        <v>1.9070417197010574E-3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24.553000000000001</v>
      </c>
      <c r="C349" s="388"/>
      <c r="D349" s="391">
        <f t="shared" si="123"/>
        <v>24.876979951971752</v>
      </c>
      <c r="E349" s="383">
        <f t="shared" si="121"/>
        <v>26.095824162268745</v>
      </c>
      <c r="F349" s="383">
        <f t="shared" si="124"/>
        <v>26.146261330818092</v>
      </c>
      <c r="G349" s="110">
        <f t="shared" si="122"/>
        <v>1.0028137228871641</v>
      </c>
      <c r="H349" s="412" t="b">
        <f>Wh_hp&gt;='2019'!Maxi_hp</f>
        <v>1</v>
      </c>
      <c r="I349" s="388">
        <f>IF(H349,Wh_hp,'2019'!Maxi_hp)</f>
        <v>26.146261330818092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1.3023283075246139E-2</v>
      </c>
      <c r="M349" s="832"/>
      <c r="N349" s="832"/>
      <c r="O349" s="48">
        <f>IF(t&lt;Tnet,'2019'!Resal+('2019'!Salim-'2019'!Resal)*(1-EXP(('2019'!Tnet-t)/('2019'!Tau_j))),Resal+(Salim-Resal)*(1-EXP((Tnet-t)/(Tau_j))))*Salcycl</f>
        <v>4.6706484635932216E-2</v>
      </c>
      <c r="P349" s="169">
        <f>(INDEX(Models!$BJ349:$BT349,,T349)*(1-R349)+INDEX(Models!$BJ349:$BT349,,T349+1)*R349-ERP_i)*Q349*Ramure*Pc/MaxiM</f>
        <v>1.9290394106900055E-3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24.484108503531804</v>
      </c>
      <c r="W349" s="58"/>
      <c r="X349" s="157">
        <f t="shared" si="132"/>
        <v>44165</v>
      </c>
      <c r="Y349" s="383">
        <f t="shared" si="133"/>
        <v>24.553000000000001</v>
      </c>
      <c r="Z349" s="383">
        <f t="shared" si="134"/>
        <v>24.876979951971752</v>
      </c>
      <c r="AA349" s="384">
        <f t="shared" si="135"/>
        <v>26.095824162268745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4.6706484635932216E-2</v>
      </c>
      <c r="AD349" s="230">
        <f>(INDEX(Models!$BJ349:$BT349,,AH349)*(1-AF349)+INDEX(Models!$BJ349:$BT349,,AH349+1)*AF349-ERP_i)*AE349*Ramure*Pc/MaxiM</f>
        <v>1.9290394106900055E-3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4.5819999999999999</v>
      </c>
      <c r="C350" s="388"/>
      <c r="D350" s="391">
        <f t="shared" si="123"/>
        <v>4.6425490450723164</v>
      </c>
      <c r="E350" s="383">
        <f t="shared" si="121"/>
        <v>4.8701781331234901</v>
      </c>
      <c r="F350" s="383">
        <f t="shared" si="124"/>
        <v>4.8701781331234901</v>
      </c>
      <c r="G350" s="110">
        <f t="shared" si="122"/>
        <v>0.18815486456186903</v>
      </c>
      <c r="H350" s="412" t="b">
        <f>Wh_hp&gt;='2019'!Maxi_hp</f>
        <v>1</v>
      </c>
      <c r="I350" s="388">
        <f>IF(H350,Wh_hp,'2019'!Maxi_hp)</f>
        <v>4.8701781331234901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1.3042198258860438E-2</v>
      </c>
      <c r="M350" s="832"/>
      <c r="N350" s="832"/>
      <c r="O350" s="48">
        <f>IF(t&lt;Tnet,'2019'!Resal+('2019'!Salim-'2019'!Resal)*(1-EXP(('2019'!Tnet-t)/('2019'!Tau_j))),Resal+(Salim-Resal)*(1-EXP((Tnet-t)/(Tau_j))))*Salcycl</f>
        <v>4.673937622589254E-2</v>
      </c>
      <c r="P350" s="169">
        <f>(INDEX(Models!$BJ350:$BT350,,T350)*(1-R350)+INDEX(Models!$BJ350:$BT350,,T350+1)*R350-ERP_i)*Q350*Ramure*Pc/MaxiM</f>
        <v>1.9556477787614681E-3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24.304655808534832</v>
      </c>
      <c r="W350" s="58"/>
      <c r="X350" s="157">
        <f t="shared" si="132"/>
        <v>44166</v>
      </c>
      <c r="Y350" s="383">
        <f t="shared" si="133"/>
        <v>4.5819999999999999</v>
      </c>
      <c r="Z350" s="383">
        <f t="shared" si="134"/>
        <v>4.6425490450723164</v>
      </c>
      <c r="AA350" s="384">
        <f t="shared" si="135"/>
        <v>4.8701781331234901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4.673937622589254E-2</v>
      </c>
      <c r="AD350" s="230">
        <f>(INDEX(Models!$BJ350:$BT350,,AH350)*(1-AF350)+INDEX(Models!$BJ350:$BT350,,AH350+1)*AF350-ERP_i)*AE350*Ramure*Pc/MaxiM</f>
        <v>1.9556477787614681E-3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1.2110000000000001</v>
      </c>
      <c r="C351" s="388"/>
      <c r="D351" s="391">
        <f t="shared" si="123"/>
        <v>1.2270263296435748</v>
      </c>
      <c r="E351" s="383">
        <f t="shared" si="121"/>
        <v>1.2872341457136878</v>
      </c>
      <c r="F351" s="383">
        <f t="shared" si="124"/>
        <v>1.2872341457136878</v>
      </c>
      <c r="G351" s="110">
        <f t="shared" si="122"/>
        <v>5.0082254795531606E-2</v>
      </c>
      <c r="H351" s="412" t="b">
        <f>Wh_hp&gt;='2019'!Maxi_hp</f>
        <v>0</v>
      </c>
      <c r="I351" s="388">
        <f>IF(H351,Wh_hp,'2019'!Maxi_hp)</f>
        <v>4.7620300329688083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1.3061113079969489E-2</v>
      </c>
      <c r="M351" s="832"/>
      <c r="N351" s="832"/>
      <c r="O351" s="48">
        <f>IF(t&lt;Tnet,'2019'!Resal+('2019'!Salim-'2019'!Resal)*(1-EXP(('2019'!Tnet-t)/('2019'!Tau_j))),Resal+(Salim-Resal)*(1-EXP((Tnet-t)/(Tau_j))))*Salcycl</f>
        <v>4.6773010388666783E-2</v>
      </c>
      <c r="P351" s="169">
        <f>(INDEX(Models!$BJ351:$BT351,,T351)*(1-R351)+INDEX(Models!$BJ351:$BT351,,T351+1)*R351-ERP_i)*Q351*Ramure*Pc/MaxiM</f>
        <v>1.9868313837251919E-3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24.132179194578534</v>
      </c>
      <c r="W351" s="58"/>
      <c r="X351" s="157">
        <f t="shared" si="132"/>
        <v>44167</v>
      </c>
      <c r="Y351" s="383">
        <f t="shared" si="133"/>
        <v>1.2110000000000001</v>
      </c>
      <c r="Z351" s="383">
        <f t="shared" si="134"/>
        <v>1.2270263296435748</v>
      </c>
      <c r="AA351" s="384">
        <f t="shared" si="135"/>
        <v>1.2872341457136878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4.6773010388666783E-2</v>
      </c>
      <c r="AD351" s="230">
        <f>(INDEX(Models!$BJ351:$BT351,,AH351)*(1-AF351)+INDEX(Models!$BJ351:$BT351,,AH351+1)*AF351-ERP_i)*AE351*Ramure*Pc/MaxiM</f>
        <v>1.9868313837251919E-3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12.276999999999999</v>
      </c>
      <c r="C352" s="388"/>
      <c r="D352" s="391">
        <f t="shared" si="123"/>
        <v>12.439711772557049</v>
      </c>
      <c r="E352" s="383">
        <f t="shared" si="121"/>
        <v>13.050574948214292</v>
      </c>
      <c r="F352" s="383">
        <f t="shared" si="124"/>
        <v>13.058578014907082</v>
      </c>
      <c r="G352" s="110">
        <f t="shared" si="122"/>
        <v>0.51151706913007422</v>
      </c>
      <c r="H352" s="412" t="b">
        <f>Wh_hp&gt;='2019'!Maxi_hp</f>
        <v>1</v>
      </c>
      <c r="I352" s="388">
        <f>IF(H352,Wh_hp,'2019'!Maxi_hp)</f>
        <v>13.058578014907082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1.3080027538580397E-2</v>
      </c>
      <c r="M352" s="832"/>
      <c r="N352" s="832"/>
      <c r="O352" s="48">
        <f>IF(t&lt;Tnet,'2019'!Resal+('2019'!Salim-'2019'!Resal)*(1-EXP(('2019'!Tnet-t)/('2019'!Tau_j))),Resal+(Salim-Resal)*(1-EXP((Tnet-t)/(Tau_j))))*Salcycl</f>
        <v>4.6807376539439539E-2</v>
      </c>
      <c r="P352" s="169">
        <f>(INDEX(Models!$BJ352:$BT352,,T352)*(1-R352)+INDEX(Models!$BJ352:$BT352,,T352+1)*R352-ERP_i)*Q352*Ramure*Pc/MaxiM</f>
        <v>2.0213124260835881E-3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23.967328859599295</v>
      </c>
      <c r="W352" s="58"/>
      <c r="X352" s="157">
        <f t="shared" si="132"/>
        <v>44168</v>
      </c>
      <c r="Y352" s="383">
        <f t="shared" si="133"/>
        <v>12.276999999999999</v>
      </c>
      <c r="Z352" s="383">
        <f t="shared" si="134"/>
        <v>12.439711772557049</v>
      </c>
      <c r="AA352" s="384">
        <f t="shared" si="135"/>
        <v>13.050574948214292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4.6807376539439539E-2</v>
      </c>
      <c r="AD352" s="230">
        <f>(INDEX(Models!$BJ352:$BT352,,AH352)*(1-AF352)+INDEX(Models!$BJ352:$BT352,,AH352+1)*AF352-ERP_i)*AE352*Ramure*Pc/MaxiM</f>
        <v>2.0213124260835881E-3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8.5</v>
      </c>
      <c r="C353" s="388"/>
      <c r="D353" s="391">
        <f t="shared" si="123"/>
        <v>8.6128188109144137</v>
      </c>
      <c r="E353" s="383">
        <f t="shared" si="121"/>
        <v>9.0360915850841188</v>
      </c>
      <c r="F353" s="383">
        <f t="shared" si="124"/>
        <v>9.0376055602507197</v>
      </c>
      <c r="G353" s="110">
        <f t="shared" si="122"/>
        <v>0.35630664541261248</v>
      </c>
      <c r="H353" s="412" t="b">
        <f>Wh_hp&gt;='2019'!Maxi_hp</f>
        <v>0</v>
      </c>
      <c r="I353" s="388">
        <f>IF(H353,Wh_hp,'2019'!Maxi_hp)</f>
        <v>9.2474057354658896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1.3098941634700045E-2</v>
      </c>
      <c r="M353" s="832"/>
      <c r="N353" s="832"/>
      <c r="O353" s="48">
        <f>IF(t&lt;Tnet,'2019'!Resal+('2019'!Salim-'2019'!Resal)*(1-EXP(('2019'!Tnet-t)/('2019'!Tau_j))),Resal+(Salim-Resal)*(1-EXP((Tnet-t)/(Tau_j))))*Salcycl</f>
        <v>4.6842461719666703E-2</v>
      </c>
      <c r="P353" s="169">
        <f>(INDEX(Models!$BJ353:$BT353,,T353)*(1-R353)+INDEX(Models!$BJ353:$BT353,,T353+1)*R353-ERP_i)*Q353*Ramure*Pc/MaxiM</f>
        <v>2.0579214334280373E-3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23.810751218291177</v>
      </c>
      <c r="W353" s="58"/>
      <c r="X353" s="157">
        <f t="shared" si="132"/>
        <v>44169</v>
      </c>
      <c r="Y353" s="383">
        <f t="shared" si="133"/>
        <v>8.5</v>
      </c>
      <c r="Z353" s="383">
        <f t="shared" si="134"/>
        <v>8.6128188109144137</v>
      </c>
      <c r="AA353" s="384">
        <f t="shared" si="135"/>
        <v>9.0360915850841188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4.6842461719666703E-2</v>
      </c>
      <c r="AD353" s="230">
        <f>(INDEX(Models!$BJ353:$BT353,,AH353)*(1-AF353)+INDEX(Models!$BJ353:$BT353,,AH353+1)*AF353-ERP_i)*AE353*Ramure*Pc/MaxiM</f>
        <v>2.0579214334280373E-3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17.736000000000001</v>
      </c>
      <c r="C354" s="388"/>
      <c r="D354" s="391">
        <f t="shared" si="123"/>
        <v>17.971750828078491</v>
      </c>
      <c r="E354" s="383">
        <f t="shared" si="121"/>
        <v>18.855671735498163</v>
      </c>
      <c r="F354" s="383">
        <f t="shared" si="124"/>
        <v>18.881092862283797</v>
      </c>
      <c r="G354" s="110">
        <f t="shared" si="122"/>
        <v>0.74895944251825408</v>
      </c>
      <c r="H354" s="412" t="b">
        <f>Wh_hp&gt;='2019'!Maxi_hp</f>
        <v>1</v>
      </c>
      <c r="I354" s="388">
        <f>IF(H354,Wh_hp,'2019'!Maxi_hp)</f>
        <v>18.881092862283797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1.3117855368335207E-2</v>
      </c>
      <c r="M354" s="832"/>
      <c r="N354" s="832"/>
      <c r="O354" s="48">
        <f>IF(t&lt;Tnet,'2019'!Resal+('2019'!Salim-'2019'!Resal)*(1-EXP(('2019'!Tnet-t)/('2019'!Tau_j))),Resal+(Salim-Resal)*(1-EXP((Tnet-t)/(Tau_j))))*Salcycl</f>
        <v>4.6878250736386143E-2</v>
      </c>
      <c r="P354" s="169">
        <f>(INDEX(Models!$BJ354:$BT354,,T354)*(1-R354)+INDEX(Models!$BJ354:$BT354,,T354+1)*R354-ERP_i)*Q354*Ramure*Pc/MaxiM</f>
        <v>2.0965936761510868E-3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23.663065402804019</v>
      </c>
      <c r="W354" s="58"/>
      <c r="X354" s="157">
        <f t="shared" si="132"/>
        <v>44170</v>
      </c>
      <c r="Y354" s="383">
        <f t="shared" si="133"/>
        <v>17.736000000000001</v>
      </c>
      <c r="Z354" s="383">
        <f t="shared" si="134"/>
        <v>17.971750828078491</v>
      </c>
      <c r="AA354" s="384">
        <f t="shared" si="135"/>
        <v>18.855671735498163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4.6878250736386143E-2</v>
      </c>
      <c r="AD354" s="230">
        <f>(INDEX(Models!$BJ354:$BT354,,AH354)*(1-AF354)+INDEX(Models!$BJ354:$BT354,,AH354+1)*AF354-ERP_i)*AE354*Ramure*Pc/MaxiM</f>
        <v>2.0965936761510868E-3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12.382999999999999</v>
      </c>
      <c r="C355" s="388"/>
      <c r="D355" s="391">
        <f t="shared" si="123"/>
        <v>12.54783804659878</v>
      </c>
      <c r="E355" s="383">
        <f t="shared" si="121"/>
        <v>13.165493574417631</v>
      </c>
      <c r="F355" s="383">
        <f t="shared" si="124"/>
        <v>13.174599650882447</v>
      </c>
      <c r="G355" s="110">
        <f t="shared" si="122"/>
        <v>0.52561694065477582</v>
      </c>
      <c r="H355" s="412" t="b">
        <f>Wh_hp&gt;='2019'!Maxi_hp</f>
        <v>0</v>
      </c>
      <c r="I355" s="388">
        <f>IF(H355,Wh_hp,'2019'!Maxi_hp)</f>
        <v>15.619266818048127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1.3136768739493099E-2</v>
      </c>
      <c r="M355" s="832"/>
      <c r="N355" s="832"/>
      <c r="O355" s="48">
        <f>IF(t&lt;Tnet,'2019'!Resal+('2019'!Salim-'2019'!Resal)*(1-EXP(('2019'!Tnet-t)/('2019'!Tau_j))),Resal+(Salim-Resal)*(1-EXP((Tnet-t)/(Tau_j))))*Salcycl</f>
        <v>4.6914726312961119E-2</v>
      </c>
      <c r="P355" s="169">
        <f>(INDEX(Models!$BJ355:$BT355,,T355)*(1-R355)+INDEX(Models!$BJ355:$BT355,,T355+1)*R355-ERP_i)*Q355*Ramure*Pc/MaxiM</f>
        <v>2.1372555028072405E-3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23.524890387907774</v>
      </c>
      <c r="W355" s="58"/>
      <c r="X355" s="157">
        <f t="shared" si="132"/>
        <v>44171</v>
      </c>
      <c r="Y355" s="383">
        <f t="shared" si="133"/>
        <v>12.382999999999999</v>
      </c>
      <c r="Z355" s="383">
        <f t="shared" si="134"/>
        <v>12.54783804659878</v>
      </c>
      <c r="AA355" s="384">
        <f t="shared" si="135"/>
        <v>13.165493574417631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4.6914726312961119E-2</v>
      </c>
      <c r="AD355" s="230">
        <f>(INDEX(Models!$BJ355:$BT355,,AH355)*(1-AF355)+INDEX(Models!$BJ355:$BT355,,AH355+1)*AF355-ERP_i)*AE355*Ramure*Pc/MaxiM</f>
        <v>2.1372555028072405E-3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2.6560000000000001</v>
      </c>
      <c r="C356" s="388"/>
      <c r="D356" s="391">
        <f t="shared" si="123"/>
        <v>2.6914072978654482</v>
      </c>
      <c r="E356" s="383">
        <f t="shared" si="121"/>
        <v>2.8239993459169574</v>
      </c>
      <c r="F356" s="383">
        <f t="shared" si="124"/>
        <v>2.8239993459169574</v>
      </c>
      <c r="G356" s="110">
        <f t="shared" si="122"/>
        <v>0.11327212671559318</v>
      </c>
      <c r="H356" s="412" t="b">
        <f>Wh_hp&gt;='2019'!Maxi_hp</f>
        <v>0</v>
      </c>
      <c r="I356" s="388">
        <f>IF(H356,Wh_hp,'2019'!Maxi_hp)</f>
        <v>17.076709643331426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1.3155681748180492E-2</v>
      </c>
      <c r="M356" s="832"/>
      <c r="N356" s="832"/>
      <c r="O356" s="48">
        <f>IF(t&lt;Tnet,'2019'!Resal+('2019'!Salim-'2019'!Resal)*(1-EXP(('2019'!Tnet-t)/('2019'!Tau_j))),Resal+(Salim-Resal)*(1-EXP((Tnet-t)/(Tau_j))))*Salcycl</f>
        <v>4.6951869249975423E-2</v>
      </c>
      <c r="P356" s="169">
        <f>(INDEX(Models!$BJ356:$BT356,,T356)*(1-R356)+INDEX(Models!$BJ356:$BT356,,T356+1)*R356-ERP_i)*Q356*Ramure*Pc/MaxiM</f>
        <v>2.179823704016608E-3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23.396844970487351</v>
      </c>
      <c r="W356" s="58"/>
      <c r="X356" s="157">
        <f t="shared" si="132"/>
        <v>44172</v>
      </c>
      <c r="Y356" s="383">
        <f t="shared" si="133"/>
        <v>2.6560000000000001</v>
      </c>
      <c r="Z356" s="383">
        <f t="shared" si="134"/>
        <v>2.6914072978654482</v>
      </c>
      <c r="AA356" s="384">
        <f t="shared" si="135"/>
        <v>2.8239993459169574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4.6951869249975423E-2</v>
      </c>
      <c r="AD356" s="230">
        <f>(INDEX(Models!$BJ356:$BT356,,AH356)*(1-AF356)+INDEX(Models!$BJ356:$BT356,,AH356+1)*AF356-ERP_i)*AE356*Ramure*Pc/MaxiM</f>
        <v>2.179823704016608E-3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8.7539999999999996</v>
      </c>
      <c r="C357" s="388"/>
      <c r="D357" s="391">
        <f t="shared" si="123"/>
        <v>8.8708701156997876</v>
      </c>
      <c r="E357" s="383">
        <f t="shared" si="121"/>
        <v>9.308262177534214</v>
      </c>
      <c r="F357" s="383">
        <f t="shared" si="124"/>
        <v>9.3105116585181111</v>
      </c>
      <c r="G357" s="110">
        <f t="shared" si="122"/>
        <v>0.37529251982155698</v>
      </c>
      <c r="H357" s="412" t="b">
        <f>Wh_hp&gt;='2019'!Maxi_hp</f>
        <v>0</v>
      </c>
      <c r="I357" s="388">
        <f>IF(H357,Wh_hp,'2019'!Maxi_hp)</f>
        <v>11.827516861952027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1.3174594394404493E-2</v>
      </c>
      <c r="M357" s="832"/>
      <c r="N357" s="832"/>
      <c r="O357" s="48">
        <f>IF(t&lt;Tnet,'2019'!Resal+('2019'!Salim-'2019'!Resal)*(1-EXP(('2019'!Tnet-t)/('2019'!Tau_j))),Resal+(Salim-Resal)*(1-EXP((Tnet-t)/(Tau_j))))*Salcycl</f>
        <v>4.6989658594929352E-2</v>
      </c>
      <c r="P357" s="169">
        <f>(INDEX(Models!$BJ357:$BT357,,T357)*(1-R357)+INDEX(Models!$BJ357:$BT357,,T357+1)*R357-ERP_i)*Q357*Ramure*Pc/MaxiM</f>
        <v>2.2242049512568749E-3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23.279547761445482</v>
      </c>
      <c r="W357" s="58"/>
      <c r="X357" s="157">
        <f t="shared" si="132"/>
        <v>44173</v>
      </c>
      <c r="Y357" s="383">
        <f t="shared" si="133"/>
        <v>8.7539999999999996</v>
      </c>
      <c r="Z357" s="383">
        <f t="shared" si="134"/>
        <v>8.8708701156997876</v>
      </c>
      <c r="AA357" s="384">
        <f t="shared" si="135"/>
        <v>9.308262177534214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4.6989658594929352E-2</v>
      </c>
      <c r="AD357" s="230">
        <f>(INDEX(Models!$BJ357:$BT357,,AH357)*(1-AF357)+INDEX(Models!$BJ357:$BT357,,AH357+1)*AF357-ERP_i)*AE357*Ramure*Pc/MaxiM</f>
        <v>2.2242049512568749E-3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8.3620000000000001</v>
      </c>
      <c r="C358" s="388"/>
      <c r="D358" s="391">
        <f t="shared" si="123"/>
        <v>8.4737991253497889</v>
      </c>
      <c r="E358" s="383">
        <f t="shared" si="121"/>
        <v>8.8919713947159078</v>
      </c>
      <c r="F358" s="383">
        <f t="shared" si="124"/>
        <v>8.8937263543519016</v>
      </c>
      <c r="G358" s="110">
        <f t="shared" si="122"/>
        <v>0.3600932187473585</v>
      </c>
      <c r="H358" s="412" t="b">
        <f>Wh_hp&gt;='2019'!Maxi_hp</f>
        <v>0</v>
      </c>
      <c r="I358" s="388">
        <f>IF(H358,Wh_hp,'2019'!Maxi_hp)</f>
        <v>21.581579026303849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1.3193506678171874E-2</v>
      </c>
      <c r="M358" s="832"/>
      <c r="N358" s="832"/>
      <c r="O358" s="48">
        <f>IF(t&lt;Tnet,'2019'!Resal+('2019'!Salim-'2019'!Resal)*(1-EXP(('2019'!Tnet-t)/('2019'!Tau_j))),Resal+(Salim-Resal)*(1-EXP((Tnet-t)/(Tau_j))))*Salcycl</f>
        <v>4.7028071819329116E-2</v>
      </c>
      <c r="P358" s="169">
        <f>(INDEX(Models!$BJ358:$BT358,,T358)*(1-R358)+INDEX(Models!$BJ358:$BT358,,T358+1)*R358-ERP_i)*Q358*Ramure*Pc/MaxiM</f>
        <v>2.2702953299421191E-3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23.173617194896856</v>
      </c>
      <c r="W358" s="58"/>
      <c r="X358" s="157">
        <f t="shared" si="132"/>
        <v>44174</v>
      </c>
      <c r="Y358" s="383">
        <f t="shared" si="133"/>
        <v>8.3620000000000001</v>
      </c>
      <c r="Z358" s="383">
        <f t="shared" si="134"/>
        <v>8.4737991253497889</v>
      </c>
      <c r="AA358" s="384">
        <f t="shared" si="135"/>
        <v>8.8919713947159078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4.7028071819329116E-2</v>
      </c>
      <c r="AD358" s="230">
        <f>(INDEX(Models!$BJ358:$BT358,,AH358)*(1-AF358)+INDEX(Models!$BJ358:$BT358,,AH358+1)*AF358-ERP_i)*AE358*Ramure*Pc/MaxiM</f>
        <v>2.2702953299421191E-3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4.5670000000000002</v>
      </c>
      <c r="C359" s="388"/>
      <c r="D359" s="391">
        <f t="shared" si="123"/>
        <v>4.6281490424902083</v>
      </c>
      <c r="E359" s="383">
        <f t="shared" si="121"/>
        <v>4.8567417177509773</v>
      </c>
      <c r="F359" s="383">
        <f t="shared" si="124"/>
        <v>4.8567417177509773</v>
      </c>
      <c r="G359" s="110">
        <f t="shared" si="122"/>
        <v>0.19744336930695591</v>
      </c>
      <c r="H359" s="412" t="b">
        <f>Wh_hp&gt;='2019'!Maxi_hp</f>
        <v>1</v>
      </c>
      <c r="I359" s="388">
        <f>IF(H359,Wh_hp,'2019'!Maxi_hp)</f>
        <v>4.8567417177509773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1.3212418599489628E-2</v>
      </c>
      <c r="M359" s="832"/>
      <c r="N359" s="832"/>
      <c r="O359" s="48">
        <f>IF(t&lt;Tnet,'2019'!Resal+('2019'!Salim-'2019'!Resal)*(1-EXP(('2019'!Tnet-t)/('2019'!Tau_j))),Resal+(Salim-Resal)*(1-EXP((Tnet-t)/(Tau_j))))*Salcycl</f>
        <v>4.7067085001716698E-2</v>
      </c>
      <c r="P359" s="169">
        <f>(INDEX(Models!$BJ359:$BT359,,T359)*(1-R359)+INDEX(Models!$BJ359:$BT359,,T359+1)*R359-ERP_i)*Q359*Ramure*Pc/MaxiM</f>
        <v>2.3182416410624045E-3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23.077060558775354</v>
      </c>
      <c r="W359" s="58"/>
      <c r="X359" s="157">
        <f t="shared" si="132"/>
        <v>44175</v>
      </c>
      <c r="Y359" s="383">
        <f t="shared" si="133"/>
        <v>4.5670000000000002</v>
      </c>
      <c r="Z359" s="383">
        <f t="shared" si="134"/>
        <v>4.6281490424902083</v>
      </c>
      <c r="AA359" s="384">
        <f t="shared" si="135"/>
        <v>4.8567417177509773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4.7067085001716698E-2</v>
      </c>
      <c r="AD359" s="230">
        <f>(INDEX(Models!$BJ359:$BT359,,AH359)*(1-AF359)+INDEX(Models!$BJ359:$BT359,,AH359+1)*AF359-ERP_i)*AE359*Ramure*Pc/MaxiM</f>
        <v>2.3182416410624045E-3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6.77</v>
      </c>
      <c r="C360" s="388"/>
      <c r="D360" s="391">
        <f t="shared" si="123"/>
        <v>6.8607772083871543</v>
      </c>
      <c r="E360" s="383">
        <f t="shared" si="121"/>
        <v>7.1999425477100409</v>
      </c>
      <c r="F360" s="383">
        <f t="shared" si="124"/>
        <v>7.1999425477100409</v>
      </c>
      <c r="G360" s="110">
        <f t="shared" si="122"/>
        <v>0.29380659647389717</v>
      </c>
      <c r="H360" s="412" t="b">
        <f>Wh_hp&gt;='2019'!Maxi_hp</f>
        <v>1</v>
      </c>
      <c r="I360" s="388">
        <f>IF(H360,Wh_hp,'2019'!Maxi_hp)</f>
        <v>7.1999425477100409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1.3231330158364751E-2</v>
      </c>
      <c r="M360" s="832"/>
      <c r="N360" s="832"/>
      <c r="O360" s="48">
        <f>IF(t&lt;Tnet,'2019'!Resal+('2019'!Salim-'2019'!Resal)*(1-EXP(('2019'!Tnet-t)/('2019'!Tau_j))),Resal+(Salim-Resal)*(1-EXP((Tnet-t)/(Tau_j))))*Salcycl</f>
        <v>4.7106673015156059E-2</v>
      </c>
      <c r="P360" s="169">
        <f>(INDEX(Models!$BJ360:$BT360,,T360)*(1-R360)+INDEX(Models!$BJ360:$BT360,,T360+1)*R360-ERP_i)*Q360*Ramure*Pc/MaxiM</f>
        <v>2.3682145866651652E-3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22.98779968967893</v>
      </c>
      <c r="W360" s="58"/>
      <c r="X360" s="157">
        <f t="shared" si="132"/>
        <v>44176</v>
      </c>
      <c r="Y360" s="383">
        <f t="shared" si="133"/>
        <v>6.77</v>
      </c>
      <c r="Z360" s="383">
        <f t="shared" si="134"/>
        <v>6.8607772083871543</v>
      </c>
      <c r="AA360" s="384">
        <f t="shared" si="135"/>
        <v>7.1999425477100409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4.7106673015156059E-2</v>
      </c>
      <c r="AD360" s="230">
        <f>(INDEX(Models!$BJ360:$BT360,,AH360)*(1-AF360)+INDEX(Models!$BJ360:$BT360,,AH360+1)*AF360-ERP_i)*AE360*Ramure*Pc/MaxiM</f>
        <v>2.3682145866651652E-3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10.417999999999999</v>
      </c>
      <c r="C361" s="388"/>
      <c r="D361" s="391">
        <f t="shared" si="123"/>
        <v>10.557894652342128</v>
      </c>
      <c r="E361" s="383">
        <f t="shared" ref="E361:E379" si="145">Wh_pvt/(1-Psa)</f>
        <v>11.080295222828463</v>
      </c>
      <c r="F361" s="383">
        <f t="shared" si="124"/>
        <v>11.086213606132517</v>
      </c>
      <c r="G361" s="110">
        <f t="shared" ref="G361:G379" si="146">+Wh_hp/MaxiM</f>
        <v>0.45395053173594468</v>
      </c>
      <c r="H361" s="412" t="b">
        <f>Wh_hp&gt;='2019'!Maxi_hp</f>
        <v>1</v>
      </c>
      <c r="I361" s="388">
        <f>IF(H361,Wh_hp,'2019'!Maxi_hp)</f>
        <v>11.086213606132517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1.3250241354804126E-2</v>
      </c>
      <c r="M361" s="832"/>
      <c r="N361" s="832"/>
      <c r="O361" s="48">
        <f>IF(t&lt;Tnet,'2019'!Resal+('2019'!Salim-'2019'!Resal)*(1-EXP(('2019'!Tnet-t)/('2019'!Tau_j))),Resal+(Salim-Resal)*(1-EXP((Tnet-t)/(Tau_j))))*Salcycl</f>
        <v>4.7146809717672988E-2</v>
      </c>
      <c r="P361" s="169">
        <f>(INDEX(Models!$BJ361:$BT361,,T361)*(1-R361)+INDEX(Models!$BJ361:$BT361,,T361+1)*R361-ERP_i)*Q361*Ramure*Pc/MaxiM</f>
        <v>2.41395901553115E-3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22.906466328142105</v>
      </c>
      <c r="W361" s="58"/>
      <c r="X361" s="157">
        <f t="shared" si="132"/>
        <v>44177</v>
      </c>
      <c r="Y361" s="383">
        <f t="shared" si="133"/>
        <v>10.417999999999999</v>
      </c>
      <c r="Z361" s="383">
        <f t="shared" si="134"/>
        <v>10.557894652342128</v>
      </c>
      <c r="AA361" s="384">
        <f t="shared" si="135"/>
        <v>11.080295222828463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4.7146809717672988E-2</v>
      </c>
      <c r="AD361" s="230">
        <f>(INDEX(Models!$BJ361:$BT361,,AH361)*(1-AF361)+INDEX(Models!$BJ361:$BT361,,AH361+1)*AF361-ERP_i)*AE361*Ramure*Pc/MaxiM</f>
        <v>2.41395901553115E-3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10.044</v>
      </c>
      <c r="C362" s="388"/>
      <c r="D362" s="391">
        <f t="shared" si="123"/>
        <v>10.179067597085966</v>
      </c>
      <c r="E362" s="383">
        <f t="shared" si="145"/>
        <v>10.683179803753719</v>
      </c>
      <c r="F362" s="383">
        <f t="shared" si="124"/>
        <v>10.688424105553938</v>
      </c>
      <c r="G362" s="110">
        <f t="shared" si="146"/>
        <v>0.43901438901744949</v>
      </c>
      <c r="H362" s="412" t="b">
        <f>Wh_hp&gt;='2019'!Maxi_hp</f>
        <v>0</v>
      </c>
      <c r="I362" s="388">
        <f>IF(H362,Wh_hp,'2019'!Maxi_hp)</f>
        <v>18.906274254752212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1.3269152188814748E-2</v>
      </c>
      <c r="M362" s="832"/>
      <c r="N362" s="832"/>
      <c r="O362" s="48">
        <f>IF(t&lt;Tnet,'2019'!Resal+('2019'!Salim-'2019'!Resal)*(1-EXP(('2019'!Tnet-t)/('2019'!Tau_j))),Resal+(Salim-Resal)*(1-EXP((Tnet-t)/(Tau_j))))*Salcycl</f>
        <v>4.7187468144140307E-2</v>
      </c>
      <c r="P362" s="169">
        <f>(INDEX(Models!$BJ362:$BT362,,T362)*(1-R362)+INDEX(Models!$BJ362:$BT362,,T362+1)*R362-ERP_i)*Q362*Ramure*Pc/MaxiM</f>
        <v>2.4553835502134666E-3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22.833548978657227</v>
      </c>
      <c r="W362" s="58"/>
      <c r="X362" s="157">
        <f t="shared" si="132"/>
        <v>44178</v>
      </c>
      <c r="Y362" s="383">
        <f t="shared" si="133"/>
        <v>10.044</v>
      </c>
      <c r="Z362" s="383">
        <f t="shared" si="134"/>
        <v>10.179067597085966</v>
      </c>
      <c r="AA362" s="384">
        <f t="shared" si="135"/>
        <v>10.683179803753719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4.7187468144140307E-2</v>
      </c>
      <c r="AD362" s="230">
        <f>(INDEX(Models!$BJ362:$BT362,,AH362)*(1-AF362)+INDEX(Models!$BJ362:$BT362,,AH362+1)*AF362-ERP_i)*AE362*Ramure*Pc/MaxiM</f>
        <v>2.4553835502134666E-3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3.6589999999999998</v>
      </c>
      <c r="C363" s="388"/>
      <c r="D363" s="391">
        <f t="shared" si="123"/>
        <v>3.7082758012085169</v>
      </c>
      <c r="E363" s="383">
        <f t="shared" si="145"/>
        <v>3.892094034064733</v>
      </c>
      <c r="F363" s="383">
        <f t="shared" si="124"/>
        <v>3.892094034064733</v>
      </c>
      <c r="G363" s="110">
        <f t="shared" si="146"/>
        <v>0.16029664821201067</v>
      </c>
      <c r="H363" s="412" t="b">
        <f>Wh_hp&gt;='2019'!Maxi_hp</f>
        <v>0</v>
      </c>
      <c r="I363" s="388">
        <f>IF(H363,Wh_hp,'2019'!Maxi_hp)</f>
        <v>24.850474320764231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1.328806266040361E-2</v>
      </c>
      <c r="M363" s="832"/>
      <c r="N363" s="832"/>
      <c r="O363" s="48">
        <f>IF(t&lt;Tnet,'2019'!Resal+('2019'!Salim-'2019'!Resal)*(1-EXP(('2019'!Tnet-t)/('2019'!Tau_j))),Resal+(Salim-Resal)*(1-EXP((Tnet-t)/(Tau_j))))*Salcycl</f>
        <v>4.7228620698108924E-2</v>
      </c>
      <c r="P363" s="169">
        <f>(INDEX(Models!$BJ363:$BT363,,T363)*(1-R363)+INDEX(Models!$BJ363:$BT363,,T363+1)*R363-ERP_i)*Q363*Ramure*Pc/MaxiM</f>
        <v>2.4923930165003253E-3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22.769536198444026</v>
      </c>
      <c r="W363" s="58"/>
      <c r="X363" s="157">
        <f t="shared" si="132"/>
        <v>44179</v>
      </c>
      <c r="Y363" s="383">
        <f t="shared" si="133"/>
        <v>3.6589999999999998</v>
      </c>
      <c r="Z363" s="383">
        <f t="shared" si="134"/>
        <v>3.7082758012085169</v>
      </c>
      <c r="AA363" s="384">
        <f t="shared" si="135"/>
        <v>3.892094034064733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4.7228620698108924E-2</v>
      </c>
      <c r="AD363" s="230">
        <f>(INDEX(Models!$BJ363:$BT363,,AH363)*(1-AF363)+INDEX(Models!$BJ363:$BT363,,AH363+1)*AF363-ERP_i)*AE363*Ramure*Pc/MaxiM</f>
        <v>2.4923930165003253E-3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2.3919999999999999</v>
      </c>
      <c r="C364" s="388"/>
      <c r="D364" s="391">
        <f t="shared" si="123"/>
        <v>2.4242595558967057</v>
      </c>
      <c r="E364" s="383">
        <f t="shared" si="145"/>
        <v>2.5445405990284868</v>
      </c>
      <c r="F364" s="383">
        <f t="shared" si="124"/>
        <v>2.5445405990284868</v>
      </c>
      <c r="G364" s="110">
        <f t="shared" si="146"/>
        <v>0.1050393671438266</v>
      </c>
      <c r="H364" s="412" t="b">
        <f>Wh_hp&gt;='2019'!Maxi_hp</f>
        <v>0</v>
      </c>
      <c r="I364" s="388">
        <f>IF(H364,Wh_hp,'2019'!Maxi_hp)</f>
        <v>14.539812070698289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1.3306972769577596E-2</v>
      </c>
      <c r="M364" s="832"/>
      <c r="N364" s="832"/>
      <c r="O364" s="48">
        <f>IF(t&lt;Tnet,'2019'!Resal+('2019'!Salim-'2019'!Resal)*(1-EXP(('2019'!Tnet-t)/('2019'!Tau_j))),Resal+(Salim-Resal)*(1-EXP((Tnet-t)/(Tau_j))))*Salcycl</f>
        <v>4.7270239342105544E-2</v>
      </c>
      <c r="P364" s="169">
        <f>(INDEX(Models!$BJ364:$BT364,,T364)*(1-R364)+INDEX(Models!$BJ364:$BT364,,T364+1)*R364-ERP_i)*Q364*Ramure*Pc/MaxiM</f>
        <v>2.524890249090726E-3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22.714916582248311</v>
      </c>
      <c r="W364" s="58"/>
      <c r="X364" s="157">
        <f t="shared" si="132"/>
        <v>44180</v>
      </c>
      <c r="Y364" s="383">
        <f t="shared" si="133"/>
        <v>2.3919999999999999</v>
      </c>
      <c r="Z364" s="383">
        <f t="shared" si="134"/>
        <v>2.4242595558967057</v>
      </c>
      <c r="AA364" s="384">
        <f t="shared" si="135"/>
        <v>2.5445405990284868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4.7270239342105544E-2</v>
      </c>
      <c r="AD364" s="230">
        <f>(INDEX(Models!$BJ364:$BT364,,AH364)*(1-AF364)+INDEX(Models!$BJ364:$BT364,,AH364+1)*AF364-ERP_i)*AE364*Ramure*Pc/MaxiM</f>
        <v>2.524890249090726E-3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17.013000000000002</v>
      </c>
      <c r="C365" s="388"/>
      <c r="D365" s="391">
        <f t="shared" si="123"/>
        <v>17.242775196524612</v>
      </c>
      <c r="E365" s="383">
        <f t="shared" si="145"/>
        <v>18.099084432638431</v>
      </c>
      <c r="F365" s="383">
        <f t="shared" si="124"/>
        <v>18.128865428523852</v>
      </c>
      <c r="G365" s="110">
        <f t="shared" si="146"/>
        <v>0.74977318168309592</v>
      </c>
      <c r="H365" s="412" t="b">
        <f>Wh_hp&gt;='2019'!Maxi_hp</f>
        <v>1</v>
      </c>
      <c r="I365" s="388">
        <f>IF(H365,Wh_hp,'2019'!Maxi_hp)</f>
        <v>18.128865428523852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1.332588251634359E-2</v>
      </c>
      <c r="M365" s="832"/>
      <c r="N365" s="832"/>
      <c r="O365" s="48">
        <f>IF(t&lt;Tnet,'2019'!Resal+('2019'!Salim-'2019'!Resal)*(1-EXP(('2019'!Tnet-t)/('2019'!Tau_j))),Resal+(Salim-Resal)*(1-EXP((Tnet-t)/(Tau_j))))*Salcycl</f>
        <v>4.7312295784952607E-2</v>
      </c>
      <c r="P365" s="169">
        <f>(INDEX(Models!$BJ365:$BT365,,T365)*(1-R365)+INDEX(Models!$BJ365:$BT365,,T365+1)*R365-ERP_i)*Q365*Ramure*Pc/MaxiM</f>
        <v>2.5527780065426773E-3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22.670178725519985</v>
      </c>
      <c r="W365" s="58"/>
      <c r="X365" s="157">
        <f t="shared" si="132"/>
        <v>44181</v>
      </c>
      <c r="Y365" s="383">
        <f t="shared" si="133"/>
        <v>17.013000000000002</v>
      </c>
      <c r="Z365" s="383">
        <f t="shared" si="134"/>
        <v>17.242775196524612</v>
      </c>
      <c r="AA365" s="384">
        <f t="shared" si="135"/>
        <v>18.099084432638431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4.7312295784952607E-2</v>
      </c>
      <c r="AD365" s="230">
        <f>(INDEX(Models!$BJ365:$BT365,,AH365)*(1-AF365)+INDEX(Models!$BJ365:$BT365,,AH365+1)*AF365-ERP_i)*AE365*Ramure*Pc/MaxiM</f>
        <v>2.5527780065426773E-3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8.8520000000000003</v>
      </c>
      <c r="C366" s="388"/>
      <c r="D366" s="391">
        <f t="shared" si="123"/>
        <v>8.9717258139777485</v>
      </c>
      <c r="E366" s="383">
        <f t="shared" si="145"/>
        <v>9.4176986909161524</v>
      </c>
      <c r="F366" s="383">
        <f t="shared" si="124"/>
        <v>9.4208521690068814</v>
      </c>
      <c r="G366" s="110">
        <f t="shared" si="146"/>
        <v>0.39018500049799798</v>
      </c>
      <c r="H366" s="412" t="b">
        <f>Wh_hp&gt;='2019'!Maxi_hp</f>
        <v>0</v>
      </c>
      <c r="I366" s="388">
        <f>IF(H366,Wh_hp,'2019'!Maxi_hp)</f>
        <v>19.080468817938161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1.3344791900708586E-2</v>
      </c>
      <c r="M366" s="832"/>
      <c r="N366" s="832"/>
      <c r="O366" s="48">
        <f>IF(t&lt;Tnet,'2019'!Resal+('2019'!Salim-'2019'!Resal)*(1-EXP(('2019'!Tnet-t)/('2019'!Tau_j))),Resal+(Salim-Resal)*(1-EXP((Tnet-t)/(Tau_j))))*Salcycl</f>
        <v>4.7354761664711899E-2</v>
      </c>
      <c r="P366" s="169">
        <f>(INDEX(Models!$BJ366:$BT366,,T366)*(1-R366)+INDEX(Models!$BJ366:$BT366,,T366+1)*R366-ERP_i)*Q366*Ramure*Pc/MaxiM</f>
        <v>2.5731606582491675E-3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22.635874776768492</v>
      </c>
      <c r="W366" s="58"/>
      <c r="X366" s="157">
        <f t="shared" si="132"/>
        <v>44182</v>
      </c>
      <c r="Y366" s="383">
        <f t="shared" si="133"/>
        <v>8.8520000000000003</v>
      </c>
      <c r="Z366" s="383">
        <f t="shared" si="134"/>
        <v>8.9717258139777485</v>
      </c>
      <c r="AA366" s="384">
        <f t="shared" si="135"/>
        <v>9.4176986909161524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4.7354761664711899E-2</v>
      </c>
      <c r="AD366" s="230">
        <f>(INDEX(Models!$BJ366:$BT366,,AH366)*(1-AF366)+INDEX(Models!$BJ366:$BT366,,AH366+1)*AF366-ERP_i)*AE366*Ramure*Pc/MaxiM</f>
        <v>2.5731606582491675E-3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11.278</v>
      </c>
      <c r="C367" s="388"/>
      <c r="D367" s="391">
        <f t="shared" si="123"/>
        <v>11.430757220818784</v>
      </c>
      <c r="E367" s="383">
        <f t="shared" si="145"/>
        <v>11.999505066883522</v>
      </c>
      <c r="F367" s="383">
        <f t="shared" si="124"/>
        <v>12.008326192183038</v>
      </c>
      <c r="G367" s="110">
        <f t="shared" si="146"/>
        <v>0.4978267952358521</v>
      </c>
      <c r="H367" s="412" t="b">
        <f>Wh_hp&gt;='2019'!Maxi_hp</f>
        <v>1</v>
      </c>
      <c r="I367" s="388">
        <f>IF(H367,Wh_hp,'2019'!Maxi_hp)</f>
        <v>12.008326192183038</v>
      </c>
      <c r="J367" s="85">
        <f>IF(H367,An,'2019'!An_max)</f>
        <v>2020</v>
      </c>
      <c r="K367" s="197">
        <f t="shared" si="125"/>
        <v>44183</v>
      </c>
      <c r="L367" s="147">
        <f>IF(t&lt;Tvie,1-EXP((T0-t)*PertePVj)+'2019'!Pspv,1-EXP((T0-t)*PertePVj)+Pspv)</f>
        <v>1.3363700922679578E-2</v>
      </c>
      <c r="M367" s="832"/>
      <c r="N367" s="832"/>
      <c r="O367" s="48">
        <f>IF(t&lt;Tnet,'2019'!Resal+('2019'!Salim-'2019'!Resal)*(1-EXP(('2019'!Tnet-t)/('2019'!Tau_j))),Resal+(Salim-Resal)*(1-EXP((Tnet-t)/(Tau_j))))*Salcycl</f>
        <v>4.7397608725911644E-2</v>
      </c>
      <c r="P367" s="169">
        <f>(INDEX(Models!$BJ367:$BT367,,T367)*(1-R367)+INDEX(Models!$BJ367:$BT367,,T367+1)*R367-ERP_i)*Q367*Ramure*Pc/MaxiM</f>
        <v>2.5871952878949648E-3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22.612464815225348</v>
      </c>
      <c r="W367" s="58"/>
      <c r="X367" s="157">
        <f t="shared" si="132"/>
        <v>44183</v>
      </c>
      <c r="Y367" s="383">
        <f t="shared" si="133"/>
        <v>11.278</v>
      </c>
      <c r="Z367" s="383">
        <f t="shared" si="134"/>
        <v>11.430757220818784</v>
      </c>
      <c r="AA367" s="384">
        <f t="shared" si="135"/>
        <v>11.999505066883522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4.7397608725911644E-2</v>
      </c>
      <c r="AD367" s="230">
        <f>(INDEX(Models!$BJ367:$BT367,,AH367)*(1-AF367)+INDEX(Models!$BJ367:$BT367,,AH367+1)*AF367-ERP_i)*AE367*Ramure*Pc/MaxiM</f>
        <v>2.5871952878949648E-3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8.7479999999999993</v>
      </c>
      <c r="C368" s="388"/>
      <c r="D368" s="391">
        <f t="shared" si="123"/>
        <v>8.8666590361802484</v>
      </c>
      <c r="E368" s="383">
        <f t="shared" si="145"/>
        <v>9.3082499437929211</v>
      </c>
      <c r="F368" s="383">
        <f t="shared" si="124"/>
        <v>9.3112552888986162</v>
      </c>
      <c r="G368" s="110">
        <f t="shared" si="146"/>
        <v>0.38619243017617116</v>
      </c>
      <c r="H368" s="412" t="b">
        <f>Wh_hp&gt;='2019'!Maxi_hp</f>
        <v>1</v>
      </c>
      <c r="I368" s="388">
        <f>IF(H368,Wh_hp,'2019'!Maxi_hp)</f>
        <v>9.3112552888986162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1.3382609582263449E-2</v>
      </c>
      <c r="M368" s="832"/>
      <c r="N368" s="832"/>
      <c r="O368" s="48">
        <f>IF(t&lt;Tnet,'2019'!Resal+('2019'!Salim-'2019'!Resal)*(1-EXP(('2019'!Tnet-t)/('2019'!Tau_j))),Resal+(Salim-Resal)*(1-EXP((Tnet-t)/(Tau_j))))*Salcycl</f>
        <v>4.7440808989786781E-2</v>
      </c>
      <c r="P368" s="169">
        <f>(INDEX(Models!$BJ368:$BT368,,T368)*(1-R368)+INDEX(Models!$BJ368:$BT368,,T368+1)*R368-ERP_i)*Q368*Ramure*Pc/MaxiM</f>
        <v>2.5948057270233291E-3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22.600437207898118</v>
      </c>
      <c r="W368" s="58"/>
      <c r="X368" s="157">
        <f t="shared" si="132"/>
        <v>44184</v>
      </c>
      <c r="Y368" s="383">
        <f t="shared" si="133"/>
        <v>8.7479999999999993</v>
      </c>
      <c r="Z368" s="383">
        <f t="shared" si="134"/>
        <v>8.8666590361802484</v>
      </c>
      <c r="AA368" s="384">
        <f t="shared" si="135"/>
        <v>9.3082499437929211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4.7440808989786781E-2</v>
      </c>
      <c r="AD368" s="230">
        <f>(INDEX(Models!$BJ368:$BT368,,AH368)*(1-AF368)+INDEX(Models!$BJ368:$BT368,,AH368+1)*AF368-ERP_i)*AE368*Ramure*Pc/MaxiM</f>
        <v>2.5948057270233291E-3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6.4050000000000002</v>
      </c>
      <c r="C369" s="388"/>
      <c r="D369" s="391">
        <f t="shared" si="123"/>
        <v>6.4920026901252639</v>
      </c>
      <c r="E369" s="383">
        <f t="shared" si="145"/>
        <v>6.8156387638570548</v>
      </c>
      <c r="F369" s="383">
        <f t="shared" si="124"/>
        <v>6.8156387638570548</v>
      </c>
      <c r="G369" s="110">
        <f t="shared" si="146"/>
        <v>0.28266786957656909</v>
      </c>
      <c r="H369" s="412" t="b">
        <f>Wh_hp&gt;='2019'!Maxi_hp</f>
        <v>0</v>
      </c>
      <c r="I369" s="388">
        <f>IF(H369,Wh_hp,'2019'!Maxi_hp)</f>
        <v>19.700986215963447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1.3401517879467306E-2</v>
      </c>
      <c r="M369" s="832"/>
      <c r="N369" s="832"/>
      <c r="O369" s="48">
        <f>IF(t&lt;Tnet,'2019'!Resal+('2019'!Salim-'2019'!Resal)*(1-EXP(('2019'!Tnet-t)/('2019'!Tau_j))),Resal+(Salim-Resal)*(1-EXP((Tnet-t)/(Tau_j))))*Salcycl</f>
        <v>4.7484334916341867E-2</v>
      </c>
      <c r="P369" s="169">
        <f>(INDEX(Models!$BJ369:$BT369,,T369)*(1-R369)+INDEX(Models!$BJ369:$BT369,,T369+1)*R369-ERP_i)*Q369*Ramure*Pc/MaxiM</f>
        <v>2.595927435648173E-3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22.600280301911681</v>
      </c>
      <c r="W369" s="58"/>
      <c r="X369" s="157">
        <f t="shared" si="132"/>
        <v>44185</v>
      </c>
      <c r="Y369" s="383">
        <f t="shared" si="133"/>
        <v>6.4050000000000002</v>
      </c>
      <c r="Z369" s="383">
        <f t="shared" si="134"/>
        <v>6.4920026901252639</v>
      </c>
      <c r="AA369" s="384">
        <f t="shared" si="135"/>
        <v>6.8156387638570548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4.7484334916341867E-2</v>
      </c>
      <c r="AD369" s="230">
        <f>(INDEX(Models!$BJ369:$BT369,,AH369)*(1-AF369)+INDEX(Models!$BJ369:$BT369,,AH369+1)*AF369-ERP_i)*AE369*Ramure*Pc/MaxiM</f>
        <v>2.595927435648173E-3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8.0020000000000007</v>
      </c>
      <c r="C370" s="388"/>
      <c r="D370" s="391">
        <f t="shared" si="123"/>
        <v>8.1108510751447991</v>
      </c>
      <c r="E370" s="383">
        <f t="shared" si="145"/>
        <v>8.5155809660194812</v>
      </c>
      <c r="F370" s="383">
        <f t="shared" si="124"/>
        <v>8.5172791243008703</v>
      </c>
      <c r="G370" s="110">
        <f t="shared" si="146"/>
        <v>0.35302901295655575</v>
      </c>
      <c r="H370" s="412" t="b">
        <f>Wh_hp&gt;='2019'!Maxi_hp</f>
        <v>1</v>
      </c>
      <c r="I370" s="388">
        <f>IF(H370,Wh_hp,'2019'!Maxi_hp)</f>
        <v>8.5172791243008703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1.3420425814297809E-2</v>
      </c>
      <c r="M370" s="832"/>
      <c r="N370" s="832"/>
      <c r="O370" s="48">
        <f>IF(t&lt;Tnet,'2019'!Resal+('2019'!Salim-'2019'!Resal)*(1-EXP(('2019'!Tnet-t)/('2019'!Tau_j))),Resal+(Salim-Resal)*(1-EXP((Tnet-t)/(Tau_j))))*Salcycl</f>
        <v>4.7528159557135803E-2</v>
      </c>
      <c r="P370" s="169">
        <f>(INDEX(Models!$BJ370:$BT370,,T370)*(1-R370)+INDEX(Models!$BJ370:$BT370,,T370+1)*R370-ERP_i)*Q370*Ramure*Pc/MaxiM</f>
        <v>2.590509972465896E-3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22.61248241232504</v>
      </c>
      <c r="W370" s="58"/>
      <c r="X370" s="157">
        <f t="shared" si="132"/>
        <v>44186</v>
      </c>
      <c r="Y370" s="383">
        <f t="shared" si="133"/>
        <v>8.0020000000000007</v>
      </c>
      <c r="Z370" s="383">
        <f t="shared" si="134"/>
        <v>8.1108510751447991</v>
      </c>
      <c r="AA370" s="384">
        <f t="shared" si="135"/>
        <v>8.5155809660194812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4.7528159557135803E-2</v>
      </c>
      <c r="AD370" s="230">
        <f>(INDEX(Models!$BJ370:$BT370,,AH370)*(1-AF370)+INDEX(Models!$BJ370:$BT370,,AH370+1)*AF370-ERP_i)*AE370*Ramure*Pc/MaxiM</f>
        <v>2.590509972465896E-3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19.337</v>
      </c>
      <c r="C371" s="388"/>
      <c r="D371" s="391">
        <f t="shared" si="123"/>
        <v>19.60041653229694</v>
      </c>
      <c r="E371" s="383">
        <f t="shared" si="145"/>
        <v>20.579426282081286</v>
      </c>
      <c r="F371" s="383">
        <f t="shared" si="124"/>
        <v>20.621523847427799</v>
      </c>
      <c r="G371" s="110">
        <f t="shared" si="146"/>
        <v>0.85374118472379368</v>
      </c>
      <c r="H371" s="412" t="b">
        <f>Wh_hp&gt;='2019'!Maxi_hp</f>
        <v>1</v>
      </c>
      <c r="I371" s="388">
        <f>IF(H371,Wh_hp,'2019'!Maxi_hp)</f>
        <v>20.621523847427799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1.3439333386762065E-2</v>
      </c>
      <c r="M371" s="832"/>
      <c r="N371" s="832"/>
      <c r="O371" s="48">
        <f>IF(t&lt;Tnet,'2019'!Resal+('2019'!Salim-'2019'!Resal)*(1-EXP(('2019'!Tnet-t)/('2019'!Tau_j))),Resal+(Salim-Resal)*(1-EXP((Tnet-t)/(Tau_j))))*Salcycl</f>
        <v>4.7572256697786572E-2</v>
      </c>
      <c r="P371" s="169">
        <f>(INDEX(Models!$BJ371:$BT371,,T371)*(1-R371)+INDEX(Models!$BJ371:$BT371,,T371+1)*R371-ERP_i)*Q371*Ramure*Pc/MaxiM</f>
        <v>2.578499507723697E-3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22.637532247691158</v>
      </c>
      <c r="W371" s="58"/>
      <c r="X371" s="157">
        <f t="shared" si="132"/>
        <v>44187</v>
      </c>
      <c r="Y371" s="383">
        <f t="shared" si="133"/>
        <v>19.337</v>
      </c>
      <c r="Z371" s="383">
        <f t="shared" si="134"/>
        <v>19.60041653229694</v>
      </c>
      <c r="AA371" s="384">
        <f t="shared" si="135"/>
        <v>20.579426282081286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4.7572256697786572E-2</v>
      </c>
      <c r="AD371" s="230">
        <f>(INDEX(Models!$BJ371:$BT371,,AH371)*(1-AF371)+INDEX(Models!$BJ371:$BT371,,AH371+1)*AF371-ERP_i)*AE371*Ramure*Pc/MaxiM</f>
        <v>2.578499507723697E-3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9.5180000000000007</v>
      </c>
      <c r="C372" s="388"/>
      <c r="D372" s="391">
        <f t="shared" si="123"/>
        <v>9.6478429922302329</v>
      </c>
      <c r="E372" s="383">
        <f t="shared" si="145"/>
        <v>10.130209117727219</v>
      </c>
      <c r="F372" s="383">
        <f t="shared" si="124"/>
        <v>10.134646982864375</v>
      </c>
      <c r="G372" s="110">
        <f t="shared" si="146"/>
        <v>0.41884937360200686</v>
      </c>
      <c r="H372" s="412" t="b">
        <f>Wh_hp&gt;='2019'!Maxi_hp</f>
        <v>0</v>
      </c>
      <c r="I372" s="388">
        <f>IF(H372,Wh_hp,'2019'!Maxi_hp)</f>
        <v>13.665587151375444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1.3458240596867066E-2</v>
      </c>
      <c r="M372" s="832"/>
      <c r="N372" s="832"/>
      <c r="O372" s="48">
        <f>IF(t&lt;Tnet,'2019'!Resal+('2019'!Salim-'2019'!Resal)*(1-EXP(('2019'!Tnet-t)/('2019'!Tau_j))),Resal+(Salim-Resal)*(1-EXP((Tnet-t)/(Tau_j))))*Salcycl</f>
        <v>4.7616600989300061E-2</v>
      </c>
      <c r="P372" s="169">
        <f>(INDEX(Models!$BJ372:$BT372,,T372)*(1-R372)+INDEX(Models!$BJ372:$BT372,,T372+1)*R372-ERP_i)*Q372*Ramure*Pc/MaxiM</f>
        <v>2.5598976792965125E-3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22.675917610804923</v>
      </c>
      <c r="W372" s="58"/>
      <c r="X372" s="157">
        <f t="shared" si="132"/>
        <v>44188</v>
      </c>
      <c r="Y372" s="383">
        <f t="shared" si="133"/>
        <v>9.5180000000000007</v>
      </c>
      <c r="Z372" s="383">
        <f t="shared" si="134"/>
        <v>9.6478429922302329</v>
      </c>
      <c r="AA372" s="384">
        <f t="shared" si="135"/>
        <v>10.130209117727219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4.7616600989300061E-2</v>
      </c>
      <c r="AD372" s="230">
        <f>(INDEX(Models!$BJ372:$BT372,,AH372)*(1-AF372)+INDEX(Models!$BJ372:$BT372,,AH372+1)*AF372-ERP_i)*AE372*Ramure*Pc/MaxiM</f>
        <v>2.5598976792965125E-3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10.885999999999999</v>
      </c>
      <c r="C373" s="388"/>
      <c r="D373" s="391">
        <f t="shared" si="123"/>
        <v>11.034716501297565</v>
      </c>
      <c r="E373" s="383">
        <f t="shared" si="145"/>
        <v>11.586964776921958</v>
      </c>
      <c r="F373" s="383">
        <f t="shared" si="124"/>
        <v>11.594478528110951</v>
      </c>
      <c r="G373" s="110">
        <f t="shared" si="146"/>
        <v>0.47806381635244627</v>
      </c>
      <c r="H373" s="412" t="b">
        <f>Wh_hp&gt;='2019'!Maxi_hp</f>
        <v>1</v>
      </c>
      <c r="I373" s="388">
        <f>IF(H373,Wh_hp,'2019'!Maxi_hp)</f>
        <v>11.594478528110951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1.3477147444619697E-2</v>
      </c>
      <c r="M373" s="832"/>
      <c r="N373" s="832"/>
      <c r="O373" s="48">
        <f>IF(t&lt;Tnet,'2019'!Resal+('2019'!Salim-'2019'!Resal)*(1-EXP(('2019'!Tnet-t)/('2019'!Tau_j))),Resal+(Salim-Resal)*(1-EXP((Tnet-t)/(Tau_j))))*Salcycl</f>
        <v>4.7661168067440661E-2</v>
      </c>
      <c r="P373" s="169">
        <f>(INDEX(Models!$BJ373:$BT373,,T373)*(1-R373)+INDEX(Models!$BJ373:$BT373,,T373+1)*R373-ERP_i)*Q373*Ramure*Pc/MaxiM</f>
        <v>2.5347090393495007E-3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22.728029380550307</v>
      </c>
      <c r="W373" s="58"/>
      <c r="X373" s="157">
        <f t="shared" si="132"/>
        <v>44189</v>
      </c>
      <c r="Y373" s="383">
        <f t="shared" si="133"/>
        <v>10.885999999999999</v>
      </c>
      <c r="Z373" s="383">
        <f t="shared" si="134"/>
        <v>11.034716501297565</v>
      </c>
      <c r="AA373" s="384">
        <f t="shared" si="135"/>
        <v>11.586964776921958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4.7661168067440661E-2</v>
      </c>
      <c r="AD373" s="230">
        <f>(INDEX(Models!$BJ373:$BT373,,AH373)*(1-AF373)+INDEX(Models!$BJ373:$BT373,,AH373+1)*AF373-ERP_i)*AE373*Ramure*Pc/MaxiM</f>
        <v>2.5347090393495007E-3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4.008</v>
      </c>
      <c r="C374" s="388"/>
      <c r="D374" s="391">
        <f t="shared" si="123"/>
        <v>4.0628322025137757</v>
      </c>
      <c r="E374" s="383">
        <f t="shared" si="145"/>
        <v>4.266363038880213</v>
      </c>
      <c r="F374" s="383">
        <f t="shared" si="124"/>
        <v>4.266363038880213</v>
      </c>
      <c r="G374" s="110">
        <f t="shared" si="146"/>
        <v>0.17539862836235062</v>
      </c>
      <c r="H374" s="412" t="b">
        <f>Wh_hp&gt;='2019'!Maxi_hp</f>
        <v>0</v>
      </c>
      <c r="I374" s="388">
        <f>IF(H374,Wh_hp,'2019'!Maxi_hp)</f>
        <v>8.4515982622369421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1.3496053930026952E-2</v>
      </c>
      <c r="M374" s="832"/>
      <c r="N374" s="832"/>
      <c r="O374" s="48">
        <f>IF(t&lt;Tnet,'2019'!Resal+('2019'!Salim-'2019'!Resal)*(1-EXP(('2019'!Tnet-t)/('2019'!Tau_j))),Resal+(Salim-Resal)*(1-EXP((Tnet-t)/(Tau_j))))*Salcycl</f>
        <v>4.7705934659479393E-2</v>
      </c>
      <c r="P374" s="169">
        <f>(INDEX(Models!$BJ374:$BT374,,T374)*(1-R374)+INDEX(Models!$BJ374:$BT374,,T374+1)*R374-ERP_i)*Q374*Ramure*Pc/MaxiM</f>
        <v>2.5030315756479956E-3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22.793609544001246</v>
      </c>
      <c r="W374" s="58"/>
      <c r="X374" s="157">
        <f t="shared" si="132"/>
        <v>44190</v>
      </c>
      <c r="Y374" s="383">
        <f t="shared" si="133"/>
        <v>4.008</v>
      </c>
      <c r="Z374" s="383">
        <f t="shared" si="134"/>
        <v>4.0628322025137757</v>
      </c>
      <c r="AA374" s="384">
        <f t="shared" si="135"/>
        <v>4.266363038880213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4.7705934659479393E-2</v>
      </c>
      <c r="AD374" s="230">
        <f>(INDEX(Models!$BJ374:$BT374,,AH374)*(1-AF374)+INDEX(Models!$BJ374:$BT374,,AH374+1)*AF374-ERP_i)*AE374*Ramure*Pc/MaxiM</f>
        <v>2.5030315756479956E-3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14.475</v>
      </c>
      <c r="C375" s="388"/>
      <c r="D375" s="391">
        <f t="shared" si="123"/>
        <v>14.673309187515999</v>
      </c>
      <c r="E375" s="383">
        <f t="shared" si="145"/>
        <v>15.409107615811456</v>
      </c>
      <c r="F375" s="383">
        <f t="shared" si="124"/>
        <v>15.427181860412613</v>
      </c>
      <c r="G375" s="110">
        <f t="shared" si="146"/>
        <v>0.63204556899059194</v>
      </c>
      <c r="H375" s="412" t="b">
        <f>Wh_hp&gt;='2019'!Maxi_hp</f>
        <v>0</v>
      </c>
      <c r="I375" s="388">
        <f>IF(H375,Wh_hp,'2019'!Maxi_hp)</f>
        <v>21.290446008401918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1.3514960053095604E-2</v>
      </c>
      <c r="M375" s="832"/>
      <c r="N375" s="832"/>
      <c r="O375" s="48">
        <f>IF(t&lt;Tnet,'2019'!Resal+('2019'!Salim-'2019'!Resal)*(1-EXP(('2019'!Tnet-t)/('2019'!Tau_j))),Resal+(Salim-Resal)*(1-EXP((Tnet-t)/(Tau_j))))*Salcycl</f>
        <v>4.7750878677779315E-2</v>
      </c>
      <c r="P375" s="169">
        <f>(INDEX(Models!$BJ375:$BT375,,T375)*(1-R375)+INDEX(Models!$BJ375:$BT375,,T375+1)*R375-ERP_i)*Q375*Ramure*Pc/MaxiM</f>
        <v>2.463793749090139E-3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22.872201053389478</v>
      </c>
      <c r="W375" s="58"/>
      <c r="X375" s="157">
        <f t="shared" si="132"/>
        <v>44191</v>
      </c>
      <c r="Y375" s="383">
        <f t="shared" si="133"/>
        <v>14.475</v>
      </c>
      <c r="Z375" s="383">
        <f t="shared" si="134"/>
        <v>14.673309187515999</v>
      </c>
      <c r="AA375" s="384">
        <f t="shared" si="135"/>
        <v>15.409107615811456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4.7750878677779315E-2</v>
      </c>
      <c r="AD375" s="230">
        <f>(INDEX(Models!$BJ375:$BT375,,AH375)*(1-AF375)+INDEX(Models!$BJ375:$BT375,,AH375+1)*AF375-ERP_i)*AE375*Ramure*Pc/MaxiM</f>
        <v>2.463793749090139E-3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6.1319999999999997</v>
      </c>
      <c r="C376" s="388"/>
      <c r="D376" s="391">
        <f t="shared" si="123"/>
        <v>6.2161282455569431</v>
      </c>
      <c r="E376" s="383">
        <f t="shared" si="145"/>
        <v>6.5281474457395792</v>
      </c>
      <c r="F376" s="383">
        <f t="shared" si="124"/>
        <v>6.5281474457395792</v>
      </c>
      <c r="G376" s="110">
        <f t="shared" si="146"/>
        <v>0.26638910034539881</v>
      </c>
      <c r="H376" s="412" t="b">
        <f>Wh_hp&gt;='2019'!Maxi_hp</f>
        <v>1</v>
      </c>
      <c r="I376" s="388">
        <f>IF(H376,Wh_hp,'2019'!Maxi_hp)</f>
        <v>6.5281474457395792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1.3533865813832757E-2</v>
      </c>
      <c r="M376" s="832"/>
      <c r="N376" s="832"/>
      <c r="O376" s="48">
        <f>IF(t&lt;Tnet,'2019'!Resal+('2019'!Salim-'2019'!Resal)*(1-EXP(('2019'!Tnet-t)/('2019'!Tau_j))),Resal+(Salim-Resal)*(1-EXP((Tnet-t)/(Tau_j))))*Salcycl</f>
        <v>4.7795979299803878E-2</v>
      </c>
      <c r="P376" s="169">
        <f>(INDEX(Models!$BJ376:$BT376,,T376)*(1-R376)+INDEX(Models!$BJ376:$BT376,,T376+1)*R376-ERP_i)*Q376*Ramure*Pc/MaxiM</f>
        <v>2.4198921359617088E-3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22.963256430127213</v>
      </c>
      <c r="W376" s="58"/>
      <c r="X376" s="157">
        <f t="shared" si="132"/>
        <v>44192</v>
      </c>
      <c r="Y376" s="383">
        <f t="shared" si="133"/>
        <v>6.1319999999999997</v>
      </c>
      <c r="Z376" s="383">
        <f t="shared" si="134"/>
        <v>6.2161282455569431</v>
      </c>
      <c r="AA376" s="384">
        <f t="shared" si="135"/>
        <v>6.5281474457395792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4.7795979299803878E-2</v>
      </c>
      <c r="AD376" s="230">
        <f>(INDEX(Models!$BJ376:$BT376,,AH376)*(1-AF376)+INDEX(Models!$BJ376:$BT376,,AH376+1)*AF376-ERP_i)*AE376*Ramure*Pc/MaxiM</f>
        <v>2.4198921359617088E-3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0</v>
      </c>
      <c r="C377" s="388"/>
      <c r="D377" s="391">
        <f t="shared" si="123"/>
        <v>0</v>
      </c>
      <c r="E377" s="383">
        <f t="shared" si="145"/>
        <v>0</v>
      </c>
      <c r="F377" s="383">
        <f t="shared" si="124"/>
        <v>0</v>
      </c>
      <c r="G377" s="110">
        <f t="shared" si="146"/>
        <v>0</v>
      </c>
      <c r="H377" s="412" t="b">
        <f>Wh_hp&gt;='2019'!Maxi_hp</f>
        <v>0</v>
      </c>
      <c r="I377" s="388">
        <f>IF(H377,Wh_hp,'2019'!Maxi_hp)</f>
        <v>25.022994124609578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1.3552771212245407E-2</v>
      </c>
      <c r="M377" s="832"/>
      <c r="N377" s="832"/>
      <c r="O377" s="48">
        <f>IF(t&lt;Tnet,'2019'!Resal+('2019'!Salim-'2019'!Resal)*(1-EXP(('2019'!Tnet-t)/('2019'!Tau_j))),Resal+(Salim-Resal)*(1-EXP((Tnet-t)/(Tau_j))))*Salcycl</f>
        <v>4.7841217034262216E-2</v>
      </c>
      <c r="P377" s="169">
        <f>(INDEX(Models!$BJ377:$BT377,,T377)*(1-R377)+INDEX(Models!$BJ377:$BT377,,T377+1)*R377-ERP_i)*Q377*Ramure*Pc/MaxiM</f>
        <v>2.3714746982835349E-3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23.066291136892399</v>
      </c>
      <c r="W377" s="58"/>
      <c r="X377" s="157">
        <f t="shared" si="132"/>
        <v>44193</v>
      </c>
      <c r="Y377" s="383">
        <f t="shared" si="133"/>
        <v>0</v>
      </c>
      <c r="Z377" s="383">
        <f t="shared" si="134"/>
        <v>0</v>
      </c>
      <c r="AA377" s="384">
        <f t="shared" si="135"/>
        <v>0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4.7841217034262216E-2</v>
      </c>
      <c r="AD377" s="230">
        <f>(INDEX(Models!$BJ377:$BT377,,AH377)*(1-AF377)+INDEX(Models!$BJ377:$BT377,,AH377+1)*AF377-ERP_i)*AE377*Ramure*Pc/MaxiM</f>
        <v>2.3714746982835349E-3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7.5250000000000004</v>
      </c>
      <c r="C378" s="388"/>
      <c r="D378" s="391">
        <f t="shared" si="123"/>
        <v>7.6285319660939424</v>
      </c>
      <c r="E378" s="383">
        <f t="shared" si="145"/>
        <v>8.0122092136919996</v>
      </c>
      <c r="F378" s="383">
        <f t="shared" si="124"/>
        <v>8.0128627260106882</v>
      </c>
      <c r="G378" s="110">
        <f t="shared" si="146"/>
        <v>0.32389552751688094</v>
      </c>
      <c r="H378" s="412" t="b">
        <f>Wh_hp&gt;='2019'!Maxi_hp</f>
        <v>0</v>
      </c>
      <c r="I378" s="388">
        <f>IF(H378,Wh_hp,'2019'!Maxi_hp)</f>
        <v>25.027651179472095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1.3571676248340325E-2</v>
      </c>
      <c r="M378" s="832"/>
      <c r="N378" s="832"/>
      <c r="O378" s="48">
        <f>IF(t&lt;Tnet,'2019'!Resal+('2019'!Salim-'2019'!Resal)*(1-EXP(('2019'!Tnet-t)/('2019'!Tau_j))),Resal+(Salim-Resal)*(1-EXP((Tnet-t)/(Tau_j))))*Salcycl</f>
        <v>4.7886573773235346E-2</v>
      </c>
      <c r="P378" s="169">
        <f>(INDEX(Models!$BJ378:$BT378,,T378)*(1-R378)+INDEX(Models!$BJ378:$BT378,,T378+1)*R378-ERP_i)*Q378*Ramure*Pc/MaxiM</f>
        <v>2.3186976439272581E-3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23.180820704592687</v>
      </c>
      <c r="W378" s="58"/>
      <c r="X378" s="157">
        <f t="shared" si="132"/>
        <v>44194</v>
      </c>
      <c r="Y378" s="383">
        <f t="shared" si="133"/>
        <v>7.5249999999999995</v>
      </c>
      <c r="Z378" s="383">
        <f t="shared" si="134"/>
        <v>7.6285319660939415</v>
      </c>
      <c r="AA378" s="384">
        <f t="shared" si="135"/>
        <v>8.0122092136919996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4.7886573773235346E-2</v>
      </c>
      <c r="AD378" s="230">
        <f>(INDEX(Models!$BJ378:$BT378,,AH378)*(1-AF378)+INDEX(Models!$BJ378:$BT378,,AH378+1)*AF378-ERP_i)*AE378*Ramure*Pc/MaxiM</f>
        <v>2.3186976439272581E-3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12.071</v>
      </c>
      <c r="C379" s="388"/>
      <c r="D379" s="391">
        <f t="shared" si="123"/>
        <v>12.237312181471589</v>
      </c>
      <c r="E379" s="383">
        <f t="shared" si="145"/>
        <v>12.853401861476339</v>
      </c>
      <c r="F379" s="383">
        <f t="shared" si="124"/>
        <v>12.862458710507871</v>
      </c>
      <c r="G379" s="110">
        <f t="shared" si="146"/>
        <v>0.51711999031532863</v>
      </c>
      <c r="H379" s="412" t="b">
        <f>Wh_hp&gt;='2019'!Maxi_hp</f>
        <v>0</v>
      </c>
      <c r="I379" s="388">
        <f>IF(H379,Wh_hp,'2019'!Maxi_hp)</f>
        <v>17.949954639040605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1.3590580922124507E-2</v>
      </c>
      <c r="M379" s="832"/>
      <c r="N379" s="832"/>
      <c r="O379" s="48">
        <f>IF(t&lt;Tnet,'2019'!Resal+('2019'!Salim-'2019'!Resal)*(1-EXP(('2019'!Tnet-t)/('2019'!Tau_j))),Resal+(Salim-Resal)*(1-EXP((Tnet-t)/(Tau_j))))*Salcycl</f>
        <v>4.7932032830255378E-2</v>
      </c>
      <c r="P379" s="169">
        <f>(INDEX(Models!$BJ379:$BT379,,T379)*(1-R379)+INDEX(Models!$BJ379:$BT379,,T379+1)*R379-ERP_i)*Q379*Ramure*Pc/MaxiM</f>
        <v>2.2617238558164409E-3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23.306360743555675</v>
      </c>
      <c r="W379" s="58"/>
      <c r="X379" s="157">
        <f t="shared" si="132"/>
        <v>44195</v>
      </c>
      <c r="Y379" s="383">
        <f t="shared" si="133"/>
        <v>12.071</v>
      </c>
      <c r="Z379" s="383">
        <f t="shared" si="134"/>
        <v>12.237312181471589</v>
      </c>
      <c r="AA379" s="384">
        <f t="shared" si="135"/>
        <v>12.853401861476339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4.7932032830255378E-2</v>
      </c>
      <c r="AD379" s="230">
        <f>(INDEX(Models!$BJ379:$BT379,,AH379)*(1-AF379)+INDEX(Models!$BJ379:$BT379,,AH379+1)*AF379-ERP_i)*AE379*Ramure*Pc/MaxiM</f>
        <v>2.2617238558164409E-3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13.802</v>
      </c>
      <c r="C380" s="388"/>
      <c r="D380" s="391">
        <f t="shared" ref="D380" si="147">Wh/(1-Ppv)</f>
        <v>13.992429766286532</v>
      </c>
      <c r="E380" s="383">
        <f t="shared" ref="E380" si="148">Wh_pvt/(1-Psa)</f>
        <v>14.697584276498727</v>
      </c>
      <c r="F380" s="383">
        <f t="shared" ref="F380" si="149">Wh_sa/(1-Pvg*MEDIAN((-Sdif+Wh/Env_an)/Csdif,0,1))</f>
        <v>14.71093936617153</v>
      </c>
      <c r="G380" s="110">
        <f t="shared" ref="G380" si="150">+Wh_hp/MaxiM</f>
        <v>0.58799967245701612</v>
      </c>
      <c r="H380" s="412" t="b">
        <f>Wh_hp&gt;='2019'!Maxi_hp</f>
        <v>1</v>
      </c>
      <c r="I380" s="380">
        <f>IF(H380,Wh_hp,'2019'!Maxi_hp)</f>
        <v>14.71093936617153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1.3609485233605056E-2</v>
      </c>
      <c r="M380" s="832"/>
      <c r="N380" s="832"/>
      <c r="O380" s="323">
        <f>IF(t&lt;Tnet,'2020'!Resal+('2020'!Salim-'2020'!Resal)*(1-EXP(('2020'!Tnet-t)/('2020'!Tau_j))),Resal+(Salim-Resal)*(1-EXP((Tnet-t)/(Tau_j))))*Salcycl</f>
        <v>4.7977578964437655E-2</v>
      </c>
      <c r="P380" s="230">
        <f>(INDEX(Models!$BJ380:$BT380,,T380)*(1-R380)+INDEX(Models!$BJ380:$BT380,,T380+1)*R380-ERP_i)*Q380*Ramure*Pc/MaxiM</f>
        <v>2.2007213350179774E-3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23.442426924703394</v>
      </c>
      <c r="W380" s="400"/>
      <c r="X380" s="325">
        <f t="shared" ref="X380" si="156">t</f>
        <v>44196</v>
      </c>
      <c r="Y380" s="396">
        <f t="shared" ref="Y380" si="157">Wh_pvt_s*(1-Ppv)</f>
        <v>13.802</v>
      </c>
      <c r="Z380" s="396">
        <f t="shared" ref="Z380" si="158">Wh_sa_s*(1-Psa_s)</f>
        <v>13.992429766286532</v>
      </c>
      <c r="AA380" s="397">
        <f t="shared" ref="AA380" si="159">Wh_hp*(1-Pvg_s*MEDIAN((-Sdif+Wh/Env_an)/Csdif,0,1))</f>
        <v>14.697584276498727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4.7977578964437655E-2</v>
      </c>
      <c r="AD380" s="801">
        <f>(INDEX(Models!$BJ380:$BT380,,AH380)*(1-AF380)+INDEX(Models!$BJ380:$BT380,,AH380+1)*AF380-ERP_i)*AE380*Ramure*Pc/MaxiM</f>
        <v>2.2007213350179774E-3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336"/>
      <c r="I381" s="373">
        <f>MIN(I15:I380)</f>
        <v>1.1955881215288715</v>
      </c>
      <c r="J381" s="57">
        <f>MIN(J15:J380)</f>
        <v>2018</v>
      </c>
      <c r="K381" s="200" t="s">
        <v>7</v>
      </c>
      <c r="L381" s="146">
        <f t="shared" ref="L381:T381" si="164">MIN(L15:L380)</f>
        <v>6.6852877946201872E-3</v>
      </c>
      <c r="M381" s="833"/>
      <c r="N381" s="833"/>
      <c r="O381" s="47">
        <f t="shared" si="164"/>
        <v>2.7374222417962678E-2</v>
      </c>
      <c r="P381" s="168">
        <f t="shared" si="164"/>
        <v>2.7464964853399867E-5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22.600280301911681</v>
      </c>
      <c r="W381" s="793" t="s">
        <v>40</v>
      </c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65">MIN(AC15:AC380)</f>
        <v>2.7374222417962678E-2</v>
      </c>
      <c r="AD381" s="168">
        <f t="shared" si="165"/>
        <v>2.7464964853399867E-5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31.086819672131156</v>
      </c>
      <c r="C382" s="374"/>
      <c r="D382" s="374">
        <f>AVERAGE(D15:D380)</f>
        <v>31.400639006544001</v>
      </c>
      <c r="E382" s="374">
        <f>AVERAGE(E15:E380)</f>
        <v>32.67353237692722</v>
      </c>
      <c r="F382" s="375">
        <f>AVERAGE(F15:F380)</f>
        <v>32.679918117043172</v>
      </c>
      <c r="G382" s="126">
        <f>AVERAGE(G15:G380)</f>
        <v>0.66906454829603301</v>
      </c>
      <c r="H382" s="336"/>
      <c r="I382" s="375">
        <f>AVERAGE(I15:I380)</f>
        <v>38.099031311100312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1.015141180288421E-2</v>
      </c>
      <c r="M382" s="832"/>
      <c r="N382" s="832"/>
      <c r="O382" s="48">
        <f t="shared" si="166"/>
        <v>3.911050053979323E-2</v>
      </c>
      <c r="P382" s="169">
        <f t="shared" si="166"/>
        <v>5.4334048150562868E-4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44.939568716849195</v>
      </c>
      <c r="X382" s="112" t="s">
        <v>8</v>
      </c>
      <c r="Y382" s="374">
        <f>AVERAGE(Y15:Y380)</f>
        <v>31.086819672131156</v>
      </c>
      <c r="Z382" s="374">
        <f>AVERAGE(Z15:Z380)</f>
        <v>31.400639006544001</v>
      </c>
      <c r="AA382" s="374">
        <f>AVERAGE(AA15:AA380)</f>
        <v>32.67353237692722</v>
      </c>
      <c r="AB382" s="200" t="s">
        <v>8</v>
      </c>
      <c r="AC382" s="48">
        <f t="shared" ref="AC382:AH382" si="167">AVERAGE(AC15:AC380)</f>
        <v>3.911050053979323E-2</v>
      </c>
      <c r="AD382" s="169">
        <f t="shared" si="167"/>
        <v>5.4334048150562868E-4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62.137999999999998</v>
      </c>
      <c r="C383" s="376"/>
      <c r="D383" s="376">
        <f>MAX(D15:D380)</f>
        <v>62.720669561543929</v>
      </c>
      <c r="E383" s="376">
        <f>MAX(E15:E380)</f>
        <v>65.110114488501296</v>
      </c>
      <c r="F383" s="377">
        <f>MAX(F15:F380)</f>
        <v>65.112138934007149</v>
      </c>
      <c r="G383" s="127">
        <f>+MAX(G15:G380)</f>
        <v>1.0469014992264492</v>
      </c>
      <c r="H383" s="336"/>
      <c r="I383" s="377">
        <f>MAX(I15:I380)</f>
        <v>65.112138934007149</v>
      </c>
      <c r="J383" s="60">
        <f>MAX(J15:J380)</f>
        <v>2020</v>
      </c>
      <c r="K383" s="200" t="s">
        <v>9</v>
      </c>
      <c r="L383" s="148">
        <f t="shared" ref="L383:T383" si="168">MAX(L15:L380)</f>
        <v>1.3609485233605056E-2</v>
      </c>
      <c r="M383" s="834"/>
      <c r="N383" s="834"/>
      <c r="O383" s="49">
        <f t="shared" si="168"/>
        <v>4.7977578964437655E-2</v>
      </c>
      <c r="P383" s="170">
        <f t="shared" si="168"/>
        <v>2.595927435648173E-3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61.081727543479275</v>
      </c>
      <c r="X383" s="112" t="s">
        <v>9</v>
      </c>
      <c r="Y383" s="376">
        <f>MAX(Y15:Y380)</f>
        <v>62.138000000000005</v>
      </c>
      <c r="Z383" s="376">
        <f>MAX(Z15:Z380)</f>
        <v>62.720669561543936</v>
      </c>
      <c r="AA383" s="376">
        <f>MAX(AA15:AA380)</f>
        <v>65.110114488501296</v>
      </c>
      <c r="AB383" s="200" t="s">
        <v>9</v>
      </c>
      <c r="AC383" s="49">
        <f t="shared" ref="AC383:AH383" si="169">MAX(AC15:AC380)</f>
        <v>4.7977578964437655E-2</v>
      </c>
      <c r="AD383" s="170">
        <f t="shared" si="169"/>
        <v>2.595927435648173E-3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94" sqref="B9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'2020'!An+1</f>
        <v>2021</v>
      </c>
      <c r="K1" s="1279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10779.494999999999</v>
      </c>
      <c r="AK6" s="514">
        <f>SUMIF(AK15:AK380,"FAUX",Wh)</f>
        <v>10779.494999999999</v>
      </c>
      <c r="AL6" s="514">
        <f>SUMIF(AJ15:AJ380,"FAUX",Wh_s)</f>
        <v>10779.494999999999</v>
      </c>
      <c r="AM6" s="514">
        <f>SUMIF(AK15:AK380,"FAUX",Wh_s)</f>
        <v>10779.494999999999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10965.162789927856</v>
      </c>
      <c r="AK8" s="514">
        <f>SUMIF(AK15:AK380,"FAUX",Wh_sa)</f>
        <v>11722.437722782852</v>
      </c>
      <c r="AL8" s="514">
        <f>SUMIF(AJ15:AJ380,"FAUX",Wh_pvt_s)</f>
        <v>10965.162789927856</v>
      </c>
      <c r="AM8" s="514">
        <f>SUMIF(AK15:AK380,"FAUX",Wh_sa_s)</f>
        <v>11722.437722782852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10965.162789927856</v>
      </c>
      <c r="E9" s="184">
        <f>SUM(E$15:E$380)</f>
        <v>11722.437722782852</v>
      </c>
      <c r="F9" s="184">
        <f>SUM(F$15:F$380)</f>
        <v>11726.850945378214</v>
      </c>
      <c r="H9" s="1280">
        <f>+SUM(Wh)</f>
        <v>10779.494999999999</v>
      </c>
      <c r="I9" s="1281"/>
      <c r="J9" s="1282"/>
      <c r="K9" s="191"/>
      <c r="L9" s="231"/>
      <c r="M9" s="231"/>
      <c r="N9" s="231"/>
      <c r="O9" s="222">
        <f>Tnet_2021</f>
        <v>44197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10779.494999999999</v>
      </c>
      <c r="Y9" s="1275"/>
      <c r="Z9" s="514">
        <f>SUM(Z$15:Z$380)</f>
        <v>10965.162789927856</v>
      </c>
      <c r="AA9" s="514">
        <f>SUM(AA$15:AA$380)</f>
        <v>11722.437722782852</v>
      </c>
      <c r="AB9" s="514">
        <f>F9</f>
        <v>11726.850945378214</v>
      </c>
      <c r="AC9" s="324">
        <f>IF(An_Tnet,Tnet,'2020'!Tnet_s)</f>
        <v>44197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4.7997650125778057E-2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4.7997650125778057E-2</v>
      </c>
      <c r="AD10" s="426"/>
      <c r="AE10" s="426"/>
      <c r="AF10" s="259"/>
      <c r="AG10" s="260"/>
      <c r="AH10" s="261"/>
      <c r="AI10" s="521"/>
      <c r="AJ10" s="514">
        <f>SUMIF(AJ15:AJ380,"FAUX",Wh_sa)</f>
        <v>11722.437722782852</v>
      </c>
      <c r="AK10" s="514">
        <f>SUMIF(AK15:AK380,"FAUX",Wh_hp)</f>
        <v>11726.850945378214</v>
      </c>
      <c r="AL10" s="514">
        <f>SUMIF(AJ15:AJ380,"FAUX",Wh_sa_s)</f>
        <v>11722.437722782852</v>
      </c>
      <c r="AM10" s="514">
        <f>SUMIF(AK15:AK380,"FAUX",Wh_hp)</f>
        <v>11726.850945378214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185.66778992785657</v>
      </c>
      <c r="E11" s="51">
        <f>(E$9-D$9)*Prod_an/D$9</f>
        <v>744.45236324571476</v>
      </c>
      <c r="F11" s="186">
        <f>(F$9-E$9)*Prod_an/E$9</f>
        <v>4.0582267976677597</v>
      </c>
      <c r="G11" s="185" t="s">
        <v>6</v>
      </c>
      <c r="K11" s="194"/>
      <c r="L11" s="211">
        <f>Tvie_2021</f>
        <v>43481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185.66778992785657</v>
      </c>
      <c r="Z11" s="51">
        <f>(AA$9-Z$9)*Prod_an_s/Z$9</f>
        <v>744.45236324571476</v>
      </c>
      <c r="AA11" s="186">
        <f>(AB$9-AA$9)*Prod_an_s/AA$9</f>
        <v>4.0582267976677597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4.212991551600509E-2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744.45236324571476</v>
      </c>
      <c r="AK12" s="822">
        <f>IF($AK8=0,0,($AK10-$AK8)*$AK6/$AK8)</f>
        <v>4.0582267976677597</v>
      </c>
      <c r="AL12" s="821">
        <f>IF($AL8=0,0,($AL10-$AL8)*$AL6/$AL8)</f>
        <v>744.45236324571476</v>
      </c>
      <c r="AM12" s="822">
        <f>IF($AM8=0,0,($AM10-$AM8)*$AM6/$AM8)</f>
        <v>4.0582267976677597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744.45236324571476</v>
      </c>
      <c r="AK13" s="73">
        <f>+AK11+AK12</f>
        <v>4.0582267976677597</v>
      </c>
      <c r="AL13" s="73">
        <f>+AL11+AL12</f>
        <v>744.45236324571476</v>
      </c>
      <c r="AM13" s="73">
        <f>+AM11+AM12</f>
        <v>4.0582267976677597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7.2709999999999999</v>
      </c>
      <c r="C15" s="388"/>
      <c r="D15" s="391">
        <f t="shared" ref="D15:D78" si="0">Wh/(1-Ppv)</f>
        <v>7.3714611412791564</v>
      </c>
      <c r="E15" s="383">
        <f>Wh_pvt/(1-Psa)</f>
        <v>7.7433357593055598</v>
      </c>
      <c r="F15" s="383">
        <f t="shared" ref="F15:F78" si="1">Wh_sa/(1-Pvg*MEDIAN((-Sdif+Wh/Env_an)/Csdif,0,1))</f>
        <v>7.7435837268740517</v>
      </c>
      <c r="G15" s="110">
        <f>+Wh_hp/MaxiM</f>
        <v>0.30951284498120296</v>
      </c>
      <c r="H15" s="412" t="b">
        <f>Wh_hp&gt;='2020'!Maxi_hp</f>
        <v>0</v>
      </c>
      <c r="I15" s="378">
        <f>IF(H15,Wh_hp,'2020'!Maxi_hp)</f>
        <v>15.358447464851398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1.3628389182788747E-2</v>
      </c>
      <c r="M15" s="833"/>
      <c r="N15" s="833"/>
      <c r="O15" s="47">
        <f>IF(t&lt;Tnet,'2020'!Resal+('2020'!Salim-'2020'!Resal)*(1-EXP(('2020'!Tnet-t)/('2020'!Tau_j))),Resal+(Salim-Resal)*(1-EXP((Tnet-t)/(Tau_j))))*Salcycl</f>
        <v>4.8025118577546266E-2</v>
      </c>
      <c r="P15" s="301">
        <f>(INDEX(Models!$BJ15:$BT15,,T15)*(1-R15)+INDEX(Models!$BJ15:$BT15,,T15+1)*R15-ERP_i)*Q15*Ramure*Pc/MaxiM</f>
        <v>2.2007247483054916E-3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23.44080698870216</v>
      </c>
      <c r="W15" s="400"/>
      <c r="X15" s="156">
        <f t="shared" ref="X15:X78" si="7">t</f>
        <v>44197</v>
      </c>
      <c r="Y15" s="383">
        <f t="shared" ref="Y15:Y78" si="8">Wh_pvt_s*(1-Ppv)</f>
        <v>7.2709999999999999</v>
      </c>
      <c r="Z15" s="383">
        <f t="shared" ref="Z15:Z78" si="9">Wh_sa_s*(1-Psa_s)</f>
        <v>7.3714611412791564</v>
      </c>
      <c r="AA15" s="384">
        <f t="shared" ref="AA15:AA78" si="10">Wh_hp*(1-Pvg_s*MEDIAN((-Sdif+Wh/Env_an)/Csdif,0,1))</f>
        <v>7.7433357593055598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4.8025118577546266E-2</v>
      </c>
      <c r="AD15" s="230">
        <f>(INDEX(Models!$BJ15:$BT15,,AH15)*(1-AF15)+INDEX(Models!$BJ15:$BT15,,AH15+1)*AF15-ERP_i)*AE15*Ramure*Pc/MaxiM</f>
        <v>2.2007247483054916E-3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3.9809999999999999</v>
      </c>
      <c r="C16" s="388"/>
      <c r="D16" s="391">
        <f t="shared" si="0"/>
        <v>4.036081587060945</v>
      </c>
      <c r="E16" s="383">
        <f t="shared" ref="E16:E79" si="17">Wh_pvt/(1-Psa)</f>
        <v>4.2400997454728149</v>
      </c>
      <c r="F16" s="383">
        <f t="shared" si="1"/>
        <v>4.2400997454728149</v>
      </c>
      <c r="G16" s="110">
        <f t="shared" ref="G16:G79" si="18">+Wh_hp/MaxiM</f>
        <v>0.16842767315179211</v>
      </c>
      <c r="H16" s="412" t="b">
        <f>Wh_hp&gt;='2020'!Maxi_hp</f>
        <v>0</v>
      </c>
      <c r="I16" s="379">
        <f>IF(H16,Wh_hp,'2020'!Maxi_hp)</f>
        <v>24.084283353934023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1.3647292769682462E-2</v>
      </c>
      <c r="M16" s="832"/>
      <c r="N16" s="832"/>
      <c r="O16" s="48">
        <f>IF(t&lt;Tnet,'2020'!Resal+('2020'!Salim-'2020'!Resal)*(1-EXP(('2020'!Tnet-t)/('2020'!Tau_j))),Resal+(Salim-Resal)*(1-EXP((Tnet-t)/(Tau_j))))*Salcycl</f>
        <v>4.8116358260133281E-2</v>
      </c>
      <c r="P16" s="169">
        <f>(INDEX(Models!$BJ16:$BT16,,T16)*(1-R16)+INDEX(Models!$BJ16:$BT16,,T16+1)*R16-ERP_i)*Q16*Ramure*Pc/MaxiM</f>
        <v>2.1417658533829475E-3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23.58563504322457</v>
      </c>
      <c r="W16" s="400"/>
      <c r="X16" s="157">
        <f t="shared" si="7"/>
        <v>44198</v>
      </c>
      <c r="Y16" s="383">
        <f t="shared" si="8"/>
        <v>3.9809999999999994</v>
      </c>
      <c r="Z16" s="383">
        <f t="shared" si="9"/>
        <v>4.036081587060945</v>
      </c>
      <c r="AA16" s="384">
        <f t="shared" si="10"/>
        <v>4.2400997454728149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4.8116358260133281E-2</v>
      </c>
      <c r="AD16" s="230">
        <f>(INDEX(Models!$BJ16:$BT16,,AH16)*(1-AF16)+INDEX(Models!$BJ16:$BT16,,AH16+1)*AF16-ERP_i)*AE16*Ramure*Pc/MaxiM</f>
        <v>2.1417658533829475E-3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24.238</v>
      </c>
      <c r="C17" s="388"/>
      <c r="D17" s="391">
        <f t="shared" si="0"/>
        <v>24.573830787877736</v>
      </c>
      <c r="E17" s="383">
        <f t="shared" si="17"/>
        <v>25.818478007769166</v>
      </c>
      <c r="F17" s="383">
        <f t="shared" si="1"/>
        <v>25.872417420672249</v>
      </c>
      <c r="G17" s="110">
        <f t="shared" si="18"/>
        <v>1.0209828961047416</v>
      </c>
      <c r="H17" s="412" t="b">
        <f>Wh_hp&gt;='2020'!Maxi_hp</f>
        <v>1</v>
      </c>
      <c r="I17" s="379">
        <f>IF(H17,Wh_hp,'2020'!Maxi_hp)</f>
        <v>25.872417420672249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1.3666195994293306E-2</v>
      </c>
      <c r="M17" s="832"/>
      <c r="N17" s="832"/>
      <c r="O17" s="48">
        <f>IF(t&lt;Tnet,'2020'!Resal+('2020'!Salim-'2020'!Resal)*(1-EXP(('2020'!Tnet-t)/('2020'!Tau_j))),Resal+(Salim-Resal)*(1-EXP((Tnet-t)/(Tau_j))))*Salcycl</f>
        <v>4.820761392352016E-2</v>
      </c>
      <c r="P17" s="169">
        <f>(INDEX(Models!$BJ17:$BT17,,T17)*(1-R17)+INDEX(Models!$BJ17:$BT17,,T17+1)*R17-ERP_i)*Q17*Ramure*Pc/MaxiM</f>
        <v>2.0848230772585719E-3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23.73986879944113</v>
      </c>
      <c r="W17" s="400"/>
      <c r="X17" s="157">
        <f t="shared" si="7"/>
        <v>44199</v>
      </c>
      <c r="Y17" s="383">
        <f t="shared" si="8"/>
        <v>24.238</v>
      </c>
      <c r="Z17" s="383">
        <f t="shared" si="9"/>
        <v>24.573830787877736</v>
      </c>
      <c r="AA17" s="384">
        <f t="shared" si="10"/>
        <v>25.818478007769166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4.820761392352016E-2</v>
      </c>
      <c r="AD17" s="230">
        <f>(INDEX(Models!$BJ17:$BT17,,AH17)*(1-AF17)+INDEX(Models!$BJ17:$BT17,,AH17+1)*AF17-ERP_i)*AE17*Ramure*Pc/MaxiM</f>
        <v>2.0848230772585719E-3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20.452999999999999</v>
      </c>
      <c r="C18" s="388"/>
      <c r="D18" s="391">
        <f t="shared" si="0"/>
        <v>20.736784952037269</v>
      </c>
      <c r="E18" s="383">
        <f t="shared" si="17"/>
        <v>21.789177722792399</v>
      </c>
      <c r="F18" s="383">
        <f t="shared" si="1"/>
        <v>21.824345162432092</v>
      </c>
      <c r="G18" s="110">
        <f t="shared" si="18"/>
        <v>0.85530710694438783</v>
      </c>
      <c r="H18" s="412" t="b">
        <f>Wh_hp&gt;='2020'!Maxi_hp</f>
        <v>1</v>
      </c>
      <c r="I18" s="379">
        <f>IF(H18,Wh_hp,'2020'!Maxi_hp)</f>
        <v>21.824345162432092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1.3685098856628164E-2</v>
      </c>
      <c r="M18" s="832"/>
      <c r="N18" s="832"/>
      <c r="O18" s="48">
        <f>IF(t&lt;Tnet,'2020'!Resal+('2020'!Salim-'2020'!Resal)*(1-EXP(('2020'!Tnet-t)/('2020'!Tau_j))),Resal+(Salim-Resal)*(1-EXP((Tnet-t)/(Tau_j))))*Salcycl</f>
        <v>4.8298874980228557E-2</v>
      </c>
      <c r="P18" s="169">
        <f>(INDEX(Models!$BJ18:$BT18,,T18)*(1-R18)+INDEX(Models!$BJ18:$BT18,,T18+1)*R18-ERP_i)*Q18*Ramure*Pc/MaxiM</f>
        <v>2.0299431612340688E-3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23.903022976336182</v>
      </c>
      <c r="W18" s="400"/>
      <c r="X18" s="157">
        <f t="shared" si="7"/>
        <v>44200</v>
      </c>
      <c r="Y18" s="383">
        <f t="shared" si="8"/>
        <v>20.452999999999999</v>
      </c>
      <c r="Z18" s="383">
        <f>Wh_sa_s*(1-Psa_s)</f>
        <v>20.736784952037269</v>
      </c>
      <c r="AA18" s="384">
        <f t="shared" si="10"/>
        <v>21.789177722792399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4.8298874980228557E-2</v>
      </c>
      <c r="AD18" s="230">
        <f>(INDEX(Models!$BJ18:$BT18,,AH18)*(1-AF18)+INDEX(Models!$BJ18:$BT18,,AH18+1)*AF18-ERP_i)*AE18*Ramure*Pc/MaxiM</f>
        <v>2.0299431612340688E-3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3.1379999999999999</v>
      </c>
      <c r="C19" s="388"/>
      <c r="D19" s="391">
        <f t="shared" si="0"/>
        <v>3.1816006597577791</v>
      </c>
      <c r="E19" s="383">
        <f t="shared" si="17"/>
        <v>3.3433876291812741</v>
      </c>
      <c r="F19" s="383">
        <f t="shared" si="1"/>
        <v>3.3433876291812741</v>
      </c>
      <c r="G19" s="110">
        <f t="shared" si="18"/>
        <v>0.13008706434021422</v>
      </c>
      <c r="H19" s="412" t="b">
        <f>Wh_hp&gt;='2020'!Maxi_hp</f>
        <v>0</v>
      </c>
      <c r="I19" s="379">
        <f>IF(H19,Wh_hp,'2020'!Maxi_hp)</f>
        <v>14.123536657491783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1.3704001356694029E-2</v>
      </c>
      <c r="M19" s="832"/>
      <c r="N19" s="832"/>
      <c r="O19" s="48">
        <f>IF(t&lt;Tnet,'2020'!Resal+('2020'!Salim-'2020'!Resal)*(1-EXP(('2020'!Tnet-t)/('2020'!Tau_j))),Resal+(Salim-Resal)*(1-EXP((Tnet-t)/(Tau_j))))*Salcycl</f>
        <v>4.8390132215424153E-2</v>
      </c>
      <c r="P19" s="169">
        <f>(INDEX(Models!$BJ19:$BT19,,T19)*(1-R19)+INDEX(Models!$BJ19:$BT19,,T19+1)*R19-ERP_i)*Q19*Ramure*Pc/MaxiM</f>
        <v>1.9771653479888009E-3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24.074612422242737</v>
      </c>
      <c r="W19" s="400"/>
      <c r="X19" s="157">
        <f t="shared" si="7"/>
        <v>44201</v>
      </c>
      <c r="Y19" s="383">
        <f t="shared" si="8"/>
        <v>3.1379999999999999</v>
      </c>
      <c r="Z19" s="383">
        <f t="shared" si="9"/>
        <v>3.1816006597577791</v>
      </c>
      <c r="AA19" s="384">
        <f t="shared" si="10"/>
        <v>3.3433876291812741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4.8390132215424153E-2</v>
      </c>
      <c r="AD19" s="230">
        <f>(INDEX(Models!$BJ19:$BT19,,AH19)*(1-AF19)+INDEX(Models!$BJ19:$BT19,,AH19+1)*AF19-ERP_i)*AE19*Ramure*Pc/MaxiM</f>
        <v>1.9771653479888009E-3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7.3220000000000001</v>
      </c>
      <c r="C20" s="388"/>
      <c r="D20" s="391">
        <f t="shared" si="0"/>
        <v>7.4238771496800666</v>
      </c>
      <c r="E20" s="383">
        <f t="shared" si="17"/>
        <v>7.8021354244797161</v>
      </c>
      <c r="F20" s="383">
        <f t="shared" si="1"/>
        <v>7.8021759322217576</v>
      </c>
      <c r="G20" s="110">
        <f t="shared" si="18"/>
        <v>0.30130642854724998</v>
      </c>
      <c r="H20" s="412" t="b">
        <f>Wh_hp&gt;='2020'!Maxi_hp</f>
        <v>0</v>
      </c>
      <c r="I20" s="379">
        <f>IF(H20,Wh_hp,'2020'!Maxi_hp)</f>
        <v>25.97684931198668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1.3722903494497785E-2</v>
      </c>
      <c r="M20" s="832"/>
      <c r="N20" s="832"/>
      <c r="O20" s="48">
        <f>IF(t&lt;Tnet,'2020'!Resal+('2020'!Salim-'2020'!Resal)*(1-EXP(('2020'!Tnet-t)/('2020'!Tau_j))),Resal+(Salim-Resal)*(1-EXP((Tnet-t)/(Tau_j))))*Salcycl</f>
        <v>4.84813777536902E-2</v>
      </c>
      <c r="P20" s="169">
        <f>(INDEX(Models!$BJ20:$BT20,,T20)*(1-R20)+INDEX(Models!$BJ20:$BT20,,T20+1)*R20-ERP_i)*Q20*Ramure*Pc/MaxiM</f>
        <v>1.9265216254794428E-3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24.2541521121668</v>
      </c>
      <c r="W20" s="400"/>
      <c r="X20" s="157">
        <f t="shared" si="7"/>
        <v>44202</v>
      </c>
      <c r="Y20" s="383">
        <f t="shared" si="8"/>
        <v>7.3220000000000001</v>
      </c>
      <c r="Z20" s="383">
        <f t="shared" si="9"/>
        <v>7.4238771496800666</v>
      </c>
      <c r="AA20" s="384">
        <f t="shared" si="10"/>
        <v>7.8021354244797161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4.84813777536902E-2</v>
      </c>
      <c r="AD20" s="230">
        <f>(INDEX(Models!$BJ20:$BT20,,AH20)*(1-AF20)+INDEX(Models!$BJ20:$BT20,,AH20+1)*AF20-ERP_i)*AE20*Ramure*Pc/MaxiM</f>
        <v>1.9265216254794428E-3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14.141999999999999</v>
      </c>
      <c r="C21" s="388"/>
      <c r="D21" s="391">
        <f t="shared" si="0"/>
        <v>14.339044355288937</v>
      </c>
      <c r="E21" s="383">
        <f t="shared" si="17"/>
        <v>15.0710862761188</v>
      </c>
      <c r="F21" s="383">
        <f t="shared" si="1"/>
        <v>15.082360291680677</v>
      </c>
      <c r="G21" s="110">
        <f t="shared" si="18"/>
        <v>0.57795953955448076</v>
      </c>
      <c r="H21" s="412" t="b">
        <f>Wh_hp&gt;='2020'!Maxi_hp</f>
        <v>1</v>
      </c>
      <c r="I21" s="379">
        <f>IF(H21,Wh_hp,'2020'!Maxi_hp)</f>
        <v>15.082360291680677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1.3741805270046314E-2</v>
      </c>
      <c r="M21" s="832"/>
      <c r="N21" s="832"/>
      <c r="O21" s="48">
        <f>IF(t&lt;Tnet,'2020'!Resal+('2020'!Salim-'2020'!Resal)*(1-EXP(('2020'!Tnet-t)/('2020'!Tau_j))),Resal+(Salim-Resal)*(1-EXP((Tnet-t)/(Tau_j))))*Salcycl</f>
        <v>4.8572605014532623E-2</v>
      </c>
      <c r="P21" s="169">
        <f>(INDEX(Models!$BJ21:$BT21,,T21)*(1-R21)+INDEX(Models!$BJ21:$BT21,,T21+1)*R21-ERP_i)*Q21*Ramure*Pc/MaxiM</f>
        <v>1.8780370244152213E-3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24.441157162281776</v>
      </c>
      <c r="W21" s="400"/>
      <c r="X21" s="157">
        <f t="shared" si="7"/>
        <v>44203</v>
      </c>
      <c r="Y21" s="383">
        <f t="shared" si="8"/>
        <v>14.141999999999999</v>
      </c>
      <c r="Z21" s="383">
        <f t="shared" si="9"/>
        <v>14.339044355288937</v>
      </c>
      <c r="AA21" s="384">
        <f t="shared" si="10"/>
        <v>15.0710862761188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4.8572605014532623E-2</v>
      </c>
      <c r="AD21" s="230">
        <f>(INDEX(Models!$BJ21:$BT21,,AH21)*(1-AF21)+INDEX(Models!$BJ21:$BT21,,AH21+1)*AF21-ERP_i)*AE21*Ramure*Pc/MaxiM</f>
        <v>1.8780370244152213E-3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19.067</v>
      </c>
      <c r="C22" s="388"/>
      <c r="D22" s="391">
        <f t="shared" si="0"/>
        <v>19.333036241011062</v>
      </c>
      <c r="E22" s="383">
        <f t="shared" si="17"/>
        <v>20.321981248003286</v>
      </c>
      <c r="F22" s="383">
        <f t="shared" si="1"/>
        <v>20.347217475948305</v>
      </c>
      <c r="G22" s="110">
        <f t="shared" si="18"/>
        <v>0.7735172849248938</v>
      </c>
      <c r="H22" s="412" t="b">
        <f>Wh_hp&gt;='2020'!Maxi_hp</f>
        <v>1</v>
      </c>
      <c r="I22" s="379">
        <f>IF(H22,Wh_hp,'2020'!Maxi_hp)</f>
        <v>20.347217475948305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1.3760706683346613E-2</v>
      </c>
      <c r="M22" s="832"/>
      <c r="N22" s="832"/>
      <c r="O22" s="48">
        <f>IF(t&lt;Tnet,'2020'!Resal+('2020'!Salim-'2020'!Resal)*(1-EXP(('2020'!Tnet-t)/('2020'!Tau_j))),Resal+(Salim-Resal)*(1-EXP((Tnet-t)/(Tau_j))))*Salcycl</f>
        <v>4.8663808657406042E-2</v>
      </c>
      <c r="P22" s="169">
        <f>(INDEX(Models!$BJ22:$BT22,,T22)*(1-R22)+INDEX(Models!$BJ22:$BT22,,T22+1)*R22-ERP_i)*Q22*Ramure*Pc/MaxiM</f>
        <v>1.8317299624115418E-3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24.635142837727134</v>
      </c>
      <c r="W22" s="400"/>
      <c r="X22" s="157">
        <f t="shared" si="7"/>
        <v>44204</v>
      </c>
      <c r="Y22" s="383">
        <f t="shared" si="8"/>
        <v>19.067</v>
      </c>
      <c r="Z22" s="383">
        <f t="shared" si="9"/>
        <v>19.333036241011062</v>
      </c>
      <c r="AA22" s="384">
        <f t="shared" si="10"/>
        <v>20.321981248003286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4.8663808657406042E-2</v>
      </c>
      <c r="AD22" s="230">
        <f>(INDEX(Models!$BJ22:$BT22,,AH22)*(1-AF22)+INDEX(Models!$BJ22:$BT22,,AH22+1)*AF22-ERP_i)*AE22*Ramure*Pc/MaxiM</f>
        <v>1.8317299624115418E-3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5.9809999999999999</v>
      </c>
      <c r="C23" s="388"/>
      <c r="D23" s="391">
        <f t="shared" si="0"/>
        <v>6.0645673592898959</v>
      </c>
      <c r="E23" s="383">
        <f t="shared" si="17"/>
        <v>6.37539988181849</v>
      </c>
      <c r="F23" s="383">
        <f t="shared" si="1"/>
        <v>6.37539988181849</v>
      </c>
      <c r="G23" s="110">
        <f t="shared" si="18"/>
        <v>0.24036382355590261</v>
      </c>
      <c r="H23" s="412" t="b">
        <f>Wh_hp&gt;='2020'!Maxi_hp</f>
        <v>0</v>
      </c>
      <c r="I23" s="379">
        <f>IF(H23,Wh_hp,'2020'!Maxi_hp)</f>
        <v>25.649292652260151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1.3779607734405785E-2</v>
      </c>
      <c r="M23" s="832"/>
      <c r="N23" s="832"/>
      <c r="O23" s="48">
        <f>IF(t&lt;Tnet,'2020'!Resal+('2020'!Salim-'2020'!Resal)*(1-EXP(('2020'!Tnet-t)/('2020'!Tau_j))),Resal+(Salim-Resal)*(1-EXP((Tnet-t)/(Tau_j))))*Salcycl</f>
        <v>4.8754984517133358E-2</v>
      </c>
      <c r="P23" s="169">
        <f>(INDEX(Models!$BJ23:$BT23,,T23)*(1-R23)+INDEX(Models!$BJ23:$BT23,,T23+1)*R23-ERP_i)*Q23*Ramure*Pc/MaxiM</f>
        <v>1.7873962640021254E-3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24.838636258240662</v>
      </c>
      <c r="W23" s="400"/>
      <c r="X23" s="157">
        <f t="shared" si="7"/>
        <v>44205</v>
      </c>
      <c r="Y23" s="383">
        <f t="shared" si="8"/>
        <v>5.9809999999999999</v>
      </c>
      <c r="Z23" s="383">
        <f t="shared" si="9"/>
        <v>6.0645673592898959</v>
      </c>
      <c r="AA23" s="384">
        <f t="shared" si="10"/>
        <v>6.37539988181849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4.8754984517133358E-2</v>
      </c>
      <c r="AD23" s="230">
        <f>(INDEX(Models!$BJ23:$BT23,,AH23)*(1-AF23)+INDEX(Models!$BJ23:$BT23,,AH23+1)*AF23-ERP_i)*AE23*Ramure*Pc/MaxiM</f>
        <v>1.7873962640021254E-3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5.3769999999999998</v>
      </c>
      <c r="C24" s="388"/>
      <c r="D24" s="391">
        <f t="shared" si="0"/>
        <v>5.4522326785402502</v>
      </c>
      <c r="E24" s="383">
        <f t="shared" si="17"/>
        <v>5.7322299239027661</v>
      </c>
      <c r="F24" s="383">
        <f t="shared" si="1"/>
        <v>5.7322299239027661</v>
      </c>
      <c r="G24" s="110">
        <f t="shared" si="18"/>
        <v>0.21424234202872772</v>
      </c>
      <c r="H24" s="412" t="b">
        <f>Wh_hp&gt;='2020'!Maxi_hp</f>
        <v>0</v>
      </c>
      <c r="I24" s="379">
        <f>IF(H24,Wh_hp,'2020'!Maxi_hp)</f>
        <v>9.0351524420219071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1.3798508423230493E-2</v>
      </c>
      <c r="M24" s="832"/>
      <c r="N24" s="832"/>
      <c r="O24" s="48">
        <f>IF(t&lt;Tnet,'2020'!Resal+('2020'!Salim-'2020'!Resal)*(1-EXP(('2020'!Tnet-t)/('2020'!Tau_j))),Resal+(Salim-Resal)*(1-EXP((Tnet-t)/(Tau_j))))*Salcycl</f>
        <v>4.884612953066636E-2</v>
      </c>
      <c r="P24" s="169">
        <f>(INDEX(Models!$BJ24:$BT24,,T24)*(1-R24)+INDEX(Models!$BJ24:$BT24,,T24+1)*R24-ERP_i)*Q24*Ramure*Pc/MaxiM</f>
        <v>1.7458627300713601E-3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25.053929327287989</v>
      </c>
      <c r="W24" s="400"/>
      <c r="X24" s="157">
        <f t="shared" si="7"/>
        <v>44206</v>
      </c>
      <c r="Y24" s="383">
        <f t="shared" si="8"/>
        <v>5.3769999999999998</v>
      </c>
      <c r="Z24" s="383">
        <f t="shared" si="9"/>
        <v>5.4522326785402502</v>
      </c>
      <c r="AA24" s="384">
        <f t="shared" si="10"/>
        <v>5.7322299239027661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4.884612953066636E-2</v>
      </c>
      <c r="AD24" s="230">
        <f>(INDEX(Models!$BJ24:$BT24,,AH24)*(1-AF24)+INDEX(Models!$BJ24:$BT24,,AH24+1)*AF24-ERP_i)*AE24*Ramure*Pc/MaxiM</f>
        <v>1.7458627300713601E-3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4.9489999999999998</v>
      </c>
      <c r="C25" s="388"/>
      <c r="D25" s="391">
        <f t="shared" si="0"/>
        <v>5.0183404614009772</v>
      </c>
      <c r="E25" s="383">
        <f t="shared" si="17"/>
        <v>5.2765607919923259</v>
      </c>
      <c r="F25" s="383">
        <f t="shared" si="1"/>
        <v>5.2765607919923259</v>
      </c>
      <c r="G25" s="110">
        <f t="shared" si="18"/>
        <v>0.1954314799022929</v>
      </c>
      <c r="H25" s="412" t="b">
        <f>Wh_hp&gt;='2020'!Maxi_hp</f>
        <v>0</v>
      </c>
      <c r="I25" s="379">
        <f>IF(H25,Wh_hp,'2020'!Maxi_hp)</f>
        <v>27.27128998791828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1.3817408749827842E-2</v>
      </c>
      <c r="M25" s="832"/>
      <c r="N25" s="832"/>
      <c r="O25" s="48">
        <f>IF(t&lt;Tnet,'2020'!Resal+('2020'!Salim-'2020'!Resal)*(1-EXP(('2020'!Tnet-t)/('2020'!Tau_j))),Resal+(Salim-Resal)*(1-EXP((Tnet-t)/(Tau_j))))*Salcycl</f>
        <v>4.8937241656198054E-2</v>
      </c>
      <c r="P25" s="169">
        <f>(INDEX(Models!$BJ25:$BT25,,T25)*(1-R25)+INDEX(Models!$BJ25:$BT25,,T25+1)*R25-ERP_i)*Q25*Ramure*Pc/MaxiM</f>
        <v>1.708254742373174E-3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25.280194622432631</v>
      </c>
      <c r="W25" s="400"/>
      <c r="X25" s="157">
        <f t="shared" si="7"/>
        <v>44207</v>
      </c>
      <c r="Y25" s="383">
        <f t="shared" si="8"/>
        <v>4.9489999999999998</v>
      </c>
      <c r="Z25" s="383">
        <f t="shared" si="9"/>
        <v>5.0183404614009772</v>
      </c>
      <c r="AA25" s="384">
        <f t="shared" si="10"/>
        <v>5.2765607919923259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4.8937241656198054E-2</v>
      </c>
      <c r="AD25" s="230">
        <f>(INDEX(Models!$BJ25:$BT25,,AH25)*(1-AF25)+INDEX(Models!$BJ25:$BT25,,AH25+1)*AF25-ERP_i)*AE25*Ramure*Pc/MaxiM</f>
        <v>1.708254742373174E-3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11.261000000000001</v>
      </c>
      <c r="C26" s="388"/>
      <c r="D26" s="391">
        <f t="shared" si="0"/>
        <v>11.418996764439287</v>
      </c>
      <c r="E26" s="383">
        <f t="shared" si="17"/>
        <v>12.007714847897388</v>
      </c>
      <c r="F26" s="383">
        <f t="shared" si="1"/>
        <v>12.011775670922304</v>
      </c>
      <c r="G26" s="110">
        <f t="shared" si="18"/>
        <v>0.440729966146156</v>
      </c>
      <c r="H26" s="412" t="b">
        <f>Wh_hp&gt;='2020'!Maxi_hp</f>
        <v>0</v>
      </c>
      <c r="I26" s="379">
        <f>IF(H26,Wh_hp,'2020'!Maxi_hp)</f>
        <v>27.37093962937724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1.3836308714204715E-2</v>
      </c>
      <c r="M26" s="832"/>
      <c r="N26" s="832"/>
      <c r="O26" s="48">
        <f>IF(t&lt;Tnet,'2020'!Resal+('2020'!Salim-'2020'!Resal)*(1-EXP(('2020'!Tnet-t)/('2020'!Tau_j))),Resal+(Salim-Resal)*(1-EXP((Tnet-t)/(Tau_j))))*Salcycl</f>
        <v>4.9028319785690867E-2</v>
      </c>
      <c r="P26" s="169">
        <f>(INDEX(Models!$BJ26:$BT26,,T26)*(1-R26)+INDEX(Models!$BJ26:$BT26,,T26+1)*R26-ERP_i)*Q26*Ramure*Pc/MaxiM</f>
        <v>1.6745622763593801E-3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25.516632714932733</v>
      </c>
      <c r="W26" s="400"/>
      <c r="X26" s="157">
        <f t="shared" si="7"/>
        <v>44208</v>
      </c>
      <c r="Y26" s="383">
        <f t="shared" si="8"/>
        <v>11.261000000000001</v>
      </c>
      <c r="Z26" s="383">
        <f t="shared" si="9"/>
        <v>11.418996764439287</v>
      </c>
      <c r="AA26" s="384">
        <f t="shared" si="10"/>
        <v>12.007714847897388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4.9028319785690867E-2</v>
      </c>
      <c r="AD26" s="230">
        <f>(INDEX(Models!$BJ26:$BT26,,AH26)*(1-AF26)+INDEX(Models!$BJ26:$BT26,,AH26+1)*AF26-ERP_i)*AE26*Ramure*Pc/MaxiM</f>
        <v>1.6745622763593801E-3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9.327</v>
      </c>
      <c r="C27" s="388"/>
      <c r="D27" s="391">
        <f t="shared" si="0"/>
        <v>9.4580431582223703</v>
      </c>
      <c r="E27" s="383">
        <f t="shared" si="17"/>
        <v>9.9466145346556623</v>
      </c>
      <c r="F27" s="383">
        <f t="shared" si="1"/>
        <v>9.9480646615944384</v>
      </c>
      <c r="G27" s="110">
        <f t="shared" si="18"/>
        <v>0.36149585323969941</v>
      </c>
      <c r="H27" s="412" t="b">
        <f>Wh_hp&gt;='2020'!Maxi_hp</f>
        <v>0</v>
      </c>
      <c r="I27" s="379">
        <f>IF(H27,Wh_hp,'2020'!Maxi_hp)</f>
        <v>16.17097757884445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1.3855208316368106E-2</v>
      </c>
      <c r="M27" s="832"/>
      <c r="N27" s="832"/>
      <c r="O27" s="48">
        <f>IF(t&lt;Tnet,'2020'!Resal+('2020'!Salim-'2020'!Resal)*(1-EXP(('2020'!Tnet-t)/('2020'!Tau_j))),Resal+(Salim-Resal)*(1-EXP((Tnet-t)/(Tau_j))))*Salcycl</f>
        <v>4.9119363651926776E-2</v>
      </c>
      <c r="P27" s="169">
        <f>(INDEX(Models!$BJ27:$BT27,,T27)*(1-R27)+INDEX(Models!$BJ27:$BT27,,T27+1)*R27-ERP_i)*Q27*Ramure*Pc/MaxiM</f>
        <v>1.6447628644422224E-3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25.762444491345288</v>
      </c>
      <c r="W27" s="400"/>
      <c r="X27" s="157">
        <f t="shared" si="7"/>
        <v>44209</v>
      </c>
      <c r="Y27" s="383">
        <f t="shared" si="8"/>
        <v>9.327</v>
      </c>
      <c r="Z27" s="383">
        <f t="shared" si="9"/>
        <v>9.4580431582223703</v>
      </c>
      <c r="AA27" s="384">
        <f t="shared" si="10"/>
        <v>9.9466145346556623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4.9119363651926776E-2</v>
      </c>
      <c r="AD27" s="230">
        <f>(INDEX(Models!$BJ27:$BT27,,AH27)*(1-AF27)+INDEX(Models!$BJ27:$BT27,,AH27+1)*AF27-ERP_i)*AE27*Ramure*Pc/MaxiM</f>
        <v>1.6447628644422224E-3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11.311999999999999</v>
      </c>
      <c r="C28" s="388"/>
      <c r="D28" s="391">
        <f t="shared" si="0"/>
        <v>11.47115199659572</v>
      </c>
      <c r="E28" s="383">
        <f t="shared" si="17"/>
        <v>12.064868694047863</v>
      </c>
      <c r="F28" s="383">
        <f t="shared" si="1"/>
        <v>12.068630831418272</v>
      </c>
      <c r="G28" s="110">
        <f t="shared" si="18"/>
        <v>0.43422696102202296</v>
      </c>
      <c r="H28" s="412" t="b">
        <f>Wh_hp&gt;='2020'!Maxi_hp</f>
        <v>0</v>
      </c>
      <c r="I28" s="379">
        <f>IF(H28,Wh_hp,'2020'!Maxi_hp)</f>
        <v>27.13739332527097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1.387410755632501E-2</v>
      </c>
      <c r="M28" s="832"/>
      <c r="N28" s="832"/>
      <c r="O28" s="48">
        <f>IF(t&lt;Tnet,'2020'!Resal+('2020'!Salim-'2020'!Resal)*(1-EXP(('2020'!Tnet-t)/('2020'!Tau_j))),Resal+(Salim-Resal)*(1-EXP((Tnet-t)/(Tau_j))))*Salcycl</f>
        <v>4.9210373731215944E-2</v>
      </c>
      <c r="P28" s="169">
        <f>(INDEX(Models!$BJ28:$BT28,,T28)*(1-R28)+INDEX(Models!$BJ28:$BT28,,T28+1)*R28-ERP_i)*Q28*Ramure*Pc/MaxiM</f>
        <v>1.6188232412535902E-3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26.016831170953047</v>
      </c>
      <c r="W28" s="400"/>
      <c r="X28" s="157">
        <f t="shared" si="7"/>
        <v>44210</v>
      </c>
      <c r="Y28" s="383">
        <f t="shared" si="8"/>
        <v>11.311999999999999</v>
      </c>
      <c r="Z28" s="383">
        <f t="shared" si="9"/>
        <v>11.47115199659572</v>
      </c>
      <c r="AA28" s="384">
        <f t="shared" si="10"/>
        <v>12.064868694047863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4.9210373731215944E-2</v>
      </c>
      <c r="AD28" s="230">
        <f>(INDEX(Models!$BJ28:$BT28,,AH28)*(1-AF28)+INDEX(Models!$BJ28:$BT28,,AH28+1)*AF28-ERP_i)*AE28*Ramure*Pc/MaxiM</f>
        <v>1.6188232412535902E-3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18.644000000000002</v>
      </c>
      <c r="C29" s="388"/>
      <c r="D29" s="391">
        <f t="shared" si="0"/>
        <v>18.906670494831772</v>
      </c>
      <c r="E29" s="383">
        <f t="shared" si="17"/>
        <v>19.887133023236292</v>
      </c>
      <c r="F29" s="383">
        <f t="shared" si="1"/>
        <v>19.905724729475075</v>
      </c>
      <c r="G29" s="110">
        <f t="shared" si="18"/>
        <v>0.70899337365086568</v>
      </c>
      <c r="H29" s="412" t="b">
        <f>Wh_hp&gt;='2020'!Maxi_hp</f>
        <v>0</v>
      </c>
      <c r="I29" s="379">
        <f>IF(H29,Wh_hp,'2020'!Maxi_hp)</f>
        <v>23.429667161752757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1.38930064340822E-2</v>
      </c>
      <c r="M29" s="832"/>
      <c r="N29" s="832"/>
      <c r="O29" s="48">
        <f>IF(t&lt;Tnet,'2020'!Resal+('2020'!Salim-'2020'!Resal)*(1-EXP(('2020'!Tnet-t)/('2020'!Tau_j))),Resal+(Salim-Resal)*(1-EXP((Tnet-t)/(Tau_j))))*Salcycl</f>
        <v>4.9301351142919371E-2</v>
      </c>
      <c r="P29" s="169">
        <f>(INDEX(Models!$BJ29:$BT29,,T29)*(1-R29)+INDEX(Models!$BJ29:$BT29,,T29+1)*R29-ERP_i)*Q29*Ramure*Pc/MaxiM</f>
        <v>1.5967009608356978E-3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26.278994303078921</v>
      </c>
      <c r="W29" s="400"/>
      <c r="X29" s="157">
        <f t="shared" si="7"/>
        <v>44211</v>
      </c>
      <c r="Y29" s="383">
        <f t="shared" si="8"/>
        <v>18.644000000000002</v>
      </c>
      <c r="Z29" s="383">
        <f t="shared" si="9"/>
        <v>18.906670494831772</v>
      </c>
      <c r="AA29" s="384">
        <f t="shared" si="10"/>
        <v>19.887133023236292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4.9301351142919371E-2</v>
      </c>
      <c r="AD29" s="230">
        <f>(INDEX(Models!$BJ29:$BT29,,AH29)*(1-AF29)+INDEX(Models!$BJ29:$BT29,,AH29+1)*AF29-ERP_i)*AE29*Ramure*Pc/MaxiM</f>
        <v>1.5967009608356978E-3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18.02</v>
      </c>
      <c r="C30" s="388"/>
      <c r="D30" s="391">
        <f t="shared" si="0"/>
        <v>18.274229341628782</v>
      </c>
      <c r="E30" s="383">
        <f t="shared" si="17"/>
        <v>19.223733717359931</v>
      </c>
      <c r="F30" s="383">
        <f t="shared" si="1"/>
        <v>19.240142994653283</v>
      </c>
      <c r="G30" s="110">
        <f t="shared" si="18"/>
        <v>0.67827420559889018</v>
      </c>
      <c r="H30" s="412" t="b">
        <f>Wh_hp&gt;='2020'!Maxi_hp</f>
        <v>0</v>
      </c>
      <c r="I30" s="379">
        <f>IF(H30,Wh_hp,'2020'!Maxi_hp)</f>
        <v>24.71919313908694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1.391190494964667E-2</v>
      </c>
      <c r="M30" s="832"/>
      <c r="N30" s="832"/>
      <c r="O30" s="48">
        <f>IF(t&lt;Tnet,'2020'!Resal+('2020'!Salim-'2020'!Resal)*(1-EXP(('2020'!Tnet-t)/('2020'!Tau_j))),Resal+(Salim-Resal)*(1-EXP((Tnet-t)/(Tau_j))))*Salcycl</f>
        <v>4.9392297546948565E-2</v>
      </c>
      <c r="P30" s="169">
        <f>(INDEX(Models!$BJ30:$BT30,,T30)*(1-R30)+INDEX(Models!$BJ30:$BT30,,T30+1)*R30-ERP_i)*Q30*Ramure*Pc/MaxiM</f>
        <v>1.5761904032887955E-3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26.548193093959384</v>
      </c>
      <c r="W30" s="400"/>
      <c r="X30" s="157">
        <f t="shared" si="7"/>
        <v>44212</v>
      </c>
      <c r="Y30" s="383">
        <f t="shared" si="8"/>
        <v>18.02</v>
      </c>
      <c r="Z30" s="383">
        <f t="shared" si="9"/>
        <v>18.274229341628782</v>
      </c>
      <c r="AA30" s="384">
        <f t="shared" si="10"/>
        <v>19.223733717359931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4.9392297546948565E-2</v>
      </c>
      <c r="AD30" s="230">
        <f>(INDEX(Models!$BJ30:$BT30,,AH30)*(1-AF30)+INDEX(Models!$BJ30:$BT30,,AH30+1)*AF30-ERP_i)*AE30*Ramure*Pc/MaxiM</f>
        <v>1.5761904032887955E-3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7.2480000000000002</v>
      </c>
      <c r="C31" s="388"/>
      <c r="D31" s="391">
        <f t="shared" si="0"/>
        <v>7.3503969323942675</v>
      </c>
      <c r="E31" s="383">
        <f t="shared" si="17"/>
        <v>7.7330532702867414</v>
      </c>
      <c r="F31" s="383">
        <f t="shared" si="1"/>
        <v>7.7330532702867414</v>
      </c>
      <c r="G31" s="110">
        <f t="shared" si="18"/>
        <v>0.26978871751475036</v>
      </c>
      <c r="H31" s="412" t="b">
        <f>Wh_hp&gt;='2020'!Maxi_hp</f>
        <v>1</v>
      </c>
      <c r="I31" s="379">
        <f>IF(H31,Wh_hp,'2020'!Maxi_hp)</f>
        <v>7.7330532702867414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1.3930803103025524E-2</v>
      </c>
      <c r="M31" s="832"/>
      <c r="N31" s="832"/>
      <c r="O31" s="48">
        <f>IF(t&lt;Tnet,'2020'!Resal+('2020'!Salim-'2020'!Resal)*(1-EXP(('2020'!Tnet-t)/('2020'!Tau_j))),Resal+(Salim-Resal)*(1-EXP((Tnet-t)/(Tau_j))))*Salcycl</f>
        <v>4.9483215040400833E-2</v>
      </c>
      <c r="P31" s="169">
        <f>(INDEX(Models!$BJ31:$BT31,,T31)*(1-R31)+INDEX(Models!$BJ31:$BT31,,T31+1)*R31-ERP_i)*Q31*Ramure*Pc/MaxiM</f>
        <v>1.5545176897769858E-3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26.823704573149307</v>
      </c>
      <c r="W31" s="400"/>
      <c r="X31" s="157">
        <f t="shared" si="7"/>
        <v>44213</v>
      </c>
      <c r="Y31" s="383">
        <f t="shared" si="8"/>
        <v>7.2480000000000002</v>
      </c>
      <c r="Z31" s="383">
        <f t="shared" si="9"/>
        <v>7.3503969323942675</v>
      </c>
      <c r="AA31" s="384">
        <f t="shared" si="10"/>
        <v>7.7330532702867414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4.9483215040400833E-2</v>
      </c>
      <c r="AD31" s="230">
        <f>(INDEX(Models!$BJ31:$BT31,,AH31)*(1-AF31)+INDEX(Models!$BJ31:$BT31,,AH31+1)*AF31-ERP_i)*AE31*Ramure*Pc/MaxiM</f>
        <v>1.5545176897769858E-3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27.198</v>
      </c>
      <c r="C32" s="388"/>
      <c r="D32" s="391">
        <f t="shared" si="0"/>
        <v>27.58277141101749</v>
      </c>
      <c r="E32" s="383">
        <f t="shared" si="17"/>
        <v>29.021485616845354</v>
      </c>
      <c r="F32" s="383">
        <f t="shared" si="1"/>
        <v>29.066008249734857</v>
      </c>
      <c r="G32" s="110">
        <f t="shared" si="18"/>
        <v>1.0034410499833828</v>
      </c>
      <c r="H32" s="412" t="b">
        <f>Wh_hp&gt;='2020'!Maxi_hp</f>
        <v>1</v>
      </c>
      <c r="I32" s="379">
        <f>IF(H32,Wh_hp,'2020'!Maxi_hp)</f>
        <v>29.066008249734857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1.3949700894225536E-2</v>
      </c>
      <c r="M32" s="832"/>
      <c r="N32" s="832"/>
      <c r="O32" s="48">
        <f>IF(t&lt;Tnet,'2020'!Resal+('2020'!Salim-'2020'!Resal)*(1-EXP(('2020'!Tnet-t)/('2020'!Tau_j))),Resal+(Salim-Resal)*(1-EXP((Tnet-t)/(Tau_j))))*Salcycl</f>
        <v>4.9574106054473273E-2</v>
      </c>
      <c r="P32" s="169">
        <f>(INDEX(Models!$BJ32:$BT32,,T32)*(1-R32)+INDEX(Models!$BJ32:$BT32,,T32+1)*R32-ERP_i)*Q32*Ramure*Pc/MaxiM</f>
        <v>1.5317766549492087E-3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27.10473126493121</v>
      </c>
      <c r="W32" s="400"/>
      <c r="X32" s="157">
        <f t="shared" si="7"/>
        <v>44214</v>
      </c>
      <c r="Y32" s="383">
        <f t="shared" si="8"/>
        <v>27.198</v>
      </c>
      <c r="Z32" s="383">
        <f t="shared" si="9"/>
        <v>27.58277141101749</v>
      </c>
      <c r="AA32" s="384">
        <f t="shared" si="10"/>
        <v>29.021485616845354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4.9574106054473273E-2</v>
      </c>
      <c r="AD32" s="230">
        <f>(INDEX(Models!$BJ32:$BT32,,AH32)*(1-AF32)+INDEX(Models!$BJ32:$BT32,,AH32+1)*AF32-ERP_i)*AE32*Ramure*Pc/MaxiM</f>
        <v>1.5317766549492087E-3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28.507999999999999</v>
      </c>
      <c r="C33" s="388"/>
      <c r="D33" s="391">
        <f t="shared" si="0"/>
        <v>28.911858133039317</v>
      </c>
      <c r="E33" s="383">
        <f t="shared" si="17"/>
        <v>30.422805978221991</v>
      </c>
      <c r="F33" s="383">
        <f t="shared" si="1"/>
        <v>30.468754573897851</v>
      </c>
      <c r="G33" s="110">
        <f t="shared" si="18"/>
        <v>1.0407997272110978</v>
      </c>
      <c r="H33" s="412" t="b">
        <f>Wh_hp&gt;='2020'!Maxi_hp</f>
        <v>1</v>
      </c>
      <c r="I33" s="379">
        <f>IF(H33,Wh_hp,'2020'!Maxi_hp)</f>
        <v>30.468754573897851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1.3968598323253589E-2</v>
      </c>
      <c r="M33" s="832"/>
      <c r="N33" s="832"/>
      <c r="O33" s="48">
        <f>IF(t&lt;Tnet,'2020'!Resal+('2020'!Salim-'2020'!Resal)*(1-EXP(('2020'!Tnet-t)/('2020'!Tau_j))),Resal+(Salim-Resal)*(1-EXP((Tnet-t)/(Tau_j))))*Salcycl</f>
        <v>4.9664973252772235E-2</v>
      </c>
      <c r="P33" s="169">
        <f>(INDEX(Models!$BJ33:$BT33,,T33)*(1-R33)+INDEX(Models!$BJ33:$BT33,,T33+1)*R33-ERP_i)*Q33*Ramure*Pc/MaxiM</f>
        <v>1.508056247078149E-3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27.390476049017963</v>
      </c>
      <c r="W33" s="400"/>
      <c r="X33" s="157">
        <f t="shared" si="7"/>
        <v>44215</v>
      </c>
      <c r="Y33" s="383">
        <f t="shared" si="8"/>
        <v>28.507999999999999</v>
      </c>
      <c r="Z33" s="383">
        <f t="shared" si="9"/>
        <v>28.911858133039317</v>
      </c>
      <c r="AA33" s="384">
        <f t="shared" si="10"/>
        <v>30.422805978221991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4.9664973252772235E-2</v>
      </c>
      <c r="AD33" s="230">
        <f>(INDEX(Models!$BJ33:$BT33,,AH33)*(1-AF33)+INDEX(Models!$BJ33:$BT33,,AH33+1)*AF33-ERP_i)*AE33*Ramure*Pc/MaxiM</f>
        <v>1.508056247078149E-3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6.585</v>
      </c>
      <c r="C34" s="388"/>
      <c r="D34" s="391">
        <f t="shared" si="0"/>
        <v>6.6784142890818226</v>
      </c>
      <c r="E34" s="383">
        <f t="shared" si="17"/>
        <v>7.0281033292837884</v>
      </c>
      <c r="F34" s="383">
        <f t="shared" si="1"/>
        <v>7.0281033292837884</v>
      </c>
      <c r="G34" s="110">
        <f t="shared" si="18"/>
        <v>0.23754327229967254</v>
      </c>
      <c r="H34" s="412" t="b">
        <f>Wh_hp&gt;='2020'!Maxi_hp</f>
        <v>0</v>
      </c>
      <c r="I34" s="379">
        <f>IF(H34,Wh_hp,'2020'!Maxi_hp)</f>
        <v>12.26188245483894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1.39874953901169E-2</v>
      </c>
      <c r="M34" s="832"/>
      <c r="N34" s="832"/>
      <c r="O34" s="48">
        <f>IF(t&lt;Tnet,'2020'!Resal+('2020'!Salim-'2020'!Resal)*(1-EXP(('2020'!Tnet-t)/('2020'!Tau_j))),Resal+(Salim-Resal)*(1-EXP((Tnet-t)/(Tau_j))))*Salcycl</f>
        <v>4.9755819432097309E-2</v>
      </c>
      <c r="P34" s="169">
        <f>(INDEX(Models!$BJ34:$BT34,,T34)*(1-R34)+INDEX(Models!$BJ34:$BT34,,T34+1)*R34-ERP_i)*Q34*Ramure*Pc/MaxiM</f>
        <v>1.4834485482928404E-3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27.680141928054745</v>
      </c>
      <c r="W34" s="400"/>
      <c r="X34" s="157">
        <f t="shared" si="7"/>
        <v>44216</v>
      </c>
      <c r="Y34" s="383">
        <f t="shared" si="8"/>
        <v>6.585</v>
      </c>
      <c r="Z34" s="383">
        <f t="shared" si="9"/>
        <v>6.6784142890818226</v>
      </c>
      <c r="AA34" s="384">
        <f t="shared" si="10"/>
        <v>7.0281033292837884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4.9755819432097309E-2</v>
      </c>
      <c r="AD34" s="230">
        <f>(INDEX(Models!$BJ34:$BT34,,AH34)*(1-AF34)+INDEX(Models!$BJ34:$BT34,,AH34+1)*AF34-ERP_i)*AE34*Ramure*Pc/MaxiM</f>
        <v>1.4834485482928404E-3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12.764000000000001</v>
      </c>
      <c r="C35" s="388"/>
      <c r="D35" s="391">
        <f t="shared" si="0"/>
        <v>12.945317188331614</v>
      </c>
      <c r="E35" s="383">
        <f t="shared" si="17"/>
        <v>13.624450361904476</v>
      </c>
      <c r="F35" s="383">
        <f t="shared" si="1"/>
        <v>13.628887336468116</v>
      </c>
      <c r="G35" s="110">
        <f t="shared" si="18"/>
        <v>0.45578133025533624</v>
      </c>
      <c r="H35" s="412" t="b">
        <f>Wh_hp&gt;='2020'!Maxi_hp</f>
        <v>1</v>
      </c>
      <c r="I35" s="379">
        <f>IF(H35,Wh_hp,'2020'!Maxi_hp)</f>
        <v>13.628887336468116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1.4006392094822129E-2</v>
      </c>
      <c r="M35" s="832"/>
      <c r="N35" s="832"/>
      <c r="O35" s="48">
        <f>IF(t&lt;Tnet,'2020'!Resal+('2020'!Salim-'2020'!Resal)*(1-EXP(('2020'!Tnet-t)/('2020'!Tau_j))),Resal+(Salim-Resal)*(1-EXP((Tnet-t)/(Tau_j))))*Salcycl</f>
        <v>4.9846647426731894E-2</v>
      </c>
      <c r="P35" s="169">
        <f>(INDEX(Models!$BJ35:$BT35,,T35)*(1-R35)+INDEX(Models!$BJ35:$BT35,,T35+1)*R35-ERP_i)*Q35*Ramure*Pc/MaxiM</f>
        <v>1.4580434334285771E-3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27.972932159728817</v>
      </c>
      <c r="W35" s="400"/>
      <c r="X35" s="157">
        <f t="shared" si="7"/>
        <v>44217</v>
      </c>
      <c r="Y35" s="383">
        <f t="shared" si="8"/>
        <v>12.764000000000001</v>
      </c>
      <c r="Z35" s="383">
        <f t="shared" si="9"/>
        <v>12.945317188331614</v>
      </c>
      <c r="AA35" s="384">
        <f t="shared" si="10"/>
        <v>13.624450361904476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4.9846647426731894E-2</v>
      </c>
      <c r="AD35" s="230">
        <f>(INDEX(Models!$BJ35:$BT35,,AH35)*(1-AF35)+INDEX(Models!$BJ35:$BT35,,AH35+1)*AF35-ERP_i)*AE35*Ramure*Pc/MaxiM</f>
        <v>1.4580434334285771E-3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6.1520000000000001</v>
      </c>
      <c r="C36" s="388"/>
      <c r="D36" s="391">
        <f t="shared" si="0"/>
        <v>6.239510940650792</v>
      </c>
      <c r="E36" s="383">
        <f t="shared" si="17"/>
        <v>6.56747390625869</v>
      </c>
      <c r="F36" s="383">
        <f t="shared" si="1"/>
        <v>6.56747390625869</v>
      </c>
      <c r="G36" s="110">
        <f t="shared" si="18"/>
        <v>0.21731922497728376</v>
      </c>
      <c r="H36" s="412" t="b">
        <f>Wh_hp&gt;='2020'!Maxi_hp</f>
        <v>1</v>
      </c>
      <c r="I36" s="379">
        <f>IF(H36,Wh_hp,'2020'!Maxi_hp)</f>
        <v>6.56747390625869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1.4025288437376271E-2</v>
      </c>
      <c r="M36" s="832"/>
      <c r="N36" s="832"/>
      <c r="O36" s="48">
        <f>IF(t&lt;Tnet,'2020'!Resal+('2020'!Salim-'2020'!Resal)*(1-EXP(('2020'!Tnet-t)/('2020'!Tau_j))),Resal+(Salim-Resal)*(1-EXP((Tnet-t)/(Tau_j))))*Salcycl</f>
        <v>4.9937460017215336E-2</v>
      </c>
      <c r="P36" s="169">
        <f>(INDEX(Models!$BJ36:$BT36,,T36)*(1-R36)+INDEX(Models!$BJ36:$BT36,,T36+1)*R36-ERP_i)*Q36*Ramure*Pc/MaxiM</f>
        <v>1.4319183071223422E-3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28.268050556579738</v>
      </c>
      <c r="W36" s="400"/>
      <c r="X36" s="157">
        <f t="shared" si="7"/>
        <v>44218</v>
      </c>
      <c r="Y36" s="383">
        <f t="shared" si="8"/>
        <v>6.1520000000000001</v>
      </c>
      <c r="Z36" s="383">
        <f t="shared" si="9"/>
        <v>6.239510940650792</v>
      </c>
      <c r="AA36" s="384">
        <f t="shared" si="10"/>
        <v>6.56747390625869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4.9937460017215336E-2</v>
      </c>
      <c r="AD36" s="230">
        <f>(INDEX(Models!$BJ36:$BT36,,AH36)*(1-AF36)+INDEX(Models!$BJ36:$BT36,,AH36+1)*AF36-ERP_i)*AE36*Ramure*Pc/MaxiM</f>
        <v>1.4319183071223422E-3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8.3109999999999999</v>
      </c>
      <c r="C37" s="388"/>
      <c r="D37" s="391">
        <f t="shared" si="0"/>
        <v>8.4293838209091536</v>
      </c>
      <c r="E37" s="383">
        <f t="shared" si="17"/>
        <v>8.8732995568156685</v>
      </c>
      <c r="F37" s="383">
        <f t="shared" si="1"/>
        <v>8.8732995568156685</v>
      </c>
      <c r="G37" s="110">
        <f t="shared" si="18"/>
        <v>0.29050413385128526</v>
      </c>
      <c r="H37" s="412" t="b">
        <f>Wh_hp&gt;='2020'!Maxi_hp</f>
        <v>0</v>
      </c>
      <c r="I37" s="379">
        <f>IF(H37,Wh_hp,'2020'!Maxi_hp)</f>
        <v>14.136466257593549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1.4044184417786432E-2</v>
      </c>
      <c r="M37" s="832"/>
      <c r="N37" s="832"/>
      <c r="O37" s="48">
        <f>IF(t&lt;Tnet,'2020'!Resal+('2020'!Salim-'2020'!Resal)*(1-EXP(('2020'!Tnet-t)/('2020'!Tau_j))),Resal+(Salim-Resal)*(1-EXP((Tnet-t)/(Tau_j))))*Salcycl</f>
        <v>5.0028259844506123E-2</v>
      </c>
      <c r="P37" s="169">
        <f>(INDEX(Models!$BJ37:$BT37,,T37)*(1-R37)+INDEX(Models!$BJ37:$BT37,,T37+1)*R37-ERP_i)*Q37*Ramure*Pc/MaxiM</f>
        <v>1.4049485995555862E-3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28.568693196075753</v>
      </c>
      <c r="W37" s="400"/>
      <c r="X37" s="157">
        <f t="shared" si="7"/>
        <v>44219</v>
      </c>
      <c r="Y37" s="383">
        <f t="shared" si="8"/>
        <v>8.3109999999999999</v>
      </c>
      <c r="Z37" s="383">
        <f t="shared" si="9"/>
        <v>8.4293838209091536</v>
      </c>
      <c r="AA37" s="384">
        <f t="shared" si="10"/>
        <v>8.8732995568156685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5.0028259844506123E-2</v>
      </c>
      <c r="AD37" s="230">
        <f>(INDEX(Models!$BJ37:$BT37,,AH37)*(1-AF37)+INDEX(Models!$BJ37:$BT37,,AH37+1)*AF37-ERP_i)*AE37*Ramure*Pc/MaxiM</f>
        <v>1.4049485995555862E-3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15.914</v>
      </c>
      <c r="C38" s="388"/>
      <c r="D38" s="391">
        <f t="shared" si="0"/>
        <v>16.140992063246838</v>
      </c>
      <c r="E38" s="383">
        <f t="shared" si="17"/>
        <v>16.992647396358546</v>
      </c>
      <c r="F38" s="383">
        <f t="shared" si="1"/>
        <v>17.001045690637202</v>
      </c>
      <c r="G38" s="110">
        <f t="shared" si="18"/>
        <v>0.55059069356081036</v>
      </c>
      <c r="H38" s="412" t="b">
        <f>Wh_hp&gt;='2020'!Maxi_hp</f>
        <v>1</v>
      </c>
      <c r="I38" s="379">
        <f>IF(H38,Wh_hp,'2020'!Maxi_hp)</f>
        <v>17.001045690637202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1.4063080036059383E-2</v>
      </c>
      <c r="M38" s="832"/>
      <c r="N38" s="832"/>
      <c r="O38" s="48">
        <f>IF(t&lt;Tnet,'2020'!Resal+('2020'!Salim-'2020'!Resal)*(1-EXP(('2020'!Tnet-t)/('2020'!Tau_j))),Resal+(Salim-Resal)*(1-EXP((Tnet-t)/(Tau_j))))*Salcycl</f>
        <v>5.0119049330371861E-2</v>
      </c>
      <c r="P38" s="169">
        <f>(INDEX(Models!$BJ38:$BT38,,T38)*(1-R38)+INDEX(Models!$BJ38:$BT38,,T38+1)*R38-ERP_i)*Q38*Ramure*Pc/MaxiM</f>
        <v>1.3772266183017605E-3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28.87796209165359</v>
      </c>
      <c r="W38" s="400"/>
      <c r="X38" s="157">
        <f t="shared" si="7"/>
        <v>44220</v>
      </c>
      <c r="Y38" s="383">
        <f t="shared" si="8"/>
        <v>15.913999999999998</v>
      </c>
      <c r="Z38" s="383">
        <f t="shared" si="9"/>
        <v>16.140992063246838</v>
      </c>
      <c r="AA38" s="384">
        <f t="shared" si="10"/>
        <v>16.992647396358546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5.0119049330371861E-2</v>
      </c>
      <c r="AD38" s="230">
        <f>(INDEX(Models!$BJ38:$BT38,,AH38)*(1-AF38)+INDEX(Models!$BJ38:$BT38,,AH38+1)*AF38-ERP_i)*AE38*Ramure*Pc/MaxiM</f>
        <v>1.3772266183017605E-3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8.1129999999999995</v>
      </c>
      <c r="C39" s="388"/>
      <c r="D39" s="391">
        <f t="shared" si="0"/>
        <v>8.2288788689145793</v>
      </c>
      <c r="E39" s="383">
        <f t="shared" si="17"/>
        <v>8.6638913878779782</v>
      </c>
      <c r="F39" s="383">
        <f t="shared" si="1"/>
        <v>8.6638913878779782</v>
      </c>
      <c r="G39" s="110">
        <f t="shared" si="18"/>
        <v>0.2775158932115166</v>
      </c>
      <c r="H39" s="412" t="b">
        <f>Wh_hp&gt;='2020'!Maxi_hp</f>
        <v>0</v>
      </c>
      <c r="I39" s="379">
        <f>IF(H39,Wh_hp,'2020'!Maxi_hp)</f>
        <v>16.938515203837024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1.408197529220212E-2</v>
      </c>
      <c r="M39" s="832"/>
      <c r="N39" s="832"/>
      <c r="O39" s="48">
        <f>IF(t&lt;Tnet,'2020'!Resal+('2020'!Salim-'2020'!Resal)*(1-EXP(('2020'!Tnet-t)/('2020'!Tau_j))),Resal+(Salim-Resal)*(1-EXP((Tnet-t)/(Tau_j))))*Salcycl</f>
        <v>5.0209830604760669E-2</v>
      </c>
      <c r="P39" s="169">
        <f>(INDEX(Models!$BJ39:$BT39,,T39)*(1-R39)+INDEX(Models!$BJ39:$BT39,,T39+1)*R39-ERP_i)*Q39*Ramure*Pc/MaxiM</f>
        <v>1.3479928553488223E-3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29.194953990578615</v>
      </c>
      <c r="W39" s="400"/>
      <c r="X39" s="157">
        <f t="shared" si="7"/>
        <v>44221</v>
      </c>
      <c r="Y39" s="383">
        <f t="shared" si="8"/>
        <v>8.1129999999999995</v>
      </c>
      <c r="Z39" s="383">
        <f t="shared" si="9"/>
        <v>8.2288788689145793</v>
      </c>
      <c r="AA39" s="384">
        <f t="shared" si="10"/>
        <v>8.6638913878779782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5.0209830604760669E-2</v>
      </c>
      <c r="AD39" s="230">
        <f>(INDEX(Models!$BJ39:$BT39,,AH39)*(1-AF39)+INDEX(Models!$BJ39:$BT39,,AH39+1)*AF39-ERP_i)*AE39*Ramure*Pc/MaxiM</f>
        <v>1.3479928553488223E-3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18.086000000000002</v>
      </c>
      <c r="C40" s="388"/>
      <c r="D40" s="391">
        <f t="shared" si="0"/>
        <v>18.344675893380874</v>
      </c>
      <c r="E40" s="383">
        <f t="shared" si="17"/>
        <v>19.316297344693922</v>
      </c>
      <c r="F40" s="383">
        <f t="shared" si="1"/>
        <v>19.327671218938356</v>
      </c>
      <c r="G40" s="110">
        <f t="shared" si="18"/>
        <v>0.61224865652444882</v>
      </c>
      <c r="H40" s="412" t="b">
        <f>Wh_hp&gt;='2020'!Maxi_hp</f>
        <v>1</v>
      </c>
      <c r="I40" s="379">
        <f>IF(H40,Wh_hp,'2020'!Maxi_hp)</f>
        <v>19.327671218938356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1.4100870186221637E-2</v>
      </c>
      <c r="M40" s="832"/>
      <c r="N40" s="832"/>
      <c r="O40" s="48">
        <f>IF(t&lt;Tnet,'2020'!Resal+('2020'!Salim-'2020'!Resal)*(1-EXP(('2020'!Tnet-t)/('2020'!Tau_j))),Resal+(Salim-Resal)*(1-EXP((Tnet-t)/(Tau_j))))*Salcycl</f>
        <v>5.0300605440822148E-2</v>
      </c>
      <c r="P40" s="169">
        <f>(INDEX(Models!$BJ40:$BT40,,T40)*(1-R40)+INDEX(Models!$BJ40:$BT40,,T40+1)*R40-ERP_i)*Q40*Ramure*Pc/MaxiM</f>
        <v>1.3173624943684686E-3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29.51874113139851</v>
      </c>
      <c r="W40" s="400"/>
      <c r="X40" s="157">
        <f t="shared" si="7"/>
        <v>44222</v>
      </c>
      <c r="Y40" s="383">
        <f t="shared" si="8"/>
        <v>18.086000000000002</v>
      </c>
      <c r="Z40" s="383">
        <f t="shared" si="9"/>
        <v>18.344675893380874</v>
      </c>
      <c r="AA40" s="384">
        <f t="shared" si="10"/>
        <v>19.316297344693922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5.0300605440822148E-2</v>
      </c>
      <c r="AD40" s="230">
        <f>(INDEX(Models!$BJ40:$BT40,,AH40)*(1-AF40)+INDEX(Models!$BJ40:$BT40,,AH40+1)*AF40-ERP_i)*AE40*Ramure*Pc/MaxiM</f>
        <v>1.3173624943684686E-3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5.4720000000000004</v>
      </c>
      <c r="C41" s="388"/>
      <c r="D41" s="391">
        <f t="shared" si="0"/>
        <v>5.5503699173312757</v>
      </c>
      <c r="E41" s="383">
        <f t="shared" si="17"/>
        <v>5.8449025970983159</v>
      </c>
      <c r="F41" s="383">
        <f t="shared" si="1"/>
        <v>5.8449025970983159</v>
      </c>
      <c r="G41" s="110">
        <f t="shared" si="18"/>
        <v>0.18309077702421564</v>
      </c>
      <c r="H41" s="412" t="b">
        <f>Wh_hp&gt;='2020'!Maxi_hp</f>
        <v>0</v>
      </c>
      <c r="I41" s="379">
        <f>IF(H41,Wh_hp,'2020'!Maxi_hp)</f>
        <v>11.453166380846145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1.4119764718124816E-2</v>
      </c>
      <c r="M41" s="832"/>
      <c r="N41" s="832"/>
      <c r="O41" s="48">
        <f>IF(t&lt;Tnet,'2020'!Resal+('2020'!Salim-'2020'!Resal)*(1-EXP(('2020'!Tnet-t)/('2020'!Tau_j))),Resal+(Salim-Resal)*(1-EXP((Tnet-t)/(Tau_j))))*Salcycl</f>
        <v>5.039137519815301E-2</v>
      </c>
      <c r="P41" s="169">
        <f>(INDEX(Models!$BJ41:$BT41,,T41)*(1-R41)+INDEX(Models!$BJ41:$BT41,,T41+1)*R41-ERP_i)*Q41*Ramure*Pc/MaxiM</f>
        <v>1.285443464012097E-3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29.848396200984656</v>
      </c>
      <c r="W41" s="400"/>
      <c r="X41" s="157">
        <f t="shared" si="7"/>
        <v>44223</v>
      </c>
      <c r="Y41" s="383">
        <f t="shared" si="8"/>
        <v>5.4720000000000004</v>
      </c>
      <c r="Z41" s="383">
        <f t="shared" si="9"/>
        <v>5.5503699173312757</v>
      </c>
      <c r="AA41" s="384">
        <f t="shared" si="10"/>
        <v>5.8449025970983159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5.039137519815301E-2</v>
      </c>
      <c r="AD41" s="230">
        <f>(INDEX(Models!$BJ41:$BT41,,AH41)*(1-AF41)+INDEX(Models!$BJ41:$BT41,,AH41+1)*AF41-ERP_i)*AE41*Ramure*Pc/MaxiM</f>
        <v>1.285443464012097E-3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17.283000000000001</v>
      </c>
      <c r="C42" s="388"/>
      <c r="D42" s="391">
        <f t="shared" si="0"/>
        <v>17.530862890418497</v>
      </c>
      <c r="E42" s="383">
        <f t="shared" si="17"/>
        <v>18.462910118112546</v>
      </c>
      <c r="F42" s="383">
        <f t="shared" si="1"/>
        <v>18.471919028830147</v>
      </c>
      <c r="G42" s="110">
        <f t="shared" si="18"/>
        <v>0.57216919695989787</v>
      </c>
      <c r="H42" s="412" t="b">
        <f>Wh_hp&gt;='2020'!Maxi_hp</f>
        <v>1</v>
      </c>
      <c r="I42" s="379">
        <f>IF(H42,Wh_hp,'2020'!Maxi_hp)</f>
        <v>18.471919028830147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1.4138658887918543E-2</v>
      </c>
      <c r="M42" s="832"/>
      <c r="N42" s="832"/>
      <c r="O42" s="48">
        <f>IF(t&lt;Tnet,'2020'!Resal+('2020'!Salim-'2020'!Resal)*(1-EXP(('2020'!Tnet-t)/('2020'!Tau_j))),Resal+(Salim-Resal)*(1-EXP((Tnet-t)/(Tau_j))))*Salcycl</f>
        <v>5.0482140774746567E-2</v>
      </c>
      <c r="P42" s="169">
        <f>(INDEX(Models!$BJ42:$BT42,,T42)*(1-R42)+INDEX(Models!$BJ42:$BT42,,T42+1)*R42-ERP_i)*Q42*Ramure*Pc/MaxiM</f>
        <v>1.2523361518526409E-3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30.182992343321413</v>
      </c>
      <c r="W42" s="400"/>
      <c r="X42" s="157">
        <f t="shared" si="7"/>
        <v>44224</v>
      </c>
      <c r="Y42" s="383">
        <f t="shared" si="8"/>
        <v>17.283000000000001</v>
      </c>
      <c r="Z42" s="383">
        <f t="shared" si="9"/>
        <v>17.530862890418497</v>
      </c>
      <c r="AA42" s="384">
        <f t="shared" si="10"/>
        <v>18.462910118112546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5.0482140774746567E-2</v>
      </c>
      <c r="AD42" s="230">
        <f>(INDEX(Models!$BJ42:$BT42,,AH42)*(1-AF42)+INDEX(Models!$BJ42:$BT42,,AH42+1)*AF42-ERP_i)*AE42*Ramure*Pc/MaxiM</f>
        <v>1.2523361518526409E-3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15.524000000000001</v>
      </c>
      <c r="C43" s="388"/>
      <c r="D43" s="391">
        <f t="shared" si="0"/>
        <v>15.746938106030635</v>
      </c>
      <c r="E43" s="383">
        <f t="shared" si="17"/>
        <v>16.585726432943815</v>
      </c>
      <c r="F43" s="383">
        <f t="shared" si="1"/>
        <v>16.591749973769669</v>
      </c>
      <c r="G43" s="110">
        <f t="shared" si="18"/>
        <v>0.50818827243542608</v>
      </c>
      <c r="H43" s="412" t="b">
        <f>Wh_hp&gt;='2020'!Maxi_hp</f>
        <v>0</v>
      </c>
      <c r="I43" s="379">
        <f>IF(H43,Wh_hp,'2020'!Maxi_hp)</f>
        <v>19.775703807846384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1.415755269560981E-2</v>
      </c>
      <c r="M43" s="832"/>
      <c r="N43" s="832"/>
      <c r="O43" s="48">
        <f>IF(t&lt;Tnet,'2020'!Resal+('2020'!Salim-'2020'!Resal)*(1-EXP(('2020'!Tnet-t)/('2020'!Tau_j))),Resal+(Salim-Resal)*(1-EXP((Tnet-t)/(Tau_j))))*Salcycl</f>
        <v>5.057290256802479E-2</v>
      </c>
      <c r="P43" s="169">
        <f>(INDEX(Models!$BJ43:$BT43,,T43)*(1-R43)+INDEX(Models!$BJ43:$BT43,,T43+1)*R43-ERP_i)*Q43*Ramure*Pc/MaxiM</f>
        <v>1.2181332330750329E-3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30.521603154393933</v>
      </c>
      <c r="W43" s="400"/>
      <c r="X43" s="157">
        <f t="shared" si="7"/>
        <v>44225</v>
      </c>
      <c r="Y43" s="383">
        <f t="shared" si="8"/>
        <v>15.523999999999999</v>
      </c>
      <c r="Z43" s="383">
        <f t="shared" si="9"/>
        <v>15.746938106030633</v>
      </c>
      <c r="AA43" s="384">
        <f t="shared" si="10"/>
        <v>16.585726432943815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5.057290256802479E-2</v>
      </c>
      <c r="AD43" s="230">
        <f>(INDEX(Models!$BJ43:$BT43,,AH43)*(1-AF43)+INDEX(Models!$BJ43:$BT43,,AH43+1)*AF43-ERP_i)*AE43*Ramure*Pc/MaxiM</f>
        <v>1.2181332330750329E-3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8.702</v>
      </c>
      <c r="C44" s="388"/>
      <c r="D44" s="391">
        <f t="shared" si="0"/>
        <v>8.8271374384775978</v>
      </c>
      <c r="E44" s="383">
        <f t="shared" si="17"/>
        <v>9.2982192619082191</v>
      </c>
      <c r="F44" s="383">
        <f t="shared" si="1"/>
        <v>9.2982192619082191</v>
      </c>
      <c r="G44" s="110">
        <f t="shared" si="18"/>
        <v>0.28161944691704666</v>
      </c>
      <c r="H44" s="412" t="b">
        <f>Wh_hp&gt;='2020'!Maxi_hp</f>
        <v>0</v>
      </c>
      <c r="I44" s="379">
        <f>IF(H44,Wh_hp,'2020'!Maxi_hp)</f>
        <v>11.80160840972839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1.4176446141205612E-2</v>
      </c>
      <c r="M44" s="832"/>
      <c r="N44" s="832"/>
      <c r="O44" s="48">
        <f>IF(t&lt;Tnet,'2020'!Resal+('2020'!Salim-'2020'!Resal)*(1-EXP(('2020'!Tnet-t)/('2020'!Tau_j))),Resal+(Salim-Resal)*(1-EXP((Tnet-t)/(Tau_j))))*Salcycl</f>
        <v>5.0663660445230574E-2</v>
      </c>
      <c r="P44" s="169">
        <f>(INDEX(Models!$BJ44:$BT44,,T44)*(1-R44)+INDEX(Models!$BJ44:$BT44,,T44+1)*R44-ERP_i)*Q44*Ramure*Pc/MaxiM</f>
        <v>1.1834728301184519E-3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30.863285595445838</v>
      </c>
      <c r="W44" s="400"/>
      <c r="X44" s="157">
        <f t="shared" si="7"/>
        <v>44226</v>
      </c>
      <c r="Y44" s="383">
        <f t="shared" si="8"/>
        <v>8.702</v>
      </c>
      <c r="Z44" s="383">
        <f t="shared" si="9"/>
        <v>8.8271374384775978</v>
      </c>
      <c r="AA44" s="384">
        <f t="shared" si="10"/>
        <v>9.2982192619082191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5.0663660445230574E-2</v>
      </c>
      <c r="AD44" s="230">
        <f>(INDEX(Models!$BJ44:$BT44,,AH44)*(1-AF44)+INDEX(Models!$BJ44:$BT44,,AH44+1)*AF44-ERP_i)*AE44*Ramure*Pc/MaxiM</f>
        <v>1.1834728301184519E-3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8.58</v>
      </c>
      <c r="C45" s="388"/>
      <c r="D45" s="391">
        <f t="shared" si="0"/>
        <v>8.7035498424731017</v>
      </c>
      <c r="E45" s="383">
        <f t="shared" si="17"/>
        <v>9.1689126273551711</v>
      </c>
      <c r="F45" s="383">
        <f t="shared" si="1"/>
        <v>9.1689126273551711</v>
      </c>
      <c r="G45" s="110">
        <f t="shared" si="18"/>
        <v>0.27462156733551452</v>
      </c>
      <c r="H45" s="412" t="b">
        <f>Wh_hp&gt;='2020'!Maxi_hp</f>
        <v>0</v>
      </c>
      <c r="I45" s="379">
        <f>IF(H45,Wh_hp,'2020'!Maxi_hp)</f>
        <v>23.12427848668732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1.4195339224712833E-2</v>
      </c>
      <c r="M45" s="832"/>
      <c r="N45" s="832"/>
      <c r="O45" s="48">
        <f>IF(t&lt;Tnet,'2020'!Resal+('2020'!Salim-'2020'!Resal)*(1-EXP(('2020'!Tnet-t)/('2020'!Tau_j))),Resal+(Salim-Resal)*(1-EXP((Tnet-t)/(Tau_j))))*Salcycl</f>
        <v>5.0754413723354069E-2</v>
      </c>
      <c r="P45" s="169">
        <f>(INDEX(Models!$BJ45:$BT45,,T45)*(1-R45)+INDEX(Models!$BJ45:$BT45,,T45+1)*R45-ERP_i)*Q45*Ramure*Pc/MaxiM</f>
        <v>1.150245712609233E-3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31.207056950903613</v>
      </c>
      <c r="W45" s="400"/>
      <c r="X45" s="157">
        <f t="shared" si="7"/>
        <v>44227</v>
      </c>
      <c r="Y45" s="383">
        <f t="shared" si="8"/>
        <v>8.58</v>
      </c>
      <c r="Z45" s="383">
        <f t="shared" si="9"/>
        <v>8.7035498424731017</v>
      </c>
      <c r="AA45" s="384">
        <f t="shared" si="10"/>
        <v>9.1689126273551711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5.0754413723354069E-2</v>
      </c>
      <c r="AD45" s="230">
        <f>(INDEX(Models!$BJ45:$BT45,,AH45)*(1-AF45)+INDEX(Models!$BJ45:$BT45,,AH45+1)*AF45-ERP_i)*AE45*Ramure*Pc/MaxiM</f>
        <v>1.150245712609233E-3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7.7250000000000005</v>
      </c>
      <c r="C46" s="388"/>
      <c r="D46" s="391">
        <f t="shared" si="0"/>
        <v>7.8363882400642648</v>
      </c>
      <c r="E46" s="383">
        <f t="shared" si="17"/>
        <v>8.2561747771632312</v>
      </c>
      <c r="F46" s="383">
        <f t="shared" si="1"/>
        <v>8.2561747771632312</v>
      </c>
      <c r="G46" s="110">
        <f t="shared" si="18"/>
        <v>0.24456015244475887</v>
      </c>
      <c r="H46" s="412" t="b">
        <f>Wh_hp&gt;='2020'!Maxi_hp</f>
        <v>0</v>
      </c>
      <c r="I46" s="379">
        <f>IF(H46,Wh_hp,'2020'!Maxi_hp)</f>
        <v>12.408751534589424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1.4214231946138356E-2</v>
      </c>
      <c r="M46" s="832"/>
      <c r="N46" s="832"/>
      <c r="O46" s="48">
        <f>IF(t&lt;Tnet,'2020'!Resal+('2020'!Salim-'2020'!Resal)*(1-EXP(('2020'!Tnet-t)/('2020'!Tau_j))),Resal+(Salim-Resal)*(1-EXP((Tnet-t)/(Tau_j))))*Salcycl</f>
        <v>5.084516115866463E-2</v>
      </c>
      <c r="P46" s="169">
        <f>(INDEX(Models!$BJ46:$BT46,,T46)*(1-R46)+INDEX(Models!$BJ46:$BT46,,T46+1)*R46-ERP_i)*Q46*Ramure*Pc/MaxiM</f>
        <v>1.1184441613561792E-3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31.551992185630041</v>
      </c>
      <c r="W46" s="400"/>
      <c r="X46" s="157">
        <f t="shared" si="7"/>
        <v>44228</v>
      </c>
      <c r="Y46" s="383">
        <f t="shared" si="8"/>
        <v>7.7250000000000005</v>
      </c>
      <c r="Z46" s="383">
        <f t="shared" si="9"/>
        <v>7.8363882400642648</v>
      </c>
      <c r="AA46" s="384">
        <f t="shared" si="10"/>
        <v>8.2561747771632312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5.084516115866463E-2</v>
      </c>
      <c r="AD46" s="230">
        <f>(INDEX(Models!$BJ46:$BT46,,AH46)*(1-AF46)+INDEX(Models!$BJ46:$BT46,,AH46+1)*AF46-ERP_i)*AE46*Ramure*Pc/MaxiM</f>
        <v>1.1184441613561792E-3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28.02</v>
      </c>
      <c r="C47" s="388"/>
      <c r="D47" s="391">
        <f t="shared" si="0"/>
        <v>28.424570444466223</v>
      </c>
      <c r="E47" s="383">
        <f t="shared" si="17"/>
        <v>29.950106081131469</v>
      </c>
      <c r="F47" s="383">
        <f t="shared" si="1"/>
        <v>29.977059055663016</v>
      </c>
      <c r="G47" s="110">
        <f t="shared" si="18"/>
        <v>0.87828180735198325</v>
      </c>
      <c r="H47" s="412" t="b">
        <f>Wh_hp&gt;='2020'!Maxi_hp</f>
        <v>1</v>
      </c>
      <c r="I47" s="379">
        <f>IF(H47,Wh_hp,'2020'!Maxi_hp)</f>
        <v>29.977059055663016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1.4233124305489286E-2</v>
      </c>
      <c r="M47" s="832"/>
      <c r="N47" s="832"/>
      <c r="O47" s="48">
        <f>IF(t&lt;Tnet,'2020'!Resal+('2020'!Salim-'2020'!Resal)*(1-EXP(('2020'!Tnet-t)/('2020'!Tau_j))),Resal+(Salim-Resal)*(1-EXP((Tnet-t)/(Tau_j))))*Salcycl</f>
        <v>5.0935900945817805E-2</v>
      </c>
      <c r="P47" s="169">
        <f>(INDEX(Models!$BJ47:$BT47,,T47)*(1-R47)+INDEX(Models!$BJ47:$BT47,,T47+1)*R47-ERP_i)*Q47*Ramure*Pc/MaxiM</f>
        <v>1.0880565006542633E-3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31.897166719878474</v>
      </c>
      <c r="W47" s="400"/>
      <c r="X47" s="157">
        <f t="shared" si="7"/>
        <v>44229</v>
      </c>
      <c r="Y47" s="383">
        <f t="shared" si="8"/>
        <v>28.02</v>
      </c>
      <c r="Z47" s="383">
        <f t="shared" si="9"/>
        <v>28.424570444466223</v>
      </c>
      <c r="AA47" s="384">
        <f t="shared" si="10"/>
        <v>29.950106081131469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5.0935900945817805E-2</v>
      </c>
      <c r="AD47" s="230">
        <f>(INDEX(Models!$BJ47:$BT47,,AH47)*(1-AF47)+INDEX(Models!$BJ47:$BT47,,AH47+1)*AF47-ERP_i)*AE47*Ramure*Pc/MaxiM</f>
        <v>1.0880565006542633E-3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21.039000000000001</v>
      </c>
      <c r="C48" s="388"/>
      <c r="D48" s="391">
        <f t="shared" si="0"/>
        <v>21.343183397737619</v>
      </c>
      <c r="E48" s="383">
        <f t="shared" si="17"/>
        <v>22.490813850840841</v>
      </c>
      <c r="F48" s="383">
        <f t="shared" si="1"/>
        <v>22.502816361703445</v>
      </c>
      <c r="G48" s="110">
        <f t="shared" si="18"/>
        <v>0.65219769851587939</v>
      </c>
      <c r="H48" s="412" t="b">
        <f>Wh_hp&gt;='2020'!Maxi_hp</f>
        <v>0</v>
      </c>
      <c r="I48" s="379">
        <f>IF(H48,Wh_hp,'2020'!Maxi_hp)</f>
        <v>27.588451395254136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1.4252016302772397E-2</v>
      </c>
      <c r="M48" s="832"/>
      <c r="N48" s="832"/>
      <c r="O48" s="48">
        <f>IF(t&lt;Tnet,'2020'!Resal+('2020'!Salim-'2020'!Resal)*(1-EXP(('2020'!Tnet-t)/('2020'!Tau_j))),Resal+(Salim-Resal)*(1-EXP((Tnet-t)/(Tau_j))))*Salcycl</f>
        <v>5.1026630726407368E-2</v>
      </c>
      <c r="P48" s="169">
        <f>(INDEX(Models!$BJ48:$BT48,,T48)*(1-R48)+INDEX(Models!$BJ48:$BT48,,T48+1)*R48-ERP_i)*Q48*Ramure*Pc/MaxiM</f>
        <v>1.0590677505089793E-3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32.241656421551127</v>
      </c>
      <c r="W48" s="400"/>
      <c r="X48" s="157">
        <f t="shared" si="7"/>
        <v>44230</v>
      </c>
      <c r="Y48" s="383">
        <f t="shared" si="8"/>
        <v>21.039000000000001</v>
      </c>
      <c r="Z48" s="383">
        <f t="shared" si="9"/>
        <v>21.343183397737619</v>
      </c>
      <c r="AA48" s="384">
        <f t="shared" si="10"/>
        <v>22.490813850840841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5.1026630726407368E-2</v>
      </c>
      <c r="AD48" s="230">
        <f>(INDEX(Models!$BJ48:$BT48,,AH48)*(1-AF48)+INDEX(Models!$BJ48:$BT48,,AH48+1)*AF48-ERP_i)*AE48*Ramure*Pc/MaxiM</f>
        <v>1.0590677505089793E-3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16.53</v>
      </c>
      <c r="C49" s="388"/>
      <c r="D49" s="391">
        <f t="shared" si="0"/>
        <v>16.769313326668271</v>
      </c>
      <c r="E49" s="383">
        <f t="shared" si="17"/>
        <v>17.672694599667128</v>
      </c>
      <c r="F49" s="383">
        <f t="shared" si="1"/>
        <v>17.678094434298181</v>
      </c>
      <c r="G49" s="110">
        <f t="shared" si="18"/>
        <v>0.50692741565077071</v>
      </c>
      <c r="H49" s="412" t="b">
        <f>Wh_hp&gt;='2020'!Maxi_hp</f>
        <v>0</v>
      </c>
      <c r="I49" s="379">
        <f>IF(H49,Wh_hp,'2020'!Maxi_hp)</f>
        <v>19.347515119040757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1.4270907937994681E-2</v>
      </c>
      <c r="M49" s="832"/>
      <c r="N49" s="832"/>
      <c r="O49" s="48">
        <f>IF(t&lt;Tnet,'2020'!Resal+('2020'!Salim-'2020'!Resal)*(1-EXP(('2020'!Tnet-t)/('2020'!Tau_j))),Resal+(Salim-Resal)*(1-EXP((Tnet-t)/(Tau_j))))*Salcycl</f>
        <v>5.1117347606735287E-2</v>
      </c>
      <c r="P49" s="169">
        <f>(INDEX(Models!$BJ49:$BT49,,T49)*(1-R49)+INDEX(Models!$BJ49:$BT49,,T49+1)*R49-ERP_i)*Q49*Ramure*Pc/MaxiM</f>
        <v>1.0314602307030382E-3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32.584537609970205</v>
      </c>
      <c r="W49" s="400"/>
      <c r="X49" s="157">
        <f t="shared" si="7"/>
        <v>44231</v>
      </c>
      <c r="Y49" s="383">
        <f t="shared" si="8"/>
        <v>16.53</v>
      </c>
      <c r="Z49" s="383">
        <f t="shared" si="9"/>
        <v>16.769313326668271</v>
      </c>
      <c r="AA49" s="384">
        <f t="shared" si="10"/>
        <v>17.672694599667128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5.1117347606735287E-2</v>
      </c>
      <c r="AD49" s="230">
        <f>(INDEX(Models!$BJ49:$BT49,,AH49)*(1-AF49)+INDEX(Models!$BJ49:$BT49,,AH49+1)*AF49-ERP_i)*AE49*Ramure*Pc/MaxiM</f>
        <v>1.0314602307030382E-3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14.532999999999999</v>
      </c>
      <c r="C50" s="388"/>
      <c r="D50" s="391">
        <f t="shared" si="0"/>
        <v>14.74368428810987</v>
      </c>
      <c r="E50" s="383">
        <f t="shared" si="17"/>
        <v>15.539428069449517</v>
      </c>
      <c r="F50" s="383">
        <f t="shared" si="1"/>
        <v>15.542584011069607</v>
      </c>
      <c r="G50" s="110">
        <f t="shared" si="18"/>
        <v>0.44104448335167623</v>
      </c>
      <c r="H50" s="412" t="b">
        <f>Wh_hp&gt;='2020'!Maxi_hp</f>
        <v>0</v>
      </c>
      <c r="I50" s="379">
        <f>IF(H50,Wh_hp,'2020'!Maxi_hp)</f>
        <v>35.681802082367859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1.4289799211163134E-2</v>
      </c>
      <c r="M50" s="832"/>
      <c r="N50" s="832"/>
      <c r="O50" s="48">
        <f>IF(t&lt;Tnet,'2020'!Resal+('2020'!Salim-'2020'!Resal)*(1-EXP(('2020'!Tnet-t)/('2020'!Tau_j))),Resal+(Salim-Resal)*(1-EXP((Tnet-t)/(Tau_j))))*Salcycl</f>
        <v>5.120804818448095E-2</v>
      </c>
      <c r="P50" s="169">
        <f>(INDEX(Models!$BJ50:$BT50,,T50)*(1-R50)+INDEX(Models!$BJ50:$BT50,,T50+1)*R50-ERP_i)*Q50*Ramure*Pc/MaxiM</f>
        <v>1.0052141174703379E-3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32.924887053456139</v>
      </c>
      <c r="W50" s="400"/>
      <c r="X50" s="157">
        <f t="shared" si="7"/>
        <v>44232</v>
      </c>
      <c r="Y50" s="383">
        <f t="shared" si="8"/>
        <v>14.532999999999999</v>
      </c>
      <c r="Z50" s="383">
        <f t="shared" si="9"/>
        <v>14.74368428810987</v>
      </c>
      <c r="AA50" s="384">
        <f t="shared" si="10"/>
        <v>15.539428069449517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5.120804818448095E-2</v>
      </c>
      <c r="AD50" s="230">
        <f>(INDEX(Models!$BJ50:$BT50,,AH50)*(1-AF50)+INDEX(Models!$BJ50:$BT50,,AH50+1)*AF50-ERP_i)*AE50*Ramure*Pc/MaxiM</f>
        <v>1.0052141174703379E-3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9.7620000000000005</v>
      </c>
      <c r="C51" s="388"/>
      <c r="D51" s="391">
        <f t="shared" si="0"/>
        <v>9.9037091046395371</v>
      </c>
      <c r="E51" s="383">
        <f t="shared" si="17"/>
        <v>10.439228240788751</v>
      </c>
      <c r="F51" s="383">
        <f t="shared" si="1"/>
        <v>10.439228240788751</v>
      </c>
      <c r="G51" s="110">
        <f t="shared" si="18"/>
        <v>0.29317998235220483</v>
      </c>
      <c r="H51" s="412" t="b">
        <f>Wh_hp&gt;='2020'!Maxi_hp</f>
        <v>0</v>
      </c>
      <c r="I51" s="379">
        <f>IF(H51,Wh_hp,'2020'!Maxi_hp)</f>
        <v>37.076232391062831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1.430869012228464E-2</v>
      </c>
      <c r="M51" s="832"/>
      <c r="N51" s="832"/>
      <c r="O51" s="48">
        <f>IF(t&lt;Tnet,'2020'!Resal+('2020'!Salim-'2020'!Resal)*(1-EXP(('2020'!Tnet-t)/('2020'!Tau_j))),Resal+(Salim-Resal)*(1-EXP((Tnet-t)/(Tau_j))))*Salcycl</f>
        <v>5.1298728583862391E-2</v>
      </c>
      <c r="P51" s="169">
        <f>(INDEX(Models!$BJ51:$BT51,,T51)*(1-R51)+INDEX(Models!$BJ51:$BT51,,T51+1)*R51-ERP_i)*Q51*Ramure*Pc/MaxiM</f>
        <v>9.8023341008628227E-4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33.264313897580116</v>
      </c>
      <c r="W51" s="400"/>
      <c r="X51" s="157">
        <f t="shared" si="7"/>
        <v>44233</v>
      </c>
      <c r="Y51" s="383">
        <f t="shared" si="8"/>
        <v>9.7620000000000005</v>
      </c>
      <c r="Z51" s="383">
        <f t="shared" si="9"/>
        <v>9.9037091046395371</v>
      </c>
      <c r="AA51" s="384">
        <f t="shared" si="10"/>
        <v>10.439228240788751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5.1298728583862391E-2</v>
      </c>
      <c r="AD51" s="230">
        <f>(INDEX(Models!$BJ51:$BT51,,AH51)*(1-AF51)+INDEX(Models!$BJ51:$BT51,,AH51+1)*AF51-ERP_i)*AE51*Ramure*Pc/MaxiM</f>
        <v>9.8023341008628227E-4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19.472999999999999</v>
      </c>
      <c r="C52" s="388"/>
      <c r="D52" s="391">
        <f t="shared" si="0"/>
        <v>19.756056493153725</v>
      </c>
      <c r="E52" s="383">
        <f t="shared" si="17"/>
        <v>20.826307623297694</v>
      </c>
      <c r="F52" s="383">
        <f t="shared" si="1"/>
        <v>20.834257566299783</v>
      </c>
      <c r="G52" s="110">
        <f t="shared" si="18"/>
        <v>0.57913456467555213</v>
      </c>
      <c r="H52" s="412" t="b">
        <f>Wh_hp&gt;='2020'!Maxi_hp</f>
        <v>0</v>
      </c>
      <c r="I52" s="379">
        <f>IF(H52,Wh_hp,'2020'!Maxi_hp)</f>
        <v>24.451684563184926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1.432758067136608E-2</v>
      </c>
      <c r="M52" s="832"/>
      <c r="N52" s="832"/>
      <c r="O52" s="48">
        <f>IF(t&lt;Tnet,'2020'!Resal+('2020'!Salim-'2020'!Resal)*(1-EXP(('2020'!Tnet-t)/('2020'!Tau_j))),Resal+(Salim-Resal)*(1-EXP((Tnet-t)/(Tau_j))))*Salcycl</f>
        <v>5.1389384498801621E-2</v>
      </c>
      <c r="P52" s="169">
        <f>(INDEX(Models!$BJ52:$BT52,,T52)*(1-R52)+INDEX(Models!$BJ52:$BT52,,T52+1)*R52-ERP_i)*Q52*Ramure*Pc/MaxiM</f>
        <v>9.5576879690179668E-4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33.604995707447742</v>
      </c>
      <c r="W52" s="400"/>
      <c r="X52" s="157">
        <f t="shared" si="7"/>
        <v>44234</v>
      </c>
      <c r="Y52" s="383">
        <f t="shared" si="8"/>
        <v>19.472999999999999</v>
      </c>
      <c r="Z52" s="383">
        <f t="shared" si="9"/>
        <v>19.756056493153725</v>
      </c>
      <c r="AA52" s="384">
        <f t="shared" si="10"/>
        <v>20.826307623297694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5.1389384498801621E-2</v>
      </c>
      <c r="AD52" s="230">
        <f>(INDEX(Models!$BJ52:$BT52,,AH52)*(1-AF52)+INDEX(Models!$BJ52:$BT52,,AH52+1)*AF52-ERP_i)*AE52*Ramure*Pc/MaxiM</f>
        <v>9.5576879690179668E-4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4.4939999999999998</v>
      </c>
      <c r="C53" s="388"/>
      <c r="D53" s="391">
        <f t="shared" si="0"/>
        <v>4.5594114636954268</v>
      </c>
      <c r="E53" s="383">
        <f t="shared" si="17"/>
        <v>4.8068691411268132</v>
      </c>
      <c r="F53" s="383">
        <f t="shared" si="1"/>
        <v>4.8068691411268132</v>
      </c>
      <c r="G53" s="110">
        <f t="shared" si="18"/>
        <v>0.13226014026488769</v>
      </c>
      <c r="H53" s="412" t="b">
        <f>Wh_hp&gt;='2020'!Maxi_hp</f>
        <v>0</v>
      </c>
      <c r="I53" s="379">
        <f>IF(H53,Wh_hp,'2020'!Maxi_hp)</f>
        <v>29.618593127205017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1.4346470858414451E-2</v>
      </c>
      <c r="M53" s="832"/>
      <c r="N53" s="832"/>
      <c r="O53" s="48">
        <f>IF(t&lt;Tnet,'2020'!Resal+('2020'!Salim-'2020'!Resal)*(1-EXP(('2020'!Tnet-t)/('2020'!Tau_j))),Resal+(Salim-Resal)*(1-EXP((Tnet-t)/(Tau_j))))*Salcycl</f>
        <v>5.1480011243530133E-2</v>
      </c>
      <c r="P53" s="169">
        <f>(INDEX(Models!$BJ53:$BT53,,T53)*(1-R53)+INDEX(Models!$BJ53:$BT53,,T53+1)*R53-ERP_i)*Q53*Ramure*Pc/MaxiM</f>
        <v>9.3164317555844637E-4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33.946835279147152</v>
      </c>
      <c r="W53" s="400"/>
      <c r="X53" s="157">
        <f t="shared" si="7"/>
        <v>44235</v>
      </c>
      <c r="Y53" s="383">
        <f t="shared" si="8"/>
        <v>4.4939999999999998</v>
      </c>
      <c r="Z53" s="383">
        <f t="shared" si="9"/>
        <v>4.5594114636954268</v>
      </c>
      <c r="AA53" s="384">
        <f t="shared" si="10"/>
        <v>4.8068691411268132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5.1480011243530133E-2</v>
      </c>
      <c r="AD53" s="230">
        <f>(INDEX(Models!$BJ53:$BT53,,AH53)*(1-AF53)+INDEX(Models!$BJ53:$BT53,,AH53+1)*AF53-ERP_i)*AE53*Ramure*Pc/MaxiM</f>
        <v>9.3164317555844637E-4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12.750999999999999</v>
      </c>
      <c r="C54" s="388"/>
      <c r="D54" s="391">
        <f t="shared" si="0"/>
        <v>12.936842407285434</v>
      </c>
      <c r="E54" s="383">
        <f t="shared" si="17"/>
        <v>13.640279876662355</v>
      </c>
      <c r="F54" s="383">
        <f t="shared" si="1"/>
        <v>13.641551243073167</v>
      </c>
      <c r="G54" s="110">
        <f t="shared" si="18"/>
        <v>0.37155764892116411</v>
      </c>
      <c r="H54" s="412" t="b">
        <f>Wh_hp&gt;='2020'!Maxi_hp</f>
        <v>0</v>
      </c>
      <c r="I54" s="379">
        <f>IF(H54,Wh_hp,'2020'!Maxi_hp)</f>
        <v>30.258846944858497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1.4365360683436745E-2</v>
      </c>
      <c r="M54" s="832"/>
      <c r="N54" s="832"/>
      <c r="O54" s="48">
        <f>IF(t&lt;Tnet,'2020'!Resal+('2020'!Salim-'2020'!Resal)*(1-EXP(('2020'!Tnet-t)/('2020'!Tau_j))),Resal+(Salim-Resal)*(1-EXP((Tnet-t)/(Tau_j))))*Salcycl</f>
        <v>5.1570603810003668E-2</v>
      </c>
      <c r="P54" s="169">
        <f>(INDEX(Models!$BJ54:$BT54,,T54)*(1-R54)+INDEX(Models!$BJ54:$BT54,,T54+1)*R54-ERP_i)*Q54*Ramure*Pc/MaxiM</f>
        <v>9.078499839814965E-4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34.289729850517737</v>
      </c>
      <c r="W54" s="400"/>
      <c r="X54" s="157">
        <f t="shared" si="7"/>
        <v>44236</v>
      </c>
      <c r="Y54" s="383">
        <f t="shared" si="8"/>
        <v>12.750999999999999</v>
      </c>
      <c r="Z54" s="383">
        <f t="shared" si="9"/>
        <v>12.936842407285434</v>
      </c>
      <c r="AA54" s="384">
        <f t="shared" si="10"/>
        <v>13.640279876662355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5.1570603810003668E-2</v>
      </c>
      <c r="AD54" s="230">
        <f>(INDEX(Models!$BJ54:$BT54,,AH54)*(1-AF54)+INDEX(Models!$BJ54:$BT54,,AH54+1)*AF54-ERP_i)*AE54*Ramure*Pc/MaxiM</f>
        <v>9.078499839814965E-4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14.488</v>
      </c>
      <c r="C55" s="388"/>
      <c r="D55" s="391">
        <f t="shared" si="0"/>
        <v>14.699440428130925</v>
      </c>
      <c r="E55" s="383">
        <f t="shared" si="17"/>
        <v>15.500198621589256</v>
      </c>
      <c r="F55" s="383">
        <f t="shared" si="1"/>
        <v>15.502516075848805</v>
      </c>
      <c r="G55" s="110">
        <f t="shared" si="18"/>
        <v>0.41801490456621093</v>
      </c>
      <c r="H55" s="412" t="b">
        <f>Wh_hp&gt;='2020'!Maxi_hp</f>
        <v>1</v>
      </c>
      <c r="I55" s="379">
        <f>IF(H55,Wh_hp,'2020'!Maxi_hp)</f>
        <v>15.502516075848805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1.4384250146439848E-2</v>
      </c>
      <c r="M55" s="832"/>
      <c r="N55" s="832"/>
      <c r="O55" s="48">
        <f>IF(t&lt;Tnet,'2020'!Resal+('2020'!Salim-'2020'!Resal)*(1-EXP(('2020'!Tnet-t)/('2020'!Tau_j))),Resal+(Salim-Resal)*(1-EXP((Tnet-t)/(Tau_j))))*Salcycl</f>
        <v>5.1661156931434637E-2</v>
      </c>
      <c r="P55" s="169">
        <f>(INDEX(Models!$BJ55:$BT55,,T55)*(1-R55)+INDEX(Models!$BJ55:$BT55,,T55+1)*R55-ERP_i)*Q55*Ramure*Pc/MaxiM</f>
        <v>8.8438251947172385E-4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34.633576725140266</v>
      </c>
      <c r="W55" s="400"/>
      <c r="X55" s="157">
        <f t="shared" si="7"/>
        <v>44237</v>
      </c>
      <c r="Y55" s="383">
        <f t="shared" si="8"/>
        <v>14.488</v>
      </c>
      <c r="Z55" s="383">
        <f t="shared" si="9"/>
        <v>14.699440428130925</v>
      </c>
      <c r="AA55" s="384">
        <f t="shared" si="10"/>
        <v>15.500198621589256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5.1661156931434637E-2</v>
      </c>
      <c r="AD55" s="230">
        <f>(INDEX(Models!$BJ55:$BT55,,AH55)*(1-AF55)+INDEX(Models!$BJ55:$BT55,,AH55+1)*AF55-ERP_i)*AE55*Ramure*Pc/MaxiM</f>
        <v>8.8438251947172385E-4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29.477</v>
      </c>
      <c r="C56" s="388"/>
      <c r="D56" s="391">
        <f t="shared" si="0"/>
        <v>29.90776571416059</v>
      </c>
      <c r="E56" s="383">
        <f t="shared" si="17"/>
        <v>31.54001395523612</v>
      </c>
      <c r="F56" s="383">
        <f t="shared" si="1"/>
        <v>31.561088268066062</v>
      </c>
      <c r="G56" s="110">
        <f t="shared" si="18"/>
        <v>0.84255995343375911</v>
      </c>
      <c r="H56" s="412" t="b">
        <f>Wh_hp&gt;='2020'!Maxi_hp</f>
        <v>1</v>
      </c>
      <c r="I56" s="379">
        <f>IF(H56,Wh_hp,'2020'!Maxi_hp)</f>
        <v>31.561088268066062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1.4403139247430752E-2</v>
      </c>
      <c r="M56" s="832"/>
      <c r="N56" s="832"/>
      <c r="O56" s="48">
        <f>IF(t&lt;Tnet,'2020'!Resal+('2020'!Salim-'2020'!Resal)*(1-EXP(('2020'!Tnet-t)/('2020'!Tau_j))),Resal+(Salim-Resal)*(1-EXP((Tnet-t)/(Tau_j))))*Salcycl</f>
        <v>5.1751665151199194E-2</v>
      </c>
      <c r="P56" s="169">
        <f>(INDEX(Models!$BJ56:$BT56,,T56)*(1-R56)+INDEX(Models!$BJ56:$BT56,,T56+1)*R56-ERP_i)*Q56*Ramure*Pc/MaxiM</f>
        <v>8.6123398713567007E-4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34.978273269704978</v>
      </c>
      <c r="W56" s="400"/>
      <c r="X56" s="157">
        <f t="shared" si="7"/>
        <v>44238</v>
      </c>
      <c r="Y56" s="383">
        <f t="shared" si="8"/>
        <v>29.477</v>
      </c>
      <c r="Z56" s="383">
        <f t="shared" si="9"/>
        <v>29.90776571416059</v>
      </c>
      <c r="AA56" s="384">
        <f t="shared" si="10"/>
        <v>31.54001395523612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5.1751665151199194E-2</v>
      </c>
      <c r="AD56" s="230">
        <f>(INDEX(Models!$BJ56:$BT56,,AH56)*(1-AF56)+INDEX(Models!$BJ56:$BT56,,AH56+1)*AF56-ERP_i)*AE56*Ramure*Pc/MaxiM</f>
        <v>8.6123398713567007E-4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5.1239999999999997</v>
      </c>
      <c r="C57" s="388"/>
      <c r="D57" s="391">
        <f t="shared" si="0"/>
        <v>5.1989798326472521</v>
      </c>
      <c r="E57" s="383">
        <f t="shared" si="17"/>
        <v>5.4832427786483731</v>
      </c>
      <c r="F57" s="383">
        <f t="shared" si="1"/>
        <v>5.4832427786483731</v>
      </c>
      <c r="G57" s="110">
        <f t="shared" si="18"/>
        <v>0.14493673086495998</v>
      </c>
      <c r="H57" s="412" t="b">
        <f>Wh_hp&gt;='2020'!Maxi_hp</f>
        <v>0</v>
      </c>
      <c r="I57" s="379">
        <f>IF(H57,Wh_hp,'2020'!Maxi_hp)</f>
        <v>20.817736666864409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1.4422027986416341E-2</v>
      </c>
      <c r="M57" s="832"/>
      <c r="N57" s="832"/>
      <c r="O57" s="48">
        <f>IF(t&lt;Tnet,'2020'!Resal+('2020'!Salim-'2020'!Resal)*(1-EXP(('2020'!Tnet-t)/('2020'!Tau_j))),Resal+(Salim-Resal)*(1-EXP((Tnet-t)/(Tau_j))))*Salcycl</f>
        <v>5.1842122896333317E-2</v>
      </c>
      <c r="P57" s="169">
        <f>(INDEX(Models!$BJ57:$BT57,,T57)*(1-R57)+INDEX(Models!$BJ57:$BT57,,T57+1)*R57-ERP_i)*Q57*Ramure*Pc/MaxiM</f>
        <v>8.3839754401035613E-4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35.323716910343492</v>
      </c>
      <c r="W57" s="400"/>
      <c r="X57" s="157">
        <f t="shared" si="7"/>
        <v>44239</v>
      </c>
      <c r="Y57" s="383">
        <f t="shared" si="8"/>
        <v>5.1239999999999997</v>
      </c>
      <c r="Z57" s="383">
        <f t="shared" si="9"/>
        <v>5.1989798326472521</v>
      </c>
      <c r="AA57" s="384">
        <f t="shared" si="10"/>
        <v>5.4832427786483731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5.1842122896333317E-2</v>
      </c>
      <c r="AD57" s="230">
        <f>(INDEX(Models!$BJ57:$BT57,,AH57)*(1-AF57)+INDEX(Models!$BJ57:$BT57,,AH57+1)*AF57-ERP_i)*AE57*Ramure*Pc/MaxiM</f>
        <v>8.3839754401035613E-4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7.8440000000000003</v>
      </c>
      <c r="C58" s="388"/>
      <c r="D58" s="391">
        <f t="shared" si="0"/>
        <v>7.9589343046350578</v>
      </c>
      <c r="E58" s="383">
        <f t="shared" si="17"/>
        <v>8.394902800454819</v>
      </c>
      <c r="F58" s="383">
        <f t="shared" si="1"/>
        <v>8.394902800454819</v>
      </c>
      <c r="G58" s="110">
        <f t="shared" si="18"/>
        <v>0.21972646938171986</v>
      </c>
      <c r="H58" s="412" t="b">
        <f>Wh_hp&gt;='2020'!Maxi_hp</f>
        <v>0</v>
      </c>
      <c r="I58" s="379">
        <f>IF(H58,Wh_hp,'2020'!Maxi_hp)</f>
        <v>17.611423187384954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1.44409163634035E-2</v>
      </c>
      <c r="M58" s="832"/>
      <c r="N58" s="832"/>
      <c r="O58" s="48">
        <f>IF(t&lt;Tnet,'2020'!Resal+('2020'!Salim-'2020'!Resal)*(1-EXP(('2020'!Tnet-t)/('2020'!Tau_j))),Resal+(Salim-Resal)*(1-EXP((Tnet-t)/(Tau_j))))*Salcycl</f>
        <v>5.1932524554797951E-2</v>
      </c>
      <c r="P58" s="169">
        <f>(INDEX(Models!$BJ58:$BT58,,T58)*(1-R58)+INDEX(Models!$BJ58:$BT58,,T58+1)*R58-ERP_i)*Q58*Ramure*Pc/MaxiM</f>
        <v>8.1549877792754877E-4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35.669818250117409</v>
      </c>
      <c r="W58" s="400"/>
      <c r="X58" s="157">
        <f t="shared" si="7"/>
        <v>44240</v>
      </c>
      <c r="Y58" s="383">
        <f t="shared" si="8"/>
        <v>7.8439999999999994</v>
      </c>
      <c r="Z58" s="383">
        <f t="shared" si="9"/>
        <v>7.9589343046350569</v>
      </c>
      <c r="AA58" s="384">
        <f t="shared" si="10"/>
        <v>8.394902800454819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5.1932524554797951E-2</v>
      </c>
      <c r="AD58" s="230">
        <f>(INDEX(Models!$BJ58:$BT58,,AH58)*(1-AF58)+INDEX(Models!$BJ58:$BT58,,AH58+1)*AF58-ERP_i)*AE58*Ramure*Pc/MaxiM</f>
        <v>8.1549877792754877E-4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35.582999999999998</v>
      </c>
      <c r="C59" s="388"/>
      <c r="D59" s="391">
        <f t="shared" si="0"/>
        <v>36.105072282269582</v>
      </c>
      <c r="E59" s="383">
        <f t="shared" si="17"/>
        <v>38.086437881591515</v>
      </c>
      <c r="F59" s="383">
        <f t="shared" si="1"/>
        <v>38.116109222133424</v>
      </c>
      <c r="G59" s="110">
        <f t="shared" si="18"/>
        <v>0.98795060406929569</v>
      </c>
      <c r="H59" s="412" t="b">
        <f>Wh_hp&gt;='2020'!Maxi_hp</f>
        <v>1</v>
      </c>
      <c r="I59" s="379">
        <f>IF(H59,Wh_hp,'2020'!Maxi_hp)</f>
        <v>38.116109222133424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1.4459804378399221E-2</v>
      </c>
      <c r="M59" s="832"/>
      <c r="N59" s="832"/>
      <c r="O59" s="48">
        <f>IF(t&lt;Tnet,'2020'!Resal+('2020'!Salim-'2020'!Resal)*(1-EXP(('2020'!Tnet-t)/('2020'!Tau_j))),Resal+(Salim-Resal)*(1-EXP((Tnet-t)/(Tau_j))))*Salcycl</f>
        <v>5.2022864555668902E-2</v>
      </c>
      <c r="P59" s="169">
        <f>(INDEX(Models!$BJ59:$BT59,,T59)*(1-R59)+INDEX(Models!$BJ59:$BT59,,T59+1)*R59-ERP_i)*Q59*Ramure*Pc/MaxiM</f>
        <v>7.9206511944588558E-4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36.016491992662196</v>
      </c>
      <c r="W59" s="400"/>
      <c r="X59" s="157">
        <f t="shared" si="7"/>
        <v>44241</v>
      </c>
      <c r="Y59" s="383">
        <f t="shared" si="8"/>
        <v>35.582999999999998</v>
      </c>
      <c r="Z59" s="383">
        <f t="shared" si="9"/>
        <v>36.105072282269582</v>
      </c>
      <c r="AA59" s="384">
        <f t="shared" si="10"/>
        <v>38.086437881591515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5.2022864555668902E-2</v>
      </c>
      <c r="AD59" s="230">
        <f>(INDEX(Models!$BJ59:$BT59,,AH59)*(1-AF59)+INDEX(Models!$BJ59:$BT59,,AH59+1)*AF59-ERP_i)*AE59*Ramure*Pc/MaxiM</f>
        <v>7.9206511944588558E-4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33.463999999999999</v>
      </c>
      <c r="C60" s="388"/>
      <c r="D60" s="391">
        <f t="shared" si="0"/>
        <v>33.955633155185474</v>
      </c>
      <c r="E60" s="383">
        <f t="shared" si="17"/>
        <v>35.822453603680174</v>
      </c>
      <c r="F60" s="383">
        <f t="shared" si="1"/>
        <v>35.846851459214548</v>
      </c>
      <c r="G60" s="110">
        <f t="shared" si="18"/>
        <v>0.92017943872236452</v>
      </c>
      <c r="H60" s="412" t="b">
        <f>Wh_hp&gt;='2020'!Maxi_hp</f>
        <v>0</v>
      </c>
      <c r="I60" s="379">
        <f>IF(H60,Wh_hp,'2020'!Maxi_hp)</f>
        <v>37.957548920378891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1.447869203141039E-2</v>
      </c>
      <c r="M60" s="832"/>
      <c r="N60" s="832"/>
      <c r="O60" s="48">
        <f>IF(t&lt;Tnet,'2020'!Resal+('2020'!Salim-'2020'!Resal)*(1-EXP(('2020'!Tnet-t)/('2020'!Tau_j))),Resal+(Salim-Resal)*(1-EXP((Tnet-t)/(Tau_j))))*Salcycl</f>
        <v>5.2113137451392053E-2</v>
      </c>
      <c r="P60" s="169">
        <f>(INDEX(Models!$BJ60:$BT60,,T60)*(1-R60)+INDEX(Models!$BJ60:$BT60,,T60+1)*R60-ERP_i)*Q60*Ramure*Pc/MaxiM</f>
        <v>7.6811260767529988E-4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36.363635755957596</v>
      </c>
      <c r="W60" s="400"/>
      <c r="X60" s="157">
        <f t="shared" si="7"/>
        <v>44242</v>
      </c>
      <c r="Y60" s="383">
        <f t="shared" si="8"/>
        <v>33.463999999999999</v>
      </c>
      <c r="Z60" s="383">
        <f t="shared" si="9"/>
        <v>33.955633155185474</v>
      </c>
      <c r="AA60" s="384">
        <f t="shared" si="10"/>
        <v>35.822453603680174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5.2113137451392053E-2</v>
      </c>
      <c r="AD60" s="230">
        <f>(INDEX(Models!$BJ60:$BT60,,AH60)*(1-AF60)+INDEX(Models!$BJ60:$BT60,,AH60+1)*AF60-ERP_i)*AE60*Ramure*Pc/MaxiM</f>
        <v>7.6811260767529988E-4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31.19</v>
      </c>
      <c r="C61" s="388"/>
      <c r="D61" s="391">
        <f t="shared" si="0"/>
        <v>31.648831444326792</v>
      </c>
      <c r="E61" s="383">
        <f t="shared" si="17"/>
        <v>33.392005599158921</v>
      </c>
      <c r="F61" s="383">
        <f t="shared" si="1"/>
        <v>33.411514000889703</v>
      </c>
      <c r="G61" s="110">
        <f t="shared" si="18"/>
        <v>0.84946987811004004</v>
      </c>
      <c r="H61" s="412" t="b">
        <f>Wh_hp&gt;='2020'!Maxi_hp</f>
        <v>1</v>
      </c>
      <c r="I61" s="379">
        <f>IF(H61,Wh_hp,'2020'!Maxi_hp)</f>
        <v>33.411514000889703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1.449757932244411E-2</v>
      </c>
      <c r="M61" s="832"/>
      <c r="N61" s="832"/>
      <c r="O61" s="48">
        <f>IF(t&lt;Tnet,'2020'!Resal+('2020'!Salim-'2020'!Resal)*(1-EXP(('2020'!Tnet-t)/('2020'!Tau_j))),Resal+(Salim-Resal)*(1-EXP((Tnet-t)/(Tau_j))))*Salcycl</f>
        <v>5.2203338001238227E-2</v>
      </c>
      <c r="P61" s="169">
        <f>(INDEX(Models!$BJ61:$BT61,,T61)*(1-R61)+INDEX(Models!$BJ61:$BT61,,T61+1)*R61-ERP_i)*Q61*Ramure*Pc/MaxiM</f>
        <v>7.4365644272006101E-4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36.711147206185558</v>
      </c>
      <c r="W61" s="400"/>
      <c r="X61" s="157">
        <f t="shared" si="7"/>
        <v>44243</v>
      </c>
      <c r="Y61" s="383">
        <f t="shared" si="8"/>
        <v>31.189999999999998</v>
      </c>
      <c r="Z61" s="383">
        <f t="shared" si="9"/>
        <v>31.648831444326788</v>
      </c>
      <c r="AA61" s="384">
        <f t="shared" si="10"/>
        <v>33.392005599158921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5.2203338001238227E-2</v>
      </c>
      <c r="AD61" s="230">
        <f>(INDEX(Models!$BJ61:$BT61,,AH61)*(1-AF61)+INDEX(Models!$BJ61:$BT61,,AH61+1)*AF61-ERP_i)*AE61*Ramure*Pc/MaxiM</f>
        <v>7.4365644272006101E-4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34.372</v>
      </c>
      <c r="C62" s="388"/>
      <c r="D62" s="391">
        <f t="shared" si="0"/>
        <v>34.878309807226209</v>
      </c>
      <c r="E62" s="383">
        <f t="shared" si="17"/>
        <v>36.802858671226772</v>
      </c>
      <c r="F62" s="383">
        <f t="shared" si="1"/>
        <v>36.826584894030596</v>
      </c>
      <c r="G62" s="110">
        <f t="shared" si="18"/>
        <v>0.92742680755923712</v>
      </c>
      <c r="H62" s="412" t="b">
        <f>Wh_hp&gt;='2020'!Maxi_hp</f>
        <v>1</v>
      </c>
      <c r="I62" s="379">
        <f>IF(H62,Wh_hp,'2020'!Maxi_hp)</f>
        <v>36.826584894030596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1.4516466251507154E-2</v>
      </c>
      <c r="M62" s="832"/>
      <c r="N62" s="832"/>
      <c r="O62" s="48">
        <f>IF(t&lt;Tnet,'2020'!Resal+('2020'!Salim-'2020'!Resal)*(1-EXP(('2020'!Tnet-t)/('2020'!Tau_j))),Resal+(Salim-Resal)*(1-EXP((Tnet-t)/(Tau_j))))*Salcycl</f>
        <v>5.2293461255095694E-2</v>
      </c>
      <c r="P62" s="169">
        <f>(INDEX(Models!$BJ62:$BT62,,T62)*(1-R62)+INDEX(Models!$BJ62:$BT62,,T62+1)*R62-ERP_i)*Q62*Ramure*Pc/MaxiM</f>
        <v>7.1871102594169218E-4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37.058924052053776</v>
      </c>
      <c r="W62" s="400"/>
      <c r="X62" s="157">
        <f t="shared" si="7"/>
        <v>44244</v>
      </c>
      <c r="Y62" s="383">
        <f t="shared" si="8"/>
        <v>34.372</v>
      </c>
      <c r="Z62" s="383">
        <f t="shared" si="9"/>
        <v>34.878309807226209</v>
      </c>
      <c r="AA62" s="384">
        <f t="shared" si="10"/>
        <v>36.802858671226772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5.2293461255095694E-2</v>
      </c>
      <c r="AD62" s="230">
        <f>(INDEX(Models!$BJ62:$BT62,,AH62)*(1-AF62)+INDEX(Models!$BJ62:$BT62,,AH62+1)*AF62-ERP_i)*AE62*Ramure*Pc/MaxiM</f>
        <v>7.1871102594169218E-4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16.321000000000002</v>
      </c>
      <c r="C63" s="388"/>
      <c r="D63" s="391">
        <f t="shared" si="0"/>
        <v>16.561730597521692</v>
      </c>
      <c r="E63" s="383">
        <f t="shared" si="17"/>
        <v>17.477250178320915</v>
      </c>
      <c r="F63" s="383">
        <f t="shared" si="1"/>
        <v>17.479609989735753</v>
      </c>
      <c r="G63" s="110">
        <f t="shared" si="18"/>
        <v>0.4360666791101046</v>
      </c>
      <c r="H63" s="412" t="b">
        <f>Wh_hp&gt;='2020'!Maxi_hp</f>
        <v>0</v>
      </c>
      <c r="I63" s="379">
        <f>IF(H63,Wh_hp,'2020'!Maxi_hp)</f>
        <v>29.950919629336866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1.4535352818606517E-2</v>
      </c>
      <c r="M63" s="832"/>
      <c r="N63" s="832"/>
      <c r="O63" s="48">
        <f>IF(t&lt;Tnet,'2020'!Resal+('2020'!Salim-'2020'!Resal)*(1-EXP(('2020'!Tnet-t)/('2020'!Tau_j))),Resal+(Salim-Resal)*(1-EXP((Tnet-t)/(Tau_j))))*Salcycl</f>
        <v>5.2383502636750609E-2</v>
      </c>
      <c r="P63" s="169">
        <f>(INDEX(Models!$BJ63:$BT63,,T63)*(1-R63)+INDEX(Models!$BJ63:$BT63,,T63+1)*R63-ERP_i)*Q63*Ramure*Pc/MaxiM</f>
        <v>6.9328999329992889E-4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37.406864041609282</v>
      </c>
      <c r="W63" s="400"/>
      <c r="X63" s="157">
        <f t="shared" si="7"/>
        <v>44245</v>
      </c>
      <c r="Y63" s="383">
        <f t="shared" si="8"/>
        <v>16.321000000000002</v>
      </c>
      <c r="Z63" s="383">
        <f t="shared" si="9"/>
        <v>16.561730597521692</v>
      </c>
      <c r="AA63" s="384">
        <f t="shared" si="10"/>
        <v>17.477250178320915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5.2383502636750609E-2</v>
      </c>
      <c r="AD63" s="230">
        <f>(INDEX(Models!$BJ63:$BT63,,AH63)*(1-AF63)+INDEX(Models!$BJ63:$BT63,,AH63+1)*AF63-ERP_i)*AE63*Ramure*Pc/MaxiM</f>
        <v>6.9328999329992889E-4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36.800000000000004</v>
      </c>
      <c r="C64" s="388"/>
      <c r="D64" s="391">
        <f t="shared" si="0"/>
        <v>37.343506316921363</v>
      </c>
      <c r="E64" s="383">
        <f t="shared" si="17"/>
        <v>39.411567552626103</v>
      </c>
      <c r="F64" s="383">
        <f t="shared" si="1"/>
        <v>39.436937045771522</v>
      </c>
      <c r="G64" s="110">
        <f t="shared" si="18"/>
        <v>0.97468530458309854</v>
      </c>
      <c r="H64" s="412" t="b">
        <f>Wh_hp&gt;='2020'!Maxi_hp</f>
        <v>1</v>
      </c>
      <c r="I64" s="379">
        <f>IF(H64,Wh_hp,'2020'!Maxi_hp)</f>
        <v>39.436937045771522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1.4554239023749194E-2</v>
      </c>
      <c r="M64" s="832"/>
      <c r="N64" s="832"/>
      <c r="O64" s="48">
        <f>IF(t&lt;Tnet,'2020'!Resal+('2020'!Salim-'2020'!Resal)*(1-EXP(('2020'!Tnet-t)/('2020'!Tau_j))),Resal+(Salim-Resal)*(1-EXP((Tnet-t)/(Tau_j))))*Salcycl</f>
        <v>5.2473458025826279E-2</v>
      </c>
      <c r="P64" s="169">
        <f>(INDEX(Models!$BJ64:$BT64,,T64)*(1-R64)+INDEX(Models!$BJ64:$BT64,,T64+1)*R64-ERP_i)*Q64*Ramure*Pc/MaxiM</f>
        <v>6.6740624151062622E-4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37.754864956820164</v>
      </c>
      <c r="W64" s="400"/>
      <c r="X64" s="157">
        <f t="shared" si="7"/>
        <v>44246</v>
      </c>
      <c r="Y64" s="383">
        <f t="shared" si="8"/>
        <v>36.800000000000004</v>
      </c>
      <c r="Z64" s="383">
        <f t="shared" si="9"/>
        <v>37.343506316921363</v>
      </c>
      <c r="AA64" s="384">
        <f t="shared" si="10"/>
        <v>39.411567552626103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5.2473458025826279E-2</v>
      </c>
      <c r="AD64" s="230">
        <f>(INDEX(Models!$BJ64:$BT64,,AH64)*(1-AF64)+INDEX(Models!$BJ64:$BT64,,AH64+1)*AF64-ERP_i)*AE64*Ramure*Pc/MaxiM</f>
        <v>6.6740624151062622E-4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30.274000000000001</v>
      </c>
      <c r="C65" s="388"/>
      <c r="D65" s="391">
        <f t="shared" si="0"/>
        <v>30.721711335417183</v>
      </c>
      <c r="E65" s="383">
        <f t="shared" si="17"/>
        <v>32.426136868434476</v>
      </c>
      <c r="F65" s="383">
        <f t="shared" si="1"/>
        <v>32.440829157431892</v>
      </c>
      <c r="G65" s="110">
        <f t="shared" si="18"/>
        <v>0.79437935287773687</v>
      </c>
      <c r="H65" s="412" t="b">
        <f>Wh_hp&gt;='2020'!Maxi_hp</f>
        <v>0</v>
      </c>
      <c r="I65" s="379">
        <f>IF(H65,Wh_hp,'2020'!Maxi_hp)</f>
        <v>41.467946828147284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1.4573124866941956E-2</v>
      </c>
      <c r="M65" s="832"/>
      <c r="N65" s="832"/>
      <c r="O65" s="48">
        <f>IF(t&lt;Tnet,'2020'!Resal+('2020'!Salim-'2020'!Resal)*(1-EXP(('2020'!Tnet-t)/('2020'!Tau_j))),Resal+(Salim-Resal)*(1-EXP((Tnet-t)/(Tau_j))))*Salcycl</f>
        <v>5.2563323837582533E-2</v>
      </c>
      <c r="P65" s="169">
        <f>(INDEX(Models!$BJ65:$BT65,,T65)*(1-R65)+INDEX(Models!$BJ65:$BT65,,T65+1)*R65-ERP_i)*Q65*Ramure*Pc/MaxiM</f>
        <v>6.4106763886163747E-4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38.103080814455701</v>
      </c>
      <c r="W65" s="400"/>
      <c r="X65" s="157">
        <f t="shared" si="7"/>
        <v>44247</v>
      </c>
      <c r="Y65" s="383">
        <f t="shared" si="8"/>
        <v>30.273999999999997</v>
      </c>
      <c r="Z65" s="383">
        <f t="shared" si="9"/>
        <v>30.721711335417179</v>
      </c>
      <c r="AA65" s="384">
        <f t="shared" si="10"/>
        <v>32.426136868434476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5.2563323837582533E-2</v>
      </c>
      <c r="AD65" s="230">
        <f>(INDEX(Models!$BJ65:$BT65,,AH65)*(1-AF65)+INDEX(Models!$BJ65:$BT65,,AH65+1)*AF65-ERP_i)*AE65*Ramure*Pc/MaxiM</f>
        <v>6.4106763886163747E-4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12.268000000000001</v>
      </c>
      <c r="C66" s="388"/>
      <c r="D66" s="391">
        <f t="shared" si="0"/>
        <v>12.449665649996275</v>
      </c>
      <c r="E66" s="383">
        <f t="shared" si="17"/>
        <v>13.141612235056805</v>
      </c>
      <c r="F66" s="383">
        <f t="shared" si="1"/>
        <v>13.141832028682598</v>
      </c>
      <c r="G66" s="110">
        <f t="shared" si="18"/>
        <v>0.31885867883468078</v>
      </c>
      <c r="H66" s="412" t="b">
        <f>Wh_hp&gt;='2020'!Maxi_hp</f>
        <v>0</v>
      </c>
      <c r="I66" s="379">
        <f>IF(H66,Wh_hp,'2020'!Maxi_hp)</f>
        <v>14.376860709433835</v>
      </c>
      <c r="J66" s="85">
        <f>IF(H66,An,'2020'!An_max)</f>
        <v>2020</v>
      </c>
      <c r="K66" s="197">
        <f t="shared" si="19"/>
        <v>44248</v>
      </c>
      <c r="L66" s="147">
        <f>IF(t&lt;Tvie,1-EXP((T0-t)*PertePVj)+'2020'!Pspv,1-EXP((T0-t)*PertePVj)+Pspv)</f>
        <v>1.4592010348191908E-2</v>
      </c>
      <c r="M66" s="832"/>
      <c r="N66" s="832"/>
      <c r="O66" s="48">
        <f>IF(t&lt;Tnet,'2020'!Resal+('2020'!Salim-'2020'!Resal)*(1-EXP(('2020'!Tnet-t)/('2020'!Tau_j))),Resal+(Salim-Resal)*(1-EXP((Tnet-t)/(Tau_j))))*Salcycl</f>
        <v>5.2653097099812501E-2</v>
      </c>
      <c r="P66" s="169">
        <f>(INDEX(Models!$BJ66:$BT66,,T66)*(1-R66)+INDEX(Models!$BJ66:$BT66,,T66+1)*R66-ERP_i)*Q66*Ramure*Pc/MaxiM</f>
        <v>6.1457561898227051E-4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38.451722523172883</v>
      </c>
      <c r="W66" s="400"/>
      <c r="X66" s="157">
        <f t="shared" si="7"/>
        <v>44248</v>
      </c>
      <c r="Y66" s="383">
        <f t="shared" si="8"/>
        <v>12.268000000000001</v>
      </c>
      <c r="Z66" s="383">
        <f t="shared" si="9"/>
        <v>12.449665649996275</v>
      </c>
      <c r="AA66" s="384">
        <f t="shared" si="10"/>
        <v>13.141612235056805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5.2653097099812501E-2</v>
      </c>
      <c r="AD66" s="230">
        <f>(INDEX(Models!$BJ66:$BT66,,AH66)*(1-AF66)+INDEX(Models!$BJ66:$BT66,,AH66+1)*AF66-ERP_i)*AE66*Ramure*Pc/MaxiM</f>
        <v>6.1457561898227051E-4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9.2270000000000003</v>
      </c>
      <c r="C67" s="388"/>
      <c r="D67" s="391">
        <f t="shared" si="0"/>
        <v>9.363813703194575</v>
      </c>
      <c r="E67" s="383">
        <f t="shared" si="17"/>
        <v>9.8851858410426647</v>
      </c>
      <c r="F67" s="383">
        <f t="shared" si="1"/>
        <v>9.8851858410426647</v>
      </c>
      <c r="G67" s="110">
        <f t="shared" si="18"/>
        <v>0.23766462213562178</v>
      </c>
      <c r="H67" s="412" t="b">
        <f>Wh_hp&gt;='2020'!Maxi_hp</f>
        <v>0</v>
      </c>
      <c r="I67" s="379">
        <f>IF(H67,Wh_hp,'2020'!Maxi_hp)</f>
        <v>39.949310572645629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1.4610895467505824E-2</v>
      </c>
      <c r="M67" s="832"/>
      <c r="N67" s="832"/>
      <c r="O67" s="48">
        <f>IF(t&lt;Tnet,'2020'!Resal+('2020'!Salim-'2020'!Resal)*(1-EXP(('2020'!Tnet-t)/('2020'!Tau_j))),Resal+(Salim-Resal)*(1-EXP((Tnet-t)/(Tau_j))))*Salcycl</f>
        <v>5.2742775526119556E-2</v>
      </c>
      <c r="P67" s="169">
        <f>(INDEX(Models!$BJ67:$BT67,,T67)*(1-R67)+INDEX(Models!$BJ67:$BT67,,T67+1)*R67-ERP_i)*Q67*Ramure*Pc/MaxiM</f>
        <v>5.8849438704943174E-4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38.800768408132981</v>
      </c>
      <c r="W67" s="400"/>
      <c r="X67" s="157">
        <f t="shared" si="7"/>
        <v>44249</v>
      </c>
      <c r="Y67" s="383">
        <f t="shared" si="8"/>
        <v>9.2270000000000003</v>
      </c>
      <c r="Z67" s="383">
        <f t="shared" si="9"/>
        <v>9.363813703194575</v>
      </c>
      <c r="AA67" s="384">
        <f t="shared" si="10"/>
        <v>9.8851858410426647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5.2742775526119556E-2</v>
      </c>
      <c r="AD67" s="230">
        <f>(INDEX(Models!$BJ67:$BT67,,AH67)*(1-AF67)+INDEX(Models!$BJ67:$BT67,,AH67+1)*AF67-ERP_i)*AE67*Ramure*Pc/MaxiM</f>
        <v>5.8849438704943174E-4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30.52</v>
      </c>
      <c r="C68" s="388"/>
      <c r="D68" s="391">
        <f t="shared" si="0"/>
        <v>30.973130086035656</v>
      </c>
      <c r="E68" s="383">
        <f t="shared" si="17"/>
        <v>32.70078991197402</v>
      </c>
      <c r="F68" s="383">
        <f t="shared" si="1"/>
        <v>32.713403352867928</v>
      </c>
      <c r="G68" s="110">
        <f t="shared" si="18"/>
        <v>0.77942319974689378</v>
      </c>
      <c r="H68" s="412" t="b">
        <f>Wh_hp&gt;='2020'!Maxi_hp</f>
        <v>0</v>
      </c>
      <c r="I68" s="379">
        <f>IF(H68,Wh_hp,'2020'!Maxi_hp)</f>
        <v>41.571938803017574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1.4629780224890809E-2</v>
      </c>
      <c r="M68" s="832"/>
      <c r="N68" s="832"/>
      <c r="O68" s="48">
        <f>IF(t&lt;Tnet,'2020'!Resal+('2020'!Salim-'2020'!Resal)*(1-EXP(('2020'!Tnet-t)/('2020'!Tau_j))),Resal+(Salim-Resal)*(1-EXP((Tnet-t)/(Tau_j))))*Salcycl</f>
        <v>5.2832357584908028E-2</v>
      </c>
      <c r="P68" s="169">
        <f>(INDEX(Models!$BJ68:$BT68,,T68)*(1-R68)+INDEX(Models!$BJ68:$BT68,,T68+1)*R68-ERP_i)*Q68*Ramure*Pc/MaxiM</f>
        <v>5.6280980027772966E-4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39.150218635679366</v>
      </c>
      <c r="W68" s="400"/>
      <c r="X68" s="157">
        <f t="shared" si="7"/>
        <v>44250</v>
      </c>
      <c r="Y68" s="383">
        <f t="shared" si="8"/>
        <v>30.52</v>
      </c>
      <c r="Z68" s="383">
        <f t="shared" si="9"/>
        <v>30.973130086035656</v>
      </c>
      <c r="AA68" s="384">
        <f t="shared" si="10"/>
        <v>32.70078991197402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5.2832357584908028E-2</v>
      </c>
      <c r="AD68" s="230">
        <f>(INDEX(Models!$BJ68:$BT68,,AH68)*(1-AF68)+INDEX(Models!$BJ68:$BT68,,AH68+1)*AF68-ERP_i)*AE68*Ramure*Pc/MaxiM</f>
        <v>5.6280980027772966E-4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37.811</v>
      </c>
      <c r="C69" s="388"/>
      <c r="D69" s="391">
        <f t="shared" si="0"/>
        <v>38.373114890468777</v>
      </c>
      <c r="E69" s="383">
        <f t="shared" si="17"/>
        <v>40.517368697779027</v>
      </c>
      <c r="F69" s="383">
        <f t="shared" si="1"/>
        <v>40.53782717528037</v>
      </c>
      <c r="G69" s="110">
        <f t="shared" si="18"/>
        <v>0.95720728510903241</v>
      </c>
      <c r="H69" s="412" t="b">
        <f>Wh_hp&gt;='2020'!Maxi_hp</f>
        <v>0</v>
      </c>
      <c r="I69" s="379">
        <f>IF(H69,Wh_hp,'2020'!Maxi_hp)</f>
        <v>41.52507944394246</v>
      </c>
      <c r="J69" s="85">
        <f>IF(H69,An,'2020'!An_max)</f>
        <v>2020</v>
      </c>
      <c r="K69" s="197">
        <f t="shared" si="19"/>
        <v>44251</v>
      </c>
      <c r="L69" s="147">
        <f>IF(t&lt;Tvie,1-EXP((T0-t)*PertePVj)+'2020'!Pspv,1-EXP((T0-t)*PertePVj)+Pspv)</f>
        <v>1.4648664620353746E-2</v>
      </c>
      <c r="M69" s="832"/>
      <c r="N69" s="832"/>
      <c r="O69" s="48">
        <f>IF(t&lt;Tnet,'2020'!Resal+('2020'!Salim-'2020'!Resal)*(1-EXP(('2020'!Tnet-t)/('2020'!Tau_j))),Resal+(Salim-Resal)*(1-EXP((Tnet-t)/(Tau_j))))*Salcycl</f>
        <v>5.2921842563477872E-2</v>
      </c>
      <c r="P69" s="169">
        <f>(INDEX(Models!$BJ69:$BT69,,T69)*(1-R69)+INDEX(Models!$BJ69:$BT69,,T69+1)*R69-ERP_i)*Q69*Ramure*Pc/MaxiM</f>
        <v>5.3751146838188358E-4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39.500073210721105</v>
      </c>
      <c r="W69" s="400"/>
      <c r="X69" s="157">
        <f t="shared" si="7"/>
        <v>44251</v>
      </c>
      <c r="Y69" s="383">
        <f t="shared" si="8"/>
        <v>37.811</v>
      </c>
      <c r="Z69" s="383">
        <f t="shared" si="9"/>
        <v>38.373114890468777</v>
      </c>
      <c r="AA69" s="384">
        <f t="shared" si="10"/>
        <v>40.517368697779027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5.2921842563477872E-2</v>
      </c>
      <c r="AD69" s="230">
        <f>(INDEX(Models!$BJ69:$BT69,,AH69)*(1-AF69)+INDEX(Models!$BJ69:$BT69,,AH69+1)*AF69-ERP_i)*AE69*Ramure*Pc/MaxiM</f>
        <v>5.3751146838188358E-4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34.061999999999998</v>
      </c>
      <c r="C70" s="388"/>
      <c r="D70" s="391">
        <f t="shared" si="0"/>
        <v>34.569043121909424</v>
      </c>
      <c r="E70" s="383">
        <f t="shared" si="17"/>
        <v>36.504174325938138</v>
      </c>
      <c r="F70" s="383">
        <f t="shared" si="1"/>
        <v>36.519009293012743</v>
      </c>
      <c r="G70" s="110">
        <f t="shared" si="18"/>
        <v>0.85465725825808236</v>
      </c>
      <c r="H70" s="412" t="b">
        <f>Wh_hp&gt;='2020'!Maxi_hp</f>
        <v>1</v>
      </c>
      <c r="I70" s="379">
        <f>IF(H70,Wh_hp,'2020'!Maxi_hp)</f>
        <v>36.519009293012743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1.4667548653901519E-2</v>
      </c>
      <c r="M70" s="832"/>
      <c r="N70" s="832"/>
      <c r="O70" s="48">
        <f>IF(t&lt;Tnet,'2020'!Resal+('2020'!Salim-'2020'!Resal)*(1-EXP(('2020'!Tnet-t)/('2020'!Tau_j))),Resal+(Salim-Resal)*(1-EXP((Tnet-t)/(Tau_j))))*Salcycl</f>
        <v>5.3011230626676613E-2</v>
      </c>
      <c r="P70" s="169">
        <f>(INDEX(Models!$BJ70:$BT70,,T70)*(1-R70)+INDEX(Models!$BJ70:$BT70,,T70+1)*R70-ERP_i)*Q70*Ramure*Pc/MaxiM</f>
        <v>5.1258952917588316E-4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39.850332095490479</v>
      </c>
      <c r="W70" s="400"/>
      <c r="X70" s="157">
        <f t="shared" si="7"/>
        <v>44252</v>
      </c>
      <c r="Y70" s="383">
        <f t="shared" si="8"/>
        <v>34.061999999999998</v>
      </c>
      <c r="Z70" s="383">
        <f t="shared" si="9"/>
        <v>34.569043121909424</v>
      </c>
      <c r="AA70" s="384">
        <f t="shared" si="10"/>
        <v>36.504174325938138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5.3011230626676613E-2</v>
      </c>
      <c r="AD70" s="230">
        <f>(INDEX(Models!$BJ70:$BT70,,AH70)*(1-AF70)+INDEX(Models!$BJ70:$BT70,,AH70+1)*AF70-ERP_i)*AE70*Ramure*Pc/MaxiM</f>
        <v>5.1258952917588316E-4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8.3160000000000007</v>
      </c>
      <c r="C71" s="388"/>
      <c r="D71" s="391">
        <f t="shared" si="0"/>
        <v>8.439952795562796</v>
      </c>
      <c r="E71" s="383">
        <f t="shared" si="17"/>
        <v>8.9132510888489538</v>
      </c>
      <c r="F71" s="383">
        <f t="shared" si="1"/>
        <v>8.9132510888489538</v>
      </c>
      <c r="G71" s="110">
        <f t="shared" si="18"/>
        <v>0.20675959541985051</v>
      </c>
      <c r="H71" s="412" t="b">
        <f>Wh_hp&gt;='2020'!Maxi_hp</f>
        <v>0</v>
      </c>
      <c r="I71" s="379">
        <f>IF(H71,Wh_hp,'2020'!Maxi_hp)</f>
        <v>20.542740223257699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1.4686432325541121E-2</v>
      </c>
      <c r="M71" s="832"/>
      <c r="N71" s="832"/>
      <c r="O71" s="48">
        <f>IF(t&lt;Tnet,'2020'!Resal+('2020'!Salim-'2020'!Resal)*(1-EXP(('2020'!Tnet-t)/('2020'!Tau_j))),Resal+(Salim-Resal)*(1-EXP((Tnet-t)/(Tau_j))))*Salcycl</f>
        <v>5.3100522869627617E-2</v>
      </c>
      <c r="P71" s="169">
        <f>(INDEX(Models!$BJ71:$BT71,,T71)*(1-R71)+INDEX(Models!$BJ71:$BT71,,T71+1)*R71-ERP_i)*Q71*Ramure*Pc/MaxiM</f>
        <v>4.8803460010382024E-4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40.200995205988534</v>
      </c>
      <c r="W71" s="400"/>
      <c r="X71" s="157">
        <f t="shared" si="7"/>
        <v>44253</v>
      </c>
      <c r="Y71" s="383">
        <f t="shared" si="8"/>
        <v>8.3160000000000007</v>
      </c>
      <c r="Z71" s="383">
        <f t="shared" si="9"/>
        <v>8.439952795562796</v>
      </c>
      <c r="AA71" s="384">
        <f t="shared" si="10"/>
        <v>8.9132510888489538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5.3100522869627617E-2</v>
      </c>
      <c r="AD71" s="230">
        <f>(INDEX(Models!$BJ71:$BT71,,AH71)*(1-AF71)+INDEX(Models!$BJ71:$BT71,,AH71+1)*AF71-ERP_i)*AE71*Ramure*Pc/MaxiM</f>
        <v>4.8803460010382024E-4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40.076999999999998</v>
      </c>
      <c r="C72" s="388"/>
      <c r="D72" s="391">
        <f t="shared" si="0"/>
        <v>40.675140783734236</v>
      </c>
      <c r="E72" s="383">
        <f t="shared" si="17"/>
        <v>42.960180831937393</v>
      </c>
      <c r="F72" s="383">
        <f t="shared" si="1"/>
        <v>42.979805880549684</v>
      </c>
      <c r="G72" s="110">
        <f t="shared" si="18"/>
        <v>0.9882779779112556</v>
      </c>
      <c r="H72" s="412" t="b">
        <f>Wh_hp&gt;='2020'!Maxi_hp</f>
        <v>1</v>
      </c>
      <c r="I72" s="379">
        <f>IF(H72,Wh_hp,'2020'!Maxi_hp)</f>
        <v>42.979805880549684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1.4705315635279437E-2</v>
      </c>
      <c r="M72" s="832"/>
      <c r="N72" s="832"/>
      <c r="O72" s="48">
        <f>IF(t&lt;Tnet,'2020'!Resal+('2020'!Salim-'2020'!Resal)*(1-EXP(('2020'!Tnet-t)/('2020'!Tau_j))),Resal+(Salim-Resal)*(1-EXP((Tnet-t)/(Tau_j))))*Salcycl</f>
        <v>5.3189721364124559E-2</v>
      </c>
      <c r="P72" s="169">
        <f>(INDEX(Models!$BJ72:$BT72,,T72)*(1-R72)+INDEX(Models!$BJ72:$BT72,,T72+1)*R72-ERP_i)*Q72*Ramure*Pc/MaxiM</f>
        <v>4.6438224748404861E-4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40.552040318502385</v>
      </c>
      <c r="W72" s="400"/>
      <c r="X72" s="157">
        <f t="shared" si="7"/>
        <v>44254</v>
      </c>
      <c r="Y72" s="383">
        <f t="shared" si="8"/>
        <v>40.076999999999998</v>
      </c>
      <c r="Z72" s="383">
        <f t="shared" si="9"/>
        <v>40.675140783734236</v>
      </c>
      <c r="AA72" s="384">
        <f t="shared" si="10"/>
        <v>42.960180831937393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5.3189721364124559E-2</v>
      </c>
      <c r="AD72" s="230">
        <f>(INDEX(Models!$BJ72:$BT72,,AH72)*(1-AF72)+INDEX(Models!$BJ72:$BT72,,AH72+1)*AF72-ERP_i)*AE72*Ramure*Pc/MaxiM</f>
        <v>4.6438224748404861E-4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33.225000000000001</v>
      </c>
      <c r="C73" s="388"/>
      <c r="D73" s="391">
        <f t="shared" si="0"/>
        <v>33.721522392228415</v>
      </c>
      <c r="E73" s="383">
        <f t="shared" si="17"/>
        <v>35.619275698328757</v>
      </c>
      <c r="F73" s="383">
        <f t="shared" si="1"/>
        <v>35.630799361902348</v>
      </c>
      <c r="G73" s="110">
        <f t="shared" si="18"/>
        <v>0.8121822930228626</v>
      </c>
      <c r="H73" s="412" t="b">
        <f>Wh_hp&gt;='2020'!Maxi_hp</f>
        <v>1</v>
      </c>
      <c r="I73" s="379">
        <f>IF(H73,Wh_hp,'2020'!Maxi_hp)</f>
        <v>35.630799361902348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1.472419858312346E-2</v>
      </c>
      <c r="M73" s="832"/>
      <c r="N73" s="832"/>
      <c r="O73" s="48">
        <f>IF(t&lt;Tnet,'2020'!Resal+('2020'!Salim-'2020'!Resal)*(1-EXP(('2020'!Tnet-t)/('2020'!Tau_j))),Resal+(Salim-Resal)*(1-EXP((Tnet-t)/(Tau_j))))*Salcycl</f>
        <v>5.327882919835418E-2</v>
      </c>
      <c r="P73" s="169">
        <f>(INDEX(Models!$BJ73:$BT73,,T73)*(1-R73)+INDEX(Models!$BJ73:$BT73,,T73+1)*R73-ERP_i)*Q73*Ramure*Pc/MaxiM</f>
        <v>4.4193341340509205E-4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40.903454011612816</v>
      </c>
      <c r="W73" s="400"/>
      <c r="X73" s="157">
        <f t="shared" si="7"/>
        <v>44255</v>
      </c>
      <c r="Y73" s="383">
        <f t="shared" si="8"/>
        <v>33.225000000000001</v>
      </c>
      <c r="Z73" s="383">
        <f t="shared" si="9"/>
        <v>33.721522392228415</v>
      </c>
      <c r="AA73" s="384">
        <f t="shared" si="10"/>
        <v>35.619275698328757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5.327882919835418E-2</v>
      </c>
      <c r="AD73" s="230">
        <f>(INDEX(Models!$BJ73:$BT73,,AH73)*(1-AF73)+INDEX(Models!$BJ73:$BT73,,AH73+1)*AF73-ERP_i)*AE73*Ramure*Pc/MaxiM</f>
        <v>4.4193341340509205E-4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36.9</v>
      </c>
      <c r="C74" s="388"/>
      <c r="D74" s="391">
        <f t="shared" si="0"/>
        <v>37.452160238351404</v>
      </c>
      <c r="E74" s="383">
        <f t="shared" si="17"/>
        <v>39.563583656562201</v>
      </c>
      <c r="F74" s="383">
        <f t="shared" si="1"/>
        <v>39.577721571938064</v>
      </c>
      <c r="G74" s="110">
        <f t="shared" si="18"/>
        <v>0.89437515808208767</v>
      </c>
      <c r="H74" s="412" t="b">
        <f>Wh_hp&gt;='2020'!Maxi_hp</f>
        <v>1</v>
      </c>
      <c r="I74" s="379">
        <f>IF(H74,Wh_hp,'2020'!Maxi_hp)</f>
        <v>39.577721571938064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1.4743081169080074E-2</v>
      </c>
      <c r="M74" s="832"/>
      <c r="N74" s="832"/>
      <c r="O74" s="48">
        <f>IF(t&lt;Tnet,'2020'!Resal+('2020'!Salim-'2020'!Resal)*(1-EXP(('2020'!Tnet-t)/('2020'!Tau_j))),Resal+(Salim-Resal)*(1-EXP((Tnet-t)/(Tau_j))))*Salcycl</f>
        <v>5.3367850509684248E-2</v>
      </c>
      <c r="P74" s="169">
        <f>(INDEX(Models!$BJ74:$BT74,,T74)*(1-R74)+INDEX(Models!$BJ74:$BT74,,T74+1)*R74-ERP_i)*Q74*Ramure*Pc/MaxiM</f>
        <v>4.2065931048416928E-4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41.255235997728846</v>
      </c>
      <c r="W74" s="400"/>
      <c r="X74" s="157">
        <f t="shared" si="7"/>
        <v>44256</v>
      </c>
      <c r="Y74" s="383">
        <f t="shared" si="8"/>
        <v>36.9</v>
      </c>
      <c r="Z74" s="383">
        <f t="shared" si="9"/>
        <v>37.452160238351404</v>
      </c>
      <c r="AA74" s="384">
        <f t="shared" si="10"/>
        <v>39.563583656562201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5.3367850509684248E-2</v>
      </c>
      <c r="AD74" s="230">
        <f>(INDEX(Models!$BJ74:$BT74,,AH74)*(1-AF74)+INDEX(Models!$BJ74:$BT74,,AH74+1)*AF74-ERP_i)*AE74*Ramure*Pc/MaxiM</f>
        <v>4.2065931048416928E-4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16.539000000000001</v>
      </c>
      <c r="C75" s="388"/>
      <c r="D75" s="391">
        <f t="shared" si="0"/>
        <v>16.786806218891282</v>
      </c>
      <c r="E75" s="383">
        <f t="shared" si="17"/>
        <v>17.734854627441575</v>
      </c>
      <c r="F75" s="383">
        <f t="shared" si="1"/>
        <v>17.735844097548878</v>
      </c>
      <c r="G75" s="110">
        <f t="shared" si="18"/>
        <v>0.39736449693422593</v>
      </c>
      <c r="H75" s="412" t="b">
        <f>Wh_hp&gt;='2020'!Maxi_hp</f>
        <v>0</v>
      </c>
      <c r="I75" s="379">
        <f>IF(H75,Wh_hp,'2020'!Maxi_hp)</f>
        <v>30.966593074683484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1.4761963393156274E-2</v>
      </c>
      <c r="M75" s="832"/>
      <c r="N75" s="832"/>
      <c r="O75" s="48">
        <f>IF(t&lt;Tnet,'2020'!Resal+('2020'!Salim-'2020'!Resal)*(1-EXP(('2020'!Tnet-t)/('2020'!Tau_j))),Resal+(Salim-Resal)*(1-EXP((Tnet-t)/(Tau_j))))*Salcycl</f>
        <v>5.3456790510329436E-2</v>
      </c>
      <c r="P75" s="169">
        <f>(INDEX(Models!$BJ75:$BT75,,T75)*(1-R75)+INDEX(Models!$BJ75:$BT75,,T75+1)*R75-ERP_i)*Q75*Ramure*Pc/MaxiM</f>
        <v>4.0053214713728873E-4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41.607385932294953</v>
      </c>
      <c r="W75" s="400"/>
      <c r="X75" s="157">
        <f t="shared" si="7"/>
        <v>44257</v>
      </c>
      <c r="Y75" s="383">
        <f t="shared" si="8"/>
        <v>16.539000000000001</v>
      </c>
      <c r="Z75" s="383">
        <f t="shared" si="9"/>
        <v>16.786806218891282</v>
      </c>
      <c r="AA75" s="384">
        <f t="shared" si="10"/>
        <v>17.734854627441575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5.3456790510329436E-2</v>
      </c>
      <c r="AD75" s="230">
        <f>(INDEX(Models!$BJ75:$BT75,,AH75)*(1-AF75)+INDEX(Models!$BJ75:$BT75,,AH75+1)*AF75-ERP_i)*AE75*Ramure*Pc/MaxiM</f>
        <v>4.0053214713728873E-4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15.385</v>
      </c>
      <c r="C76" s="388"/>
      <c r="D76" s="391">
        <f t="shared" si="0"/>
        <v>15.61581494422694</v>
      </c>
      <c r="E76" s="383">
        <f t="shared" si="17"/>
        <v>16.499279690635241</v>
      </c>
      <c r="F76" s="383">
        <f t="shared" si="1"/>
        <v>16.49987916179121</v>
      </c>
      <c r="G76" s="110">
        <f t="shared" si="18"/>
        <v>0.36653299361920066</v>
      </c>
      <c r="H76" s="412" t="b">
        <f>Wh_hp&gt;='2020'!Maxi_hp</f>
        <v>0</v>
      </c>
      <c r="I76" s="379">
        <f>IF(H76,Wh_hp,'2020'!Maxi_hp)</f>
        <v>24.214132661085298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1.4780845255358943E-2</v>
      </c>
      <c r="M76" s="832"/>
      <c r="N76" s="832"/>
      <c r="O76" s="48">
        <f>IF(t&lt;Tnet,'2020'!Resal+('2020'!Salim-'2020'!Resal)*(1-EXP(('2020'!Tnet-t)/('2020'!Tau_j))),Resal+(Salim-Resal)*(1-EXP((Tnet-t)/(Tau_j))))*Salcycl</f>
        <v>5.3545655505781949E-2</v>
      </c>
      <c r="P76" s="169">
        <f>(INDEX(Models!$BJ76:$BT76,,T76)*(1-R76)+INDEX(Models!$BJ76:$BT76,,T76+1)*R76-ERP_i)*Q76*Ramure*Pc/MaxiM</f>
        <v>3.8152507123975587E-4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41.959903411399893</v>
      </c>
      <c r="W76" s="400"/>
      <c r="X76" s="157">
        <f t="shared" si="7"/>
        <v>44258</v>
      </c>
      <c r="Y76" s="383">
        <f t="shared" si="8"/>
        <v>15.385000000000002</v>
      </c>
      <c r="Z76" s="383">
        <f t="shared" si="9"/>
        <v>15.615814944226942</v>
      </c>
      <c r="AA76" s="384">
        <f t="shared" si="10"/>
        <v>16.499279690635241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5.3545655505781949E-2</v>
      </c>
      <c r="AD76" s="230">
        <f>(INDEX(Models!$BJ76:$BT76,,AH76)*(1-AF76)+INDEX(Models!$BJ76:$BT76,,AH76+1)*AF76-ERP_i)*AE76*Ramure*Pc/MaxiM</f>
        <v>3.8152507123975587E-4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29.865000000000002</v>
      </c>
      <c r="C77" s="388"/>
      <c r="D77" s="391">
        <f t="shared" si="0"/>
        <v>30.313633492663708</v>
      </c>
      <c r="E77" s="383">
        <f t="shared" si="17"/>
        <v>32.031632581877773</v>
      </c>
      <c r="F77" s="383">
        <f t="shared" si="1"/>
        <v>32.038386239307918</v>
      </c>
      <c r="G77" s="110">
        <f t="shared" si="18"/>
        <v>0.70570710898743572</v>
      </c>
      <c r="H77" s="412" t="b">
        <f>Wh_hp&gt;='2020'!Maxi_hp</f>
        <v>1</v>
      </c>
      <c r="I77" s="379">
        <f>IF(H77,Wh_hp,'2020'!Maxi_hp)</f>
        <v>32.038386239307918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1.4799726755694964E-2</v>
      </c>
      <c r="M77" s="832"/>
      <c r="N77" s="832"/>
      <c r="O77" s="48">
        <f>IF(t&lt;Tnet,'2020'!Resal+('2020'!Salim-'2020'!Resal)*(1-EXP(('2020'!Tnet-t)/('2020'!Tau_j))),Resal+(Salim-Resal)*(1-EXP((Tnet-t)/(Tau_j))))*Salcycl</f>
        <v>5.3634452905970173E-2</v>
      </c>
      <c r="P77" s="169">
        <f>(INDEX(Models!$BJ77:$BT77,,T77)*(1-R77)+INDEX(Models!$BJ77:$BT77,,T77+1)*R77-ERP_i)*Q77*Ramure*Pc/MaxiM</f>
        <v>3.6361211988678098E-4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42.312787970335087</v>
      </c>
      <c r="W77" s="400"/>
      <c r="X77" s="157">
        <f t="shared" si="7"/>
        <v>44259</v>
      </c>
      <c r="Y77" s="383">
        <f t="shared" si="8"/>
        <v>29.865000000000006</v>
      </c>
      <c r="Z77" s="383">
        <f t="shared" si="9"/>
        <v>30.313633492663712</v>
      </c>
      <c r="AA77" s="384">
        <f t="shared" si="10"/>
        <v>32.031632581877773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5.3634452905970173E-2</v>
      </c>
      <c r="AD77" s="230">
        <f>(INDEX(Models!$BJ77:$BT77,,AH77)*(1-AF77)+INDEX(Models!$BJ77:$BT77,,AH77+1)*AF77-ERP_i)*AE77*Ramure*Pc/MaxiM</f>
        <v>3.6361211988678098E-4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35.448999999999998</v>
      </c>
      <c r="C78" s="388"/>
      <c r="D78" s="391">
        <f t="shared" si="0"/>
        <v>35.982206204917901</v>
      </c>
      <c r="E78" s="383">
        <f t="shared" si="17"/>
        <v>38.025032285909532</v>
      </c>
      <c r="F78" s="383">
        <f t="shared" si="1"/>
        <v>38.035034481034316</v>
      </c>
      <c r="G78" s="110">
        <f t="shared" si="18"/>
        <v>0.83077851928054958</v>
      </c>
      <c r="H78" s="412" t="b">
        <f>Wh_hp&gt;='2020'!Maxi_hp</f>
        <v>1</v>
      </c>
      <c r="I78" s="379">
        <f>IF(H78,Wh_hp,'2020'!Maxi_hp)</f>
        <v>38.035034481034316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1.4818607894171443E-2</v>
      </c>
      <c r="M78" s="832"/>
      <c r="N78" s="832"/>
      <c r="O78" s="48">
        <f>IF(t&lt;Tnet,'2020'!Resal+('2020'!Salim-'2020'!Resal)*(1-EXP(('2020'!Tnet-t)/('2020'!Tau_j))),Resal+(Salim-Resal)*(1-EXP((Tnet-t)/(Tau_j))))*Salcycl</f>
        <v>5.3723191229179269E-2</v>
      </c>
      <c r="P78" s="169">
        <f>(INDEX(Models!$BJ78:$BT78,,T78)*(1-R78)+INDEX(Models!$BJ78:$BT78,,T78+1)*R78-ERP_i)*Q78*Ramure*Pc/MaxiM</f>
        <v>3.4676817528804505E-4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42.666039080586479</v>
      </c>
      <c r="W78" s="400"/>
      <c r="X78" s="157">
        <f t="shared" si="7"/>
        <v>44260</v>
      </c>
      <c r="Y78" s="383">
        <f t="shared" si="8"/>
        <v>35.448999999999998</v>
      </c>
      <c r="Z78" s="383">
        <f t="shared" si="9"/>
        <v>35.982206204917901</v>
      </c>
      <c r="AA78" s="384">
        <f t="shared" si="10"/>
        <v>38.025032285909532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5.3723191229179269E-2</v>
      </c>
      <c r="AD78" s="230">
        <f>(INDEX(Models!$BJ78:$BT78,,AH78)*(1-AF78)+INDEX(Models!$BJ78:$BT78,,AH78+1)*AF78-ERP_i)*AE78*Ramure*Pc/MaxiM</f>
        <v>3.4676817528804505E-4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11.215</v>
      </c>
      <c r="C79" s="388"/>
      <c r="D79" s="391">
        <f t="shared" ref="D79:D142" si="24">Wh/(1-Ppv)</f>
        <v>11.383908615106002</v>
      </c>
      <c r="E79" s="383">
        <f t="shared" si="17"/>
        <v>12.031337506430724</v>
      </c>
      <c r="F79" s="383">
        <f t="shared" ref="F79:F142" si="25">Wh_sa/(1-Pvg*MEDIAN((-Sdif+Wh/Env_an)/Csdif,0,1))</f>
        <v>12.031337506430724</v>
      </c>
      <c r="G79" s="110">
        <f t="shared" si="18"/>
        <v>0.26060179036575737</v>
      </c>
      <c r="H79" s="412" t="b">
        <f>Wh_hp&gt;='2020'!Maxi_hp</f>
        <v>1</v>
      </c>
      <c r="I79" s="379">
        <f>IF(H79,Wh_hp,'2020'!Maxi_hp)</f>
        <v>12.031337506430724</v>
      </c>
      <c r="J79" s="85">
        <f>IF(H79,An,'2020'!An_max)</f>
        <v>2021</v>
      </c>
      <c r="K79" s="197">
        <f t="shared" ref="K79:K142" si="26">t</f>
        <v>44261</v>
      </c>
      <c r="L79" s="147">
        <f>IF(t&lt;Tvie,1-EXP((T0-t)*PertePVj)+'2020'!Pspv,1-EXP((T0-t)*PertePVj)+Pspv)</f>
        <v>1.4837488670795151E-2</v>
      </c>
      <c r="M79" s="832"/>
      <c r="N79" s="832"/>
      <c r="O79" s="48">
        <f>IF(t&lt;Tnet,'2020'!Resal+('2020'!Salim-'2020'!Resal)*(1-EXP(('2020'!Tnet-t)/('2020'!Tau_j))),Resal+(Salim-Resal)*(1-EXP((Tnet-t)/(Tau_j))))*Salcycl</f>
        <v>5.3811880098839665E-2</v>
      </c>
      <c r="P79" s="169">
        <f>(INDEX(Models!$BJ79:$BT79,,T79)*(1-R79)+INDEX(Models!$BJ79:$BT79,,T79+1)*R79-ERP_i)*Q79*Ramure*Pc/MaxiM</f>
        <v>3.3096040191656171E-4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43.020764605482341</v>
      </c>
      <c r="W79" s="400"/>
      <c r="X79" s="157">
        <f t="shared" ref="X79:X142" si="33">t</f>
        <v>44261</v>
      </c>
      <c r="Y79" s="383">
        <f t="shared" ref="Y79:Y142" si="34">Wh_pvt_s*(1-Ppv)</f>
        <v>11.215</v>
      </c>
      <c r="Z79" s="383">
        <f t="shared" ref="Z79:Z142" si="35">Wh_sa_s*(1-Psa_s)</f>
        <v>11.383908615106002</v>
      </c>
      <c r="AA79" s="384">
        <f t="shared" ref="AA79:AA142" si="36">Wh_hp*(1-Pvg_s*MEDIAN((-Sdif+Wh/Env_an)/Csdif,0,1))</f>
        <v>12.031337506430724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5.3811880098839665E-2</v>
      </c>
      <c r="AD79" s="230">
        <f>(INDEX(Models!$BJ79:$BT79,,AH79)*(1-AF79)+INDEX(Models!$BJ79:$BT79,,AH79+1)*AF79-ERP_i)*AE79*Ramure*Pc/MaxiM</f>
        <v>3.3096040191656171E-4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10.997</v>
      </c>
      <c r="C80" s="388"/>
      <c r="D80" s="391">
        <f t="shared" si="24"/>
        <v>11.162839260090834</v>
      </c>
      <c r="E80" s="383">
        <f t="shared" ref="E80:E143" si="45">Wh_pvt/(1-Psa)</f>
        <v>11.798800883848019</v>
      </c>
      <c r="F80" s="383">
        <f t="shared" si="25"/>
        <v>11.798800883848019</v>
      </c>
      <c r="G80" s="110">
        <f t="shared" ref="G80:G143" si="46">+Wh_hp/MaxiM</f>
        <v>0.25343702795295892</v>
      </c>
      <c r="H80" s="412" t="b">
        <f>Wh_hp&gt;='2020'!Maxi_hp</f>
        <v>0</v>
      </c>
      <c r="I80" s="379">
        <f>IF(H80,Wh_hp,'2020'!Maxi_hp)</f>
        <v>22.040240976103327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1.4856369085573085E-2</v>
      </c>
      <c r="M80" s="832"/>
      <c r="N80" s="832"/>
      <c r="O80" s="48">
        <f>IF(t&lt;Tnet,'2020'!Resal+('2020'!Salim-'2020'!Resal)*(1-EXP(('2020'!Tnet-t)/('2020'!Tau_j))),Resal+(Salim-Resal)*(1-EXP((Tnet-t)/(Tau_j))))*Salcycl</f>
        <v>5.390053023335499E-2</v>
      </c>
      <c r="P80" s="169">
        <f>(INDEX(Models!$BJ80:$BT80,,T80)*(1-R80)+INDEX(Models!$BJ80:$BT80,,T80+1)*R80-ERP_i)*Q80*Ramure*Pc/MaxiM</f>
        <v>3.1640267853163124E-4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43.377720329740932</v>
      </c>
      <c r="W80" s="400"/>
      <c r="X80" s="157">
        <f t="shared" si="33"/>
        <v>44262</v>
      </c>
      <c r="Y80" s="383">
        <f t="shared" si="34"/>
        <v>10.997</v>
      </c>
      <c r="Z80" s="383">
        <f t="shared" si="35"/>
        <v>11.162839260090834</v>
      </c>
      <c r="AA80" s="384">
        <f t="shared" si="36"/>
        <v>11.798800883848019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5.390053023335499E-2</v>
      </c>
      <c r="AD80" s="230">
        <f>(INDEX(Models!$BJ80:$BT80,,AH80)*(1-AF80)+INDEX(Models!$BJ80:$BT80,,AH80+1)*AF80-ERP_i)*AE80*Ramure*Pc/MaxiM</f>
        <v>3.1640267853163124E-4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22.77</v>
      </c>
      <c r="C81" s="388"/>
      <c r="D81" s="391">
        <f t="shared" si="24"/>
        <v>23.113823888890948</v>
      </c>
      <c r="E81" s="383">
        <f t="shared" si="45"/>
        <v>24.432937500321991</v>
      </c>
      <c r="F81" s="383">
        <f t="shared" si="25"/>
        <v>24.435269528713803</v>
      </c>
      <c r="G81" s="110">
        <f t="shared" si="46"/>
        <v>0.52051095042586026</v>
      </c>
      <c r="H81" s="412" t="b">
        <f>Wh_hp&gt;='2020'!Maxi_hp</f>
        <v>0</v>
      </c>
      <c r="I81" s="379">
        <f>IF(H81,Wh_hp,'2020'!Maxi_hp)</f>
        <v>28.71098765149868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1.4875249138512237E-2</v>
      </c>
      <c r="M81" s="832"/>
      <c r="N81" s="832"/>
      <c r="O81" s="48">
        <f>IF(t&lt;Tnet,'2020'!Resal+('2020'!Salim-'2020'!Resal)*(1-EXP(('2020'!Tnet-t)/('2020'!Tau_j))),Resal+(Salim-Resal)*(1-EXP((Tnet-t)/(Tau_j))))*Salcycl</f>
        <v>5.398915342920433E-2</v>
      </c>
      <c r="P81" s="169">
        <f>(INDEX(Models!$BJ81:$BT81,,T81)*(1-R81)+INDEX(Models!$BJ81:$BT81,,T81+1)*R81-ERP_i)*Q81*Ramure*Pc/MaxiM</f>
        <v>3.0281123066756182E-4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43.736404813495156</v>
      </c>
      <c r="W81" s="400"/>
      <c r="X81" s="157">
        <f t="shared" si="33"/>
        <v>44263</v>
      </c>
      <c r="Y81" s="383">
        <f t="shared" si="34"/>
        <v>22.77</v>
      </c>
      <c r="Z81" s="383">
        <f t="shared" si="35"/>
        <v>23.113823888890948</v>
      </c>
      <c r="AA81" s="384">
        <f t="shared" si="36"/>
        <v>24.432937500321991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5.398915342920433E-2</v>
      </c>
      <c r="AD81" s="230">
        <f>(INDEX(Models!$BJ81:$BT81,,AH81)*(1-AF81)+INDEX(Models!$BJ81:$BT81,,AH81+1)*AF81-ERP_i)*AE81*Ramure*Pc/MaxiM</f>
        <v>3.0281123066756182E-4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42.128999999999998</v>
      </c>
      <c r="C82" s="388"/>
      <c r="D82" s="391">
        <f t="shared" si="24"/>
        <v>42.76596174373374</v>
      </c>
      <c r="E82" s="383">
        <f t="shared" si="45"/>
        <v>45.210864117605865</v>
      </c>
      <c r="F82" s="383">
        <f t="shared" si="25"/>
        <v>45.223150143497143</v>
      </c>
      <c r="G82" s="110">
        <f t="shared" si="46"/>
        <v>0.95536848981380529</v>
      </c>
      <c r="H82" s="412" t="b">
        <f>Wh_hp&gt;='2020'!Maxi_hp</f>
        <v>1</v>
      </c>
      <c r="I82" s="379">
        <f>IF(H82,Wh_hp,'2020'!Maxi_hp)</f>
        <v>45.223150143497143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1.489412882961938E-2</v>
      </c>
      <c r="M82" s="832"/>
      <c r="N82" s="832"/>
      <c r="O82" s="48">
        <f>IF(t&lt;Tnet,'2020'!Resal+('2020'!Salim-'2020'!Resal)*(1-EXP(('2020'!Tnet-t)/('2020'!Tau_j))),Resal+(Salim-Resal)*(1-EXP((Tnet-t)/(Tau_j))))*Salcycl</f>
        <v>5.4077762537611734E-2</v>
      </c>
      <c r="P82" s="169">
        <f>(INDEX(Models!$BJ82:$BT82,,T82)*(1-R82)+INDEX(Models!$BJ82:$BT82,,T82+1)*R82-ERP_i)*Q82*Ramure*Pc/MaxiM</f>
        <v>2.9016924988996154E-4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44.096305371123698</v>
      </c>
      <c r="W82" s="400"/>
      <c r="X82" s="157">
        <f t="shared" si="33"/>
        <v>44264</v>
      </c>
      <c r="Y82" s="383">
        <f t="shared" si="34"/>
        <v>42.128999999999998</v>
      </c>
      <c r="Z82" s="383">
        <f t="shared" si="35"/>
        <v>42.76596174373374</v>
      </c>
      <c r="AA82" s="384">
        <f t="shared" si="36"/>
        <v>45.210864117605865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5.4077762537611734E-2</v>
      </c>
      <c r="AD82" s="230">
        <f>(INDEX(Models!$BJ82:$BT82,,AH82)*(1-AF82)+INDEX(Models!$BJ82:$BT82,,AH82+1)*AF82-ERP_i)*AE82*Ramure*Pc/MaxiM</f>
        <v>2.9016924988996154E-4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41.863</v>
      </c>
      <c r="C83" s="388"/>
      <c r="D83" s="391">
        <f t="shared" si="24"/>
        <v>42.496754445776709</v>
      </c>
      <c r="E83" s="383">
        <f t="shared" si="45"/>
        <v>44.930475257321646</v>
      </c>
      <c r="F83" s="383">
        <f t="shared" si="25"/>
        <v>44.941946667610743</v>
      </c>
      <c r="G83" s="110">
        <f t="shared" si="46"/>
        <v>0.94163153925080156</v>
      </c>
      <c r="H83" s="412" t="b">
        <f>Wh_hp&gt;='2020'!Maxi_hp</f>
        <v>1</v>
      </c>
      <c r="I83" s="379">
        <f>IF(H83,Wh_hp,'2020'!Maxi_hp)</f>
        <v>44.941946667610743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1.4913008158901619E-2</v>
      </c>
      <c r="M83" s="832"/>
      <c r="N83" s="832"/>
      <c r="O83" s="48">
        <f>IF(t&lt;Tnet,'2020'!Resal+('2020'!Salim-'2020'!Resal)*(1-EXP(('2020'!Tnet-t)/('2020'!Tau_j))),Resal+(Salim-Resal)*(1-EXP((Tnet-t)/(Tau_j))))*Salcycl</f>
        <v>5.4166371435128507E-2</v>
      </c>
      <c r="P83" s="169">
        <f>(INDEX(Models!$BJ83:$BT83,,T83)*(1-R83)+INDEX(Models!$BJ83:$BT83,,T83+1)*R83-ERP_i)*Q83*Ramure*Pc/MaxiM</f>
        <v>2.78459778072383E-4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44.456909476686242</v>
      </c>
      <c r="W83" s="400"/>
      <c r="X83" s="157">
        <f t="shared" si="33"/>
        <v>44265</v>
      </c>
      <c r="Y83" s="383">
        <f t="shared" si="34"/>
        <v>41.863</v>
      </c>
      <c r="Z83" s="383">
        <f t="shared" si="35"/>
        <v>42.496754445776709</v>
      </c>
      <c r="AA83" s="384">
        <f t="shared" si="36"/>
        <v>44.930475257321646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5.4166371435128507E-2</v>
      </c>
      <c r="AD83" s="230">
        <f>(INDEX(Models!$BJ83:$BT83,,AH83)*(1-AF83)+INDEX(Models!$BJ83:$BT83,,AH83+1)*AF83-ERP_i)*AE83*Ramure*Pc/MaxiM</f>
        <v>2.78459778072383E-4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30.663</v>
      </c>
      <c r="C84" s="388"/>
      <c r="D84" s="391">
        <f t="shared" si="24"/>
        <v>31.127796747526521</v>
      </c>
      <c r="E84" s="383">
        <f t="shared" si="45"/>
        <v>32.913519587818172</v>
      </c>
      <c r="F84" s="383">
        <f t="shared" si="25"/>
        <v>32.918355275857436</v>
      </c>
      <c r="G84" s="110">
        <f t="shared" si="46"/>
        <v>0.68408894560429523</v>
      </c>
      <c r="H84" s="412" t="b">
        <f>Wh_hp&gt;='2020'!Maxi_hp</f>
        <v>0</v>
      </c>
      <c r="I84" s="379">
        <f>IF(H84,Wh_hp,'2020'!Maxi_hp)</f>
        <v>33.644561072825525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1.4931887126365728E-2</v>
      </c>
      <c r="M84" s="832"/>
      <c r="N84" s="832"/>
      <c r="O84" s="48">
        <f>IF(t&lt;Tnet,'2020'!Resal+('2020'!Salim-'2020'!Resal)*(1-EXP(('2020'!Tnet-t)/('2020'!Tau_j))),Resal+(Salim-Resal)*(1-EXP((Tnet-t)/(Tau_j))))*Salcycl</f>
        <v>5.4254994988520731E-2</v>
      </c>
      <c r="P84" s="169">
        <f>(INDEX(Models!$BJ84:$BT84,,T84)*(1-R84)+INDEX(Models!$BJ84:$BT84,,T84+1)*R84-ERP_i)*Q84*Ramure*Pc/MaxiM</f>
        <v>2.6766584102382544E-4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44.817704763205455</v>
      </c>
      <c r="W84" s="400"/>
      <c r="X84" s="157">
        <f t="shared" si="33"/>
        <v>44266</v>
      </c>
      <c r="Y84" s="383">
        <f t="shared" si="34"/>
        <v>30.662999999999997</v>
      </c>
      <c r="Z84" s="383">
        <f t="shared" si="35"/>
        <v>31.127796747526517</v>
      </c>
      <c r="AA84" s="384">
        <f t="shared" si="36"/>
        <v>32.913519587818172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5.4254994988520731E-2</v>
      </c>
      <c r="AD84" s="230">
        <f>(INDEX(Models!$BJ84:$BT84,,AH84)*(1-AF84)+INDEX(Models!$BJ84:$BT84,,AH84+1)*AF84-ERP_i)*AE84*Ramure*Pc/MaxiM</f>
        <v>2.6766584102382544E-4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31.882000000000001</v>
      </c>
      <c r="C85" s="388"/>
      <c r="D85" s="391">
        <f t="shared" si="24"/>
        <v>32.365894912544597</v>
      </c>
      <c r="E85" s="383">
        <f t="shared" si="45"/>
        <v>34.225852635380107</v>
      </c>
      <c r="F85" s="383">
        <f t="shared" si="25"/>
        <v>34.230966553418121</v>
      </c>
      <c r="G85" s="110">
        <f t="shared" si="46"/>
        <v>0.70561817515089265</v>
      </c>
      <c r="H85" s="412" t="b">
        <f>Wh_hp&gt;='2020'!Maxi_hp</f>
        <v>0</v>
      </c>
      <c r="I85" s="379">
        <f>IF(H85,Wh_hp,'2020'!Maxi_hp)</f>
        <v>43.401527185164618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1.4950765732018811E-2</v>
      </c>
      <c r="M85" s="832"/>
      <c r="N85" s="832"/>
      <c r="O85" s="48">
        <f>IF(t&lt;Tnet,'2020'!Resal+('2020'!Salim-'2020'!Resal)*(1-EXP(('2020'!Tnet-t)/('2020'!Tau_j))),Resal+(Salim-Resal)*(1-EXP((Tnet-t)/(Tau_j))))*Salcycl</f>
        <v>5.4343649014395159E-2</v>
      </c>
      <c r="P85" s="169">
        <f>(INDEX(Models!$BJ85:$BT85,,T85)*(1-R85)+INDEX(Models!$BJ85:$BT85,,T85+1)*R85-ERP_i)*Q85*Ramure*Pc/MaxiM</f>
        <v>2.5777057617237364E-4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45.178179021199789</v>
      </c>
      <c r="W85" s="400"/>
      <c r="X85" s="157">
        <f t="shared" si="33"/>
        <v>44267</v>
      </c>
      <c r="Y85" s="383">
        <f t="shared" si="34"/>
        <v>31.882000000000005</v>
      </c>
      <c r="Z85" s="383">
        <f t="shared" si="35"/>
        <v>32.365894912544597</v>
      </c>
      <c r="AA85" s="384">
        <f t="shared" si="36"/>
        <v>34.225852635380107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5.4343649014395159E-2</v>
      </c>
      <c r="AD85" s="230">
        <f>(INDEX(Models!$BJ85:$BT85,,AH85)*(1-AF85)+INDEX(Models!$BJ85:$BT85,,AH85+1)*AF85-ERP_i)*AE85*Ramure*Pc/MaxiM</f>
        <v>2.5777057617237364E-4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40.475000000000001</v>
      </c>
      <c r="C86" s="388"/>
      <c r="D86" s="391">
        <f t="shared" si="24"/>
        <v>41.090104231273465</v>
      </c>
      <c r="E86" s="383">
        <f t="shared" si="45"/>
        <v>43.455488606704535</v>
      </c>
      <c r="F86" s="383">
        <f t="shared" si="25"/>
        <v>43.4645843753053</v>
      </c>
      <c r="G86" s="110">
        <f t="shared" si="46"/>
        <v>0.88878653344312375</v>
      </c>
      <c r="H86" s="412" t="b">
        <f>Wh_hp&gt;='2020'!Maxi_hp</f>
        <v>1</v>
      </c>
      <c r="I86" s="379">
        <f>IF(H86,Wh_hp,'2020'!Maxi_hp)</f>
        <v>43.4645843753053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1.4969643975867752E-2</v>
      </c>
      <c r="M86" s="832"/>
      <c r="N86" s="832"/>
      <c r="O86" s="48">
        <f>IF(t&lt;Tnet,'2020'!Resal+('2020'!Salim-'2020'!Resal)*(1-EXP(('2020'!Tnet-t)/('2020'!Tau_j))),Resal+(Salim-Resal)*(1-EXP((Tnet-t)/(Tau_j))))*Salcycl</f>
        <v>5.4432350234030563E-2</v>
      </c>
      <c r="P86" s="169">
        <f>(INDEX(Models!$BJ86:$BT86,,T86)*(1-R86)+INDEX(Models!$BJ86:$BT86,,T86+1)*R86-ERP_i)*Q86*Ramure*Pc/MaxiM</f>
        <v>2.4878152991996983E-4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45.53781909676394</v>
      </c>
      <c r="W86" s="400"/>
      <c r="X86" s="157">
        <f t="shared" si="33"/>
        <v>44268</v>
      </c>
      <c r="Y86" s="383">
        <f t="shared" si="34"/>
        <v>40.475000000000001</v>
      </c>
      <c r="Z86" s="383">
        <f t="shared" si="35"/>
        <v>41.090104231273465</v>
      </c>
      <c r="AA86" s="384">
        <f t="shared" si="36"/>
        <v>43.455488606704535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5.4432350234030563E-2</v>
      </c>
      <c r="AD86" s="230">
        <f>(INDEX(Models!$BJ86:$BT86,,AH86)*(1-AF86)+INDEX(Models!$BJ86:$BT86,,AH86+1)*AF86-ERP_i)*AE86*Ramure*Pc/MaxiM</f>
        <v>2.4878152991996983E-4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27.586000000000002</v>
      </c>
      <c r="C87" s="388"/>
      <c r="D87" s="391">
        <f t="shared" si="24"/>
        <v>28.005765021167527</v>
      </c>
      <c r="E87" s="383">
        <f t="shared" si="45"/>
        <v>29.620719723868373</v>
      </c>
      <c r="F87" s="383">
        <f t="shared" si="25"/>
        <v>29.623779935398698</v>
      </c>
      <c r="G87" s="110">
        <f t="shared" si="46"/>
        <v>0.60097049626001786</v>
      </c>
      <c r="H87" s="412" t="b">
        <f>Wh_hp&gt;='2020'!Maxi_hp</f>
        <v>0</v>
      </c>
      <c r="I87" s="379">
        <f>IF(H87,Wh_hp,'2020'!Maxi_hp)</f>
        <v>41.9627960937136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1.4988521857919435E-2</v>
      </c>
      <c r="M87" s="832"/>
      <c r="N87" s="832"/>
      <c r="O87" s="48">
        <f>IF(t&lt;Tnet,'2020'!Resal+('2020'!Salim-'2020'!Resal)*(1-EXP(('2020'!Tnet-t)/('2020'!Tau_j))),Resal+(Salim-Resal)*(1-EXP((Tnet-t)/(Tau_j))))*Salcycl</f>
        <v>5.4521116223908497E-2</v>
      </c>
      <c r="P87" s="169">
        <f>(INDEX(Models!$BJ87:$BT87,,T87)*(1-R87)+INDEX(Models!$BJ87:$BT87,,T87+1)*R87-ERP_i)*Q87*Ramure*Pc/MaxiM</f>
        <v>2.4019632861314389E-4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45.896135383154515</v>
      </c>
      <c r="W87" s="400"/>
      <c r="X87" s="157">
        <f t="shared" si="33"/>
        <v>44269</v>
      </c>
      <c r="Y87" s="383">
        <f t="shared" si="34"/>
        <v>27.586000000000002</v>
      </c>
      <c r="Z87" s="383">
        <f t="shared" si="35"/>
        <v>28.005765021167527</v>
      </c>
      <c r="AA87" s="384">
        <f t="shared" si="36"/>
        <v>29.620719723868373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5.4521116223908497E-2</v>
      </c>
      <c r="AD87" s="230">
        <f>(INDEX(Models!$BJ87:$BT87,,AH87)*(1-AF87)+INDEX(Models!$BJ87:$BT87,,AH87+1)*AF87-ERP_i)*AE87*Ramure*Pc/MaxiM</f>
        <v>2.4019632861314389E-4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17.936</v>
      </c>
      <c r="C88" s="388"/>
      <c r="D88" s="391">
        <f t="shared" si="24"/>
        <v>18.209273844978249</v>
      </c>
      <c r="E88" s="383">
        <f t="shared" si="45"/>
        <v>19.261123110906908</v>
      </c>
      <c r="F88" s="383">
        <f t="shared" si="25"/>
        <v>19.261683529961616</v>
      </c>
      <c r="G88" s="110">
        <f t="shared" si="46"/>
        <v>0.38770478105434281</v>
      </c>
      <c r="H88" s="412" t="b">
        <f>Wh_hp&gt;='2020'!Maxi_hp</f>
        <v>0</v>
      </c>
      <c r="I88" s="379">
        <f>IF(H88,Wh_hp,'2020'!Maxi_hp)</f>
        <v>33.906662518762403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1.5007399378180741E-2</v>
      </c>
      <c r="M88" s="832"/>
      <c r="N88" s="832"/>
      <c r="O88" s="48">
        <f>IF(t&lt;Tnet,'2020'!Resal+('2020'!Salim-'2020'!Resal)*(1-EXP(('2020'!Tnet-t)/('2020'!Tau_j))),Resal+(Salim-Resal)*(1-EXP((Tnet-t)/(Tau_j))))*Salcycl</f>
        <v>5.4609965362457623E-2</v>
      </c>
      <c r="P88" s="169">
        <f>(INDEX(Models!$BJ88:$BT88,,T88)*(1-R88)+INDEX(Models!$BJ88:$BT88,,T88+1)*R88-ERP_i)*Q88*Ramure*Pc/MaxiM</f>
        <v>2.32008526993194E-4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46.252616201088273</v>
      </c>
      <c r="W88" s="400"/>
      <c r="X88" s="157">
        <f t="shared" si="33"/>
        <v>44270</v>
      </c>
      <c r="Y88" s="383">
        <f t="shared" si="34"/>
        <v>17.936</v>
      </c>
      <c r="Z88" s="383">
        <f t="shared" si="35"/>
        <v>18.209273844978249</v>
      </c>
      <c r="AA88" s="384">
        <f t="shared" si="36"/>
        <v>19.261123110906908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5.4609965362457623E-2</v>
      </c>
      <c r="AD88" s="230">
        <f>(INDEX(Models!$BJ88:$BT88,,AH88)*(1-AF88)+INDEX(Models!$BJ88:$BT88,,AH88+1)*AF88-ERP_i)*AE88*Ramure*Pc/MaxiM</f>
        <v>2.32008526993194E-4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31.25</v>
      </c>
      <c r="C89" s="388"/>
      <c r="D89" s="391">
        <f t="shared" si="24"/>
        <v>31.726734689042761</v>
      </c>
      <c r="E89" s="383">
        <f t="shared" si="45"/>
        <v>33.562570964961147</v>
      </c>
      <c r="F89" s="383">
        <f t="shared" si="25"/>
        <v>33.566554415339255</v>
      </c>
      <c r="G89" s="110">
        <f t="shared" si="46"/>
        <v>0.67043296321501589</v>
      </c>
      <c r="H89" s="412" t="b">
        <f>Wh_hp&gt;='2020'!Maxi_hp</f>
        <v>0</v>
      </c>
      <c r="I89" s="379">
        <f>IF(H89,Wh_hp,'2020'!Maxi_hp)</f>
        <v>50.695816320188271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1.5026276536658778E-2</v>
      </c>
      <c r="M89" s="832"/>
      <c r="N89" s="832"/>
      <c r="O89" s="48">
        <f>IF(t&lt;Tnet,'2020'!Resal+('2020'!Salim-'2020'!Resal)*(1-EXP(('2020'!Tnet-t)/('2020'!Tau_j))),Resal+(Salim-Resal)*(1-EXP((Tnet-t)/(Tau_j))))*Salcycl</f>
        <v>5.4698916773538289E-2</v>
      </c>
      <c r="P89" s="169">
        <f>(INDEX(Models!$BJ89:$BT89,,T89)*(1-R89)+INDEX(Models!$BJ89:$BT89,,T89+1)*R89-ERP_i)*Q89*Ramure*Pc/MaxiM</f>
        <v>2.2421160989905971E-4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46.606750037118616</v>
      </c>
      <c r="W89" s="400"/>
      <c r="X89" s="157">
        <f t="shared" si="33"/>
        <v>44271</v>
      </c>
      <c r="Y89" s="383">
        <f t="shared" si="34"/>
        <v>31.25</v>
      </c>
      <c r="Z89" s="383">
        <f t="shared" si="35"/>
        <v>31.726734689042761</v>
      </c>
      <c r="AA89" s="384">
        <f t="shared" si="36"/>
        <v>33.562570964961147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5.4698916773538289E-2</v>
      </c>
      <c r="AD89" s="230">
        <f>(INDEX(Models!$BJ89:$BT89,,AH89)*(1-AF89)+INDEX(Models!$BJ89:$BT89,,AH89+1)*AF89-ERP_i)*AE89*Ramure*Pc/MaxiM</f>
        <v>2.2421160989905971E-4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25.422000000000001</v>
      </c>
      <c r="C90" s="388"/>
      <c r="D90" s="391">
        <f t="shared" si="24"/>
        <v>25.810320225373882</v>
      </c>
      <c r="E90" s="383">
        <f t="shared" si="45"/>
        <v>27.306382017585808</v>
      </c>
      <c r="F90" s="383">
        <f t="shared" si="25"/>
        <v>27.308423529990701</v>
      </c>
      <c r="G90" s="110">
        <f t="shared" si="46"/>
        <v>0.54130020279617586</v>
      </c>
      <c r="H90" s="412" t="b">
        <f>Wh_hp&gt;='2020'!Maxi_hp</f>
        <v>1</v>
      </c>
      <c r="I90" s="379">
        <f>IF(H90,Wh_hp,'2020'!Maxi_hp)</f>
        <v>27.308423529990701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1.5045153333360317E-2</v>
      </c>
      <c r="M90" s="832"/>
      <c r="N90" s="832"/>
      <c r="O90" s="48">
        <f>IF(t&lt;Tnet,'2020'!Resal+('2020'!Salim-'2020'!Resal)*(1-EXP(('2020'!Tnet-t)/('2020'!Tau_j))),Resal+(Salim-Resal)*(1-EXP((Tnet-t)/(Tau_j))))*Salcycl</f>
        <v>5.4787990267199625E-2</v>
      </c>
      <c r="P90" s="169">
        <f>(INDEX(Models!$BJ90:$BT90,,T90)*(1-R90)+INDEX(Models!$BJ90:$BT90,,T90+1)*R90-ERP_i)*Q90*Ramure*Pc/MaxiM</f>
        <v>2.1679904085093382E-4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46.958025549237995</v>
      </c>
      <c r="W90" s="400"/>
      <c r="X90" s="157">
        <f t="shared" si="33"/>
        <v>44272</v>
      </c>
      <c r="Y90" s="383">
        <f t="shared" si="34"/>
        <v>25.422000000000001</v>
      </c>
      <c r="Z90" s="383">
        <f t="shared" si="35"/>
        <v>25.810320225373882</v>
      </c>
      <c r="AA90" s="384">
        <f t="shared" si="36"/>
        <v>27.306382017585808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5.4787990267199625E-2</v>
      </c>
      <c r="AD90" s="230">
        <f>(INDEX(Models!$BJ90:$BT90,,AH90)*(1-AF90)+INDEX(Models!$BJ90:$BT90,,AH90+1)*AF90-ERP_i)*AE90*Ramure*Pc/MaxiM</f>
        <v>2.1679904085093382E-4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21.187000000000001</v>
      </c>
      <c r="C91" s="388"/>
      <c r="D91" s="391">
        <f t="shared" si="24"/>
        <v>21.511042991978176</v>
      </c>
      <c r="E91" s="383">
        <f t="shared" si="45"/>
        <v>22.760051005934084</v>
      </c>
      <c r="F91" s="383">
        <f t="shared" si="25"/>
        <v>22.761059589395479</v>
      </c>
      <c r="G91" s="110">
        <f t="shared" si="46"/>
        <v>0.44779784905283276</v>
      </c>
      <c r="H91" s="412" t="b">
        <f>Wh_hp&gt;='2020'!Maxi_hp</f>
        <v>0</v>
      </c>
      <c r="I91" s="379">
        <f>IF(H91,Wh_hp,'2020'!Maxi_hp)</f>
        <v>34.112652515484889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1.5064029768292353E-2</v>
      </c>
      <c r="M91" s="832"/>
      <c r="N91" s="832"/>
      <c r="O91" s="48">
        <f>IF(t&lt;Tnet,'2020'!Resal+('2020'!Salim-'2020'!Resal)*(1-EXP(('2020'!Tnet-t)/('2020'!Tau_j))),Resal+(Salim-Resal)*(1-EXP((Tnet-t)/(Tau_j))))*Salcycl</f>
        <v>5.4877206278240026E-2</v>
      </c>
      <c r="P91" s="169">
        <f>(INDEX(Models!$BJ91:$BT91,,T91)*(1-R91)+INDEX(Models!$BJ91:$BT91,,T91+1)*R91-ERP_i)*Q91*Ramure*Pc/MaxiM</f>
        <v>2.09764308747402E-4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47.305931565123906</v>
      </c>
      <c r="W91" s="400"/>
      <c r="X91" s="157">
        <f t="shared" si="33"/>
        <v>44273</v>
      </c>
      <c r="Y91" s="383">
        <f t="shared" si="34"/>
        <v>21.187000000000001</v>
      </c>
      <c r="Z91" s="383">
        <f t="shared" si="35"/>
        <v>21.511042991978176</v>
      </c>
      <c r="AA91" s="384">
        <f t="shared" si="36"/>
        <v>22.760051005934084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5.4877206278240026E-2</v>
      </c>
      <c r="AD91" s="230">
        <f>(INDEX(Models!$BJ91:$BT91,,AH91)*(1-AF91)+INDEX(Models!$BJ91:$BT91,,AH91+1)*AF91-ERP_i)*AE91*Ramure*Pc/MaxiM</f>
        <v>2.09764308747402E-4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9.918000000000001</v>
      </c>
      <c r="C92" s="388"/>
      <c r="D92" s="391">
        <f t="shared" si="24"/>
        <v>10.069883098610877</v>
      </c>
      <c r="E92" s="383">
        <f t="shared" si="45"/>
        <v>10.655584180764977</v>
      </c>
      <c r="F92" s="383">
        <f t="shared" si="25"/>
        <v>10.655584180764977</v>
      </c>
      <c r="G92" s="110">
        <f t="shared" si="46"/>
        <v>0.2081006206684255</v>
      </c>
      <c r="H92" s="412" t="b">
        <f>Wh_hp&gt;='2020'!Maxi_hp</f>
        <v>0</v>
      </c>
      <c r="I92" s="379">
        <f>IF(H92,Wh_hp,'2020'!Maxi_hp)</f>
        <v>46.811989092410982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1.508290584146188E-2</v>
      </c>
      <c r="M92" s="832"/>
      <c r="N92" s="832"/>
      <c r="O92" s="48">
        <f>IF(t&lt;Tnet,'2020'!Resal+('2020'!Salim-'2020'!Resal)*(1-EXP(('2020'!Tnet-t)/('2020'!Tau_j))),Resal+(Salim-Resal)*(1-EXP((Tnet-t)/(Tau_j))))*Salcycl</f>
        <v>5.4966585803093181E-2</v>
      </c>
      <c r="P92" s="169">
        <f>(INDEX(Models!$BJ92:$BT92,,T92)*(1-R92)+INDEX(Models!$BJ92:$BT92,,T92+1)*R92-ERP_i)*Q92*Ramure*Pc/MaxiM</f>
        <v>2.0310097272523248E-4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47.649957086634657</v>
      </c>
      <c r="W92" s="400"/>
      <c r="X92" s="157">
        <f t="shared" si="33"/>
        <v>44274</v>
      </c>
      <c r="Y92" s="383">
        <f t="shared" si="34"/>
        <v>9.918000000000001</v>
      </c>
      <c r="Z92" s="383">
        <f t="shared" si="35"/>
        <v>10.069883098610877</v>
      </c>
      <c r="AA92" s="384">
        <f t="shared" si="36"/>
        <v>10.655584180764977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5.4966585803093181E-2</v>
      </c>
      <c r="AD92" s="230">
        <f>(INDEX(Models!$BJ92:$BT92,,AH92)*(1-AF92)+INDEX(Models!$BJ92:$BT92,,AH92+1)*AF92-ERP_i)*AE92*Ramure*Pc/MaxiM</f>
        <v>2.0310097272523248E-4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41.128</v>
      </c>
      <c r="C93" s="388"/>
      <c r="D93" s="391">
        <f t="shared" si="24"/>
        <v>41.758629703733206</v>
      </c>
      <c r="E93" s="383">
        <f t="shared" si="45"/>
        <v>44.191651936315125</v>
      </c>
      <c r="F93" s="383">
        <f t="shared" si="25"/>
        <v>44.198572499194924</v>
      </c>
      <c r="G93" s="110">
        <f t="shared" si="46"/>
        <v>0.85693028773037105</v>
      </c>
      <c r="H93" s="412" t="b">
        <f>Wh_hp&gt;='2020'!Maxi_hp</f>
        <v>0</v>
      </c>
      <c r="I93" s="379">
        <f>IF(H93,Wh_hp,'2020'!Maxi_hp)</f>
        <v>50.974512464979433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1.510178155287567E-2</v>
      </c>
      <c r="M93" s="832"/>
      <c r="N93" s="832"/>
      <c r="O93" s="48">
        <f>IF(t&lt;Tnet,'2020'!Resal+('2020'!Salim-'2020'!Resal)*(1-EXP(('2020'!Tnet-t)/('2020'!Tau_j))),Resal+(Salim-Resal)*(1-EXP((Tnet-t)/(Tau_j))))*Salcycl</f>
        <v>5.5056150335546686E-2</v>
      </c>
      <c r="P93" s="169">
        <f>(INDEX(Models!$BJ93:$BT93,,T93)*(1-R93)+INDEX(Models!$BJ93:$BT93,,T93+1)*R93-ERP_i)*Q93*Ramure*Pc/MaxiM</f>
        <v>1.9679021673137703E-4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47.992638978817091</v>
      </c>
      <c r="W93" s="400"/>
      <c r="X93" s="157">
        <f t="shared" si="33"/>
        <v>44275</v>
      </c>
      <c r="Y93" s="383">
        <f t="shared" si="34"/>
        <v>41.128</v>
      </c>
      <c r="Z93" s="383">
        <f t="shared" si="35"/>
        <v>41.758629703733206</v>
      </c>
      <c r="AA93" s="384">
        <f t="shared" si="36"/>
        <v>44.191651936315125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5.5056150335546686E-2</v>
      </c>
      <c r="AD93" s="230">
        <f>(INDEX(Models!$BJ93:$BT93,,AH93)*(1-AF93)+INDEX(Models!$BJ93:$BT93,,AH93+1)*AF93-ERP_i)*AE93*Ramure*Pc/MaxiM</f>
        <v>1.9679021673137703E-4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39.965000000000003</v>
      </c>
      <c r="C94" s="388"/>
      <c r="D94" s="391">
        <f t="shared" si="24"/>
        <v>40.578574705719305</v>
      </c>
      <c r="E94" s="383">
        <f t="shared" si="45"/>
        <v>42.946922325932249</v>
      </c>
      <c r="F94" s="383">
        <f t="shared" si="25"/>
        <v>42.953092911357352</v>
      </c>
      <c r="G94" s="110">
        <f t="shared" si="46"/>
        <v>0.82677217685533477</v>
      </c>
      <c r="H94" s="412" t="b">
        <f>Wh_hp&gt;='2020'!Maxi_hp</f>
        <v>0</v>
      </c>
      <c r="I94" s="379">
        <f>IF(H94,Wh_hp,'2020'!Maxi_hp)</f>
        <v>52.150714918937091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1.512065690254083E-2</v>
      </c>
      <c r="M94" s="832"/>
      <c r="N94" s="832"/>
      <c r="O94" s="48">
        <f>IF(t&lt;Tnet,'2020'!Resal+('2020'!Salim-'2020'!Resal)*(1-EXP(('2020'!Tnet-t)/('2020'!Tau_j))),Resal+(Salim-Resal)*(1-EXP((Tnet-t)/(Tau_j))))*Salcycl</f>
        <v>5.5145921801779178E-2</v>
      </c>
      <c r="P94" s="169">
        <f>(INDEX(Models!$BJ94:$BT94,,T94)*(1-R94)+INDEX(Models!$BJ94:$BT94,,T94+1)*R94-ERP_i)*Q94*Ramure*Pc/MaxiM</f>
        <v>1.9088638031467445E-4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48.336305203823422</v>
      </c>
      <c r="W94" s="400"/>
      <c r="X94" s="157">
        <f t="shared" si="33"/>
        <v>44276</v>
      </c>
      <c r="Y94" s="383">
        <f t="shared" si="34"/>
        <v>39.965000000000003</v>
      </c>
      <c r="Z94" s="383">
        <f t="shared" si="35"/>
        <v>40.578574705719305</v>
      </c>
      <c r="AA94" s="384">
        <f t="shared" si="36"/>
        <v>42.946922325932249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5.5145921801779178E-2</v>
      </c>
      <c r="AD94" s="230">
        <f>(INDEX(Models!$BJ94:$BT94,,AH94)*(1-AF94)+INDEX(Models!$BJ94:$BT94,,AH94+1)*AF94-ERP_i)*AE94*Ramure*Pc/MaxiM</f>
        <v>1.9088638031467445E-4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39.677999999999997</v>
      </c>
      <c r="C95" s="388"/>
      <c r="D95" s="391">
        <f t="shared" si="24"/>
        <v>40.287940560923225</v>
      </c>
      <c r="E95" s="383">
        <f t="shared" si="45"/>
        <v>42.643387402414682</v>
      </c>
      <c r="F95" s="383">
        <f t="shared" si="25"/>
        <v>42.64919832990018</v>
      </c>
      <c r="G95" s="110">
        <f t="shared" si="46"/>
        <v>0.81503571367625838</v>
      </c>
      <c r="H95" s="412" t="b">
        <f>Wh_hp&gt;='2020'!Maxi_hp</f>
        <v>0</v>
      </c>
      <c r="I95" s="379">
        <f>IF(H95,Wh_hp,'2020'!Maxi_hp)</f>
        <v>50.892769880316351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1.5139531890464242E-2</v>
      </c>
      <c r="M95" s="832"/>
      <c r="N95" s="832"/>
      <c r="O95" s="48">
        <f>IF(t&lt;Tnet,'2020'!Resal+('2020'!Salim-'2020'!Resal)*(1-EXP(('2020'!Tnet-t)/('2020'!Tau_j))),Resal+(Salim-Resal)*(1-EXP((Tnet-t)/(Tau_j))))*Salcycl</f>
        <v>5.5235922495174089E-2</v>
      </c>
      <c r="P95" s="169">
        <f>(INDEX(Models!$BJ95:$BT95,,T95)*(1-R95)+INDEX(Models!$BJ95:$BT95,,T95+1)*R95-ERP_i)*Q95*Ramure*Pc/MaxiM</f>
        <v>1.8516617485770908E-4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48.680147568721253</v>
      </c>
      <c r="W95" s="400"/>
      <c r="X95" s="157">
        <f t="shared" si="33"/>
        <v>44277</v>
      </c>
      <c r="Y95" s="383">
        <f t="shared" si="34"/>
        <v>39.677999999999997</v>
      </c>
      <c r="Z95" s="383">
        <f t="shared" si="35"/>
        <v>40.287940560923225</v>
      </c>
      <c r="AA95" s="384">
        <f t="shared" si="36"/>
        <v>42.643387402414682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5.5235922495174089E-2</v>
      </c>
      <c r="AD95" s="230">
        <f>(INDEX(Models!$BJ95:$BT95,,AH95)*(1-AF95)+INDEX(Models!$BJ95:$BT95,,AH95+1)*AF95-ERP_i)*AE95*Ramure*Pc/MaxiM</f>
        <v>1.8516617485770908E-4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49.566000000000003</v>
      </c>
      <c r="C96" s="388"/>
      <c r="D96" s="391">
        <f t="shared" si="24"/>
        <v>50.328906016943243</v>
      </c>
      <c r="E96" s="383">
        <f t="shared" si="45"/>
        <v>53.27649045166163</v>
      </c>
      <c r="F96" s="383">
        <f t="shared" si="25"/>
        <v>53.286062169656844</v>
      </c>
      <c r="G96" s="110">
        <f t="shared" si="46"/>
        <v>1.0110692649673609</v>
      </c>
      <c r="H96" s="412" t="b">
        <f>Wh_hp&gt;='2020'!Maxi_hp</f>
        <v>1</v>
      </c>
      <c r="I96" s="379">
        <f>IF(H96,Wh_hp,'2020'!Maxi_hp)</f>
        <v>53.286062169656844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1.5158406516652789E-2</v>
      </c>
      <c r="M96" s="832"/>
      <c r="N96" s="832"/>
      <c r="O96" s="48">
        <f>IF(t&lt;Tnet,'2020'!Resal+('2020'!Salim-'2020'!Resal)*(1-EXP(('2020'!Tnet-t)/('2020'!Tau_j))),Resal+(Salim-Resal)*(1-EXP((Tnet-t)/(Tau_j))))*Salcycl</f>
        <v>5.5326175011335792E-2</v>
      </c>
      <c r="P96" s="169">
        <f>(INDEX(Models!$BJ96:$BT96,,T96)*(1-R96)+INDEX(Models!$BJ96:$BT96,,T96+1)*R96-ERP_i)*Q96*Ramure*Pc/MaxiM</f>
        <v>1.7962892369009244E-4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49.023347576093194</v>
      </c>
      <c r="W96" s="400"/>
      <c r="X96" s="157">
        <f t="shared" si="33"/>
        <v>44278</v>
      </c>
      <c r="Y96" s="383">
        <f t="shared" si="34"/>
        <v>49.566000000000003</v>
      </c>
      <c r="Z96" s="383">
        <f t="shared" si="35"/>
        <v>50.328906016943243</v>
      </c>
      <c r="AA96" s="384">
        <f t="shared" si="36"/>
        <v>53.27649045166163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5.5326175011335792E-2</v>
      </c>
      <c r="AD96" s="230">
        <f>(INDEX(Models!$BJ96:$BT96,,AH96)*(1-AF96)+INDEX(Models!$BJ96:$BT96,,AH96+1)*AF96-ERP_i)*AE96*Ramure*Pc/MaxiM</f>
        <v>1.7962892369009244E-4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48.767000000000003</v>
      </c>
      <c r="C97" s="388"/>
      <c r="D97" s="391">
        <f t="shared" si="24"/>
        <v>49.518557044134411</v>
      </c>
      <c r="E97" s="383">
        <f t="shared" si="45"/>
        <v>52.423705943786914</v>
      </c>
      <c r="F97" s="383">
        <f t="shared" si="25"/>
        <v>52.432685420203406</v>
      </c>
      <c r="G97" s="110">
        <f t="shared" si="46"/>
        <v>0.98788143161955166</v>
      </c>
      <c r="H97" s="412" t="b">
        <f>Wh_hp&gt;='2020'!Maxi_hp</f>
        <v>1</v>
      </c>
      <c r="I97" s="379">
        <f>IF(H97,Wh_hp,'2020'!Maxi_hp)</f>
        <v>52.432685420203406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1.5177280781113356E-2</v>
      </c>
      <c r="M97" s="832"/>
      <c r="N97" s="832"/>
      <c r="O97" s="48">
        <f>IF(t&lt;Tnet,'2020'!Resal+('2020'!Salim-'2020'!Resal)*(1-EXP(('2020'!Tnet-t)/('2020'!Tau_j))),Resal+(Salim-Resal)*(1-EXP((Tnet-t)/(Tau_j))))*Salcycl</f>
        <v>5.5416702183696202E-2</v>
      </c>
      <c r="P97" s="169">
        <f>(INDEX(Models!$BJ97:$BT97,,T97)*(1-R97)+INDEX(Models!$BJ97:$BT97,,T97+1)*R97-ERP_i)*Q97*Ramure*Pc/MaxiM</f>
        <v>1.7427355273153168E-4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49.365087060901388</v>
      </c>
      <c r="W97" s="400"/>
      <c r="X97" s="157">
        <f t="shared" si="33"/>
        <v>44279</v>
      </c>
      <c r="Y97" s="383">
        <f t="shared" si="34"/>
        <v>48.767000000000003</v>
      </c>
      <c r="Z97" s="383">
        <f t="shared" si="35"/>
        <v>49.518557044134411</v>
      </c>
      <c r="AA97" s="384">
        <f t="shared" si="36"/>
        <v>52.423705943786914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5.5416702183696202E-2</v>
      </c>
      <c r="AD97" s="230">
        <f>(INDEX(Models!$BJ97:$BT97,,AH97)*(1-AF97)+INDEX(Models!$BJ97:$BT97,,AH97+1)*AF97-ERP_i)*AE97*Ramure*Pc/MaxiM</f>
        <v>1.7427355273153168E-4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35.335999999999999</v>
      </c>
      <c r="C98" s="388"/>
      <c r="D98" s="391">
        <f t="shared" si="24"/>
        <v>35.88125713365411</v>
      </c>
      <c r="E98" s="383">
        <f t="shared" si="45"/>
        <v>37.989987384913896</v>
      </c>
      <c r="F98" s="383">
        <f t="shared" si="25"/>
        <v>37.993758871026351</v>
      </c>
      <c r="G98" s="110">
        <f t="shared" si="46"/>
        <v>0.71087120654710978</v>
      </c>
      <c r="H98" s="412" t="b">
        <f>Wh_hp&gt;='2020'!Maxi_hp</f>
        <v>0</v>
      </c>
      <c r="I98" s="379">
        <f>IF(H98,Wh_hp,'2020'!Maxi_hp)</f>
        <v>44.782002730690941</v>
      </c>
      <c r="J98" s="85">
        <f>IF(H98,An,'2020'!An_max)</f>
        <v>2018</v>
      </c>
      <c r="K98" s="197">
        <f t="shared" si="26"/>
        <v>44280</v>
      </c>
      <c r="L98" s="147">
        <f>IF(t&lt;Tvie,1-EXP((T0-t)*PertePVj)+'2020'!Pspv,1-EXP((T0-t)*PertePVj)+Pspv)</f>
        <v>1.5196154683853047E-2</v>
      </c>
      <c r="M98" s="832"/>
      <c r="N98" s="832"/>
      <c r="O98" s="48">
        <f>IF(t&lt;Tnet,'2020'!Resal+('2020'!Salim-'2020'!Resal)*(1-EXP(('2020'!Tnet-t)/('2020'!Tau_j))),Resal+(Salim-Resal)*(1-EXP((Tnet-t)/(Tau_j))))*Salcycl</f>
        <v>5.5507527020058428E-2</v>
      </c>
      <c r="P98" s="169">
        <f>(INDEX(Models!$BJ98:$BT98,,T98)*(1-R98)+INDEX(Models!$BJ98:$BT98,,T98+1)*R98-ERP_i)*Q98*Ramure*Pc/MaxiM</f>
        <v>1.6909863643159838E-4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49.704548195753745</v>
      </c>
      <c r="W98" s="400"/>
      <c r="X98" s="157">
        <f t="shared" si="33"/>
        <v>44280</v>
      </c>
      <c r="Y98" s="383">
        <f t="shared" si="34"/>
        <v>35.335999999999999</v>
      </c>
      <c r="Z98" s="383">
        <f t="shared" si="35"/>
        <v>35.88125713365411</v>
      </c>
      <c r="AA98" s="384">
        <f t="shared" si="36"/>
        <v>37.989987384913896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5.5507527020058428E-2</v>
      </c>
      <c r="AD98" s="230">
        <f>(INDEX(Models!$BJ98:$BT98,,AH98)*(1-AF98)+INDEX(Models!$BJ98:$BT98,,AH98+1)*AF98-ERP_i)*AE98*Ramure*Pc/MaxiM</f>
        <v>1.6909863643159838E-4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39.146999999999998</v>
      </c>
      <c r="C99" s="388"/>
      <c r="D99" s="391">
        <f t="shared" si="24"/>
        <v>39.751825141518651</v>
      </c>
      <c r="E99" s="383">
        <f t="shared" si="45"/>
        <v>42.092089443221873</v>
      </c>
      <c r="F99" s="383">
        <f t="shared" si="25"/>
        <v>42.096849188788383</v>
      </c>
      <c r="G99" s="110">
        <f t="shared" si="46"/>
        <v>0.78225993765034019</v>
      </c>
      <c r="H99" s="412" t="b">
        <f>Wh_hp&gt;='2020'!Maxi_hp</f>
        <v>0</v>
      </c>
      <c r="I99" s="379">
        <f>IF(H99,Wh_hp,'2020'!Maxi_hp)</f>
        <v>54.664172365947202</v>
      </c>
      <c r="J99" s="85">
        <f>IF(H99,An,'2020'!An_max)</f>
        <v>2018</v>
      </c>
      <c r="K99" s="197">
        <f t="shared" si="26"/>
        <v>44281</v>
      </c>
      <c r="L99" s="147">
        <f>IF(t&lt;Tvie,1-EXP((T0-t)*PertePVj)+'2020'!Pspv,1-EXP((T0-t)*PertePVj)+Pspv)</f>
        <v>1.5215028224878746E-2</v>
      </c>
      <c r="M99" s="832"/>
      <c r="N99" s="832"/>
      <c r="O99" s="48">
        <f>IF(t&lt;Tnet,'2020'!Resal+('2020'!Salim-'2020'!Resal)*(1-EXP(('2020'!Tnet-t)/('2020'!Tau_j))),Resal+(Salim-Resal)*(1-EXP((Tnet-t)/(Tau_j))))*Salcycl</f>
        <v>5.5598672640378474E-2</v>
      </c>
      <c r="P99" s="169">
        <f>(INDEX(Models!$BJ99:$BT99,,T99)*(1-R99)+INDEX(Models!$BJ99:$BT99,,T99+1)*R99-ERP_i)*Q99*Ramure*Pc/MaxiM</f>
        <v>1.6410244201342625E-4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50.040913496927246</v>
      </c>
      <c r="W99" s="400"/>
      <c r="X99" s="157">
        <f t="shared" si="33"/>
        <v>44281</v>
      </c>
      <c r="Y99" s="383">
        <f t="shared" si="34"/>
        <v>39.146999999999998</v>
      </c>
      <c r="Z99" s="383">
        <f t="shared" si="35"/>
        <v>39.751825141518651</v>
      </c>
      <c r="AA99" s="384">
        <f t="shared" si="36"/>
        <v>42.092089443221873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5.5598672640378474E-2</v>
      </c>
      <c r="AD99" s="230">
        <f>(INDEX(Models!$BJ99:$BT99,,AH99)*(1-AF99)+INDEX(Models!$BJ99:$BT99,,AH99+1)*AF99-ERP_i)*AE99*Ramure*Pc/MaxiM</f>
        <v>1.6410244201342625E-4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45.521000000000001</v>
      </c>
      <c r="C100" s="388"/>
      <c r="D100" s="391">
        <f t="shared" si="24"/>
        <v>46.225189986646861</v>
      </c>
      <c r="E100" s="383">
        <f t="shared" si="45"/>
        <v>48.951295578075097</v>
      </c>
      <c r="F100" s="383">
        <f t="shared" si="25"/>
        <v>48.958023642083617</v>
      </c>
      <c r="G100" s="110">
        <f t="shared" si="46"/>
        <v>0.90365224010076239</v>
      </c>
      <c r="H100" s="412" t="b">
        <f>Wh_hp&gt;='2020'!Maxi_hp</f>
        <v>0</v>
      </c>
      <c r="I100" s="379">
        <f>IF(H100,Wh_hp,'2020'!Maxi_hp)</f>
        <v>53.82661692337178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1.5233901404197225E-2</v>
      </c>
      <c r="M100" s="832"/>
      <c r="N100" s="832"/>
      <c r="O100" s="48">
        <f>IF(t&lt;Tnet,'2020'!Resal+('2020'!Salim-'2020'!Resal)*(1-EXP(('2020'!Tnet-t)/('2020'!Tau_j))),Resal+(Salim-Resal)*(1-EXP((Tnet-t)/(Tau_j))))*Salcycl</f>
        <v>5.5690162216038272E-2</v>
      </c>
      <c r="P100" s="169">
        <f>(INDEX(Models!$BJ100:$BT100,,T100)*(1-R100)+INDEX(Models!$BJ100:$BT100,,T100+1)*R100-ERP_i)*Q100*Ramure*Pc/MaxiM</f>
        <v>1.5935408522688288E-4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50.373362247085886</v>
      </c>
      <c r="W100" s="400"/>
      <c r="X100" s="157">
        <f t="shared" si="33"/>
        <v>44282</v>
      </c>
      <c r="Y100" s="383">
        <f t="shared" si="34"/>
        <v>45.521000000000001</v>
      </c>
      <c r="Z100" s="383">
        <f t="shared" si="35"/>
        <v>46.225189986646861</v>
      </c>
      <c r="AA100" s="384">
        <f t="shared" si="36"/>
        <v>48.951295578075097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5.5690162216038272E-2</v>
      </c>
      <c r="AD100" s="230">
        <f>(INDEX(Models!$BJ100:$BT100,,AH100)*(1-AF100)+INDEX(Models!$BJ100:$BT100,,AH100+1)*AF100-ERP_i)*AE100*Ramure*Pc/MaxiM</f>
        <v>1.5935408522688288E-4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49.536000000000001</v>
      </c>
      <c r="C101" s="388"/>
      <c r="D101" s="391">
        <f t="shared" si="24"/>
        <v>50.303264333499172</v>
      </c>
      <c r="E101" s="383">
        <f t="shared" si="45"/>
        <v>53.275054427021907</v>
      </c>
      <c r="F101" s="383">
        <f t="shared" si="25"/>
        <v>53.283033319082513</v>
      </c>
      <c r="G101" s="110">
        <f t="shared" si="46"/>
        <v>0.97701566480300006</v>
      </c>
      <c r="H101" s="412" t="b">
        <f>Wh_hp&gt;='2020'!Maxi_hp</f>
        <v>1</v>
      </c>
      <c r="I101" s="379">
        <f>IF(H101,Wh_hp,'2020'!Maxi_hp)</f>
        <v>53.283033319082513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1.525277422181559E-2</v>
      </c>
      <c r="M101" s="832"/>
      <c r="N101" s="832"/>
      <c r="O101" s="48">
        <f>IF(t&lt;Tnet,'2020'!Resal+('2020'!Salim-'2020'!Resal)*(1-EXP(('2020'!Tnet-t)/('2020'!Tau_j))),Resal+(Salim-Resal)*(1-EXP((Tnet-t)/(Tau_j))))*Salcycl</f>
        <v>5.5782018910813129E-2</v>
      </c>
      <c r="P101" s="169">
        <f>(INDEX(Models!$BJ101:$BT101,,T101)*(1-R101)+INDEX(Models!$BJ101:$BT101,,T101+1)*R101-ERP_i)*Q101*Ramure*Pc/MaxiM</f>
        <v>1.5482810056275973E-4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50.701078777833978</v>
      </c>
      <c r="W101" s="400"/>
      <c r="X101" s="157">
        <f t="shared" si="33"/>
        <v>44283</v>
      </c>
      <c r="Y101" s="383">
        <f t="shared" si="34"/>
        <v>49.536000000000001</v>
      </c>
      <c r="Z101" s="383">
        <f t="shared" si="35"/>
        <v>50.303264333499172</v>
      </c>
      <c r="AA101" s="384">
        <f t="shared" si="36"/>
        <v>53.275054427021907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5.5782018910813129E-2</v>
      </c>
      <c r="AD101" s="230">
        <f>(INDEX(Models!$BJ101:$BT101,,AH101)*(1-AF101)+INDEX(Models!$BJ101:$BT101,,AH101+1)*AF101-ERP_i)*AE101*Ramure*Pc/MaxiM</f>
        <v>1.5482810056275973E-4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51.566000000000003</v>
      </c>
      <c r="C102" s="388"/>
      <c r="D102" s="391">
        <f t="shared" si="24"/>
        <v>52.365710630782111</v>
      </c>
      <c r="E102" s="383">
        <f t="shared" si="45"/>
        <v>55.464763574596994</v>
      </c>
      <c r="F102" s="383">
        <f t="shared" si="25"/>
        <v>55.473113479022246</v>
      </c>
      <c r="G102" s="110">
        <f t="shared" si="46"/>
        <v>1.010637373882314</v>
      </c>
      <c r="H102" s="412" t="b">
        <f>Wh_hp&gt;='2020'!Maxi_hp</f>
        <v>1</v>
      </c>
      <c r="I102" s="379">
        <f>IF(H102,Wh_hp,'2020'!Maxi_hp)</f>
        <v>55.473113479022246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1.5271646677740613E-2</v>
      </c>
      <c r="M102" s="832"/>
      <c r="N102" s="832"/>
      <c r="O102" s="48">
        <f>IF(t&lt;Tnet,'2020'!Resal+('2020'!Salim-'2020'!Resal)*(1-EXP(('2020'!Tnet-t)/('2020'!Tau_j))),Resal+(Salim-Resal)*(1-EXP((Tnet-t)/(Tau_j))))*Salcycl</f>
        <v>5.5874265823685168E-2</v>
      </c>
      <c r="P102" s="169">
        <f>(INDEX(Models!$BJ102:$BT102,,T102)*(1-R102)+INDEX(Models!$BJ102:$BT102,,T102+1)*R102-ERP_i)*Q102*Ramure*Pc/MaxiM</f>
        <v>1.5052164736362378E-4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51.02324664870816</v>
      </c>
      <c r="W102" s="400"/>
      <c r="X102" s="157">
        <f t="shared" si="33"/>
        <v>44284</v>
      </c>
      <c r="Y102" s="383">
        <f t="shared" si="34"/>
        <v>51.566000000000003</v>
      </c>
      <c r="Z102" s="383">
        <f t="shared" si="35"/>
        <v>52.365710630782111</v>
      </c>
      <c r="AA102" s="384">
        <f t="shared" si="36"/>
        <v>55.464763574596994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5.5874265823685168E-2</v>
      </c>
      <c r="AD102" s="230">
        <f>(INDEX(Models!$BJ102:$BT102,,AH102)*(1-AF102)+INDEX(Models!$BJ102:$BT102,,AH102+1)*AF102-ERP_i)*AE102*Ramure*Pc/MaxiM</f>
        <v>1.5052164736362378E-4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48.140999999999998</v>
      </c>
      <c r="C103" s="388"/>
      <c r="D103" s="391">
        <f t="shared" si="24"/>
        <v>48.888531001005369</v>
      </c>
      <c r="E103" s="383">
        <f t="shared" si="45"/>
        <v>51.786883684508354</v>
      </c>
      <c r="F103" s="383">
        <f t="shared" si="25"/>
        <v>51.793793024757079</v>
      </c>
      <c r="G103" s="110">
        <f t="shared" si="46"/>
        <v>0.9376950448356669</v>
      </c>
      <c r="H103" s="412" t="b">
        <f>Wh_hp&gt;='2020'!Maxi_hp</f>
        <v>0</v>
      </c>
      <c r="I103" s="379">
        <f>IF(H103,Wh_hp,'2020'!Maxi_hp)</f>
        <v>54.228775027955102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1.52905187719794E-2</v>
      </c>
      <c r="M103" s="832"/>
      <c r="N103" s="832"/>
      <c r="O103" s="48">
        <f>IF(t&lt;Tnet,'2020'!Resal+('2020'!Salim-'2020'!Resal)*(1-EXP(('2020'!Tnet-t)/('2020'!Tau_j))),Resal+(Salim-Resal)*(1-EXP((Tnet-t)/(Tau_j))))*Salcycl</f>
        <v>5.5966925933602849E-2</v>
      </c>
      <c r="P103" s="169">
        <f>(INDEX(Models!$BJ103:$BT103,,T103)*(1-R103)+INDEX(Models!$BJ103:$BT103,,T103+1)*R103-ERP_i)*Q103*Ramure*Pc/MaxiM</f>
        <v>1.4643184617751302E-4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51.339049790424333</v>
      </c>
      <c r="W103" s="400"/>
      <c r="X103" s="157">
        <f t="shared" si="33"/>
        <v>44285</v>
      </c>
      <c r="Y103" s="383">
        <f t="shared" si="34"/>
        <v>48.140999999999998</v>
      </c>
      <c r="Z103" s="383">
        <f t="shared" si="35"/>
        <v>48.888531001005369</v>
      </c>
      <c r="AA103" s="384">
        <f t="shared" si="36"/>
        <v>51.786883684508354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5.5966925933602849E-2</v>
      </c>
      <c r="AD103" s="230">
        <f>(INDEX(Models!$BJ103:$BT103,,AH103)*(1-AF103)+INDEX(Models!$BJ103:$BT103,,AH103+1)*AF103-ERP_i)*AE103*Ramure*Pc/MaxiM</f>
        <v>1.4643184617751302E-4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46.420999999999999</v>
      </c>
      <c r="C104" s="388"/>
      <c r="D104" s="391">
        <f t="shared" si="24"/>
        <v>47.142726408029155</v>
      </c>
      <c r="E104" s="383">
        <f t="shared" si="45"/>
        <v>49.942504300139113</v>
      </c>
      <c r="F104" s="383">
        <f t="shared" si="25"/>
        <v>49.948595361830613</v>
      </c>
      <c r="G104" s="110">
        <f t="shared" si="46"/>
        <v>0.89878286729442913</v>
      </c>
      <c r="H104" s="412" t="b">
        <f>Wh_hp&gt;='2020'!Maxi_hp</f>
        <v>1</v>
      </c>
      <c r="I104" s="379">
        <f>IF(H104,Wh_hp,'2020'!Maxi_hp)</f>
        <v>49.948595361830613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1.5309390504538833E-2</v>
      </c>
      <c r="M104" s="832"/>
      <c r="N104" s="832"/>
      <c r="O104" s="48">
        <f>IF(t&lt;Tnet,'2020'!Resal+('2020'!Salim-'2020'!Resal)*(1-EXP(('2020'!Tnet-t)/('2020'!Tau_j))),Resal+(Salim-Resal)*(1-EXP((Tnet-t)/(Tau_j))))*Salcycl</f>
        <v>5.6060022046234503E-2</v>
      </c>
      <c r="P104" s="169">
        <f>(INDEX(Models!$BJ104:$BT104,,T104)*(1-R104)+INDEX(Models!$BJ104:$BT104,,T104+1)*R104-ERP_i)*Q104*Ramure*Pc/MaxiM</f>
        <v>1.4255582127007104E-4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51.64767250480147</v>
      </c>
      <c r="W104" s="400"/>
      <c r="X104" s="157">
        <f t="shared" si="33"/>
        <v>44286</v>
      </c>
      <c r="Y104" s="383">
        <f t="shared" si="34"/>
        <v>46.420999999999999</v>
      </c>
      <c r="Z104" s="383">
        <f t="shared" si="35"/>
        <v>47.142726408029155</v>
      </c>
      <c r="AA104" s="384">
        <f t="shared" si="36"/>
        <v>49.942504300139113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5.6060022046234503E-2</v>
      </c>
      <c r="AD104" s="230">
        <f>(INDEX(Models!$BJ104:$BT104,,AH104)*(1-AF104)+INDEX(Models!$BJ104:$BT104,,AH104+1)*AF104-ERP_i)*AE104*Ramure*Pc/MaxiM</f>
        <v>1.4255582127007104E-4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47.117000000000004</v>
      </c>
      <c r="C105" s="388"/>
      <c r="D105" s="391">
        <f t="shared" si="24"/>
        <v>47.850464449949584</v>
      </c>
      <c r="E105" s="383">
        <f t="shared" si="45"/>
        <v>50.69729912713337</v>
      </c>
      <c r="F105" s="383">
        <f t="shared" si="25"/>
        <v>50.703405728850484</v>
      </c>
      <c r="G105" s="110">
        <f t="shared" si="46"/>
        <v>0.90698118930034277</v>
      </c>
      <c r="H105" s="412" t="b">
        <f>Wh_hp&gt;='2020'!Maxi_hp</f>
        <v>1</v>
      </c>
      <c r="I105" s="379">
        <f>IF(H105,Wh_hp,'2020'!Maxi_hp)</f>
        <v>50.703405728850484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1.5328261875425797E-2</v>
      </c>
      <c r="M105" s="832"/>
      <c r="N105" s="832"/>
      <c r="O105" s="48">
        <f>IF(t&lt;Tnet,'2020'!Resal+('2020'!Salim-'2020'!Resal)*(1-EXP(('2020'!Tnet-t)/('2020'!Tau_j))),Resal+(Salim-Resal)*(1-EXP((Tnet-t)/(Tau_j))))*Salcycl</f>
        <v>5.6153576742713512E-2</v>
      </c>
      <c r="P105" s="169">
        <f>(INDEX(Models!$BJ105:$BT105,,T105)*(1-R105)+INDEX(Models!$BJ105:$BT105,,T105+1)*R105-ERP_i)*Q105*Ramure*Pc/MaxiM</f>
        <v>1.3889074104223649E-4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51.948299478870403</v>
      </c>
      <c r="W105" s="400"/>
      <c r="X105" s="157">
        <f t="shared" si="33"/>
        <v>44287</v>
      </c>
      <c r="Y105" s="383">
        <f t="shared" si="34"/>
        <v>47.117000000000004</v>
      </c>
      <c r="Z105" s="383">
        <f t="shared" si="35"/>
        <v>47.850464449949584</v>
      </c>
      <c r="AA105" s="384">
        <f t="shared" si="36"/>
        <v>50.69729912713337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5.6153576742713512E-2</v>
      </c>
      <c r="AD105" s="230">
        <f>(INDEX(Models!$BJ105:$BT105,,AH105)*(1-AF105)+INDEX(Models!$BJ105:$BT105,,AH105+1)*AF105-ERP_i)*AE105*Ramure*Pc/MaxiM</f>
        <v>1.3889074104223649E-4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42.689</v>
      </c>
      <c r="C106" s="388"/>
      <c r="D106" s="391">
        <f t="shared" si="24"/>
        <v>43.354365203913993</v>
      </c>
      <c r="E106" s="383">
        <f t="shared" si="45"/>
        <v>45.938283993076936</v>
      </c>
      <c r="F106" s="383">
        <f t="shared" si="25"/>
        <v>45.942881049826532</v>
      </c>
      <c r="G106" s="110">
        <f t="shared" si="46"/>
        <v>0.8171400300522208</v>
      </c>
      <c r="H106" s="412" t="b">
        <f>Wh_hp&gt;='2020'!Maxi_hp</f>
        <v>1</v>
      </c>
      <c r="I106" s="379">
        <f>IF(H106,Wh_hp,'2020'!Maxi_hp)</f>
        <v>45.942881049826532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1.5347132884647174E-2</v>
      </c>
      <c r="M106" s="832"/>
      <c r="N106" s="832"/>
      <c r="O106" s="48">
        <f>IF(t&lt;Tnet,'2020'!Resal+('2020'!Salim-'2020'!Resal)*(1-EXP(('2020'!Tnet-t)/('2020'!Tau_j))),Resal+(Salim-Resal)*(1-EXP((Tnet-t)/(Tau_j))))*Salcycl</f>
        <v>5.6247612330324513E-2</v>
      </c>
      <c r="P106" s="169">
        <f>(INDEX(Models!$BJ106:$BT106,,T106)*(1-R106)+INDEX(Models!$BJ106:$BT106,,T106+1)*R106-ERP_i)*Q106*Ramure*Pc/MaxiM</f>
        <v>1.3543385657403584E-4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52.240115788738215</v>
      </c>
      <c r="W106" s="400"/>
      <c r="X106" s="157">
        <f t="shared" si="33"/>
        <v>44288</v>
      </c>
      <c r="Y106" s="383">
        <f t="shared" si="34"/>
        <v>42.689</v>
      </c>
      <c r="Z106" s="383">
        <f t="shared" si="35"/>
        <v>43.354365203913993</v>
      </c>
      <c r="AA106" s="384">
        <f t="shared" si="36"/>
        <v>45.938283993076936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5.6247612330324513E-2</v>
      </c>
      <c r="AD106" s="230">
        <f>(INDEX(Models!$BJ106:$BT106,,AH106)*(1-AF106)+INDEX(Models!$BJ106:$BT106,,AH106+1)*AF106-ERP_i)*AE106*Ramure*Pc/MaxiM</f>
        <v>1.3543385657403584E-4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51.619</v>
      </c>
      <c r="C107" s="388"/>
      <c r="D107" s="391">
        <f t="shared" si="24"/>
        <v>52.424555911307699</v>
      </c>
      <c r="E107" s="383">
        <f t="shared" si="45"/>
        <v>55.554622849240801</v>
      </c>
      <c r="F107" s="383">
        <f t="shared" si="25"/>
        <v>55.561785950469968</v>
      </c>
      <c r="G107" s="110">
        <f t="shared" si="46"/>
        <v>0.98275595956137141</v>
      </c>
      <c r="H107" s="412" t="b">
        <f>Wh_hp&gt;='2020'!Maxi_hp</f>
        <v>1</v>
      </c>
      <c r="I107" s="379">
        <f>IF(H107,Wh_hp,'2020'!Maxi_hp)</f>
        <v>55.561785950469968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1.5366003532210071E-2</v>
      </c>
      <c r="M107" s="832"/>
      <c r="N107" s="832"/>
      <c r="O107" s="48">
        <f>IF(t&lt;Tnet,'2020'!Resal+('2020'!Salim-'2020'!Resal)*(1-EXP(('2020'!Tnet-t)/('2020'!Tau_j))),Resal+(Salim-Resal)*(1-EXP((Tnet-t)/(Tau_j))))*Salcycl</f>
        <v>5.6342150795032769E-2</v>
      </c>
      <c r="P107" s="169">
        <f>(INDEX(Models!$BJ107:$BT107,,T107)*(1-R107)+INDEX(Models!$BJ107:$BT107,,T107+1)*R107-ERP_i)*Q107*Ramure*Pc/MaxiM</f>
        <v>1.3217684968889147E-4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52.524567702905529</v>
      </c>
      <c r="W107" s="400"/>
      <c r="X107" s="157">
        <f t="shared" si="33"/>
        <v>44289</v>
      </c>
      <c r="Y107" s="383">
        <f t="shared" si="34"/>
        <v>51.619</v>
      </c>
      <c r="Z107" s="383">
        <f t="shared" si="35"/>
        <v>52.424555911307699</v>
      </c>
      <c r="AA107" s="384">
        <f t="shared" si="36"/>
        <v>55.554622849240801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5.6342150795032769E-2</v>
      </c>
      <c r="AD107" s="230">
        <f>(INDEX(Models!$BJ107:$BT107,,AH107)*(1-AF107)+INDEX(Models!$BJ107:$BT107,,AH107+1)*AF107-ERP_i)*AE107*Ramure*Pc/MaxiM</f>
        <v>1.3217684968889147E-4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51.276000000000003</v>
      </c>
      <c r="C108" s="388"/>
      <c r="D108" s="391">
        <f t="shared" si="24"/>
        <v>52.077201168782643</v>
      </c>
      <c r="E108" s="383">
        <f t="shared" si="45"/>
        <v>55.192088886918171</v>
      </c>
      <c r="F108" s="383">
        <f t="shared" si="25"/>
        <v>55.198921303597992</v>
      </c>
      <c r="G108" s="110">
        <f t="shared" si="46"/>
        <v>0.97106540326986712</v>
      </c>
      <c r="H108" s="412" t="b">
        <f>Wh_hp&gt;='2020'!Maxi_hp</f>
        <v>0</v>
      </c>
      <c r="I108" s="379">
        <f>IF(H108,Wh_hp,'2020'!Maxi_hp)</f>
        <v>57.558924699627966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1.5384873818121259E-2</v>
      </c>
      <c r="M108" s="832"/>
      <c r="N108" s="832"/>
      <c r="O108" s="48">
        <f>IF(t&lt;Tnet,'2020'!Resal+('2020'!Salim-'2020'!Resal)*(1-EXP(('2020'!Tnet-t)/('2020'!Tau_j))),Resal+(Salim-Resal)*(1-EXP((Tnet-t)/(Tau_j))))*Salcycl</f>
        <v>5.6437213755716871E-2</v>
      </c>
      <c r="P108" s="169">
        <f>(INDEX(Models!$BJ108:$BT108,,T108)*(1-R108)+INDEX(Models!$BJ108:$BT108,,T108+1)*R108-ERP_i)*Q108*Ramure*Pc/MaxiM</f>
        <v>1.2911407560619844E-4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52.803576551206035</v>
      </c>
      <c r="W108" s="400"/>
      <c r="X108" s="157">
        <f t="shared" si="33"/>
        <v>44290</v>
      </c>
      <c r="Y108" s="383">
        <f t="shared" si="34"/>
        <v>51.276000000000003</v>
      </c>
      <c r="Z108" s="383">
        <f t="shared" si="35"/>
        <v>52.077201168782643</v>
      </c>
      <c r="AA108" s="384">
        <f t="shared" si="36"/>
        <v>55.192088886918171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5.6437213755716871E-2</v>
      </c>
      <c r="AD108" s="230">
        <f>(INDEX(Models!$BJ108:$BT108,,AH108)*(1-AF108)+INDEX(Models!$BJ108:$BT108,,AH108+1)*AF108-ERP_i)*AE108*Ramure*Pc/MaxiM</f>
        <v>1.2911407560619844E-4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49.024000000000001</v>
      </c>
      <c r="C109" s="388"/>
      <c r="D109" s="391">
        <f t="shared" si="24"/>
        <v>49.790967300990062</v>
      </c>
      <c r="E109" s="383">
        <f t="shared" si="45"/>
        <v>52.774456265347062</v>
      </c>
      <c r="F109" s="383">
        <f t="shared" si="25"/>
        <v>52.780389403706025</v>
      </c>
      <c r="G109" s="110">
        <f t="shared" si="46"/>
        <v>0.92362575882789555</v>
      </c>
      <c r="H109" s="412" t="b">
        <f>Wh_hp&gt;='2020'!Maxi_hp</f>
        <v>0</v>
      </c>
      <c r="I109" s="379">
        <f>IF(H109,Wh_hp,'2020'!Maxi_hp)</f>
        <v>59.132284614261103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1.5403743742387732E-2</v>
      </c>
      <c r="M109" s="832"/>
      <c r="N109" s="832"/>
      <c r="O109" s="48">
        <f>IF(t&lt;Tnet,'2020'!Resal+('2020'!Salim-'2020'!Resal)*(1-EXP(('2020'!Tnet-t)/('2020'!Tau_j))),Resal+(Salim-Resal)*(1-EXP((Tnet-t)/(Tau_j))))*Salcycl</f>
        <v>5.6532822419925695E-2</v>
      </c>
      <c r="P109" s="169">
        <f>(INDEX(Models!$BJ109:$BT109,,T109)*(1-R109)+INDEX(Models!$BJ109:$BT109,,T109+1)*R109-ERP_i)*Q109*Ramure*Pc/MaxiM</f>
        <v>1.2617607868512784E-4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53.077044111620225</v>
      </c>
      <c r="W109" s="400"/>
      <c r="X109" s="157">
        <f t="shared" si="33"/>
        <v>44291</v>
      </c>
      <c r="Y109" s="383">
        <f t="shared" si="34"/>
        <v>49.024000000000001</v>
      </c>
      <c r="Z109" s="383">
        <f t="shared" si="35"/>
        <v>49.790967300990062</v>
      </c>
      <c r="AA109" s="384">
        <f t="shared" si="36"/>
        <v>52.774456265347062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5.6532822419925695E-2</v>
      </c>
      <c r="AD109" s="230">
        <f>(INDEX(Models!$BJ109:$BT109,,AH109)*(1-AF109)+INDEX(Models!$BJ109:$BT109,,AH109+1)*AF109-ERP_i)*AE109*Ramure*Pc/MaxiM</f>
        <v>1.2617607868512784E-4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33.474000000000004</v>
      </c>
      <c r="C110" s="388"/>
      <c r="D110" s="391">
        <f t="shared" si="24"/>
        <v>33.998343301754154</v>
      </c>
      <c r="E110" s="383">
        <f t="shared" si="45"/>
        <v>36.039207494328082</v>
      </c>
      <c r="F110" s="383">
        <f t="shared" si="25"/>
        <v>36.041287626364571</v>
      </c>
      <c r="G110" s="110">
        <f t="shared" si="46"/>
        <v>0.62746058357910417</v>
      </c>
      <c r="H110" s="412" t="b">
        <f>Wh_hp&gt;='2020'!Maxi_hp</f>
        <v>0</v>
      </c>
      <c r="I110" s="379">
        <f>IF(H110,Wh_hp,'2020'!Maxi_hp)</f>
        <v>59.680123270108488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1.5422613305016375E-2</v>
      </c>
      <c r="M110" s="832"/>
      <c r="N110" s="832"/>
      <c r="O110" s="48">
        <f>IF(t&lt;Tnet,'2020'!Resal+('2020'!Salim-'2020'!Resal)*(1-EXP(('2020'!Tnet-t)/('2020'!Tau_j))),Resal+(Salim-Resal)*(1-EXP((Tnet-t)/(Tau_j))))*Salcycl</f>
        <v>5.6628997540945532E-2</v>
      </c>
      <c r="P110" s="169">
        <f>(INDEX(Models!$BJ110:$BT110,,T110)*(1-R110)+INDEX(Models!$BJ110:$BT110,,T110+1)*R110-ERP_i)*Q110*Ramure*Pc/MaxiM</f>
        <v>1.2336017644393174E-4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53.344868747097365</v>
      </c>
      <c r="W110" s="400"/>
      <c r="X110" s="157">
        <f t="shared" si="33"/>
        <v>44292</v>
      </c>
      <c r="Y110" s="383">
        <f t="shared" si="34"/>
        <v>33.474000000000004</v>
      </c>
      <c r="Z110" s="383">
        <f t="shared" si="35"/>
        <v>33.998343301754154</v>
      </c>
      <c r="AA110" s="384">
        <f t="shared" si="36"/>
        <v>36.039207494328082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5.6628997540945532E-2</v>
      </c>
      <c r="AD110" s="230">
        <f>(INDEX(Models!$BJ110:$BT110,,AH110)*(1-AF110)+INDEX(Models!$BJ110:$BT110,,AH110+1)*AF110-ERP_i)*AE110*Ramure*Pc/MaxiM</f>
        <v>1.2336017644393174E-4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53.72</v>
      </c>
      <c r="C111" s="388"/>
      <c r="D111" s="391">
        <f t="shared" si="24"/>
        <v>54.562526295272384</v>
      </c>
      <c r="E111" s="383">
        <f t="shared" si="45"/>
        <v>57.843757356475784</v>
      </c>
      <c r="F111" s="383">
        <f t="shared" si="25"/>
        <v>57.850737846912956</v>
      </c>
      <c r="G111" s="110">
        <f t="shared" si="46"/>
        <v>1.0021088890352954</v>
      </c>
      <c r="H111" s="412" t="b">
        <f>Wh_hp&gt;='2020'!Maxi_hp</f>
        <v>1</v>
      </c>
      <c r="I111" s="379">
        <f>IF(H111,Wh_hp,'2020'!Maxi_hp)</f>
        <v>57.850737846912956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1.5441482506014181E-2</v>
      </c>
      <c r="M111" s="832"/>
      <c r="N111" s="832"/>
      <c r="O111" s="48">
        <f>IF(t&lt;Tnet,'2020'!Resal+('2020'!Salim-'2020'!Resal)*(1-EXP(('2020'!Tnet-t)/('2020'!Tau_j))),Resal+(Salim-Resal)*(1-EXP((Tnet-t)/(Tau_j))))*Salcycl</f>
        <v>5.6725759375934756E-2</v>
      </c>
      <c r="P111" s="169">
        <f>(INDEX(Models!$BJ111:$BT111,,T111)*(1-R111)+INDEX(Models!$BJ111:$BT111,,T111+1)*R111-ERP_i)*Q111*Ramure*Pc/MaxiM</f>
        <v>1.206638099524617E-4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53.606948893263365</v>
      </c>
      <c r="W111" s="400"/>
      <c r="X111" s="157">
        <f t="shared" si="33"/>
        <v>44293</v>
      </c>
      <c r="Y111" s="383">
        <f t="shared" si="34"/>
        <v>53.72</v>
      </c>
      <c r="Z111" s="383">
        <f t="shared" si="35"/>
        <v>54.562526295272384</v>
      </c>
      <c r="AA111" s="384">
        <f t="shared" si="36"/>
        <v>57.843757356475784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5.6725759375934756E-2</v>
      </c>
      <c r="AD111" s="230">
        <f>(INDEX(Models!$BJ111:$BT111,,AH111)*(1-AF111)+INDEX(Models!$BJ111:$BT111,,AH111+1)*AF111-ERP_i)*AE111*Ramure*Pc/MaxiM</f>
        <v>1.206638099524617E-4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53.012999999999998</v>
      </c>
      <c r="C112" s="388"/>
      <c r="D112" s="391">
        <f t="shared" si="24"/>
        <v>53.845469882744744</v>
      </c>
      <c r="E112" s="383">
        <f t="shared" si="45"/>
        <v>57.089472251679531</v>
      </c>
      <c r="F112" s="383">
        <f t="shared" si="25"/>
        <v>57.096062387011123</v>
      </c>
      <c r="G112" s="110">
        <f t="shared" si="46"/>
        <v>0.98421325688484529</v>
      </c>
      <c r="H112" s="412" t="b">
        <f>Wh_hp&gt;='2020'!Maxi_hp</f>
        <v>1</v>
      </c>
      <c r="I112" s="379">
        <f>IF(H112,Wh_hp,'2020'!Maxi_hp)</f>
        <v>57.096062387011123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1.5460351345388035E-2</v>
      </c>
      <c r="M112" s="832"/>
      <c r="N112" s="832"/>
      <c r="O112" s="48">
        <f>IF(t&lt;Tnet,'2020'!Resal+('2020'!Salim-'2020'!Resal)*(1-EXP(('2020'!Tnet-t)/('2020'!Tau_j))),Resal+(Salim-Resal)*(1-EXP((Tnet-t)/(Tau_j))))*Salcycl</f>
        <v>5.6823127644858439E-2</v>
      </c>
      <c r="P112" s="169">
        <f>(INDEX(Models!$BJ112:$BT112,,T112)*(1-R112)+INDEX(Models!$BJ112:$BT112,,T112+1)*R112-ERP_i)*Q112*Ramure*Pc/MaxiM</f>
        <v>1.1808454668340348E-4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53.86318306256674</v>
      </c>
      <c r="W112" s="400"/>
      <c r="X112" s="157">
        <f t="shared" si="33"/>
        <v>44294</v>
      </c>
      <c r="Y112" s="383">
        <f t="shared" si="34"/>
        <v>53.012999999999998</v>
      </c>
      <c r="Z112" s="383">
        <f t="shared" si="35"/>
        <v>53.845469882744744</v>
      </c>
      <c r="AA112" s="384">
        <f t="shared" si="36"/>
        <v>57.089472251679531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5.6823127644858439E-2</v>
      </c>
      <c r="AD112" s="230">
        <f>(INDEX(Models!$BJ112:$BT112,,AH112)*(1-AF112)+INDEX(Models!$BJ112:$BT112,,AH112+1)*AF112-ERP_i)*AE112*Ramure*Pc/MaxiM</f>
        <v>1.1808454668340348E-4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31.617000000000001</v>
      </c>
      <c r="C113" s="388"/>
      <c r="D113" s="391">
        <f t="shared" si="24"/>
        <v>32.114101232399037</v>
      </c>
      <c r="E113" s="383">
        <f t="shared" si="45"/>
        <v>34.052402152336413</v>
      </c>
      <c r="F113" s="383">
        <f t="shared" si="25"/>
        <v>34.054001113390662</v>
      </c>
      <c r="G113" s="110">
        <f t="shared" si="46"/>
        <v>0.58423215074861468</v>
      </c>
      <c r="H113" s="412" t="b">
        <f>Wh_hp&gt;='2020'!Maxi_hp</f>
        <v>0</v>
      </c>
      <c r="I113" s="379">
        <f>IF(H113,Wh_hp,'2020'!Maxi_hp)</f>
        <v>45.048186570983958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1.547921982314493E-2</v>
      </c>
      <c r="M113" s="832"/>
      <c r="N113" s="832"/>
      <c r="O113" s="48">
        <f>IF(t&lt;Tnet,'2020'!Resal+('2020'!Salim-'2020'!Resal)*(1-EXP(('2020'!Tnet-t)/('2020'!Tau_j))),Resal+(Salim-Resal)*(1-EXP((Tnet-t)/(Tau_j))))*Salcycl</f>
        <v>5.6921121489938359E-2</v>
      </c>
      <c r="P113" s="169">
        <f>(INDEX(Models!$BJ113:$BT113,,T113)*(1-R113)+INDEX(Models!$BJ113:$BT113,,T113+1)*R113-ERP_i)*Q113*Ramure*Pc/MaxiM</f>
        <v>1.1562008348083887E-4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54.113469846232178</v>
      </c>
      <c r="W113" s="400"/>
      <c r="X113" s="157">
        <f t="shared" si="33"/>
        <v>44295</v>
      </c>
      <c r="Y113" s="383">
        <f t="shared" si="34"/>
        <v>31.617000000000001</v>
      </c>
      <c r="Z113" s="383">
        <f t="shared" si="35"/>
        <v>32.114101232399037</v>
      </c>
      <c r="AA113" s="384">
        <f t="shared" si="36"/>
        <v>34.052402152336413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5.6921121489938359E-2</v>
      </c>
      <c r="AD113" s="230">
        <f>(INDEX(Models!$BJ113:$BT113,,AH113)*(1-AF113)+INDEX(Models!$BJ113:$BT113,,AH113+1)*AF113-ERP_i)*AE113*Ramure*Pc/MaxiM</f>
        <v>1.1562008348083887E-4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33.816000000000003</v>
      </c>
      <c r="C114" s="388"/>
      <c r="D114" s="391">
        <f t="shared" si="24"/>
        <v>34.348333493043306</v>
      </c>
      <c r="E114" s="383">
        <f t="shared" si="45"/>
        <v>36.425295054406142</v>
      </c>
      <c r="F114" s="383">
        <f t="shared" si="25"/>
        <v>36.427193799409679</v>
      </c>
      <c r="G114" s="110">
        <f t="shared" si="46"/>
        <v>0.62206324625200127</v>
      </c>
      <c r="H114" s="412" t="b">
        <f>Wh_hp&gt;='2020'!Maxi_hp</f>
        <v>0</v>
      </c>
      <c r="I114" s="379">
        <f>IF(H114,Wh_hp,'2020'!Maxi_hp)</f>
        <v>58.174018609089053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1.5498087939291749E-2</v>
      </c>
      <c r="M114" s="832"/>
      <c r="N114" s="832"/>
      <c r="O114" s="48">
        <f>IF(t&lt;Tnet,'2020'!Resal+('2020'!Salim-'2020'!Resal)*(1-EXP(('2020'!Tnet-t)/('2020'!Tau_j))),Resal+(Salim-Resal)*(1-EXP((Tnet-t)/(Tau_j))))*Salcycl</f>
        <v>5.7019759435321303E-2</v>
      </c>
      <c r="P114" s="169">
        <f>(INDEX(Models!$BJ114:$BT114,,T114)*(1-R114)+INDEX(Models!$BJ114:$BT114,,T114+1)*R114-ERP_i)*Q114*Ramure*Pc/MaxiM</f>
        <v>1.1327824208116082E-4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54.357707382711233</v>
      </c>
      <c r="W114" s="400"/>
      <c r="X114" s="157">
        <f t="shared" si="33"/>
        <v>44296</v>
      </c>
      <c r="Y114" s="383">
        <f t="shared" si="34"/>
        <v>33.816000000000003</v>
      </c>
      <c r="Z114" s="383">
        <f t="shared" si="35"/>
        <v>34.348333493043306</v>
      </c>
      <c r="AA114" s="384">
        <f t="shared" si="36"/>
        <v>36.425295054406142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5.7019759435321303E-2</v>
      </c>
      <c r="AD114" s="230">
        <f>(INDEX(Models!$BJ114:$BT114,,AH114)*(1-AF114)+INDEX(Models!$BJ114:$BT114,,AH114+1)*AF114-ERP_i)*AE114*Ramure*Pc/MaxiM</f>
        <v>1.1327824208116082E-4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8.36</v>
      </c>
      <c r="C115" s="388"/>
      <c r="D115" s="391">
        <f t="shared" si="24"/>
        <v>8.4917663624078834</v>
      </c>
      <c r="E115" s="383">
        <f t="shared" si="45"/>
        <v>9.0061915521633189</v>
      </c>
      <c r="F115" s="383">
        <f t="shared" si="25"/>
        <v>9.0061915521633189</v>
      </c>
      <c r="G115" s="110">
        <f t="shared" si="46"/>
        <v>0.15310834195518619</v>
      </c>
      <c r="H115" s="412" t="b">
        <f>Wh_hp&gt;='2020'!Maxi_hp</f>
        <v>0</v>
      </c>
      <c r="I115" s="379">
        <f>IF(H115,Wh_hp,'2020'!Maxi_hp)</f>
        <v>59.403908056990687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1.5516955693835377E-2</v>
      </c>
      <c r="M115" s="832"/>
      <c r="N115" s="832"/>
      <c r="O115" s="48">
        <f>IF(t&lt;Tnet,'2020'!Resal+('2020'!Salim-'2020'!Resal)*(1-EXP(('2020'!Tnet-t)/('2020'!Tau_j))),Resal+(Salim-Resal)*(1-EXP((Tnet-t)/(Tau_j))))*Salcycl</f>
        <v>5.711905934666351E-2</v>
      </c>
      <c r="P115" s="169">
        <f>(INDEX(Models!$BJ115:$BT115,,T115)*(1-R115)+INDEX(Models!$BJ115:$BT115,,T115+1)*R115-ERP_i)*Q115*Ramure*Pc/MaxiM</f>
        <v>1.1098686361434014E-4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54.595798263342353</v>
      </c>
      <c r="W115" s="400"/>
      <c r="X115" s="157">
        <f t="shared" si="33"/>
        <v>44297</v>
      </c>
      <c r="Y115" s="383">
        <f t="shared" si="34"/>
        <v>8.36</v>
      </c>
      <c r="Z115" s="383">
        <f t="shared" si="35"/>
        <v>8.4917663624078834</v>
      </c>
      <c r="AA115" s="384">
        <f t="shared" si="36"/>
        <v>9.0061915521633189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5.711905934666351E-2</v>
      </c>
      <c r="AD115" s="230">
        <f>(INDEX(Models!$BJ115:$BT115,,AH115)*(1-AF115)+INDEX(Models!$BJ115:$BT115,,AH115+1)*AF115-ERP_i)*AE115*Ramure*Pc/MaxiM</f>
        <v>1.1098686361434014E-4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44.102000000000004</v>
      </c>
      <c r="C116" s="388"/>
      <c r="D116" s="391">
        <f t="shared" si="24"/>
        <v>44.797973389221355</v>
      </c>
      <c r="E116" s="383">
        <f t="shared" si="45"/>
        <v>47.516841359137089</v>
      </c>
      <c r="F116" s="383">
        <f t="shared" si="25"/>
        <v>47.520564771922238</v>
      </c>
      <c r="G116" s="110">
        <f t="shared" si="46"/>
        <v>0.80435084378382726</v>
      </c>
      <c r="H116" s="412" t="b">
        <f>Wh_hp&gt;='2020'!Maxi_hp</f>
        <v>0</v>
      </c>
      <c r="I116" s="379">
        <f>IF(H116,Wh_hp,'2020'!Maxi_hp)</f>
        <v>58.857771528976158</v>
      </c>
      <c r="J116" s="85">
        <f>IF(H116,An,'2020'!An_max)</f>
        <v>2018</v>
      </c>
      <c r="K116" s="197">
        <f t="shared" si="26"/>
        <v>44298</v>
      </c>
      <c r="L116" s="147">
        <f>IF(t&lt;Tvie,1-EXP((T0-t)*PertePVj)+'2020'!Pspv,1-EXP((T0-t)*PertePVj)+Pspv)</f>
        <v>1.5535823086782918E-2</v>
      </c>
      <c r="M116" s="832"/>
      <c r="N116" s="832"/>
      <c r="O116" s="48">
        <f>IF(t&lt;Tnet,'2020'!Resal+('2020'!Salim-'2020'!Resal)*(1-EXP(('2020'!Tnet-t)/('2020'!Tau_j))),Resal+(Salim-Resal)*(1-EXP((Tnet-t)/(Tau_j))))*Salcycl</f>
        <v>5.7219038390331038E-2</v>
      </c>
      <c r="P116" s="169">
        <f>(INDEX(Models!$BJ116:$BT116,,T116)*(1-R116)+INDEX(Models!$BJ116:$BT116,,T116+1)*R116-ERP_i)*Q116*Ramure*Pc/MaxiM</f>
        <v>1.0874363092129188E-4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54.827641420060033</v>
      </c>
      <c r="W116" s="400"/>
      <c r="X116" s="157">
        <f t="shared" si="33"/>
        <v>44298</v>
      </c>
      <c r="Y116" s="383">
        <f t="shared" si="34"/>
        <v>44.102000000000004</v>
      </c>
      <c r="Z116" s="383">
        <f t="shared" si="35"/>
        <v>44.797973389221355</v>
      </c>
      <c r="AA116" s="384">
        <f t="shared" si="36"/>
        <v>47.516841359137089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5.7219038390331038E-2</v>
      </c>
      <c r="AD116" s="230">
        <f>(INDEX(Models!$BJ116:$BT116,,AH116)*(1-AF116)+INDEX(Models!$BJ116:$BT116,,AH116+1)*AF116-ERP_i)*AE116*Ramure*Pc/MaxiM</f>
        <v>1.0874363092129188E-4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49.228000000000002</v>
      </c>
      <c r="C117" s="388"/>
      <c r="D117" s="391">
        <f t="shared" si="24"/>
        <v>50.005825113746276</v>
      </c>
      <c r="E117" s="383">
        <f t="shared" si="45"/>
        <v>53.046431332999546</v>
      </c>
      <c r="F117" s="383">
        <f t="shared" si="25"/>
        <v>53.05122934443164</v>
      </c>
      <c r="G117" s="110">
        <f t="shared" si="46"/>
        <v>0.89417625920586485</v>
      </c>
      <c r="H117" s="412" t="b">
        <f>Wh_hp&gt;='2020'!Maxi_hp</f>
        <v>0</v>
      </c>
      <c r="I117" s="379">
        <f>IF(H117,Wh_hp,'2020'!Maxi_hp)</f>
        <v>58.816606841862637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1.5554690118141035E-2</v>
      </c>
      <c r="M117" s="832"/>
      <c r="N117" s="832"/>
      <c r="O117" s="48">
        <f>IF(t&lt;Tnet,'2020'!Resal+('2020'!Salim-'2020'!Resal)*(1-EXP(('2020'!Tnet-t)/('2020'!Tau_j))),Resal+(Salim-Resal)*(1-EXP((Tnet-t)/(Tau_j))))*Salcycl</f>
        <v>5.7319712991922692E-2</v>
      </c>
      <c r="P117" s="169">
        <f>(INDEX(Models!$BJ117:$BT117,,T117)*(1-R117)+INDEX(Models!$BJ117:$BT117,,T117+1)*R117-ERP_i)*Q117*Ramure*Pc/MaxiM</f>
        <v>1.0654621941235904E-4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55.053135887428304</v>
      </c>
      <c r="W117" s="400"/>
      <c r="X117" s="157">
        <f t="shared" si="33"/>
        <v>44299</v>
      </c>
      <c r="Y117" s="383">
        <f t="shared" si="34"/>
        <v>49.228000000000002</v>
      </c>
      <c r="Z117" s="383">
        <f t="shared" si="35"/>
        <v>50.005825113746276</v>
      </c>
      <c r="AA117" s="384">
        <f t="shared" si="36"/>
        <v>53.046431332999546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5.7319712991922692E-2</v>
      </c>
      <c r="AD117" s="230">
        <f>(INDEX(Models!$BJ117:$BT117,,AH117)*(1-AF117)+INDEX(Models!$BJ117:$BT117,,AH117+1)*AF117-ERP_i)*AE117*Ramure*Pc/MaxiM</f>
        <v>1.0654621941235904E-4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54.774000000000001</v>
      </c>
      <c r="C118" s="388"/>
      <c r="D118" s="391">
        <f t="shared" si="24"/>
        <v>55.64052081055241</v>
      </c>
      <c r="E118" s="383">
        <f t="shared" si="45"/>
        <v>59.030093649828743</v>
      </c>
      <c r="F118" s="383">
        <f t="shared" si="25"/>
        <v>59.036177217934771</v>
      </c>
      <c r="G118" s="110">
        <f t="shared" si="46"/>
        <v>0.99098543893944468</v>
      </c>
      <c r="H118" s="412" t="b">
        <f>Wh_hp&gt;='2020'!Maxi_hp</f>
        <v>1</v>
      </c>
      <c r="I118" s="379">
        <f>IF(H118,Wh_hp,'2020'!Maxi_hp)</f>
        <v>59.036177217934771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1.5573556787916831E-2</v>
      </c>
      <c r="M118" s="832"/>
      <c r="N118" s="832"/>
      <c r="O118" s="48">
        <f>IF(t&lt;Tnet,'2020'!Resal+('2020'!Salim-'2020'!Resal)*(1-EXP(('2020'!Tnet-t)/('2020'!Tau_j))),Resal+(Salim-Resal)*(1-EXP((Tnet-t)/(Tau_j))))*Salcycl</f>
        <v>5.7421098793838152E-2</v>
      </c>
      <c r="P118" s="169">
        <f>(INDEX(Models!$BJ118:$BT118,,T118)*(1-R118)+INDEX(Models!$BJ118:$BT118,,T118+1)*R118-ERP_i)*Q118*Ramure*Pc/MaxiM</f>
        <v>1.0439229699925256E-4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55.272180816337524</v>
      </c>
      <c r="W118" s="400"/>
      <c r="X118" s="157">
        <f t="shared" si="33"/>
        <v>44300</v>
      </c>
      <c r="Y118" s="383">
        <f t="shared" si="34"/>
        <v>54.774000000000001</v>
      </c>
      <c r="Z118" s="383">
        <f t="shared" si="35"/>
        <v>55.64052081055241</v>
      </c>
      <c r="AA118" s="384">
        <f t="shared" si="36"/>
        <v>59.030093649828743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5.7421098793838152E-2</v>
      </c>
      <c r="AD118" s="230">
        <f>(INDEX(Models!$BJ118:$BT118,,AH118)*(1-AF118)+INDEX(Models!$BJ118:$BT118,,AH118+1)*AF118-ERP_i)*AE118*Ramure*Pc/MaxiM</f>
        <v>1.0439229699925256E-4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55.491</v>
      </c>
      <c r="C119" s="388"/>
      <c r="D119" s="391">
        <f t="shared" si="24"/>
        <v>56.369944017017787</v>
      </c>
      <c r="E119" s="383">
        <f t="shared" si="45"/>
        <v>59.810432099447141</v>
      </c>
      <c r="F119" s="383">
        <f t="shared" si="25"/>
        <v>59.816550107721071</v>
      </c>
      <c r="G119" s="110">
        <f t="shared" si="46"/>
        <v>1.0001139869407007</v>
      </c>
      <c r="H119" s="412" t="b">
        <f>Wh_hp&gt;='2020'!Maxi_hp</f>
        <v>1</v>
      </c>
      <c r="I119" s="379">
        <f>IF(H119,Wh_hp,'2020'!Maxi_hp)</f>
        <v>59.816550107721071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1.5592423096117303E-2</v>
      </c>
      <c r="M119" s="832"/>
      <c r="N119" s="832"/>
      <c r="O119" s="48">
        <f>IF(t&lt;Tnet,'2020'!Resal+('2020'!Salim-'2020'!Resal)*(1-EXP(('2020'!Tnet-t)/('2020'!Tau_j))),Resal+(Salim-Resal)*(1-EXP((Tnet-t)/(Tau_j))))*Salcycl</f>
        <v>5.7523210611634304E-2</v>
      </c>
      <c r="P119" s="169">
        <f>(INDEX(Models!$BJ119:$BT119,,T119)*(1-R119)+INDEX(Models!$BJ119:$BT119,,T119+1)*R119-ERP_i)*Q119*Ramure*Pc/MaxiM</f>
        <v>1.0227952402652951E-4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55.484675471587224</v>
      </c>
      <c r="W119" s="400"/>
      <c r="X119" s="157">
        <f t="shared" si="33"/>
        <v>44301</v>
      </c>
      <c r="Y119" s="383">
        <f t="shared" si="34"/>
        <v>55.491</v>
      </c>
      <c r="Z119" s="383">
        <f t="shared" si="35"/>
        <v>56.369944017017787</v>
      </c>
      <c r="AA119" s="384">
        <f t="shared" si="36"/>
        <v>59.810432099447141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5.7523210611634304E-2</v>
      </c>
      <c r="AD119" s="230">
        <f>(INDEX(Models!$BJ119:$BT119,,AH119)*(1-AF119)+INDEX(Models!$BJ119:$BT119,,AH119+1)*AF119-ERP_i)*AE119*Ramure*Pc/MaxiM</f>
        <v>1.0227952402652951E-4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48.127000000000002</v>
      </c>
      <c r="C120" s="388"/>
      <c r="D120" s="391">
        <f t="shared" si="24"/>
        <v>48.890239662744385</v>
      </c>
      <c r="E120" s="383">
        <f t="shared" si="45"/>
        <v>51.879872428011232</v>
      </c>
      <c r="F120" s="383">
        <f t="shared" si="25"/>
        <v>51.884062779817704</v>
      </c>
      <c r="G120" s="110">
        <f t="shared" si="46"/>
        <v>0.86416978873902039</v>
      </c>
      <c r="H120" s="412" t="b">
        <f>Wh_hp&gt;='2020'!Maxi_hp</f>
        <v>1</v>
      </c>
      <c r="I120" s="379">
        <f>IF(H120,Wh_hp,'2020'!Maxi_hp)</f>
        <v>51.884062779817704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1.5611289042749221E-2</v>
      </c>
      <c r="M120" s="832"/>
      <c r="N120" s="832"/>
      <c r="O120" s="48">
        <f>IF(t&lt;Tnet,'2020'!Resal+('2020'!Salim-'2020'!Resal)*(1-EXP(('2020'!Tnet-t)/('2020'!Tau_j))),Resal+(Salim-Resal)*(1-EXP((Tnet-t)/(Tau_j))))*Salcycl</f>
        <v>5.7626062388940504E-2</v>
      </c>
      <c r="P120" s="169">
        <f>(INDEX(Models!$BJ120:$BT120,,T120)*(1-R120)+INDEX(Models!$BJ120:$BT120,,T120+1)*R120-ERP_i)*Q120*Ramure*Pc/MaxiM</f>
        <v>1.0020555313748987E-4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55.690519243096205</v>
      </c>
      <c r="W120" s="400"/>
      <c r="X120" s="157">
        <f t="shared" si="33"/>
        <v>44302</v>
      </c>
      <c r="Y120" s="383">
        <f t="shared" si="34"/>
        <v>48.127000000000002</v>
      </c>
      <c r="Z120" s="383">
        <f t="shared" si="35"/>
        <v>48.890239662744385</v>
      </c>
      <c r="AA120" s="384">
        <f t="shared" si="36"/>
        <v>51.879872428011232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5.7626062388940504E-2</v>
      </c>
      <c r="AD120" s="230">
        <f>(INDEX(Models!$BJ120:$BT120,,AH120)*(1-AF120)+INDEX(Models!$BJ120:$BT120,,AH120+1)*AF120-ERP_i)*AE120*Ramure*Pc/MaxiM</f>
        <v>1.0020555313748987E-4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50.643000000000001</v>
      </c>
      <c r="C121" s="388"/>
      <c r="D121" s="391">
        <f t="shared" si="24"/>
        <v>51.447126543024467</v>
      </c>
      <c r="E121" s="383">
        <f t="shared" si="45"/>
        <v>54.599115295774268</v>
      </c>
      <c r="F121" s="383">
        <f t="shared" si="25"/>
        <v>54.603756729424184</v>
      </c>
      <c r="G121" s="110">
        <f t="shared" si="46"/>
        <v>0.90610940168593768</v>
      </c>
      <c r="H121" s="412" t="b">
        <f>Wh_hp&gt;='2020'!Maxi_hp</f>
        <v>1</v>
      </c>
      <c r="I121" s="379">
        <f>IF(H121,Wh_hp,'2020'!Maxi_hp)</f>
        <v>54.603756729424184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1.563015462781947E-2</v>
      </c>
      <c r="M121" s="832"/>
      <c r="N121" s="832"/>
      <c r="O121" s="48">
        <f>IF(t&lt;Tnet,'2020'!Resal+('2020'!Salim-'2020'!Resal)*(1-EXP(('2020'!Tnet-t)/('2020'!Tau_j))),Resal+(Salim-Resal)*(1-EXP((Tnet-t)/(Tau_j))))*Salcycl</f>
        <v>5.7729667150737636E-2</v>
      </c>
      <c r="P121" s="169">
        <f>(INDEX(Models!$BJ121:$BT121,,T121)*(1-R121)+INDEX(Models!$BJ121:$BT121,,T121+1)*R121-ERP_i)*Q121*Ramure*Pc/MaxiM</f>
        <v>9.816758209574568E-5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55.889866178707535</v>
      </c>
      <c r="W121" s="400"/>
      <c r="X121" s="157">
        <f t="shared" si="33"/>
        <v>44303</v>
      </c>
      <c r="Y121" s="383">
        <f t="shared" si="34"/>
        <v>50.643000000000001</v>
      </c>
      <c r="Z121" s="383">
        <f t="shared" si="35"/>
        <v>51.447126543024467</v>
      </c>
      <c r="AA121" s="384">
        <f t="shared" si="36"/>
        <v>54.599115295774268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5.7729667150737636E-2</v>
      </c>
      <c r="AD121" s="230">
        <f>(INDEX(Models!$BJ121:$BT121,,AH121)*(1-AF121)+INDEX(Models!$BJ121:$BT121,,AH121+1)*AF121-ERP_i)*AE121*Ramure*Pc/MaxiM</f>
        <v>9.816758209574568E-5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39.233000000000004</v>
      </c>
      <c r="C122" s="388"/>
      <c r="D122" s="391">
        <f t="shared" si="24"/>
        <v>39.85671858027176</v>
      </c>
      <c r="E122" s="383">
        <f t="shared" si="45"/>
        <v>42.303288532576197</v>
      </c>
      <c r="F122" s="383">
        <f t="shared" si="25"/>
        <v>42.305611519554077</v>
      </c>
      <c r="G122" s="110">
        <f t="shared" si="46"/>
        <v>0.69952435968395832</v>
      </c>
      <c r="H122" s="412" t="b">
        <f>Wh_hp&gt;='2020'!Maxi_hp</f>
        <v>1</v>
      </c>
      <c r="I122" s="379">
        <f>IF(H122,Wh_hp,'2020'!Maxi_hp)</f>
        <v>42.305611519554077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1.5649019851335266E-2</v>
      </c>
      <c r="M122" s="832"/>
      <c r="N122" s="832"/>
      <c r="O122" s="48">
        <f>IF(t&lt;Tnet,'2020'!Resal+('2020'!Salim-'2020'!Resal)*(1-EXP(('2020'!Tnet-t)/('2020'!Tau_j))),Resal+(Salim-Resal)*(1-EXP((Tnet-t)/(Tau_j))))*Salcycl</f>
        <v>5.7834036954843918E-2</v>
      </c>
      <c r="P122" s="169">
        <f>(INDEX(Models!$BJ122:$BT122,,T122)*(1-R122)+INDEX(Models!$BJ122:$BT122,,T122+1)*R122-ERP_i)*Q122*Ramure*Pc/MaxiM</f>
        <v>9.6199358362955906E-5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56.08293613999507</v>
      </c>
      <c r="W122" s="400"/>
      <c r="X122" s="157">
        <f t="shared" si="33"/>
        <v>44304</v>
      </c>
      <c r="Y122" s="383">
        <f t="shared" si="34"/>
        <v>39.233000000000004</v>
      </c>
      <c r="Z122" s="383">
        <f t="shared" si="35"/>
        <v>39.85671858027176</v>
      </c>
      <c r="AA122" s="384">
        <f t="shared" si="36"/>
        <v>42.303288532576197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5.7834036954843918E-2</v>
      </c>
      <c r="AD122" s="230">
        <f>(INDEX(Models!$BJ122:$BT122,,AH122)*(1-AF122)+INDEX(Models!$BJ122:$BT122,,AH122+1)*AF122-ERP_i)*AE122*Ramure*Pc/MaxiM</f>
        <v>9.6199358362955906E-5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55.2</v>
      </c>
      <c r="C123" s="388"/>
      <c r="D123" s="391">
        <f t="shared" si="24"/>
        <v>56.078633565585172</v>
      </c>
      <c r="E123" s="383">
        <f t="shared" si="45"/>
        <v>59.527614931202272</v>
      </c>
      <c r="F123" s="383">
        <f t="shared" si="25"/>
        <v>59.533076172726751</v>
      </c>
      <c r="G123" s="110">
        <f t="shared" si="46"/>
        <v>0.98098672266652187</v>
      </c>
      <c r="H123" s="412" t="b">
        <f>Wh_hp&gt;='2020'!Maxi_hp</f>
        <v>1</v>
      </c>
      <c r="I123" s="379">
        <f>IF(H123,Wh_hp,'2020'!Maxi_hp)</f>
        <v>59.533076172726751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1.5667884713303271E-2</v>
      </c>
      <c r="M123" s="832"/>
      <c r="N123" s="832"/>
      <c r="O123" s="48">
        <f>IF(t&lt;Tnet,'2020'!Resal+('2020'!Salim-'2020'!Resal)*(1-EXP(('2020'!Tnet-t)/('2020'!Tau_j))),Resal+(Salim-Resal)*(1-EXP((Tnet-t)/(Tau_j))))*Salcycl</f>
        <v>5.7939182841496135E-2</v>
      </c>
      <c r="P123" s="169">
        <f>(INDEX(Models!$BJ123:$BT123,,T123)*(1-R123)+INDEX(Models!$BJ123:$BT123,,T123+1)*R123-ERP_i)*Q123*Ramure*Pc/MaxiM</f>
        <v>9.42954751250563E-5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56.269730619163688</v>
      </c>
      <c r="W123" s="400"/>
      <c r="X123" s="157">
        <f t="shared" si="33"/>
        <v>44305</v>
      </c>
      <c r="Y123" s="383">
        <f t="shared" si="34"/>
        <v>55.2</v>
      </c>
      <c r="Z123" s="383">
        <f t="shared" si="35"/>
        <v>56.078633565585172</v>
      </c>
      <c r="AA123" s="384">
        <f t="shared" si="36"/>
        <v>59.527614931202272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5.7939182841496135E-2</v>
      </c>
      <c r="AD123" s="230">
        <f>(INDEX(Models!$BJ123:$BT123,,AH123)*(1-AF123)+INDEX(Models!$BJ123:$BT123,,AH123+1)*AF123-ERP_i)*AE123*Ramure*Pc/MaxiM</f>
        <v>9.42954751250563E-5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38.148000000000003</v>
      </c>
      <c r="C124" s="388"/>
      <c r="D124" s="391">
        <f t="shared" si="24"/>
        <v>38.755954945772984</v>
      </c>
      <c r="E124" s="383">
        <f t="shared" si="45"/>
        <v>41.144173201841696</v>
      </c>
      <c r="F124" s="383">
        <f t="shared" si="25"/>
        <v>41.146215371639606</v>
      </c>
      <c r="G124" s="110">
        <f t="shared" si="46"/>
        <v>0.67575193495924146</v>
      </c>
      <c r="H124" s="412" t="b">
        <f>Wh_hp&gt;='2020'!Maxi_hp</f>
        <v>0</v>
      </c>
      <c r="I124" s="379">
        <f>IF(H124,Wh_hp,'2020'!Maxi_hp)</f>
        <v>52.580415314681325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1.5686749213730478E-2</v>
      </c>
      <c r="M124" s="832"/>
      <c r="N124" s="832"/>
      <c r="O124" s="48">
        <f>IF(t&lt;Tnet,'2020'!Resal+('2020'!Salim-'2020'!Resal)*(1-EXP(('2020'!Tnet-t)/('2020'!Tau_j))),Resal+(Salim-Resal)*(1-EXP((Tnet-t)/(Tau_j))))*Salcycl</f>
        <v>5.8045114780962692E-2</v>
      </c>
      <c r="P124" s="169">
        <f>(INDEX(Models!$BJ124:$BT124,,T124)*(1-R124)+INDEX(Models!$BJ124:$BT124,,T124+1)*R124-ERP_i)*Q124*Ramure*Pc/MaxiM</f>
        <v>9.2453918172172601E-5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56.450251010321765</v>
      </c>
      <c r="W124" s="400"/>
      <c r="X124" s="157">
        <f t="shared" si="33"/>
        <v>44306</v>
      </c>
      <c r="Y124" s="383">
        <f t="shared" si="34"/>
        <v>38.148000000000003</v>
      </c>
      <c r="Z124" s="383">
        <f t="shared" si="35"/>
        <v>38.755954945772984</v>
      </c>
      <c r="AA124" s="384">
        <f t="shared" si="36"/>
        <v>41.144173201841696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5.8045114780962692E-2</v>
      </c>
      <c r="AD124" s="230">
        <f>(INDEX(Models!$BJ124:$BT124,,AH124)*(1-AF124)+INDEX(Models!$BJ124:$BT124,,AH124+1)*AF124-ERP_i)*AE124*Ramure*Pc/MaxiM</f>
        <v>9.2453918172172601E-5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51.213000000000001</v>
      </c>
      <c r="C125" s="388"/>
      <c r="D125" s="391">
        <f t="shared" si="24"/>
        <v>52.030165664601185</v>
      </c>
      <c r="E125" s="383">
        <f t="shared" si="45"/>
        <v>55.242626108701927</v>
      </c>
      <c r="F125" s="383">
        <f t="shared" si="25"/>
        <v>55.246951602065522</v>
      </c>
      <c r="G125" s="110">
        <f t="shared" si="46"/>
        <v>0.90442064964384228</v>
      </c>
      <c r="H125" s="412" t="b">
        <f>Wh_hp&gt;='2020'!Maxi_hp</f>
        <v>1</v>
      </c>
      <c r="I125" s="379">
        <f>IF(H125,Wh_hp,'2020'!Maxi_hp)</f>
        <v>55.246951602065522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1.5705613352623771E-2</v>
      </c>
      <c r="M125" s="832"/>
      <c r="N125" s="832"/>
      <c r="O125" s="48">
        <f>IF(t&lt;Tnet,'2020'!Resal+('2020'!Salim-'2020'!Resal)*(1-EXP(('2020'!Tnet-t)/('2020'!Tau_j))),Resal+(Salim-Resal)*(1-EXP((Tnet-t)/(Tau_j))))*Salcycl</f>
        <v>5.8151841619178732E-2</v>
      </c>
      <c r="P125" s="169">
        <f>(INDEX(Models!$BJ125:$BT125,,T125)*(1-R125)+INDEX(Models!$BJ125:$BT125,,T125+1)*R125-ERP_i)*Q125*Ramure*Pc/MaxiM</f>
        <v>9.0673009758666982E-5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56.624498781260854</v>
      </c>
      <c r="W125" s="400"/>
      <c r="X125" s="157">
        <f t="shared" si="33"/>
        <v>44307</v>
      </c>
      <c r="Y125" s="383">
        <f t="shared" si="34"/>
        <v>51.213000000000001</v>
      </c>
      <c r="Z125" s="383">
        <f t="shared" si="35"/>
        <v>52.030165664601185</v>
      </c>
      <c r="AA125" s="384">
        <f t="shared" si="36"/>
        <v>55.242626108701927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5.8151841619178732E-2</v>
      </c>
      <c r="AD125" s="230">
        <f>(INDEX(Models!$BJ125:$BT125,,AH125)*(1-AF125)+INDEX(Models!$BJ125:$BT125,,AH125+1)*AF125-ERP_i)*AE125*Ramure*Pc/MaxiM</f>
        <v>9.0673009758666982E-5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56.987000000000002</v>
      </c>
      <c r="C126" s="388"/>
      <c r="D126" s="391">
        <f t="shared" si="24"/>
        <v>57.897406443506675</v>
      </c>
      <c r="E126" s="383">
        <f t="shared" si="45"/>
        <v>61.479142623701513</v>
      </c>
      <c r="F126" s="383">
        <f t="shared" si="25"/>
        <v>61.484611749803321</v>
      </c>
      <c r="G126" s="110">
        <f t="shared" si="46"/>
        <v>1.0034251809712271</v>
      </c>
      <c r="H126" s="412" t="b">
        <f>Wh_hp&gt;='2020'!Maxi_hp</f>
        <v>1</v>
      </c>
      <c r="I126" s="379">
        <f>IF(H126,Wh_hp,'2020'!Maxi_hp)</f>
        <v>61.484611749803321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1.5724477129990255E-2</v>
      </c>
      <c r="M126" s="832"/>
      <c r="N126" s="832"/>
      <c r="O126" s="48">
        <f>IF(t&lt;Tnet,'2020'!Resal+('2020'!Salim-'2020'!Resal)*(1-EXP(('2020'!Tnet-t)/('2020'!Tau_j))),Resal+(Salim-Resal)*(1-EXP((Tnet-t)/(Tau_j))))*Salcycl</f>
        <v>5.8259371021449506E-2</v>
      </c>
      <c r="P126" s="169">
        <f>(INDEX(Models!$BJ126:$BT126,,T126)*(1-R126)+INDEX(Models!$BJ126:$BT126,,T126+1)*R126-ERP_i)*Q126*Ramure*Pc/MaxiM</f>
        <v>8.8951136652869924E-5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56.792475493630349</v>
      </c>
      <c r="W126" s="400"/>
      <c r="X126" s="157">
        <f t="shared" si="33"/>
        <v>44308</v>
      </c>
      <c r="Y126" s="383">
        <f t="shared" si="34"/>
        <v>56.987000000000002</v>
      </c>
      <c r="Z126" s="383">
        <f t="shared" si="35"/>
        <v>57.897406443506675</v>
      </c>
      <c r="AA126" s="384">
        <f t="shared" si="36"/>
        <v>61.479142623701513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5.8259371021449506E-2</v>
      </c>
      <c r="AD126" s="230">
        <f>(INDEX(Models!$BJ126:$BT126,,AH126)*(1-AF126)+INDEX(Models!$BJ126:$BT126,,AH126+1)*AF126-ERP_i)*AE126*Ramure*Pc/MaxiM</f>
        <v>8.8951136652869924E-5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56.911999999999999</v>
      </c>
      <c r="C127" s="388"/>
      <c r="D127" s="391">
        <f t="shared" si="24"/>
        <v>57.822316418525979</v>
      </c>
      <c r="E127" s="383">
        <f t="shared" si="45"/>
        <v>61.406471503395316</v>
      </c>
      <c r="F127" s="383">
        <f t="shared" si="25"/>
        <v>61.411826255045938</v>
      </c>
      <c r="G127" s="110">
        <f t="shared" si="46"/>
        <v>0.99925926281273347</v>
      </c>
      <c r="H127" s="412" t="b">
        <f>Wh_hp&gt;='2020'!Maxi_hp</f>
        <v>1</v>
      </c>
      <c r="I127" s="379">
        <f>IF(H127,Wh_hp,'2020'!Maxi_hp)</f>
        <v>61.411826255045938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1.5743340545836704E-2</v>
      </c>
      <c r="M127" s="832"/>
      <c r="N127" s="832"/>
      <c r="O127" s="48">
        <f>IF(t&lt;Tnet,'2020'!Resal+('2020'!Salim-'2020'!Resal)*(1-EXP(('2020'!Tnet-t)/('2020'!Tau_j))),Resal+(Salim-Resal)*(1-EXP((Tnet-t)/(Tau_j))))*Salcycl</f>
        <v>5.8367709414327174E-2</v>
      </c>
      <c r="P127" s="169">
        <f>(INDEX(Models!$BJ127:$BT127,,T127)*(1-R127)+INDEX(Models!$BJ127:$BT127,,T127+1)*R127-ERP_i)*Q127*Ramure*Pc/MaxiM</f>
        <v>8.728649918365416E-5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56.954182824638757</v>
      </c>
      <c r="W127" s="400"/>
      <c r="X127" s="157">
        <f t="shared" si="33"/>
        <v>44309</v>
      </c>
      <c r="Y127" s="383">
        <f t="shared" si="34"/>
        <v>56.911999999999999</v>
      </c>
      <c r="Z127" s="383">
        <f t="shared" si="35"/>
        <v>57.822316418525979</v>
      </c>
      <c r="AA127" s="384">
        <f t="shared" si="36"/>
        <v>61.406471503395316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5.8367709414327174E-2</v>
      </c>
      <c r="AD127" s="230">
        <f>(INDEX(Models!$BJ127:$BT127,,AH127)*(1-AF127)+INDEX(Models!$BJ127:$BT127,,AH127+1)*AF127-ERP_i)*AE127*Ramure*Pc/MaxiM</f>
        <v>8.728649918365416E-5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53.837000000000003</v>
      </c>
      <c r="C128" s="388"/>
      <c r="D128" s="391">
        <f t="shared" si="24"/>
        <v>54.699179605707435</v>
      </c>
      <c r="E128" s="383">
        <f t="shared" si="45"/>
        <v>58.096479410576343</v>
      </c>
      <c r="F128" s="383">
        <f t="shared" si="25"/>
        <v>58.10105142457774</v>
      </c>
      <c r="G128" s="110">
        <f t="shared" si="46"/>
        <v>0.94268918999467355</v>
      </c>
      <c r="H128" s="412" t="b">
        <f>Wh_hp&gt;='2020'!Maxi_hp</f>
        <v>1</v>
      </c>
      <c r="I128" s="379">
        <f>IF(H128,Wh_hp,'2020'!Maxi_hp)</f>
        <v>58.10105142457774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1.576220360017011E-2</v>
      </c>
      <c r="M128" s="832"/>
      <c r="N128" s="832"/>
      <c r="O128" s="48">
        <f>IF(t&lt;Tnet,'2020'!Resal+('2020'!Salim-'2020'!Resal)*(1-EXP(('2020'!Tnet-t)/('2020'!Tau_j))),Resal+(Salim-Resal)*(1-EXP((Tnet-t)/(Tau_j))))*Salcycl</f>
        <v>5.8476861925826733E-2</v>
      </c>
      <c r="P128" s="169">
        <f>(INDEX(Models!$BJ128:$BT128,,T128)*(1-R128)+INDEX(Models!$BJ128:$BT128,,T128+1)*R128-ERP_i)*Q128*Ramure*Pc/MaxiM</f>
        <v>8.570696868215792E-5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57.109620867931845</v>
      </c>
      <c r="W128" s="400"/>
      <c r="X128" s="157">
        <f t="shared" si="33"/>
        <v>44310</v>
      </c>
      <c r="Y128" s="383">
        <f t="shared" si="34"/>
        <v>53.837000000000003</v>
      </c>
      <c r="Z128" s="383">
        <f t="shared" si="35"/>
        <v>54.699179605707435</v>
      </c>
      <c r="AA128" s="384">
        <f t="shared" si="36"/>
        <v>58.096479410576343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5.8476861925826733E-2</v>
      </c>
      <c r="AD128" s="230">
        <f>(INDEX(Models!$BJ128:$BT128,,AH128)*(1-AF128)+INDEX(Models!$BJ128:$BT128,,AH128+1)*AF128-ERP_i)*AE128*Ramure*Pc/MaxiM</f>
        <v>8.570696868215792E-5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25.894000000000002</v>
      </c>
      <c r="C129" s="388"/>
      <c r="D129" s="391">
        <f t="shared" si="24"/>
        <v>26.309187024549281</v>
      </c>
      <c r="E129" s="383">
        <f t="shared" si="45"/>
        <v>27.946482934270769</v>
      </c>
      <c r="F129" s="383">
        <f t="shared" si="25"/>
        <v>27.946994672820285</v>
      </c>
      <c r="G129" s="110">
        <f t="shared" si="46"/>
        <v>0.45219769538075466</v>
      </c>
      <c r="H129" s="412" t="b">
        <f>Wh_hp&gt;='2020'!Maxi_hp</f>
        <v>0</v>
      </c>
      <c r="I129" s="379">
        <f>IF(H129,Wh_hp,'2020'!Maxi_hp)</f>
        <v>57.415722541484826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1.578106629299747E-2</v>
      </c>
      <c r="M129" s="832"/>
      <c r="N129" s="832"/>
      <c r="O129" s="48">
        <f>IF(t&lt;Tnet,'2020'!Resal+('2020'!Salim-'2020'!Resal)*(1-EXP(('2020'!Tnet-t)/('2020'!Tau_j))),Resal+(Salim-Resal)*(1-EXP((Tnet-t)/(Tau_j))))*Salcycl</f>
        <v>5.8586832324208908E-2</v>
      </c>
      <c r="P129" s="169">
        <f>(INDEX(Models!$BJ129:$BT129,,T129)*(1-R129)+INDEX(Models!$BJ129:$BT129,,T129+1)*R129-ERP_i)*Q129*Ramure*Pc/MaxiM</f>
        <v>8.4201138915928066E-5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57.258792061614344</v>
      </c>
      <c r="W129" s="400"/>
      <c r="X129" s="157">
        <f t="shared" si="33"/>
        <v>44311</v>
      </c>
      <c r="Y129" s="383">
        <f t="shared" si="34"/>
        <v>25.894000000000002</v>
      </c>
      <c r="Z129" s="383">
        <f t="shared" si="35"/>
        <v>26.309187024549281</v>
      </c>
      <c r="AA129" s="384">
        <f t="shared" si="36"/>
        <v>27.946482934270769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5.8586832324208908E-2</v>
      </c>
      <c r="AD129" s="230">
        <f>(INDEX(Models!$BJ129:$BT129,,AH129)*(1-AF129)+INDEX(Models!$BJ129:$BT129,,AH129+1)*AF129-ERP_i)*AE129*Ramure*Pc/MaxiM</f>
        <v>8.4201138915928066E-5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7.2919999999999998</v>
      </c>
      <c r="C130" s="388"/>
      <c r="D130" s="391">
        <f t="shared" si="24"/>
        <v>7.409062661220438</v>
      </c>
      <c r="E130" s="383">
        <f t="shared" si="45"/>
        <v>7.8710761195401862</v>
      </c>
      <c r="F130" s="383">
        <f t="shared" si="25"/>
        <v>7.8710761195401862</v>
      </c>
      <c r="G130" s="110">
        <f t="shared" si="46"/>
        <v>0.12702405438647632</v>
      </c>
      <c r="H130" s="412" t="b">
        <f>Wh_hp&gt;='2020'!Maxi_hp</f>
        <v>0</v>
      </c>
      <c r="I130" s="379">
        <f>IF(H130,Wh_hp,'2020'!Maxi_hp)</f>
        <v>48.969253892862483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1.5799928624325554E-2</v>
      </c>
      <c r="M130" s="832"/>
      <c r="N130" s="832"/>
      <c r="O130" s="48">
        <f>IF(t&lt;Tnet,'2020'!Resal+('2020'!Salim-'2020'!Resal)*(1-EXP(('2020'!Tnet-t)/('2020'!Tau_j))),Resal+(Salim-Resal)*(1-EXP((Tnet-t)/(Tau_j))))*Salcycl</f>
        <v>5.8697622955619165E-2</v>
      </c>
      <c r="P130" s="169">
        <f>(INDEX(Models!$BJ130:$BT130,,T130)*(1-R130)+INDEX(Models!$BJ130:$BT130,,T130+1)*R130-ERP_i)*Q130*Ramure*Pc/MaxiM</f>
        <v>8.276803740317686E-5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57.401698368773985</v>
      </c>
      <c r="W130" s="400"/>
      <c r="X130" s="157">
        <f t="shared" si="33"/>
        <v>44312</v>
      </c>
      <c r="Y130" s="383">
        <f t="shared" si="34"/>
        <v>7.2919999999999998</v>
      </c>
      <c r="Z130" s="383">
        <f t="shared" si="35"/>
        <v>7.409062661220438</v>
      </c>
      <c r="AA130" s="384">
        <f t="shared" si="36"/>
        <v>7.8710761195401862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5.8697622955619165E-2</v>
      </c>
      <c r="AD130" s="230">
        <f>(INDEX(Models!$BJ130:$BT130,,AH130)*(1-AF130)+INDEX(Models!$BJ130:$BT130,,AH130+1)*AF130-ERP_i)*AE130*Ramure*Pc/MaxiM</f>
        <v>8.276803740317686E-5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20.023</v>
      </c>
      <c r="C131" s="388"/>
      <c r="D131" s="391">
        <f t="shared" si="24"/>
        <v>20.344830615175137</v>
      </c>
      <c r="E131" s="383">
        <f t="shared" si="45"/>
        <v>21.616054220717078</v>
      </c>
      <c r="F131" s="383">
        <f t="shared" si="25"/>
        <v>21.61617487116699</v>
      </c>
      <c r="G131" s="110">
        <f t="shared" si="46"/>
        <v>0.34796765234560445</v>
      </c>
      <c r="H131" s="412" t="b">
        <f>Wh_hp&gt;='2020'!Maxi_hp</f>
        <v>0</v>
      </c>
      <c r="I131" s="379">
        <f>IF(H131,Wh_hp,'2020'!Maxi_hp)</f>
        <v>29.835618313978816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1.5818790594161358E-2</v>
      </c>
      <c r="M131" s="832"/>
      <c r="N131" s="832"/>
      <c r="O131" s="48">
        <f>IF(t&lt;Tnet,'2020'!Resal+('2020'!Salim-'2020'!Resal)*(1-EXP(('2020'!Tnet-t)/('2020'!Tau_j))),Resal+(Salim-Resal)*(1-EXP((Tnet-t)/(Tau_j))))*Salcycl</f>
        <v>5.8809234680933763E-2</v>
      </c>
      <c r="P131" s="169">
        <f>(INDEX(Models!$BJ131:$BT131,,T131)*(1-R131)+INDEX(Models!$BJ131:$BT131,,T131+1)*R131-ERP_i)*Q131*Ramure*Pc/MaxiM</f>
        <v>8.1406829012789731E-5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57.538341871112635</v>
      </c>
      <c r="W131" s="400"/>
      <c r="X131" s="157">
        <f t="shared" si="33"/>
        <v>44313</v>
      </c>
      <c r="Y131" s="383">
        <f t="shared" si="34"/>
        <v>20.023</v>
      </c>
      <c r="Z131" s="383">
        <f t="shared" si="35"/>
        <v>20.344830615175137</v>
      </c>
      <c r="AA131" s="384">
        <f t="shared" si="36"/>
        <v>21.616054220717078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5.8809234680933763E-2</v>
      </c>
      <c r="AD131" s="230">
        <f>(INDEX(Models!$BJ131:$BT131,,AH131)*(1-AF131)+INDEX(Models!$BJ131:$BT131,,AH131+1)*AF131-ERP_i)*AE131*Ramure*Pc/MaxiM</f>
        <v>8.1406829012789731E-5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16.202000000000002</v>
      </c>
      <c r="C132" s="388"/>
      <c r="D132" s="391">
        <f t="shared" si="24"/>
        <v>16.462731008008344</v>
      </c>
      <c r="E132" s="383">
        <f t="shared" si="45"/>
        <v>17.493475758009474</v>
      </c>
      <c r="F132" s="383">
        <f t="shared" si="25"/>
        <v>17.493475758009474</v>
      </c>
      <c r="G132" s="110">
        <f t="shared" si="46"/>
        <v>0.2809270017945707</v>
      </c>
      <c r="H132" s="412" t="b">
        <f>Wh_hp&gt;='2020'!Maxi_hp</f>
        <v>0</v>
      </c>
      <c r="I132" s="379">
        <f>IF(H132,Wh_hp,'2020'!Maxi_hp)</f>
        <v>46.721279625112096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1.5837652202511765E-2</v>
      </c>
      <c r="M132" s="832"/>
      <c r="N132" s="832"/>
      <c r="O132" s="48">
        <f>IF(t&lt;Tnet,'2020'!Resal+('2020'!Salim-'2020'!Resal)*(1-EXP(('2020'!Tnet-t)/('2020'!Tau_j))),Resal+(Salim-Resal)*(1-EXP((Tnet-t)/(Tau_j))))*Salcycl</f>
        <v>5.8921666812222634E-2</v>
      </c>
      <c r="P132" s="169">
        <f>(INDEX(Models!$BJ132:$BT132,,T132)*(1-R132)+INDEX(Models!$BJ132:$BT132,,T132+1)*R132-ERP_i)*Q132*Ramure*Pc/MaxiM</f>
        <v>8.0116817277597381E-5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57.668724771331583</v>
      </c>
      <c r="W132" s="400"/>
      <c r="X132" s="157">
        <f t="shared" si="33"/>
        <v>44314</v>
      </c>
      <c r="Y132" s="383">
        <f t="shared" si="34"/>
        <v>16.202000000000002</v>
      </c>
      <c r="Z132" s="383">
        <f t="shared" si="35"/>
        <v>16.462731008008344</v>
      </c>
      <c r="AA132" s="384">
        <f t="shared" si="36"/>
        <v>17.493475758009474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5.8921666812222634E-2</v>
      </c>
      <c r="AD132" s="230">
        <f>(INDEX(Models!$BJ132:$BT132,,AH132)*(1-AF132)+INDEX(Models!$BJ132:$BT132,,AH132+1)*AF132-ERP_i)*AE132*Ramure*Pc/MaxiM</f>
        <v>8.0116817277597381E-5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25.239000000000001</v>
      </c>
      <c r="C133" s="388"/>
      <c r="D133" s="391">
        <f t="shared" si="24"/>
        <v>25.645650603716021</v>
      </c>
      <c r="E133" s="383">
        <f t="shared" si="45"/>
        <v>27.254625137944231</v>
      </c>
      <c r="F133" s="383">
        <f t="shared" si="25"/>
        <v>27.255045117106764</v>
      </c>
      <c r="G133" s="110">
        <f t="shared" si="46"/>
        <v>0.43668720018482321</v>
      </c>
      <c r="H133" s="412" t="b">
        <f>Wh_hp&gt;='2020'!Maxi_hp</f>
        <v>0</v>
      </c>
      <c r="I133" s="379">
        <f>IF(H133,Wh_hp,'2020'!Maxi_hp)</f>
        <v>51.783140656081144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1.5856513449383769E-2</v>
      </c>
      <c r="M133" s="832"/>
      <c r="N133" s="832"/>
      <c r="O133" s="48">
        <f>IF(t&lt;Tnet,'2020'!Resal+('2020'!Salim-'2020'!Resal)*(1-EXP(('2020'!Tnet-t)/('2020'!Tau_j))),Resal+(Salim-Resal)*(1-EXP((Tnet-t)/(Tau_j))))*Salcycl</f>
        <v>5.9034917049296538E-2</v>
      </c>
      <c r="P133" s="169">
        <f>(INDEX(Models!$BJ133:$BT133,,T133)*(1-R133)+INDEX(Models!$BJ133:$BT133,,T133+1)*R133-ERP_i)*Q133*Ramure*Pc/MaxiM</f>
        <v>7.8897445751447621E-5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57.79284940218119</v>
      </c>
      <c r="W133" s="400"/>
      <c r="X133" s="157">
        <f t="shared" si="33"/>
        <v>44315</v>
      </c>
      <c r="Y133" s="383">
        <f t="shared" si="34"/>
        <v>25.239000000000001</v>
      </c>
      <c r="Z133" s="383">
        <f t="shared" si="35"/>
        <v>25.645650603716021</v>
      </c>
      <c r="AA133" s="384">
        <f t="shared" si="36"/>
        <v>27.254625137944231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5.9034917049296538E-2</v>
      </c>
      <c r="AD133" s="230">
        <f>(INDEX(Models!$BJ133:$BT133,,AH133)*(1-AF133)+INDEX(Models!$BJ133:$BT133,,AH133+1)*AF133-ERP_i)*AE133*Ramure*Pc/MaxiM</f>
        <v>7.8897445751447621E-5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14.507</v>
      </c>
      <c r="C134" s="388"/>
      <c r="D134" s="391">
        <f t="shared" si="24"/>
        <v>14.741019197841984</v>
      </c>
      <c r="E134" s="383">
        <f t="shared" si="45"/>
        <v>15.667750692390163</v>
      </c>
      <c r="F134" s="383">
        <f t="shared" si="25"/>
        <v>15.667750692390163</v>
      </c>
      <c r="G134" s="110">
        <f t="shared" si="46"/>
        <v>0.25048682784788628</v>
      </c>
      <c r="H134" s="412" t="b">
        <f>Wh_hp&gt;='2020'!Maxi_hp</f>
        <v>0</v>
      </c>
      <c r="I134" s="379">
        <f>IF(H134,Wh_hp,'2020'!Maxi_hp)</f>
        <v>61.648626642094747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1.5875374334784365E-2</v>
      </c>
      <c r="M134" s="832"/>
      <c r="N134" s="832"/>
      <c r="O134" s="48">
        <f>IF(t&lt;Tnet,'2020'!Resal+('2020'!Salim-'2020'!Resal)*(1-EXP(('2020'!Tnet-t)/('2020'!Tau_j))),Resal+(Salim-Resal)*(1-EXP((Tnet-t)/(Tau_j))))*Salcycl</f>
        <v>5.9148981416859835E-2</v>
      </c>
      <c r="P134" s="169">
        <f>(INDEX(Models!$BJ134:$BT134,,T134)*(1-R134)+INDEX(Models!$BJ134:$BT134,,T134+1)*R134-ERP_i)*Q134*Ramure*Pc/MaxiM</f>
        <v>7.7748299428094273E-5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57.910718220397641</v>
      </c>
      <c r="W134" s="400"/>
      <c r="X134" s="157">
        <f t="shared" si="33"/>
        <v>44316</v>
      </c>
      <c r="Y134" s="383">
        <f t="shared" si="34"/>
        <v>14.507</v>
      </c>
      <c r="Z134" s="383">
        <f t="shared" si="35"/>
        <v>14.741019197841984</v>
      </c>
      <c r="AA134" s="384">
        <f t="shared" si="36"/>
        <v>15.667750692390163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5.9148981416859835E-2</v>
      </c>
      <c r="AD134" s="230">
        <f>(INDEX(Models!$BJ134:$BT134,,AH134)*(1-AF134)+INDEX(Models!$BJ134:$BT134,,AH134+1)*AF134-ERP_i)*AE134*Ramure*Pc/MaxiM</f>
        <v>7.7748299428094273E-5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18.181999999999999</v>
      </c>
      <c r="C135" s="388"/>
      <c r="D135" s="391">
        <f t="shared" si="24"/>
        <v>18.475656422345786</v>
      </c>
      <c r="E135" s="383">
        <f t="shared" si="45"/>
        <v>19.639573226656331</v>
      </c>
      <c r="F135" s="383">
        <f t="shared" si="25"/>
        <v>19.639601980155962</v>
      </c>
      <c r="G135" s="110">
        <f t="shared" si="46"/>
        <v>0.31334328291265945</v>
      </c>
      <c r="H135" s="412" t="b">
        <f>Wh_hp&gt;='2020'!Maxi_hp</f>
        <v>0</v>
      </c>
      <c r="I135" s="379">
        <f>IF(H135,Wh_hp,'2020'!Maxi_hp)</f>
        <v>57.098058064772587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1.5894234858720324E-2</v>
      </c>
      <c r="M135" s="832"/>
      <c r="N135" s="832"/>
      <c r="O135" s="48">
        <f>IF(t&lt;Tnet,'2020'!Resal+('2020'!Salim-'2020'!Resal)*(1-EXP(('2020'!Tnet-t)/('2020'!Tau_j))),Resal+(Salim-Resal)*(1-EXP((Tnet-t)/(Tau_j))))*Salcycl</f>
        <v>5.9263854202839188E-2</v>
      </c>
      <c r="P135" s="169">
        <f>(INDEX(Models!$BJ135:$BT135,,T135)*(1-R135)+INDEX(Models!$BJ135:$BT135,,T135+1)*R135-ERP_i)*Q135*Ramure*Pc/MaxiM</f>
        <v>7.6670269825010272E-5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58.021453115708709</v>
      </c>
      <c r="W135" s="400"/>
      <c r="X135" s="157">
        <f t="shared" si="33"/>
        <v>44317</v>
      </c>
      <c r="Y135" s="383">
        <f t="shared" si="34"/>
        <v>18.181999999999999</v>
      </c>
      <c r="Z135" s="383">
        <f t="shared" si="35"/>
        <v>18.475656422345786</v>
      </c>
      <c r="AA135" s="384">
        <f t="shared" si="36"/>
        <v>19.639573226656331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5.9263854202839188E-2</v>
      </c>
      <c r="AD135" s="230">
        <f>(INDEX(Models!$BJ135:$BT135,,AH135)*(1-AF135)+INDEX(Models!$BJ135:$BT135,,AH135+1)*AF135-ERP_i)*AE135*Ramure*Pc/MaxiM</f>
        <v>7.6670269825010272E-5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45.877000000000002</v>
      </c>
      <c r="C136" s="388"/>
      <c r="D136" s="391">
        <f t="shared" si="24"/>
        <v>46.61885019289862</v>
      </c>
      <c r="E136" s="383">
        <f t="shared" si="45"/>
        <v>49.561806887686267</v>
      </c>
      <c r="F136" s="383">
        <f t="shared" si="25"/>
        <v>49.564429764978506</v>
      </c>
      <c r="G136" s="110">
        <f t="shared" si="46"/>
        <v>0.78927126839435335</v>
      </c>
      <c r="H136" s="412" t="b">
        <f>Wh_hp&gt;='2020'!Maxi_hp</f>
        <v>1</v>
      </c>
      <c r="I136" s="379">
        <f>IF(H136,Wh_hp,'2020'!Maxi_hp)</f>
        <v>49.564429764978506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1.5913095021198642E-2</v>
      </c>
      <c r="M136" s="832"/>
      <c r="N136" s="832"/>
      <c r="O136" s="48">
        <f>IF(t&lt;Tnet,'2020'!Resal+('2020'!Salim-'2020'!Resal)*(1-EXP(('2020'!Tnet-t)/('2020'!Tau_j))),Resal+(Salim-Resal)*(1-EXP((Tnet-t)/(Tau_j))))*Salcycl</f>
        <v>5.9379527898504196E-2</v>
      </c>
      <c r="P136" s="169">
        <f>(INDEX(Models!$BJ136:$BT136,,T136)*(1-R136)+INDEX(Models!$BJ136:$BT136,,T136+1)*R136-ERP_i)*Q136*Ramure*Pc/MaxiM</f>
        <v>7.5707729053627688E-5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58.124445019267647</v>
      </c>
      <c r="W136" s="400"/>
      <c r="X136" s="157">
        <f t="shared" si="33"/>
        <v>44318</v>
      </c>
      <c r="Y136" s="383">
        <f t="shared" si="34"/>
        <v>45.877000000000002</v>
      </c>
      <c r="Z136" s="383">
        <f t="shared" si="35"/>
        <v>46.61885019289862</v>
      </c>
      <c r="AA136" s="384">
        <f t="shared" si="36"/>
        <v>49.561806887686267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5.9379527898504196E-2</v>
      </c>
      <c r="AD136" s="230">
        <f>(INDEX(Models!$BJ136:$BT136,,AH136)*(1-AF136)+INDEX(Models!$BJ136:$BT136,,AH136+1)*AF136-ERP_i)*AE136*Ramure*Pc/MaxiM</f>
        <v>7.5707729053627688E-5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56.826999999999998</v>
      </c>
      <c r="C137" s="388"/>
      <c r="D137" s="391">
        <f t="shared" si="24"/>
        <v>57.747022960931623</v>
      </c>
      <c r="E137" s="383">
        <f t="shared" si="45"/>
        <v>61.400081806978569</v>
      </c>
      <c r="F137" s="383">
        <f t="shared" si="25"/>
        <v>61.404519088032231</v>
      </c>
      <c r="G137" s="110">
        <f t="shared" si="46"/>
        <v>0.97606923882988783</v>
      </c>
      <c r="H137" s="412" t="b">
        <f>Wh_hp&gt;='2020'!Maxi_hp</f>
        <v>1</v>
      </c>
      <c r="I137" s="379">
        <f>IF(H137,Wh_hp,'2020'!Maxi_hp)</f>
        <v>61.404519088032231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1.5931954822226202E-2</v>
      </c>
      <c r="M137" s="832"/>
      <c r="N137" s="832"/>
      <c r="O137" s="48">
        <f>IF(t&lt;Tnet,'2020'!Resal+('2020'!Salim-'2020'!Resal)*(1-EXP(('2020'!Tnet-t)/('2020'!Tau_j))),Resal+(Salim-Resal)*(1-EXP((Tnet-t)/(Tau_j))))*Salcycl</f>
        <v>5.9495993141034362E-2</v>
      </c>
      <c r="P137" s="169">
        <f>(INDEX(Models!$BJ137:$BT137,,T137)*(1-R137)+INDEX(Models!$BJ137:$BT137,,T137+1)*R137-ERP_i)*Q137*Ramure*Pc/MaxiM</f>
        <v>7.4820716594801E-5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58.220106102392258</v>
      </c>
      <c r="W137" s="400"/>
      <c r="X137" s="157">
        <f t="shared" si="33"/>
        <v>44319</v>
      </c>
      <c r="Y137" s="383">
        <f t="shared" si="34"/>
        <v>56.826999999999998</v>
      </c>
      <c r="Z137" s="383">
        <f t="shared" si="35"/>
        <v>57.747022960931623</v>
      </c>
      <c r="AA137" s="384">
        <f t="shared" si="36"/>
        <v>61.400081806978569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5.9495993141034362E-2</v>
      </c>
      <c r="AD137" s="230">
        <f>(INDEX(Models!$BJ137:$BT137,,AH137)*(1-AF137)+INDEX(Models!$BJ137:$BT137,,AH137+1)*AF137-ERP_i)*AE137*Ramure*Pc/MaxiM</f>
        <v>7.4820716594801E-5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49.968000000000004</v>
      </c>
      <c r="C138" s="388"/>
      <c r="D138" s="391">
        <f t="shared" si="24"/>
        <v>50.777949643356735</v>
      </c>
      <c r="E138" s="383">
        <f t="shared" si="45"/>
        <v>53.996878444948337</v>
      </c>
      <c r="F138" s="383">
        <f t="shared" si="25"/>
        <v>54.000058250195806</v>
      </c>
      <c r="G138" s="110">
        <f t="shared" si="46"/>
        <v>0.85694105683308486</v>
      </c>
      <c r="H138" s="412" t="b">
        <f>Wh_hp&gt;='2020'!Maxi_hp</f>
        <v>1</v>
      </c>
      <c r="I138" s="379">
        <f>IF(H138,Wh_hp,'2020'!Maxi_hp)</f>
        <v>54.000058250195806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1.5950814261810109E-2</v>
      </c>
      <c r="M138" s="832"/>
      <c r="N138" s="832"/>
      <c r="O138" s="48">
        <f>IF(t&lt;Tnet,'2020'!Resal+('2020'!Salim-'2020'!Resal)*(1-EXP(('2020'!Tnet-t)/('2020'!Tau_j))),Resal+(Salim-Resal)*(1-EXP((Tnet-t)/(Tau_j))))*Salcycl</f>
        <v>5.9613238659220073E-2</v>
      </c>
      <c r="P138" s="169">
        <f>(INDEX(Models!$BJ138:$BT138,,T138)*(1-R138)+INDEX(Models!$BJ138:$BT138,,T138+1)*R138-ERP_i)*Q138*Ramure*Pc/MaxiM</f>
        <v>7.4009077684596415E-5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58.308846154690904</v>
      </c>
      <c r="W138" s="400"/>
      <c r="X138" s="157">
        <f t="shared" si="33"/>
        <v>44320</v>
      </c>
      <c r="Y138" s="383">
        <f t="shared" si="34"/>
        <v>49.968000000000004</v>
      </c>
      <c r="Z138" s="383">
        <f t="shared" si="35"/>
        <v>50.777949643356735</v>
      </c>
      <c r="AA138" s="384">
        <f t="shared" si="36"/>
        <v>53.996878444948337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5.9613238659220073E-2</v>
      </c>
      <c r="AD138" s="230">
        <f>(INDEX(Models!$BJ138:$BT138,,AH138)*(1-AF138)+INDEX(Models!$BJ138:$BT138,,AH138+1)*AF138-ERP_i)*AE138*Ramure*Pc/MaxiM</f>
        <v>7.4009077684596415E-5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32.488999999999997</v>
      </c>
      <c r="C139" s="388"/>
      <c r="D139" s="391">
        <f t="shared" si="24"/>
        <v>33.016258869046126</v>
      </c>
      <c r="E139" s="383">
        <f t="shared" si="45"/>
        <v>35.113640554352656</v>
      </c>
      <c r="F139" s="383">
        <f t="shared" si="25"/>
        <v>35.114583000579039</v>
      </c>
      <c r="G139" s="110">
        <f t="shared" si="46"/>
        <v>0.55637769016818051</v>
      </c>
      <c r="H139" s="412" t="b">
        <f>Wh_hp&gt;='2020'!Maxi_hp</f>
        <v>0</v>
      </c>
      <c r="I139" s="379">
        <f>IF(H139,Wh_hp,'2020'!Maxi_hp)</f>
        <v>59.96671405061354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1.5969673339957025E-2</v>
      </c>
      <c r="M139" s="832"/>
      <c r="N139" s="832"/>
      <c r="O139" s="48">
        <f>IF(t&lt;Tnet,'2020'!Resal+('2020'!Salim-'2020'!Resal)*(1-EXP(('2020'!Tnet-t)/('2020'!Tau_j))),Resal+(Salim-Resal)*(1-EXP((Tnet-t)/(Tau_j))))*Salcycl</f>
        <v>5.9731251223010436E-2</v>
      </c>
      <c r="P139" s="169">
        <f>(INDEX(Models!$BJ139:$BT139,,T139)*(1-R139)+INDEX(Models!$BJ139:$BT139,,T139+1)*R139-ERP_i)*Q139*Ramure*Pc/MaxiM</f>
        <v>7.3272854383421649E-5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58.391074893179237</v>
      </c>
      <c r="W139" s="400"/>
      <c r="X139" s="157">
        <f t="shared" si="33"/>
        <v>44321</v>
      </c>
      <c r="Y139" s="383">
        <f t="shared" si="34"/>
        <v>32.488999999999997</v>
      </c>
      <c r="Z139" s="383">
        <f t="shared" si="35"/>
        <v>33.016258869046126</v>
      </c>
      <c r="AA139" s="384">
        <f t="shared" si="36"/>
        <v>35.113640554352656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5.9731251223010436E-2</v>
      </c>
      <c r="AD139" s="230">
        <f>(INDEX(Models!$BJ139:$BT139,,AH139)*(1-AF139)+INDEX(Models!$BJ139:$BT139,,AH139+1)*AF139-ERP_i)*AE139*Ramure*Pc/MaxiM</f>
        <v>7.3272854383421649E-5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33.599000000000004</v>
      </c>
      <c r="C140" s="388"/>
      <c r="D140" s="391">
        <f t="shared" si="24"/>
        <v>34.14492726413544</v>
      </c>
      <c r="E140" s="383">
        <f t="shared" si="45"/>
        <v>36.318595788565439</v>
      </c>
      <c r="F140" s="383">
        <f t="shared" si="25"/>
        <v>36.319630585916087</v>
      </c>
      <c r="G140" s="110">
        <f t="shared" si="46"/>
        <v>0.57463871058000182</v>
      </c>
      <c r="H140" s="412" t="b">
        <f>Wh_hp&gt;='2020'!Maxi_hp</f>
        <v>0</v>
      </c>
      <c r="I140" s="379">
        <f>IF(H140,Wh_hp,'2020'!Maxi_hp)</f>
        <v>63.959766591204975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1.5988532056674054E-2</v>
      </c>
      <c r="M140" s="832"/>
      <c r="N140" s="832"/>
      <c r="O140" s="48">
        <f>IF(t&lt;Tnet,'2020'!Resal+('2020'!Salim-'2020'!Resal)*(1-EXP(('2020'!Tnet-t)/('2020'!Tau_j))),Resal+(Salim-Resal)*(1-EXP((Tnet-t)/(Tau_j))))*Salcycl</f>
        <v>5.9850015597639417E-2</v>
      </c>
      <c r="P140" s="169">
        <f>(INDEX(Models!$BJ140:$BT140,,T140)*(1-R140)+INDEX(Models!$BJ140:$BT140,,T140+1)*R140-ERP_i)*Q140*Ramure*Pc/MaxiM</f>
        <v>7.2612281182607338E-5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58.467201951249365</v>
      </c>
      <c r="W140" s="400"/>
      <c r="X140" s="157">
        <f t="shared" si="33"/>
        <v>44322</v>
      </c>
      <c r="Y140" s="383">
        <f t="shared" si="34"/>
        <v>33.599000000000004</v>
      </c>
      <c r="Z140" s="383">
        <f t="shared" si="35"/>
        <v>34.14492726413544</v>
      </c>
      <c r="AA140" s="384">
        <f t="shared" si="36"/>
        <v>36.318595788565439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5.9850015597639417E-2</v>
      </c>
      <c r="AD140" s="230">
        <f>(INDEX(Models!$BJ140:$BT140,,AH140)*(1-AF140)+INDEX(Models!$BJ140:$BT140,,AH140+1)*AF140-ERP_i)*AE140*Ramure*Pc/MaxiM</f>
        <v>7.2612281182607338E-5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26.446999999999999</v>
      </c>
      <c r="C141" s="388"/>
      <c r="D141" s="391">
        <f t="shared" si="24"/>
        <v>26.877234383978312</v>
      </c>
      <c r="E141" s="383">
        <f t="shared" si="45"/>
        <v>28.591875262183869</v>
      </c>
      <c r="F141" s="383">
        <f t="shared" si="25"/>
        <v>28.592321851483756</v>
      </c>
      <c r="G141" s="110">
        <f t="shared" si="46"/>
        <v>0.45176931537826526</v>
      </c>
      <c r="H141" s="412" t="b">
        <f>Wh_hp&gt;='2020'!Maxi_hp</f>
        <v>0</v>
      </c>
      <c r="I141" s="379">
        <f>IF(H141,Wh_hp,'2020'!Maxi_hp)</f>
        <v>60.392486037860046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1.6007390411968081E-2</v>
      </c>
      <c r="M141" s="832"/>
      <c r="N141" s="832"/>
      <c r="O141" s="48">
        <f>IF(t&lt;Tnet,'2020'!Resal+('2020'!Salim-'2020'!Resal)*(1-EXP(('2020'!Tnet-t)/('2020'!Tau_j))),Resal+(Salim-Resal)*(1-EXP((Tnet-t)/(Tau_j))))*Salcycl</f>
        <v>5.9969514503071822E-2</v>
      </c>
      <c r="P141" s="169">
        <f>(INDEX(Models!$BJ141:$BT141,,T141)*(1-R141)+INDEX(Models!$BJ141:$BT141,,T141+1)*R141-ERP_i)*Q141*Ramure*Pc/MaxiM</f>
        <v>7.202778054515563E-5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58.537636884267641</v>
      </c>
      <c r="W141" s="400"/>
      <c r="X141" s="157">
        <f t="shared" si="33"/>
        <v>44323</v>
      </c>
      <c r="Y141" s="383">
        <f t="shared" si="34"/>
        <v>26.446999999999999</v>
      </c>
      <c r="Z141" s="383">
        <f t="shared" si="35"/>
        <v>26.877234383978312</v>
      </c>
      <c r="AA141" s="384">
        <f t="shared" si="36"/>
        <v>28.591875262183869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5.9969514503071822E-2</v>
      </c>
      <c r="AD141" s="230">
        <f>(INDEX(Models!$BJ141:$BT141,,AH141)*(1-AF141)+INDEX(Models!$BJ141:$BT141,,AH141+1)*AF141-ERP_i)*AE141*Ramure*Pc/MaxiM</f>
        <v>7.202778054515563E-5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54.972999999999999</v>
      </c>
      <c r="C142" s="388"/>
      <c r="D142" s="391">
        <f t="shared" si="24"/>
        <v>55.868360218895305</v>
      </c>
      <c r="E142" s="383">
        <f t="shared" si="45"/>
        <v>59.440099675111924</v>
      </c>
      <c r="F142" s="383">
        <f t="shared" si="25"/>
        <v>59.443974291396984</v>
      </c>
      <c r="G142" s="110">
        <f t="shared" si="46"/>
        <v>0.93805520682310539</v>
      </c>
      <c r="H142" s="412" t="b">
        <f>Wh_hp&gt;='2020'!Maxi_hp</f>
        <v>1</v>
      </c>
      <c r="I142" s="379">
        <f>IF(H142,Wh_hp,'2020'!Maxi_hp)</f>
        <v>59.443974291396984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1.60262484058461E-2</v>
      </c>
      <c r="M142" s="832"/>
      <c r="N142" s="832"/>
      <c r="O142" s="48">
        <f>IF(t&lt;Tnet,'2020'!Resal+('2020'!Salim-'2020'!Resal)*(1-EXP(('2020'!Tnet-t)/('2020'!Tau_j))),Resal+(Salim-Resal)*(1-EXP((Tnet-t)/(Tau_j))))*Salcycl</f>
        <v>6.0089728579512149E-2</v>
      </c>
      <c r="P142" s="169">
        <f>(INDEX(Models!$BJ142:$BT142,,T142)*(1-R142)+INDEX(Models!$BJ142:$BT142,,T142+1)*R142-ERP_i)*Q142*Ramure*Pc/MaxiM</f>
        <v>7.1508324870573728E-5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58.602789840241378</v>
      </c>
      <c r="W142" s="400"/>
      <c r="X142" s="157">
        <f t="shared" si="33"/>
        <v>44324</v>
      </c>
      <c r="Y142" s="383">
        <f t="shared" si="34"/>
        <v>54.972999999999999</v>
      </c>
      <c r="Z142" s="383">
        <f t="shared" si="35"/>
        <v>55.868360218895305</v>
      </c>
      <c r="AA142" s="384">
        <f t="shared" si="36"/>
        <v>59.440099675111924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6.0089728579512149E-2</v>
      </c>
      <c r="AD142" s="230">
        <f>(INDEX(Models!$BJ142:$BT142,,AH142)*(1-AF142)+INDEX(Models!$BJ142:$BT142,,AH142+1)*AF142-ERP_i)*AE142*Ramure*Pc/MaxiM</f>
        <v>7.1508324870573728E-5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20.51</v>
      </c>
      <c r="C143" s="388"/>
      <c r="D143" s="391">
        <f t="shared" ref="D143:D206" si="48">Wh/(1-Ppv)</f>
        <v>20.844451433562007</v>
      </c>
      <c r="E143" s="383">
        <f t="shared" si="45"/>
        <v>22.179918437064153</v>
      </c>
      <c r="F143" s="383">
        <f t="shared" ref="F143:F206" si="49">Wh_sa/(1-Pvg*MEDIAN((-Sdif+Wh/Env_an)/Csdif,0,1))</f>
        <v>22.180030106070422</v>
      </c>
      <c r="G143" s="110">
        <f t="shared" si="46"/>
        <v>0.34960062350243903</v>
      </c>
      <c r="H143" s="412" t="b">
        <f>Wh_hp&gt;='2020'!Maxi_hp</f>
        <v>0</v>
      </c>
      <c r="I143" s="379">
        <f>IF(H143,Wh_hp,'2020'!Maxi_hp)</f>
        <v>54.519329052918785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1.6045106038314882E-2</v>
      </c>
      <c r="M143" s="832"/>
      <c r="N143" s="832"/>
      <c r="O143" s="48">
        <f>IF(t&lt;Tnet,'2020'!Resal+('2020'!Salim-'2020'!Resal)*(1-EXP(('2020'!Tnet-t)/('2020'!Tau_j))),Resal+(Salim-Resal)*(1-EXP((Tnet-t)/(Tau_j))))*Salcycl</f>
        <v>6.0210636359712223E-2</v>
      </c>
      <c r="P143" s="169">
        <f>(INDEX(Models!$BJ143:$BT143,,T143)*(1-R143)+INDEX(Models!$BJ143:$BT143,,T143+1)*R143-ERP_i)*Q143*Ramure*Pc/MaxiM</f>
        <v>7.1019804687758923E-5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58.663072257977035</v>
      </c>
      <c r="W143" s="400"/>
      <c r="X143" s="157">
        <f t="shared" ref="X143:X206" si="57">t</f>
        <v>44325</v>
      </c>
      <c r="Y143" s="383">
        <f t="shared" ref="Y143:Y206" si="58">Wh_pvt_s*(1-Ppv)</f>
        <v>20.51</v>
      </c>
      <c r="Z143" s="383">
        <f t="shared" ref="Z143:Z206" si="59">Wh_sa_s*(1-Psa_s)</f>
        <v>20.844451433562007</v>
      </c>
      <c r="AA143" s="384">
        <f t="shared" ref="AA143:AA206" si="60">Wh_hp*(1-Pvg_s*MEDIAN((-Sdif+Wh/Env_an)/Csdif,0,1))</f>
        <v>22.179918437064153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6.0210636359712223E-2</v>
      </c>
      <c r="AD143" s="230">
        <f>(INDEX(Models!$BJ143:$BT143,,AH143)*(1-AF143)+INDEX(Models!$BJ143:$BT143,,AH143+1)*AF143-ERP_i)*AE143*Ramure*Pc/MaxiM</f>
        <v>7.1019804687758923E-5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39.768000000000001</v>
      </c>
      <c r="C144" s="388"/>
      <c r="D144" s="391">
        <f t="shared" si="48"/>
        <v>40.417261404263776</v>
      </c>
      <c r="E144" s="383">
        <f t="shared" ref="E144:E169" si="69">Wh_pvt/(1-Psa)</f>
        <v>43.012287977875999</v>
      </c>
      <c r="F144" s="383">
        <f t="shared" si="49"/>
        <v>43.013923740126152</v>
      </c>
      <c r="G144" s="110">
        <f t="shared" ref="G144:G169" si="70">+Wh_hp/MaxiM</f>
        <v>0.67723868392793218</v>
      </c>
      <c r="H144" s="412" t="b">
        <f>Wh_hp&gt;='2020'!Maxi_hp</f>
        <v>0</v>
      </c>
      <c r="I144" s="379">
        <f>IF(H144,Wh_hp,'2020'!Maxi_hp)</f>
        <v>51.867721466832606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1.6063963309381535E-2</v>
      </c>
      <c r="M144" s="832"/>
      <c r="N144" s="832"/>
      <c r="O144" s="48">
        <f>IF(t&lt;Tnet,'2020'!Resal+('2020'!Salim-'2020'!Resal)*(1-EXP(('2020'!Tnet-t)/('2020'!Tau_j))),Resal+(Salim-Resal)*(1-EXP((Tnet-t)/(Tau_j))))*Salcycl</f>
        <v>6.0332214248798262E-2</v>
      </c>
      <c r="P144" s="169">
        <f>(INDEX(Models!$BJ144:$BT144,,T144)*(1-R144)+INDEX(Models!$BJ144:$BT144,,T144+1)*R144-ERP_i)*Q144*Ramure*Pc/MaxiM</f>
        <v>7.0561462505994065E-5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58.718893545780993</v>
      </c>
      <c r="W144" s="400"/>
      <c r="X144" s="157">
        <f t="shared" si="57"/>
        <v>44326</v>
      </c>
      <c r="Y144" s="383">
        <f t="shared" si="58"/>
        <v>39.768000000000001</v>
      </c>
      <c r="Z144" s="383">
        <f t="shared" si="59"/>
        <v>40.417261404263776</v>
      </c>
      <c r="AA144" s="384">
        <f t="shared" si="60"/>
        <v>43.012287977875999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6.0332214248798262E-2</v>
      </c>
      <c r="AD144" s="230">
        <f>(INDEX(Models!$BJ144:$BT144,,AH144)*(1-AF144)+INDEX(Models!$BJ144:$BT144,,AH144+1)*AF144-ERP_i)*AE144*Ramure*Pc/MaxiM</f>
        <v>7.0561462505994065E-5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34.733000000000004</v>
      </c>
      <c r="C145" s="388"/>
      <c r="D145" s="391">
        <f t="shared" si="48"/>
        <v>35.300735380728618</v>
      </c>
      <c r="E145" s="383">
        <f t="shared" si="69"/>
        <v>37.572137799989939</v>
      </c>
      <c r="F145" s="383">
        <f t="shared" si="49"/>
        <v>37.573233222812263</v>
      </c>
      <c r="G145" s="110">
        <f t="shared" si="70"/>
        <v>0.59096792296328737</v>
      </c>
      <c r="H145" s="412" t="b">
        <f>Wh_hp&gt;='2020'!Maxi_hp</f>
        <v>0</v>
      </c>
      <c r="I145" s="379">
        <f>IF(H145,Wh_hp,'2020'!Maxi_hp)</f>
        <v>37.893036720520001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1.6082820219052829E-2</v>
      </c>
      <c r="M145" s="832"/>
      <c r="N145" s="832"/>
      <c r="O145" s="48">
        <f>IF(t&lt;Tnet,'2020'!Resal+('2020'!Salim-'2020'!Resal)*(1-EXP(('2020'!Tnet-t)/('2020'!Tau_j))),Resal+(Salim-Resal)*(1-EXP((Tnet-t)/(Tau_j))))*Salcycl</f>
        <v>6.0454436512311784E-2</v>
      </c>
      <c r="P145" s="169">
        <f>(INDEX(Models!$BJ145:$BT145,,T145)*(1-R145)+INDEX(Models!$BJ145:$BT145,,T145+1)*R145-ERP_i)*Q145*Ramure*Pc/MaxiM</f>
        <v>7.0132609104611881E-5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58.770663027079181</v>
      </c>
      <c r="W145" s="400"/>
      <c r="X145" s="157">
        <f t="shared" si="57"/>
        <v>44327</v>
      </c>
      <c r="Y145" s="383">
        <f t="shared" si="58"/>
        <v>34.733000000000004</v>
      </c>
      <c r="Z145" s="383">
        <f t="shared" si="59"/>
        <v>35.300735380728618</v>
      </c>
      <c r="AA145" s="384">
        <f t="shared" si="60"/>
        <v>37.572137799989939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6.0454436512311784E-2</v>
      </c>
      <c r="AD145" s="230">
        <f>(INDEX(Models!$BJ145:$BT145,,AH145)*(1-AF145)+INDEX(Models!$BJ145:$BT145,,AH145+1)*AF145-ERP_i)*AE145*Ramure*Pc/MaxiM</f>
        <v>7.0132609104611881E-5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39.957000000000001</v>
      </c>
      <c r="C146" s="388"/>
      <c r="D146" s="391">
        <f t="shared" si="48"/>
        <v>40.610903643700283</v>
      </c>
      <c r="E146" s="383">
        <f t="shared" si="69"/>
        <v>43.229637281243555</v>
      </c>
      <c r="F146" s="383">
        <f t="shared" si="49"/>
        <v>43.231270882186216</v>
      </c>
      <c r="G146" s="110">
        <f t="shared" si="70"/>
        <v>0.67930203188415628</v>
      </c>
      <c r="H146" s="412" t="b">
        <f>Wh_hp&gt;='2020'!Maxi_hp</f>
        <v>0</v>
      </c>
      <c r="I146" s="379">
        <f>IF(H146,Wh_hp,'2020'!Maxi_hp)</f>
        <v>56.127004376201441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1.610167676733576E-2</v>
      </c>
      <c r="M146" s="832"/>
      <c r="N146" s="832"/>
      <c r="O146" s="48">
        <f>IF(t&lt;Tnet,'2020'!Resal+('2020'!Salim-'2020'!Resal)*(1-EXP(('2020'!Tnet-t)/('2020'!Tau_j))),Resal+(Salim-Resal)*(1-EXP((Tnet-t)/(Tau_j))))*Salcycl</f>
        <v>6.0577275273125883E-2</v>
      </c>
      <c r="P146" s="169">
        <f>(INDEX(Models!$BJ146:$BT146,,T146)*(1-R146)+INDEX(Models!$BJ146:$BT146,,T146+1)*R146-ERP_i)*Q146*Ramure*Pc/MaxiM</f>
        <v>6.9732622072152825E-5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58.818789940972586</v>
      </c>
      <c r="W146" s="400"/>
      <c r="X146" s="157">
        <f t="shared" si="57"/>
        <v>44328</v>
      </c>
      <c r="Y146" s="383">
        <f t="shared" si="58"/>
        <v>39.957000000000001</v>
      </c>
      <c r="Z146" s="383">
        <f t="shared" si="59"/>
        <v>40.610903643700283</v>
      </c>
      <c r="AA146" s="384">
        <f t="shared" si="60"/>
        <v>43.229637281243555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6.0577275273125883E-2</v>
      </c>
      <c r="AD146" s="230">
        <f>(INDEX(Models!$BJ146:$BT146,,AH146)*(1-AF146)+INDEX(Models!$BJ146:$BT146,,AH146+1)*AF146-ERP_i)*AE146*Ramure*Pc/MaxiM</f>
        <v>6.9732622072152825E-5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45.34</v>
      </c>
      <c r="C147" s="388"/>
      <c r="D147" s="391">
        <f t="shared" si="48"/>
        <v>46.082880595262104</v>
      </c>
      <c r="E147" s="383">
        <f t="shared" si="69"/>
        <v>49.060912342496707</v>
      </c>
      <c r="F147" s="383">
        <f t="shared" si="49"/>
        <v>49.063198496631209</v>
      </c>
      <c r="G147" s="110">
        <f t="shared" si="70"/>
        <v>0.77023667478969304</v>
      </c>
      <c r="H147" s="412" t="b">
        <f>Wh_hp&gt;='2020'!Maxi_hp</f>
        <v>0</v>
      </c>
      <c r="I147" s="379">
        <f>IF(H147,Wh_hp,'2020'!Maxi_hp)</f>
        <v>64.735176440204555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1.612053295423721E-2</v>
      </c>
      <c r="M147" s="832"/>
      <c r="N147" s="832"/>
      <c r="O147" s="48">
        <f>IF(t&lt;Tnet,'2020'!Resal+('2020'!Salim-'2020'!Resal)*(1-EXP(('2020'!Tnet-t)/('2020'!Tau_j))),Resal+(Salim-Resal)*(1-EXP((Tnet-t)/(Tau_j))))*Salcycl</f>
        <v>6.0700700517854457E-2</v>
      </c>
      <c r="P147" s="169">
        <f>(INDEX(Models!$BJ147:$BT147,,T147)*(1-R147)+INDEX(Models!$BJ147:$BT147,,T147+1)*R147-ERP_i)*Q147*Ramure*Pc/MaxiM</f>
        <v>6.9360944429642523E-5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58.863683434230857</v>
      </c>
      <c r="W147" s="400"/>
      <c r="X147" s="157">
        <f t="shared" si="57"/>
        <v>44329</v>
      </c>
      <c r="Y147" s="383">
        <f t="shared" si="58"/>
        <v>45.34</v>
      </c>
      <c r="Z147" s="383">
        <f t="shared" si="59"/>
        <v>46.082880595262104</v>
      </c>
      <c r="AA147" s="384">
        <f t="shared" si="60"/>
        <v>49.060912342496707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6.0700700517854457E-2</v>
      </c>
      <c r="AD147" s="230">
        <f>(INDEX(Models!$BJ147:$BT147,,AH147)*(1-AF147)+INDEX(Models!$BJ147:$BT147,,AH147+1)*AF147-ERP_i)*AE147*Ramure*Pc/MaxiM</f>
        <v>6.9360944429642523E-5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45.313000000000002</v>
      </c>
      <c r="C148" s="388"/>
      <c r="D148" s="391">
        <f t="shared" si="48"/>
        <v>46.056320868258389</v>
      </c>
      <c r="E148" s="383">
        <f t="shared" si="69"/>
        <v>49.039108985333598</v>
      </c>
      <c r="F148" s="383">
        <f t="shared" si="49"/>
        <v>49.041377917837558</v>
      </c>
      <c r="G148" s="110">
        <f t="shared" si="70"/>
        <v>0.76922825105728787</v>
      </c>
      <c r="H148" s="412" t="b">
        <f>Wh_hp&gt;='2020'!Maxi_hp</f>
        <v>0</v>
      </c>
      <c r="I148" s="379">
        <f>IF(H148,Wh_hp,'2020'!Maxi_hp)</f>
        <v>63.17753058579234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1.6139388779764174E-2</v>
      </c>
      <c r="M148" s="832"/>
      <c r="N148" s="832"/>
      <c r="O148" s="48">
        <f>IF(t&lt;Tnet,'2020'!Resal+('2020'!Salim-'2020'!Resal)*(1-EXP(('2020'!Tnet-t)/('2020'!Tau_j))),Resal+(Salim-Resal)*(1-EXP((Tnet-t)/(Tau_j))))*Salcycl</f>
        <v>6.0824680113321081E-2</v>
      </c>
      <c r="P148" s="169">
        <f>(INDEX(Models!$BJ148:$BT148,,T148)*(1-R148)+INDEX(Models!$BJ148:$BT148,,T148+1)*R148-ERP_i)*Q148*Ramure*Pc/MaxiM</f>
        <v>6.9017083287883772E-5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58.90575255849555</v>
      </c>
      <c r="W148" s="400"/>
      <c r="X148" s="157">
        <f t="shared" si="57"/>
        <v>44330</v>
      </c>
      <c r="Y148" s="383">
        <f t="shared" si="58"/>
        <v>45.313000000000002</v>
      </c>
      <c r="Z148" s="383">
        <f t="shared" si="59"/>
        <v>46.056320868258389</v>
      </c>
      <c r="AA148" s="384">
        <f t="shared" si="60"/>
        <v>49.039108985333598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6.0824680113321081E-2</v>
      </c>
      <c r="AD148" s="230">
        <f>(INDEX(Models!$BJ148:$BT148,,AH148)*(1-AF148)+INDEX(Models!$BJ148:$BT148,,AH148+1)*AF148-ERP_i)*AE148*Ramure*Pc/MaxiM</f>
        <v>6.9017083287883772E-5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20.253</v>
      </c>
      <c r="C149" s="388"/>
      <c r="D149" s="391">
        <f t="shared" si="48"/>
        <v>20.585627598653495</v>
      </c>
      <c r="E149" s="383">
        <f t="shared" si="69"/>
        <v>21.921739650901497</v>
      </c>
      <c r="F149" s="383">
        <f t="shared" si="49"/>
        <v>21.921833453008379</v>
      </c>
      <c r="G149" s="110">
        <f t="shared" si="70"/>
        <v>0.34357545255383998</v>
      </c>
      <c r="H149" s="412" t="b">
        <f>Wh_hp&gt;='2020'!Maxi_hp</f>
        <v>0</v>
      </c>
      <c r="I149" s="379">
        <f>IF(H149,Wh_hp,'2020'!Maxi_hp)</f>
        <v>63.749746861981109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1.6158244243923536E-2</v>
      </c>
      <c r="M149" s="832"/>
      <c r="N149" s="832"/>
      <c r="O149" s="48">
        <f>IF(t&lt;Tnet,'2020'!Resal+('2020'!Salim-'2020'!Resal)*(1-EXP(('2020'!Tnet-t)/('2020'!Tau_j))),Resal+(Salim-Resal)*(1-EXP((Tnet-t)/(Tau_j))))*Salcycl</f>
        <v>6.0949179833592979E-2</v>
      </c>
      <c r="P149" s="169">
        <f>(INDEX(Models!$BJ149:$BT149,,T149)*(1-R149)+INDEX(Models!$BJ149:$BT149,,T149+1)*R149-ERP_i)*Q149*Ramure*Pc/MaxiM</f>
        <v>6.8702302550241771E-5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58.943952710900945</v>
      </c>
      <c r="W149" s="400"/>
      <c r="X149" s="157">
        <f t="shared" si="57"/>
        <v>44331</v>
      </c>
      <c r="Y149" s="383">
        <f t="shared" si="58"/>
        <v>20.253</v>
      </c>
      <c r="Z149" s="383">
        <f t="shared" si="59"/>
        <v>20.585627598653495</v>
      </c>
      <c r="AA149" s="384">
        <f t="shared" si="60"/>
        <v>21.921739650901497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6.0949179833592979E-2</v>
      </c>
      <c r="AD149" s="230">
        <f>(INDEX(Models!$BJ149:$BT149,,AH149)*(1-AF149)+INDEX(Models!$BJ149:$BT149,,AH149+1)*AF149-ERP_i)*AE149*Ramure*Pc/MaxiM</f>
        <v>6.8702302550241771E-5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12.499000000000001</v>
      </c>
      <c r="C150" s="388"/>
      <c r="D150" s="391">
        <f t="shared" si="48"/>
        <v>12.704522319718739</v>
      </c>
      <c r="E150" s="383">
        <f t="shared" si="69"/>
        <v>13.530911414363704</v>
      </c>
      <c r="F150" s="383">
        <f t="shared" si="49"/>
        <v>13.530911414363704</v>
      </c>
      <c r="G150" s="110">
        <f t="shared" si="70"/>
        <v>0.21191519776391607</v>
      </c>
      <c r="H150" s="412" t="b">
        <f>Wh_hp&gt;='2020'!Maxi_hp</f>
        <v>0</v>
      </c>
      <c r="I150" s="379">
        <f>IF(H150,Wh_hp,'2020'!Maxi_hp)</f>
        <v>54.786265720122543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1.6177099346722179E-2</v>
      </c>
      <c r="M150" s="832"/>
      <c r="N150" s="832"/>
      <c r="O150" s="48">
        <f>IF(t&lt;Tnet,'2020'!Resal+('2020'!Salim-'2020'!Resal)*(1-EXP(('2020'!Tnet-t)/('2020'!Tau_j))),Resal+(Salim-Resal)*(1-EXP((Tnet-t)/(Tau_j))))*Salcycl</f>
        <v>6.1074163398018654E-2</v>
      </c>
      <c r="P150" s="169">
        <f>(INDEX(Models!$BJ150:$BT150,,T150)*(1-R150)+INDEX(Models!$BJ150:$BT150,,T150+1)*R150-ERP_i)*Q150*Ramure*Pc/MaxiM</f>
        <v>6.8399505775228197E-5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58.97710596717495</v>
      </c>
      <c r="W150" s="400"/>
      <c r="X150" s="157">
        <f t="shared" si="57"/>
        <v>44332</v>
      </c>
      <c r="Y150" s="383">
        <f t="shared" si="58"/>
        <v>12.499000000000001</v>
      </c>
      <c r="Z150" s="383">
        <f t="shared" si="59"/>
        <v>12.704522319718739</v>
      </c>
      <c r="AA150" s="384">
        <f t="shared" si="60"/>
        <v>13.530911414363704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6.1074163398018654E-2</v>
      </c>
      <c r="AD150" s="230">
        <f>(INDEX(Models!$BJ150:$BT150,,AH150)*(1-AF150)+INDEX(Models!$BJ150:$BT150,,AH150+1)*AF150-ERP_i)*AE150*Ramure*Pc/MaxiM</f>
        <v>6.8399505775228197E-5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53.216000000000001</v>
      </c>
      <c r="C151" s="388"/>
      <c r="D151" s="391">
        <f t="shared" si="48"/>
        <v>54.092072726410748</v>
      </c>
      <c r="E151" s="383">
        <f t="shared" si="69"/>
        <v>57.618288504630264</v>
      </c>
      <c r="F151" s="383">
        <f t="shared" si="49"/>
        <v>57.621660324486911</v>
      </c>
      <c r="G151" s="110">
        <f t="shared" si="70"/>
        <v>0.90187460388189611</v>
      </c>
      <c r="H151" s="412" t="b">
        <f>Wh_hp&gt;='2020'!Maxi_hp</f>
        <v>1</v>
      </c>
      <c r="I151" s="379">
        <f>IF(H151,Wh_hp,'2020'!Maxi_hp)</f>
        <v>57.621660324486911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1.6195954088167097E-2</v>
      </c>
      <c r="M151" s="832"/>
      <c r="N151" s="832"/>
      <c r="O151" s="48">
        <f>IF(t&lt;Tnet,'2020'!Resal+('2020'!Salim-'2020'!Resal)*(1-EXP(('2020'!Tnet-t)/('2020'!Tau_j))),Resal+(Salim-Resal)*(1-EXP((Tnet-t)/(Tau_j))))*Salcycl</f>
        <v>6.1199592520630841E-2</v>
      </c>
      <c r="P151" s="169">
        <f>(INDEX(Models!$BJ151:$BT151,,T151)*(1-R151)+INDEX(Models!$BJ151:$BT151,,T151+1)*R151-ERP_i)*Q151*Ramure*Pc/MaxiM</f>
        <v>6.8055684922006316E-5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59.005422822413557</v>
      </c>
      <c r="W151" s="400"/>
      <c r="X151" s="157">
        <f t="shared" si="57"/>
        <v>44333</v>
      </c>
      <c r="Y151" s="383">
        <f t="shared" si="58"/>
        <v>53.216000000000001</v>
      </c>
      <c r="Z151" s="383">
        <f t="shared" si="59"/>
        <v>54.092072726410748</v>
      </c>
      <c r="AA151" s="384">
        <f t="shared" si="60"/>
        <v>57.618288504630264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6.1199592520630841E-2</v>
      </c>
      <c r="AD151" s="230">
        <f>(INDEX(Models!$BJ151:$BT151,,AH151)*(1-AF151)+INDEX(Models!$BJ151:$BT151,,AH151+1)*AF151-ERP_i)*AE151*Ramure*Pc/MaxiM</f>
        <v>6.8055684922006316E-5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34.317999999999998</v>
      </c>
      <c r="C152" s="388"/>
      <c r="D152" s="391">
        <f t="shared" si="48"/>
        <v>34.8836314018587</v>
      </c>
      <c r="E152" s="383">
        <f t="shared" si="69"/>
        <v>37.162646570152944</v>
      </c>
      <c r="F152" s="383">
        <f t="shared" si="49"/>
        <v>37.163657423150838</v>
      </c>
      <c r="G152" s="110">
        <f t="shared" si="70"/>
        <v>0.58135063691299049</v>
      </c>
      <c r="H152" s="412" t="b">
        <f>Wh_hp&gt;='2020'!Maxi_hp</f>
        <v>0</v>
      </c>
      <c r="I152" s="379">
        <f>IF(H152,Wh_hp,'2020'!Maxi_hp)</f>
        <v>65.112138934007149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1.6214808468265285E-2</v>
      </c>
      <c r="M152" s="832"/>
      <c r="N152" s="832"/>
      <c r="O152" s="48">
        <f>IF(t&lt;Tnet,'2020'!Resal+('2020'!Salim-'2020'!Resal)*(1-EXP(('2020'!Tnet-t)/('2020'!Tau_j))),Resal+(Salim-Resal)*(1-EXP((Tnet-t)/(Tau_j))))*Salcycl</f>
        <v>6.1325426971195023E-2</v>
      </c>
      <c r="P152" s="169">
        <f>(INDEX(Models!$BJ152:$BT152,,T152)*(1-R152)+INDEX(Models!$BJ152:$BT152,,T152+1)*R152-ERP_i)*Q152*Ramure*Pc/MaxiM</f>
        <v>6.7668005634879814E-5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59.029110838907926</v>
      </c>
      <c r="W152" s="400"/>
      <c r="X152" s="157">
        <f t="shared" si="57"/>
        <v>44334</v>
      </c>
      <c r="Y152" s="383">
        <f t="shared" si="58"/>
        <v>34.317999999999998</v>
      </c>
      <c r="Z152" s="383">
        <f t="shared" si="59"/>
        <v>34.8836314018587</v>
      </c>
      <c r="AA152" s="384">
        <f t="shared" si="60"/>
        <v>37.162646570152944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6.1325426971195023E-2</v>
      </c>
      <c r="AD152" s="230">
        <f>(INDEX(Models!$BJ152:$BT152,,AH152)*(1-AF152)+INDEX(Models!$BJ152:$BT152,,AH152+1)*AF152-ERP_i)*AE152*Ramure*Pc/MaxiM</f>
        <v>6.7668005634879814E-5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41.828000000000003</v>
      </c>
      <c r="C153" s="388"/>
      <c r="D153" s="391">
        <f t="shared" si="48"/>
        <v>42.518226539183921</v>
      </c>
      <c r="E153" s="383">
        <f t="shared" si="69"/>
        <v>45.302115112864428</v>
      </c>
      <c r="F153" s="383">
        <f t="shared" si="49"/>
        <v>45.303892065128075</v>
      </c>
      <c r="G153" s="110">
        <f t="shared" si="70"/>
        <v>0.70834847684958624</v>
      </c>
      <c r="H153" s="412" t="b">
        <f>Wh_hp&gt;='2020'!Maxi_hp</f>
        <v>0</v>
      </c>
      <c r="I153" s="379">
        <f>IF(H153,Wh_hp,'2020'!Maxi_hp)</f>
        <v>63.796579298765408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1.6233662487023515E-2</v>
      </c>
      <c r="M153" s="832"/>
      <c r="N153" s="832"/>
      <c r="O153" s="48">
        <f>IF(t&lt;Tnet,'2020'!Resal+('2020'!Salim-'2020'!Resal)*(1-EXP(('2020'!Tnet-t)/('2020'!Tau_j))),Resal+(Salim-Resal)*(1-EXP((Tnet-t)/(Tau_j))))*Salcycl</f>
        <v>6.1451624648094352E-2</v>
      </c>
      <c r="P153" s="169">
        <f>(INDEX(Models!$BJ153:$BT153,,T153)*(1-R153)+INDEX(Models!$BJ153:$BT153,,T153+1)*R153-ERP_i)*Q153*Ramure*Pc/MaxiM</f>
        <v>6.7233581140007303E-5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59.048377588617974</v>
      </c>
      <c r="W153" s="400"/>
      <c r="X153" s="157">
        <f t="shared" si="57"/>
        <v>44335</v>
      </c>
      <c r="Y153" s="383">
        <f t="shared" si="58"/>
        <v>41.828000000000003</v>
      </c>
      <c r="Z153" s="383">
        <f t="shared" si="59"/>
        <v>42.518226539183921</v>
      </c>
      <c r="AA153" s="384">
        <f t="shared" si="60"/>
        <v>45.302115112864428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6.1451624648094352E-2</v>
      </c>
      <c r="AD153" s="230">
        <f>(INDEX(Models!$BJ153:$BT153,,AH153)*(1-AF153)+INDEX(Models!$BJ153:$BT153,,AH153+1)*AF153-ERP_i)*AE153*Ramure*Pc/MaxiM</f>
        <v>6.7233581140007303E-5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58.438000000000002</v>
      </c>
      <c r="C154" s="388"/>
      <c r="D154" s="391">
        <f t="shared" si="48"/>
        <v>59.403455621524884</v>
      </c>
      <c r="E154" s="383">
        <f t="shared" si="69"/>
        <v>63.301440704721593</v>
      </c>
      <c r="F154" s="383">
        <f t="shared" si="49"/>
        <v>63.305602398396879</v>
      </c>
      <c r="G154" s="110">
        <f t="shared" si="70"/>
        <v>0.98940986574140355</v>
      </c>
      <c r="H154" s="412" t="b">
        <f>Wh_hp&gt;='2020'!Maxi_hp</f>
        <v>1</v>
      </c>
      <c r="I154" s="379">
        <f>IF(H154,Wh_hp,'2020'!Maxi_hp)</f>
        <v>63.305602398396879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1.6252516144448781E-2</v>
      </c>
      <c r="M154" s="832"/>
      <c r="N154" s="832"/>
      <c r="O154" s="48">
        <f>IF(t&lt;Tnet,'2020'!Resal+('2020'!Salim-'2020'!Resal)*(1-EXP(('2020'!Tnet-t)/('2020'!Tau_j))),Resal+(Salim-Resal)*(1-EXP((Tnet-t)/(Tau_j))))*Salcycl</f>
        <v>6.1578141663148019E-2</v>
      </c>
      <c r="P154" s="169">
        <f>(INDEX(Models!$BJ154:$BT154,,T154)*(1-R154)+INDEX(Models!$BJ154:$BT154,,T154+1)*R154-ERP_i)*Q154*Ramure*Pc/MaxiM</f>
        <v>6.6749479156718799E-5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59.063430649177782</v>
      </c>
      <c r="W154" s="400"/>
      <c r="X154" s="157">
        <f t="shared" si="57"/>
        <v>44336</v>
      </c>
      <c r="Y154" s="383">
        <f t="shared" si="58"/>
        <v>58.438000000000002</v>
      </c>
      <c r="Z154" s="383">
        <f t="shared" si="59"/>
        <v>59.403455621524884</v>
      </c>
      <c r="AA154" s="384">
        <f t="shared" si="60"/>
        <v>63.301440704721593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6.1578141663148019E-2</v>
      </c>
      <c r="AD154" s="230">
        <f>(INDEX(Models!$BJ154:$BT154,,AH154)*(1-AF154)+INDEX(Models!$BJ154:$BT154,,AH154+1)*AF154-ERP_i)*AE154*Ramure*Pc/MaxiM</f>
        <v>6.6749479156718799E-5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37.959000000000003</v>
      </c>
      <c r="C155" s="388"/>
      <c r="D155" s="391">
        <f t="shared" si="48"/>
        <v>38.586861072054504</v>
      </c>
      <c r="E155" s="383">
        <f t="shared" si="69"/>
        <v>41.124441986390032</v>
      </c>
      <c r="F155" s="383">
        <f t="shared" si="49"/>
        <v>41.125774575981914</v>
      </c>
      <c r="G155" s="110">
        <f t="shared" si="70"/>
        <v>0.64254002931104948</v>
      </c>
      <c r="H155" s="412" t="b">
        <f>Wh_hp&gt;='2020'!Maxi_hp</f>
        <v>0</v>
      </c>
      <c r="I155" s="379">
        <f>IF(H155,Wh_hp,'2020'!Maxi_hp)</f>
        <v>61.653025263591708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1.6271369440547967E-2</v>
      </c>
      <c r="M155" s="832"/>
      <c r="N155" s="832"/>
      <c r="O155" s="48">
        <f>IF(t&lt;Tnet,'2020'!Resal+('2020'!Salim-'2020'!Resal)*(1-EXP(('2020'!Tnet-t)/('2020'!Tau_j))),Resal+(Salim-Resal)*(1-EXP((Tnet-t)/(Tau_j))))*Salcycl</f>
        <v>6.1704932438361844E-2</v>
      </c>
      <c r="P155" s="169">
        <f>(INDEX(Models!$BJ155:$BT155,,T155)*(1-R155)+INDEX(Models!$BJ155:$BT155,,T155+1)*R155-ERP_i)*Q155*Ramure*Pc/MaxiM</f>
        <v>6.6212729513217219E-5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59.074477596971192</v>
      </c>
      <c r="W155" s="400"/>
      <c r="X155" s="157">
        <f t="shared" si="57"/>
        <v>44337</v>
      </c>
      <c r="Y155" s="383">
        <f t="shared" si="58"/>
        <v>37.959000000000003</v>
      </c>
      <c r="Z155" s="383">
        <f t="shared" si="59"/>
        <v>38.586861072054504</v>
      </c>
      <c r="AA155" s="384">
        <f t="shared" si="60"/>
        <v>41.124441986390032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6.1704932438361844E-2</v>
      </c>
      <c r="AD155" s="230">
        <f>(INDEX(Models!$BJ155:$BT155,,AH155)*(1-AF155)+INDEX(Models!$BJ155:$BT155,,AH155+1)*AF155-ERP_i)*AE155*Ramure*Pc/MaxiM</f>
        <v>6.6212729513217219E-5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28.629000000000001</v>
      </c>
      <c r="C156" s="388"/>
      <c r="D156" s="391">
        <f t="shared" si="48"/>
        <v>29.103095904088097</v>
      </c>
      <c r="E156" s="383">
        <f t="shared" si="69"/>
        <v>31.021197000189773</v>
      </c>
      <c r="F156" s="383">
        <f t="shared" si="49"/>
        <v>31.021734028347286</v>
      </c>
      <c r="G156" s="110">
        <f t="shared" si="70"/>
        <v>0.48454266453846051</v>
      </c>
      <c r="H156" s="412" t="b">
        <f>Wh_hp&gt;='2020'!Maxi_hp</f>
        <v>0</v>
      </c>
      <c r="I156" s="379">
        <f>IF(H156,Wh_hp,'2020'!Maxi_hp)</f>
        <v>60.757180610940942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1.6290222375328067E-2</v>
      </c>
      <c r="M156" s="832"/>
      <c r="N156" s="832"/>
      <c r="O156" s="48">
        <f>IF(t&lt;Tnet,'2020'!Resal+('2020'!Salim-'2020'!Resal)*(1-EXP(('2020'!Tnet-t)/('2020'!Tau_j))),Resal+(Salim-Resal)*(1-EXP((Tnet-t)/(Tau_j))))*Salcycl</f>
        <v>6.1831949814507188E-2</v>
      </c>
      <c r="P156" s="169">
        <f>(INDEX(Models!$BJ156:$BT156,,T156)*(1-R156)+INDEX(Models!$BJ156:$BT156,,T156+1)*R156-ERP_i)*Q156*Ramure*Pc/MaxiM</f>
        <v>6.565640695747859E-5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59.08172386167422</v>
      </c>
      <c r="W156" s="400"/>
      <c r="X156" s="157">
        <f t="shared" si="57"/>
        <v>44338</v>
      </c>
      <c r="Y156" s="383">
        <f t="shared" si="58"/>
        <v>28.629000000000001</v>
      </c>
      <c r="Z156" s="383">
        <f t="shared" si="59"/>
        <v>29.103095904088097</v>
      </c>
      <c r="AA156" s="384">
        <f t="shared" si="60"/>
        <v>31.021197000189773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6.1831949814507188E-2</v>
      </c>
      <c r="AD156" s="230">
        <f>(INDEX(Models!$BJ156:$BT156,,AH156)*(1-AF156)+INDEX(Models!$BJ156:$BT156,,AH156+1)*AF156-ERP_i)*AE156*Ramure*Pc/MaxiM</f>
        <v>6.565640695747859E-5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37.012</v>
      </c>
      <c r="C157" s="388"/>
      <c r="D157" s="391">
        <f t="shared" si="48"/>
        <v>37.625639372522841</v>
      </c>
      <c r="E157" s="383">
        <f t="shared" si="69"/>
        <v>40.110874892964695</v>
      </c>
      <c r="F157" s="383">
        <f t="shared" si="49"/>
        <v>40.112092418011876</v>
      </c>
      <c r="G157" s="110">
        <f t="shared" si="70"/>
        <v>0.62639381573873265</v>
      </c>
      <c r="H157" s="412" t="b">
        <f>Wh_hp&gt;='2020'!Maxi_hp</f>
        <v>0</v>
      </c>
      <c r="I157" s="379">
        <f>IF(H157,Wh_hp,'2020'!Maxi_hp)</f>
        <v>57.940082195716684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1.6309074948795965E-2</v>
      </c>
      <c r="M157" s="832"/>
      <c r="N157" s="832"/>
      <c r="O157" s="48">
        <f>IF(t&lt;Tnet,'2020'!Resal+('2020'!Salim-'2020'!Resal)*(1-EXP(('2020'!Tnet-t)/('2020'!Tau_j))),Resal+(Salim-Resal)*(1-EXP((Tnet-t)/(Tau_j))))*Salcycl</f>
        <v>6.1959145171320007E-2</v>
      </c>
      <c r="P157" s="169">
        <f>(INDEX(Models!$BJ157:$BT157,,T157)*(1-R157)+INDEX(Models!$BJ157:$BT157,,T157+1)*R157-ERP_i)*Q157*Ramure*Pc/MaxiM</f>
        <v>6.5092319976612771E-5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59.085376103385357</v>
      </c>
      <c r="W157" s="400"/>
      <c r="X157" s="157">
        <f t="shared" si="57"/>
        <v>44339</v>
      </c>
      <c r="Y157" s="383">
        <f t="shared" si="58"/>
        <v>37.012</v>
      </c>
      <c r="Z157" s="383">
        <f t="shared" si="59"/>
        <v>37.625639372522841</v>
      </c>
      <c r="AA157" s="384">
        <f t="shared" si="60"/>
        <v>40.110874892964695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6.1959145171320007E-2</v>
      </c>
      <c r="AD157" s="230">
        <f>(INDEX(Models!$BJ157:$BT157,,AH157)*(1-AF157)+INDEX(Models!$BJ157:$BT157,,AH157+1)*AF157-ERP_i)*AE157*Ramure*Pc/MaxiM</f>
        <v>6.5092319976612771E-5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25.271000000000001</v>
      </c>
      <c r="C158" s="388"/>
      <c r="D158" s="391">
        <f t="shared" si="48"/>
        <v>25.690472158128561</v>
      </c>
      <c r="E158" s="383">
        <f t="shared" si="69"/>
        <v>27.391088087468098</v>
      </c>
      <c r="F158" s="383">
        <f t="shared" si="49"/>
        <v>27.39141049073487</v>
      </c>
      <c r="G158" s="110">
        <f t="shared" si="70"/>
        <v>0.42767864117606702</v>
      </c>
      <c r="H158" s="412" t="b">
        <f>Wh_hp&gt;='2020'!Maxi_hp</f>
        <v>1</v>
      </c>
      <c r="I158" s="379">
        <f>IF(H158,Wh_hp,'2020'!Maxi_hp)</f>
        <v>27.39141049073487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1.6327927160958655E-2</v>
      </c>
      <c r="M158" s="832"/>
      <c r="N158" s="832"/>
      <c r="O158" s="48">
        <f>IF(t&lt;Tnet,'2020'!Resal+('2020'!Salim-'2020'!Resal)*(1-EXP(('2020'!Tnet-t)/('2020'!Tau_j))),Resal+(Salim-Resal)*(1-EXP((Tnet-t)/(Tau_j))))*Salcycl</f>
        <v>6.2086468559005466E-2</v>
      </c>
      <c r="P158" s="169">
        <f>(INDEX(Models!$BJ158:$BT158,,T158)*(1-R158)+INDEX(Models!$BJ158:$BT158,,T158+1)*R158-ERP_i)*Q158*Ramure*Pc/MaxiM</f>
        <v>6.4519068945863663E-5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59.085641730838965</v>
      </c>
      <c r="W158" s="400"/>
      <c r="X158" s="157">
        <f t="shared" si="57"/>
        <v>44340</v>
      </c>
      <c r="Y158" s="383">
        <f t="shared" si="58"/>
        <v>25.271000000000001</v>
      </c>
      <c r="Z158" s="383">
        <f t="shared" si="59"/>
        <v>25.690472158128561</v>
      </c>
      <c r="AA158" s="384">
        <f t="shared" si="60"/>
        <v>27.391088087468098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6.2086468559005466E-2</v>
      </c>
      <c r="AD158" s="230">
        <f>(INDEX(Models!$BJ158:$BT158,,AH158)*(1-AF158)+INDEX(Models!$BJ158:$BT158,,AH158+1)*AF158-ERP_i)*AE158*Ramure*Pc/MaxiM</f>
        <v>6.4519068945863663E-5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47.018999999999998</v>
      </c>
      <c r="C159" s="388"/>
      <c r="D159" s="391">
        <f t="shared" si="48"/>
        <v>47.800382285908398</v>
      </c>
      <c r="E159" s="383">
        <f t="shared" si="69"/>
        <v>50.971517596249136</v>
      </c>
      <c r="F159" s="383">
        <f t="shared" si="49"/>
        <v>50.97382600869669</v>
      </c>
      <c r="G159" s="110">
        <f t="shared" si="70"/>
        <v>0.79580149074182027</v>
      </c>
      <c r="H159" s="412" t="b">
        <f>Wh_hp&gt;='2020'!Maxi_hp</f>
        <v>0</v>
      </c>
      <c r="I159" s="379">
        <f>IF(H159,Wh_hp,'2020'!Maxi_hp)</f>
        <v>59.825577923222795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1.6346779011822909E-2</v>
      </c>
      <c r="M159" s="832"/>
      <c r="N159" s="832"/>
      <c r="O159" s="48">
        <f>IF(t&lt;Tnet,'2020'!Resal+('2020'!Salim-'2020'!Resal)*(1-EXP(('2020'!Tnet-t)/('2020'!Tau_j))),Resal+(Salim-Resal)*(1-EXP((Tnet-t)/(Tau_j))))*Salcycl</f>
        <v>6.2213868840626609E-2</v>
      </c>
      <c r="P159" s="169">
        <f>(INDEX(Models!$BJ159:$BT159,,T159)*(1-R159)+INDEX(Models!$BJ159:$BT159,,T159+1)*R159-ERP_i)*Q159*Ramure*Pc/MaxiM</f>
        <v>6.3935694384045194E-5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59.082728077486934</v>
      </c>
      <c r="W159" s="400"/>
      <c r="X159" s="157">
        <f t="shared" si="57"/>
        <v>44341</v>
      </c>
      <c r="Y159" s="383">
        <f t="shared" si="58"/>
        <v>47.018999999999998</v>
      </c>
      <c r="Z159" s="383">
        <f t="shared" si="59"/>
        <v>47.800382285908398</v>
      </c>
      <c r="AA159" s="384">
        <f t="shared" si="60"/>
        <v>50.971517596249136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6.2213868840626609E-2</v>
      </c>
      <c r="AD159" s="230">
        <f>(INDEX(Models!$BJ159:$BT159,,AH159)*(1-AF159)+INDEX(Models!$BJ159:$BT159,,AH159+1)*AF159-ERP_i)*AE159*Ramure*Pc/MaxiM</f>
        <v>6.3935694384045194E-5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51.469000000000001</v>
      </c>
      <c r="C160" s="388"/>
      <c r="D160" s="391">
        <f t="shared" si="48"/>
        <v>52.325337133385965</v>
      </c>
      <c r="E160" s="383">
        <f t="shared" si="69"/>
        <v>55.804246033127455</v>
      </c>
      <c r="F160" s="383">
        <f t="shared" si="49"/>
        <v>55.807130614860817</v>
      </c>
      <c r="G160" s="110">
        <f t="shared" si="70"/>
        <v>0.87121108879218201</v>
      </c>
      <c r="H160" s="412" t="b">
        <f>Wh_hp&gt;='2020'!Maxi_hp</f>
        <v>0</v>
      </c>
      <c r="I160" s="379">
        <f>IF(H160,Wh_hp,'2020'!Maxi_hp)</f>
        <v>62.596709791929555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1.6365630501395834E-2</v>
      </c>
      <c r="M160" s="832"/>
      <c r="N160" s="832"/>
      <c r="O160" s="48">
        <f>IF(t&lt;Tnet,'2020'!Resal+('2020'!Salim-'2020'!Resal)*(1-EXP(('2020'!Tnet-t)/('2020'!Tau_j))),Resal+(Salim-Resal)*(1-EXP((Tnet-t)/(Tau_j))))*Salcycl</f>
        <v>6.2341293844849752E-2</v>
      </c>
      <c r="P160" s="169">
        <f>(INDEX(Models!$BJ160:$BT160,,T160)*(1-R160)+INDEX(Models!$BJ160:$BT160,,T160+1)*R160-ERP_i)*Q160*Ramure*Pc/MaxiM</f>
        <v>6.3341281676138539E-5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59.076842420122986</v>
      </c>
      <c r="W160" s="400"/>
      <c r="X160" s="157">
        <f t="shared" si="57"/>
        <v>44342</v>
      </c>
      <c r="Y160" s="383">
        <f t="shared" si="58"/>
        <v>51.469000000000001</v>
      </c>
      <c r="Z160" s="383">
        <f t="shared" si="59"/>
        <v>52.325337133385965</v>
      </c>
      <c r="AA160" s="384">
        <f t="shared" si="60"/>
        <v>55.804246033127455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6.2341293844849752E-2</v>
      </c>
      <c r="AD160" s="230">
        <f>(INDEX(Models!$BJ160:$BT160,,AH160)*(1-AF160)+INDEX(Models!$BJ160:$BT160,,AH160+1)*AF160-ERP_i)*AE160*Ramure*Pc/MaxiM</f>
        <v>6.3341281676138539E-5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57.25</v>
      </c>
      <c r="C161" s="388"/>
      <c r="D161" s="391">
        <f t="shared" si="48"/>
        <v>58.203636411566123</v>
      </c>
      <c r="E161" s="383">
        <f t="shared" si="69"/>
        <v>62.08180550724331</v>
      </c>
      <c r="F161" s="383">
        <f t="shared" si="49"/>
        <v>62.08552916804603</v>
      </c>
      <c r="G161" s="110">
        <f t="shared" si="70"/>
        <v>0.96921609000700759</v>
      </c>
      <c r="H161" s="412" t="b">
        <f>Wh_hp&gt;='2020'!Maxi_hp</f>
        <v>0</v>
      </c>
      <c r="I161" s="379">
        <f>IF(H161,Wh_hp,'2020'!Maxi_hp)</f>
        <v>62.270971233570506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1.63844816296842E-2</v>
      </c>
      <c r="M161" s="832"/>
      <c r="N161" s="832"/>
      <c r="O161" s="48">
        <f>IF(t&lt;Tnet,'2020'!Resal+('2020'!Salim-'2020'!Resal)*(1-EXP(('2020'!Tnet-t)/('2020'!Tau_j))),Resal+(Salim-Resal)*(1-EXP((Tnet-t)/(Tau_j))))*Salcycl</f>
        <v>6.2468690528414257E-2</v>
      </c>
      <c r="P161" s="169">
        <f>(INDEX(Models!$BJ161:$BT161,,T161)*(1-R161)+INDEX(Models!$BJ161:$BT161,,T161+1)*R161-ERP_i)*Q161*Ramure*Pc/MaxiM</f>
        <v>6.2734964517547264E-5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59.068191962240277</v>
      </c>
      <c r="W161" s="400"/>
      <c r="X161" s="157">
        <f t="shared" si="57"/>
        <v>44343</v>
      </c>
      <c r="Y161" s="383">
        <f t="shared" si="58"/>
        <v>57.25</v>
      </c>
      <c r="Z161" s="383">
        <f t="shared" si="59"/>
        <v>58.203636411566123</v>
      </c>
      <c r="AA161" s="384">
        <f t="shared" si="60"/>
        <v>62.08180550724331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6.2468690528414257E-2</v>
      </c>
      <c r="AD161" s="230">
        <f>(INDEX(Models!$BJ161:$BT161,,AH161)*(1-AF161)+INDEX(Models!$BJ161:$BT161,,AH161+1)*AF161-ERP_i)*AE161*Ramure*Pc/MaxiM</f>
        <v>6.2734964517547264E-5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48.933999999999997</v>
      </c>
      <c r="C162" s="388"/>
      <c r="D162" s="391">
        <f t="shared" si="48"/>
        <v>49.750066883853655</v>
      </c>
      <c r="E162" s="383">
        <f t="shared" si="69"/>
        <v>53.072172891354882</v>
      </c>
      <c r="F162" s="383">
        <f t="shared" si="49"/>
        <v>53.074662383489581</v>
      </c>
      <c r="G162" s="110">
        <f t="shared" si="70"/>
        <v>0.82857695211943261</v>
      </c>
      <c r="H162" s="412" t="b">
        <f>Wh_hp&gt;='2020'!Maxi_hp</f>
        <v>0</v>
      </c>
      <c r="I162" s="379">
        <f>IF(H162,Wh_hp,'2020'!Maxi_hp)</f>
        <v>61.405954695216622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1.6403332396695003E-2</v>
      </c>
      <c r="M162" s="832"/>
      <c r="N162" s="832"/>
      <c r="O162" s="48">
        <f>IF(t&lt;Tnet,'2020'!Resal+('2020'!Salim-'2020'!Resal)*(1-EXP(('2020'!Tnet-t)/('2020'!Tau_j))),Resal+(Salim-Resal)*(1-EXP((Tnet-t)/(Tau_j))))*Salcycl</f>
        <v>6.2596005147593614E-2</v>
      </c>
      <c r="P162" s="169">
        <f>(INDEX(Models!$BJ162:$BT162,,T162)*(1-R162)+INDEX(Models!$BJ162:$BT162,,T162+1)*R162-ERP_i)*Q162*Ramure*Pc/MaxiM</f>
        <v>6.2115928353821602E-5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59.05698382206819</v>
      </c>
      <c r="W162" s="400"/>
      <c r="X162" s="157">
        <f t="shared" si="57"/>
        <v>44344</v>
      </c>
      <c r="Y162" s="383">
        <f t="shared" si="58"/>
        <v>48.933999999999997</v>
      </c>
      <c r="Z162" s="383">
        <f t="shared" si="59"/>
        <v>49.750066883853655</v>
      </c>
      <c r="AA162" s="384">
        <f t="shared" si="60"/>
        <v>53.072172891354882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6.2596005147593614E-2</v>
      </c>
      <c r="AD162" s="230">
        <f>(INDEX(Models!$BJ162:$BT162,,AH162)*(1-AF162)+INDEX(Models!$BJ162:$BT162,,AH162+1)*AF162-ERP_i)*AE162*Ramure*Pc/MaxiM</f>
        <v>6.2115928353821602E-5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35.186</v>
      </c>
      <c r="C163" s="388"/>
      <c r="D163" s="391">
        <f t="shared" si="48"/>
        <v>35.773478605132489</v>
      </c>
      <c r="E163" s="383">
        <f t="shared" si="69"/>
        <v>38.167463414218659</v>
      </c>
      <c r="F163" s="383">
        <f t="shared" si="49"/>
        <v>38.168455594126087</v>
      </c>
      <c r="G163" s="110">
        <f t="shared" si="70"/>
        <v>0.59592707138195833</v>
      </c>
      <c r="H163" s="412" t="b">
        <f>Wh_hp&gt;='2020'!Maxi_hp</f>
        <v>0</v>
      </c>
      <c r="I163" s="379">
        <f>IF(H163,Wh_hp,'2020'!Maxi_hp)</f>
        <v>61.390556895613145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1.6422182802435126E-2</v>
      </c>
      <c r="M163" s="832"/>
      <c r="N163" s="832"/>
      <c r="O163" s="48">
        <f>IF(t&lt;Tnet,'2020'!Resal+('2020'!Salim-'2020'!Resal)*(1-EXP(('2020'!Tnet-t)/('2020'!Tau_j))),Resal+(Salim-Resal)*(1-EXP((Tnet-t)/(Tau_j))))*Salcycl</f>
        <v>6.2723183437816021E-2</v>
      </c>
      <c r="P163" s="169">
        <f>(INDEX(Models!$BJ163:$BT163,,T163)*(1-R163)+INDEX(Models!$BJ163:$BT163,,T163+1)*R163-ERP_i)*Q163*Ramure*Pc/MaxiM</f>
        <v>6.1484853843113356E-5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59.042042059881773</v>
      </c>
      <c r="W163" s="400"/>
      <c r="X163" s="157">
        <f t="shared" si="57"/>
        <v>44345</v>
      </c>
      <c r="Y163" s="383">
        <f t="shared" si="58"/>
        <v>35.186</v>
      </c>
      <c r="Z163" s="383">
        <f t="shared" si="59"/>
        <v>35.773478605132489</v>
      </c>
      <c r="AA163" s="384">
        <f t="shared" si="60"/>
        <v>38.167463414218659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6.2723183437816021E-2</v>
      </c>
      <c r="AD163" s="230">
        <f>(INDEX(Models!$BJ163:$BT163,,AH163)*(1-AF163)+INDEX(Models!$BJ163:$BT163,,AH163+1)*AF163-ERP_i)*AE163*Ramure*Pc/MaxiM</f>
        <v>6.1484853843113356E-5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51.204000000000001</v>
      </c>
      <c r="C164" s="388"/>
      <c r="D164" s="391">
        <f t="shared" si="48"/>
        <v>52.059918835583375</v>
      </c>
      <c r="E164" s="383">
        <f t="shared" si="69"/>
        <v>55.551329374998005</v>
      </c>
      <c r="F164" s="383">
        <f t="shared" si="49"/>
        <v>55.554070156156676</v>
      </c>
      <c r="G164" s="110">
        <f t="shared" si="70"/>
        <v>0.86752613647265753</v>
      </c>
      <c r="H164" s="412" t="b">
        <f>Wh_hp&gt;='2020'!Maxi_hp</f>
        <v>0</v>
      </c>
      <c r="I164" s="379">
        <f>IF(H164,Wh_hp,'2020'!Maxi_hp)</f>
        <v>59.25879141798292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1.6441032846911563E-2</v>
      </c>
      <c r="M164" s="832"/>
      <c r="N164" s="832"/>
      <c r="O164" s="48">
        <f>IF(t&lt;Tnet,'2020'!Resal+('2020'!Salim-'2020'!Resal)*(1-EXP(('2020'!Tnet-t)/('2020'!Tau_j))),Resal+(Salim-Resal)*(1-EXP((Tnet-t)/(Tau_j))))*Salcycl</f>
        <v>6.2850170800521105E-2</v>
      </c>
      <c r="P164" s="169">
        <f>(INDEX(Models!$BJ164:$BT164,,T164)*(1-R164)+INDEX(Models!$BJ164:$BT164,,T164+1)*R164-ERP_i)*Q164*Ramure*Pc/MaxiM</f>
        <v>6.085033946326488E-5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59.022325906069682</v>
      </c>
      <c r="W164" s="400"/>
      <c r="X164" s="157">
        <f t="shared" si="57"/>
        <v>44346</v>
      </c>
      <c r="Y164" s="383">
        <f t="shared" si="58"/>
        <v>51.204000000000001</v>
      </c>
      <c r="Z164" s="383">
        <f t="shared" si="59"/>
        <v>52.059918835583375</v>
      </c>
      <c r="AA164" s="384">
        <f t="shared" si="60"/>
        <v>55.551329374998005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6.2850170800521105E-2</v>
      </c>
      <c r="AD164" s="230">
        <f>(INDEX(Models!$BJ164:$BT164,,AH164)*(1-AF164)+INDEX(Models!$BJ164:$BT164,,AH164+1)*AF164-ERP_i)*AE164*Ramure*Pc/MaxiM</f>
        <v>6.085033946326488E-5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55.63</v>
      </c>
      <c r="C165" s="388"/>
      <c r="D165" s="391">
        <f t="shared" si="48"/>
        <v>56.560987205185612</v>
      </c>
      <c r="E165" s="383">
        <f t="shared" si="69"/>
        <v>60.362426454042684</v>
      </c>
      <c r="F165" s="383">
        <f t="shared" si="49"/>
        <v>60.365765977315824</v>
      </c>
      <c r="G165" s="110">
        <f t="shared" si="70"/>
        <v>0.9429047814215763</v>
      </c>
      <c r="H165" s="412" t="b">
        <f>Wh_hp&gt;='2020'!Maxi_hp</f>
        <v>0</v>
      </c>
      <c r="I165" s="379">
        <f>IF(H165,Wh_hp,'2020'!Maxi_hp)</f>
        <v>62.682352866116169</v>
      </c>
      <c r="J165" s="85">
        <f>IF(H165,An,'2020'!An_max)</f>
        <v>2018</v>
      </c>
      <c r="K165" s="197">
        <f t="shared" si="50"/>
        <v>44347</v>
      </c>
      <c r="L165" s="147">
        <f>IF(t&lt;Tvie,1-EXP((T0-t)*PertePVj)+'2020'!Pspv,1-EXP((T0-t)*PertePVj)+Pspv)</f>
        <v>1.6459882530131198E-2</v>
      </c>
      <c r="M165" s="832"/>
      <c r="N165" s="832"/>
      <c r="O165" s="48">
        <f>IF(t&lt;Tnet,'2020'!Resal+('2020'!Salim-'2020'!Resal)*(1-EXP(('2020'!Tnet-t)/('2020'!Tau_j))),Resal+(Salim-Resal)*(1-EXP((Tnet-t)/(Tau_j))))*Salcycl</f>
        <v>6.2976912496241683E-2</v>
      </c>
      <c r="P165" s="169">
        <f>(INDEX(Models!$BJ165:$BT165,,T165)*(1-R165)+INDEX(Models!$BJ165:$BT165,,T165+1)*R165-ERP_i)*Q165*Ramure*Pc/MaxiM</f>
        <v>6.0234042872787771E-5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58.998244356036032</v>
      </c>
      <c r="W165" s="400"/>
      <c r="X165" s="157">
        <f t="shared" si="57"/>
        <v>44347</v>
      </c>
      <c r="Y165" s="383">
        <f t="shared" si="58"/>
        <v>55.63</v>
      </c>
      <c r="Z165" s="383">
        <f t="shared" si="59"/>
        <v>56.560987205185612</v>
      </c>
      <c r="AA165" s="384">
        <f t="shared" si="60"/>
        <v>60.362426454042684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6.2976912496241683E-2</v>
      </c>
      <c r="AD165" s="230">
        <f>(INDEX(Models!$BJ165:$BT165,,AH165)*(1-AF165)+INDEX(Models!$BJ165:$BT165,,AH165+1)*AF165-ERP_i)*AE165*Ramure*Pc/MaxiM</f>
        <v>6.0234042872787771E-5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34.822000000000003</v>
      </c>
      <c r="C166" s="388"/>
      <c r="D166" s="391">
        <f t="shared" si="48"/>
        <v>35.405436697443712</v>
      </c>
      <c r="E166" s="383">
        <f t="shared" si="69"/>
        <v>37.790120012345419</v>
      </c>
      <c r="F166" s="383">
        <f t="shared" si="49"/>
        <v>37.791055309445241</v>
      </c>
      <c r="G166" s="110">
        <f t="shared" si="70"/>
        <v>0.59048096769097014</v>
      </c>
      <c r="H166" s="412" t="b">
        <f>Wh_hp&gt;='2020'!Maxi_hp</f>
        <v>0</v>
      </c>
      <c r="I166" s="379">
        <f>IF(H166,Wh_hp,'2020'!Maxi_hp)</f>
        <v>63.124729427681508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1.6478731852101025E-2</v>
      </c>
      <c r="M166" s="832"/>
      <c r="N166" s="832"/>
      <c r="O166" s="48">
        <f>IF(t&lt;Tnet,'2020'!Resal+('2020'!Salim-'2020'!Resal)*(1-EXP(('2020'!Tnet-t)/('2020'!Tau_j))),Resal+(Salim-Resal)*(1-EXP((Tnet-t)/(Tau_j))))*Salcycl</f>
        <v>6.3103353842821105E-2</v>
      </c>
      <c r="P166" s="169">
        <f>(INDEX(Models!$BJ166:$BT166,,T166)*(1-R166)+INDEX(Models!$BJ166:$BT166,,T166+1)*R166-ERP_i)*Q166*Ramure*Pc/MaxiM</f>
        <v>5.9636222382430853E-5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58.970207404005642</v>
      </c>
      <c r="W166" s="400"/>
      <c r="X166" s="157">
        <f t="shared" si="57"/>
        <v>44348</v>
      </c>
      <c r="Y166" s="383">
        <f t="shared" si="58"/>
        <v>34.822000000000003</v>
      </c>
      <c r="Z166" s="383">
        <f t="shared" si="59"/>
        <v>35.405436697443712</v>
      </c>
      <c r="AA166" s="384">
        <f t="shared" si="60"/>
        <v>37.790120012345419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6.3103353842821105E-2</v>
      </c>
      <c r="AD166" s="230">
        <f>(INDEX(Models!$BJ166:$BT166,,AH166)*(1-AF166)+INDEX(Models!$BJ166:$BT166,,AH166+1)*AF166-ERP_i)*AE166*Ramure*Pc/MaxiM</f>
        <v>5.9636222382430853E-5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46.097999999999999</v>
      </c>
      <c r="C167" s="388"/>
      <c r="D167" s="391">
        <f t="shared" si="48"/>
        <v>46.871262439901535</v>
      </c>
      <c r="E167" s="383">
        <f t="shared" si="69"/>
        <v>50.034943946996307</v>
      </c>
      <c r="F167" s="383">
        <f t="shared" si="49"/>
        <v>50.036979279185566</v>
      </c>
      <c r="G167" s="110">
        <f t="shared" si="70"/>
        <v>0.78212128020551319</v>
      </c>
      <c r="H167" s="412" t="b">
        <f>Wh_hp&gt;='2020'!Maxi_hp</f>
        <v>0</v>
      </c>
      <c r="I167" s="379">
        <f>IF(H167,Wh_hp,'2020'!Maxi_hp)</f>
        <v>62.353294055215706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1.6497580812827817E-2</v>
      </c>
      <c r="M167" s="832"/>
      <c r="N167" s="832"/>
      <c r="O167" s="48">
        <f>IF(t&lt;Tnet,'2020'!Resal+('2020'!Salim-'2020'!Resal)*(1-EXP(('2020'!Tnet-t)/('2020'!Tau_j))),Resal+(Salim-Resal)*(1-EXP((Tnet-t)/(Tau_j))))*Salcycl</f>
        <v>6.3229440417604227E-2</v>
      </c>
      <c r="P167" s="169">
        <f>(INDEX(Models!$BJ167:$BT167,,T167)*(1-R167)+INDEX(Models!$BJ167:$BT167,,T167+1)*R167-ERP_i)*Q167*Ramure*Pc/MaxiM</f>
        <v>5.9057220888745419E-5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58.938624763814119</v>
      </c>
      <c r="W167" s="400"/>
      <c r="X167" s="157">
        <f t="shared" si="57"/>
        <v>44349</v>
      </c>
      <c r="Y167" s="383">
        <f t="shared" si="58"/>
        <v>46.097999999999999</v>
      </c>
      <c r="Z167" s="383">
        <f t="shared" si="59"/>
        <v>46.871262439901535</v>
      </c>
      <c r="AA167" s="384">
        <f t="shared" si="60"/>
        <v>50.034943946996307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6.3229440417604227E-2</v>
      </c>
      <c r="AD167" s="230">
        <f>(INDEX(Models!$BJ167:$BT167,,AH167)*(1-AF167)+INDEX(Models!$BJ167:$BT167,,AH167+1)*AF167-ERP_i)*AE167*Ramure*Pc/MaxiM</f>
        <v>5.9057220888745419E-5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52.896999999999998</v>
      </c>
      <c r="C168" s="388"/>
      <c r="D168" s="391">
        <f t="shared" si="48"/>
        <v>53.785341801278236</v>
      </c>
      <c r="E168" s="383">
        <f t="shared" si="69"/>
        <v>57.423408647147099</v>
      </c>
      <c r="F168" s="383">
        <f t="shared" si="49"/>
        <v>57.426278547295738</v>
      </c>
      <c r="G168" s="110">
        <f t="shared" si="70"/>
        <v>0.89801428983945919</v>
      </c>
      <c r="H168" s="412" t="b">
        <f>Wh_hp&gt;='2020'!Maxi_hp</f>
        <v>1</v>
      </c>
      <c r="I168" s="379">
        <f>IF(H168,Wh_hp,'2020'!Maxi_hp)</f>
        <v>57.426278547295738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1.6516429412318567E-2</v>
      </c>
      <c r="M168" s="832"/>
      <c r="N168" s="832"/>
      <c r="O168" s="48">
        <f>IF(t&lt;Tnet,'2020'!Resal+('2020'!Salim-'2020'!Resal)*(1-EXP(('2020'!Tnet-t)/('2020'!Tau_j))),Resal+(Salim-Resal)*(1-EXP((Tnet-t)/(Tau_j))))*Salcycl</f>
        <v>6.3355118262377885E-2</v>
      </c>
      <c r="P168" s="169">
        <f>(INDEX(Models!$BJ168:$BT168,,T168)*(1-R168)+INDEX(Models!$BJ168:$BT168,,T168+1)*R168-ERP_i)*Q168*Ramure*Pc/MaxiM</f>
        <v>5.8497463314114402E-5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58.903905854702565</v>
      </c>
      <c r="W168" s="400"/>
      <c r="X168" s="157">
        <f t="shared" si="57"/>
        <v>44350</v>
      </c>
      <c r="Y168" s="383">
        <f t="shared" si="58"/>
        <v>52.896999999999998</v>
      </c>
      <c r="Z168" s="383">
        <f t="shared" si="59"/>
        <v>53.785341801278236</v>
      </c>
      <c r="AA168" s="384">
        <f t="shared" si="60"/>
        <v>57.423408647147099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6.3355118262377885E-2</v>
      </c>
      <c r="AD168" s="230">
        <f>(INDEX(Models!$BJ168:$BT168,,AH168)*(1-AF168)+INDEX(Models!$BJ168:$BT168,,AH168+1)*AF168-ERP_i)*AE168*Ramure*Pc/MaxiM</f>
        <v>5.8497463314114402E-5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7.5250000000000004</v>
      </c>
      <c r="C169" s="388"/>
      <c r="D169" s="391">
        <f t="shared" si="48"/>
        <v>7.651520007777572</v>
      </c>
      <c r="E169" s="383">
        <f t="shared" si="69"/>
        <v>8.170164798772225</v>
      </c>
      <c r="F169" s="383">
        <f t="shared" si="49"/>
        <v>8.170164798772225</v>
      </c>
      <c r="G169" s="110">
        <f t="shared" si="70"/>
        <v>0.1278242975290004</v>
      </c>
      <c r="H169" s="412" t="b">
        <f>Wh_hp&gt;='2020'!Maxi_hp</f>
        <v>0</v>
      </c>
      <c r="I169" s="379">
        <f>IF(H169,Wh_hp,'2020'!Maxi_hp)</f>
        <v>57.206955445857666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1.653527765058016E-2</v>
      </c>
      <c r="M169" s="832"/>
      <c r="N169" s="832"/>
      <c r="O169" s="48">
        <f>IF(t&lt;Tnet,'2020'!Resal+('2020'!Salim-'2020'!Resal)*(1-EXP(('2020'!Tnet-t)/('2020'!Tau_j))),Resal+(Salim-Resal)*(1-EXP((Tnet-t)/(Tau_j))))*Salcycl</f>
        <v>6.3480334089783957E-2</v>
      </c>
      <c r="P169" s="169">
        <f>(INDEX(Models!$BJ169:$BT169,,T169)*(1-R169)+INDEX(Models!$BJ169:$BT169,,T169+1)*R169-ERP_i)*Q169*Ramure*Pc/MaxiM</f>
        <v>5.7957453732727654E-5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58.866459785969177</v>
      </c>
      <c r="W169" s="400"/>
      <c r="X169" s="157">
        <f t="shared" si="57"/>
        <v>44351</v>
      </c>
      <c r="Y169" s="383">
        <f t="shared" si="58"/>
        <v>7.5250000000000004</v>
      </c>
      <c r="Z169" s="383">
        <f t="shared" si="59"/>
        <v>7.651520007777572</v>
      </c>
      <c r="AA169" s="384">
        <f t="shared" si="60"/>
        <v>8.170164798772225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6.3480334089783957E-2</v>
      </c>
      <c r="AD169" s="230">
        <f>(INDEX(Models!$BJ169:$BT169,,AH169)*(1-AF169)+INDEX(Models!$BJ169:$BT169,,AH169+1)*AF169-ERP_i)*AE169*Ramure*Pc/MaxiM</f>
        <v>5.7957453732727654E-5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41.901000000000003</v>
      </c>
      <c r="C170" s="388"/>
      <c r="D170" s="391">
        <f t="shared" si="48"/>
        <v>42.606310207442718</v>
      </c>
      <c r="E170" s="383">
        <f t="shared" ref="E170:E232" si="72">Wh_pvt/(1-Psa)</f>
        <v>45.50036237084278</v>
      </c>
      <c r="F170" s="383">
        <f t="shared" si="49"/>
        <v>45.501902889660293</v>
      </c>
      <c r="G170" s="110">
        <f t="shared" ref="G170:G232" si="73">+Wh_hp/MaxiM</f>
        <v>0.71226186723119644</v>
      </c>
      <c r="H170" s="412" t="b">
        <f>Wh_hp&gt;='2020'!Maxi_hp</f>
        <v>1</v>
      </c>
      <c r="I170" s="379">
        <f>IF(H170,Wh_hp,'2020'!Maxi_hp)</f>
        <v>45.501902889660293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1.6554125527619701E-2</v>
      </c>
      <c r="M170" s="832"/>
      <c r="N170" s="832"/>
      <c r="O170" s="48">
        <f>IF(t&lt;Tnet,'2020'!Resal+('2020'!Salim-'2020'!Resal)*(1-EXP(('2020'!Tnet-t)/('2020'!Tau_j))),Resal+(Salim-Resal)*(1-EXP((Tnet-t)/(Tau_j))))*Salcycl</f>
        <v>6.3605035489884512E-2</v>
      </c>
      <c r="P170" s="169">
        <f>(INDEX(Models!$BJ170:$BT170,,T170)*(1-R170)+INDEX(Models!$BJ170:$BT170,,T170+1)*R170-ERP_i)*Q170*Ramure*Pc/MaxiM</f>
        <v>5.7483684010744426E-5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58.826692648393283</v>
      </c>
      <c r="W170" s="400"/>
      <c r="X170" s="157">
        <f t="shared" si="57"/>
        <v>44352</v>
      </c>
      <c r="Y170" s="383">
        <f t="shared" si="58"/>
        <v>41.901000000000003</v>
      </c>
      <c r="Z170" s="383">
        <f t="shared" si="59"/>
        <v>42.606310207442718</v>
      </c>
      <c r="AA170" s="384">
        <f t="shared" si="60"/>
        <v>45.50036237084278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6.3605035489884512E-2</v>
      </c>
      <c r="AD170" s="230">
        <f>(INDEX(Models!$BJ170:$BT170,,AH170)*(1-AF170)+INDEX(Models!$BJ170:$BT170,,AH170+1)*AF170-ERP_i)*AE170*Ramure*Pc/MaxiM</f>
        <v>5.7483684010744426E-5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43.980000000000004</v>
      </c>
      <c r="C171" s="388"/>
      <c r="D171" s="391">
        <f t="shared" si="48"/>
        <v>44.721162622616092</v>
      </c>
      <c r="E171" s="383">
        <f t="shared" si="72"/>
        <v>47.765199175173329</v>
      </c>
      <c r="F171" s="383">
        <f t="shared" si="49"/>
        <v>47.766943372630493</v>
      </c>
      <c r="G171" s="110">
        <f t="shared" si="73"/>
        <v>0.74813448997694509</v>
      </c>
      <c r="H171" s="412" t="b">
        <f>Wh_hp&gt;='2020'!Maxi_hp</f>
        <v>0</v>
      </c>
      <c r="I171" s="379">
        <f>IF(H171,Wh_hp,'2020'!Maxi_hp)</f>
        <v>58.87079114151684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1.657297304344385E-2</v>
      </c>
      <c r="M171" s="832"/>
      <c r="N171" s="832"/>
      <c r="O171" s="48">
        <f>IF(t&lt;Tnet,'2020'!Resal+('2020'!Salim-'2020'!Resal)*(1-EXP(('2020'!Tnet-t)/('2020'!Tau_j))),Resal+(Salim-Resal)*(1-EXP((Tnet-t)/(Tau_j))))*Salcycl</f>
        <v>6.3729171135528728E-2</v>
      </c>
      <c r="P171" s="169">
        <f>(INDEX(Models!$BJ171:$BT171,,T171)*(1-R171)+INDEX(Models!$BJ171:$BT171,,T171+1)*R171-ERP_i)*Q171*Ramure*Pc/MaxiM</f>
        <v>5.7035202655007093E-5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58.785015349842325</v>
      </c>
      <c r="W171" s="400"/>
      <c r="X171" s="157">
        <f t="shared" si="57"/>
        <v>44353</v>
      </c>
      <c r="Y171" s="383">
        <f t="shared" si="58"/>
        <v>43.980000000000004</v>
      </c>
      <c r="Z171" s="383">
        <f t="shared" si="59"/>
        <v>44.721162622616092</v>
      </c>
      <c r="AA171" s="384">
        <f t="shared" si="60"/>
        <v>47.765199175173329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6.3729171135528728E-2</v>
      </c>
      <c r="AD171" s="230">
        <f>(INDEX(Models!$BJ171:$BT171,,AH171)*(1-AF171)+INDEX(Models!$BJ171:$BT171,,AH171+1)*AF171-ERP_i)*AE171*Ramure*Pc/MaxiM</f>
        <v>5.7035202655007093E-5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48.435000000000002</v>
      </c>
      <c r="C172" s="388"/>
      <c r="D172" s="391">
        <f t="shared" si="48"/>
        <v>49.252183370851029</v>
      </c>
      <c r="E172" s="383">
        <f t="shared" si="72"/>
        <v>52.611573944149086</v>
      </c>
      <c r="F172" s="383">
        <f t="shared" si="49"/>
        <v>52.613805955532094</v>
      </c>
      <c r="G172" s="110">
        <f t="shared" si="73"/>
        <v>0.82452841045739578</v>
      </c>
      <c r="H172" s="412" t="b">
        <f>Wh_hp&gt;='2020'!Maxi_hp</f>
        <v>1</v>
      </c>
      <c r="I172" s="379">
        <f>IF(H172,Wh_hp,'2020'!Maxi_hp)</f>
        <v>52.613805955532094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1.6591820198059715E-2</v>
      </c>
      <c r="M172" s="832"/>
      <c r="N172" s="832"/>
      <c r="O172" s="48">
        <f>IF(t&lt;Tnet,'2020'!Resal+('2020'!Salim-'2020'!Resal)*(1-EXP(('2020'!Tnet-t)/('2020'!Tau_j))),Resal+(Salim-Resal)*(1-EXP((Tnet-t)/(Tau_j))))*Salcycl</f>
        <v>6.3852690985148813E-2</v>
      </c>
      <c r="P172" s="169">
        <f>(INDEX(Models!$BJ172:$BT172,,T172)*(1-R172)+INDEX(Models!$BJ172:$BT172,,T172+1)*R172-ERP_i)*Q172*Ramure*Pc/MaxiM</f>
        <v>5.6612980808700966E-5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58.741835990903041</v>
      </c>
      <c r="W172" s="400"/>
      <c r="X172" s="157">
        <f t="shared" si="57"/>
        <v>44354</v>
      </c>
      <c r="Y172" s="383">
        <f t="shared" si="58"/>
        <v>48.435000000000002</v>
      </c>
      <c r="Z172" s="383">
        <f t="shared" si="59"/>
        <v>49.252183370851029</v>
      </c>
      <c r="AA172" s="384">
        <f t="shared" si="60"/>
        <v>52.611573944149086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6.3852690985148813E-2</v>
      </c>
      <c r="AD172" s="230">
        <f>(INDEX(Models!$BJ172:$BT172,,AH172)*(1-AF172)+INDEX(Models!$BJ172:$BT172,,AH172+1)*AF172-ERP_i)*AE172*Ramure*Pc/MaxiM</f>
        <v>5.6612980808700966E-5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57.265000000000001</v>
      </c>
      <c r="C173" s="388"/>
      <c r="D173" s="391">
        <f t="shared" si="48"/>
        <v>58.232276960750319</v>
      </c>
      <c r="E173" s="383">
        <f t="shared" si="72"/>
        <v>62.212345779923581</v>
      </c>
      <c r="F173" s="383">
        <f t="shared" si="49"/>
        <v>62.21572147966711</v>
      </c>
      <c r="G173" s="110">
        <f t="shared" si="73"/>
        <v>0.97559226466210336</v>
      </c>
      <c r="H173" s="412" t="b">
        <f>Wh_hp&gt;='2020'!Maxi_hp</f>
        <v>0</v>
      </c>
      <c r="I173" s="379">
        <f>IF(H173,Wh_hp,'2020'!Maxi_hp)</f>
        <v>63.747853574878313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1.6610666991474177E-2</v>
      </c>
      <c r="M173" s="832"/>
      <c r="N173" s="832"/>
      <c r="O173" s="48">
        <f>IF(t&lt;Tnet,'2020'!Resal+('2020'!Salim-'2020'!Resal)*(1-EXP(('2020'!Tnet-t)/('2020'!Tau_j))),Resal+(Salim-Resal)*(1-EXP((Tnet-t)/(Tau_j))))*Salcycl</f>
        <v>6.3975546481606263E-2</v>
      </c>
      <c r="P173" s="169">
        <f>(INDEX(Models!$BJ173:$BT173,,T173)*(1-R173)+INDEX(Models!$BJ173:$BT173,,T173+1)*R173-ERP_i)*Q173*Ramure*Pc/MaxiM</f>
        <v>5.6218054382913967E-5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58.697562316595402</v>
      </c>
      <c r="W173" s="400"/>
      <c r="X173" s="157">
        <f t="shared" si="57"/>
        <v>44355</v>
      </c>
      <c r="Y173" s="383">
        <f t="shared" si="58"/>
        <v>57.265000000000001</v>
      </c>
      <c r="Z173" s="383">
        <f t="shared" si="59"/>
        <v>58.232276960750319</v>
      </c>
      <c r="AA173" s="384">
        <f t="shared" si="60"/>
        <v>62.212345779923581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6.3975546481606263E-2</v>
      </c>
      <c r="AD173" s="230">
        <f>(INDEX(Models!$BJ173:$BT173,,AH173)*(1-AF173)+INDEX(Models!$BJ173:$BT173,,AH173+1)*AF173-ERP_i)*AE173*Ramure*Pc/MaxiM</f>
        <v>5.6218054382913967E-5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55.633000000000003</v>
      </c>
      <c r="C174" s="388"/>
      <c r="D174" s="391">
        <f t="shared" si="48"/>
        <v>56.573794678027575</v>
      </c>
      <c r="E174" s="383">
        <f t="shared" si="72"/>
        <v>60.448397357951443</v>
      </c>
      <c r="F174" s="383">
        <f t="shared" si="49"/>
        <v>60.451525350346095</v>
      </c>
      <c r="G174" s="110">
        <f t="shared" si="73"/>
        <v>0.94851327720754541</v>
      </c>
      <c r="H174" s="412" t="b">
        <f>Wh_hp&gt;='2020'!Maxi_hp</f>
        <v>1</v>
      </c>
      <c r="I174" s="379">
        <f>IF(H174,Wh_hp,'2020'!Maxi_hp)</f>
        <v>60.451525350346095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1.662951342369412E-2</v>
      </c>
      <c r="M174" s="832"/>
      <c r="N174" s="832"/>
      <c r="O174" s="48">
        <f>IF(t&lt;Tnet,'2020'!Resal+('2020'!Salim-'2020'!Resal)*(1-EXP(('2020'!Tnet-t)/('2020'!Tau_j))),Resal+(Salim-Resal)*(1-EXP((Tnet-t)/(Tau_j))))*Salcycl</f>
        <v>6.4097690745711741E-2</v>
      </c>
      <c r="P174" s="169">
        <f>(INDEX(Models!$BJ174:$BT174,,T174)*(1-R174)+INDEX(Models!$BJ174:$BT174,,T174+1)*R174-ERP_i)*Q174*Ramure*Pc/MaxiM</f>
        <v>5.5851518264586599E-5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58.652601709452156</v>
      </c>
      <c r="W174" s="400"/>
      <c r="X174" s="157">
        <f t="shared" si="57"/>
        <v>44356</v>
      </c>
      <c r="Y174" s="383">
        <f t="shared" si="58"/>
        <v>55.633000000000003</v>
      </c>
      <c r="Z174" s="383">
        <f t="shared" si="59"/>
        <v>56.573794678027575</v>
      </c>
      <c r="AA174" s="384">
        <f t="shared" si="60"/>
        <v>60.448397357951443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6.4097690745711741E-2</v>
      </c>
      <c r="AD174" s="230">
        <f>(INDEX(Models!$BJ174:$BT174,,AH174)*(1-AF174)+INDEX(Models!$BJ174:$BT174,,AH174+1)*AF174-ERP_i)*AE174*Ramure*Pc/MaxiM</f>
        <v>5.5851518264586599E-5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55.594000000000001</v>
      </c>
      <c r="C175" s="388"/>
      <c r="D175" s="391">
        <f t="shared" si="48"/>
        <v>56.535218644099942</v>
      </c>
      <c r="E175" s="383">
        <f t="shared" si="72"/>
        <v>60.415015268071691</v>
      </c>
      <c r="F175" s="383">
        <f t="shared" si="49"/>
        <v>60.418122988564832</v>
      </c>
      <c r="G175" s="110">
        <f t="shared" si="73"/>
        <v>0.94858004486334047</v>
      </c>
      <c r="H175" s="412" t="b">
        <f>Wh_hp&gt;='2020'!Maxi_hp</f>
        <v>1</v>
      </c>
      <c r="I175" s="379">
        <f>IF(H175,Wh_hp,'2020'!Maxi_hp)</f>
        <v>60.418122988564832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1.6648359494726539E-2</v>
      </c>
      <c r="M175" s="832"/>
      <c r="N175" s="832"/>
      <c r="O175" s="48">
        <f>IF(t&lt;Tnet,'2020'!Resal+('2020'!Salim-'2020'!Resal)*(1-EXP(('2020'!Tnet-t)/('2020'!Tau_j))),Resal+(Salim-Resal)*(1-EXP((Tnet-t)/(Tau_j))))*Salcycl</f>
        <v>6.4219078763059698E-2</v>
      </c>
      <c r="P175" s="169">
        <f>(INDEX(Models!$BJ175:$BT175,,T175)*(1-R175)+INDEX(Models!$BJ175:$BT175,,T175+1)*R175-ERP_i)*Q175*Ramure*Pc/MaxiM</f>
        <v>5.5514520140302768E-5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58.607361179217676</v>
      </c>
      <c r="W175" s="400"/>
      <c r="X175" s="157">
        <f t="shared" si="57"/>
        <v>44357</v>
      </c>
      <c r="Y175" s="383">
        <f t="shared" si="58"/>
        <v>55.594000000000001</v>
      </c>
      <c r="Z175" s="383">
        <f t="shared" si="59"/>
        <v>56.535218644099942</v>
      </c>
      <c r="AA175" s="384">
        <f t="shared" si="60"/>
        <v>60.415015268071691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6.4219078763059698E-2</v>
      </c>
      <c r="AD175" s="230">
        <f>(INDEX(Models!$BJ175:$BT175,,AH175)*(1-AF175)+INDEX(Models!$BJ175:$BT175,,AH175+1)*AF175-ERP_i)*AE175*Ramure*Pc/MaxiM</f>
        <v>5.5514520140302768E-5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46.082000000000001</v>
      </c>
      <c r="C176" s="388"/>
      <c r="D176" s="391">
        <f t="shared" si="48"/>
        <v>46.863076512755953</v>
      </c>
      <c r="E176" s="383">
        <f t="shared" si="72"/>
        <v>50.08556512243041</v>
      </c>
      <c r="F176" s="383">
        <f t="shared" si="49"/>
        <v>50.087488503642895</v>
      </c>
      <c r="G176" s="110">
        <f t="shared" si="73"/>
        <v>0.78687597407643406</v>
      </c>
      <c r="H176" s="412" t="b">
        <f>Wh_hp&gt;='2020'!Maxi_hp</f>
        <v>1</v>
      </c>
      <c r="I176" s="379">
        <f>IF(H176,Wh_hp,'2020'!Maxi_hp)</f>
        <v>50.087488503642895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1.6667205204578206E-2</v>
      </c>
      <c r="M176" s="832"/>
      <c r="N176" s="832"/>
      <c r="O176" s="48">
        <f>IF(t&lt;Tnet,'2020'!Resal+('2020'!Salim-'2020'!Resal)*(1-EXP(('2020'!Tnet-t)/('2020'!Tau_j))),Resal+(Salim-Resal)*(1-EXP((Tnet-t)/(Tau_j))))*Salcycl</f>
        <v>6.4339667562846148E-2</v>
      </c>
      <c r="P176" s="169">
        <f>(INDEX(Models!$BJ176:$BT176,,T176)*(1-R176)+INDEX(Models!$BJ176:$BT176,,T176+1)*R176-ERP_i)*Q176*Ramure*Pc/MaxiM</f>
        <v>5.520825395049362E-5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58.562247355825164</v>
      </c>
      <c r="W176" s="400"/>
      <c r="X176" s="157">
        <f t="shared" si="57"/>
        <v>44358</v>
      </c>
      <c r="Y176" s="383">
        <f t="shared" si="58"/>
        <v>46.082000000000001</v>
      </c>
      <c r="Z176" s="383">
        <f t="shared" si="59"/>
        <v>46.863076512755953</v>
      </c>
      <c r="AA176" s="384">
        <f t="shared" si="60"/>
        <v>50.08556512243041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6.4339667562846148E-2</v>
      </c>
      <c r="AD176" s="230">
        <f>(INDEX(Models!$BJ176:$BT176,,AH176)*(1-AF176)+INDEX(Models!$BJ176:$BT176,,AH176+1)*AF176-ERP_i)*AE176*Ramure*Pc/MaxiM</f>
        <v>5.520825395049362E-5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45.76</v>
      </c>
      <c r="C177" s="388"/>
      <c r="D177" s="391">
        <f t="shared" si="48"/>
        <v>46.536510567908259</v>
      </c>
      <c r="E177" s="383">
        <f t="shared" si="72"/>
        <v>49.742909482564642</v>
      </c>
      <c r="F177" s="383">
        <f t="shared" si="49"/>
        <v>49.744791157336742</v>
      </c>
      <c r="G177" s="110">
        <f t="shared" si="73"/>
        <v>0.78198618427501065</v>
      </c>
      <c r="H177" s="412" t="b">
        <f>Wh_hp&gt;='2020'!Maxi_hp</f>
        <v>0</v>
      </c>
      <c r="I177" s="379">
        <f>IF(H177,Wh_hp,'2020'!Maxi_hp)</f>
        <v>56.41651381708197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1.6686050553256226E-2</v>
      </c>
      <c r="M177" s="832"/>
      <c r="N177" s="832"/>
      <c r="O177" s="48">
        <f>IF(t&lt;Tnet,'2020'!Resal+('2020'!Salim-'2020'!Resal)*(1-EXP(('2020'!Tnet-t)/('2020'!Tau_j))),Resal+(Salim-Resal)*(1-EXP((Tnet-t)/(Tau_j))))*Salcycl</f>
        <v>6.4459416387379856E-2</v>
      </c>
      <c r="P177" s="169">
        <f>(INDEX(Models!$BJ177:$BT177,,T177)*(1-R177)+INDEX(Models!$BJ177:$BT177,,T177+1)*R177-ERP_i)*Q177*Ramure*Pc/MaxiM</f>
        <v>5.493490090755762E-5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58.516656704796411</v>
      </c>
      <c r="W177" s="400"/>
      <c r="X177" s="157">
        <f t="shared" si="57"/>
        <v>44359</v>
      </c>
      <c r="Y177" s="383">
        <f t="shared" si="58"/>
        <v>45.76</v>
      </c>
      <c r="Z177" s="383">
        <f t="shared" si="59"/>
        <v>46.536510567908259</v>
      </c>
      <c r="AA177" s="384">
        <f t="shared" si="60"/>
        <v>49.742909482564642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6.4459416387379856E-2</v>
      </c>
      <c r="AD177" s="230">
        <f>(INDEX(Models!$BJ177:$BT177,,AH177)*(1-AF177)+INDEX(Models!$BJ177:$BT177,,AH177+1)*AF177-ERP_i)*AE177*Ramure*Pc/MaxiM</f>
        <v>5.493490090755762E-5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55.184000000000005</v>
      </c>
      <c r="C178" s="388"/>
      <c r="D178" s="391">
        <f t="shared" si="48"/>
        <v>56.121503859564811</v>
      </c>
      <c r="E178" s="383">
        <f t="shared" si="72"/>
        <v>59.995938805654362</v>
      </c>
      <c r="F178" s="383">
        <f t="shared" si="49"/>
        <v>59.998959209926603</v>
      </c>
      <c r="G178" s="110">
        <f t="shared" si="73"/>
        <v>0.94380070168548624</v>
      </c>
      <c r="H178" s="412" t="b">
        <f>Wh_hp&gt;='2020'!Maxi_hp</f>
        <v>0</v>
      </c>
      <c r="I178" s="379">
        <f>IF(H178,Wh_hp,'2020'!Maxi_hp)</f>
        <v>64.279104061315721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1.6704895540767373E-2</v>
      </c>
      <c r="M178" s="832"/>
      <c r="N178" s="832"/>
      <c r="O178" s="48">
        <f>IF(t&lt;Tnet,'2020'!Resal+('2020'!Salim-'2020'!Resal)*(1-EXP(('2020'!Tnet-t)/('2020'!Tau_j))),Resal+(Salim-Resal)*(1-EXP((Tnet-t)/(Tau_j))))*Salcycl</f>
        <v>6.4578286851049438E-2</v>
      </c>
      <c r="P178" s="169">
        <f>(INDEX(Models!$BJ178:$BT178,,T178)*(1-R178)+INDEX(Models!$BJ178:$BT178,,T178+1)*R178-ERP_i)*Q178*Ramure*Pc/MaxiM</f>
        <v>5.4735004191765509E-5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58.469714429592571</v>
      </c>
      <c r="W178" s="400"/>
      <c r="X178" s="157">
        <f t="shared" si="57"/>
        <v>44360</v>
      </c>
      <c r="Y178" s="383">
        <f t="shared" si="58"/>
        <v>55.184000000000005</v>
      </c>
      <c r="Z178" s="383">
        <f t="shared" si="59"/>
        <v>56.121503859564811</v>
      </c>
      <c r="AA178" s="384">
        <f t="shared" si="60"/>
        <v>59.995938805654362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6.4578286851049438E-2</v>
      </c>
      <c r="AD178" s="230">
        <f>(INDEX(Models!$BJ178:$BT178,,AH178)*(1-AF178)+INDEX(Models!$BJ178:$BT178,,AH178+1)*AF178-ERP_i)*AE178*Ramure*Pc/MaxiM</f>
        <v>5.4735004191765509E-5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51.646999999999998</v>
      </c>
      <c r="C179" s="388"/>
      <c r="D179" s="391">
        <f t="shared" si="48"/>
        <v>52.525421501357087</v>
      </c>
      <c r="E179" s="383">
        <f t="shared" si="72"/>
        <v>56.158676914493682</v>
      </c>
      <c r="F179" s="383">
        <f t="shared" si="49"/>
        <v>56.161235442538548</v>
      </c>
      <c r="G179" s="110">
        <f t="shared" si="73"/>
        <v>0.88403413640977924</v>
      </c>
      <c r="H179" s="412" t="b">
        <f>Wh_hp&gt;='2020'!Maxi_hp</f>
        <v>1</v>
      </c>
      <c r="I179" s="379">
        <f>IF(H179,Wh_hp,'2020'!Maxi_hp)</f>
        <v>56.161235442538548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1.672374016711875E-2</v>
      </c>
      <c r="M179" s="832"/>
      <c r="N179" s="832"/>
      <c r="O179" s="48">
        <f>IF(t&lt;Tnet,'2020'!Resal+('2020'!Salim-'2020'!Resal)*(1-EXP(('2020'!Tnet-t)/('2020'!Tau_j))),Resal+(Salim-Resal)*(1-EXP((Tnet-t)/(Tau_j))))*Salcycl</f>
        <v>6.4696243087573713E-2</v>
      </c>
      <c r="P179" s="169">
        <f>(INDEX(Models!$BJ179:$BT179,,T179)*(1-R179)+INDEX(Models!$BJ179:$BT179,,T179+1)*R179-ERP_i)*Q179*Ramure*Pc/MaxiM</f>
        <v>5.460185414568816E-5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58.42142367971784</v>
      </c>
      <c r="W179" s="400"/>
      <c r="X179" s="157">
        <f t="shared" si="57"/>
        <v>44361</v>
      </c>
      <c r="Y179" s="383">
        <f t="shared" si="58"/>
        <v>51.646999999999998</v>
      </c>
      <c r="Z179" s="383">
        <f t="shared" si="59"/>
        <v>52.525421501357087</v>
      </c>
      <c r="AA179" s="384">
        <f t="shared" si="60"/>
        <v>56.158676914493682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6.4696243087573713E-2</v>
      </c>
      <c r="AD179" s="230">
        <f>(INDEX(Models!$BJ179:$BT179,,AH179)*(1-AF179)+INDEX(Models!$BJ179:$BT179,,AH179+1)*AF179-ERP_i)*AE179*Ramure*Pc/MaxiM</f>
        <v>5.460185414568816E-5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50.009</v>
      </c>
      <c r="C180" s="388"/>
      <c r="D180" s="391">
        <f t="shared" si="48"/>
        <v>50.860536832185844</v>
      </c>
      <c r="E180" s="383">
        <f t="shared" si="72"/>
        <v>54.385433641646294</v>
      </c>
      <c r="F180" s="383">
        <f t="shared" si="49"/>
        <v>54.387792758109988</v>
      </c>
      <c r="G180" s="110">
        <f t="shared" si="73"/>
        <v>0.8567228182921639</v>
      </c>
      <c r="H180" s="412" t="b">
        <f>Wh_hp&gt;='2020'!Maxi_hp</f>
        <v>1</v>
      </c>
      <c r="I180" s="379">
        <f>IF(H180,Wh_hp,'2020'!Maxi_hp)</f>
        <v>54.387792758109988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1.674258443231702E-2</v>
      </c>
      <c r="M180" s="832"/>
      <c r="N180" s="832"/>
      <c r="O180" s="48">
        <f>IF(t&lt;Tnet,'2020'!Resal+('2020'!Salim-'2020'!Resal)*(1-EXP(('2020'!Tnet-t)/('2020'!Tau_j))),Resal+(Salim-Resal)*(1-EXP((Tnet-t)/(Tau_j))))*Salcycl</f>
        <v>6.4813251884438719E-2</v>
      </c>
      <c r="P180" s="169">
        <f>(INDEX(Models!$BJ180:$BT180,,T180)*(1-R180)+INDEX(Models!$BJ180:$BT180,,T180+1)*R180-ERP_i)*Q180*Ramure*Pc/MaxiM</f>
        <v>5.4538037366502991E-5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58.371786881307791</v>
      </c>
      <c r="W180" s="400"/>
      <c r="X180" s="157">
        <f t="shared" si="57"/>
        <v>44362</v>
      </c>
      <c r="Y180" s="383">
        <f t="shared" si="58"/>
        <v>50.009</v>
      </c>
      <c r="Z180" s="383">
        <f t="shared" si="59"/>
        <v>50.860536832185844</v>
      </c>
      <c r="AA180" s="384">
        <f t="shared" si="60"/>
        <v>54.385433641646294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6.4813251884438719E-2</v>
      </c>
      <c r="AD180" s="230">
        <f>(INDEX(Models!$BJ180:$BT180,,AH180)*(1-AF180)+INDEX(Models!$BJ180:$BT180,,AH180+1)*AF180-ERP_i)*AE180*Ramure*Pc/MaxiM</f>
        <v>5.4538037366502991E-5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45.835999999999999</v>
      </c>
      <c r="C181" s="388"/>
      <c r="D181" s="391">
        <f t="shared" si="48"/>
        <v>46.617373769670067</v>
      </c>
      <c r="E181" s="383">
        <f t="shared" si="72"/>
        <v>49.85438310958699</v>
      </c>
      <c r="F181" s="383">
        <f t="shared" si="49"/>
        <v>49.856270920019249</v>
      </c>
      <c r="G181" s="110">
        <f t="shared" si="73"/>
        <v>0.78591566722486272</v>
      </c>
      <c r="H181" s="412" t="b">
        <f>Wh_hp&gt;='2020'!Maxi_hp</f>
        <v>0</v>
      </c>
      <c r="I181" s="379">
        <f>IF(H181,Wh_hp,'2020'!Maxi_hp)</f>
        <v>63.760579589282713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1.6761428336369288E-2</v>
      </c>
      <c r="M181" s="832"/>
      <c r="N181" s="832"/>
      <c r="O181" s="48">
        <f>IF(t&lt;Tnet,'2020'!Resal+('2020'!Salim-'2020'!Resal)*(1-EXP(('2020'!Tnet-t)/('2020'!Tau_j))),Resal+(Salim-Resal)*(1-EXP((Tnet-t)/(Tau_j))))*Salcycl</f>
        <v>6.4929282803510444E-2</v>
      </c>
      <c r="P181" s="169">
        <f>(INDEX(Models!$BJ181:$BT181,,T181)*(1-R181)+INDEX(Models!$BJ181:$BT181,,T181+1)*R181-ERP_i)*Q181*Ramure*Pc/MaxiM</f>
        <v>5.454613842991618E-5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58.320806275243363</v>
      </c>
      <c r="W181" s="400"/>
      <c r="X181" s="157">
        <f t="shared" si="57"/>
        <v>44363</v>
      </c>
      <c r="Y181" s="383">
        <f t="shared" si="58"/>
        <v>45.835999999999999</v>
      </c>
      <c r="Z181" s="383">
        <f t="shared" si="59"/>
        <v>46.617373769670067</v>
      </c>
      <c r="AA181" s="384">
        <f t="shared" si="60"/>
        <v>49.85438310958699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6.4929282803510444E-2</v>
      </c>
      <c r="AD181" s="230">
        <f>(INDEX(Models!$BJ181:$BT181,,AH181)*(1-AF181)+INDEX(Models!$BJ181:$BT181,,AH181+1)*AF181-ERP_i)*AE181*Ramure*Pc/MaxiM</f>
        <v>5.454613842991618E-5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15.502000000000001</v>
      </c>
      <c r="C182" s="388"/>
      <c r="D182" s="391">
        <f t="shared" si="48"/>
        <v>15.766567285656313</v>
      </c>
      <c r="E182" s="383">
        <f t="shared" si="72"/>
        <v>16.863437941928261</v>
      </c>
      <c r="F182" s="383">
        <f t="shared" si="49"/>
        <v>16.863437941928261</v>
      </c>
      <c r="G182" s="110">
        <f t="shared" si="73"/>
        <v>0.26602980042743141</v>
      </c>
      <c r="H182" s="412" t="b">
        <f>Wh_hp&gt;='2020'!Maxi_hp</f>
        <v>0</v>
      </c>
      <c r="I182" s="379">
        <f>IF(H182,Wh_hp,'2020'!Maxi_hp)</f>
        <v>62.238525909161851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1.6780271879282438E-2</v>
      </c>
      <c r="M182" s="832"/>
      <c r="N182" s="832"/>
      <c r="O182" s="48">
        <f>IF(t&lt;Tnet,'2020'!Resal+('2020'!Salim-'2020'!Resal)*(1-EXP(('2020'!Tnet-t)/('2020'!Tau_j))),Resal+(Salim-Resal)*(1-EXP((Tnet-t)/(Tau_j))))*Salcycl</f>
        <v>6.5044308286909477E-2</v>
      </c>
      <c r="P182" s="169">
        <f>(INDEX(Models!$BJ182:$BT182,,T182)*(1-R182)+INDEX(Models!$BJ182:$BT182,,T182+1)*R182-ERP_i)*Q182*Ramure*Pc/MaxiM</f>
        <v>5.4628732998130867E-5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58.268483908476732</v>
      </c>
      <c r="W182" s="400"/>
      <c r="X182" s="157">
        <f t="shared" si="57"/>
        <v>44364</v>
      </c>
      <c r="Y182" s="383">
        <f t="shared" si="58"/>
        <v>15.502000000000001</v>
      </c>
      <c r="Z182" s="383">
        <f t="shared" si="59"/>
        <v>15.766567285656313</v>
      </c>
      <c r="AA182" s="384">
        <f t="shared" si="60"/>
        <v>16.863437941928261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6.5044308286909477E-2</v>
      </c>
      <c r="AD182" s="230">
        <f>(INDEX(Models!$BJ182:$BT182,,AH182)*(1-AF182)+INDEX(Models!$BJ182:$BT182,,AH182+1)*AF182-ERP_i)*AE182*Ramure*Pc/MaxiM</f>
        <v>5.4628732998130867E-5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42.308</v>
      </c>
      <c r="C183" s="388"/>
      <c r="D183" s="391">
        <f t="shared" si="48"/>
        <v>43.030880716332568</v>
      </c>
      <c r="E183" s="383">
        <f t="shared" si="72"/>
        <v>46.03012562321841</v>
      </c>
      <c r="F183" s="383">
        <f t="shared" si="49"/>
        <v>46.031663166112132</v>
      </c>
      <c r="G183" s="110">
        <f t="shared" si="73"/>
        <v>0.72674095638216585</v>
      </c>
      <c r="H183" s="412" t="b">
        <f>Wh_hp&gt;='2020'!Maxi_hp</f>
        <v>0</v>
      </c>
      <c r="I183" s="379">
        <f>IF(H183,Wh_hp,'2020'!Maxi_hp)</f>
        <v>59.296704532872539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1.6799115061063463E-2</v>
      </c>
      <c r="M183" s="832"/>
      <c r="N183" s="832"/>
      <c r="O183" s="48">
        <f>IF(t&lt;Tnet,'2020'!Resal+('2020'!Salim-'2020'!Resal)*(1-EXP(('2020'!Tnet-t)/('2020'!Tau_j))),Resal+(Salim-Resal)*(1-EXP((Tnet-t)/(Tau_j))))*Salcycl</f>
        <v>6.5158303747339122E-2</v>
      </c>
      <c r="P183" s="169">
        <f>(INDEX(Models!$BJ183:$BT183,,T183)*(1-R183)+INDEX(Models!$BJ183:$BT183,,T183+1)*R183-ERP_i)*Q183*Ramure*Pc/MaxiM</f>
        <v>5.4788381280079115E-5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58.214821632171194</v>
      </c>
      <c r="W183" s="400"/>
      <c r="X183" s="157">
        <f t="shared" si="57"/>
        <v>44365</v>
      </c>
      <c r="Y183" s="383">
        <f t="shared" si="58"/>
        <v>42.308</v>
      </c>
      <c r="Z183" s="383">
        <f t="shared" si="59"/>
        <v>43.030880716332568</v>
      </c>
      <c r="AA183" s="384">
        <f t="shared" si="60"/>
        <v>46.03012562321841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6.5158303747339122E-2</v>
      </c>
      <c r="AD183" s="230">
        <f>(INDEX(Models!$BJ183:$BT183,,AH183)*(1-AF183)+INDEX(Models!$BJ183:$BT183,,AH183+1)*AF183-ERP_i)*AE183*Ramure*Pc/MaxiM</f>
        <v>5.4788381280079115E-5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31.76</v>
      </c>
      <c r="C184" s="388"/>
      <c r="D184" s="391">
        <f t="shared" si="48"/>
        <v>32.303275120416757</v>
      </c>
      <c r="E184" s="383">
        <f t="shared" si="72"/>
        <v>34.558983062126437</v>
      </c>
      <c r="F184" s="383">
        <f t="shared" si="49"/>
        <v>34.559652099616493</v>
      </c>
      <c r="G184" s="110">
        <f t="shared" si="73"/>
        <v>0.54606198131528527</v>
      </c>
      <c r="H184" s="412" t="b">
        <f>Wh_hp&gt;='2020'!Maxi_hp</f>
        <v>0</v>
      </c>
      <c r="I184" s="379">
        <f>IF(H184,Wh_hp,'2020'!Maxi_hp)</f>
        <v>51.670458904015952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1.6817957881719137E-2</v>
      </c>
      <c r="M184" s="832"/>
      <c r="N184" s="832"/>
      <c r="O184" s="48">
        <f>IF(t&lt;Tnet,'2020'!Resal+('2020'!Salim-'2020'!Resal)*(1-EXP(('2020'!Tnet-t)/('2020'!Tau_j))),Resal+(Salim-Resal)*(1-EXP((Tnet-t)/(Tau_j))))*Salcycl</f>
        <v>6.5271247642171917E-2</v>
      </c>
      <c r="P184" s="169">
        <f>(INDEX(Models!$BJ184:$BT184,,T184)*(1-R184)+INDEX(Models!$BJ184:$BT184,,T184+1)*R184-ERP_i)*Q184*Ramure*Pc/MaxiM</f>
        <v>5.5068113551399622E-5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58.159818739832637</v>
      </c>
      <c r="W184" s="400"/>
      <c r="X184" s="157">
        <f t="shared" si="57"/>
        <v>44366</v>
      </c>
      <c r="Y184" s="383">
        <f t="shared" si="58"/>
        <v>31.76</v>
      </c>
      <c r="Z184" s="383">
        <f t="shared" si="59"/>
        <v>32.303275120416757</v>
      </c>
      <c r="AA184" s="384">
        <f t="shared" si="60"/>
        <v>34.558983062126437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6.5271247642171917E-2</v>
      </c>
      <c r="AD184" s="230">
        <f>(INDEX(Models!$BJ184:$BT184,,AH184)*(1-AF184)+INDEX(Models!$BJ184:$BT184,,AH184+1)*AF184-ERP_i)*AE184*Ramure*Pc/MaxiM</f>
        <v>5.5068113551399622E-5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34.021000000000001</v>
      </c>
      <c r="C185" s="388"/>
      <c r="D185" s="391">
        <f t="shared" si="48"/>
        <v>34.60361414240149</v>
      </c>
      <c r="E185" s="383">
        <f t="shared" si="72"/>
        <v>37.024383936951224</v>
      </c>
      <c r="F185" s="383">
        <f t="shared" si="49"/>
        <v>37.025220863816884</v>
      </c>
      <c r="G185" s="110">
        <f t="shared" si="73"/>
        <v>0.58550509841317999</v>
      </c>
      <c r="H185" s="412" t="b">
        <f>Wh_hp&gt;='2020'!Maxi_hp</f>
        <v>0</v>
      </c>
      <c r="I185" s="379">
        <f>IF(H185,Wh_hp,'2020'!Maxi_hp)</f>
        <v>56.990075158502776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1.6836800341256453E-2</v>
      </c>
      <c r="M185" s="832"/>
      <c r="N185" s="832"/>
      <c r="O185" s="48">
        <f>IF(t&lt;Tnet,'2020'!Resal+('2020'!Salim-'2020'!Resal)*(1-EXP(('2020'!Tnet-t)/('2020'!Tau_j))),Resal+(Salim-Resal)*(1-EXP((Tnet-t)/(Tau_j))))*Salcycl</f>
        <v>6.5383121530720484E-2</v>
      </c>
      <c r="P185" s="169">
        <f>(INDEX(Models!$BJ185:$BT185,,T185)*(1-R185)+INDEX(Models!$BJ185:$BT185,,T185+1)*R185-ERP_i)*Q185*Ramure*Pc/MaxiM</f>
        <v>5.5417227961854486E-5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58.103479775322683</v>
      </c>
      <c r="W185" s="400"/>
      <c r="X185" s="157">
        <f t="shared" si="57"/>
        <v>44367</v>
      </c>
      <c r="Y185" s="383">
        <f t="shared" si="58"/>
        <v>34.021000000000001</v>
      </c>
      <c r="Z185" s="383">
        <f t="shared" si="59"/>
        <v>34.60361414240149</v>
      </c>
      <c r="AA185" s="384">
        <f t="shared" si="60"/>
        <v>37.024383936951224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6.5383121530720484E-2</v>
      </c>
      <c r="AD185" s="230">
        <f>(INDEX(Models!$BJ185:$BT185,,AH185)*(1-AF185)+INDEX(Models!$BJ185:$BT185,,AH185+1)*AF185-ERP_i)*AE185*Ramure*Pc/MaxiM</f>
        <v>5.5417227961854486E-5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33.613999999999997</v>
      </c>
      <c r="C186" s="388"/>
      <c r="D186" s="391">
        <f t="shared" si="48"/>
        <v>34.190299462648056</v>
      </c>
      <c r="E186" s="383">
        <f t="shared" si="72"/>
        <v>36.586491872758074</v>
      </c>
      <c r="F186" s="383">
        <f t="shared" si="49"/>
        <v>36.587306410995801</v>
      </c>
      <c r="G186" s="110">
        <f t="shared" si="73"/>
        <v>0.57907493587019587</v>
      </c>
      <c r="H186" s="412" t="b">
        <f>Wh_hp&gt;='2020'!Maxi_hp</f>
        <v>0</v>
      </c>
      <c r="I186" s="379">
        <f>IF(H186,Wh_hp,'2020'!Maxi_hp)</f>
        <v>52.195932812822107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1.6855642439682406E-2</v>
      </c>
      <c r="M186" s="832"/>
      <c r="N186" s="832"/>
      <c r="O186" s="48">
        <f>IF(t&lt;Tnet,'2020'!Resal+('2020'!Salim-'2020'!Resal)*(1-EXP(('2020'!Tnet-t)/('2020'!Tau_j))),Resal+(Salim-Resal)*(1-EXP((Tnet-t)/(Tau_j))))*Salcycl</f>
        <v>6.5493910114246282E-2</v>
      </c>
      <c r="P186" s="169">
        <f>(INDEX(Models!$BJ186:$BT186,,T186)*(1-R186)+INDEX(Models!$BJ186:$BT186,,T186+1)*R186-ERP_i)*Q186*Ramure*Pc/MaxiM</f>
        <v>5.5837760140546971E-5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58.045806002316183</v>
      </c>
      <c r="W186" s="400"/>
      <c r="X186" s="157">
        <f t="shared" si="57"/>
        <v>44368</v>
      </c>
      <c r="Y186" s="383">
        <f t="shared" si="58"/>
        <v>33.613999999999997</v>
      </c>
      <c r="Z186" s="383">
        <f t="shared" si="59"/>
        <v>34.190299462648056</v>
      </c>
      <c r="AA186" s="384">
        <f t="shared" si="60"/>
        <v>36.586491872758074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6.5493910114246282E-2</v>
      </c>
      <c r="AD186" s="230">
        <f>(INDEX(Models!$BJ186:$BT186,,AH186)*(1-AF186)+INDEX(Models!$BJ186:$BT186,,AH186+1)*AF186-ERP_i)*AE186*Ramure*Pc/MaxiM</f>
        <v>5.5837760140546971E-5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37.813000000000002</v>
      </c>
      <c r="C187" s="388"/>
      <c r="D187" s="391">
        <f t="shared" si="48"/>
        <v>38.462026863727466</v>
      </c>
      <c r="E187" s="383">
        <f t="shared" si="72"/>
        <v>41.162430543959601</v>
      </c>
      <c r="F187" s="383">
        <f t="shared" si="49"/>
        <v>41.163596897572184</v>
      </c>
      <c r="G187" s="110">
        <f t="shared" si="73"/>
        <v>0.6520784438514321</v>
      </c>
      <c r="H187" s="412" t="b">
        <f>Wh_hp&gt;='2020'!Maxi_hp</f>
        <v>0</v>
      </c>
      <c r="I187" s="379">
        <f>IF(H187,Wh_hp,'2020'!Maxi_hp)</f>
        <v>63.676809848065162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1.6874484177003768E-2</v>
      </c>
      <c r="M187" s="832"/>
      <c r="N187" s="832"/>
      <c r="O187" s="48">
        <f>IF(t&lt;Tnet,'2020'!Resal+('2020'!Salim-'2020'!Resal)*(1-EXP(('2020'!Tnet-t)/('2020'!Tau_j))),Resal+(Salim-Resal)*(1-EXP((Tnet-t)/(Tau_j))))*Salcycl</f>
        <v>6.5603601258390959E-2</v>
      </c>
      <c r="P187" s="169">
        <f>(INDEX(Models!$BJ187:$BT187,,T187)*(1-R187)+INDEX(Models!$BJ187:$BT187,,T187+1)*R187-ERP_i)*Q187*Ramure*Pc/MaxiM</f>
        <v>5.6331719236769412E-5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57.986798476570421</v>
      </c>
      <c r="W187" s="400"/>
      <c r="X187" s="157">
        <f t="shared" si="57"/>
        <v>44369</v>
      </c>
      <c r="Y187" s="383">
        <f t="shared" si="58"/>
        <v>37.813000000000002</v>
      </c>
      <c r="Z187" s="383">
        <f t="shared" si="59"/>
        <v>38.462026863727466</v>
      </c>
      <c r="AA187" s="384">
        <f t="shared" si="60"/>
        <v>41.162430543959601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6.5603601258390959E-2</v>
      </c>
      <c r="AD187" s="230">
        <f>(INDEX(Models!$BJ187:$BT187,,AH187)*(1-AF187)+INDEX(Models!$BJ187:$BT187,,AH187+1)*AF187-ERP_i)*AE187*Ramure*Pc/MaxiM</f>
        <v>5.6331719236769412E-5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20.202999999999999</v>
      </c>
      <c r="C188" s="388"/>
      <c r="D188" s="391">
        <f t="shared" si="48"/>
        <v>20.55016055238249</v>
      </c>
      <c r="E188" s="383">
        <f t="shared" si="72"/>
        <v>21.995535256264436</v>
      </c>
      <c r="F188" s="383">
        <f t="shared" si="49"/>
        <v>21.995622454042934</v>
      </c>
      <c r="G188" s="110">
        <f t="shared" si="73"/>
        <v>0.34875135119521528</v>
      </c>
      <c r="H188" s="412" t="b">
        <f>Wh_hp&gt;='2020'!Maxi_hp</f>
        <v>0</v>
      </c>
      <c r="I188" s="379">
        <f>IF(H188,Wh_hp,'2020'!Maxi_hp)</f>
        <v>54.409239843799597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1.6893325553227534E-2</v>
      </c>
      <c r="M188" s="832"/>
      <c r="N188" s="832"/>
      <c r="O188" s="48">
        <f>IF(t&lt;Tnet,'2020'!Resal+('2020'!Salim-'2020'!Resal)*(1-EXP(('2020'!Tnet-t)/('2020'!Tau_j))),Resal+(Salim-Resal)*(1-EXP((Tnet-t)/(Tau_j))))*Salcycl</f>
        <v>6.5712185997851391E-2</v>
      </c>
      <c r="P188" s="169">
        <f>(INDEX(Models!$BJ188:$BT188,,T188)*(1-R188)+INDEX(Models!$BJ188:$BT188,,T188+1)*R188-ERP_i)*Q188*Ramure*Pc/MaxiM</f>
        <v>5.690050313378242E-5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57.926458082249063</v>
      </c>
      <c r="W188" s="400"/>
      <c r="X188" s="157">
        <f t="shared" si="57"/>
        <v>44370</v>
      </c>
      <c r="Y188" s="383">
        <f t="shared" si="58"/>
        <v>20.202999999999999</v>
      </c>
      <c r="Z188" s="383">
        <f t="shared" si="59"/>
        <v>20.55016055238249</v>
      </c>
      <c r="AA188" s="384">
        <f t="shared" si="60"/>
        <v>21.995535256264436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6.5712185997851391E-2</v>
      </c>
      <c r="AD188" s="230">
        <f>(INDEX(Models!$BJ188:$BT188,,AH188)*(1-AF188)+INDEX(Models!$BJ188:$BT188,,AH188+1)*AF188-ERP_i)*AE188*Ramure*Pc/MaxiM</f>
        <v>5.690050313378242E-5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36.917999999999999</v>
      </c>
      <c r="C189" s="388"/>
      <c r="D189" s="391">
        <f t="shared" si="48"/>
        <v>37.553104356028179</v>
      </c>
      <c r="E189" s="383">
        <f t="shared" si="72"/>
        <v>40.198988020519295</v>
      </c>
      <c r="F189" s="383">
        <f t="shared" si="49"/>
        <v>40.200105044612201</v>
      </c>
      <c r="G189" s="110">
        <f t="shared" si="73"/>
        <v>0.6379856248210718</v>
      </c>
      <c r="H189" s="412" t="b">
        <f>Wh_hp&gt;='2020'!Maxi_hp</f>
        <v>0</v>
      </c>
      <c r="I189" s="379">
        <f>IF(H189,Wh_hp,'2020'!Maxi_hp)</f>
        <v>62.441537989908561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1.6912166568360587E-2</v>
      </c>
      <c r="M189" s="832"/>
      <c r="N189" s="832"/>
      <c r="O189" s="48">
        <f>IF(t&lt;Tnet,'2020'!Resal+('2020'!Salim-'2020'!Resal)*(1-EXP(('2020'!Tnet-t)/('2020'!Tau_j))),Resal+(Salim-Resal)*(1-EXP((Tnet-t)/(Tau_j))))*Salcycl</f>
        <v>6.581965852325794E-2</v>
      </c>
      <c r="P189" s="169">
        <f>(INDEX(Models!$BJ189:$BT189,,T189)*(1-R189)+INDEX(Models!$BJ189:$BT189,,T189+1)*R189-ERP_i)*Q189*Ramure*Pc/MaxiM</f>
        <v>5.7545420359639138E-5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57.864785501336939</v>
      </c>
      <c r="W189" s="400"/>
      <c r="X189" s="157">
        <f t="shared" si="57"/>
        <v>44371</v>
      </c>
      <c r="Y189" s="383">
        <f t="shared" si="58"/>
        <v>36.917999999999999</v>
      </c>
      <c r="Z189" s="383">
        <f t="shared" si="59"/>
        <v>37.553104356028179</v>
      </c>
      <c r="AA189" s="384">
        <f t="shared" si="60"/>
        <v>40.198988020519295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6.581965852325794E-2</v>
      </c>
      <c r="AD189" s="230">
        <f>(INDEX(Models!$BJ189:$BT189,,AH189)*(1-AF189)+INDEX(Models!$BJ189:$BT189,,AH189+1)*AF189-ERP_i)*AE189*Ramure*Pc/MaxiM</f>
        <v>5.7545420359639138E-5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52.258000000000003</v>
      </c>
      <c r="C190" s="388"/>
      <c r="D190" s="391">
        <f t="shared" si="48"/>
        <v>53.158018800235794</v>
      </c>
      <c r="E190" s="383">
        <f t="shared" si="72"/>
        <v>56.909859089697562</v>
      </c>
      <c r="F190" s="383">
        <f t="shared" si="49"/>
        <v>56.912720927887193</v>
      </c>
      <c r="G190" s="110">
        <f t="shared" si="73"/>
        <v>0.90408256810247745</v>
      </c>
      <c r="H190" s="412" t="b">
        <f>Wh_hp&gt;='2020'!Maxi_hp</f>
        <v>0</v>
      </c>
      <c r="I190" s="379">
        <f>IF(H190,Wh_hp,'2020'!Maxi_hp)</f>
        <v>58.359170518097258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1.6931007222409922E-2</v>
      </c>
      <c r="M190" s="832"/>
      <c r="N190" s="832"/>
      <c r="O190" s="48">
        <f>IF(t&lt;Tnet,'2020'!Resal+('2020'!Salim-'2020'!Resal)*(1-EXP(('2020'!Tnet-t)/('2020'!Tau_j))),Resal+(Salim-Resal)*(1-EXP((Tnet-t)/(Tau_j))))*Salcycl</f>
        <v>6.5926016150353955E-2</v>
      </c>
      <c r="P190" s="169">
        <f>(INDEX(Models!$BJ190:$BT190,,T190)*(1-R190)+INDEX(Models!$BJ190:$BT190,,T190+1)*R190-ERP_i)*Q190*Ramure*Pc/MaxiM</f>
        <v>5.826828994899597E-5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57.801781181803243</v>
      </c>
      <c r="W190" s="400"/>
      <c r="X190" s="157">
        <f t="shared" si="57"/>
        <v>44372</v>
      </c>
      <c r="Y190" s="383">
        <f t="shared" si="58"/>
        <v>52.258000000000003</v>
      </c>
      <c r="Z190" s="383">
        <f t="shared" si="59"/>
        <v>53.158018800235794</v>
      </c>
      <c r="AA190" s="384">
        <f t="shared" si="60"/>
        <v>56.909859089697562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6.5926016150353955E-2</v>
      </c>
      <c r="AD190" s="230">
        <f>(INDEX(Models!$BJ190:$BT190,,AH190)*(1-AF190)+INDEX(Models!$BJ190:$BT190,,AH190+1)*AF190-ERP_i)*AE190*Ramure*Pc/MaxiM</f>
        <v>5.826828994899597E-5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55.508000000000003</v>
      </c>
      <c r="C191" s="388"/>
      <c r="D191" s="391">
        <f t="shared" si="48"/>
        <v>56.465074401042394</v>
      </c>
      <c r="E191" s="383">
        <f t="shared" si="72"/>
        <v>60.45713516815605</v>
      </c>
      <c r="F191" s="383">
        <f t="shared" si="49"/>
        <v>60.460509614669505</v>
      </c>
      <c r="G191" s="110">
        <f t="shared" si="73"/>
        <v>0.96138335800192742</v>
      </c>
      <c r="H191" s="412" t="b">
        <f>Wh_hp&gt;='2020'!Maxi_hp</f>
        <v>1</v>
      </c>
      <c r="I191" s="379">
        <f>IF(H191,Wh_hp,'2020'!Maxi_hp)</f>
        <v>60.460509614669505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1.6949847515382421E-2</v>
      </c>
      <c r="M191" s="832"/>
      <c r="N191" s="832"/>
      <c r="O191" s="48">
        <f>IF(t&lt;Tnet,'2020'!Resal+('2020'!Salim-'2020'!Resal)*(1-EXP(('2020'!Tnet-t)/('2020'!Tau_j))),Resal+(Salim-Resal)*(1-EXP((Tnet-t)/(Tau_j))))*Salcycl</f>
        <v>6.603125927171534E-2</v>
      </c>
      <c r="P191" s="169">
        <f>(INDEX(Models!$BJ191:$BT191,,T191)*(1-R191)+INDEX(Models!$BJ191:$BT191,,T191+1)*R191-ERP_i)*Q191*Ramure*Pc/MaxiM</f>
        <v>5.9070883343438078E-5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57.737445376328694</v>
      </c>
      <c r="W191" s="400"/>
      <c r="X191" s="157">
        <f t="shared" si="57"/>
        <v>44373</v>
      </c>
      <c r="Y191" s="383">
        <f t="shared" si="58"/>
        <v>55.508000000000003</v>
      </c>
      <c r="Z191" s="383">
        <f t="shared" si="59"/>
        <v>56.465074401042394</v>
      </c>
      <c r="AA191" s="384">
        <f t="shared" si="60"/>
        <v>60.45713516815605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6.603125927171534E-2</v>
      </c>
      <c r="AD191" s="230">
        <f>(INDEX(Models!$BJ191:$BT191,,AH191)*(1-AF191)+INDEX(Models!$BJ191:$BT191,,AH191+1)*AF191-ERP_i)*AE191*Ramure*Pc/MaxiM</f>
        <v>5.9070883343438078E-5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8.5820000000000007</v>
      </c>
      <c r="C192" s="388"/>
      <c r="D192" s="391">
        <f t="shared" si="48"/>
        <v>8.7301390000634314</v>
      </c>
      <c r="E192" s="383">
        <f t="shared" si="72"/>
        <v>9.3483990277089735</v>
      </c>
      <c r="F192" s="383">
        <f t="shared" si="49"/>
        <v>9.3483990277089735</v>
      </c>
      <c r="G192" s="110">
        <f t="shared" si="73"/>
        <v>0.14879869744150165</v>
      </c>
      <c r="H192" s="412" t="b">
        <f>Wh_hp&gt;='2020'!Maxi_hp</f>
        <v>0</v>
      </c>
      <c r="I192" s="379">
        <f>IF(H192,Wh_hp,'2020'!Maxi_hp)</f>
        <v>59.284461981263078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1.696868744728508E-2</v>
      </c>
      <c r="M192" s="832"/>
      <c r="N192" s="832"/>
      <c r="O192" s="48">
        <f>IF(t&lt;Tnet,'2020'!Resal+('2020'!Salim-'2020'!Resal)*(1-EXP(('2020'!Tnet-t)/('2020'!Tau_j))),Resal+(Salim-Resal)*(1-EXP((Tnet-t)/(Tau_j))))*Salcycl</f>
        <v>6.6135391291385556E-2</v>
      </c>
      <c r="P192" s="169">
        <f>(INDEX(Models!$BJ192:$BT192,,T192)*(1-R192)+INDEX(Models!$BJ192:$BT192,,T192+1)*R192-ERP_i)*Q192*Ramure*Pc/MaxiM</f>
        <v>6.0012748806700579E-5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57.671774808132618</v>
      </c>
      <c r="W192" s="400"/>
      <c r="X192" s="157">
        <f t="shared" si="57"/>
        <v>44374</v>
      </c>
      <c r="Y192" s="383">
        <f t="shared" si="58"/>
        <v>8.5820000000000007</v>
      </c>
      <c r="Z192" s="383">
        <f t="shared" si="59"/>
        <v>8.7301390000634314</v>
      </c>
      <c r="AA192" s="384">
        <f t="shared" si="60"/>
        <v>9.3483990277089735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6.6135391291385556E-2</v>
      </c>
      <c r="AD192" s="230">
        <f>(INDEX(Models!$BJ192:$BT192,,AH192)*(1-AF192)+INDEX(Models!$BJ192:$BT192,,AH192+1)*AF192-ERP_i)*AE192*Ramure*Pc/MaxiM</f>
        <v>6.0012748806700579E-5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30.978000000000002</v>
      </c>
      <c r="C193" s="388"/>
      <c r="D193" s="391">
        <f t="shared" si="48"/>
        <v>31.513333606064194</v>
      </c>
      <c r="E193" s="383">
        <f t="shared" si="72"/>
        <v>33.748800798690048</v>
      </c>
      <c r="F193" s="383">
        <f t="shared" si="49"/>
        <v>33.749500690879579</v>
      </c>
      <c r="G193" s="110">
        <f t="shared" si="73"/>
        <v>0.53774626850432361</v>
      </c>
      <c r="H193" s="412" t="b">
        <f>Wh_hp&gt;='2020'!Maxi_hp</f>
        <v>0</v>
      </c>
      <c r="I193" s="379">
        <f>IF(H193,Wh_hp,'2020'!Maxi_hp)</f>
        <v>58.768659974881878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1.6987527018124671E-2</v>
      </c>
      <c r="M193" s="832"/>
      <c r="N193" s="832"/>
      <c r="O193" s="48">
        <f>IF(t&lt;Tnet,'2020'!Resal+('2020'!Salim-'2020'!Resal)*(1-EXP(('2020'!Tnet-t)/('2020'!Tau_j))),Resal+(Salim-Resal)*(1-EXP((Tnet-t)/(Tau_j))))*Salcycl</f>
        <v>6.6238418542937424E-2</v>
      </c>
      <c r="P193" s="169">
        <f>(INDEX(Models!$BJ193:$BT193,,T193)*(1-R193)+INDEX(Models!$BJ193:$BT193,,T193+1)*R193-ERP_i)*Q193*Ramure*Pc/MaxiM</f>
        <v>6.105321283510757E-5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57.604771802594279</v>
      </c>
      <c r="W193" s="400"/>
      <c r="X193" s="157">
        <f t="shared" si="57"/>
        <v>44375</v>
      </c>
      <c r="Y193" s="383">
        <f t="shared" si="58"/>
        <v>30.978000000000005</v>
      </c>
      <c r="Z193" s="383">
        <f t="shared" si="59"/>
        <v>31.513333606064197</v>
      </c>
      <c r="AA193" s="384">
        <f t="shared" si="60"/>
        <v>33.748800798690048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6.6238418542937424E-2</v>
      </c>
      <c r="AD193" s="230">
        <f>(INDEX(Models!$BJ193:$BT193,,AH193)*(1-AF193)+INDEX(Models!$BJ193:$BT193,,AH193+1)*AF193-ERP_i)*AE193*Ramure*Pc/MaxiM</f>
        <v>6.105321283510757E-5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40.298000000000002</v>
      </c>
      <c r="C194" s="388"/>
      <c r="D194" s="391">
        <f t="shared" si="48"/>
        <v>40.995179028131062</v>
      </c>
      <c r="E194" s="383">
        <f t="shared" si="72"/>
        <v>43.908054756938476</v>
      </c>
      <c r="F194" s="383">
        <f t="shared" si="49"/>
        <v>43.909616810885119</v>
      </c>
      <c r="G194" s="110">
        <f t="shared" si="73"/>
        <v>0.7003723206822875</v>
      </c>
      <c r="H194" s="412" t="b">
        <f>Wh_hp&gt;='2020'!Maxi_hp</f>
        <v>0</v>
      </c>
      <c r="I194" s="379">
        <f>IF(H194,Wh_hp,'2020'!Maxi_hp)</f>
        <v>57.102404093147875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1.7006366227908187E-2</v>
      </c>
      <c r="M194" s="832"/>
      <c r="N194" s="832"/>
      <c r="O194" s="48">
        <f>IF(t&lt;Tnet,'2020'!Resal+('2020'!Salim-'2020'!Resal)*(1-EXP(('2020'!Tnet-t)/('2020'!Tau_j))),Resal+(Salim-Resal)*(1-EXP((Tnet-t)/(Tau_j))))*Salcycl</f>
        <v>6.6340350191603767E-2</v>
      </c>
      <c r="P194" s="169">
        <f>(INDEX(Models!$BJ194:$BT194,,T194)*(1-R194)+INDEX(Models!$BJ194:$BT194,,T194+1)*R194-ERP_i)*Q194*Ramure*Pc/MaxiM</f>
        <v>6.2194238067545123E-5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57.536436037872463</v>
      </c>
      <c r="W194" s="400"/>
      <c r="X194" s="157">
        <f t="shared" si="57"/>
        <v>44376</v>
      </c>
      <c r="Y194" s="383">
        <f t="shared" si="58"/>
        <v>40.298000000000002</v>
      </c>
      <c r="Z194" s="383">
        <f t="shared" si="59"/>
        <v>40.995179028131062</v>
      </c>
      <c r="AA194" s="384">
        <f t="shared" si="60"/>
        <v>43.908054756938476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6.6340350191603767E-2</v>
      </c>
      <c r="AD194" s="230">
        <f>(INDEX(Models!$BJ194:$BT194,,AH194)*(1-AF194)+INDEX(Models!$BJ194:$BT194,,AH194+1)*AF194-ERP_i)*AE194*Ramure*Pc/MaxiM</f>
        <v>6.2194238067545123E-5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47.222000000000001</v>
      </c>
      <c r="C195" s="388"/>
      <c r="D195" s="391">
        <f t="shared" si="48"/>
        <v>48.039888961427437</v>
      </c>
      <c r="E195" s="383">
        <f t="shared" si="72"/>
        <v>51.458878503152434</v>
      </c>
      <c r="F195" s="383">
        <f t="shared" si="49"/>
        <v>51.461311680583044</v>
      </c>
      <c r="G195" s="110">
        <f t="shared" si="73"/>
        <v>0.82171382680076788</v>
      </c>
      <c r="H195" s="412" t="b">
        <f>Wh_hp&gt;='2020'!Maxi_hp</f>
        <v>0</v>
      </c>
      <c r="I195" s="379">
        <f>IF(H195,Wh_hp,'2020'!Maxi_hp)</f>
        <v>52.702185547178217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1.7025205076642513E-2</v>
      </c>
      <c r="M195" s="832"/>
      <c r="N195" s="832"/>
      <c r="O195" s="48">
        <f>IF(t&lt;Tnet,'2020'!Resal+('2020'!Salim-'2020'!Resal)*(1-EXP(('2020'!Tnet-t)/('2020'!Tau_j))),Resal+(Salim-Resal)*(1-EXP((Tnet-t)/(Tau_j))))*Salcycl</f>
        <v>6.6441198121244507E-2</v>
      </c>
      <c r="P195" s="169">
        <f>(INDEX(Models!$BJ195:$BT195,,T195)*(1-R195)+INDEX(Models!$BJ195:$BT195,,T195+1)*R195-ERP_i)*Q195*Ramure*Pc/MaxiM</f>
        <v>6.3437720523390744E-5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57.466767022013343</v>
      </c>
      <c r="W195" s="400"/>
      <c r="X195" s="157">
        <f t="shared" si="57"/>
        <v>44377</v>
      </c>
      <c r="Y195" s="383">
        <f t="shared" si="58"/>
        <v>47.222000000000001</v>
      </c>
      <c r="Z195" s="383">
        <f t="shared" si="59"/>
        <v>48.039888961427437</v>
      </c>
      <c r="AA195" s="384">
        <f t="shared" si="60"/>
        <v>51.458878503152434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6.6441198121244507E-2</v>
      </c>
      <c r="AD195" s="230">
        <f>(INDEX(Models!$BJ195:$BT195,,AH195)*(1-AF195)+INDEX(Models!$BJ195:$BT195,,AH195+1)*AF195-ERP_i)*AE195*Ramure*Pc/MaxiM</f>
        <v>6.3437720523390744E-5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51.201000000000001</v>
      </c>
      <c r="C196" s="388"/>
      <c r="D196" s="391">
        <f t="shared" si="48"/>
        <v>52.088803841895349</v>
      </c>
      <c r="E196" s="383">
        <f t="shared" si="72"/>
        <v>55.801917971419783</v>
      </c>
      <c r="F196" s="383">
        <f t="shared" si="49"/>
        <v>55.804975884863005</v>
      </c>
      <c r="G196" s="110">
        <f t="shared" si="73"/>
        <v>0.89206040414068688</v>
      </c>
      <c r="H196" s="412" t="b">
        <f>Wh_hp&gt;='2020'!Maxi_hp</f>
        <v>0</v>
      </c>
      <c r="I196" s="379">
        <f>IF(H196,Wh_hp,'2020'!Maxi_hp)</f>
        <v>60.959454139649438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1.7044043564334643E-2</v>
      </c>
      <c r="M196" s="832"/>
      <c r="N196" s="832"/>
      <c r="O196" s="48">
        <f>IF(t&lt;Tnet,'2020'!Resal+('2020'!Salim-'2020'!Resal)*(1-EXP(('2020'!Tnet-t)/('2020'!Tau_j))),Resal+(Salim-Resal)*(1-EXP((Tnet-t)/(Tau_j))))*Salcycl</f>
        <v>6.6540976807037189E-2</v>
      </c>
      <c r="P196" s="169">
        <f>(INDEX(Models!$BJ196:$BT196,,T196)*(1-R196)+INDEX(Models!$BJ196:$BT196,,T196+1)*R196-ERP_i)*Q196*Ramure*Pc/MaxiM</f>
        <v>6.4785490224528788E-5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57.395764103452905</v>
      </c>
      <c r="W196" s="400"/>
      <c r="X196" s="157">
        <f t="shared" si="57"/>
        <v>44378</v>
      </c>
      <c r="Y196" s="383">
        <f t="shared" si="58"/>
        <v>51.201000000000001</v>
      </c>
      <c r="Z196" s="383">
        <f t="shared" si="59"/>
        <v>52.088803841895349</v>
      </c>
      <c r="AA196" s="384">
        <f t="shared" si="60"/>
        <v>55.801917971419783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6.6540976807037189E-2</v>
      </c>
      <c r="AD196" s="230">
        <f>(INDEX(Models!$BJ196:$BT196,,AH196)*(1-AF196)+INDEX(Models!$BJ196:$BT196,,AH196+1)*AF196-ERP_i)*AE196*Ramure*Pc/MaxiM</f>
        <v>6.4785490224528788E-5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51.377000000000002</v>
      </c>
      <c r="C197" s="388"/>
      <c r="D197" s="391">
        <f t="shared" si="48"/>
        <v>52.268857328723321</v>
      </c>
      <c r="E197" s="383">
        <f t="shared" si="72"/>
        <v>56.000729307341892</v>
      </c>
      <c r="F197" s="383">
        <f t="shared" si="49"/>
        <v>56.003889223248791</v>
      </c>
      <c r="G197" s="110">
        <f t="shared" si="73"/>
        <v>0.8962565359901159</v>
      </c>
      <c r="H197" s="412" t="b">
        <f>Wh_hp&gt;='2020'!Maxi_hp</f>
        <v>1</v>
      </c>
      <c r="I197" s="379">
        <f>IF(H197,Wh_hp,'2020'!Maxi_hp)</f>
        <v>56.003889223248791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1.706288169099146E-2</v>
      </c>
      <c r="M197" s="832"/>
      <c r="N197" s="832"/>
      <c r="O197" s="48">
        <f>IF(t&lt;Tnet,'2020'!Resal+('2020'!Salim-'2020'!Resal)*(1-EXP(('2020'!Tnet-t)/('2020'!Tau_j))),Resal+(Salim-Resal)*(1-EXP((Tnet-t)/(Tau_j))))*Salcycl</f>
        <v>6.6639703174888959E-2</v>
      </c>
      <c r="P197" s="169">
        <f>(INDEX(Models!$BJ197:$BT197,,T197)*(1-R197)+INDEX(Models!$BJ197:$BT197,,T197+1)*R197-ERP_i)*Q197*Ramure*Pc/MaxiM</f>
        <v>6.6239312486443121E-5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57.323426478408024</v>
      </c>
      <c r="W197" s="400"/>
      <c r="X197" s="157">
        <f t="shared" si="57"/>
        <v>44379</v>
      </c>
      <c r="Y197" s="383">
        <f t="shared" si="58"/>
        <v>51.377000000000002</v>
      </c>
      <c r="Z197" s="383">
        <f t="shared" si="59"/>
        <v>52.268857328723321</v>
      </c>
      <c r="AA197" s="384">
        <f t="shared" si="60"/>
        <v>56.000729307341892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6.6639703174888959E-2</v>
      </c>
      <c r="AD197" s="230">
        <f>(INDEX(Models!$BJ197:$BT197,,AH197)*(1-AF197)+INDEX(Models!$BJ197:$BT197,,AH197+1)*AF197-ERP_i)*AE197*Ramure*Pc/MaxiM</f>
        <v>6.6239312486443121E-5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32.346000000000004</v>
      </c>
      <c r="C198" s="388"/>
      <c r="D198" s="391">
        <f t="shared" si="48"/>
        <v>32.908127400091061</v>
      </c>
      <c r="E198" s="383">
        <f t="shared" si="72"/>
        <v>35.261380103377427</v>
      </c>
      <c r="F198" s="383">
        <f t="shared" si="49"/>
        <v>35.262285340336526</v>
      </c>
      <c r="G198" s="110">
        <f t="shared" si="73"/>
        <v>0.56497426520531624</v>
      </c>
      <c r="H198" s="412" t="b">
        <f>Wh_hp&gt;='2020'!Maxi_hp</f>
        <v>0</v>
      </c>
      <c r="I198" s="379">
        <f>IF(H198,Wh_hp,'2020'!Maxi_hp)</f>
        <v>49.626071649823778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1.7081719456619848E-2</v>
      </c>
      <c r="M198" s="832"/>
      <c r="N198" s="832"/>
      <c r="O198" s="48">
        <f>IF(t&lt;Tnet,'2020'!Resal+('2020'!Salim-'2020'!Resal)*(1-EXP(('2020'!Tnet-t)/('2020'!Tau_j))),Resal+(Salim-Resal)*(1-EXP((Tnet-t)/(Tau_j))))*Salcycl</f>
        <v>6.6737396448670619E-2</v>
      </c>
      <c r="P198" s="169">
        <f>(INDEX(Models!$BJ198:$BT198,,T198)*(1-R198)+INDEX(Models!$BJ198:$BT198,,T198+1)*R198-ERP_i)*Q198*Ramure*Pc/MaxiM</f>
        <v>6.7812091958629737E-5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57.249752561325337</v>
      </c>
      <c r="W198" s="400"/>
      <c r="X198" s="157">
        <f t="shared" si="57"/>
        <v>44380</v>
      </c>
      <c r="Y198" s="383">
        <f t="shared" si="58"/>
        <v>32.346000000000004</v>
      </c>
      <c r="Z198" s="383">
        <f t="shared" si="59"/>
        <v>32.908127400091061</v>
      </c>
      <c r="AA198" s="384">
        <f t="shared" si="60"/>
        <v>35.261380103377427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6.6737396448670619E-2</v>
      </c>
      <c r="AD198" s="230">
        <f>(INDEX(Models!$BJ198:$BT198,,AH198)*(1-AF198)+INDEX(Models!$BJ198:$BT198,,AH198+1)*AF198-ERP_i)*AE198*Ramure*Pc/MaxiM</f>
        <v>6.7812091958629737E-5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35.228999999999999</v>
      </c>
      <c r="C199" s="388"/>
      <c r="D199" s="391">
        <f t="shared" si="48"/>
        <v>35.841916735144693</v>
      </c>
      <c r="E199" s="383">
        <f t="shared" si="72"/>
        <v>38.408943028917058</v>
      </c>
      <c r="F199" s="383">
        <f t="shared" si="49"/>
        <v>38.410148052379846</v>
      </c>
      <c r="G199" s="110">
        <f t="shared" si="73"/>
        <v>0.6161402007827288</v>
      </c>
      <c r="H199" s="412" t="b">
        <f>Wh_hp&gt;='2020'!Maxi_hp</f>
        <v>0</v>
      </c>
      <c r="I199" s="379">
        <f>IF(H199,Wh_hp,'2020'!Maxi_hp)</f>
        <v>58.082093863284776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1.710055686122669E-2</v>
      </c>
      <c r="M199" s="832"/>
      <c r="N199" s="832"/>
      <c r="O199" s="48">
        <f>IF(t&lt;Tnet,'2020'!Resal+('2020'!Salim-'2020'!Resal)*(1-EXP(('2020'!Tnet-t)/('2020'!Tau_j))),Resal+(Salim-Resal)*(1-EXP((Tnet-t)/(Tau_j))))*Salcycl</f>
        <v>6.6834077986465845E-2</v>
      </c>
      <c r="P199" s="169">
        <f>(INDEX(Models!$BJ199:$BT199,,T199)*(1-R199)+INDEX(Models!$BJ199:$BT199,,T199+1)*R199-ERP_i)*Q199*Ramure*Pc/MaxiM</f>
        <v>6.9460131011406858E-5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57.174743873229936</v>
      </c>
      <c r="W199" s="400"/>
      <c r="X199" s="157">
        <f t="shared" si="57"/>
        <v>44381</v>
      </c>
      <c r="Y199" s="383">
        <f t="shared" si="58"/>
        <v>35.228999999999999</v>
      </c>
      <c r="Z199" s="383">
        <f t="shared" si="59"/>
        <v>35.841916735144693</v>
      </c>
      <c r="AA199" s="384">
        <f t="shared" si="60"/>
        <v>38.408943028917058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6.6834077986465845E-2</v>
      </c>
      <c r="AD199" s="230">
        <f>(INDEX(Models!$BJ199:$BT199,,AH199)*(1-AF199)+INDEX(Models!$BJ199:$BT199,,AH199+1)*AF199-ERP_i)*AE199*Ramure*Pc/MaxiM</f>
        <v>6.9460131011406858E-5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55.673000000000002</v>
      </c>
      <c r="C200" s="388"/>
      <c r="D200" s="391">
        <f t="shared" si="48"/>
        <v>56.642688496194317</v>
      </c>
      <c r="E200" s="383">
        <f t="shared" si="72"/>
        <v>60.705707611529149</v>
      </c>
      <c r="F200" s="383">
        <f t="shared" si="49"/>
        <v>60.709875085963454</v>
      </c>
      <c r="G200" s="110">
        <f t="shared" si="73"/>
        <v>0.97503361544681966</v>
      </c>
      <c r="H200" s="412" t="b">
        <f>Wh_hp&gt;='2020'!Maxi_hp</f>
        <v>0</v>
      </c>
      <c r="I200" s="379">
        <f>IF(H200,Wh_hp,'2020'!Maxi_hp)</f>
        <v>61.390169549077257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1.7119393904819091E-2</v>
      </c>
      <c r="M200" s="832"/>
      <c r="N200" s="832"/>
      <c r="O200" s="48">
        <f>IF(t&lt;Tnet,'2020'!Resal+('2020'!Salim-'2020'!Resal)*(1-EXP(('2020'!Tnet-t)/('2020'!Tau_j))),Resal+(Salim-Resal)*(1-EXP((Tnet-t)/(Tau_j))))*Salcycl</f>
        <v>6.6929771107110667E-2</v>
      </c>
      <c r="P200" s="169">
        <f>(INDEX(Models!$BJ200:$BT200,,T200)*(1-R200)+INDEX(Models!$BJ200:$BT200,,T200+1)*R200-ERP_i)*Q200*Ramure*Pc/MaxiM</f>
        <v>7.1184371016105467E-5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57.098399250268727</v>
      </c>
      <c r="W200" s="400"/>
      <c r="X200" s="157">
        <f t="shared" si="57"/>
        <v>44382</v>
      </c>
      <c r="Y200" s="383">
        <f t="shared" si="58"/>
        <v>55.673000000000002</v>
      </c>
      <c r="Z200" s="383">
        <f t="shared" si="59"/>
        <v>56.642688496194317</v>
      </c>
      <c r="AA200" s="384">
        <f t="shared" si="60"/>
        <v>60.705707611529149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6.6929771107110667E-2</v>
      </c>
      <c r="AD200" s="230">
        <f>(INDEX(Models!$BJ200:$BT200,,AH200)*(1-AF200)+INDEX(Models!$BJ200:$BT200,,AH200+1)*AF200-ERP_i)*AE200*Ramure*Pc/MaxiM</f>
        <v>7.1184371016105467E-5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19.766000000000002</v>
      </c>
      <c r="C201" s="388"/>
      <c r="D201" s="391">
        <f t="shared" si="48"/>
        <v>20.110661148019911</v>
      </c>
      <c r="E201" s="383">
        <f t="shared" si="72"/>
        <v>21.555401152120449</v>
      </c>
      <c r="F201" s="383">
        <f t="shared" si="49"/>
        <v>21.555505988488768</v>
      </c>
      <c r="G201" s="110">
        <f t="shared" si="73"/>
        <v>0.34662232227767809</v>
      </c>
      <c r="H201" s="412" t="b">
        <f>Wh_hp&gt;='2020'!Maxi_hp</f>
        <v>0</v>
      </c>
      <c r="I201" s="379">
        <f>IF(H201,Wh_hp,'2020'!Maxi_hp)</f>
        <v>60.936475957669771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1.7138230587403824E-2</v>
      </c>
      <c r="M201" s="832"/>
      <c r="N201" s="832"/>
      <c r="O201" s="48">
        <f>IF(t&lt;Tnet,'2020'!Resal+('2020'!Salim-'2020'!Resal)*(1-EXP(('2020'!Tnet-t)/('2020'!Tau_j))),Resal+(Salim-Resal)*(1-EXP((Tnet-t)/(Tau_j))))*Salcycl</f>
        <v>6.7024500908368159E-2</v>
      </c>
      <c r="P201" s="169">
        <f>(INDEX(Models!$BJ201:$BT201,,T201)*(1-R201)+INDEX(Models!$BJ201:$BT201,,T201+1)*R201-ERP_i)*Q201*Ramure*Pc/MaxiM</f>
        <v>7.2985731961370834E-5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57.020717421219814</v>
      </c>
      <c r="W201" s="400"/>
      <c r="X201" s="157">
        <f t="shared" si="57"/>
        <v>44383</v>
      </c>
      <c r="Y201" s="383">
        <f t="shared" si="58"/>
        <v>19.766000000000002</v>
      </c>
      <c r="Z201" s="383">
        <f t="shared" si="59"/>
        <v>20.110661148019911</v>
      </c>
      <c r="AA201" s="384">
        <f t="shared" si="60"/>
        <v>21.555401152120449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6.7024500908368159E-2</v>
      </c>
      <c r="AD201" s="230">
        <f>(INDEX(Models!$BJ201:$BT201,,AH201)*(1-AF201)+INDEX(Models!$BJ201:$BT201,,AH201+1)*AF201-ERP_i)*AE201*Ramure*Pc/MaxiM</f>
        <v>7.2985731961370834E-5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41.624000000000002</v>
      </c>
      <c r="C202" s="388"/>
      <c r="D202" s="391">
        <f t="shared" si="48"/>
        <v>42.350612288673368</v>
      </c>
      <c r="E202" s="383">
        <f t="shared" si="72"/>
        <v>45.397623321193969</v>
      </c>
      <c r="F202" s="383">
        <f t="shared" si="49"/>
        <v>45.399716012310449</v>
      </c>
      <c r="G202" s="110">
        <f t="shared" si="73"/>
        <v>0.73097228551112314</v>
      </c>
      <c r="H202" s="412" t="b">
        <f>Wh_hp&gt;='2020'!Maxi_hp</f>
        <v>0</v>
      </c>
      <c r="I202" s="379">
        <f>IF(H202,Wh_hp,'2020'!Maxi_hp)</f>
        <v>52.209461295007706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1.7157066908987773E-2</v>
      </c>
      <c r="M202" s="832"/>
      <c r="N202" s="832"/>
      <c r="O202" s="48">
        <f>IF(t&lt;Tnet,'2020'!Resal+('2020'!Salim-'2020'!Resal)*(1-EXP(('2020'!Tnet-t)/('2020'!Tau_j))),Resal+(Salim-Resal)*(1-EXP((Tnet-t)/(Tau_j))))*Salcycl</f>
        <v>6.7118294078141696E-2</v>
      </c>
      <c r="P202" s="169">
        <f>(INDEX(Models!$BJ202:$BT202,,T202)*(1-R202)+INDEX(Models!$BJ202:$BT202,,T202+1)*R202-ERP_i)*Q202*Ramure*Pc/MaxiM</f>
        <v>7.4865115353589767E-5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56.941697017076066</v>
      </c>
      <c r="W202" s="400"/>
      <c r="X202" s="157">
        <f t="shared" si="57"/>
        <v>44384</v>
      </c>
      <c r="Y202" s="383">
        <f t="shared" si="58"/>
        <v>41.624000000000002</v>
      </c>
      <c r="Z202" s="383">
        <f t="shared" si="59"/>
        <v>42.350612288673368</v>
      </c>
      <c r="AA202" s="384">
        <f t="shared" si="60"/>
        <v>45.397623321193969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6.7118294078141696E-2</v>
      </c>
      <c r="AD202" s="230">
        <f>(INDEX(Models!$BJ202:$BT202,,AH202)*(1-AF202)+INDEX(Models!$BJ202:$BT202,,AH202+1)*AF202-ERP_i)*AE202*Ramure*Pc/MaxiM</f>
        <v>7.4865115353589767E-5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47.053000000000004</v>
      </c>
      <c r="C203" s="388"/>
      <c r="D203" s="391">
        <f t="shared" si="48"/>
        <v>47.87530152891236</v>
      </c>
      <c r="E203" s="383">
        <f t="shared" si="72"/>
        <v>51.324909170972838</v>
      </c>
      <c r="F203" s="383">
        <f t="shared" si="49"/>
        <v>51.327880664946719</v>
      </c>
      <c r="G203" s="110">
        <f t="shared" si="73"/>
        <v>0.82748862429028291</v>
      </c>
      <c r="H203" s="412" t="b">
        <f>Wh_hp&gt;='2020'!Maxi_hp</f>
        <v>0</v>
      </c>
      <c r="I203" s="379">
        <f>IF(H203,Wh_hp,'2020'!Maxi_hp)</f>
        <v>63.179240618782657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1.717590286957793E-2</v>
      </c>
      <c r="M203" s="832"/>
      <c r="N203" s="832"/>
      <c r="O203" s="48">
        <f>IF(t&lt;Tnet,'2020'!Resal+('2020'!Salim-'2020'!Resal)*(1-EXP(('2020'!Tnet-t)/('2020'!Tau_j))),Resal+(Salim-Resal)*(1-EXP((Tnet-t)/(Tau_j))))*Salcycl</f>
        <v>6.7211178700174415E-2</v>
      </c>
      <c r="P203" s="169">
        <f>(INDEX(Models!$BJ203:$BT203,,T203)*(1-R203)+INDEX(Models!$BJ203:$BT203,,T203+1)*R203-ERP_i)*Q203*Ramure*Pc/MaxiM</f>
        <v>7.682340722221063E-5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56.861336586826631</v>
      </c>
      <c r="W203" s="400"/>
      <c r="X203" s="157">
        <f t="shared" si="57"/>
        <v>44385</v>
      </c>
      <c r="Y203" s="383">
        <f t="shared" si="58"/>
        <v>47.053000000000004</v>
      </c>
      <c r="Z203" s="383">
        <f t="shared" si="59"/>
        <v>47.87530152891236</v>
      </c>
      <c r="AA203" s="384">
        <f t="shared" si="60"/>
        <v>51.324909170972838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6.7211178700174415E-2</v>
      </c>
      <c r="AD203" s="230">
        <f>(INDEX(Models!$BJ203:$BT203,,AH203)*(1-AF203)+INDEX(Models!$BJ203:$BT203,,AH203+1)*AF203-ERP_i)*AE203*Ramure*Pc/MaxiM</f>
        <v>7.682340722221063E-5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55.791000000000004</v>
      </c>
      <c r="C204" s="388"/>
      <c r="D204" s="391">
        <f t="shared" si="48"/>
        <v>56.767095358341763</v>
      </c>
      <c r="E204" s="383">
        <f t="shared" si="72"/>
        <v>60.863395680052122</v>
      </c>
      <c r="F204" s="383">
        <f t="shared" si="49"/>
        <v>60.868076427993657</v>
      </c>
      <c r="G204" s="110">
        <f t="shared" si="73"/>
        <v>0.98258629062292124</v>
      </c>
      <c r="H204" s="412" t="b">
        <f>Wh_hp&gt;='2020'!Maxi_hp</f>
        <v>0</v>
      </c>
      <c r="I204" s="379">
        <f>IF(H204,Wh_hp,'2020'!Maxi_hp)</f>
        <v>61.146444361076334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1.7194738469181292E-2</v>
      </c>
      <c r="M204" s="832"/>
      <c r="N204" s="832"/>
      <c r="O204" s="48">
        <f>IF(t&lt;Tnet,'2020'!Resal+('2020'!Salim-'2020'!Resal)*(1-EXP(('2020'!Tnet-t)/('2020'!Tau_j))),Resal+(Salim-Resal)*(1-EXP((Tnet-t)/(Tau_j))))*Salcycl</f>
        <v>6.7303184055715004E-2</v>
      </c>
      <c r="P204" s="169">
        <f>(INDEX(Models!$BJ204:$BT204,,T204)*(1-R204)+INDEX(Models!$BJ204:$BT204,,T204+1)*R204-ERP_i)*Q204*Ramure*Pc/MaxiM</f>
        <v>7.886148119777095E-5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56.779634607639544</v>
      </c>
      <c r="W204" s="400"/>
      <c r="X204" s="157">
        <f t="shared" si="57"/>
        <v>44386</v>
      </c>
      <c r="Y204" s="383">
        <f t="shared" si="58"/>
        <v>55.791000000000004</v>
      </c>
      <c r="Z204" s="383">
        <f t="shared" si="59"/>
        <v>56.767095358341763</v>
      </c>
      <c r="AA204" s="384">
        <f t="shared" si="60"/>
        <v>60.863395680052122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6.7303184055715004E-2</v>
      </c>
      <c r="AD204" s="230">
        <f>(INDEX(Models!$BJ204:$BT204,,AH204)*(1-AF204)+INDEX(Models!$BJ204:$BT204,,AH204+1)*AF204-ERP_i)*AE204*Ramure*Pc/MaxiM</f>
        <v>7.886148119777095E-5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49.573</v>
      </c>
      <c r="C205" s="388"/>
      <c r="D205" s="391">
        <f t="shared" si="48"/>
        <v>50.441274598211933</v>
      </c>
      <c r="E205" s="383">
        <f t="shared" si="72"/>
        <v>54.086391263239179</v>
      </c>
      <c r="F205" s="383">
        <f t="shared" si="49"/>
        <v>54.089985199518779</v>
      </c>
      <c r="G205" s="110">
        <f t="shared" si="73"/>
        <v>0.87433650985433009</v>
      </c>
      <c r="H205" s="412" t="b">
        <f>Wh_hp&gt;='2020'!Maxi_hp</f>
        <v>0</v>
      </c>
      <c r="I205" s="379">
        <f>IF(H205,Wh_hp,'2020'!Maxi_hp)</f>
        <v>60.131672275516188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1.721357370780463E-2</v>
      </c>
      <c r="M205" s="832"/>
      <c r="N205" s="832"/>
      <c r="O205" s="48">
        <f>IF(t&lt;Tnet,'2020'!Resal+('2020'!Salim-'2020'!Resal)*(1-EXP(('2020'!Tnet-t)/('2020'!Tau_j))),Resal+(Salim-Resal)*(1-EXP((Tnet-t)/(Tau_j))))*Salcycl</f>
        <v>6.7394340422647483E-2</v>
      </c>
      <c r="P205" s="169">
        <f>(INDEX(Models!$BJ205:$BT205,,T205)*(1-R205)+INDEX(Models!$BJ205:$BT205,,T205+1)*R205-ERP_i)*Q205*Ramure*Pc/MaxiM</f>
        <v>8.0979578975839736E-5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56.69702546332541</v>
      </c>
      <c r="W205" s="400"/>
      <c r="X205" s="157">
        <f t="shared" si="57"/>
        <v>44387</v>
      </c>
      <c r="Y205" s="383">
        <f t="shared" si="58"/>
        <v>49.573</v>
      </c>
      <c r="Z205" s="383">
        <f t="shared" si="59"/>
        <v>50.441274598211933</v>
      </c>
      <c r="AA205" s="384">
        <f t="shared" si="60"/>
        <v>54.086391263239179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6.7394340422647483E-2</v>
      </c>
      <c r="AD205" s="230">
        <f>(INDEX(Models!$BJ205:$BT205,,AH205)*(1-AF205)+INDEX(Models!$BJ205:$BT205,,AH205+1)*AF205-ERP_i)*AE205*Ramure*Pc/MaxiM</f>
        <v>8.0979578975839736E-5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49.667999999999999</v>
      </c>
      <c r="C206" s="388"/>
      <c r="D206" s="391">
        <f t="shared" si="48"/>
        <v>50.538907096550091</v>
      </c>
      <c r="E206" s="383">
        <f t="shared" si="72"/>
        <v>54.196328952003306</v>
      </c>
      <c r="F206" s="383">
        <f t="shared" si="49"/>
        <v>54.200049621811637</v>
      </c>
      <c r="G206" s="110">
        <f t="shared" si="73"/>
        <v>0.87729970752885345</v>
      </c>
      <c r="H206" s="412" t="b">
        <f>Wh_hp&gt;='2020'!Maxi_hp</f>
        <v>0</v>
      </c>
      <c r="I206" s="379">
        <f>IF(H206,Wh_hp,'2020'!Maxi_hp)</f>
        <v>60.983970970198122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1.7232408585454828E-2</v>
      </c>
      <c r="M206" s="832"/>
      <c r="N206" s="832"/>
      <c r="O206" s="48">
        <f>IF(t&lt;Tnet,'2020'!Resal+('2020'!Salim-'2020'!Resal)*(1-EXP(('2020'!Tnet-t)/('2020'!Tau_j))),Resal+(Salim-Resal)*(1-EXP((Tnet-t)/(Tau_j))))*Salcycl</f>
        <v>6.7484678873586793E-2</v>
      </c>
      <c r="P206" s="169">
        <f>(INDEX(Models!$BJ206:$BT206,,T206)*(1-R206)+INDEX(Models!$BJ206:$BT206,,T206+1)*R206-ERP_i)*Q206*Ramure*Pc/MaxiM</f>
        <v>8.3235486015364657E-5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56.613805911686924</v>
      </c>
      <c r="W206" s="400"/>
      <c r="X206" s="157">
        <f t="shared" si="57"/>
        <v>44388</v>
      </c>
      <c r="Y206" s="383">
        <f t="shared" si="58"/>
        <v>49.667999999999999</v>
      </c>
      <c r="Z206" s="383">
        <f t="shared" si="59"/>
        <v>50.538907096550091</v>
      </c>
      <c r="AA206" s="384">
        <f t="shared" si="60"/>
        <v>54.196328952003306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6.7484678873586793E-2</v>
      </c>
      <c r="AD206" s="230">
        <f>(INDEX(Models!$BJ206:$BT206,,AH206)*(1-AF206)+INDEX(Models!$BJ206:$BT206,,AH206+1)*AF206-ERP_i)*AE206*Ramure*Pc/MaxiM</f>
        <v>8.3235486015364657E-5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12.731</v>
      </c>
      <c r="C207" s="388"/>
      <c r="D207" s="391">
        <f t="shared" ref="D207:D270" si="74">Wh/(1-Ppv)</f>
        <v>12.954480899255065</v>
      </c>
      <c r="E207" s="383">
        <f t="shared" si="72"/>
        <v>13.893310685935344</v>
      </c>
      <c r="F207" s="383">
        <f t="shared" ref="F207:F270" si="75">Wh_sa/(1-Pvg*MEDIAN((-Sdif+Wh/Env_an)/Csdif,0,1))</f>
        <v>13.893310685935344</v>
      </c>
      <c r="G207" s="110">
        <f t="shared" si="73"/>
        <v>0.22518947433040065</v>
      </c>
      <c r="H207" s="412" t="b">
        <f>Wh_hp&gt;='2020'!Maxi_hp</f>
        <v>0</v>
      </c>
      <c r="I207" s="379">
        <f>IF(H207,Wh_hp,'2020'!Maxi_hp)</f>
        <v>61.397076269848142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1.7251243102138991E-2</v>
      </c>
      <c r="M207" s="832"/>
      <c r="N207" s="832"/>
      <c r="O207" s="48">
        <f>IF(t&lt;Tnet,'2020'!Resal+('2020'!Salim-'2020'!Resal)*(1-EXP(('2020'!Tnet-t)/('2020'!Tau_j))),Resal+(Salim-Resal)*(1-EXP((Tnet-t)/(Tau_j))))*Salcycl</f>
        <v>6.7574231074432625E-2</v>
      </c>
      <c r="P207" s="169">
        <f>(INDEX(Models!$BJ207:$BT207,,T207)*(1-R207)+INDEX(Models!$BJ207:$BT207,,T207+1)*R207-ERP_i)*Q207*Ramure*Pc/MaxiM</f>
        <v>8.5567403731216606E-5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56.52977644374986</v>
      </c>
      <c r="W207" s="400"/>
      <c r="X207" s="157">
        <f t="shared" ref="X207:X270" si="83">t</f>
        <v>44389</v>
      </c>
      <c r="Y207" s="383">
        <f t="shared" ref="Y207:Y270" si="84">Wh_pvt_s*(1-Ppv)</f>
        <v>12.731</v>
      </c>
      <c r="Z207" s="383">
        <f t="shared" ref="Z207:Z270" si="85">Wh_sa_s*(1-Psa_s)</f>
        <v>12.954480899255065</v>
      </c>
      <c r="AA207" s="384">
        <f t="shared" ref="AA207:AA270" si="86">Wh_hp*(1-Pvg_s*MEDIAN((-Sdif+Wh/Env_an)/Csdif,0,1))</f>
        <v>13.893310685935344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6.7574231074432625E-2</v>
      </c>
      <c r="AD207" s="230">
        <f>(INDEX(Models!$BJ207:$BT207,,AH207)*(1-AF207)+INDEX(Models!$BJ207:$BT207,,AH207+1)*AF207-ERP_i)*AE207*Ramure*Pc/MaxiM</f>
        <v>8.5567403731216606E-5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23.241</v>
      </c>
      <c r="C208" s="388"/>
      <c r="D208" s="391">
        <f t="shared" si="74"/>
        <v>23.649427438975351</v>
      </c>
      <c r="E208" s="383">
        <f t="shared" si="72"/>
        <v>25.365750985678385</v>
      </c>
      <c r="F208" s="383">
        <f t="shared" si="75"/>
        <v>25.366107240236964</v>
      </c>
      <c r="G208" s="110">
        <f t="shared" si="73"/>
        <v>0.41171744561633333</v>
      </c>
      <c r="H208" s="412" t="b">
        <f>Wh_hp&gt;='2020'!Maxi_hp</f>
        <v>0</v>
      </c>
      <c r="I208" s="379">
        <f>IF(H208,Wh_hp,'2020'!Maxi_hp)</f>
        <v>53.678698874330564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1.7270077257863892E-2</v>
      </c>
      <c r="M208" s="832"/>
      <c r="N208" s="832"/>
      <c r="O208" s="48">
        <f>IF(t&lt;Tnet,'2020'!Resal+('2020'!Salim-'2020'!Resal)*(1-EXP(('2020'!Tnet-t)/('2020'!Tau_j))),Resal+(Salim-Resal)*(1-EXP((Tnet-t)/(Tau_j))))*Salcycl</f>
        <v>6.7663029084850557E-2</v>
      </c>
      <c r="P208" s="169">
        <f>(INDEX(Models!$BJ208:$BT208,,T208)*(1-R208)+INDEX(Models!$BJ208:$BT208,,T208+1)*R208-ERP_i)*Q208*Ramure*Pc/MaxiM</f>
        <v>8.7976225459093234E-5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56.444734067779819</v>
      </c>
      <c r="W208" s="400"/>
      <c r="X208" s="157">
        <f t="shared" si="83"/>
        <v>44390</v>
      </c>
      <c r="Y208" s="383">
        <f t="shared" si="84"/>
        <v>23.241</v>
      </c>
      <c r="Z208" s="383">
        <f t="shared" si="85"/>
        <v>23.649427438975351</v>
      </c>
      <c r="AA208" s="384">
        <f t="shared" si="86"/>
        <v>25.365750985678385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6.7663029084850557E-2</v>
      </c>
      <c r="AD208" s="230">
        <f>(INDEX(Models!$BJ208:$BT208,,AH208)*(1-AF208)+INDEX(Models!$BJ208:$BT208,,AH208+1)*AF208-ERP_i)*AE208*Ramure*Pc/MaxiM</f>
        <v>8.7976225459093234E-5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26.437999999999999</v>
      </c>
      <c r="C209" s="388"/>
      <c r="D209" s="391">
        <f t="shared" si="74"/>
        <v>26.903125748096738</v>
      </c>
      <c r="E209" s="383">
        <f t="shared" si="72"/>
        <v>28.858308008801682</v>
      </c>
      <c r="F209" s="383">
        <f t="shared" si="75"/>
        <v>28.858938686192712</v>
      </c>
      <c r="G209" s="110">
        <f t="shared" si="73"/>
        <v>0.46907205457667911</v>
      </c>
      <c r="H209" s="412" t="b">
        <f>Wh_hp&gt;='2020'!Maxi_hp</f>
        <v>0</v>
      </c>
      <c r="I209" s="379">
        <f>IF(H209,Wh_hp,'2020'!Maxi_hp)</f>
        <v>61.162094530225126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1.7288911052636524E-2</v>
      </c>
      <c r="M209" s="832"/>
      <c r="N209" s="832"/>
      <c r="O209" s="48">
        <f>IF(t&lt;Tnet,'2020'!Resal+('2020'!Salim-'2020'!Resal)*(1-EXP(('2020'!Tnet-t)/('2020'!Tau_j))),Resal+(Salim-Resal)*(1-EXP((Tnet-t)/(Tau_j))))*Salcycl</f>
        <v>6.7751105162112135E-2</v>
      </c>
      <c r="P209" s="169">
        <f>(INDEX(Models!$BJ209:$BT209,,T209)*(1-R209)+INDEX(Models!$BJ209:$BT209,,T209+1)*R209-ERP_i)*Q209*Ramure*Pc/MaxiM</f>
        <v>9.0462888290166415E-5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56.358475878645265</v>
      </c>
      <c r="W209" s="400"/>
      <c r="X209" s="157">
        <f t="shared" si="83"/>
        <v>44391</v>
      </c>
      <c r="Y209" s="383">
        <f t="shared" si="84"/>
        <v>26.437999999999999</v>
      </c>
      <c r="Z209" s="383">
        <f t="shared" si="85"/>
        <v>26.903125748096738</v>
      </c>
      <c r="AA209" s="384">
        <f t="shared" si="86"/>
        <v>28.858308008801682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6.7751105162112135E-2</v>
      </c>
      <c r="AD209" s="230">
        <f>(INDEX(Models!$BJ209:$BT209,,AH209)*(1-AF209)+INDEX(Models!$BJ209:$BT209,,AH209+1)*AF209-ERP_i)*AE209*Ramure*Pc/MaxiM</f>
        <v>9.0462888290166415E-5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35.44</v>
      </c>
      <c r="C210" s="388"/>
      <c r="D210" s="391">
        <f t="shared" si="74"/>
        <v>36.064189781855696</v>
      </c>
      <c r="E210" s="383">
        <f t="shared" si="72"/>
        <v>38.688778130931986</v>
      </c>
      <c r="F210" s="383">
        <f t="shared" si="75"/>
        <v>38.690473980562409</v>
      </c>
      <c r="G210" s="110">
        <f t="shared" si="73"/>
        <v>0.62978057824717004</v>
      </c>
      <c r="H210" s="412" t="b">
        <f>Wh_hp&gt;='2020'!Maxi_hp</f>
        <v>0</v>
      </c>
      <c r="I210" s="379">
        <f>IF(H210,Wh_hp,'2020'!Maxi_hp)</f>
        <v>62.506291921724774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1.7307744486463772E-2</v>
      </c>
      <c r="M210" s="832"/>
      <c r="N210" s="832"/>
      <c r="O210" s="48">
        <f>IF(t&lt;Tnet,'2020'!Resal+('2020'!Salim-'2020'!Resal)*(1-EXP(('2020'!Tnet-t)/('2020'!Tau_j))),Resal+(Salim-Resal)*(1-EXP((Tnet-t)/(Tau_j))))*Salcycl</f>
        <v>6.7838491569675891E-2</v>
      </c>
      <c r="P210" s="169">
        <f>(INDEX(Models!$BJ210:$BT210,,T210)*(1-R210)+INDEX(Models!$BJ210:$BT210,,T210+1)*R210-ERP_i)*Q210*Ramure*Pc/MaxiM</f>
        <v>9.3028378512933769E-5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56.270799067751014</v>
      </c>
      <c r="W210" s="400"/>
      <c r="X210" s="157">
        <f t="shared" si="83"/>
        <v>44392</v>
      </c>
      <c r="Y210" s="383">
        <f t="shared" si="84"/>
        <v>35.44</v>
      </c>
      <c r="Z210" s="383">
        <f t="shared" si="85"/>
        <v>36.064189781855696</v>
      </c>
      <c r="AA210" s="384">
        <f t="shared" si="86"/>
        <v>38.688778130931986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6.7838491569675891E-2</v>
      </c>
      <c r="AD210" s="230">
        <f>(INDEX(Models!$BJ210:$BT210,,AH210)*(1-AF210)+INDEX(Models!$BJ210:$BT210,,AH210+1)*AF210-ERP_i)*AE210*Ramure*Pc/MaxiM</f>
        <v>9.3028378512933769E-5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39.399000000000001</v>
      </c>
      <c r="C211" s="388"/>
      <c r="D211" s="391">
        <f t="shared" si="74"/>
        <v>40.093686366468987</v>
      </c>
      <c r="E211" s="383">
        <f t="shared" si="72"/>
        <v>43.015525410229102</v>
      </c>
      <c r="F211" s="383">
        <f t="shared" si="75"/>
        <v>43.017884758086957</v>
      </c>
      <c r="G211" s="110">
        <f t="shared" si="73"/>
        <v>0.70125202558356059</v>
      </c>
      <c r="H211" s="412" t="b">
        <f>Wh_hp&gt;='2020'!Maxi_hp</f>
        <v>0</v>
      </c>
      <c r="I211" s="379">
        <f>IF(H211,Wh_hp,'2020'!Maxi_hp)</f>
        <v>60.8270261955942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1.7326577559352629E-2</v>
      </c>
      <c r="M211" s="832"/>
      <c r="N211" s="832"/>
      <c r="O211" s="48">
        <f>IF(t&lt;Tnet,'2020'!Resal+('2020'!Salim-'2020'!Resal)*(1-EXP(('2020'!Tnet-t)/('2020'!Tau_j))),Resal+(Salim-Resal)*(1-EXP((Tnet-t)/(Tau_j))))*Salcycl</f>
        <v>6.7925220391828578E-2</v>
      </c>
      <c r="P211" s="169">
        <f>(INDEX(Models!$BJ211:$BT211,,T211)*(1-R211)+INDEX(Models!$BJ211:$BT211,,T211+1)*R211-ERP_i)*Q211*Ramure*Pc/MaxiM</f>
        <v>9.5673736905111615E-5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56.181500933076968</v>
      </c>
      <c r="W211" s="400"/>
      <c r="X211" s="157">
        <f t="shared" si="83"/>
        <v>44393</v>
      </c>
      <c r="Y211" s="383">
        <f t="shared" si="84"/>
        <v>39.399000000000001</v>
      </c>
      <c r="Z211" s="383">
        <f t="shared" si="85"/>
        <v>40.093686366468987</v>
      </c>
      <c r="AA211" s="384">
        <f t="shared" si="86"/>
        <v>43.015525410229102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6.7925220391828578E-2</v>
      </c>
      <c r="AD211" s="230">
        <f>(INDEX(Models!$BJ211:$BT211,,AH211)*(1-AF211)+INDEX(Models!$BJ211:$BT211,,AH211+1)*AF211-ERP_i)*AE211*Ramure*Pc/MaxiM</f>
        <v>9.5673736905111615E-5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56.103999999999999</v>
      </c>
      <c r="C212" s="388"/>
      <c r="D212" s="391">
        <f t="shared" si="74"/>
        <v>57.094324482308942</v>
      </c>
      <c r="E212" s="383">
        <f t="shared" si="72"/>
        <v>61.260749098237333</v>
      </c>
      <c r="F212" s="383">
        <f t="shared" si="75"/>
        <v>61.26677577265081</v>
      </c>
      <c r="G212" s="110">
        <f t="shared" si="73"/>
        <v>1.000242809849021</v>
      </c>
      <c r="H212" s="412" t="b">
        <f>Wh_hp&gt;='2020'!Maxi_hp</f>
        <v>1</v>
      </c>
      <c r="I212" s="379">
        <f>IF(H212,Wh_hp,'2020'!Maxi_hp)</f>
        <v>61.26677577265081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1.7345410271309869E-2</v>
      </c>
      <c r="M212" s="832"/>
      <c r="N212" s="832"/>
      <c r="O212" s="48">
        <f>IF(t&lt;Tnet,'2020'!Resal+('2020'!Salim-'2020'!Resal)*(1-EXP(('2020'!Tnet-t)/('2020'!Tau_j))),Resal+(Salim-Resal)*(1-EXP((Tnet-t)/(Tau_j))))*Salcycl</f>
        <v>6.8011323355630829E-2</v>
      </c>
      <c r="P212" s="169">
        <f>(INDEX(Models!$BJ212:$BT212,,T212)*(1-R212)+INDEX(Models!$BJ212:$BT212,,T212+1)*R212-ERP_i)*Q212*Ramure*Pc/MaxiM</f>
        <v>9.8367742344393152E-5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56.090380703129952</v>
      </c>
      <c r="W212" s="400"/>
      <c r="X212" s="157">
        <f t="shared" si="83"/>
        <v>44394</v>
      </c>
      <c r="Y212" s="383">
        <f t="shared" si="84"/>
        <v>56.103999999999999</v>
      </c>
      <c r="Z212" s="383">
        <f t="shared" si="85"/>
        <v>57.094324482308942</v>
      </c>
      <c r="AA212" s="384">
        <f t="shared" si="86"/>
        <v>61.260749098237333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6.8011323355630829E-2</v>
      </c>
      <c r="AD212" s="230">
        <f>(INDEX(Models!$BJ212:$BT212,,AH212)*(1-AF212)+INDEX(Models!$BJ212:$BT212,,AH212+1)*AF212-ERP_i)*AE212*Ramure*Pc/MaxiM</f>
        <v>9.8367742344393152E-5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50.545000000000002</v>
      </c>
      <c r="C213" s="388"/>
      <c r="D213" s="391">
        <f t="shared" si="74"/>
        <v>51.438185126591101</v>
      </c>
      <c r="E213" s="383">
        <f t="shared" si="72"/>
        <v>55.196920532302933</v>
      </c>
      <c r="F213" s="383">
        <f t="shared" si="75"/>
        <v>55.201725113884144</v>
      </c>
      <c r="G213" s="110">
        <f t="shared" si="73"/>
        <v>0.90262113317678061</v>
      </c>
      <c r="H213" s="412" t="b">
        <f>Wh_hp&gt;='2020'!Maxi_hp</f>
        <v>1</v>
      </c>
      <c r="I213" s="379">
        <f>IF(H213,Wh_hp,'2020'!Maxi_hp)</f>
        <v>55.201725113884144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1.7364242622342485E-2</v>
      </c>
      <c r="M213" s="832"/>
      <c r="N213" s="832"/>
      <c r="O213" s="48">
        <f>IF(t&lt;Tnet,'2020'!Resal+('2020'!Salim-'2020'!Resal)*(1-EXP(('2020'!Tnet-t)/('2020'!Tau_j))),Resal+(Salim-Resal)*(1-EXP((Tnet-t)/(Tau_j))))*Salcycl</f>
        <v>6.8096831661326157E-2</v>
      </c>
      <c r="P213" s="169">
        <f>(INDEX(Models!$BJ213:$BT213,,T213)*(1-R213)+INDEX(Models!$BJ213:$BT213,,T213+1)*R213-ERP_i)*Q213*Ramure*Pc/MaxiM</f>
        <v>1.0109913873229379E-4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55.997236602908963</v>
      </c>
      <c r="W213" s="400"/>
      <c r="X213" s="157">
        <f t="shared" si="83"/>
        <v>44395</v>
      </c>
      <c r="Y213" s="383">
        <f t="shared" si="84"/>
        <v>50.545000000000002</v>
      </c>
      <c r="Z213" s="383">
        <f t="shared" si="85"/>
        <v>51.438185126591101</v>
      </c>
      <c r="AA213" s="384">
        <f t="shared" si="86"/>
        <v>55.196920532302933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6.8096831661326157E-2</v>
      </c>
      <c r="AD213" s="230">
        <f>(INDEX(Models!$BJ213:$BT213,,AH213)*(1-AF213)+INDEX(Models!$BJ213:$BT213,,AH213+1)*AF213-ERP_i)*AE213*Ramure*Pc/MaxiM</f>
        <v>1.0109913873229379E-4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54.491</v>
      </c>
      <c r="C214" s="388"/>
      <c r="D214" s="391">
        <f t="shared" si="74"/>
        <v>55.454978020563644</v>
      </c>
      <c r="E214" s="383">
        <f t="shared" si="72"/>
        <v>59.512656633754332</v>
      </c>
      <c r="F214" s="383">
        <f t="shared" si="75"/>
        <v>59.518615858651927</v>
      </c>
      <c r="G214" s="110">
        <f t="shared" si="73"/>
        <v>0.97475808051914004</v>
      </c>
      <c r="H214" s="412" t="b">
        <f>Wh_hp&gt;='2020'!Maxi_hp</f>
        <v>0</v>
      </c>
      <c r="I214" s="379">
        <f>IF(H214,Wh_hp,'2020'!Maxi_hp)</f>
        <v>60.996282625351171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1.7383074612457361E-2</v>
      </c>
      <c r="M214" s="832"/>
      <c r="N214" s="832"/>
      <c r="O214" s="48">
        <f>IF(t&lt;Tnet,'2020'!Resal+('2020'!Salim-'2020'!Resal)*(1-EXP(('2020'!Tnet-t)/('2020'!Tau_j))),Resal+(Salim-Resal)*(1-EXP((Tnet-t)/(Tau_j))))*Salcycl</f>
        <v>6.8181775822275317E-2</v>
      </c>
      <c r="P214" s="169">
        <f>(INDEX(Models!$BJ214:$BT214,,T214)*(1-R214)+INDEX(Models!$BJ214:$BT214,,T214+1)*R214-ERP_i)*Q214*Ramure*Pc/MaxiM</f>
        <v>1.0386866481754703E-4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55.901866322004452</v>
      </c>
      <c r="W214" s="400"/>
      <c r="X214" s="157">
        <f t="shared" si="83"/>
        <v>44396</v>
      </c>
      <c r="Y214" s="383">
        <f t="shared" si="84"/>
        <v>54.491</v>
      </c>
      <c r="Z214" s="383">
        <f t="shared" si="85"/>
        <v>55.454978020563644</v>
      </c>
      <c r="AA214" s="384">
        <f t="shared" si="86"/>
        <v>59.512656633754332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6.8181775822275317E-2</v>
      </c>
      <c r="AD214" s="230">
        <f>(INDEX(Models!$BJ214:$BT214,,AH214)*(1-AF214)+INDEX(Models!$BJ214:$BT214,,AH214+1)*AF214-ERP_i)*AE214*Ramure*Pc/MaxiM</f>
        <v>1.0386866481754703E-4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44.927</v>
      </c>
      <c r="C215" s="388"/>
      <c r="D215" s="391">
        <f t="shared" si="74"/>
        <v>45.722661467985105</v>
      </c>
      <c r="E215" s="383">
        <f t="shared" si="72"/>
        <v>49.072665129445632</v>
      </c>
      <c r="F215" s="383">
        <f t="shared" si="75"/>
        <v>49.076442682927926</v>
      </c>
      <c r="G215" s="110">
        <f t="shared" si="73"/>
        <v>0.80506076405964844</v>
      </c>
      <c r="H215" s="412" t="b">
        <f>Wh_hp&gt;='2020'!Maxi_hp</f>
        <v>0</v>
      </c>
      <c r="I215" s="379">
        <f>IF(H215,Wh_hp,'2020'!Maxi_hp)</f>
        <v>59.776097909915435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1.7401906241661491E-2</v>
      </c>
      <c r="M215" s="832"/>
      <c r="N215" s="832"/>
      <c r="O215" s="48">
        <f>IF(t&lt;Tnet,'2020'!Resal+('2020'!Salim-'2020'!Resal)*(1-EXP(('2020'!Tnet-t)/('2020'!Tau_j))),Resal+(Salim-Resal)*(1-EXP((Tnet-t)/(Tau_j))))*Salcycl</f>
        <v>6.826618551537332E-2</v>
      </c>
      <c r="P215" s="169">
        <f>(INDEX(Models!$BJ215:$BT215,,T215)*(1-R215)+INDEX(Models!$BJ215:$BT215,,T215+1)*R215-ERP_i)*Q215*Ramure*Pc/MaxiM</f>
        <v>1.0667714651018567E-4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55.804067690036142</v>
      </c>
      <c r="W215" s="400"/>
      <c r="X215" s="157">
        <f t="shared" si="83"/>
        <v>44397</v>
      </c>
      <c r="Y215" s="383">
        <f t="shared" si="84"/>
        <v>44.927</v>
      </c>
      <c r="Z215" s="383">
        <f t="shared" si="85"/>
        <v>45.722661467985105</v>
      </c>
      <c r="AA215" s="384">
        <f t="shared" si="86"/>
        <v>49.072665129445632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6.826618551537332E-2</v>
      </c>
      <c r="AD215" s="230">
        <f>(INDEX(Models!$BJ215:$BT215,,AH215)*(1-AF215)+INDEX(Models!$BJ215:$BT215,,AH215+1)*AF215-ERP_i)*AE215*Ramure*Pc/MaxiM</f>
        <v>1.0667714651018567E-4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42.350999999999999</v>
      </c>
      <c r="C216" s="388"/>
      <c r="D216" s="391">
        <f t="shared" si="74"/>
        <v>43.101866298984064</v>
      </c>
      <c r="E216" s="383">
        <f t="shared" si="72"/>
        <v>46.264015925472883</v>
      </c>
      <c r="F216" s="383">
        <f t="shared" si="75"/>
        <v>46.267348076713503</v>
      </c>
      <c r="G216" s="110">
        <f t="shared" si="73"/>
        <v>0.76026292842711996</v>
      </c>
      <c r="H216" s="412" t="b">
        <f>Wh_hp&gt;='2020'!Maxi_hp</f>
        <v>0</v>
      </c>
      <c r="I216" s="379">
        <f>IF(H216,Wh_hp,'2020'!Maxi_hp)</f>
        <v>51.775054354495516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1.7420737509961648E-2</v>
      </c>
      <c r="M216" s="832"/>
      <c r="N216" s="832"/>
      <c r="O216" s="48">
        <f>IF(t&lt;Tnet,'2020'!Resal+('2020'!Salim-'2020'!Resal)*(1-EXP(('2020'!Tnet-t)/('2020'!Tau_j))),Resal+(Salim-Resal)*(1-EXP((Tnet-t)/(Tau_j))))*Salcycl</f>
        <v>6.8350089442791903E-2</v>
      </c>
      <c r="P216" s="169">
        <f>(INDEX(Models!$BJ216:$BT216,,T216)*(1-R216)+INDEX(Models!$BJ216:$BT216,,T216+1)*R216-ERP_i)*Q216*Ramure*Pc/MaxiM</f>
        <v>1.0952549721289649E-4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55.703638682857623</v>
      </c>
      <c r="W216" s="400"/>
      <c r="X216" s="157">
        <f t="shared" si="83"/>
        <v>44398</v>
      </c>
      <c r="Y216" s="383">
        <f t="shared" si="84"/>
        <v>42.350999999999999</v>
      </c>
      <c r="Z216" s="383">
        <f t="shared" si="85"/>
        <v>43.101866298984064</v>
      </c>
      <c r="AA216" s="384">
        <f t="shared" si="86"/>
        <v>46.264015925472883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6.8350089442791903E-2</v>
      </c>
      <c r="AD216" s="230">
        <f>(INDEX(Models!$BJ216:$BT216,,AH216)*(1-AF216)+INDEX(Models!$BJ216:$BT216,,AH216+1)*AF216-ERP_i)*AE216*Ramure*Pc/MaxiM</f>
        <v>1.0952549721289649E-4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50.381</v>
      </c>
      <c r="C217" s="388"/>
      <c r="D217" s="391">
        <f t="shared" si="74"/>
        <v>51.275217666612164</v>
      </c>
      <c r="E217" s="383">
        <f t="shared" si="72"/>
        <v>55.041930451091908</v>
      </c>
      <c r="F217" s="383">
        <f t="shared" si="75"/>
        <v>55.047288721880754</v>
      </c>
      <c r="G217" s="110">
        <f t="shared" si="73"/>
        <v>0.90611328092670995</v>
      </c>
      <c r="H217" s="412" t="b">
        <f>Wh_hp&gt;='2020'!Maxi_hp</f>
        <v>0</v>
      </c>
      <c r="I217" s="379">
        <f>IF(H217,Wh_hp,'2020'!Maxi_hp)</f>
        <v>55.348148280408218</v>
      </c>
      <c r="J217" s="85">
        <f>IF(H217,An,'2020'!An_max)</f>
        <v>2020</v>
      </c>
      <c r="K217" s="197">
        <f t="shared" si="76"/>
        <v>44399</v>
      </c>
      <c r="L217" s="147">
        <f>IF(t&lt;Tvie,1-EXP((T0-t)*PertePVj)+'2020'!Pspv,1-EXP((T0-t)*PertePVj)+Pspv)</f>
        <v>1.7439568417364937E-2</v>
      </c>
      <c r="M217" s="832"/>
      <c r="N217" s="832"/>
      <c r="O217" s="48">
        <f>IF(t&lt;Tnet,'2020'!Resal+('2020'!Salim-'2020'!Resal)*(1-EXP(('2020'!Tnet-t)/('2020'!Tau_j))),Resal+(Salim-Resal)*(1-EXP((Tnet-t)/(Tau_j))))*Salcycl</f>
        <v>6.8433515205770235E-2</v>
      </c>
      <c r="P217" s="169">
        <f>(INDEX(Models!$BJ217:$BT217,,T217)*(1-R217)+INDEX(Models!$BJ217:$BT217,,T217+1)*R217-ERP_i)*Q217*Ramure*Pc/MaxiM</f>
        <v>1.1241471803268725E-4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55.600377433614391</v>
      </c>
      <c r="W217" s="400"/>
      <c r="X217" s="157">
        <f t="shared" si="83"/>
        <v>44399</v>
      </c>
      <c r="Y217" s="383">
        <f t="shared" si="84"/>
        <v>50.381</v>
      </c>
      <c r="Z217" s="383">
        <f t="shared" si="85"/>
        <v>51.275217666612164</v>
      </c>
      <c r="AA217" s="384">
        <f t="shared" si="86"/>
        <v>55.041930451091908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6.8433515205770235E-2</v>
      </c>
      <c r="AD217" s="230">
        <f>(INDEX(Models!$BJ217:$BT217,,AH217)*(1-AF217)+INDEX(Models!$BJ217:$BT217,,AH217+1)*AF217-ERP_i)*AE217*Ramure*Pc/MaxiM</f>
        <v>1.1241471803268725E-4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42.125</v>
      </c>
      <c r="C218" s="388"/>
      <c r="D218" s="391">
        <f t="shared" si="74"/>
        <v>42.873502715384085</v>
      </c>
      <c r="E218" s="383">
        <f t="shared" si="72"/>
        <v>46.027119340148516</v>
      </c>
      <c r="F218" s="383">
        <f t="shared" si="75"/>
        <v>46.030601498750805</v>
      </c>
      <c r="G218" s="110">
        <f t="shared" si="73"/>
        <v>0.75905981205884432</v>
      </c>
      <c r="H218" s="412" t="b">
        <f>Wh_hp&gt;='2020'!Maxi_hp</f>
        <v>0</v>
      </c>
      <c r="I218" s="379">
        <f>IF(H218,Wh_hp,'2020'!Maxi_hp)</f>
        <v>56.109961045476417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1.745839896387813E-2</v>
      </c>
      <c r="M218" s="832"/>
      <c r="N218" s="832"/>
      <c r="O218" s="48">
        <f>IF(t&lt;Tnet,'2020'!Resal+('2020'!Salim-'2020'!Resal)*(1-EXP(('2020'!Tnet-t)/('2020'!Tau_j))),Resal+(Salim-Resal)*(1-EXP((Tnet-t)/(Tau_j))))*Salcycl</f>
        <v>6.8516489191049509E-2</v>
      </c>
      <c r="P218" s="169">
        <f>(INDEX(Models!$BJ218:$BT218,,T218)*(1-R218)+INDEX(Models!$BJ218:$BT218,,T218+1)*R218-ERP_i)*Q218*Ramure*Pc/MaxiM</f>
        <v>1.1534589794616924E-4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55.494082235650424</v>
      </c>
      <c r="W218" s="400"/>
      <c r="X218" s="157">
        <f t="shared" si="83"/>
        <v>44400</v>
      </c>
      <c r="Y218" s="383">
        <f t="shared" si="84"/>
        <v>42.125</v>
      </c>
      <c r="Z218" s="383">
        <f t="shared" si="85"/>
        <v>42.873502715384085</v>
      </c>
      <c r="AA218" s="384">
        <f t="shared" si="86"/>
        <v>46.027119340148516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6.8516489191049509E-2</v>
      </c>
      <c r="AD218" s="230">
        <f>(INDEX(Models!$BJ218:$BT218,,AH218)*(1-AF218)+INDEX(Models!$BJ218:$BT218,,AH218+1)*AF218-ERP_i)*AE218*Ramure*Pc/MaxiM</f>
        <v>1.1534589794616924E-4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26.783999999999999</v>
      </c>
      <c r="C219" s="388"/>
      <c r="D219" s="391">
        <f t="shared" si="74"/>
        <v>27.260436902460004</v>
      </c>
      <c r="E219" s="383">
        <f t="shared" si="72"/>
        <v>29.268207753570938</v>
      </c>
      <c r="F219" s="383">
        <f t="shared" si="75"/>
        <v>29.269116053949553</v>
      </c>
      <c r="G219" s="110">
        <f t="shared" si="73"/>
        <v>0.48355395925355038</v>
      </c>
      <c r="H219" s="412" t="b">
        <f>Wh_hp&gt;='2020'!Maxi_hp</f>
        <v>0</v>
      </c>
      <c r="I219" s="379">
        <f>IF(H219,Wh_hp,'2020'!Maxi_hp)</f>
        <v>56.342293101754187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1.7477229149508333E-2</v>
      </c>
      <c r="M219" s="832"/>
      <c r="N219" s="832"/>
      <c r="O219" s="48">
        <f>IF(t&lt;Tnet,'2020'!Resal+('2020'!Salim-'2020'!Resal)*(1-EXP(('2020'!Tnet-t)/('2020'!Tau_j))),Resal+(Salim-Resal)*(1-EXP((Tnet-t)/(Tau_j))))*Salcycl</f>
        <v>6.8599036470416319E-2</v>
      </c>
      <c r="P219" s="169">
        <f>(INDEX(Models!$BJ219:$BT219,,T219)*(1-R219)+INDEX(Models!$BJ219:$BT219,,T219+1)*R219-ERP_i)*Q219*Ramure*Pc/MaxiM</f>
        <v>1.1831895003260714E-4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55.385053809695734</v>
      </c>
      <c r="W219" s="400"/>
      <c r="X219" s="157">
        <f t="shared" si="83"/>
        <v>44401</v>
      </c>
      <c r="Y219" s="383">
        <f t="shared" si="84"/>
        <v>26.783999999999999</v>
      </c>
      <c r="Z219" s="383">
        <f t="shared" si="85"/>
        <v>27.260436902460004</v>
      </c>
      <c r="AA219" s="384">
        <f t="shared" si="86"/>
        <v>29.268207753570938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6.8599036470416319E-2</v>
      </c>
      <c r="AD219" s="230">
        <f>(INDEX(Models!$BJ219:$BT219,,AH219)*(1-AF219)+INDEX(Models!$BJ219:$BT219,,AH219+1)*AF219-ERP_i)*AE219*Ramure*Pc/MaxiM</f>
        <v>1.1831895003260714E-4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34.274000000000001</v>
      </c>
      <c r="C220" s="388"/>
      <c r="D220" s="391">
        <f t="shared" si="74"/>
        <v>34.884338442671094</v>
      </c>
      <c r="E220" s="383">
        <f t="shared" si="72"/>
        <v>37.456924224299009</v>
      </c>
      <c r="F220" s="383">
        <f t="shared" si="75"/>
        <v>37.459002070425591</v>
      </c>
      <c r="G220" s="110">
        <f t="shared" si="73"/>
        <v>0.62003676035228561</v>
      </c>
      <c r="H220" s="412" t="b">
        <f>Wh_hp&gt;='2020'!Maxi_hp</f>
        <v>0</v>
      </c>
      <c r="I220" s="379">
        <f>IF(H220,Wh_hp,'2020'!Maxi_hp)</f>
        <v>59.315557328001788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1.7496058974262207E-2</v>
      </c>
      <c r="M220" s="832"/>
      <c r="N220" s="832"/>
      <c r="O220" s="48">
        <f>IF(t&lt;Tnet,'2020'!Resal+('2020'!Salim-'2020'!Resal)*(1-EXP(('2020'!Tnet-t)/('2020'!Tau_j))),Resal+(Salim-Resal)*(1-EXP((Tnet-t)/(Tau_j))))*Salcycl</f>
        <v>6.8681180713685744E-2</v>
      </c>
      <c r="P220" s="169">
        <f>(INDEX(Models!$BJ220:$BT220,,T220)*(1-R220)+INDEX(Models!$BJ220:$BT220,,T220+1)*R220-ERP_i)*Q220*Ramure*Pc/MaxiM</f>
        <v>1.2131093566506297E-4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55.273727994449075</v>
      </c>
      <c r="W220" s="400"/>
      <c r="X220" s="157">
        <f t="shared" si="83"/>
        <v>44402</v>
      </c>
      <c r="Y220" s="383">
        <f t="shared" si="84"/>
        <v>34.274000000000001</v>
      </c>
      <c r="Z220" s="383">
        <f t="shared" si="85"/>
        <v>34.884338442671094</v>
      </c>
      <c r="AA220" s="384">
        <f t="shared" si="86"/>
        <v>37.456924224299009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6.8681180713685744E-2</v>
      </c>
      <c r="AD220" s="230">
        <f>(INDEX(Models!$BJ220:$BT220,,AH220)*(1-AF220)+INDEX(Models!$BJ220:$BT220,,AH220+1)*AF220-ERP_i)*AE220*Ramure*Pc/MaxiM</f>
        <v>1.2131093566506297E-4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33.549999999999997</v>
      </c>
      <c r="C221" s="388"/>
      <c r="D221" s="391">
        <f t="shared" si="74"/>
        <v>34.148100164760436</v>
      </c>
      <c r="E221" s="383">
        <f t="shared" si="72"/>
        <v>36.669610545426089</v>
      </c>
      <c r="F221" s="383">
        <f t="shared" si="75"/>
        <v>36.671617058943454</v>
      </c>
      <c r="G221" s="110">
        <f t="shared" si="73"/>
        <v>0.60818711498412625</v>
      </c>
      <c r="H221" s="412" t="b">
        <f>Wh_hp&gt;='2020'!Maxi_hp</f>
        <v>0</v>
      </c>
      <c r="I221" s="379">
        <f>IF(H221,Wh_hp,'2020'!Maxi_hp)</f>
        <v>58.379363630430667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1.7514888438146747E-2</v>
      </c>
      <c r="M221" s="832"/>
      <c r="N221" s="832"/>
      <c r="O221" s="48">
        <f>IF(t&lt;Tnet,'2020'!Resal+('2020'!Salim-'2020'!Resal)*(1-EXP(('2020'!Tnet-t)/('2020'!Tau_j))),Resal+(Salim-Resal)*(1-EXP((Tnet-t)/(Tau_j))))*Salcycl</f>
        <v>6.8762944115319233E-2</v>
      </c>
      <c r="P221" s="169">
        <f>(INDEX(Models!$BJ221:$BT221,,T221)*(1-R221)+INDEX(Models!$BJ221:$BT221,,T221+1)*R221-ERP_i)*Q221*Ramure*Pc/MaxiM</f>
        <v>1.2426132612384282E-4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55.160107457618615</v>
      </c>
      <c r="W221" s="400"/>
      <c r="X221" s="157">
        <f t="shared" si="83"/>
        <v>44403</v>
      </c>
      <c r="Y221" s="383">
        <f t="shared" si="84"/>
        <v>33.549999999999997</v>
      </c>
      <c r="Z221" s="383">
        <f t="shared" si="85"/>
        <v>34.148100164760436</v>
      </c>
      <c r="AA221" s="384">
        <f t="shared" si="86"/>
        <v>36.669610545426089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6.8762944115319233E-2</v>
      </c>
      <c r="AD221" s="230">
        <f>(INDEX(Models!$BJ221:$BT221,,AH221)*(1-AF221)+INDEX(Models!$BJ221:$BT221,,AH221+1)*AF221-ERP_i)*AE221*Ramure*Pc/MaxiM</f>
        <v>1.2426132612384282E-4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45.152999999999999</v>
      </c>
      <c r="C222" s="388"/>
      <c r="D222" s="391">
        <f t="shared" si="74"/>
        <v>45.958829128461289</v>
      </c>
      <c r="E222" s="383">
        <f t="shared" si="72"/>
        <v>49.356763283251823</v>
      </c>
      <c r="F222" s="383">
        <f t="shared" si="75"/>
        <v>49.361429140375378</v>
      </c>
      <c r="G222" s="110">
        <f t="shared" si="73"/>
        <v>0.82027775305448292</v>
      </c>
      <c r="H222" s="412" t="b">
        <f>Wh_hp&gt;='2020'!Maxi_hp</f>
        <v>1</v>
      </c>
      <c r="I222" s="379">
        <f>IF(H222,Wh_hp,'2020'!Maxi_hp)</f>
        <v>49.361429140375378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1.7533717541168947E-2</v>
      </c>
      <c r="M222" s="832"/>
      <c r="N222" s="832"/>
      <c r="O222" s="48">
        <f>IF(t&lt;Tnet,'2020'!Resal+('2020'!Salim-'2020'!Resal)*(1-EXP(('2020'!Tnet-t)/('2020'!Tau_j))),Resal+(Salim-Resal)*(1-EXP((Tnet-t)/(Tau_j))))*Salcycl</f>
        <v>6.8844347334735989E-2</v>
      </c>
      <c r="P222" s="169">
        <f>(INDEX(Models!$BJ222:$BT222,,T222)*(1-R222)+INDEX(Models!$BJ222:$BT222,,T222+1)*R222-ERP_i)*Q222*Ramure*Pc/MaxiM</f>
        <v>1.2716984430828171E-4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55.044191617567066</v>
      </c>
      <c r="W222" s="400"/>
      <c r="X222" s="157">
        <f t="shared" si="83"/>
        <v>44404</v>
      </c>
      <c r="Y222" s="383">
        <f t="shared" si="84"/>
        <v>45.152999999999999</v>
      </c>
      <c r="Z222" s="383">
        <f t="shared" si="85"/>
        <v>45.958829128461289</v>
      </c>
      <c r="AA222" s="384">
        <f t="shared" si="86"/>
        <v>49.356763283251823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6.8844347334735989E-2</v>
      </c>
      <c r="AD222" s="230">
        <f>(INDEX(Models!$BJ222:$BT222,,AH222)*(1-AF222)+INDEX(Models!$BJ222:$BT222,,AH222+1)*AF222-ERP_i)*AE222*Ramure*Pc/MaxiM</f>
        <v>1.2716984430828171E-4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24.161999999999999</v>
      </c>
      <c r="C223" s="388"/>
      <c r="D223" s="391">
        <f t="shared" si="74"/>
        <v>24.593681736965717</v>
      </c>
      <c r="E223" s="383">
        <f t="shared" si="72"/>
        <v>26.414298045062374</v>
      </c>
      <c r="F223" s="383">
        <f t="shared" si="75"/>
        <v>26.414984540891854</v>
      </c>
      <c r="G223" s="110">
        <f t="shared" si="73"/>
        <v>0.43985534620235178</v>
      </c>
      <c r="H223" s="412" t="b">
        <f>Wh_hp&gt;='2020'!Maxi_hp</f>
        <v>0</v>
      </c>
      <c r="I223" s="379">
        <f>IF(H223,Wh_hp,'2020'!Maxi_hp)</f>
        <v>56.218409152668862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1.755254628333569E-2</v>
      </c>
      <c r="M223" s="832"/>
      <c r="N223" s="832"/>
      <c r="O223" s="48">
        <f>IF(t&lt;Tnet,'2020'!Resal+('2020'!Salim-'2020'!Resal)*(1-EXP(('2020'!Tnet-t)/('2020'!Tau_j))),Resal+(Salim-Resal)*(1-EXP((Tnet-t)/(Tau_j))))*Salcycl</f>
        <v>6.8925409450242295E-2</v>
      </c>
      <c r="P223" s="169">
        <f>(INDEX(Models!$BJ223:$BT223,,T223)*(1-R223)+INDEX(Models!$BJ223:$BT223,,T223+1)*R223-ERP_i)*Q223*Ramure*Pc/MaxiM</f>
        <v>1.3003623822261404E-4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54.92597998626497</v>
      </c>
      <c r="W223" s="400"/>
      <c r="X223" s="157">
        <f t="shared" si="83"/>
        <v>44405</v>
      </c>
      <c r="Y223" s="383">
        <f t="shared" si="84"/>
        <v>24.161999999999999</v>
      </c>
      <c r="Z223" s="383">
        <f t="shared" si="85"/>
        <v>24.593681736965717</v>
      </c>
      <c r="AA223" s="384">
        <f t="shared" si="86"/>
        <v>26.414298045062374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6.8925409450242295E-2</v>
      </c>
      <c r="AD223" s="230">
        <f>(INDEX(Models!$BJ223:$BT223,,AH223)*(1-AF223)+INDEX(Models!$BJ223:$BT223,,AH223+1)*AF223-ERP_i)*AE223*Ramure*Pc/MaxiM</f>
        <v>1.3003623822261404E-4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51.817999999999998</v>
      </c>
      <c r="C224" s="388"/>
      <c r="D224" s="391">
        <f t="shared" si="74"/>
        <v>52.744798618130893</v>
      </c>
      <c r="E224" s="383">
        <f t="shared" si="72"/>
        <v>56.654293152044851</v>
      </c>
      <c r="F224" s="383">
        <f t="shared" si="75"/>
        <v>56.6612349559962</v>
      </c>
      <c r="G224" s="110">
        <f t="shared" si="73"/>
        <v>0.94547974433307447</v>
      </c>
      <c r="H224" s="412" t="b">
        <f>Wh_hp&gt;='2020'!Maxi_hp</f>
        <v>0</v>
      </c>
      <c r="I224" s="379">
        <f>IF(H224,Wh_hp,'2020'!Maxi_hp)</f>
        <v>59.204840320642759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1.757137466465386E-2</v>
      </c>
      <c r="M224" s="832"/>
      <c r="N224" s="832"/>
      <c r="O224" s="48">
        <f>IF(t&lt;Tnet,'2020'!Resal+('2020'!Salim-'2020'!Resal)*(1-EXP(('2020'!Tnet-t)/('2020'!Tau_j))),Resal+(Salim-Resal)*(1-EXP((Tnet-t)/(Tau_j))))*Salcycl</f>
        <v>6.9006147926370415E-2</v>
      </c>
      <c r="P224" s="169">
        <f>(INDEX(Models!$BJ224:$BT224,,T224)*(1-R224)+INDEX(Models!$BJ224:$BT224,,T224+1)*R224-ERP_i)*Q224*Ramure*Pc/MaxiM</f>
        <v>1.3286027518688955E-4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54.805472174532184</v>
      </c>
      <c r="W224" s="400"/>
      <c r="X224" s="157">
        <f t="shared" si="83"/>
        <v>44406</v>
      </c>
      <c r="Y224" s="383">
        <f t="shared" si="84"/>
        <v>51.817999999999998</v>
      </c>
      <c r="Z224" s="383">
        <f t="shared" si="85"/>
        <v>52.744798618130893</v>
      </c>
      <c r="AA224" s="384">
        <f t="shared" si="86"/>
        <v>56.654293152044851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6.9006147926370415E-2</v>
      </c>
      <c r="AD224" s="230">
        <f>(INDEX(Models!$BJ224:$BT224,,AH224)*(1-AF224)+INDEX(Models!$BJ224:$BT224,,AH224+1)*AF224-ERP_i)*AE224*Ramure*Pc/MaxiM</f>
        <v>1.3286027518688955E-4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17.259</v>
      </c>
      <c r="C225" s="388"/>
      <c r="D225" s="391">
        <f t="shared" si="74"/>
        <v>17.568025122685501</v>
      </c>
      <c r="E225" s="383">
        <f t="shared" si="72"/>
        <v>18.871814197454807</v>
      </c>
      <c r="F225" s="383">
        <f t="shared" si="75"/>
        <v>18.871871321631335</v>
      </c>
      <c r="G225" s="110">
        <f t="shared" si="73"/>
        <v>0.31557917453776907</v>
      </c>
      <c r="H225" s="412" t="b">
        <f>Wh_hp&gt;='2020'!Maxi_hp</f>
        <v>0</v>
      </c>
      <c r="I225" s="379">
        <f>IF(H225,Wh_hp,'2020'!Maxi_hp)</f>
        <v>52.35656845482881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1.7590202685130452E-2</v>
      </c>
      <c r="M225" s="832"/>
      <c r="N225" s="832"/>
      <c r="O225" s="48">
        <f>IF(t&lt;Tnet,'2020'!Resal+('2020'!Salim-'2020'!Resal)*(1-EXP(('2020'!Tnet-t)/('2020'!Tau_j))),Resal+(Salim-Resal)*(1-EXP((Tnet-t)/(Tau_j))))*Salcycl</f>
        <v>6.9086578594290349E-2</v>
      </c>
      <c r="P225" s="169">
        <f>(INDEX(Models!$BJ225:$BT225,,T225)*(1-R225)+INDEX(Models!$BJ225:$BT225,,T225+1)*R225-ERP_i)*Q225*Ramure*Pc/MaxiM</f>
        <v>1.3564173635417212E-4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54.682667890613523</v>
      </c>
      <c r="W225" s="400"/>
      <c r="X225" s="157">
        <f t="shared" si="83"/>
        <v>44407</v>
      </c>
      <c r="Y225" s="383">
        <f t="shared" si="84"/>
        <v>17.259</v>
      </c>
      <c r="Z225" s="383">
        <f t="shared" si="85"/>
        <v>17.568025122685501</v>
      </c>
      <c r="AA225" s="384">
        <f t="shared" si="86"/>
        <v>18.871814197454807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6.9086578594290349E-2</v>
      </c>
      <c r="AD225" s="230">
        <f>(INDEX(Models!$BJ225:$BT225,,AH225)*(1-AF225)+INDEX(Models!$BJ225:$BT225,,AH225+1)*AF225-ERP_i)*AE225*Ramure*Pc/MaxiM</f>
        <v>1.3564173635417212E-4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12.26</v>
      </c>
      <c r="C226" s="388"/>
      <c r="D226" s="391">
        <f t="shared" si="74"/>
        <v>12.479756409306852</v>
      </c>
      <c r="E226" s="383">
        <f t="shared" si="72"/>
        <v>13.407080106672597</v>
      </c>
      <c r="F226" s="383">
        <f t="shared" si="75"/>
        <v>13.407080106672597</v>
      </c>
      <c r="G226" s="110">
        <f t="shared" si="73"/>
        <v>0.22468566952886815</v>
      </c>
      <c r="H226" s="412" t="b">
        <f>Wh_hp&gt;='2020'!Maxi_hp</f>
        <v>0</v>
      </c>
      <c r="I226" s="379">
        <f>IF(H226,Wh_hp,'2020'!Maxi_hp)</f>
        <v>56.915628803098912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1.7609030344772347E-2</v>
      </c>
      <c r="M226" s="832"/>
      <c r="N226" s="832"/>
      <c r="O226" s="48">
        <f>IF(t&lt;Tnet,'2020'!Resal+('2020'!Salim-'2020'!Resal)*(1-EXP(('2020'!Tnet-t)/('2020'!Tau_j))),Resal+(Salim-Resal)*(1-EXP((Tnet-t)/(Tau_j))))*Salcycl</f>
        <v>6.9166715644834842E-2</v>
      </c>
      <c r="P226" s="169">
        <f>(INDEX(Models!$BJ226:$BT226,,T226)*(1-R226)+INDEX(Models!$BJ226:$BT226,,T226+1)*R226-ERP_i)*Q226*Ramure*Pc/MaxiM</f>
        <v>1.3848121616616451E-4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54.557561441250819</v>
      </c>
      <c r="W226" s="400"/>
      <c r="X226" s="157">
        <f t="shared" si="83"/>
        <v>44408</v>
      </c>
      <c r="Y226" s="383">
        <f t="shared" si="84"/>
        <v>12.26</v>
      </c>
      <c r="Z226" s="383">
        <f t="shared" si="85"/>
        <v>12.479756409306852</v>
      </c>
      <c r="AA226" s="384">
        <f t="shared" si="86"/>
        <v>13.407080106672597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6.9166715644834842E-2</v>
      </c>
      <c r="AD226" s="230">
        <f>(INDEX(Models!$BJ226:$BT226,,AH226)*(1-AF226)+INDEX(Models!$BJ226:$BT226,,AH226+1)*AF226-ERP_i)*AE226*Ramure*Pc/MaxiM</f>
        <v>1.3848121616616451E-4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44.496000000000002</v>
      </c>
      <c r="C227" s="388"/>
      <c r="D227" s="391">
        <f t="shared" si="74"/>
        <v>45.294444011072578</v>
      </c>
      <c r="E227" s="383">
        <f t="shared" si="72"/>
        <v>48.664278455109937</v>
      </c>
      <c r="F227" s="383">
        <f t="shared" si="75"/>
        <v>48.669366480657118</v>
      </c>
      <c r="G227" s="110">
        <f t="shared" si="73"/>
        <v>0.81745794413824047</v>
      </c>
      <c r="H227" s="412" t="b">
        <f>Wh_hp&gt;='2020'!Maxi_hp</f>
        <v>0</v>
      </c>
      <c r="I227" s="379">
        <f>IF(H227,Wh_hp,'2020'!Maxi_hp)</f>
        <v>54.352502015602994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1.762785764358632E-2</v>
      </c>
      <c r="M227" s="832"/>
      <c r="N227" s="832"/>
      <c r="O227" s="48">
        <f>IF(t&lt;Tnet,'2020'!Resal+('2020'!Salim-'2020'!Resal)*(1-EXP(('2020'!Tnet-t)/('2020'!Tau_j))),Resal+(Salim-Resal)*(1-EXP((Tnet-t)/(Tau_j))))*Salcycl</f>
        <v>6.9246571633561654E-2</v>
      </c>
      <c r="P227" s="169">
        <f>(INDEX(Models!$BJ227:$BT227,,T227)*(1-R227)+INDEX(Models!$BJ227:$BT227,,T227+1)*R227-ERP_i)*Q227*Ramure*Pc/MaxiM</f>
        <v>1.4141363053411037E-4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54.430150856433038</v>
      </c>
      <c r="W227" s="400"/>
      <c r="X227" s="157">
        <f t="shared" si="83"/>
        <v>44409</v>
      </c>
      <c r="Y227" s="383">
        <f t="shared" si="84"/>
        <v>44.496000000000002</v>
      </c>
      <c r="Z227" s="383">
        <f t="shared" si="85"/>
        <v>45.294444011072578</v>
      </c>
      <c r="AA227" s="384">
        <f t="shared" si="86"/>
        <v>48.664278455109937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6.9246571633561654E-2</v>
      </c>
      <c r="AD227" s="230">
        <f>(INDEX(Models!$BJ227:$BT227,,AH227)*(1-AF227)+INDEX(Models!$BJ227:$BT227,,AH227+1)*AF227-ERP_i)*AE227*Ramure*Pc/MaxiM</f>
        <v>1.4141363053411037E-4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49.411000000000001</v>
      </c>
      <c r="C228" s="388"/>
      <c r="D228" s="391">
        <f t="shared" si="74"/>
        <v>50.298603592490586</v>
      </c>
      <c r="E228" s="383">
        <f t="shared" si="72"/>
        <v>54.045360786356817</v>
      </c>
      <c r="F228" s="383">
        <f t="shared" si="75"/>
        <v>54.052163802021376</v>
      </c>
      <c r="G228" s="110">
        <f t="shared" si="73"/>
        <v>0.9099389501121139</v>
      </c>
      <c r="H228" s="412" t="b">
        <f>Wh_hp&gt;='2020'!Maxi_hp</f>
        <v>0</v>
      </c>
      <c r="I228" s="379">
        <f>IF(H228,Wh_hp,'2020'!Maxi_hp)</f>
        <v>56.407154558267514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1.7646684581579475E-2</v>
      </c>
      <c r="M228" s="832"/>
      <c r="N228" s="832"/>
      <c r="O228" s="48">
        <f>IF(t&lt;Tnet,'2020'!Resal+('2020'!Salim-'2020'!Resal)*(1-EXP(('2020'!Tnet-t)/('2020'!Tau_j))),Resal+(Salim-Resal)*(1-EXP((Tnet-t)/(Tau_j))))*Salcycl</f>
        <v>6.932615749716782E-2</v>
      </c>
      <c r="P228" s="169">
        <f>(INDEX(Models!$BJ228:$BT228,,T228)*(1-R228)+INDEX(Models!$BJ228:$BT228,,T228+1)*R228-ERP_i)*Q228*Ramure*Pc/MaxiM</f>
        <v>1.4444017944530919E-4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54.300436114473349</v>
      </c>
      <c r="W228" s="400"/>
      <c r="X228" s="157">
        <f t="shared" si="83"/>
        <v>44410</v>
      </c>
      <c r="Y228" s="383">
        <f t="shared" si="84"/>
        <v>49.411000000000001</v>
      </c>
      <c r="Z228" s="383">
        <f t="shared" si="85"/>
        <v>50.298603592490586</v>
      </c>
      <c r="AA228" s="384">
        <f t="shared" si="86"/>
        <v>54.045360786356817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6.932615749716782E-2</v>
      </c>
      <c r="AD228" s="230">
        <f>(INDEX(Models!$BJ228:$BT228,,AH228)*(1-AF228)+INDEX(Models!$BJ228:$BT228,,AH228+1)*AF228-ERP_i)*AE228*Ramure*Pc/MaxiM</f>
        <v>1.4444017944530919E-4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34.423999999999999</v>
      </c>
      <c r="C229" s="388"/>
      <c r="D229" s="391">
        <f t="shared" si="74"/>
        <v>35.043053451789568</v>
      </c>
      <c r="E229" s="383">
        <f t="shared" si="72"/>
        <v>37.65663003147862</v>
      </c>
      <c r="F229" s="383">
        <f t="shared" si="75"/>
        <v>37.659293457568538</v>
      </c>
      <c r="G229" s="110">
        <f t="shared" si="73"/>
        <v>0.63545062735516866</v>
      </c>
      <c r="H229" s="412" t="b">
        <f>Wh_hp&gt;='2020'!Maxi_hp</f>
        <v>0</v>
      </c>
      <c r="I229" s="379">
        <f>IF(H229,Wh_hp,'2020'!Maxi_hp)</f>
        <v>56.932913500318811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1.7665511158758695E-2</v>
      </c>
      <c r="M229" s="832"/>
      <c r="N229" s="832"/>
      <c r="O229" s="48">
        <f>IF(t&lt;Tnet,'2020'!Resal+('2020'!Salim-'2020'!Resal)*(1-EXP(('2020'!Tnet-t)/('2020'!Tau_j))),Resal+(Salim-Resal)*(1-EXP((Tnet-t)/(Tau_j))))*Salcycl</f>
        <v>6.9405482580471481E-2</v>
      </c>
      <c r="P229" s="169">
        <f>(INDEX(Models!$BJ229:$BT229,,T229)*(1-R229)+INDEX(Models!$BJ229:$BT229,,T229+1)*R229-ERP_i)*Q229*Ramure*Pc/MaxiM</f>
        <v>1.4756205503786002E-4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54.16841728887379</v>
      </c>
      <c r="W229" s="400"/>
      <c r="X229" s="157">
        <f t="shared" si="83"/>
        <v>44411</v>
      </c>
      <c r="Y229" s="383">
        <f t="shared" si="84"/>
        <v>34.423999999999999</v>
      </c>
      <c r="Z229" s="383">
        <f t="shared" si="85"/>
        <v>35.043053451789568</v>
      </c>
      <c r="AA229" s="384">
        <f t="shared" si="86"/>
        <v>37.65663003147862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6.9405482580471481E-2</v>
      </c>
      <c r="AD229" s="230">
        <f>(INDEX(Models!$BJ229:$BT229,,AH229)*(1-AF229)+INDEX(Models!$BJ229:$BT229,,AH229+1)*AF229-ERP_i)*AE229*Ramure*Pc/MaxiM</f>
        <v>1.4756205503786002E-4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33.817</v>
      </c>
      <c r="C230" s="388"/>
      <c r="D230" s="391">
        <f t="shared" si="74"/>
        <v>34.425797415910878</v>
      </c>
      <c r="E230" s="383">
        <f t="shared" si="72"/>
        <v>36.996481454229112</v>
      </c>
      <c r="F230" s="383">
        <f t="shared" si="75"/>
        <v>36.9990783213537</v>
      </c>
      <c r="G230" s="110">
        <f t="shared" si="73"/>
        <v>0.62579515166335264</v>
      </c>
      <c r="H230" s="412" t="b">
        <f>Wh_hp&gt;='2020'!Maxi_hp</f>
        <v>0</v>
      </c>
      <c r="I230" s="379">
        <f>IF(H230,Wh_hp,'2020'!Maxi_hp)</f>
        <v>54.159308534997784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1.7684337375130865E-2</v>
      </c>
      <c r="M230" s="832"/>
      <c r="N230" s="832"/>
      <c r="O230" s="48">
        <f>IF(t&lt;Tnet,'2020'!Resal+('2020'!Salim-'2020'!Resal)*(1-EXP(('2020'!Tnet-t)/('2020'!Tau_j))),Resal+(Salim-Resal)*(1-EXP((Tnet-t)/(Tau_j))))*Salcycl</f>
        <v>6.9484554673087007E-2</v>
      </c>
      <c r="P230" s="169">
        <f>(INDEX(Models!$BJ230:$BT230,,T230)*(1-R230)+INDEX(Models!$BJ230:$BT230,,T230+1)*R230-ERP_i)*Q230*Ramure*Pc/MaxiM</f>
        <v>1.5078044122953776E-4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54.034094546960532</v>
      </c>
      <c r="W230" s="400"/>
      <c r="X230" s="157">
        <f t="shared" si="83"/>
        <v>44412</v>
      </c>
      <c r="Y230" s="383">
        <f t="shared" si="84"/>
        <v>33.817</v>
      </c>
      <c r="Z230" s="383">
        <f t="shared" si="85"/>
        <v>34.425797415910878</v>
      </c>
      <c r="AA230" s="384">
        <f t="shared" si="86"/>
        <v>36.996481454229112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6.9484554673087007E-2</v>
      </c>
      <c r="AD230" s="230">
        <f>(INDEX(Models!$BJ230:$BT230,,AH230)*(1-AF230)+INDEX(Models!$BJ230:$BT230,,AH230+1)*AF230-ERP_i)*AE230*Ramure*Pc/MaxiM</f>
        <v>1.5078044122953776E-4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47.877000000000002</v>
      </c>
      <c r="C231" s="388"/>
      <c r="D231" s="391">
        <f t="shared" si="74"/>
        <v>48.739849511746343</v>
      </c>
      <c r="E231" s="383">
        <f t="shared" si="72"/>
        <v>52.383846967049806</v>
      </c>
      <c r="F231" s="383">
        <f t="shared" si="75"/>
        <v>52.390631900630964</v>
      </c>
      <c r="G231" s="110">
        <f t="shared" si="73"/>
        <v>0.88827590983812155</v>
      </c>
      <c r="H231" s="412" t="b">
        <f>Wh_hp&gt;='2020'!Maxi_hp</f>
        <v>0</v>
      </c>
      <c r="I231" s="379">
        <f>IF(H231,Wh_hp,'2020'!Maxi_hp)</f>
        <v>57.498472641811972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1.7703163230702867E-2</v>
      </c>
      <c r="M231" s="832"/>
      <c r="N231" s="832"/>
      <c r="O231" s="48">
        <f>IF(t&lt;Tnet,'2020'!Resal+('2020'!Salim-'2020'!Resal)*(1-EXP(('2020'!Tnet-t)/('2020'!Tau_j))),Resal+(Salim-Resal)*(1-EXP((Tnet-t)/(Tau_j))))*Salcycl</f>
        <v>6.9563380054840016E-2</v>
      </c>
      <c r="P231" s="169">
        <f>(INDEX(Models!$BJ231:$BT231,,T231)*(1-R231)+INDEX(Models!$BJ231:$BT231,,T231+1)*R231-ERP_i)*Q231*Ramure*Pc/MaxiM</f>
        <v>1.5409651335393778E-4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53.897468147981947</v>
      </c>
      <c r="W231" s="400"/>
      <c r="X231" s="157">
        <f t="shared" si="83"/>
        <v>44413</v>
      </c>
      <c r="Y231" s="383">
        <f t="shared" si="84"/>
        <v>47.877000000000002</v>
      </c>
      <c r="Z231" s="383">
        <f t="shared" si="85"/>
        <v>48.739849511746343</v>
      </c>
      <c r="AA231" s="384">
        <f t="shared" si="86"/>
        <v>52.383846967049806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6.9563380054840016E-2</v>
      </c>
      <c r="AD231" s="230">
        <f>(INDEX(Models!$BJ231:$BT231,,AH231)*(1-AF231)+INDEX(Models!$BJ231:$BT231,,AH231+1)*AF231-ERP_i)*AE231*Ramure*Pc/MaxiM</f>
        <v>1.5409651335393778E-4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19.463000000000001</v>
      </c>
      <c r="C232" s="388"/>
      <c r="D232" s="391">
        <f t="shared" si="74"/>
        <v>19.814146073316358</v>
      </c>
      <c r="E232" s="383">
        <f t="shared" si="72"/>
        <v>21.297334248757082</v>
      </c>
      <c r="F232" s="383">
        <f t="shared" si="75"/>
        <v>21.297631587052031</v>
      </c>
      <c r="G232" s="110">
        <f t="shared" si="73"/>
        <v>0.36199284070490301</v>
      </c>
      <c r="H232" s="412" t="b">
        <f>Wh_hp&gt;='2020'!Maxi_hp</f>
        <v>0</v>
      </c>
      <c r="I232" s="379">
        <f>IF(H232,Wh_hp,'2020'!Maxi_hp)</f>
        <v>58.413322100606401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1.7721988725481586E-2</v>
      </c>
      <c r="M232" s="832"/>
      <c r="N232" s="832"/>
      <c r="O232" s="48">
        <f>IF(t&lt;Tnet,'2020'!Resal+('2020'!Salim-'2020'!Resal)*(1-EXP(('2020'!Tnet-t)/('2020'!Tau_j))),Resal+(Salim-Resal)*(1-EXP((Tnet-t)/(Tau_j))))*Salcycl</f>
        <v>6.9641963548902078E-2</v>
      </c>
      <c r="P232" s="169">
        <f>(INDEX(Models!$BJ232:$BT232,,T232)*(1-R232)+INDEX(Models!$BJ232:$BT232,,T232+1)*R232-ERP_i)*Q232*Ramure*Pc/MaxiM</f>
        <v>1.5751143782666681E-4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53.758538436313174</v>
      </c>
      <c r="W232" s="400"/>
      <c r="X232" s="157">
        <f t="shared" si="83"/>
        <v>44414</v>
      </c>
      <c r="Y232" s="383">
        <f t="shared" si="84"/>
        <v>19.463000000000001</v>
      </c>
      <c r="Z232" s="383">
        <f t="shared" si="85"/>
        <v>19.814146073316358</v>
      </c>
      <c r="AA232" s="384">
        <f t="shared" si="86"/>
        <v>21.297334248757082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6.9641963548902078E-2</v>
      </c>
      <c r="AD232" s="230">
        <f>(INDEX(Models!$BJ232:$BT232,,AH232)*(1-AF232)+INDEX(Models!$BJ232:$BT232,,AH232+1)*AF232-ERP_i)*AE232*Ramure*Pc/MaxiM</f>
        <v>1.5751143782666681E-4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23.513000000000002</v>
      </c>
      <c r="C233" s="388"/>
      <c r="D233" s="391">
        <f t="shared" si="74"/>
        <v>23.937673815387598</v>
      </c>
      <c r="E233" s="383">
        <f t="shared" ref="E233:E296" si="96">Wh_pvt/(1-Psa)</f>
        <v>25.731695570919094</v>
      </c>
      <c r="F233" s="383">
        <f t="shared" si="75"/>
        <v>25.732515586763039</v>
      </c>
      <c r="G233" s="110">
        <f t="shared" ref="G233:G296" si="97">+Wh_hp/MaxiM</f>
        <v>0.4384735872252653</v>
      </c>
      <c r="H233" s="412" t="b">
        <f>Wh_hp&gt;='2020'!Maxi_hp</f>
        <v>0</v>
      </c>
      <c r="I233" s="379">
        <f>IF(H233,Wh_hp,'2020'!Maxi_hp)</f>
        <v>56.549858824776372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1.7740813859474014E-2</v>
      </c>
      <c r="M233" s="832"/>
      <c r="N233" s="832"/>
      <c r="O233" s="48">
        <f>IF(t&lt;Tnet,'2020'!Resal+('2020'!Salim-'2020'!Resal)*(1-EXP(('2020'!Tnet-t)/('2020'!Tau_j))),Resal+(Salim-Resal)*(1-EXP((Tnet-t)/(Tau_j))))*Salcycl</f>
        <v>6.9720308581570009E-2</v>
      </c>
      <c r="P233" s="169">
        <f>(INDEX(Models!$BJ233:$BT233,,T233)*(1-R233)+INDEX(Models!$BJ233:$BT233,,T233+1)*R233-ERP_i)*Q233*Ramure*Pc/MaxiM</f>
        <v>1.6102506670301255E-4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53.617740480869443</v>
      </c>
      <c r="W233" s="400"/>
      <c r="X233" s="157">
        <f t="shared" si="83"/>
        <v>44415</v>
      </c>
      <c r="Y233" s="383">
        <f t="shared" si="84"/>
        <v>23.513000000000002</v>
      </c>
      <c r="Z233" s="383">
        <f t="shared" si="85"/>
        <v>23.937673815387598</v>
      </c>
      <c r="AA233" s="384">
        <f t="shared" si="86"/>
        <v>25.731695570919094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6.9720308581570009E-2</v>
      </c>
      <c r="AD233" s="230">
        <f>(INDEX(Models!$BJ233:$BT233,,AH233)*(1-AF233)+INDEX(Models!$BJ233:$BT233,,AH233+1)*AF233-ERP_i)*AE233*Ramure*Pc/MaxiM</f>
        <v>1.6102506670301255E-4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39.180999999999997</v>
      </c>
      <c r="C234" s="388"/>
      <c r="D234" s="391">
        <f t="shared" si="74"/>
        <v>39.889421714923913</v>
      </c>
      <c r="E234" s="383">
        <f t="shared" si="96"/>
        <v>42.882556270107422</v>
      </c>
      <c r="F234" s="383">
        <f t="shared" si="75"/>
        <v>42.88692289753665</v>
      </c>
      <c r="G234" s="110">
        <f t="shared" si="97"/>
        <v>0.73264634424744279</v>
      </c>
      <c r="H234" s="412" t="b">
        <f>Wh_hp&gt;='2020'!Maxi_hp</f>
        <v>0</v>
      </c>
      <c r="I234" s="379">
        <f>IF(H234,Wh_hp,'2020'!Maxi_hp)</f>
        <v>55.078662974016289</v>
      </c>
      <c r="J234" s="85">
        <f>IF(H234,An,'2020'!An_max)</f>
        <v>2018</v>
      </c>
      <c r="K234" s="197">
        <f t="shared" si="76"/>
        <v>44416</v>
      </c>
      <c r="L234" s="147">
        <f>IF(t&lt;Tvie,1-EXP((T0-t)*PertePVj)+'2020'!Pspv,1-EXP((T0-t)*PertePVj)+Pspv)</f>
        <v>1.7759638632687147E-2</v>
      </c>
      <c r="M234" s="832"/>
      <c r="N234" s="832"/>
      <c r="O234" s="48">
        <f>IF(t&lt;Tnet,'2020'!Resal+('2020'!Salim-'2020'!Resal)*(1-EXP(('2020'!Tnet-t)/('2020'!Tau_j))),Resal+(Salim-Resal)*(1-EXP((Tnet-t)/(Tau_j))))*Salcycl</f>
        <v>6.979841724757356E-2</v>
      </c>
      <c r="P234" s="169">
        <f>(INDEX(Models!$BJ234:$BT234,,T234)*(1-R234)+INDEX(Models!$BJ234:$BT234,,T234+1)*R234-ERP_i)*Q234*Ramure*Pc/MaxiM</f>
        <v>1.6471759347323953E-4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53.475371244645103</v>
      </c>
      <c r="W234" s="400"/>
      <c r="X234" s="157">
        <f t="shared" si="83"/>
        <v>44416</v>
      </c>
      <c r="Y234" s="383">
        <f t="shared" si="84"/>
        <v>39.180999999999997</v>
      </c>
      <c r="Z234" s="383">
        <f t="shared" si="85"/>
        <v>39.889421714923913</v>
      </c>
      <c r="AA234" s="384">
        <f t="shared" si="86"/>
        <v>42.882556270107422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6.979841724757356E-2</v>
      </c>
      <c r="AD234" s="230">
        <f>(INDEX(Models!$BJ234:$BT234,,AH234)*(1-AF234)+INDEX(Models!$BJ234:$BT234,,AH234+1)*AF234-ERP_i)*AE234*Ramure*Pc/MaxiM</f>
        <v>1.6471759347323953E-4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51.285000000000004</v>
      </c>
      <c r="C235" s="388"/>
      <c r="D235" s="391">
        <f t="shared" si="74"/>
        <v>52.21327172177071</v>
      </c>
      <c r="E235" s="383">
        <f t="shared" si="96"/>
        <v>56.135835676191064</v>
      </c>
      <c r="F235" s="383">
        <f t="shared" si="75"/>
        <v>56.144783633335642</v>
      </c>
      <c r="G235" s="110">
        <f t="shared" si="97"/>
        <v>0.96162279899154957</v>
      </c>
      <c r="H235" s="412" t="b">
        <f>Wh_hp&gt;='2020'!Maxi_hp</f>
        <v>1</v>
      </c>
      <c r="I235" s="379">
        <f>IF(H235,Wh_hp,'2020'!Maxi_hp)</f>
        <v>56.144783633335642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1.7778463045127646E-2</v>
      </c>
      <c r="M235" s="832"/>
      <c r="N235" s="832"/>
      <c r="O235" s="48">
        <f>IF(t&lt;Tnet,'2020'!Resal+('2020'!Salim-'2020'!Resal)*(1-EXP(('2020'!Tnet-t)/('2020'!Tau_j))),Resal+(Salim-Resal)*(1-EXP((Tnet-t)/(Tau_j))))*Salcycl</f>
        <v>6.9876290379765935E-2</v>
      </c>
      <c r="P235" s="169">
        <f>(INDEX(Models!$BJ235:$BT235,,T235)*(1-R235)+INDEX(Models!$BJ235:$BT235,,T235+1)*R235-ERP_i)*Q235*Ramure*Pc/MaxiM</f>
        <v>1.6861500740813912E-4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53.331229247991125</v>
      </c>
      <c r="W235" s="400"/>
      <c r="X235" s="157">
        <f t="shared" si="83"/>
        <v>44417</v>
      </c>
      <c r="Y235" s="383">
        <f t="shared" si="84"/>
        <v>51.285000000000004</v>
      </c>
      <c r="Z235" s="383">
        <f t="shared" si="85"/>
        <v>52.21327172177071</v>
      </c>
      <c r="AA235" s="384">
        <f t="shared" si="86"/>
        <v>56.135835676191064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6.9876290379765935E-2</v>
      </c>
      <c r="AD235" s="230">
        <f>(INDEX(Models!$BJ235:$BT235,,AH235)*(1-AF235)+INDEX(Models!$BJ235:$BT235,,AH235+1)*AF235-ERP_i)*AE235*Ramure*Pc/MaxiM</f>
        <v>1.6861500740813912E-4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48.753</v>
      </c>
      <c r="C236" s="388"/>
      <c r="D236" s="391">
        <f t="shared" si="74"/>
        <v>49.636393139147167</v>
      </c>
      <c r="E236" s="383">
        <f t="shared" si="96"/>
        <v>53.36982178983434</v>
      </c>
      <c r="F236" s="383">
        <f t="shared" si="75"/>
        <v>53.37794367209424</v>
      </c>
      <c r="G236" s="110">
        <f t="shared" si="97"/>
        <v>0.91664741011112016</v>
      </c>
      <c r="H236" s="412" t="b">
        <f>Wh_hp&gt;='2020'!Maxi_hp</f>
        <v>1</v>
      </c>
      <c r="I236" s="379">
        <f>IF(H236,Wh_hp,'2020'!Maxi_hp)</f>
        <v>53.37794367209424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1.7797287096802616E-2</v>
      </c>
      <c r="M236" s="832"/>
      <c r="N236" s="832"/>
      <c r="O236" s="48">
        <f>IF(t&lt;Tnet,'2020'!Resal+('2020'!Salim-'2020'!Resal)*(1-EXP(('2020'!Tnet-t)/('2020'!Tau_j))),Resal+(Salim-Resal)*(1-EXP((Tnet-t)/(Tau_j))))*Salcycl</f>
        <v>6.9953927622038642E-2</v>
      </c>
      <c r="P236" s="169">
        <f>(INDEX(Models!$BJ236:$BT236,,T236)*(1-R236)+INDEX(Models!$BJ236:$BT236,,T236+1)*R236-ERP_i)*Q236*Ramure*Pc/MaxiM</f>
        <v>1.7272002891344704E-4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53.185114418148764</v>
      </c>
      <c r="W236" s="400"/>
      <c r="X236" s="157">
        <f t="shared" si="83"/>
        <v>44418</v>
      </c>
      <c r="Y236" s="383">
        <f t="shared" si="84"/>
        <v>48.753</v>
      </c>
      <c r="Z236" s="383">
        <f t="shared" si="85"/>
        <v>49.636393139147167</v>
      </c>
      <c r="AA236" s="384">
        <f t="shared" si="86"/>
        <v>53.36982178983434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6.9953927622038642E-2</v>
      </c>
      <c r="AD236" s="230">
        <f>(INDEX(Models!$BJ236:$BT236,,AH236)*(1-AF236)+INDEX(Models!$BJ236:$BT236,,AH236+1)*AF236-ERP_i)*AE236*Ramure*Pc/MaxiM</f>
        <v>1.7272002891344704E-4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47.411999999999999</v>
      </c>
      <c r="C237" s="388"/>
      <c r="D237" s="391">
        <f t="shared" si="74"/>
        <v>48.272019650031922</v>
      </c>
      <c r="E237" s="383">
        <f t="shared" si="96"/>
        <v>51.907145990721645</v>
      </c>
      <c r="F237" s="383">
        <f t="shared" si="75"/>
        <v>51.914944304147305</v>
      </c>
      <c r="G237" s="110">
        <f t="shared" si="97"/>
        <v>0.8939209027468723</v>
      </c>
      <c r="H237" s="412" t="b">
        <f>Wh_hp&gt;='2020'!Maxi_hp</f>
        <v>1</v>
      </c>
      <c r="I237" s="379">
        <f>IF(H237,Wh_hp,'2020'!Maxi_hp)</f>
        <v>51.914944304147305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1.7816110787719053E-2</v>
      </c>
      <c r="M237" s="832"/>
      <c r="N237" s="832"/>
      <c r="O237" s="48">
        <f>IF(t&lt;Tnet,'2020'!Resal+('2020'!Salim-'2020'!Resal)*(1-EXP(('2020'!Tnet-t)/('2020'!Tau_j))),Resal+(Salim-Resal)*(1-EXP((Tnet-t)/(Tau_j))))*Salcycl</f>
        <v>7.0031327504299648E-2</v>
      </c>
      <c r="P237" s="169">
        <f>(INDEX(Models!$BJ237:$BT237,,T237)*(1-R237)+INDEX(Models!$BJ237:$BT237,,T237+1)*R237-ERP_i)*Q237*Ramure*Pc/MaxiM</f>
        <v>1.770354291003094E-4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53.036826827680031</v>
      </c>
      <c r="W237" s="400"/>
      <c r="X237" s="157">
        <f t="shared" si="83"/>
        <v>44419</v>
      </c>
      <c r="Y237" s="383">
        <f t="shared" si="84"/>
        <v>47.411999999999999</v>
      </c>
      <c r="Z237" s="383">
        <f t="shared" si="85"/>
        <v>48.272019650031922</v>
      </c>
      <c r="AA237" s="384">
        <f t="shared" si="86"/>
        <v>51.907145990721645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7.0031327504299648E-2</v>
      </c>
      <c r="AD237" s="230">
        <f>(INDEX(Models!$BJ237:$BT237,,AH237)*(1-AF237)+INDEX(Models!$BJ237:$BT237,,AH237+1)*AF237-ERP_i)*AE237*Ramure*Pc/MaxiM</f>
        <v>1.770354291003094E-4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45.249000000000002</v>
      </c>
      <c r="C238" s="388"/>
      <c r="D238" s="391">
        <f t="shared" si="74"/>
        <v>46.070667316354111</v>
      </c>
      <c r="E238" s="383">
        <f t="shared" si="96"/>
        <v>49.544131436799368</v>
      </c>
      <c r="F238" s="383">
        <f t="shared" si="75"/>
        <v>49.551272171004257</v>
      </c>
      <c r="G238" s="110">
        <f t="shared" si="97"/>
        <v>0.85556030502630631</v>
      </c>
      <c r="H238" s="412" t="b">
        <f>Wh_hp&gt;='2020'!Maxi_hp</f>
        <v>1</v>
      </c>
      <c r="I238" s="379">
        <f>IF(H238,Wh_hp,'2020'!Maxi_hp)</f>
        <v>49.551272171004257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1.7834934117883616E-2</v>
      </c>
      <c r="M238" s="832"/>
      <c r="N238" s="832"/>
      <c r="O238" s="48">
        <f>IF(t&lt;Tnet,'2020'!Resal+('2020'!Salim-'2020'!Resal)*(1-EXP(('2020'!Tnet-t)/('2020'!Tau_j))),Resal+(Salim-Resal)*(1-EXP((Tnet-t)/(Tau_j))))*Salcycl</f>
        <v>7.0108487518368498E-2</v>
      </c>
      <c r="P238" s="169">
        <f>(INDEX(Models!$BJ238:$BT238,,T238)*(1-R238)+INDEX(Models!$BJ238:$BT238,,T238+1)*R238-ERP_i)*Q238*Ramure*Pc/MaxiM</f>
        <v>1.8156403945292874E-4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52.886166692274912</v>
      </c>
      <c r="W238" s="400"/>
      <c r="X238" s="157">
        <f t="shared" si="83"/>
        <v>44420</v>
      </c>
      <c r="Y238" s="383">
        <f t="shared" si="84"/>
        <v>45.249000000000002</v>
      </c>
      <c r="Z238" s="383">
        <f t="shared" si="85"/>
        <v>46.070667316354111</v>
      </c>
      <c r="AA238" s="384">
        <f t="shared" si="86"/>
        <v>49.544131436799368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7.0108487518368498E-2</v>
      </c>
      <c r="AD238" s="230">
        <f>(INDEX(Models!$BJ238:$BT238,,AH238)*(1-AF238)+INDEX(Models!$BJ238:$BT238,,AH238+1)*AF238-ERP_i)*AE238*Ramure*Pc/MaxiM</f>
        <v>1.8156403945292874E-4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30.186</v>
      </c>
      <c r="C239" s="388"/>
      <c r="D239" s="391">
        <f t="shared" si="74"/>
        <v>30.734730410899964</v>
      </c>
      <c r="E239" s="383">
        <f t="shared" si="96"/>
        <v>33.054686976866492</v>
      </c>
      <c r="F239" s="383">
        <f t="shared" si="75"/>
        <v>33.057083917740755</v>
      </c>
      <c r="G239" s="110">
        <f t="shared" si="97"/>
        <v>0.57236649089013025</v>
      </c>
      <c r="H239" s="412" t="b">
        <f>Wh_hp&gt;='2020'!Maxi_hp</f>
        <v>0</v>
      </c>
      <c r="I239" s="379">
        <f>IF(H239,Wh_hp,'2020'!Maxi_hp)</f>
        <v>49.870847104426645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1.7853757087303412E-2</v>
      </c>
      <c r="M239" s="832"/>
      <c r="N239" s="832"/>
      <c r="O239" s="48">
        <f>IF(t&lt;Tnet,'2020'!Resal+('2020'!Salim-'2020'!Resal)*(1-EXP(('2020'!Tnet-t)/('2020'!Tau_j))),Resal+(Salim-Resal)*(1-EXP((Tnet-t)/(Tau_j))))*Salcycl</f>
        <v>7.0185404193667478E-2</v>
      </c>
      <c r="P239" s="169">
        <f>(INDEX(Models!$BJ239:$BT239,,T239)*(1-R239)+INDEX(Models!$BJ239:$BT239,,T239+1)*R239-ERP_i)*Q239*Ramure*Pc/MaxiM</f>
        <v>1.8630876169629623E-4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52.732934362942252</v>
      </c>
      <c r="W239" s="400"/>
      <c r="X239" s="157">
        <f t="shared" si="83"/>
        <v>44421</v>
      </c>
      <c r="Y239" s="383">
        <f t="shared" si="84"/>
        <v>30.185999999999996</v>
      </c>
      <c r="Z239" s="383">
        <f t="shared" si="85"/>
        <v>30.73473041089996</v>
      </c>
      <c r="AA239" s="384">
        <f t="shared" si="86"/>
        <v>33.054686976866492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7.0185404193667478E-2</v>
      </c>
      <c r="AD239" s="230">
        <f>(INDEX(Models!$BJ239:$BT239,,AH239)*(1-AF239)+INDEX(Models!$BJ239:$BT239,,AH239+1)*AF239-ERP_i)*AE239*Ramure*Pc/MaxiM</f>
        <v>1.8630876169629623E-4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46.428000000000004</v>
      </c>
      <c r="C240" s="388"/>
      <c r="D240" s="391">
        <f t="shared" si="74"/>
        <v>47.272888466578344</v>
      </c>
      <c r="E240" s="383">
        <f t="shared" si="96"/>
        <v>50.845391053198227</v>
      </c>
      <c r="F240" s="383">
        <f t="shared" si="75"/>
        <v>50.853496740239017</v>
      </c>
      <c r="G240" s="110">
        <f t="shared" si="97"/>
        <v>0.88302073497252986</v>
      </c>
      <c r="H240" s="412" t="b">
        <f>Wh_hp&gt;='2020'!Maxi_hp</f>
        <v>0</v>
      </c>
      <c r="I240" s="379">
        <f>IF(H240,Wh_hp,'2020'!Maxi_hp)</f>
        <v>56.99494858795164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1.7872579695985213E-2</v>
      </c>
      <c r="M240" s="832"/>
      <c r="N240" s="832"/>
      <c r="O240" s="48">
        <f>IF(t&lt;Tnet,'2020'!Resal+('2020'!Salim-'2020'!Resal)*(1-EXP(('2020'!Tnet-t)/('2020'!Tau_j))),Resal+(Salim-Resal)*(1-EXP((Tnet-t)/(Tau_j))))*Salcycl</f>
        <v>7.0262073171628608E-2</v>
      </c>
      <c r="P240" s="169">
        <f>(INDEX(Models!$BJ240:$BT240,,T240)*(1-R240)+INDEX(Models!$BJ240:$BT240,,T240+1)*R240-ERP_i)*Q240*Ramure*Pc/MaxiM</f>
        <v>1.9136478277806664E-4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52.576925472638266</v>
      </c>
      <c r="W240" s="400"/>
      <c r="X240" s="157">
        <f t="shared" si="83"/>
        <v>44422</v>
      </c>
      <c r="Y240" s="383">
        <f t="shared" si="84"/>
        <v>46.428000000000004</v>
      </c>
      <c r="Z240" s="383">
        <f t="shared" si="85"/>
        <v>47.272888466578344</v>
      </c>
      <c r="AA240" s="384">
        <f t="shared" si="86"/>
        <v>50.845391053198227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7.0262073171628608E-2</v>
      </c>
      <c r="AD240" s="230">
        <f>(INDEX(Models!$BJ240:$BT240,,AH240)*(1-AF240)+INDEX(Models!$BJ240:$BT240,,AH240+1)*AF240-ERP_i)*AE240*Ramure*Pc/MaxiM</f>
        <v>1.9136478277806664E-4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20.990000000000002</v>
      </c>
      <c r="C241" s="388"/>
      <c r="D241" s="391">
        <f t="shared" si="74"/>
        <v>21.372381874618089</v>
      </c>
      <c r="E241" s="383">
        <f t="shared" si="96"/>
        <v>22.989423169745798</v>
      </c>
      <c r="F241" s="383">
        <f t="shared" si="75"/>
        <v>22.990071772191705</v>
      </c>
      <c r="G241" s="110">
        <f t="shared" si="97"/>
        <v>0.40036793388716024</v>
      </c>
      <c r="H241" s="412" t="b">
        <f>Wh_hp&gt;='2020'!Maxi_hp</f>
        <v>0</v>
      </c>
      <c r="I241" s="379">
        <f>IF(H241,Wh_hp,'2020'!Maxi_hp)</f>
        <v>50.673625731633024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1.7891401943936125E-2</v>
      </c>
      <c r="M241" s="832"/>
      <c r="N241" s="832"/>
      <c r="O241" s="48">
        <f>IF(t&lt;Tnet,'2020'!Resal+('2020'!Salim-'2020'!Resal)*(1-EXP(('2020'!Tnet-t)/('2020'!Tau_j))),Resal+(Salim-Resal)*(1-EXP((Tnet-t)/(Tau_j))))*Salcycl</f>
        <v>7.033848927778856E-2</v>
      </c>
      <c r="P241" s="169">
        <f>(INDEX(Models!$BJ241:$BT241,,T241)*(1-R241)+INDEX(Models!$BJ241:$BT241,,T241+1)*R241-ERP_i)*Q241*Ramure*Pc/MaxiM</f>
        <v>1.9662991184854077E-4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52.417946188921015</v>
      </c>
      <c r="W241" s="400"/>
      <c r="X241" s="157">
        <f t="shared" si="83"/>
        <v>44423</v>
      </c>
      <c r="Y241" s="383">
        <f t="shared" si="84"/>
        <v>20.990000000000002</v>
      </c>
      <c r="Z241" s="383">
        <f t="shared" si="85"/>
        <v>21.372381874618089</v>
      </c>
      <c r="AA241" s="384">
        <f t="shared" si="86"/>
        <v>22.989423169745798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7.033848927778856E-2</v>
      </c>
      <c r="AD241" s="230">
        <f>(INDEX(Models!$BJ241:$BT241,,AH241)*(1-AF241)+INDEX(Models!$BJ241:$BT241,,AH241+1)*AF241-ERP_i)*AE241*Ramure*Pc/MaxiM</f>
        <v>1.9662991184854077E-4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30.318999999999999</v>
      </c>
      <c r="C242" s="388"/>
      <c r="D242" s="391">
        <f t="shared" si="74"/>
        <v>30.871923051959019</v>
      </c>
      <c r="E242" s="383">
        <f t="shared" si="96"/>
        <v>33.210423269613379</v>
      </c>
      <c r="F242" s="383">
        <f t="shared" si="75"/>
        <v>33.213110264622685</v>
      </c>
      <c r="G242" s="110">
        <f t="shared" si="97"/>
        <v>0.58013323827917906</v>
      </c>
      <c r="H242" s="412" t="b">
        <f>Wh_hp&gt;='2020'!Maxi_hp</f>
        <v>0</v>
      </c>
      <c r="I242" s="379">
        <f>IF(H242,Wh_hp,'2020'!Maxi_hp)</f>
        <v>55.891220971481495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1.7910223831162808E-2</v>
      </c>
      <c r="M242" s="832"/>
      <c r="N242" s="832"/>
      <c r="O242" s="48">
        <f>IF(t&lt;Tnet,'2020'!Resal+('2020'!Salim-'2020'!Resal)*(1-EXP(('2020'!Tnet-t)/('2020'!Tau_j))),Resal+(Salim-Resal)*(1-EXP((Tnet-t)/(Tau_j))))*Salcycl</f>
        <v>7.0414646590608809E-2</v>
      </c>
      <c r="P242" s="169">
        <f>(INDEX(Models!$BJ242:$BT242,,T242)*(1-R242)+INDEX(Models!$BJ242:$BT242,,T242+1)*R242-ERP_i)*Q242*Ramure*Pc/MaxiM</f>
        <v>2.0210715636856123E-4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52.255797241465913</v>
      </c>
      <c r="W242" s="400"/>
      <c r="X242" s="157">
        <f t="shared" si="83"/>
        <v>44424</v>
      </c>
      <c r="Y242" s="383">
        <f t="shared" si="84"/>
        <v>30.319000000000003</v>
      </c>
      <c r="Z242" s="383">
        <f t="shared" si="85"/>
        <v>30.871923051959023</v>
      </c>
      <c r="AA242" s="384">
        <f t="shared" si="86"/>
        <v>33.210423269613379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7.0414646590608809E-2</v>
      </c>
      <c r="AD242" s="230">
        <f>(INDEX(Models!$BJ242:$BT242,,AH242)*(1-AF242)+INDEX(Models!$BJ242:$BT242,,AH242+1)*AF242-ERP_i)*AE242*Ramure*Pc/MaxiM</f>
        <v>2.0210715636856123E-4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40.445999999999998</v>
      </c>
      <c r="C243" s="388"/>
      <c r="D243" s="391">
        <f t="shared" si="74"/>
        <v>41.1843969204145</v>
      </c>
      <c r="E243" s="383">
        <f t="shared" si="96"/>
        <v>44.307668320260873</v>
      </c>
      <c r="F243" s="383">
        <f t="shared" si="75"/>
        <v>44.313936092351256</v>
      </c>
      <c r="G243" s="110">
        <f t="shared" si="97"/>
        <v>0.77640811405382093</v>
      </c>
      <c r="H243" s="412" t="b">
        <f>Wh_hp&gt;='2020'!Maxi_hp</f>
        <v>0</v>
      </c>
      <c r="I243" s="379">
        <f>IF(H243,Wh_hp,'2020'!Maxi_hp)</f>
        <v>54.973908818601828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1.792904535767248E-2</v>
      </c>
      <c r="M243" s="832"/>
      <c r="N243" s="832"/>
      <c r="O243" s="48">
        <f>IF(t&lt;Tnet,'2020'!Resal+('2020'!Salim-'2020'!Resal)*(1-EXP(('2020'!Tnet-t)/('2020'!Tau_j))),Resal+(Salim-Resal)*(1-EXP((Tnet-t)/(Tau_j))))*Salcycl</f>
        <v>7.049053850613432E-2</v>
      </c>
      <c r="P243" s="169">
        <f>(INDEX(Models!$BJ243:$BT243,,T243)*(1-R243)+INDEX(Models!$BJ243:$BT243,,T243+1)*R243-ERP_i)*Q243*Ramure*Pc/MaxiM</f>
        <v>2.0779963708863932E-4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52.090279473593782</v>
      </c>
      <c r="W243" s="400"/>
      <c r="X243" s="157">
        <f t="shared" si="83"/>
        <v>44425</v>
      </c>
      <c r="Y243" s="383">
        <f t="shared" si="84"/>
        <v>40.445999999999998</v>
      </c>
      <c r="Z243" s="383">
        <f t="shared" si="85"/>
        <v>41.1843969204145</v>
      </c>
      <c r="AA243" s="384">
        <f t="shared" si="86"/>
        <v>44.307668320260873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7.049053850613432E-2</v>
      </c>
      <c r="AD243" s="230">
        <f>(INDEX(Models!$BJ243:$BT243,,AH243)*(1-AF243)+INDEX(Models!$BJ243:$BT243,,AH243+1)*AF243-ERP_i)*AE243*Ramure*Pc/MaxiM</f>
        <v>2.0779963708863932E-4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49.541000000000004</v>
      </c>
      <c r="C244" s="388"/>
      <c r="D244" s="391">
        <f t="shared" si="74"/>
        <v>50.4464053498073</v>
      </c>
      <c r="E244" s="383">
        <f t="shared" si="96"/>
        <v>54.276488609747332</v>
      </c>
      <c r="F244" s="383">
        <f t="shared" si="75"/>
        <v>54.287330596628593</v>
      </c>
      <c r="G244" s="110">
        <f t="shared" si="97"/>
        <v>0.95414421043745068</v>
      </c>
      <c r="H244" s="412" t="b">
        <f>Wh_hp&gt;='2020'!Maxi_hp</f>
        <v>1</v>
      </c>
      <c r="I244" s="379">
        <f>IF(H244,Wh_hp,'2020'!Maxi_hp)</f>
        <v>54.287330596628593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1.79478665234718E-2</v>
      </c>
      <c r="M244" s="832"/>
      <c r="N244" s="832"/>
      <c r="O244" s="48">
        <f>IF(t&lt;Tnet,'2020'!Resal+('2020'!Salim-'2020'!Resal)*(1-EXP(('2020'!Tnet-t)/('2020'!Tau_j))),Resal+(Salim-Resal)*(1-EXP((Tnet-t)/(Tau_j))))*Salcycl</f>
        <v>7.0566157797691528E-2</v>
      </c>
      <c r="P244" s="169">
        <f>(INDEX(Models!$BJ244:$BT244,,T244)*(1-R244)+INDEX(Models!$BJ244:$BT244,,T244+1)*R244-ERP_i)*Q244*Ramure*Pc/MaxiM</f>
        <v>2.1371059855059685E-4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51.921193837282125</v>
      </c>
      <c r="W244" s="400"/>
      <c r="X244" s="157">
        <f t="shared" si="83"/>
        <v>44426</v>
      </c>
      <c r="Y244" s="383">
        <f t="shared" si="84"/>
        <v>49.541000000000004</v>
      </c>
      <c r="Z244" s="383">
        <f t="shared" si="85"/>
        <v>50.4464053498073</v>
      </c>
      <c r="AA244" s="384">
        <f t="shared" si="86"/>
        <v>54.276488609747332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7.0566157797691528E-2</v>
      </c>
      <c r="AD244" s="230">
        <f>(INDEX(Models!$BJ244:$BT244,,AH244)*(1-AF244)+INDEX(Models!$BJ244:$BT244,,AH244+1)*AF244-ERP_i)*AE244*Ramure*Pc/MaxiM</f>
        <v>2.1371059855059685E-4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42.155999999999999</v>
      </c>
      <c r="C245" s="388"/>
      <c r="D245" s="391">
        <f t="shared" si="74"/>
        <v>42.927260670335848</v>
      </c>
      <c r="E245" s="383">
        <f t="shared" si="96"/>
        <v>46.190205950146115</v>
      </c>
      <c r="F245" s="383">
        <f t="shared" si="75"/>
        <v>46.197672752985881</v>
      </c>
      <c r="G245" s="110">
        <f t="shared" si="97"/>
        <v>0.81458737242419488</v>
      </c>
      <c r="H245" s="412" t="b">
        <f>Wh_hp&gt;='2020'!Maxi_hp</f>
        <v>1</v>
      </c>
      <c r="I245" s="379">
        <f>IF(H245,Wh_hp,'2020'!Maxi_hp)</f>
        <v>46.197672752985881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1.7966687328567765E-2</v>
      </c>
      <c r="M245" s="832"/>
      <c r="N245" s="832"/>
      <c r="O245" s="48">
        <f>IF(t&lt;Tnet,'2020'!Resal+('2020'!Salim-'2020'!Resal)*(1-EXP(('2020'!Tnet-t)/('2020'!Tau_j))),Resal+(Salim-Resal)*(1-EXP((Tnet-t)/(Tau_j))))*Salcycl</f>
        <v>7.0641496669922102E-2</v>
      </c>
      <c r="P245" s="169">
        <f>(INDEX(Models!$BJ245:$BT245,,T245)*(1-R245)+INDEX(Models!$BJ245:$BT245,,T245+1)*R245-ERP_i)*Q245*Ramure*Pc/MaxiM</f>
        <v>2.1984341993384576E-4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51.748341392774037</v>
      </c>
      <c r="W245" s="400"/>
      <c r="X245" s="157">
        <f t="shared" si="83"/>
        <v>44427</v>
      </c>
      <c r="Y245" s="383">
        <f t="shared" si="84"/>
        <v>42.155999999999999</v>
      </c>
      <c r="Z245" s="383">
        <f t="shared" si="85"/>
        <v>42.927260670335848</v>
      </c>
      <c r="AA245" s="384">
        <f t="shared" si="86"/>
        <v>46.190205950146115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7.0641496669922102E-2</v>
      </c>
      <c r="AD245" s="230">
        <f>(INDEX(Models!$BJ245:$BT245,,AH245)*(1-AF245)+INDEX(Models!$BJ245:$BT245,,AH245+1)*AF245-ERP_i)*AE245*Ramure*Pc/MaxiM</f>
        <v>2.1984341993384576E-4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48.978999999999999</v>
      </c>
      <c r="C246" s="388"/>
      <c r="D246" s="391">
        <f t="shared" si="74"/>
        <v>49.876046013256293</v>
      </c>
      <c r="E246" s="383">
        <f t="shared" si="96"/>
        <v>53.671509851874852</v>
      </c>
      <c r="F246" s="383">
        <f t="shared" si="75"/>
        <v>53.682780926173528</v>
      </c>
      <c r="G246" s="110">
        <f t="shared" si="97"/>
        <v>0.94971412621633855</v>
      </c>
      <c r="H246" s="412" t="b">
        <f>Wh_hp&gt;='2020'!Maxi_hp</f>
        <v>0</v>
      </c>
      <c r="I246" s="379">
        <f>IF(H246,Wh_hp,'2020'!Maxi_hp)</f>
        <v>54.148605267577729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1.7985507772967257E-2</v>
      </c>
      <c r="M246" s="832"/>
      <c r="N246" s="832"/>
      <c r="O246" s="48">
        <f>IF(t&lt;Tnet,'2020'!Resal+('2020'!Salim-'2020'!Resal)*(1-EXP(('2020'!Tnet-t)/('2020'!Tau_j))),Resal+(Salim-Resal)*(1-EXP((Tnet-t)/(Tau_j))))*Salcycl</f>
        <v>7.0716546806554481E-2</v>
      </c>
      <c r="P246" s="169">
        <f>(INDEX(Models!$BJ246:$BT246,,T246)*(1-R246)+INDEX(Models!$BJ246:$BT246,,T246+1)*R246-ERP_i)*Q246*Ramure*Pc/MaxiM</f>
        <v>2.2620162632847475E-4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51.571523297511021</v>
      </c>
      <c r="W246" s="400"/>
      <c r="X246" s="157">
        <f t="shared" si="83"/>
        <v>44428</v>
      </c>
      <c r="Y246" s="383">
        <f t="shared" si="84"/>
        <v>48.978999999999999</v>
      </c>
      <c r="Z246" s="383">
        <f t="shared" si="85"/>
        <v>49.876046013256293</v>
      </c>
      <c r="AA246" s="384">
        <f t="shared" si="86"/>
        <v>53.671509851874852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7.0716546806554481E-2</v>
      </c>
      <c r="AD246" s="230">
        <f>(INDEX(Models!$BJ246:$BT246,,AH246)*(1-AF246)+INDEX(Models!$BJ246:$BT246,,AH246+1)*AF246-ERP_i)*AE246*Ramure*Pc/MaxiM</f>
        <v>2.2620162632847475E-4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46.384</v>
      </c>
      <c r="C247" s="388"/>
      <c r="D247" s="391">
        <f t="shared" si="74"/>
        <v>47.234424056840687</v>
      </c>
      <c r="E247" s="383">
        <f t="shared" si="96"/>
        <v>50.832954993772425</v>
      </c>
      <c r="F247" s="383">
        <f t="shared" si="75"/>
        <v>50.843143246769657</v>
      </c>
      <c r="G247" s="110">
        <f t="shared" si="97"/>
        <v>0.90254050849320644</v>
      </c>
      <c r="H247" s="412" t="b">
        <f>Wh_hp&gt;='2020'!Maxi_hp</f>
        <v>0</v>
      </c>
      <c r="I247" s="379">
        <f>IF(H247,Wh_hp,'2020'!Maxi_hp)</f>
        <v>54.553633144965026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1.8004327856677271E-2</v>
      </c>
      <c r="M247" s="832"/>
      <c r="N247" s="832"/>
      <c r="O247" s="48">
        <f>IF(t&lt;Tnet,'2020'!Resal+('2020'!Salim-'2020'!Resal)*(1-EXP(('2020'!Tnet-t)/('2020'!Tau_j))),Resal+(Salim-Resal)*(1-EXP((Tnet-t)/(Tau_j))))*Salcycl</f>
        <v>7.0791299411427006E-2</v>
      </c>
      <c r="P247" s="169">
        <f>(INDEX(Models!$BJ247:$BT247,,T247)*(1-R247)+INDEX(Models!$BJ247:$BT247,,T247+1)*R247-ERP_i)*Q247*Ramure*Pc/MaxiM</f>
        <v>2.3278663237050369E-4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51.391041610177183</v>
      </c>
      <c r="W247" s="400"/>
      <c r="X247" s="157">
        <f t="shared" si="83"/>
        <v>44429</v>
      </c>
      <c r="Y247" s="383">
        <f t="shared" si="84"/>
        <v>46.384</v>
      </c>
      <c r="Z247" s="383">
        <f t="shared" si="85"/>
        <v>47.234424056840687</v>
      </c>
      <c r="AA247" s="384">
        <f t="shared" si="86"/>
        <v>50.832954993772425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7.0791299411427006E-2</v>
      </c>
      <c r="AD247" s="230">
        <f>(INDEX(Models!$BJ247:$BT247,,AH247)*(1-AF247)+INDEX(Models!$BJ247:$BT247,,AH247+1)*AF247-ERP_i)*AE247*Ramure*Pc/MaxiM</f>
        <v>2.3278663237050369E-4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19.649000000000001</v>
      </c>
      <c r="C248" s="388"/>
      <c r="D248" s="391">
        <f t="shared" si="74"/>
        <v>20.009636634072148</v>
      </c>
      <c r="E248" s="383">
        <f t="shared" si="96"/>
        <v>21.535786170419797</v>
      </c>
      <c r="F248" s="383">
        <f t="shared" si="75"/>
        <v>21.536403334862928</v>
      </c>
      <c r="G248" s="110">
        <f t="shared" si="97"/>
        <v>0.38363363954846474</v>
      </c>
      <c r="H248" s="412" t="b">
        <f>Wh_hp&gt;='2020'!Maxi_hp</f>
        <v>0</v>
      </c>
      <c r="I248" s="379">
        <f>IF(H248,Wh_hp,'2020'!Maxi_hp)</f>
        <v>56.59830554422004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1.802314757970469E-2</v>
      </c>
      <c r="M248" s="832"/>
      <c r="N248" s="832"/>
      <c r="O248" s="48">
        <f>IF(t&lt;Tnet,'2020'!Resal+('2020'!Salim-'2020'!Resal)*(1-EXP(('2020'!Tnet-t)/('2020'!Tau_j))),Resal+(Salim-Resal)*(1-EXP((Tnet-t)/(Tau_j))))*Salcycl</f>
        <v>7.0865745242394362E-2</v>
      </c>
      <c r="P248" s="169">
        <f>(INDEX(Models!$BJ248:$BT248,,T248)*(1-R248)+INDEX(Models!$BJ248:$BT248,,T248+1)*R248-ERP_i)*Q248*Ramure*Pc/MaxiM</f>
        <v>2.3962084575945212E-4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51.207330701840462</v>
      </c>
      <c r="W248" s="400"/>
      <c r="X248" s="157">
        <f t="shared" si="83"/>
        <v>44430</v>
      </c>
      <c r="Y248" s="383">
        <f t="shared" si="84"/>
        <v>19.649000000000001</v>
      </c>
      <c r="Z248" s="383">
        <f t="shared" si="85"/>
        <v>20.009636634072148</v>
      </c>
      <c r="AA248" s="384">
        <f t="shared" si="86"/>
        <v>21.535786170419797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7.0865745242394362E-2</v>
      </c>
      <c r="AD248" s="230">
        <f>(INDEX(Models!$BJ248:$BT248,,AH248)*(1-AF248)+INDEX(Models!$BJ248:$BT248,,AH248+1)*AF248-ERP_i)*AE248*Ramure*Pc/MaxiM</f>
        <v>2.3962084575945212E-4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47.454999999999998</v>
      </c>
      <c r="C249" s="388"/>
      <c r="D249" s="391">
        <f t="shared" si="74"/>
        <v>48.326912558797474</v>
      </c>
      <c r="E249" s="383">
        <f t="shared" si="96"/>
        <v>52.016991408344694</v>
      </c>
      <c r="F249" s="383">
        <f t="shared" si="75"/>
        <v>52.028541843404682</v>
      </c>
      <c r="G249" s="110">
        <f t="shared" si="97"/>
        <v>0.93009531159498515</v>
      </c>
      <c r="H249" s="412" t="b">
        <f>Wh_hp&gt;='2020'!Maxi_hp</f>
        <v>0</v>
      </c>
      <c r="I249" s="379">
        <f>IF(H249,Wh_hp,'2020'!Maxi_hp)</f>
        <v>53.920594526150673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1.8041966942056398E-2</v>
      </c>
      <c r="M249" s="832"/>
      <c r="N249" s="832"/>
      <c r="O249" s="48">
        <f>IF(t&lt;Tnet,'2020'!Resal+('2020'!Salim-'2020'!Resal)*(1-EXP(('2020'!Tnet-t)/('2020'!Tau_j))),Resal+(Salim-Resal)*(1-EXP((Tnet-t)/(Tau_j))))*Salcycl</f>
        <v>7.0939874637871644E-2</v>
      </c>
      <c r="P249" s="169">
        <f>(INDEX(Models!$BJ249:$BT249,,T249)*(1-R249)+INDEX(Models!$BJ249:$BT249,,T249+1)*R249-ERP_i)*Q249*Ramure*Pc/MaxiM</f>
        <v>2.4662249836031222E-4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51.020396273811784</v>
      </c>
      <c r="W249" s="400"/>
      <c r="X249" s="157">
        <f t="shared" si="83"/>
        <v>44431</v>
      </c>
      <c r="Y249" s="383">
        <f t="shared" si="84"/>
        <v>47.454999999999998</v>
      </c>
      <c r="Z249" s="383">
        <f t="shared" si="85"/>
        <v>48.326912558797474</v>
      </c>
      <c r="AA249" s="384">
        <f t="shared" si="86"/>
        <v>52.016991408344694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7.0939874637871644E-2</v>
      </c>
      <c r="AD249" s="230">
        <f>(INDEX(Models!$BJ249:$BT249,,AH249)*(1-AF249)+INDEX(Models!$BJ249:$BT249,,AH249+1)*AF249-ERP_i)*AE249*Ramure*Pc/MaxiM</f>
        <v>2.4662249836031222E-4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43.334000000000003</v>
      </c>
      <c r="C250" s="388"/>
      <c r="D250" s="391">
        <f t="shared" si="74"/>
        <v>44.131041290216935</v>
      </c>
      <c r="E250" s="383">
        <f t="shared" si="96"/>
        <v>47.504511340017267</v>
      </c>
      <c r="F250" s="383">
        <f t="shared" si="75"/>
        <v>47.514029558798249</v>
      </c>
      <c r="G250" s="110">
        <f t="shared" si="97"/>
        <v>0.85247842113525563</v>
      </c>
      <c r="H250" s="412" t="b">
        <f>Wh_hp&gt;='2020'!Maxi_hp</f>
        <v>0</v>
      </c>
      <c r="I250" s="379">
        <f>IF(H250,Wh_hp,'2020'!Maxi_hp)</f>
        <v>53.710943273979339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1.8060785943739388E-2</v>
      </c>
      <c r="M250" s="832"/>
      <c r="N250" s="832"/>
      <c r="O250" s="48">
        <f>IF(t&lt;Tnet,'2020'!Resal+('2020'!Salim-'2020'!Resal)*(1-EXP(('2020'!Tnet-t)/('2020'!Tau_j))),Resal+(Salim-Resal)*(1-EXP((Tnet-t)/(Tau_j))))*Salcycl</f>
        <v>7.1013677535896602E-2</v>
      </c>
      <c r="P250" s="169">
        <f>(INDEX(Models!$BJ250:$BT250,,T250)*(1-R250)+INDEX(Models!$BJ250:$BT250,,T250+1)*R250-ERP_i)*Q250*Ramure*Pc/MaxiM</f>
        <v>2.5379362051365574E-4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50.830239717058404</v>
      </c>
      <c r="W250" s="400"/>
      <c r="X250" s="157">
        <f t="shared" si="83"/>
        <v>44432</v>
      </c>
      <c r="Y250" s="383">
        <f t="shared" si="84"/>
        <v>43.334000000000003</v>
      </c>
      <c r="Z250" s="383">
        <f t="shared" si="85"/>
        <v>44.131041290216935</v>
      </c>
      <c r="AA250" s="384">
        <f t="shared" si="86"/>
        <v>47.504511340017267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7.1013677535896602E-2</v>
      </c>
      <c r="AD250" s="230">
        <f>(INDEX(Models!$BJ250:$BT250,,AH250)*(1-AF250)+INDEX(Models!$BJ250:$BT250,,AH250+1)*AF250-ERP_i)*AE250*Ramure*Pc/MaxiM</f>
        <v>2.5379362051365574E-4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46.142000000000003</v>
      </c>
      <c r="C251" s="388"/>
      <c r="D251" s="391">
        <f t="shared" si="74"/>
        <v>46.991589354335829</v>
      </c>
      <c r="E251" s="383">
        <f t="shared" si="96"/>
        <v>50.58772631339211</v>
      </c>
      <c r="F251" s="383">
        <f t="shared" si="75"/>
        <v>50.59926404911738</v>
      </c>
      <c r="G251" s="110">
        <f t="shared" si="97"/>
        <v>0.91120321180726671</v>
      </c>
      <c r="H251" s="412" t="b">
        <f>Wh_hp&gt;='2020'!Maxi_hp</f>
        <v>1</v>
      </c>
      <c r="I251" s="379">
        <f>IF(H251,Wh_hp,'2020'!Maxi_hp)</f>
        <v>50.59926404911738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1.8079604584760434E-2</v>
      </c>
      <c r="M251" s="832"/>
      <c r="N251" s="832"/>
      <c r="O251" s="48">
        <f>IF(t&lt;Tnet,'2020'!Resal+('2020'!Salim-'2020'!Resal)*(1-EXP(('2020'!Tnet-t)/('2020'!Tau_j))),Resal+(Salim-Resal)*(1-EXP((Tnet-t)/(Tau_j))))*Salcycl</f>
        <v>7.1087143485716833E-2</v>
      </c>
      <c r="P251" s="169">
        <f>(INDEX(Models!$BJ251:$BT251,,T251)*(1-R251)+INDEX(Models!$BJ251:$BT251,,T251+1)*R251-ERP_i)*Q251*Ramure*Pc/MaxiM</f>
        <v>2.6113636454161546E-4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50.6368624274008</v>
      </c>
      <c r="W251" s="400"/>
      <c r="X251" s="157">
        <f t="shared" si="83"/>
        <v>44433</v>
      </c>
      <c r="Y251" s="383">
        <f t="shared" si="84"/>
        <v>46.142000000000003</v>
      </c>
      <c r="Z251" s="383">
        <f t="shared" si="85"/>
        <v>46.991589354335829</v>
      </c>
      <c r="AA251" s="384">
        <f t="shared" si="86"/>
        <v>50.58772631339211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7.1087143485716833E-2</v>
      </c>
      <c r="AD251" s="230">
        <f>(INDEX(Models!$BJ251:$BT251,,AH251)*(1-AF251)+INDEX(Models!$BJ251:$BT251,,AH251+1)*AF251-ERP_i)*AE251*Ramure*Pc/MaxiM</f>
        <v>2.6113636454161546E-4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48.25</v>
      </c>
      <c r="C252" s="388"/>
      <c r="D252" s="391">
        <f t="shared" si="74"/>
        <v>49.139344638584284</v>
      </c>
      <c r="E252" s="383">
        <f t="shared" si="96"/>
        <v>52.904007666579467</v>
      </c>
      <c r="F252" s="383">
        <f t="shared" si="75"/>
        <v>52.917342173852887</v>
      </c>
      <c r="G252" s="110">
        <f t="shared" si="97"/>
        <v>0.95656109091421138</v>
      </c>
      <c r="H252" s="412" t="b">
        <f>Wh_hp&gt;='2020'!Maxi_hp</f>
        <v>0</v>
      </c>
      <c r="I252" s="379">
        <f>IF(H252,Wh_hp,'2020'!Maxi_hp)</f>
        <v>53.844483293966427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1.8098422865126529E-2</v>
      </c>
      <c r="M252" s="832"/>
      <c r="N252" s="832"/>
      <c r="O252" s="48">
        <f>IF(t&lt;Tnet,'2020'!Resal+('2020'!Salim-'2020'!Resal)*(1-EXP(('2020'!Tnet-t)/('2020'!Tau_j))),Resal+(Salim-Resal)*(1-EXP((Tnet-t)/(Tau_j))))*Salcycl</f>
        <v>7.1160261652037413E-2</v>
      </c>
      <c r="P252" s="169">
        <f>(INDEX(Models!$BJ252:$BT252,,T252)*(1-R252)+INDEX(Models!$BJ252:$BT252,,T252+1)*R252-ERP_i)*Q252*Ramure*Pc/MaxiM</f>
        <v>2.6865275588327511E-4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50.440265818527038</v>
      </c>
      <c r="W252" s="400"/>
      <c r="X252" s="157">
        <f t="shared" si="83"/>
        <v>44434</v>
      </c>
      <c r="Y252" s="383">
        <f t="shared" si="84"/>
        <v>48.25</v>
      </c>
      <c r="Z252" s="383">
        <f t="shared" si="85"/>
        <v>49.139344638584284</v>
      </c>
      <c r="AA252" s="384">
        <f t="shared" si="86"/>
        <v>52.904007666579467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7.1160261652037413E-2</v>
      </c>
      <c r="AD252" s="230">
        <f>(INDEX(Models!$BJ252:$BT252,,AH252)*(1-AF252)+INDEX(Models!$BJ252:$BT252,,AH252+1)*AF252-ERP_i)*AE252*Ramure*Pc/MaxiM</f>
        <v>2.6865275588327511E-4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42.497999999999998</v>
      </c>
      <c r="C253" s="388"/>
      <c r="D253" s="391">
        <f t="shared" si="74"/>
        <v>43.282153191048756</v>
      </c>
      <c r="E253" s="383">
        <f t="shared" si="96"/>
        <v>46.60173559238531</v>
      </c>
      <c r="F253" s="383">
        <f t="shared" si="75"/>
        <v>46.611780728353345</v>
      </c>
      <c r="G253" s="110">
        <f t="shared" si="97"/>
        <v>0.84584060892830282</v>
      </c>
      <c r="H253" s="412" t="b">
        <f>Wh_hp&gt;='2020'!Maxi_hp</f>
        <v>1</v>
      </c>
      <c r="I253" s="379">
        <f>IF(H253,Wh_hp,'2020'!Maxi_hp)</f>
        <v>46.611780728353345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1.8117240784844557E-2</v>
      </c>
      <c r="M253" s="832"/>
      <c r="N253" s="832"/>
      <c r="O253" s="48">
        <f>IF(t&lt;Tnet,'2020'!Resal+('2020'!Salim-'2020'!Resal)*(1-EXP(('2020'!Tnet-t)/('2020'!Tau_j))),Resal+(Salim-Resal)*(1-EXP((Tnet-t)/(Tau_j))))*Salcycl</f>
        <v>7.123302081218981E-2</v>
      </c>
      <c r="P253" s="169">
        <f>(INDEX(Models!$BJ253:$BT253,,T253)*(1-R253)+INDEX(Models!$BJ253:$BT253,,T253+1)*R253-ERP_i)*Q253*Ramure*Pc/MaxiM</f>
        <v>2.7634484602131619E-4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50.240451310621147</v>
      </c>
      <c r="W253" s="400"/>
      <c r="X253" s="157">
        <f t="shared" si="83"/>
        <v>44435</v>
      </c>
      <c r="Y253" s="383">
        <f t="shared" si="84"/>
        <v>42.497999999999998</v>
      </c>
      <c r="Z253" s="383">
        <f t="shared" si="85"/>
        <v>43.282153191048756</v>
      </c>
      <c r="AA253" s="384">
        <f t="shared" si="86"/>
        <v>46.60173559238531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7.123302081218981E-2</v>
      </c>
      <c r="AD253" s="230">
        <f>(INDEX(Models!$BJ253:$BT253,,AH253)*(1-AF253)+INDEX(Models!$BJ253:$BT253,,AH253+1)*AF253-ERP_i)*AE253*Ramure*Pc/MaxiM</f>
        <v>2.7634484602131619E-4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49.896000000000001</v>
      </c>
      <c r="C254" s="388"/>
      <c r="D254" s="391">
        <f t="shared" si="74"/>
        <v>50.817631530334047</v>
      </c>
      <c r="E254" s="383">
        <f t="shared" si="96"/>
        <v>54.719422339459022</v>
      </c>
      <c r="F254" s="383">
        <f t="shared" si="75"/>
        <v>54.734917062438733</v>
      </c>
      <c r="G254" s="110">
        <f t="shared" si="97"/>
        <v>0.997172583357959</v>
      </c>
      <c r="H254" s="412" t="b">
        <f>Wh_hp&gt;='2020'!Maxi_hp</f>
        <v>1</v>
      </c>
      <c r="I254" s="379">
        <f>IF(H254,Wh_hp,'2020'!Maxi_hp)</f>
        <v>54.734917062438733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1.8136058343921513E-2</v>
      </c>
      <c r="M254" s="832"/>
      <c r="N254" s="832"/>
      <c r="O254" s="48">
        <f>IF(t&lt;Tnet,'2020'!Resal+('2020'!Salim-'2020'!Resal)*(1-EXP(('2020'!Tnet-t)/('2020'!Tau_j))),Resal+(Salim-Resal)*(1-EXP((Tnet-t)/(Tau_j))))*Salcycl</f>
        <v>7.1305409346606605E-2</v>
      </c>
      <c r="P254" s="169">
        <f>(INDEX(Models!$BJ254:$BT254,,T254)*(1-R254)+INDEX(Models!$BJ254:$BT254,,T254+1)*R254-ERP_i)*Q254*Ramure*Pc/MaxiM</f>
        <v>2.8423423033025581E-4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50.03741935511492</v>
      </c>
      <c r="W254" s="400"/>
      <c r="X254" s="157">
        <f t="shared" si="83"/>
        <v>44436</v>
      </c>
      <c r="Y254" s="383">
        <f t="shared" si="84"/>
        <v>49.896000000000001</v>
      </c>
      <c r="Z254" s="383">
        <f t="shared" si="85"/>
        <v>50.817631530334047</v>
      </c>
      <c r="AA254" s="384">
        <f t="shared" si="86"/>
        <v>54.719422339459022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7.1305409346606605E-2</v>
      </c>
      <c r="AD254" s="230">
        <f>(INDEX(Models!$BJ254:$BT254,,AH254)*(1-AF254)+INDEX(Models!$BJ254:$BT254,,AH254+1)*AF254-ERP_i)*AE254*Ramure*Pc/MaxiM</f>
        <v>2.8423423033025581E-4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49.447000000000003</v>
      </c>
      <c r="C255" s="388"/>
      <c r="D255" s="391">
        <f t="shared" si="74"/>
        <v>50.361303191594672</v>
      </c>
      <c r="E255" s="383">
        <f t="shared" si="96"/>
        <v>54.232261865237945</v>
      </c>
      <c r="F255" s="383">
        <f t="shared" si="75"/>
        <v>54.247939934538053</v>
      </c>
      <c r="G255" s="110">
        <f t="shared" si="97"/>
        <v>0.99228724962962722</v>
      </c>
      <c r="H255" s="412" t="b">
        <f>Wh_hp&gt;='2020'!Maxi_hp</f>
        <v>1</v>
      </c>
      <c r="I255" s="379">
        <f>IF(H255,Wh_hp,'2020'!Maxi_hp)</f>
        <v>54.247939934538053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1.8154875542364168E-2</v>
      </c>
      <c r="M255" s="832"/>
      <c r="N255" s="832"/>
      <c r="O255" s="48">
        <f>IF(t&lt;Tnet,'2020'!Resal+('2020'!Salim-'2020'!Resal)*(1-EXP(('2020'!Tnet-t)/('2020'!Tau_j))),Resal+(Salim-Resal)*(1-EXP((Tnet-t)/(Tau_j))))*Salcycl</f>
        <v>7.1377415223105409E-2</v>
      </c>
      <c r="P255" s="169">
        <f>(INDEX(Models!$BJ255:$BT255,,T255)*(1-R255)+INDEX(Models!$BJ255:$BT255,,T255+1)*R255-ERP_i)*Q255*Ramure*Pc/MaxiM</f>
        <v>2.9222612031174839E-4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49.831176232930183</v>
      </c>
      <c r="W255" s="400"/>
      <c r="X255" s="157">
        <f t="shared" si="83"/>
        <v>44437</v>
      </c>
      <c r="Y255" s="383">
        <f t="shared" si="84"/>
        <v>49.447000000000003</v>
      </c>
      <c r="Z255" s="383">
        <f t="shared" si="85"/>
        <v>50.361303191594672</v>
      </c>
      <c r="AA255" s="384">
        <f t="shared" si="86"/>
        <v>54.232261865237945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7.1377415223105409E-2</v>
      </c>
      <c r="AD255" s="230">
        <f>(INDEX(Models!$BJ255:$BT255,,AH255)*(1-AF255)+INDEX(Models!$BJ255:$BT255,,AH255+1)*AF255-ERP_i)*AE255*Ramure*Pc/MaxiM</f>
        <v>2.9222612031174839E-4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48.219000000000001</v>
      </c>
      <c r="C256" s="388"/>
      <c r="D256" s="391">
        <f t="shared" si="74"/>
        <v>49.111537983632033</v>
      </c>
      <c r="E256" s="383">
        <f t="shared" si="96"/>
        <v>52.890513668602793</v>
      </c>
      <c r="F256" s="383">
        <f t="shared" si="75"/>
        <v>52.905760781813107</v>
      </c>
      <c r="G256" s="110">
        <f t="shared" si="97"/>
        <v>0.97171987884632438</v>
      </c>
      <c r="H256" s="412" t="b">
        <f>Wh_hp&gt;='2020'!Maxi_hp</f>
        <v>1</v>
      </c>
      <c r="I256" s="379">
        <f>IF(H256,Wh_hp,'2020'!Maxi_hp)</f>
        <v>52.905760781813107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1.8173692380179518E-2</v>
      </c>
      <c r="M256" s="832"/>
      <c r="N256" s="832"/>
      <c r="O256" s="48">
        <f>IF(t&lt;Tnet,'2020'!Resal+('2020'!Salim-'2020'!Resal)*(1-EXP(('2020'!Tnet-t)/('2020'!Tau_j))),Resal+(Salim-Resal)*(1-EXP((Tnet-t)/(Tau_j))))*Salcycl</f>
        <v>7.144902597559874E-2</v>
      </c>
      <c r="P256" s="169">
        <f>(INDEX(Models!$BJ256:$BT256,,T256)*(1-R256)+INDEX(Models!$BJ256:$BT256,,T256+1)*R256-ERP_i)*Q256*Ramure*Pc/MaxiM</f>
        <v>3.0032181391355107E-4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49.621723380654814</v>
      </c>
      <c r="W256" s="400"/>
      <c r="X256" s="157">
        <f t="shared" si="83"/>
        <v>44438</v>
      </c>
      <c r="Y256" s="383">
        <f t="shared" si="84"/>
        <v>48.219000000000001</v>
      </c>
      <c r="Z256" s="383">
        <f t="shared" si="85"/>
        <v>49.111537983632033</v>
      </c>
      <c r="AA256" s="384">
        <f t="shared" si="86"/>
        <v>52.890513668602793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7.144902597559874E-2</v>
      </c>
      <c r="AD256" s="230">
        <f>(INDEX(Models!$BJ256:$BT256,,AH256)*(1-AF256)+INDEX(Models!$BJ256:$BT256,,AH256+1)*AF256-ERP_i)*AE256*Ramure*Pc/MaxiM</f>
        <v>3.0032181391355107E-4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47.78</v>
      </c>
      <c r="C257" s="388"/>
      <c r="D257" s="391">
        <f t="shared" si="74"/>
        <v>48.665344714770647</v>
      </c>
      <c r="E257" s="383">
        <f t="shared" si="96"/>
        <v>52.414006441386285</v>
      </c>
      <c r="F257" s="383">
        <f t="shared" si="75"/>
        <v>52.429420207764473</v>
      </c>
      <c r="G257" s="110">
        <f t="shared" si="97"/>
        <v>0.96701502301611841</v>
      </c>
      <c r="H257" s="412" t="b">
        <f>Wh_hp&gt;='2020'!Maxi_hp</f>
        <v>1</v>
      </c>
      <c r="I257" s="379">
        <f>IF(H257,Wh_hp,'2020'!Maxi_hp)</f>
        <v>52.429420207764473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1.8192508857374445E-2</v>
      </c>
      <c r="M257" s="832"/>
      <c r="N257" s="832"/>
      <c r="O257" s="48">
        <f>IF(t&lt;Tnet,'2020'!Resal+('2020'!Salim-'2020'!Resal)*(1-EXP(('2020'!Tnet-t)/('2020'!Tau_j))),Resal+(Salim-Resal)*(1-EXP((Tnet-t)/(Tau_j))))*Salcycl</f>
        <v>7.1520228677952769E-2</v>
      </c>
      <c r="P257" s="169">
        <f>(INDEX(Models!$BJ257:$BT257,,T257)*(1-R257)+INDEX(Models!$BJ257:$BT257,,T257+1)*R257-ERP_i)*Q257*Ramure*Pc/MaxiM</f>
        <v>3.0852260474848359E-4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49.409062246436015</v>
      </c>
      <c r="W257" s="400"/>
      <c r="X257" s="157">
        <f t="shared" si="83"/>
        <v>44439</v>
      </c>
      <c r="Y257" s="383">
        <f t="shared" si="84"/>
        <v>47.78</v>
      </c>
      <c r="Z257" s="383">
        <f t="shared" si="85"/>
        <v>48.665344714770647</v>
      </c>
      <c r="AA257" s="384">
        <f t="shared" si="86"/>
        <v>52.414006441386285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7.1520228677952769E-2</v>
      </c>
      <c r="AD257" s="230">
        <f>(INDEX(Models!$BJ257:$BT257,,AH257)*(1-AF257)+INDEX(Models!$BJ257:$BT257,,AH257+1)*AF257-ERP_i)*AE257*Ramure*Pc/MaxiM</f>
        <v>3.0852260474848359E-4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33.936</v>
      </c>
      <c r="C258" s="388"/>
      <c r="D258" s="391">
        <f t="shared" si="74"/>
        <v>34.56548324831693</v>
      </c>
      <c r="E258" s="383">
        <f t="shared" si="96"/>
        <v>37.230879512603806</v>
      </c>
      <c r="F258" s="383">
        <f t="shared" si="75"/>
        <v>37.237450144282334</v>
      </c>
      <c r="G258" s="110">
        <f t="shared" si="97"/>
        <v>0.68975466626805548</v>
      </c>
      <c r="H258" s="412" t="b">
        <f>Wh_hp&gt;='2020'!Maxi_hp</f>
        <v>0</v>
      </c>
      <c r="I258" s="379">
        <f>IF(H258,Wh_hp,'2020'!Maxi_hp)</f>
        <v>47.872949450269061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1.8211324973955945E-2</v>
      </c>
      <c r="M258" s="832"/>
      <c r="N258" s="832"/>
      <c r="O258" s="48">
        <f>IF(t&lt;Tnet,'2020'!Resal+('2020'!Salim-'2020'!Resal)*(1-EXP(('2020'!Tnet-t)/('2020'!Tau_j))),Resal+(Salim-Resal)*(1-EXP((Tnet-t)/(Tau_j))))*Salcycl</f>
        <v>7.1591009913815201E-2</v>
      </c>
      <c r="P258" s="169">
        <f>(INDEX(Models!$BJ258:$BT258,,T258)*(1-R258)+INDEX(Models!$BJ258:$BT258,,T258+1)*R258-ERP_i)*Q258*Ramure*Pc/MaxiM</f>
        <v>3.1682977814748706E-4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49.193194285850829</v>
      </c>
      <c r="W258" s="400"/>
      <c r="X258" s="157">
        <f t="shared" si="83"/>
        <v>44440</v>
      </c>
      <c r="Y258" s="383">
        <f t="shared" si="84"/>
        <v>33.936</v>
      </c>
      <c r="Z258" s="383">
        <f t="shared" si="85"/>
        <v>34.56548324831693</v>
      </c>
      <c r="AA258" s="384">
        <f t="shared" si="86"/>
        <v>37.230879512603806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7.1591009913815201E-2</v>
      </c>
      <c r="AD258" s="230">
        <f>(INDEX(Models!$BJ258:$BT258,,AH258)*(1-AF258)+INDEX(Models!$BJ258:$BT258,,AH258+1)*AF258-ERP_i)*AE258*Ramure*Pc/MaxiM</f>
        <v>3.1682977814748706E-4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18.423000000000002</v>
      </c>
      <c r="C259" s="388"/>
      <c r="D259" s="391">
        <f t="shared" si="74"/>
        <v>18.765090235808643</v>
      </c>
      <c r="E259" s="383">
        <f t="shared" si="96"/>
        <v>20.213626085590626</v>
      </c>
      <c r="F259" s="383">
        <f t="shared" si="75"/>
        <v>20.214341574255233</v>
      </c>
      <c r="G259" s="110">
        <f t="shared" si="97"/>
        <v>0.3760692290212207</v>
      </c>
      <c r="H259" s="412" t="b">
        <f>Wh_hp&gt;='2020'!Maxi_hp</f>
        <v>0</v>
      </c>
      <c r="I259" s="379">
        <f>IF(H259,Wh_hp,'2020'!Maxi_hp)</f>
        <v>52.448101483562709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1.8230140729930788E-2</v>
      </c>
      <c r="M259" s="832"/>
      <c r="N259" s="832"/>
      <c r="O259" s="48">
        <f>IF(t&lt;Tnet,'2020'!Resal+('2020'!Salim-'2020'!Resal)*(1-EXP(('2020'!Tnet-t)/('2020'!Tau_j))),Resal+(Salim-Resal)*(1-EXP((Tnet-t)/(Tau_j))))*Salcycl</f>
        <v>7.166135574332097E-2</v>
      </c>
      <c r="P259" s="169">
        <f>(INDEX(Models!$BJ259:$BT259,,T259)*(1-R259)+INDEX(Models!$BJ259:$BT259,,T259+1)*R259-ERP_i)*Q259*Ramure*Pc/MaxiM</f>
        <v>3.2524460667538043E-4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48.974120965657242</v>
      </c>
      <c r="W259" s="400"/>
      <c r="X259" s="157">
        <f t="shared" si="83"/>
        <v>44441</v>
      </c>
      <c r="Y259" s="383">
        <f t="shared" si="84"/>
        <v>18.423000000000002</v>
      </c>
      <c r="Z259" s="383">
        <f t="shared" si="85"/>
        <v>18.765090235808643</v>
      </c>
      <c r="AA259" s="384">
        <f t="shared" si="86"/>
        <v>20.213626085590626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7.166135574332097E-2</v>
      </c>
      <c r="AD259" s="230">
        <f>(INDEX(Models!$BJ259:$BT259,,AH259)*(1-AF259)+INDEX(Models!$BJ259:$BT259,,AH259+1)*AF259-ERP_i)*AE259*Ramure*Pc/MaxiM</f>
        <v>3.2524460667538043E-4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32.734000000000002</v>
      </c>
      <c r="C260" s="388"/>
      <c r="D260" s="391">
        <f t="shared" si="74"/>
        <v>33.342465184257051</v>
      </c>
      <c r="E260" s="383">
        <f t="shared" si="96"/>
        <v>35.91897846842064</v>
      </c>
      <c r="F260" s="383">
        <f t="shared" si="75"/>
        <v>35.925341120328966</v>
      </c>
      <c r="G260" s="110">
        <f t="shared" si="97"/>
        <v>0.67133606513677313</v>
      </c>
      <c r="H260" s="412" t="b">
        <f>Wh_hp&gt;='2020'!Maxi_hp</f>
        <v>0</v>
      </c>
      <c r="I260" s="379">
        <f>IF(H260,Wh_hp,'2020'!Maxi_hp)</f>
        <v>55.043508007448153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1.8248956125305971E-2</v>
      </c>
      <c r="M260" s="832"/>
      <c r="N260" s="832"/>
      <c r="O260" s="48">
        <f>IF(t&lt;Tnet,'2020'!Resal+('2020'!Salim-'2020'!Resal)*(1-EXP(('2020'!Tnet-t)/('2020'!Tau_j))),Resal+(Salim-Resal)*(1-EXP((Tnet-t)/(Tau_j))))*Salcycl</f>
        <v>7.1731251667661311E-2</v>
      </c>
      <c r="P260" s="169">
        <f>(INDEX(Models!$BJ260:$BT260,,T260)*(1-R260)+INDEX(Models!$BJ260:$BT260,,T260+1)*R260-ERP_i)*Q260*Ramure*Pc/MaxiM</f>
        <v>3.337683451868224E-4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48.751843762460005</v>
      </c>
      <c r="W260" s="400"/>
      <c r="X260" s="157">
        <f t="shared" si="83"/>
        <v>44442</v>
      </c>
      <c r="Y260" s="383">
        <f t="shared" si="84"/>
        <v>32.734000000000002</v>
      </c>
      <c r="Z260" s="383">
        <f t="shared" si="85"/>
        <v>33.342465184257051</v>
      </c>
      <c r="AA260" s="384">
        <f t="shared" si="86"/>
        <v>35.91897846842064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7.1731251667661311E-2</v>
      </c>
      <c r="AD260" s="230">
        <f>(INDEX(Models!$BJ260:$BT260,,AH260)*(1-AF260)+INDEX(Models!$BJ260:$BT260,,AH260+1)*AF260-ERP_i)*AE260*Ramure*Pc/MaxiM</f>
        <v>3.337683451868224E-4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40.640999999999998</v>
      </c>
      <c r="C261" s="388"/>
      <c r="D261" s="391">
        <f t="shared" si="74"/>
        <v>41.397235219652977</v>
      </c>
      <c r="E261" s="383">
        <f t="shared" si="96"/>
        <v>44.599510518150566</v>
      </c>
      <c r="F261" s="383">
        <f t="shared" si="75"/>
        <v>44.611239603025219</v>
      </c>
      <c r="G261" s="110">
        <f t="shared" si="97"/>
        <v>0.8374369173641969</v>
      </c>
      <c r="H261" s="412" t="b">
        <f>Wh_hp&gt;='2020'!Maxi_hp</f>
        <v>0</v>
      </c>
      <c r="I261" s="379">
        <f>IF(H261,Wh_hp,'2020'!Maxi_hp)</f>
        <v>53.392231312994895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1.8267771160088486E-2</v>
      </c>
      <c r="M261" s="832"/>
      <c r="N261" s="832"/>
      <c r="O261" s="48">
        <f>IF(t&lt;Tnet,'2020'!Resal+('2020'!Salim-'2020'!Resal)*(1-EXP(('2020'!Tnet-t)/('2020'!Tau_j))),Resal+(Salim-Resal)*(1-EXP((Tnet-t)/(Tau_j))))*Salcycl</f>
        <v>7.180068259256725E-2</v>
      </c>
      <c r="P261" s="169">
        <f>(INDEX(Models!$BJ261:$BT261,,T261)*(1-R261)+INDEX(Models!$BJ261:$BT261,,T261+1)*R261-ERP_i)*Q261*Ramure*Pc/MaxiM</f>
        <v>3.4240222535741253E-4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48.526364168549165</v>
      </c>
      <c r="W261" s="400"/>
      <c r="X261" s="157">
        <f t="shared" si="83"/>
        <v>44443</v>
      </c>
      <c r="Y261" s="383">
        <f t="shared" si="84"/>
        <v>40.640999999999998</v>
      </c>
      <c r="Z261" s="383">
        <f t="shared" si="85"/>
        <v>41.397235219652977</v>
      </c>
      <c r="AA261" s="384">
        <f t="shared" si="86"/>
        <v>44.599510518150566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7.180068259256725E-2</v>
      </c>
      <c r="AD261" s="230">
        <f>(INDEX(Models!$BJ261:$BT261,,AH261)*(1-AF261)+INDEX(Models!$BJ261:$BT261,,AH261+1)*AF261-ERP_i)*AE261*Ramure*Pc/MaxiM</f>
        <v>3.4240222535741253E-4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42.536000000000001</v>
      </c>
      <c r="C262" s="388"/>
      <c r="D262" s="391">
        <f t="shared" si="74"/>
        <v>43.328327173921913</v>
      </c>
      <c r="E262" s="383">
        <f t="shared" si="96"/>
        <v>46.683449550576903</v>
      </c>
      <c r="F262" s="383">
        <f t="shared" si="75"/>
        <v>46.697060787749919</v>
      </c>
      <c r="G262" s="110">
        <f t="shared" si="97"/>
        <v>0.88065219651535631</v>
      </c>
      <c r="H262" s="412" t="b">
        <f>Wh_hp&gt;='2020'!Maxi_hp</f>
        <v>0</v>
      </c>
      <c r="I262" s="379">
        <f>IF(H262,Wh_hp,'2020'!Maxi_hp)</f>
        <v>53.427461866974461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1.8286585834285107E-2</v>
      </c>
      <c r="M262" s="832"/>
      <c r="N262" s="832"/>
      <c r="O262" s="48">
        <f>IF(t&lt;Tnet,'2020'!Resal+('2020'!Salim-'2020'!Resal)*(1-EXP(('2020'!Tnet-t)/('2020'!Tau_j))),Resal+(Salim-Resal)*(1-EXP((Tnet-t)/(Tau_j))))*Salcycl</f>
        <v>7.1869632791810967E-2</v>
      </c>
      <c r="P262" s="169">
        <f>(INDEX(Models!$BJ262:$BT262,,T262)*(1-R262)+INDEX(Models!$BJ262:$BT262,,T262+1)*R262-ERP_i)*Q262*Ramure*Pc/MaxiM</f>
        <v>3.5135858485808787E-4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48.297673485695775</v>
      </c>
      <c r="W262" s="400"/>
      <c r="X262" s="157">
        <f t="shared" si="83"/>
        <v>44444</v>
      </c>
      <c r="Y262" s="383">
        <f t="shared" si="84"/>
        <v>42.536000000000001</v>
      </c>
      <c r="Z262" s="383">
        <f t="shared" si="85"/>
        <v>43.328327173921913</v>
      </c>
      <c r="AA262" s="384">
        <f t="shared" si="86"/>
        <v>46.683449550576903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7.1869632791810967E-2</v>
      </c>
      <c r="AD262" s="230">
        <f>(INDEX(Models!$BJ262:$BT262,,AH262)*(1-AF262)+INDEX(Models!$BJ262:$BT262,,AH262+1)*AF262-ERP_i)*AE262*Ramure*Pc/MaxiM</f>
        <v>3.5135858485808787E-4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45.518999999999998</v>
      </c>
      <c r="C263" s="388"/>
      <c r="D263" s="391">
        <f t="shared" si="74"/>
        <v>46.367780781169543</v>
      </c>
      <c r="E263" s="383">
        <f t="shared" si="96"/>
        <v>49.961947662435605</v>
      </c>
      <c r="F263" s="383">
        <f t="shared" si="75"/>
        <v>49.978606623948821</v>
      </c>
      <c r="G263" s="110">
        <f t="shared" si="97"/>
        <v>0.94698894774780773</v>
      </c>
      <c r="H263" s="412" t="b">
        <f>Wh_hp&gt;='2020'!Maxi_hp</f>
        <v>0</v>
      </c>
      <c r="I263" s="379">
        <f>IF(H263,Wh_hp,'2020'!Maxi_hp)</f>
        <v>54.427802265876565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1.8305400147902717E-2</v>
      </c>
      <c r="M263" s="832"/>
      <c r="N263" s="832"/>
      <c r="O263" s="48">
        <f>IF(t&lt;Tnet,'2020'!Resal+('2020'!Salim-'2020'!Resal)*(1-EXP(('2020'!Tnet-t)/('2020'!Tau_j))),Resal+(Salim-Resal)*(1-EXP((Tnet-t)/(Tau_j))))*Salcycl</f>
        <v>7.1938085871867952E-2</v>
      </c>
      <c r="P263" s="169">
        <f>(INDEX(Models!$BJ263:$BT263,,T263)*(1-R263)+INDEX(Models!$BJ263:$BT263,,T263+1)*R263-ERP_i)*Q263*Ramure*Pc/MaxiM</f>
        <v>3.6061816699907499E-4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48.06577436073723</v>
      </c>
      <c r="W263" s="400"/>
      <c r="X263" s="157">
        <f t="shared" si="83"/>
        <v>44445</v>
      </c>
      <c r="Y263" s="383">
        <f t="shared" si="84"/>
        <v>45.518999999999998</v>
      </c>
      <c r="Z263" s="383">
        <f t="shared" si="85"/>
        <v>46.367780781169543</v>
      </c>
      <c r="AA263" s="384">
        <f t="shared" si="86"/>
        <v>49.961947662435605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7.1938085871867952E-2</v>
      </c>
      <c r="AD263" s="230">
        <f>(INDEX(Models!$BJ263:$BT263,,AH263)*(1-AF263)+INDEX(Models!$BJ263:$BT263,,AH263+1)*AF263-ERP_i)*AE263*Ramure*Pc/MaxiM</f>
        <v>3.6061816699907499E-4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35.32</v>
      </c>
      <c r="C264" s="388"/>
      <c r="D264" s="391">
        <f t="shared" si="74"/>
        <v>35.979292254471531</v>
      </c>
      <c r="E264" s="383">
        <f t="shared" si="96"/>
        <v>38.77104077572131</v>
      </c>
      <c r="F264" s="383">
        <f t="shared" si="75"/>
        <v>38.780032370524737</v>
      </c>
      <c r="G264" s="110">
        <f t="shared" si="97"/>
        <v>0.73833618718784777</v>
      </c>
      <c r="H264" s="412" t="b">
        <f>Wh_hp&gt;='2020'!Maxi_hp</f>
        <v>0</v>
      </c>
      <c r="I264" s="379">
        <f>IF(H264,Wh_hp,'2020'!Maxi_hp)</f>
        <v>49.351657913110358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1.8324214100948422E-2</v>
      </c>
      <c r="M264" s="832"/>
      <c r="N264" s="832"/>
      <c r="O264" s="48">
        <f>IF(t&lt;Tnet,'2020'!Resal+('2020'!Salim-'2020'!Resal)*(1-EXP(('2020'!Tnet-t)/('2020'!Tau_j))),Resal+(Salim-Resal)*(1-EXP((Tnet-t)/(Tau_j))))*Salcycl</f>
        <v>7.2006024738907534E-2</v>
      </c>
      <c r="P264" s="169">
        <f>(INDEX(Models!$BJ264:$BT264,,T264)*(1-R264)+INDEX(Models!$BJ264:$BT264,,T264+1)*R264-ERP_i)*Q264*Ramure*Pc/MaxiM</f>
        <v>3.7018435638202282E-4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47.830668352664588</v>
      </c>
      <c r="W264" s="400"/>
      <c r="X264" s="157">
        <f t="shared" si="83"/>
        <v>44446</v>
      </c>
      <c r="Y264" s="383">
        <f t="shared" si="84"/>
        <v>35.32</v>
      </c>
      <c r="Z264" s="383">
        <f t="shared" si="85"/>
        <v>35.979292254471531</v>
      </c>
      <c r="AA264" s="384">
        <f t="shared" si="86"/>
        <v>38.77104077572131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7.2006024738907534E-2</v>
      </c>
      <c r="AD264" s="230">
        <f>(INDEX(Models!$BJ264:$BT264,,AH264)*(1-AF264)+INDEX(Models!$BJ264:$BT264,,AH264+1)*AF264-ERP_i)*AE264*Ramure*Pc/MaxiM</f>
        <v>3.7018435638202282E-4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29.911000000000001</v>
      </c>
      <c r="C265" s="388"/>
      <c r="D265" s="391">
        <f t="shared" si="74"/>
        <v>30.469910410475652</v>
      </c>
      <c r="E265" s="383">
        <f t="shared" si="96"/>
        <v>32.836553502294613</v>
      </c>
      <c r="F265" s="383">
        <f t="shared" si="75"/>
        <v>32.842410876943163</v>
      </c>
      <c r="G265" s="110">
        <f t="shared" si="97"/>
        <v>0.62835647056647925</v>
      </c>
      <c r="H265" s="412" t="b">
        <f>Wh_hp&gt;='2020'!Maxi_hp</f>
        <v>0</v>
      </c>
      <c r="I265" s="379">
        <f>IF(H265,Wh_hp,'2020'!Maxi_hp)</f>
        <v>48.219770599083176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1.8343027693428882E-2</v>
      </c>
      <c r="M265" s="832"/>
      <c r="N265" s="832"/>
      <c r="O265" s="48">
        <f>IF(t&lt;Tnet,'2020'!Resal+('2020'!Salim-'2020'!Resal)*(1-EXP(('2020'!Tnet-t)/('2020'!Tau_j))),Resal+(Salim-Resal)*(1-EXP((Tnet-t)/(Tau_j))))*Salcycl</f>
        <v>7.2073431569290067E-2</v>
      </c>
      <c r="P265" s="169">
        <f>(INDEX(Models!$BJ265:$BT265,,T265)*(1-R265)+INDEX(Models!$BJ265:$BT265,,T265+1)*R265-ERP_i)*Q265*Ramure*Pc/MaxiM</f>
        <v>3.8006052400771221E-4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47.592357042448242</v>
      </c>
      <c r="W265" s="400"/>
      <c r="X265" s="157">
        <f t="shared" si="83"/>
        <v>44447</v>
      </c>
      <c r="Y265" s="383">
        <f t="shared" si="84"/>
        <v>29.911000000000001</v>
      </c>
      <c r="Z265" s="383">
        <f t="shared" si="85"/>
        <v>30.469910410475652</v>
      </c>
      <c r="AA265" s="384">
        <f t="shared" si="86"/>
        <v>32.836553502294613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7.2073431569290067E-2</v>
      </c>
      <c r="AD265" s="230">
        <f>(INDEX(Models!$BJ265:$BT265,,AH265)*(1-AF265)+INDEX(Models!$BJ265:$BT265,,AH265+1)*AF265-ERP_i)*AE265*Ramure*Pc/MaxiM</f>
        <v>3.8006052400771221E-4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16.917000000000002</v>
      </c>
      <c r="C266" s="388"/>
      <c r="D266" s="391">
        <f t="shared" si="74"/>
        <v>17.233437640552793</v>
      </c>
      <c r="E266" s="383">
        <f t="shared" si="96"/>
        <v>18.573322468553069</v>
      </c>
      <c r="F266" s="383">
        <f t="shared" si="75"/>
        <v>18.573915489293192</v>
      </c>
      <c r="G266" s="110">
        <f t="shared" si="97"/>
        <v>0.35714123216408278</v>
      </c>
      <c r="H266" s="412" t="b">
        <f>Wh_hp&gt;='2020'!Maxi_hp</f>
        <v>0</v>
      </c>
      <c r="I266" s="379">
        <f>IF(H266,Wh_hp,'2020'!Maxi_hp)</f>
        <v>50.375328728188094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1.8361840925351203E-2</v>
      </c>
      <c r="M266" s="832"/>
      <c r="N266" s="832"/>
      <c r="O266" s="48">
        <f>IF(t&lt;Tnet,'2020'!Resal+('2020'!Salim-'2020'!Resal)*(1-EXP(('2020'!Tnet-t)/('2020'!Tau_j))),Resal+(Salim-Resal)*(1-EXP((Tnet-t)/(Tau_j))))*Salcycl</f>
        <v>7.2140287784744281E-2</v>
      </c>
      <c r="P266" s="169">
        <f>(INDEX(Models!$BJ266:$BT266,,T266)*(1-R266)+INDEX(Models!$BJ266:$BT266,,T266+1)*R266-ERP_i)*Q266*Ramure*Pc/MaxiM</f>
        <v>3.9025001880855072E-4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47.350842029091091</v>
      </c>
      <c r="W266" s="400"/>
      <c r="X266" s="157">
        <f t="shared" si="83"/>
        <v>44448</v>
      </c>
      <c r="Y266" s="383">
        <f t="shared" si="84"/>
        <v>16.917000000000002</v>
      </c>
      <c r="Z266" s="383">
        <f t="shared" si="85"/>
        <v>17.233437640552793</v>
      </c>
      <c r="AA266" s="384">
        <f t="shared" si="86"/>
        <v>18.573322468553069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7.2140287784744281E-2</v>
      </c>
      <c r="AD266" s="230">
        <f>(INDEX(Models!$BJ266:$BT266,,AH266)*(1-AF266)+INDEX(Models!$BJ266:$BT266,,AH266+1)*AF266-ERP_i)*AE266*Ramure*Pc/MaxiM</f>
        <v>3.9025001880855072E-4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36.262</v>
      </c>
      <c r="C267" s="388"/>
      <c r="D267" s="391">
        <f t="shared" si="74"/>
        <v>36.940999726884677</v>
      </c>
      <c r="E267" s="383">
        <f t="shared" si="96"/>
        <v>39.815974863583165</v>
      </c>
      <c r="F267" s="383">
        <f t="shared" si="75"/>
        <v>39.826686690986264</v>
      </c>
      <c r="G267" s="110">
        <f t="shared" si="97"/>
        <v>0.76969225579233347</v>
      </c>
      <c r="H267" s="412" t="b">
        <f>Wh_hp&gt;='2020'!Maxi_hp</f>
        <v>1</v>
      </c>
      <c r="I267" s="379">
        <f>IF(H267,Wh_hp,'2020'!Maxi_hp)</f>
        <v>39.826686690986264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1.8380653796722268E-2</v>
      </c>
      <c r="M267" s="832"/>
      <c r="N267" s="832"/>
      <c r="O267" s="48">
        <f>IF(t&lt;Tnet,'2020'!Resal+('2020'!Salim-'2020'!Resal)*(1-EXP(('2020'!Tnet-t)/('2020'!Tau_j))),Resal+(Salim-Resal)*(1-EXP((Tnet-t)/(Tau_j))))*Salcycl</f>
        <v>7.2206574033379267E-2</v>
      </c>
      <c r="P267" s="169">
        <f>(INDEX(Models!$BJ267:$BT267,,T267)*(1-R267)+INDEX(Models!$BJ267:$BT267,,T267+1)*R267-ERP_i)*Q267*Ramure*Pc/MaxiM</f>
        <v>4.0075615857064923E-4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47.106124931237332</v>
      </c>
      <c r="W267" s="400"/>
      <c r="X267" s="157">
        <f t="shared" si="83"/>
        <v>44449</v>
      </c>
      <c r="Y267" s="383">
        <f t="shared" si="84"/>
        <v>36.262</v>
      </c>
      <c r="Z267" s="383">
        <f t="shared" si="85"/>
        <v>36.940999726884677</v>
      </c>
      <c r="AA267" s="384">
        <f t="shared" si="86"/>
        <v>39.815974863583165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7.2206574033379267E-2</v>
      </c>
      <c r="AD267" s="230">
        <f>(INDEX(Models!$BJ267:$BT267,,AH267)*(1-AF267)+INDEX(Models!$BJ267:$BT267,,AH267+1)*AF267-ERP_i)*AE267*Ramure*Pc/MaxiM</f>
        <v>4.0075615857064923E-4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38.957000000000001</v>
      </c>
      <c r="C268" s="388"/>
      <c r="D268" s="391">
        <f t="shared" si="74"/>
        <v>39.687223735970136</v>
      </c>
      <c r="E268" s="383">
        <f t="shared" si="96"/>
        <v>42.778956002069535</v>
      </c>
      <c r="F268" s="383">
        <f t="shared" si="75"/>
        <v>42.7923326818578</v>
      </c>
      <c r="G268" s="110">
        <f t="shared" si="97"/>
        <v>0.8312981808485389</v>
      </c>
      <c r="H268" s="412" t="b">
        <f>Wh_hp&gt;='2020'!Maxi_hp</f>
        <v>0</v>
      </c>
      <c r="I268" s="379">
        <f>IF(H268,Wh_hp,'2020'!Maxi_hp)</f>
        <v>47.570695071045627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1.8399466307548851E-2</v>
      </c>
      <c r="M268" s="832"/>
      <c r="N268" s="832"/>
      <c r="O268" s="48">
        <f>IF(t&lt;Tnet,'2020'!Resal+('2020'!Salim-'2020'!Resal)*(1-EXP(('2020'!Tnet-t)/('2020'!Tau_j))),Resal+(Salim-Resal)*(1-EXP((Tnet-t)/(Tau_j))))*Salcycl</f>
        <v>7.2272270177650713E-2</v>
      </c>
      <c r="P268" s="169">
        <f>(INDEX(Models!$BJ268:$BT268,,T268)*(1-R268)+INDEX(Models!$BJ268:$BT268,,T268+1)*R268-ERP_i)*Q268*Ramure*Pc/MaxiM</f>
        <v>4.1178891744502886E-4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46.858197697568713</v>
      </c>
      <c r="W268" s="400"/>
      <c r="X268" s="157">
        <f t="shared" si="83"/>
        <v>44450</v>
      </c>
      <c r="Y268" s="383">
        <f t="shared" si="84"/>
        <v>38.957000000000001</v>
      </c>
      <c r="Z268" s="383">
        <f t="shared" si="85"/>
        <v>39.687223735970136</v>
      </c>
      <c r="AA268" s="384">
        <f t="shared" si="86"/>
        <v>42.778956002069535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7.2272270177650713E-2</v>
      </c>
      <c r="AD268" s="230">
        <f>(INDEX(Models!$BJ268:$BT268,,AH268)*(1-AF268)+INDEX(Models!$BJ268:$BT268,,AH268+1)*AF268-ERP_i)*AE268*Ramure*Pc/MaxiM</f>
        <v>4.1178891744502886E-4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43.811</v>
      </c>
      <c r="C269" s="388"/>
      <c r="D269" s="391">
        <f t="shared" si="74"/>
        <v>44.633064204953392</v>
      </c>
      <c r="E269" s="383">
        <f t="shared" si="96"/>
        <v>48.113465018226762</v>
      </c>
      <c r="F269" s="383">
        <f t="shared" si="75"/>
        <v>48.132094649471448</v>
      </c>
      <c r="G269" s="110">
        <f t="shared" si="97"/>
        <v>0.93997362337839385</v>
      </c>
      <c r="H269" s="412" t="b">
        <f>Wh_hp&gt;='2020'!Maxi_hp</f>
        <v>0</v>
      </c>
      <c r="I269" s="379">
        <f>IF(H269,Wh_hp,'2020'!Maxi_hp)</f>
        <v>50.716513586551613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1.8418278457837944E-2</v>
      </c>
      <c r="M269" s="832"/>
      <c r="N269" s="832"/>
      <c r="O269" s="48">
        <f>IF(t&lt;Tnet,'2020'!Resal+('2020'!Salim-'2020'!Resal)*(1-EXP(('2020'!Tnet-t)/('2020'!Tau_j))),Resal+(Salim-Resal)*(1-EXP((Tnet-t)/(Tau_j))))*Salcycl</f>
        <v>7.233735529035161E-2</v>
      </c>
      <c r="P269" s="169">
        <f>(INDEX(Models!$BJ269:$BT269,,T269)*(1-R269)+INDEX(Models!$BJ269:$BT269,,T269+1)*R269-ERP_i)*Q269*Ramure*Pc/MaxiM</f>
        <v>4.2333318066662198E-4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46.607062993243524</v>
      </c>
      <c r="W269" s="400"/>
      <c r="X269" s="157">
        <f t="shared" si="83"/>
        <v>44451</v>
      </c>
      <c r="Y269" s="383">
        <f t="shared" si="84"/>
        <v>43.811</v>
      </c>
      <c r="Z269" s="383">
        <f t="shared" si="85"/>
        <v>44.633064204953392</v>
      </c>
      <c r="AA269" s="384">
        <f t="shared" si="86"/>
        <v>48.113465018226762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7.233735529035161E-2</v>
      </c>
      <c r="AD269" s="230">
        <f>(INDEX(Models!$BJ269:$BT269,,AH269)*(1-AF269)+INDEX(Models!$BJ269:$BT269,,AH269+1)*AF269-ERP_i)*AE269*Ramure*Pc/MaxiM</f>
        <v>4.2333318066662198E-4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31.138000000000002</v>
      </c>
      <c r="C270" s="388"/>
      <c r="D270" s="391">
        <f t="shared" si="74"/>
        <v>31.722877556421196</v>
      </c>
      <c r="E270" s="383">
        <f t="shared" si="96"/>
        <v>34.198942837936279</v>
      </c>
      <c r="F270" s="383">
        <f t="shared" si="75"/>
        <v>34.206852591045291</v>
      </c>
      <c r="G270" s="110">
        <f t="shared" si="97"/>
        <v>0.67162487234832802</v>
      </c>
      <c r="H270" s="412" t="b">
        <f>Wh_hp&gt;='2020'!Maxi_hp</f>
        <v>0</v>
      </c>
      <c r="I270" s="379">
        <f>IF(H270,Wh_hp,'2020'!Maxi_hp)</f>
        <v>48.946025733501244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1.8437090247596544E-2</v>
      </c>
      <c r="M270" s="832"/>
      <c r="N270" s="832"/>
      <c r="O270" s="48">
        <f>IF(t&lt;Tnet,'2020'!Resal+('2020'!Salim-'2020'!Resal)*(1-EXP(('2020'!Tnet-t)/('2020'!Tau_j))),Resal+(Salim-Resal)*(1-EXP((Tnet-t)/(Tau_j))))*Salcycl</f>
        <v>7.2401807659633999E-2</v>
      </c>
      <c r="P270" s="169">
        <f>(INDEX(Models!$BJ270:$BT270,,T270)*(1-R270)+INDEX(Models!$BJ270:$BT270,,T270+1)*R270-ERP_i)*Q270*Ramure*Pc/MaxiM</f>
        <v>4.3539435621094282E-4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46.35272253166719</v>
      </c>
      <c r="W270" s="400"/>
      <c r="X270" s="157">
        <f t="shared" si="83"/>
        <v>44452</v>
      </c>
      <c r="Y270" s="383">
        <f t="shared" si="84"/>
        <v>31.138000000000005</v>
      </c>
      <c r="Z270" s="383">
        <f t="shared" si="85"/>
        <v>31.722877556421199</v>
      </c>
      <c r="AA270" s="384">
        <f t="shared" si="86"/>
        <v>34.198942837936279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7.2401807659633999E-2</v>
      </c>
      <c r="AD270" s="230">
        <f>(INDEX(Models!$BJ270:$BT270,,AH270)*(1-AF270)+INDEX(Models!$BJ270:$BT270,,AH270+1)*AF270-ERP_i)*AE270*Ramure*Pc/MaxiM</f>
        <v>4.3539435621094282E-4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19.379000000000001</v>
      </c>
      <c r="C271" s="388"/>
      <c r="D271" s="391">
        <f t="shared" ref="D271:D334" si="98">Wh/(1-Ppv)</f>
        <v>19.743381915398736</v>
      </c>
      <c r="E271" s="383">
        <f t="shared" si="96"/>
        <v>21.285875777389908</v>
      </c>
      <c r="F271" s="383">
        <f t="shared" ref="F271:F334" si="99">Wh_sa/(1-Pvg*MEDIAN((-Sdif+Wh/Env_an)/Csdif,0,1))</f>
        <v>21.287516200521875</v>
      </c>
      <c r="G271" s="110">
        <f t="shared" si="97"/>
        <v>0.42025678732596256</v>
      </c>
      <c r="H271" s="412" t="b">
        <f>Wh_hp&gt;='2020'!Maxi_hp</f>
        <v>0</v>
      </c>
      <c r="I271" s="379">
        <f>IF(H271,Wh_hp,'2020'!Maxi_hp)</f>
        <v>48.424336454195235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1.8455901676831532E-2</v>
      </c>
      <c r="M271" s="832"/>
      <c r="N271" s="832"/>
      <c r="O271" s="48">
        <f>IF(t&lt;Tnet,'2020'!Resal+('2020'!Salim-'2020'!Resal)*(1-EXP(('2020'!Tnet-t)/('2020'!Tau_j))),Resal+(Salim-Resal)*(1-EXP((Tnet-t)/(Tau_j))))*Salcycl</f>
        <v>7.2465604803990599E-2</v>
      </c>
      <c r="P271" s="169">
        <f>(INDEX(Models!$BJ271:$BT271,,T271)*(1-R271)+INDEX(Models!$BJ271:$BT271,,T271+1)*R271-ERP_i)*Q271*Ramure*Pc/MaxiM</f>
        <v>4.4797781007560323E-4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46.095178044737018</v>
      </c>
      <c r="W271" s="400"/>
      <c r="X271" s="157">
        <f t="shared" ref="X271:X334" si="107">t</f>
        <v>44453</v>
      </c>
      <c r="Y271" s="383">
        <f t="shared" ref="Y271:Y334" si="108">Wh_pvt_s*(1-Ppv)</f>
        <v>19.379000000000001</v>
      </c>
      <c r="Z271" s="383">
        <f t="shared" ref="Z271:Z334" si="109">Wh_sa_s*(1-Psa_s)</f>
        <v>19.743381915398736</v>
      </c>
      <c r="AA271" s="384">
        <f t="shared" ref="AA271:AA334" si="110">Wh_hp*(1-Pvg_s*MEDIAN((-Sdif+Wh/Env_an)/Csdif,0,1))</f>
        <v>21.285875777389908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7.2465604803990599E-2</v>
      </c>
      <c r="AD271" s="230">
        <f>(INDEX(Models!$BJ271:$BT271,,AH271)*(1-AF271)+INDEX(Models!$BJ271:$BT271,,AH271+1)*AF271-ERP_i)*AE271*Ramure*Pc/MaxiM</f>
        <v>4.4797781007560323E-4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28.785</v>
      </c>
      <c r="C272" s="388"/>
      <c r="D272" s="391">
        <f t="shared" si="98"/>
        <v>29.326804284908643</v>
      </c>
      <c r="E272" s="383">
        <f t="shared" si="96"/>
        <v>31.620175231212627</v>
      </c>
      <c r="F272" s="383">
        <f t="shared" si="99"/>
        <v>31.627008787456944</v>
      </c>
      <c r="G272" s="110">
        <f t="shared" si="97"/>
        <v>0.62786740711462918</v>
      </c>
      <c r="H272" s="412" t="b">
        <f>Wh_hp&gt;='2020'!Maxi_hp</f>
        <v>0</v>
      </c>
      <c r="I272" s="379">
        <f>IF(H272,Wh_hp,'2020'!Maxi_hp)</f>
        <v>49.537413864977964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1.8474712745549682E-2</v>
      </c>
      <c r="M272" s="832"/>
      <c r="N272" s="832"/>
      <c r="O272" s="48">
        <f>IF(t&lt;Tnet,'2020'!Resal+('2020'!Salim-'2020'!Resal)*(1-EXP(('2020'!Tnet-t)/('2020'!Tau_j))),Resal+(Salim-Resal)*(1-EXP((Tnet-t)/(Tau_j))))*Salcycl</f>
        <v>7.2528723498033409E-2</v>
      </c>
      <c r="P272" s="169">
        <f>(INDEX(Models!$BJ272:$BT272,,T272)*(1-R272)+INDEX(Models!$BJ272:$BT272,,T272+1)*R272-ERP_i)*Q272*Ramure*Pc/MaxiM</f>
        <v>4.6108885298999717E-4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45.834431280654904</v>
      </c>
      <c r="W272" s="400"/>
      <c r="X272" s="157">
        <f t="shared" si="107"/>
        <v>44454</v>
      </c>
      <c r="Y272" s="383">
        <f t="shared" si="108"/>
        <v>28.785</v>
      </c>
      <c r="Z272" s="383">
        <f t="shared" si="109"/>
        <v>29.326804284908643</v>
      </c>
      <c r="AA272" s="384">
        <f t="shared" si="110"/>
        <v>31.620175231212627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7.2528723498033409E-2</v>
      </c>
      <c r="AD272" s="230">
        <f>(INDEX(Models!$BJ272:$BT272,,AH272)*(1-AF272)+INDEX(Models!$BJ272:$BT272,,AH272+1)*AF272-ERP_i)*AE272*Ramure*Pc/MaxiM</f>
        <v>4.6108885298999717E-4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20.141999999999999</v>
      </c>
      <c r="C273" s="388"/>
      <c r="D273" s="391">
        <f t="shared" si="98"/>
        <v>20.521515121200572</v>
      </c>
      <c r="E273" s="383">
        <f t="shared" si="96"/>
        <v>22.127797136844197</v>
      </c>
      <c r="F273" s="383">
        <f t="shared" si="99"/>
        <v>22.129928262962149</v>
      </c>
      <c r="G273" s="110">
        <f t="shared" si="97"/>
        <v>0.44182934038522059</v>
      </c>
      <c r="H273" s="412" t="b">
        <f>Wh_hp&gt;='2020'!Maxi_hp</f>
        <v>0</v>
      </c>
      <c r="I273" s="379">
        <f>IF(H273,Wh_hp,'2020'!Maxi_hp)</f>
        <v>43.865326468567289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1.8493523453757987E-2</v>
      </c>
      <c r="M273" s="832"/>
      <c r="N273" s="832"/>
      <c r="O273" s="48">
        <f>IF(t&lt;Tnet,'2020'!Resal+('2020'!Salim-'2020'!Resal)*(1-EXP(('2020'!Tnet-t)/('2020'!Tau_j))),Resal+(Salim-Resal)*(1-EXP((Tnet-t)/(Tau_j))))*Salcycl</f>
        <v>7.2591139809803501E-2</v>
      </c>
      <c r="P273" s="169">
        <f>(INDEX(Models!$BJ273:$BT273,,T273)*(1-R273)+INDEX(Models!$BJ273:$BT273,,T273+1)*R273-ERP_i)*Q273*Ramure*Pc/MaxiM</f>
        <v>4.7473272690395078E-4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45.570483999807756</v>
      </c>
      <c r="W273" s="400"/>
      <c r="X273" s="157">
        <f t="shared" si="107"/>
        <v>44455</v>
      </c>
      <c r="Y273" s="383">
        <f t="shared" si="108"/>
        <v>20.141999999999999</v>
      </c>
      <c r="Z273" s="383">
        <f t="shared" si="109"/>
        <v>20.521515121200572</v>
      </c>
      <c r="AA273" s="384">
        <f t="shared" si="110"/>
        <v>22.127797136844197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7.2591139809803501E-2</v>
      </c>
      <c r="AD273" s="230">
        <f>(INDEX(Models!$BJ273:$BT273,,AH273)*(1-AF273)+INDEX(Models!$BJ273:$BT273,,AH273+1)*AF273-ERP_i)*AE273*Ramure*Pc/MaxiM</f>
        <v>4.7473272690395078E-4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42.666000000000004</v>
      </c>
      <c r="C274" s="388"/>
      <c r="D274" s="391">
        <f t="shared" si="98"/>
        <v>43.470744940945053</v>
      </c>
      <c r="E274" s="383">
        <f t="shared" si="96"/>
        <v>46.876451783543878</v>
      </c>
      <c r="F274" s="383">
        <f t="shared" si="99"/>
        <v>46.89747377756845</v>
      </c>
      <c r="G274" s="110">
        <f t="shared" si="97"/>
        <v>0.94174659785288461</v>
      </c>
      <c r="H274" s="412" t="b">
        <f>Wh_hp&gt;='2020'!Maxi_hp</f>
        <v>1</v>
      </c>
      <c r="I274" s="379">
        <f>IF(H274,Wh_hp,'2020'!Maxi_hp)</f>
        <v>46.89747377756845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1.8512333801463332E-2</v>
      </c>
      <c r="M274" s="832"/>
      <c r="N274" s="832"/>
      <c r="O274" s="48">
        <f>IF(t&lt;Tnet,'2020'!Resal+('2020'!Salim-'2020'!Resal)*(1-EXP(('2020'!Tnet-t)/('2020'!Tau_j))),Resal+(Salim-Resal)*(1-EXP((Tnet-t)/(Tau_j))))*Salcycl</f>
        <v>7.2652829150230289E-2</v>
      </c>
      <c r="P274" s="169">
        <f>(INDEX(Models!$BJ274:$BT274,,T274)*(1-R274)+INDEX(Models!$BJ274:$BT274,,T274+1)*R274-ERP_i)*Q274*Ramure*Pc/MaxiM</f>
        <v>4.8891459138472723E-4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45.303337975482144</v>
      </c>
      <c r="W274" s="400"/>
      <c r="X274" s="157">
        <f t="shared" si="107"/>
        <v>44456</v>
      </c>
      <c r="Y274" s="383">
        <f t="shared" si="108"/>
        <v>42.666000000000004</v>
      </c>
      <c r="Z274" s="383">
        <f t="shared" si="109"/>
        <v>43.470744940945053</v>
      </c>
      <c r="AA274" s="384">
        <f t="shared" si="110"/>
        <v>46.876451783543878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7.2652829150230289E-2</v>
      </c>
      <c r="AD274" s="230">
        <f>(INDEX(Models!$BJ274:$BT274,,AH274)*(1-AF274)+INDEX(Models!$BJ274:$BT274,,AH274+1)*AF274-ERP_i)*AE274*Ramure*Pc/MaxiM</f>
        <v>4.8891459138472723E-4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9.5370000000000008</v>
      </c>
      <c r="C275" s="388"/>
      <c r="D275" s="391">
        <f t="shared" si="98"/>
        <v>9.7170683915685245</v>
      </c>
      <c r="E275" s="383">
        <f t="shared" si="96"/>
        <v>10.479038767959809</v>
      </c>
      <c r="F275" s="383">
        <f t="shared" si="99"/>
        <v>10.479038767959809</v>
      </c>
      <c r="G275" s="110">
        <f t="shared" si="97"/>
        <v>0.21167241011228696</v>
      </c>
      <c r="H275" s="412" t="b">
        <f>Wh_hp&gt;='2020'!Maxi_hp</f>
        <v>0</v>
      </c>
      <c r="I275" s="379">
        <f>IF(H275,Wh_hp,'2020'!Maxi_hp)</f>
        <v>43.999922794337635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1.853114378867271E-2</v>
      </c>
      <c r="M275" s="832"/>
      <c r="N275" s="832"/>
      <c r="O275" s="48">
        <f>IF(t&lt;Tnet,'2020'!Resal+('2020'!Salim-'2020'!Resal)*(1-EXP(('2020'!Tnet-t)/('2020'!Tau_j))),Resal+(Salim-Resal)*(1-EXP((Tnet-t)/(Tau_j))))*Salcycl</f>
        <v>7.2713766335233659E-2</v>
      </c>
      <c r="P275" s="169">
        <f>(INDEX(Models!$BJ275:$BT275,,T275)*(1-R275)+INDEX(Models!$BJ275:$BT275,,T275+1)*R275-ERP_i)*Q275*Ramure*Pc/MaxiM</f>
        <v>5.036419297774706E-4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45.032778536697904</v>
      </c>
      <c r="W275" s="400"/>
      <c r="X275" s="157">
        <f t="shared" si="107"/>
        <v>44457</v>
      </c>
      <c r="Y275" s="383">
        <f t="shared" si="108"/>
        <v>9.5370000000000008</v>
      </c>
      <c r="Z275" s="383">
        <f t="shared" si="109"/>
        <v>9.7170683915685245</v>
      </c>
      <c r="AA275" s="384">
        <f t="shared" si="110"/>
        <v>10.479038767959809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7.2713766335233659E-2</v>
      </c>
      <c r="AD275" s="230">
        <f>(INDEX(Models!$BJ275:$BT275,,AH275)*(1-AF275)+INDEX(Models!$BJ275:$BT275,,AH275+1)*AF275-ERP_i)*AE275*Ramure*Pc/MaxiM</f>
        <v>5.036419297774706E-4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33.899000000000001</v>
      </c>
      <c r="C276" s="388"/>
      <c r="D276" s="391">
        <f t="shared" si="98"/>
        <v>34.539710011698183</v>
      </c>
      <c r="E276" s="383">
        <f t="shared" si="96"/>
        <v>37.250581026115306</v>
      </c>
      <c r="F276" s="383">
        <f t="shared" si="99"/>
        <v>37.263217486764972</v>
      </c>
      <c r="G276" s="110">
        <f t="shared" si="97"/>
        <v>0.75723679777658126</v>
      </c>
      <c r="H276" s="412" t="b">
        <f>Wh_hp&gt;='2020'!Maxi_hp</f>
        <v>0</v>
      </c>
      <c r="I276" s="379">
        <f>IF(H276,Wh_hp,'2020'!Maxi_hp)</f>
        <v>42.678942947106243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1.8549953415393006E-2</v>
      </c>
      <c r="M276" s="832"/>
      <c r="N276" s="832"/>
      <c r="O276" s="48">
        <f>IF(t&lt;Tnet,'2020'!Resal+('2020'!Salim-'2020'!Resal)*(1-EXP(('2020'!Tnet-t)/('2020'!Tau_j))),Resal+(Salim-Resal)*(1-EXP((Tnet-t)/(Tau_j))))*Salcycl</f>
        <v>7.2773925660826841E-2</v>
      </c>
      <c r="P276" s="169">
        <f>(INDEX(Models!$BJ276:$BT276,,T276)*(1-R276)+INDEX(Models!$BJ276:$BT276,,T276+1)*R276-ERP_i)*Q276*Ramure*Pc/MaxiM</f>
        <v>5.1900618013781723E-4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44.758653897133762</v>
      </c>
      <c r="W276" s="400"/>
      <c r="X276" s="157">
        <f t="shared" si="107"/>
        <v>44458</v>
      </c>
      <c r="Y276" s="383">
        <f t="shared" si="108"/>
        <v>33.899000000000001</v>
      </c>
      <c r="Z276" s="383">
        <f t="shared" si="109"/>
        <v>34.539710011698183</v>
      </c>
      <c r="AA276" s="384">
        <f t="shared" si="110"/>
        <v>37.250581026115306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7.2773925660826841E-2</v>
      </c>
      <c r="AD276" s="230">
        <f>(INDEX(Models!$BJ276:$BT276,,AH276)*(1-AF276)+INDEX(Models!$BJ276:$BT276,,AH276+1)*AF276-ERP_i)*AE276*Ramure*Pc/MaxiM</f>
        <v>5.1900618013781723E-4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28.03</v>
      </c>
      <c r="C277" s="388"/>
      <c r="D277" s="391">
        <f t="shared" si="98"/>
        <v>28.560329989687581</v>
      </c>
      <c r="E277" s="383">
        <f t="shared" si="96"/>
        <v>30.803877451757156</v>
      </c>
      <c r="F277" s="383">
        <f t="shared" si="99"/>
        <v>30.811649178970523</v>
      </c>
      <c r="G277" s="110">
        <f t="shared" si="97"/>
        <v>0.62997752371618576</v>
      </c>
      <c r="H277" s="412" t="b">
        <f>Wh_hp&gt;='2020'!Maxi_hp</f>
        <v>0</v>
      </c>
      <c r="I277" s="379">
        <f>IF(H277,Wh_hp,'2020'!Maxi_hp)</f>
        <v>47.27532550671782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1.8568762681631101E-2</v>
      </c>
      <c r="M277" s="832"/>
      <c r="N277" s="832"/>
      <c r="O277" s="48">
        <f>IF(t&lt;Tnet,'2020'!Resal+('2020'!Salim-'2020'!Resal)*(1-EXP(('2020'!Tnet-t)/('2020'!Tau_j))),Resal+(Salim-Resal)*(1-EXP((Tnet-t)/(Tau_j))))*Salcycl</f>
        <v>7.2833280991435642E-2</v>
      </c>
      <c r="P277" s="169">
        <f>(INDEX(Models!$BJ277:$BT277,,T277)*(1-R277)+INDEX(Models!$BJ277:$BT277,,T277+1)*R277-ERP_i)*Q277*Ramure*Pc/MaxiM</f>
        <v>5.3478836109527024E-4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44.481075802687485</v>
      </c>
      <c r="W277" s="400"/>
      <c r="X277" s="157">
        <f t="shared" si="107"/>
        <v>44459</v>
      </c>
      <c r="Y277" s="383">
        <f t="shared" si="108"/>
        <v>28.03</v>
      </c>
      <c r="Z277" s="383">
        <f t="shared" si="109"/>
        <v>28.560329989687581</v>
      </c>
      <c r="AA277" s="384">
        <f t="shared" si="110"/>
        <v>30.803877451757156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7.2833280991435642E-2</v>
      </c>
      <c r="AD277" s="230">
        <f>(INDEX(Models!$BJ277:$BT277,,AH277)*(1-AF277)+INDEX(Models!$BJ277:$BT277,,AH277+1)*AF277-ERP_i)*AE277*Ramure*Pc/MaxiM</f>
        <v>5.3478836109527024E-4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11.123000000000001</v>
      </c>
      <c r="C278" s="388"/>
      <c r="D278" s="391">
        <f t="shared" si="98"/>
        <v>11.333665315397516</v>
      </c>
      <c r="E278" s="383">
        <f t="shared" si="96"/>
        <v>12.224749373431157</v>
      </c>
      <c r="F278" s="383">
        <f t="shared" si="99"/>
        <v>12.224749373431157</v>
      </c>
      <c r="G278" s="110">
        <f t="shared" si="97"/>
        <v>0.25151209574786121</v>
      </c>
      <c r="H278" s="412" t="b">
        <f>Wh_hp&gt;='2020'!Maxi_hp</f>
        <v>0</v>
      </c>
      <c r="I278" s="379">
        <f>IF(H278,Wh_hp,'2020'!Maxi_hp)</f>
        <v>34.248415791465085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1.8587571587393881E-2</v>
      </c>
      <c r="M278" s="832"/>
      <c r="N278" s="832"/>
      <c r="O278" s="48">
        <f>IF(t&lt;Tnet,'2020'!Resal+('2020'!Salim-'2020'!Resal)*(1-EXP(('2020'!Tnet-t)/('2020'!Tau_j))),Resal+(Salim-Resal)*(1-EXP((Tnet-t)/(Tau_j))))*Salcycl</f>
        <v>7.2891805861500292E-2</v>
      </c>
      <c r="P278" s="169">
        <f>(INDEX(Models!$BJ278:$BT278,,T278)*(1-R278)+INDEX(Models!$BJ278:$BT278,,T278+1)*R278-ERP_i)*Q278*Ramure*Pc/MaxiM</f>
        <v>5.5099064422316907E-4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44.200145913494673</v>
      </c>
      <c r="W278" s="400"/>
      <c r="X278" s="157">
        <f t="shared" si="107"/>
        <v>44460</v>
      </c>
      <c r="Y278" s="383">
        <f t="shared" si="108"/>
        <v>11.123000000000001</v>
      </c>
      <c r="Z278" s="383">
        <f t="shared" si="109"/>
        <v>11.333665315397516</v>
      </c>
      <c r="AA278" s="384">
        <f t="shared" si="110"/>
        <v>12.224749373431157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7.2891805861500292E-2</v>
      </c>
      <c r="AD278" s="230">
        <f>(INDEX(Models!$BJ278:$BT278,,AH278)*(1-AF278)+INDEX(Models!$BJ278:$BT278,,AH278+1)*AF278-ERP_i)*AE278*Ramure*Pc/MaxiM</f>
        <v>5.5099064422316907E-4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41.375999999999998</v>
      </c>
      <c r="C279" s="388"/>
      <c r="D279" s="391">
        <f t="shared" si="98"/>
        <v>42.160453422953978</v>
      </c>
      <c r="E279" s="383">
        <f t="shared" si="96"/>
        <v>45.478053484563127</v>
      </c>
      <c r="F279" s="383">
        <f t="shared" si="99"/>
        <v>45.501746980319162</v>
      </c>
      <c r="G279" s="110">
        <f t="shared" si="97"/>
        <v>0.94211883355906978</v>
      </c>
      <c r="H279" s="412" t="b">
        <f>Wh_hp&gt;='2020'!Maxi_hp</f>
        <v>1</v>
      </c>
      <c r="I279" s="379">
        <f>IF(H279,Wh_hp,'2020'!Maxi_hp)</f>
        <v>45.501746980319162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1.8606380132688227E-2</v>
      </c>
      <c r="M279" s="832"/>
      <c r="N279" s="832"/>
      <c r="O279" s="48">
        <f>IF(t&lt;Tnet,'2020'!Resal+('2020'!Salim-'2020'!Resal)*(1-EXP(('2020'!Tnet-t)/('2020'!Tau_j))),Resal+(Salim-Resal)*(1-EXP((Tnet-t)/(Tau_j))))*Salcycl</f>
        <v>7.2949473590272693E-2</v>
      </c>
      <c r="P279" s="169">
        <f>(INDEX(Models!$BJ279:$BT279,,T279)*(1-R279)+INDEX(Models!$BJ279:$BT279,,T279+1)*R279-ERP_i)*Q279*Ramure*Pc/MaxiM</f>
        <v>5.6761492006712538E-4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43.915965834542909</v>
      </c>
      <c r="W279" s="400"/>
      <c r="X279" s="157">
        <f t="shared" si="107"/>
        <v>44461</v>
      </c>
      <c r="Y279" s="383">
        <f t="shared" si="108"/>
        <v>41.375999999999998</v>
      </c>
      <c r="Z279" s="383">
        <f t="shared" si="109"/>
        <v>42.160453422953978</v>
      </c>
      <c r="AA279" s="384">
        <f t="shared" si="110"/>
        <v>45.478053484563127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7.2949473590272693E-2</v>
      </c>
      <c r="AD279" s="230">
        <f>(INDEX(Models!$BJ279:$BT279,,AH279)*(1-AF279)+INDEX(Models!$BJ279:$BT279,,AH279+1)*AF279-ERP_i)*AE279*Ramure*Pc/MaxiM</f>
        <v>5.6761492006712538E-4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35.954000000000001</v>
      </c>
      <c r="C280" s="388"/>
      <c r="D280" s="391">
        <f t="shared" si="98"/>
        <v>36.636359087268708</v>
      </c>
      <c r="E280" s="383">
        <f t="shared" si="96"/>
        <v>39.521689741821007</v>
      </c>
      <c r="F280" s="383">
        <f t="shared" si="99"/>
        <v>39.538997574854861</v>
      </c>
      <c r="G280" s="110">
        <f t="shared" si="97"/>
        <v>0.8239706220106533</v>
      </c>
      <c r="H280" s="412" t="b">
        <f>Wh_hp&gt;='2020'!Maxi_hp</f>
        <v>0</v>
      </c>
      <c r="I280" s="379">
        <f>IF(H280,Wh_hp,'2020'!Maxi_hp)</f>
        <v>41.863369362780062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1.8625188317521135E-2</v>
      </c>
      <c r="M280" s="832"/>
      <c r="N280" s="832"/>
      <c r="O280" s="48">
        <f>IF(t&lt;Tnet,'2020'!Resal+('2020'!Salim-'2020'!Resal)*(1-EXP(('2020'!Tnet-t)/('2020'!Tau_j))),Resal+(Salim-Resal)*(1-EXP((Tnet-t)/(Tau_j))))*Salcycl</f>
        <v>7.3006257409563777E-2</v>
      </c>
      <c r="P280" s="169">
        <f>(INDEX(Models!$BJ280:$BT280,,T280)*(1-R280)+INDEX(Models!$BJ280:$BT280,,T280+1)*R280-ERP_i)*Q280*Ramure*Pc/MaxiM</f>
        <v>5.8466588704242232E-4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43.628636971121701</v>
      </c>
      <c r="W280" s="400"/>
      <c r="X280" s="157">
        <f t="shared" si="107"/>
        <v>44462</v>
      </c>
      <c r="Y280" s="383">
        <f t="shared" si="108"/>
        <v>35.954000000000001</v>
      </c>
      <c r="Z280" s="383">
        <f t="shared" si="109"/>
        <v>36.636359087268708</v>
      </c>
      <c r="AA280" s="384">
        <f t="shared" si="110"/>
        <v>39.521689741821007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7.3006257409563777E-2</v>
      </c>
      <c r="AD280" s="230">
        <f>(INDEX(Models!$BJ280:$BT280,,AH280)*(1-AF280)+INDEX(Models!$BJ280:$BT280,,AH280+1)*AF280-ERP_i)*AE280*Ramure*Pc/MaxiM</f>
        <v>5.8466588704242232E-4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36.764000000000003</v>
      </c>
      <c r="C281" s="388"/>
      <c r="D281" s="391">
        <f t="shared" si="98"/>
        <v>37.462449768958564</v>
      </c>
      <c r="E281" s="383">
        <f t="shared" si="96"/>
        <v>40.415275937934112</v>
      </c>
      <c r="F281" s="383">
        <f t="shared" si="99"/>
        <v>40.4343470381435</v>
      </c>
      <c r="G281" s="110">
        <f t="shared" si="97"/>
        <v>0.84819279236802503</v>
      </c>
      <c r="H281" s="412" t="b">
        <f>Wh_hp&gt;='2020'!Maxi_hp</f>
        <v>1</v>
      </c>
      <c r="I281" s="379">
        <f>IF(H281,Wh_hp,'2020'!Maxi_hp)</f>
        <v>40.4343470381435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1.8643996141899377E-2</v>
      </c>
      <c r="M281" s="832"/>
      <c r="N281" s="832"/>
      <c r="O281" s="48">
        <f>IF(t&lt;Tnet,'2020'!Resal+('2020'!Salim-'2020'!Resal)*(1-EXP(('2020'!Tnet-t)/('2020'!Tau_j))),Resal+(Salim-Resal)*(1-EXP((Tnet-t)/(Tau_j))))*Salcycl</f>
        <v>7.3062130604037365E-2</v>
      </c>
      <c r="P281" s="169">
        <f>(INDEX(Models!$BJ281:$BT281,,T281)*(1-R281)+INDEX(Models!$BJ281:$BT281,,T281+1)*R281-ERP_i)*Q281*Ramure*Pc/MaxiM</f>
        <v>6.0214669066120912E-4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43.338260717673556</v>
      </c>
      <c r="W281" s="400"/>
      <c r="X281" s="157">
        <f t="shared" si="107"/>
        <v>44463</v>
      </c>
      <c r="Y281" s="383">
        <f t="shared" si="108"/>
        <v>36.764000000000003</v>
      </c>
      <c r="Z281" s="383">
        <f t="shared" si="109"/>
        <v>37.462449768958564</v>
      </c>
      <c r="AA281" s="384">
        <f t="shared" si="110"/>
        <v>40.415275937934112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7.3062130604037365E-2</v>
      </c>
      <c r="AD281" s="230">
        <f>(INDEX(Models!$BJ281:$BT281,,AH281)*(1-AF281)+INDEX(Models!$BJ281:$BT281,,AH281+1)*AF281-ERP_i)*AE281*Ramure*Pc/MaxiM</f>
        <v>6.0214669066120912E-4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31.89</v>
      </c>
      <c r="C282" s="388"/>
      <c r="D282" s="391">
        <f t="shared" si="98"/>
        <v>32.496475337097962</v>
      </c>
      <c r="E282" s="383">
        <f t="shared" si="96"/>
        <v>35.059956514810338</v>
      </c>
      <c r="F282" s="383">
        <f t="shared" si="99"/>
        <v>35.073670766831576</v>
      </c>
      <c r="G282" s="110">
        <f t="shared" si="97"/>
        <v>0.74068389940229507</v>
      </c>
      <c r="H282" s="412" t="b">
        <f>Wh_hp&gt;='2020'!Maxi_hp</f>
        <v>1</v>
      </c>
      <c r="I282" s="379">
        <f>IF(H282,Wh_hp,'2020'!Maxi_hp)</f>
        <v>35.073670766831576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1.8662803605830058E-2</v>
      </c>
      <c r="M282" s="832"/>
      <c r="N282" s="832"/>
      <c r="O282" s="48">
        <f>IF(t&lt;Tnet,'2020'!Resal+('2020'!Salim-'2020'!Resal)*(1-EXP(('2020'!Tnet-t)/('2020'!Tau_j))),Resal+(Salim-Resal)*(1-EXP((Tnet-t)/(Tau_j))))*Salcycl</f>
        <v>7.3117066663487898E-2</v>
      </c>
      <c r="P282" s="169">
        <f>(INDEX(Models!$BJ282:$BT282,,T282)*(1-R282)+INDEX(Models!$BJ282:$BT282,,T282+1)*R282-ERP_i)*Q282*Ramure*Pc/MaxiM</f>
        <v>6.2086033314093258E-4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43.044903930977583</v>
      </c>
      <c r="W282" s="400"/>
      <c r="X282" s="157">
        <f t="shared" si="107"/>
        <v>44464</v>
      </c>
      <c r="Y282" s="383">
        <f t="shared" si="108"/>
        <v>31.890000000000004</v>
      </c>
      <c r="Z282" s="383">
        <f t="shared" si="109"/>
        <v>32.496475337097962</v>
      </c>
      <c r="AA282" s="384">
        <f t="shared" si="110"/>
        <v>35.059956514810338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7.3117066663487898E-2</v>
      </c>
      <c r="AD282" s="230">
        <f>(INDEX(Models!$BJ282:$BT282,,AH282)*(1-AF282)+INDEX(Models!$BJ282:$BT282,,AH282+1)*AF282-ERP_i)*AE282*Ramure*Pc/MaxiM</f>
        <v>6.2086033314093258E-4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36.084000000000003</v>
      </c>
      <c r="C283" s="388"/>
      <c r="D283" s="391">
        <f t="shared" si="98"/>
        <v>36.770940393853586</v>
      </c>
      <c r="E283" s="383">
        <f t="shared" si="96"/>
        <v>39.673922545417007</v>
      </c>
      <c r="F283" s="383">
        <f t="shared" si="99"/>
        <v>39.693686966189702</v>
      </c>
      <c r="G283" s="110">
        <f t="shared" si="97"/>
        <v>0.84397579525289312</v>
      </c>
      <c r="H283" s="412" t="b">
        <f>Wh_hp&gt;='2020'!Maxi_hp</f>
        <v>1</v>
      </c>
      <c r="I283" s="379">
        <f>IF(H283,Wh_hp,'2020'!Maxi_hp)</f>
        <v>39.693686966189702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1.8681610709319951E-2</v>
      </c>
      <c r="M283" s="832"/>
      <c r="N283" s="832"/>
      <c r="O283" s="48">
        <f>IF(t&lt;Tnet,'2020'!Resal+('2020'!Salim-'2020'!Resal)*(1-EXP(('2020'!Tnet-t)/('2020'!Tau_j))),Resal+(Salim-Resal)*(1-EXP((Tnet-t)/(Tau_j))))*Salcycl</f>
        <v>7.3171039446382272E-2</v>
      </c>
      <c r="P283" s="169">
        <f>(INDEX(Models!$BJ283:$BT283,,T283)*(1-R283)+INDEX(Models!$BJ283:$BT283,,T283+1)*R283-ERP_i)*Q283*Ramure*Pc/MaxiM</f>
        <v>6.4059704327205317E-4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42.748677636507352</v>
      </c>
      <c r="W283" s="400"/>
      <c r="X283" s="157">
        <f t="shared" si="107"/>
        <v>44465</v>
      </c>
      <c r="Y283" s="383">
        <f t="shared" si="108"/>
        <v>36.084000000000003</v>
      </c>
      <c r="Z283" s="383">
        <f t="shared" si="109"/>
        <v>36.770940393853586</v>
      </c>
      <c r="AA283" s="384">
        <f t="shared" si="110"/>
        <v>39.673922545417007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7.3171039446382272E-2</v>
      </c>
      <c r="AD283" s="230">
        <f>(INDEX(Models!$BJ283:$BT283,,AH283)*(1-AF283)+INDEX(Models!$BJ283:$BT283,,AH283+1)*AF283-ERP_i)*AE283*Ramure*Pc/MaxiM</f>
        <v>6.4059704327205317E-4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21.309000000000001</v>
      </c>
      <c r="C284" s="388"/>
      <c r="D284" s="391">
        <f t="shared" si="98"/>
        <v>21.715081081231219</v>
      </c>
      <c r="E284" s="383">
        <f t="shared" si="96"/>
        <v>23.43077683110992</v>
      </c>
      <c r="F284" s="383">
        <f t="shared" si="99"/>
        <v>23.435249075999511</v>
      </c>
      <c r="G284" s="110">
        <f t="shared" si="97"/>
        <v>0.50174630073468784</v>
      </c>
      <c r="H284" s="412" t="b">
        <f>Wh_hp&gt;='2020'!Maxi_hp</f>
        <v>0</v>
      </c>
      <c r="I284" s="379">
        <f>IF(H284,Wh_hp,'2020'!Maxi_hp)</f>
        <v>37.960845399345402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1.870041745237605E-2</v>
      </c>
      <c r="M284" s="832"/>
      <c r="N284" s="832"/>
      <c r="O284" s="48">
        <f>IF(t&lt;Tnet,'2020'!Resal+('2020'!Salim-'2020'!Resal)*(1-EXP(('2020'!Tnet-t)/('2020'!Tau_j))),Resal+(Salim-Resal)*(1-EXP((Tnet-t)/(Tau_j))))*Salcycl</f>
        <v>7.3224023353792911E-2</v>
      </c>
      <c r="P284" s="169">
        <f>(INDEX(Models!$BJ284:$BT284,,T284)*(1-R284)+INDEX(Models!$BJ284:$BT284,,T284+1)*R284-ERP_i)*Q284*Ramure*Pc/MaxiM</f>
        <v>6.6136347466093934E-4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42.449683325629515</v>
      </c>
      <c r="W284" s="400"/>
      <c r="X284" s="157">
        <f t="shared" si="107"/>
        <v>44466</v>
      </c>
      <c r="Y284" s="383">
        <f t="shared" si="108"/>
        <v>21.309000000000001</v>
      </c>
      <c r="Z284" s="383">
        <f t="shared" si="109"/>
        <v>21.715081081231219</v>
      </c>
      <c r="AA284" s="384">
        <f t="shared" si="110"/>
        <v>23.43077683110992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7.3224023353792911E-2</v>
      </c>
      <c r="AD284" s="230">
        <f>(INDEX(Models!$BJ284:$BT284,,AH284)*(1-AF284)+INDEX(Models!$BJ284:$BT284,,AH284+1)*AF284-ERP_i)*AE284*Ramure*Pc/MaxiM</f>
        <v>6.6136347466093934E-4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24.843</v>
      </c>
      <c r="C285" s="388"/>
      <c r="D285" s="391">
        <f t="shared" si="98"/>
        <v>25.316912960519304</v>
      </c>
      <c r="E285" s="383">
        <f t="shared" si="96"/>
        <v>27.318719255457459</v>
      </c>
      <c r="F285" s="383">
        <f t="shared" si="99"/>
        <v>27.326437945493204</v>
      </c>
      <c r="G285" s="110">
        <f t="shared" si="97"/>
        <v>0.58918642185185333</v>
      </c>
      <c r="H285" s="412" t="b">
        <f>Wh_hp&gt;='2020'!Maxi_hp</f>
        <v>0</v>
      </c>
      <c r="I285" s="379">
        <f>IF(H285,Wh_hp,'2020'!Maxi_hp)</f>
        <v>38.326040675068562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1.8719223835005128E-2</v>
      </c>
      <c r="M285" s="832"/>
      <c r="N285" s="832"/>
      <c r="O285" s="48">
        <f>IF(t&lt;Tnet,'2020'!Resal+('2020'!Salim-'2020'!Resal)*(1-EXP(('2020'!Tnet-t)/('2020'!Tau_j))),Resal+(Salim-Resal)*(1-EXP((Tnet-t)/(Tau_j))))*Salcycl</f>
        <v>7.3275993512699311E-2</v>
      </c>
      <c r="P285" s="169">
        <f>(INDEX(Models!$BJ285:$BT285,,T285)*(1-R285)+INDEX(Models!$BJ285:$BT285,,T285+1)*R285-ERP_i)*Q285*Ramure*Pc/MaxiM</f>
        <v>6.831657225893768E-4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42.148022412991217</v>
      </c>
      <c r="W285" s="400"/>
      <c r="X285" s="157">
        <f t="shared" si="107"/>
        <v>44467</v>
      </c>
      <c r="Y285" s="383">
        <f t="shared" si="108"/>
        <v>24.843</v>
      </c>
      <c r="Z285" s="383">
        <f t="shared" si="109"/>
        <v>25.316912960519304</v>
      </c>
      <c r="AA285" s="384">
        <f t="shared" si="110"/>
        <v>27.318719255457459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7.3275993512699311E-2</v>
      </c>
      <c r="AD285" s="230">
        <f>(INDEX(Models!$BJ285:$BT285,,AH285)*(1-AF285)+INDEX(Models!$BJ285:$BT285,,AH285+1)*AF285-ERP_i)*AE285*Ramure*Pc/MaxiM</f>
        <v>6.831657225893768E-4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31.571000000000002</v>
      </c>
      <c r="C286" s="388"/>
      <c r="D286" s="391">
        <f t="shared" si="98"/>
        <v>32.173875030952267</v>
      </c>
      <c r="E286" s="383">
        <f t="shared" si="96"/>
        <v>34.719768959018815</v>
      </c>
      <c r="F286" s="383">
        <f t="shared" si="99"/>
        <v>34.73569173963439</v>
      </c>
      <c r="G286" s="110">
        <f t="shared" si="97"/>
        <v>0.75430964509665466</v>
      </c>
      <c r="H286" s="412" t="b">
        <f>Wh_hp&gt;='2020'!Maxi_hp</f>
        <v>0</v>
      </c>
      <c r="I286" s="379">
        <f>IF(H286,Wh_hp,'2020'!Maxi_hp)</f>
        <v>44.025423023353014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1.8738029857214289E-2</v>
      </c>
      <c r="M286" s="832"/>
      <c r="N286" s="832"/>
      <c r="O286" s="48">
        <f>IF(t&lt;Tnet,'2020'!Resal+('2020'!Salim-'2020'!Resal)*(1-EXP(('2020'!Tnet-t)/('2020'!Tau_j))),Resal+(Salim-Resal)*(1-EXP((Tnet-t)/(Tau_j))))*Salcycl</f>
        <v>7.3326925967496237E-2</v>
      </c>
      <c r="P286" s="169">
        <f>(INDEX(Models!$BJ286:$BT286,,T286)*(1-R286)+INDEX(Models!$BJ286:$BT286,,T286+1)*R286-ERP_i)*Q286*Ramure*Pc/MaxiM</f>
        <v>7.0600927448548725E-4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41.843796235020029</v>
      </c>
      <c r="W286" s="400"/>
      <c r="X286" s="157">
        <f t="shared" si="107"/>
        <v>44468</v>
      </c>
      <c r="Y286" s="383">
        <f t="shared" si="108"/>
        <v>31.571000000000002</v>
      </c>
      <c r="Z286" s="383">
        <f t="shared" si="109"/>
        <v>32.173875030952267</v>
      </c>
      <c r="AA286" s="384">
        <f t="shared" si="110"/>
        <v>34.719768959018815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7.3326925967496237E-2</v>
      </c>
      <c r="AD286" s="230">
        <f>(INDEX(Models!$BJ286:$BT286,,AH286)*(1-AF286)+INDEX(Models!$BJ286:$BT286,,AH286+1)*AF286-ERP_i)*AE286*Ramure*Pc/MaxiM</f>
        <v>7.0600927448548725E-4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17.152999999999999</v>
      </c>
      <c r="C287" s="388"/>
      <c r="D287" s="391">
        <f t="shared" si="98"/>
        <v>17.480886105405641</v>
      </c>
      <c r="E287" s="383">
        <f t="shared" si="96"/>
        <v>18.865150435885425</v>
      </c>
      <c r="F287" s="383">
        <f t="shared" si="99"/>
        <v>18.867372648977206</v>
      </c>
      <c r="G287" s="110">
        <f t="shared" si="97"/>
        <v>0.41270326063611734</v>
      </c>
      <c r="H287" s="412" t="b">
        <f>Wh_hp&gt;='2020'!Maxi_hp</f>
        <v>0</v>
      </c>
      <c r="I287" s="379">
        <f>IF(H287,Wh_hp,'2020'!Maxi_hp)</f>
        <v>36.159220038545989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1.8756835519010195E-2</v>
      </c>
      <c r="M287" s="832"/>
      <c r="N287" s="832"/>
      <c r="O287" s="48">
        <f>IF(t&lt;Tnet,'2020'!Resal+('2020'!Salim-'2020'!Resal)*(1-EXP(('2020'!Tnet-t)/('2020'!Tau_j))),Resal+(Salim-Resal)*(1-EXP((Tnet-t)/(Tau_j))))*Salcycl</f>
        <v>7.3376797878411087E-2</v>
      </c>
      <c r="P287" s="169">
        <f>(INDEX(Models!$BJ287:$BT287,,T287)*(1-R287)+INDEX(Models!$BJ287:$BT287,,T287+1)*R287-ERP_i)*Q287*Ramure*Pc/MaxiM</f>
        <v>7.298989637229828E-4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41.537106038036541</v>
      </c>
      <c r="W287" s="400"/>
      <c r="X287" s="157">
        <f t="shared" si="107"/>
        <v>44469</v>
      </c>
      <c r="Y287" s="383">
        <f t="shared" si="108"/>
        <v>17.152999999999999</v>
      </c>
      <c r="Z287" s="383">
        <f t="shared" si="109"/>
        <v>17.480886105405641</v>
      </c>
      <c r="AA287" s="384">
        <f t="shared" si="110"/>
        <v>18.865150435885425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7.3376797878411087E-2</v>
      </c>
      <c r="AD287" s="230">
        <f>(INDEX(Models!$BJ287:$BT287,,AH287)*(1-AF287)+INDEX(Models!$BJ287:$BT287,,AH287+1)*AF287-ERP_i)*AE287*Ramure*Pc/MaxiM</f>
        <v>7.298989637229828E-4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30.696999999999999</v>
      </c>
      <c r="C288" s="388"/>
      <c r="D288" s="391">
        <f t="shared" si="98"/>
        <v>31.284384364107822</v>
      </c>
      <c r="E288" s="383">
        <f t="shared" si="96"/>
        <v>33.763488339063656</v>
      </c>
      <c r="F288" s="383">
        <f t="shared" si="99"/>
        <v>33.779682106511082</v>
      </c>
      <c r="G288" s="110">
        <f t="shared" si="97"/>
        <v>0.74436065707601695</v>
      </c>
      <c r="H288" s="412" t="b">
        <f>Wh_hp&gt;='2020'!Maxi_hp</f>
        <v>0</v>
      </c>
      <c r="I288" s="379">
        <f>IF(H288,Wh_hp,'2020'!Maxi_hp)</f>
        <v>44.503895100671492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1.8775640820399953E-2</v>
      </c>
      <c r="M288" s="832"/>
      <c r="N288" s="832"/>
      <c r="O288" s="48">
        <f>IF(t&lt;Tnet,'2020'!Resal+('2020'!Salim-'2020'!Resal)*(1-EXP(('2020'!Tnet-t)/('2020'!Tau_j))),Resal+(Salim-Resal)*(1-EXP((Tnet-t)/(Tau_j))))*Salcycl</f>
        <v>7.3425587725411676E-2</v>
      </c>
      <c r="P288" s="169">
        <f>(INDEX(Models!$BJ288:$BT288,,T288)*(1-R288)+INDEX(Models!$BJ288:$BT288,,T288+1)*R288-ERP_i)*Q288*Ramure*Pc/MaxiM</f>
        <v>7.5483892715124106E-4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41.228052975862624</v>
      </c>
      <c r="W288" s="400"/>
      <c r="X288" s="157">
        <f t="shared" si="107"/>
        <v>44470</v>
      </c>
      <c r="Y288" s="383">
        <f t="shared" si="108"/>
        <v>30.697000000000003</v>
      </c>
      <c r="Z288" s="383">
        <f t="shared" si="109"/>
        <v>31.284384364107826</v>
      </c>
      <c r="AA288" s="384">
        <f t="shared" si="110"/>
        <v>33.763488339063656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7.3425587725411676E-2</v>
      </c>
      <c r="AD288" s="230">
        <f>(INDEX(Models!$BJ288:$BT288,,AH288)*(1-AF288)+INDEX(Models!$BJ288:$BT288,,AH288+1)*AF288-ERP_i)*AE288*Ramure*Pc/MaxiM</f>
        <v>7.5483892715124106E-4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37.774999999999999</v>
      </c>
      <c r="C289" s="388"/>
      <c r="D289" s="391">
        <f t="shared" si="98"/>
        <v>38.498559080530711</v>
      </c>
      <c r="E289" s="383">
        <f t="shared" si="96"/>
        <v>41.551482610471197</v>
      </c>
      <c r="F289" s="383">
        <f t="shared" si="99"/>
        <v>41.580391272190035</v>
      </c>
      <c r="G289" s="110">
        <f t="shared" si="97"/>
        <v>0.92317211320753245</v>
      </c>
      <c r="H289" s="412" t="b">
        <f>Wh_hp&gt;='2020'!Maxi_hp</f>
        <v>1</v>
      </c>
      <c r="I289" s="379">
        <f>IF(H289,Wh_hp,'2020'!Maxi_hp)</f>
        <v>41.580391272190035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1.8794445761390333E-2</v>
      </c>
      <c r="M289" s="832"/>
      <c r="N289" s="832"/>
      <c r="O289" s="48">
        <f>IF(t&lt;Tnet,'2020'!Resal+('2020'!Salim-'2020'!Resal)*(1-EXP(('2020'!Tnet-t)/('2020'!Tau_j))),Resal+(Salim-Resal)*(1-EXP((Tnet-t)/(Tau_j))))*Salcycl</f>
        <v>7.3473275516073355E-2</v>
      </c>
      <c r="P289" s="169">
        <f>(INDEX(Models!$BJ289:$BT289,,T289)*(1-R289)+INDEX(Models!$BJ289:$BT289,,T289+1)*R289-ERP_i)*Q289*Ramure*Pc/MaxiM</f>
        <v>7.8086206286209206E-4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40.915191347532577</v>
      </c>
      <c r="W289" s="400"/>
      <c r="X289" s="157">
        <f t="shared" si="107"/>
        <v>44471</v>
      </c>
      <c r="Y289" s="383">
        <f t="shared" si="108"/>
        <v>37.774999999999999</v>
      </c>
      <c r="Z289" s="383">
        <f t="shared" si="109"/>
        <v>38.498559080530711</v>
      </c>
      <c r="AA289" s="384">
        <f t="shared" si="110"/>
        <v>41.551482610471197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7.3473275516073355E-2</v>
      </c>
      <c r="AD289" s="230">
        <f>(INDEX(Models!$BJ289:$BT289,,AH289)*(1-AF289)+INDEX(Models!$BJ289:$BT289,,AH289+1)*AF289-ERP_i)*AE289*Ramure*Pc/MaxiM</f>
        <v>7.8086206286209206E-4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6.3159999999999998</v>
      </c>
      <c r="C290" s="388"/>
      <c r="D290" s="391">
        <f t="shared" si="98"/>
        <v>6.4371028269607331</v>
      </c>
      <c r="E290" s="383">
        <f t="shared" si="96"/>
        <v>6.9479122443108965</v>
      </c>
      <c r="F290" s="383">
        <f t="shared" si="99"/>
        <v>6.9479122443108965</v>
      </c>
      <c r="G290" s="110">
        <f t="shared" si="97"/>
        <v>0.15545072775750249</v>
      </c>
      <c r="H290" s="412" t="b">
        <f>Wh_hp&gt;='2020'!Maxi_hp</f>
        <v>0</v>
      </c>
      <c r="I290" s="379">
        <f>IF(H290,Wh_hp,'2020'!Maxi_hp)</f>
        <v>35.39360414639436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1.881325034198833E-2</v>
      </c>
      <c r="M290" s="832"/>
      <c r="N290" s="832"/>
      <c r="O290" s="48">
        <f>IF(t&lt;Tnet,'2020'!Resal+('2020'!Salim-'2020'!Resal)*(1-EXP(('2020'!Tnet-t)/('2020'!Tau_j))),Resal+(Salim-Resal)*(1-EXP((Tnet-t)/(Tau_j))))*Salcycl</f>
        <v>7.3519842995775561E-2</v>
      </c>
      <c r="P290" s="169">
        <f>(INDEX(Models!$BJ290:$BT290,,T290)*(1-R290)+INDEX(Models!$BJ290:$BT290,,T290+1)*R290-ERP_i)*Q290*Ramure*Pc/MaxiM</f>
        <v>8.0936311247189812E-4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40.597352959494565</v>
      </c>
      <c r="W290" s="400"/>
      <c r="X290" s="157">
        <f t="shared" si="107"/>
        <v>44472</v>
      </c>
      <c r="Y290" s="383">
        <f t="shared" si="108"/>
        <v>6.3159999999999998</v>
      </c>
      <c r="Z290" s="383">
        <f t="shared" si="109"/>
        <v>6.4371028269607331</v>
      </c>
      <c r="AA290" s="384">
        <f t="shared" si="110"/>
        <v>6.9479122443108965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7.3519842995775561E-2</v>
      </c>
      <c r="AD290" s="230">
        <f>(INDEX(Models!$BJ290:$BT290,,AH290)*(1-AF290)+INDEX(Models!$BJ290:$BT290,,AH290+1)*AF290-ERP_i)*AE290*Ramure*Pc/MaxiM</f>
        <v>8.0936311247189812E-4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31.363</v>
      </c>
      <c r="C291" s="388"/>
      <c r="D291" s="391">
        <f t="shared" si="98"/>
        <v>31.964965983479789</v>
      </c>
      <c r="E291" s="383">
        <f t="shared" si="96"/>
        <v>34.503203605731478</v>
      </c>
      <c r="F291" s="383">
        <f t="shared" si="99"/>
        <v>34.523042086540435</v>
      </c>
      <c r="G291" s="110">
        <f t="shared" si="97"/>
        <v>0.77851157437189478</v>
      </c>
      <c r="H291" s="412" t="b">
        <f>Wh_hp&gt;='2020'!Maxi_hp</f>
        <v>1</v>
      </c>
      <c r="I291" s="379">
        <f>IF(H291,Wh_hp,'2020'!Maxi_hp)</f>
        <v>34.523042086540435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1.8832054562200939E-2</v>
      </c>
      <c r="M291" s="832"/>
      <c r="N291" s="832"/>
      <c r="O291" s="48">
        <f>IF(t&lt;Tnet,'2020'!Resal+('2020'!Salim-'2020'!Resal)*(1-EXP(('2020'!Tnet-t)/('2020'!Tau_j))),Resal+(Salim-Resal)*(1-EXP((Tnet-t)/(Tau_j))))*Salcycl</f>
        <v>7.3565273858513677E-2</v>
      </c>
      <c r="P291" s="169">
        <f>(INDEX(Models!$BJ291:$BT291,,T291)*(1-R291)+INDEX(Models!$BJ291:$BT291,,T291+1)*R291-ERP_i)*Q291*Ramure*Pc/MaxiM</f>
        <v>8.4026669166895767E-4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40.275142383960826</v>
      </c>
      <c r="W291" s="400"/>
      <c r="X291" s="157">
        <f t="shared" si="107"/>
        <v>44473</v>
      </c>
      <c r="Y291" s="383">
        <f t="shared" si="108"/>
        <v>31.362999999999996</v>
      </c>
      <c r="Z291" s="383">
        <f t="shared" si="109"/>
        <v>31.964965983479786</v>
      </c>
      <c r="AA291" s="384">
        <f t="shared" si="110"/>
        <v>34.503203605731478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7.3565273858513677E-2</v>
      </c>
      <c r="AD291" s="230">
        <f>(INDEX(Models!$BJ291:$BT291,,AH291)*(1-AF291)+INDEX(Models!$BJ291:$BT291,,AH291+1)*AF291-ERP_i)*AE291*Ramure*Pc/MaxiM</f>
        <v>8.4026669166895767E-4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13.167</v>
      </c>
      <c r="C292" s="388"/>
      <c r="D292" s="391">
        <f t="shared" si="98"/>
        <v>13.419978107328047</v>
      </c>
      <c r="E292" s="383">
        <f t="shared" si="96"/>
        <v>14.486308839478799</v>
      </c>
      <c r="F292" s="383">
        <f t="shared" si="99"/>
        <v>14.486843875278726</v>
      </c>
      <c r="G292" s="110">
        <f t="shared" si="97"/>
        <v>0.32931814583415592</v>
      </c>
      <c r="H292" s="412" t="b">
        <f>Wh_hp&gt;='2020'!Maxi_hp</f>
        <v>0</v>
      </c>
      <c r="I292" s="379">
        <f>IF(H292,Wh_hp,'2020'!Maxi_hp)</f>
        <v>39.702894936148411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1.8850858422034822E-2</v>
      </c>
      <c r="M292" s="832"/>
      <c r="N292" s="832"/>
      <c r="O292" s="48">
        <f>IF(t&lt;Tnet,'2020'!Resal+('2020'!Salim-'2020'!Resal)*(1-EXP(('2020'!Tnet-t)/('2020'!Tau_j))),Resal+(Salim-Resal)*(1-EXP((Tnet-t)/(Tau_j))))*Salcycl</f>
        <v>7.3609553956542298E-2</v>
      </c>
      <c r="P292" s="169">
        <f>(INDEX(Models!$BJ292:$BT292,,T292)*(1-R292)+INDEX(Models!$BJ292:$BT292,,T292+1)*R292-ERP_i)*Q292*Ramure*Pc/MaxiM</f>
        <v>8.7358412796135283E-4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39.949160311887766</v>
      </c>
      <c r="W292" s="400"/>
      <c r="X292" s="157">
        <f t="shared" si="107"/>
        <v>44474</v>
      </c>
      <c r="Y292" s="383">
        <f t="shared" si="108"/>
        <v>13.167</v>
      </c>
      <c r="Z292" s="383">
        <f t="shared" si="109"/>
        <v>13.419978107328047</v>
      </c>
      <c r="AA292" s="384">
        <f t="shared" si="110"/>
        <v>14.486308839478799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7.3609553956542298E-2</v>
      </c>
      <c r="AD292" s="230">
        <f>(INDEX(Models!$BJ292:$BT292,,AH292)*(1-AF292)+INDEX(Models!$BJ292:$BT292,,AH292+1)*AF292-ERP_i)*AE292*Ramure*Pc/MaxiM</f>
        <v>8.7358412796135283E-4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26.557000000000002</v>
      </c>
      <c r="C293" s="388"/>
      <c r="D293" s="391">
        <f t="shared" si="98"/>
        <v>27.067759470174597</v>
      </c>
      <c r="E293" s="383">
        <f t="shared" si="96"/>
        <v>29.219881827920126</v>
      </c>
      <c r="F293" s="383">
        <f t="shared" si="99"/>
        <v>29.233944028984773</v>
      </c>
      <c r="G293" s="110">
        <f t="shared" si="97"/>
        <v>0.67000543411480018</v>
      </c>
      <c r="H293" s="412" t="b">
        <f>Wh_hp&gt;='2020'!Maxi_hp</f>
        <v>0</v>
      </c>
      <c r="I293" s="379">
        <f>IF(H293,Wh_hp,'2020'!Maxi_hp)</f>
        <v>29.938480404074163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1.8869661921497083E-2</v>
      </c>
      <c r="M293" s="832"/>
      <c r="N293" s="832"/>
      <c r="O293" s="48">
        <f>IF(t&lt;Tnet,'2020'!Resal+('2020'!Salim-'2020'!Resal)*(1-EXP(('2020'!Tnet-t)/('2020'!Tau_j))),Resal+(Salim-Resal)*(1-EXP((Tnet-t)/(Tau_j))))*Salcycl</f>
        <v>7.3652671507012615E-2</v>
      </c>
      <c r="P293" s="169">
        <f>(INDEX(Models!$BJ293:$BT293,,T293)*(1-R293)+INDEX(Models!$BJ293:$BT293,,T293+1)*R293-ERP_i)*Q293*Ramure*Pc/MaxiM</f>
        <v>9.0932436766972581E-4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39.620007206551364</v>
      </c>
      <c r="W293" s="400"/>
      <c r="X293" s="157">
        <f t="shared" si="107"/>
        <v>44475</v>
      </c>
      <c r="Y293" s="383">
        <f t="shared" si="108"/>
        <v>26.557000000000002</v>
      </c>
      <c r="Z293" s="383">
        <f t="shared" si="109"/>
        <v>27.067759470174597</v>
      </c>
      <c r="AA293" s="384">
        <f t="shared" si="110"/>
        <v>29.219881827920126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7.3652671507012615E-2</v>
      </c>
      <c r="AD293" s="230">
        <f>(INDEX(Models!$BJ293:$BT293,,AH293)*(1-AF293)+INDEX(Models!$BJ293:$BT293,,AH293+1)*AF293-ERP_i)*AE293*Ramure*Pc/MaxiM</f>
        <v>9.0932436766972581E-4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39.792000000000002</v>
      </c>
      <c r="C294" s="388"/>
      <c r="D294" s="391">
        <f t="shared" si="98"/>
        <v>40.558079874636888</v>
      </c>
      <c r="E294" s="383">
        <f t="shared" si="96"/>
        <v>43.784782677332039</v>
      </c>
      <c r="F294" s="383">
        <f t="shared" si="99"/>
        <v>43.826307821277801</v>
      </c>
      <c r="G294" s="110">
        <f t="shared" si="97"/>
        <v>1.012821040985477</v>
      </c>
      <c r="H294" s="412" t="b">
        <f>Wh_hp&gt;='2020'!Maxi_hp</f>
        <v>1</v>
      </c>
      <c r="I294" s="379">
        <f>IF(H294,Wh_hp,'2020'!Maxi_hp)</f>
        <v>43.826307821277801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1.8888465060594606E-2</v>
      </c>
      <c r="M294" s="832"/>
      <c r="N294" s="832"/>
      <c r="O294" s="48">
        <f>IF(t&lt;Tnet,'2020'!Resal+('2020'!Salim-'2020'!Resal)*(1-EXP(('2020'!Tnet-t)/('2020'!Tau_j))),Resal+(Salim-Resal)*(1-EXP((Tnet-t)/(Tau_j))))*Salcycl</f>
        <v>7.3694617293730655E-2</v>
      </c>
      <c r="P294" s="169">
        <f>(INDEX(Models!$BJ294:$BT294,,T294)*(1-R294)+INDEX(Models!$BJ294:$BT294,,T294+1)*R294-ERP_i)*Q294*Ramure*Pc/MaxiM</f>
        <v>9.4749354919655671E-4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39.288283309440637</v>
      </c>
      <c r="W294" s="400"/>
      <c r="X294" s="157">
        <f t="shared" si="107"/>
        <v>44476</v>
      </c>
      <c r="Y294" s="383">
        <f t="shared" si="108"/>
        <v>39.792000000000002</v>
      </c>
      <c r="Z294" s="383">
        <f t="shared" si="109"/>
        <v>40.558079874636888</v>
      </c>
      <c r="AA294" s="384">
        <f t="shared" si="110"/>
        <v>43.784782677332039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7.3694617293730655E-2</v>
      </c>
      <c r="AD294" s="230">
        <f>(INDEX(Models!$BJ294:$BT294,,AH294)*(1-AF294)+INDEX(Models!$BJ294:$BT294,,AH294+1)*AF294-ERP_i)*AE294*Ramure*Pc/MaxiM</f>
        <v>9.4749354919655671E-4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36.895000000000003</v>
      </c>
      <c r="C295" s="388"/>
      <c r="D295" s="391">
        <f t="shared" si="98"/>
        <v>37.606027229195696</v>
      </c>
      <c r="E295" s="383">
        <f t="shared" si="96"/>
        <v>40.59965868781331</v>
      </c>
      <c r="F295" s="383">
        <f t="shared" si="99"/>
        <v>40.63677888339361</v>
      </c>
      <c r="G295" s="110">
        <f t="shared" si="97"/>
        <v>0.94705772134879873</v>
      </c>
      <c r="H295" s="412" t="b">
        <f>Wh_hp&gt;='2020'!Maxi_hp</f>
        <v>1</v>
      </c>
      <c r="I295" s="379">
        <f>IF(H295,Wh_hp,'2020'!Maxi_hp)</f>
        <v>40.63677888339361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1.8907267839334163E-2</v>
      </c>
      <c r="M295" s="832"/>
      <c r="N295" s="832"/>
      <c r="O295" s="48">
        <f>IF(t&lt;Tnet,'2020'!Resal+('2020'!Salim-'2020'!Resal)*(1-EXP(('2020'!Tnet-t)/('2020'!Tau_j))),Resal+(Salim-Resal)*(1-EXP((Tnet-t)/(Tau_j))))*Salcycl</f>
        <v>7.3735384862144232E-2</v>
      </c>
      <c r="P295" s="169">
        <f>(INDEX(Models!$BJ295:$BT295,,T295)*(1-R295)+INDEX(Models!$BJ295:$BT295,,T295+1)*R295-ERP_i)*Q295*Ramure*Pc/MaxiM</f>
        <v>9.8809456875643335E-4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38.954588638654442</v>
      </c>
      <c r="W295" s="400"/>
      <c r="X295" s="157">
        <f t="shared" si="107"/>
        <v>44477</v>
      </c>
      <c r="Y295" s="383">
        <f t="shared" si="108"/>
        <v>36.895000000000003</v>
      </c>
      <c r="Z295" s="383">
        <f t="shared" si="109"/>
        <v>37.606027229195696</v>
      </c>
      <c r="AA295" s="384">
        <f t="shared" si="110"/>
        <v>40.59965868781331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7.3735384862144232E-2</v>
      </c>
      <c r="AD295" s="230">
        <f>(INDEX(Models!$BJ295:$BT295,,AH295)*(1-AF295)+INDEX(Models!$BJ295:$BT295,,AH295+1)*AF295-ERP_i)*AE295*Ramure*Pc/MaxiM</f>
        <v>9.8809456875643335E-4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15.231</v>
      </c>
      <c r="C296" s="388"/>
      <c r="D296" s="391">
        <f t="shared" si="98"/>
        <v>15.524823908022</v>
      </c>
      <c r="E296" s="383">
        <f t="shared" si="96"/>
        <v>16.761395359667556</v>
      </c>
      <c r="F296" s="383">
        <f t="shared" si="99"/>
        <v>16.763727922598157</v>
      </c>
      <c r="G296" s="110">
        <f t="shared" si="97"/>
        <v>0.39403418617559166</v>
      </c>
      <c r="H296" s="412" t="b">
        <f>Wh_hp&gt;='2020'!Maxi_hp</f>
        <v>0</v>
      </c>
      <c r="I296" s="379">
        <f>IF(H296,Wh_hp,'2020'!Maxi_hp)</f>
        <v>37.550037556426517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1.892607025772286E-2</v>
      </c>
      <c r="M296" s="832"/>
      <c r="N296" s="832"/>
      <c r="O296" s="48">
        <f>IF(t&lt;Tnet,'2020'!Resal+('2020'!Salim-'2020'!Resal)*(1-EXP(('2020'!Tnet-t)/('2020'!Tau_j))),Resal+(Salim-Resal)*(1-EXP((Tnet-t)/(Tau_j))))*Salcycl</f>
        <v>7.3774970705665743E-2</v>
      </c>
      <c r="P296" s="169">
        <f>(INDEX(Models!$BJ296:$BT296,,T296)*(1-R296)+INDEX(Models!$BJ296:$BT296,,T296+1)*R296-ERP_i)*Q296*Ramure*Pc/MaxiM</f>
        <v>1.0319333855083493E-3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38.619491805608774</v>
      </c>
      <c r="W296" s="400"/>
      <c r="X296" s="157">
        <f t="shared" si="107"/>
        <v>44478</v>
      </c>
      <c r="Y296" s="383">
        <f t="shared" si="108"/>
        <v>15.231</v>
      </c>
      <c r="Z296" s="383">
        <f t="shared" si="109"/>
        <v>15.524823908022</v>
      </c>
      <c r="AA296" s="384">
        <f t="shared" si="110"/>
        <v>16.761395359667556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7.3774970705665743E-2</v>
      </c>
      <c r="AD296" s="230">
        <f>(INDEX(Models!$BJ296:$BT296,,AH296)*(1-AF296)+INDEX(Models!$BJ296:$BT296,,AH296+1)*AF296-ERP_i)*AE296*Ramure*Pc/MaxiM</f>
        <v>1.0319333855083493E-3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29.440999999999999</v>
      </c>
      <c r="C297" s="388"/>
      <c r="D297" s="391">
        <f t="shared" si="98"/>
        <v>30.009526650653243</v>
      </c>
      <c r="E297" s="383">
        <f t="shared" ref="E297:E360" si="120">Wh_pvt/(1-Psa)</f>
        <v>32.401166052852226</v>
      </c>
      <c r="F297" s="383">
        <f t="shared" si="99"/>
        <v>32.424589752653986</v>
      </c>
      <c r="G297" s="110">
        <f t="shared" ref="G297:G360" si="121">+Wh_hp/MaxiM</f>
        <v>0.76874951644121292</v>
      </c>
      <c r="H297" s="412" t="b">
        <f>Wh_hp&gt;='2020'!Maxi_hp</f>
        <v>1</v>
      </c>
      <c r="I297" s="379">
        <f>IF(H297,Wh_hp,'2020'!Maxi_hp)</f>
        <v>32.424589752653986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1.8944872315767358E-2</v>
      </c>
      <c r="M297" s="832"/>
      <c r="N297" s="832"/>
      <c r="O297" s="48">
        <f>IF(t&lt;Tnet,'2020'!Resal+('2020'!Salim-'2020'!Resal)*(1-EXP(('2020'!Tnet-t)/('2020'!Tau_j))),Resal+(Salim-Resal)*(1-EXP((Tnet-t)/(Tau_j))))*Salcycl</f>
        <v>7.3813374441456261E-2</v>
      </c>
      <c r="P297" s="169">
        <f>(INDEX(Models!$BJ297:$BT297,,T297)*(1-R297)+INDEX(Models!$BJ297:$BT297,,T297+1)*R297-ERP_i)*Q297*Ramure*Pc/MaxiM</f>
        <v>1.0781634998348858E-3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38.283625453380701</v>
      </c>
      <c r="W297" s="400"/>
      <c r="X297" s="157">
        <f t="shared" si="107"/>
        <v>44479</v>
      </c>
      <c r="Y297" s="383">
        <f t="shared" si="108"/>
        <v>29.440999999999999</v>
      </c>
      <c r="Z297" s="383">
        <f t="shared" si="109"/>
        <v>30.009526650653243</v>
      </c>
      <c r="AA297" s="384">
        <f t="shared" si="110"/>
        <v>32.401166052852226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7.3813374441456261E-2</v>
      </c>
      <c r="AD297" s="230">
        <f>(INDEX(Models!$BJ297:$BT297,,AH297)*(1-AF297)+INDEX(Models!$BJ297:$BT297,,AH297+1)*AF297-ERP_i)*AE297*Ramure*Pc/MaxiM</f>
        <v>1.0781634998348858E-3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38.456000000000003</v>
      </c>
      <c r="C298" s="388"/>
      <c r="D298" s="391">
        <f t="shared" si="98"/>
        <v>39.19936395966667</v>
      </c>
      <c r="E298" s="383">
        <f t="shared" si="120"/>
        <v>42.32509778253273</v>
      </c>
      <c r="F298" s="383">
        <f t="shared" si="99"/>
        <v>42.372842429013986</v>
      </c>
      <c r="G298" s="110">
        <f t="shared" si="121"/>
        <v>1.0133977170546129</v>
      </c>
      <c r="H298" s="412" t="b">
        <f>Wh_hp&gt;='2020'!Maxi_hp</f>
        <v>1</v>
      </c>
      <c r="I298" s="379">
        <f>IF(H298,Wh_hp,'2020'!Maxi_hp)</f>
        <v>42.372842429013986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1.8963674013474763E-2</v>
      </c>
      <c r="M298" s="832"/>
      <c r="N298" s="832"/>
      <c r="O298" s="48">
        <f>IF(t&lt;Tnet,'2020'!Resal+('2020'!Salim-'2020'!Resal)*(1-EXP(('2020'!Tnet-t)/('2020'!Tau_j))),Resal+(Salim-Resal)*(1-EXP((Tnet-t)/(Tau_j))))*Salcycl</f>
        <v>7.3850598973832268E-2</v>
      </c>
      <c r="P298" s="169">
        <f>(INDEX(Models!$BJ298:$BT298,,T298)*(1-R298)+INDEX(Models!$BJ298:$BT298,,T298+1)*R298-ERP_i)*Q298*Ramure*Pc/MaxiM</f>
        <v>1.1267746920977696E-3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37.947588940470808</v>
      </c>
      <c r="W298" s="400"/>
      <c r="X298" s="157">
        <f t="shared" si="107"/>
        <v>44480</v>
      </c>
      <c r="Y298" s="383">
        <f t="shared" si="108"/>
        <v>38.456000000000003</v>
      </c>
      <c r="Z298" s="383">
        <f t="shared" si="109"/>
        <v>39.19936395966667</v>
      </c>
      <c r="AA298" s="384">
        <f t="shared" si="110"/>
        <v>42.32509778253273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7.3850598973832268E-2</v>
      </c>
      <c r="AD298" s="230">
        <f>(INDEX(Models!$BJ298:$BT298,,AH298)*(1-AF298)+INDEX(Models!$BJ298:$BT298,,AH298+1)*AF298-ERP_i)*AE298*Ramure*Pc/MaxiM</f>
        <v>1.1267746920977696E-3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36.356000000000002</v>
      </c>
      <c r="C299" s="388"/>
      <c r="D299" s="391">
        <f t="shared" si="98"/>
        <v>37.059480678494907</v>
      </c>
      <c r="E299" s="383">
        <f t="shared" si="120"/>
        <v>40.01613917372616</v>
      </c>
      <c r="F299" s="383">
        <f t="shared" si="99"/>
        <v>40.061070375868503</v>
      </c>
      <c r="G299" s="110">
        <f t="shared" si="121"/>
        <v>0.96655251117459662</v>
      </c>
      <c r="H299" s="412" t="b">
        <f>Wh_hp&gt;='2020'!Maxi_hp</f>
        <v>1</v>
      </c>
      <c r="I299" s="379">
        <f>IF(H299,Wh_hp,'2020'!Maxi_hp)</f>
        <v>40.061070375868503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1.8982475350851957E-2</v>
      </c>
      <c r="M299" s="832"/>
      <c r="N299" s="832"/>
      <c r="O299" s="48">
        <f>IF(t&lt;Tnet,'2020'!Resal+('2020'!Salim-'2020'!Resal)*(1-EXP(('2020'!Tnet-t)/('2020'!Tau_j))),Resal+(Salim-Resal)*(1-EXP((Tnet-t)/(Tau_j))))*Salcycl</f>
        <v>7.3886650643511895E-2</v>
      </c>
      <c r="P299" s="169">
        <f>(INDEX(Models!$BJ299:$BT299,,T299)*(1-R299)+INDEX(Models!$BJ299:$BT299,,T299+1)*R299-ERP_i)*Q299*Ramure*Pc/MaxiM</f>
        <v>1.1777516948008309E-3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37.611981408657108</v>
      </c>
      <c r="W299" s="400"/>
      <c r="X299" s="157">
        <f t="shared" si="107"/>
        <v>44481</v>
      </c>
      <c r="Y299" s="383">
        <f t="shared" si="108"/>
        <v>36.356000000000002</v>
      </c>
      <c r="Z299" s="383">
        <f t="shared" si="109"/>
        <v>37.059480678494907</v>
      </c>
      <c r="AA299" s="384">
        <f t="shared" si="110"/>
        <v>40.01613917372616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7.3886650643511895E-2</v>
      </c>
      <c r="AD299" s="230">
        <f>(INDEX(Models!$BJ299:$BT299,,AH299)*(1-AF299)+INDEX(Models!$BJ299:$BT299,,AH299+1)*AF299-ERP_i)*AE299*Ramure*Pc/MaxiM</f>
        <v>1.1777516948008309E-3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35.045000000000002</v>
      </c>
      <c r="C300" s="388"/>
      <c r="D300" s="391">
        <f t="shared" si="98"/>
        <v>35.723797752578974</v>
      </c>
      <c r="E300" s="383">
        <f t="shared" si="120"/>
        <v>38.575346766977965</v>
      </c>
      <c r="F300" s="383">
        <f t="shared" si="99"/>
        <v>38.61882203297732</v>
      </c>
      <c r="G300" s="110">
        <f t="shared" si="121"/>
        <v>0.9400146792557097</v>
      </c>
      <c r="H300" s="412" t="b">
        <f>Wh_hp&gt;='2020'!Maxi_hp</f>
        <v>0</v>
      </c>
      <c r="I300" s="379">
        <f>IF(H300,Wh_hp,'2020'!Maxi_hp)</f>
        <v>39.39832701671196</v>
      </c>
      <c r="J300" s="85">
        <f>IF(H300,An,'2020'!An_max)</f>
        <v>2018</v>
      </c>
      <c r="K300" s="197">
        <f t="shared" si="100"/>
        <v>44482</v>
      </c>
      <c r="L300" s="147">
        <f>IF(t&lt;Tvie,1-EXP((T0-t)*PertePVj)+'2020'!Pspv,1-EXP((T0-t)*PertePVj)+Pspv)</f>
        <v>1.9001276327905825E-2</v>
      </c>
      <c r="M300" s="832"/>
      <c r="N300" s="832"/>
      <c r="O300" s="48">
        <f>IF(t&lt;Tnet,'2020'!Resal+('2020'!Salim-'2020'!Resal)*(1-EXP(('2020'!Tnet-t)/('2020'!Tau_j))),Resal+(Salim-Resal)*(1-EXP((Tnet-t)/(Tau_j))))*Salcycl</f>
        <v>7.3921539360989802E-2</v>
      </c>
      <c r="P300" s="169">
        <f>(INDEX(Models!$BJ300:$BT300,,T300)*(1-R300)+INDEX(Models!$BJ300:$BT300,,T300+1)*R300-ERP_i)*Q300*Ramure*Pc/MaxiM</f>
        <v>1.2310737539402504E-3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37.277401787314865</v>
      </c>
      <c r="W300" s="400"/>
      <c r="X300" s="157">
        <f t="shared" si="107"/>
        <v>44482</v>
      </c>
      <c r="Y300" s="383">
        <f t="shared" si="108"/>
        <v>35.045000000000002</v>
      </c>
      <c r="Z300" s="383">
        <f t="shared" si="109"/>
        <v>35.723797752578974</v>
      </c>
      <c r="AA300" s="384">
        <f t="shared" si="110"/>
        <v>38.575346766977965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7.3921539360989802E-2</v>
      </c>
      <c r="AD300" s="230">
        <f>(INDEX(Models!$BJ300:$BT300,,AH300)*(1-AF300)+INDEX(Models!$BJ300:$BT300,,AH300+1)*AF300-ERP_i)*AE300*Ramure*Pc/MaxiM</f>
        <v>1.2310737539402504E-3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38.407000000000004</v>
      </c>
      <c r="C301" s="388"/>
      <c r="D301" s="391">
        <f t="shared" si="98"/>
        <v>39.151667732788752</v>
      </c>
      <c r="E301" s="383">
        <f t="shared" si="120"/>
        <v>42.27837687879137</v>
      </c>
      <c r="F301" s="383">
        <f t="shared" si="99"/>
        <v>42.332847154201126</v>
      </c>
      <c r="G301" s="110">
        <f t="shared" si="121"/>
        <v>1.0395878475177704</v>
      </c>
      <c r="H301" s="412" t="b">
        <f>Wh_hp&gt;='2020'!Maxi_hp</f>
        <v>1</v>
      </c>
      <c r="I301" s="379">
        <f>IF(H301,Wh_hp,'2020'!Maxi_hp)</f>
        <v>42.332847154201126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1.9020076944643249E-2</v>
      </c>
      <c r="M301" s="832"/>
      <c r="N301" s="832"/>
      <c r="O301" s="48">
        <f>IF(t&lt;Tnet,'2020'!Resal+('2020'!Salim-'2020'!Resal)*(1-EXP(('2020'!Tnet-t)/('2020'!Tau_j))),Resal+(Salim-Resal)*(1-EXP((Tnet-t)/(Tau_j))))*Salcycl</f>
        <v>7.3955278722421997E-2</v>
      </c>
      <c r="P301" s="169">
        <f>(INDEX(Models!$BJ301:$BT301,,T301)*(1-R301)+INDEX(Models!$BJ301:$BT301,,T301+1)*R301-ERP_i)*Q301*Ramure*Pc/MaxiM</f>
        <v>1.286714196456992E-3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36.944448794495443</v>
      </c>
      <c r="W301" s="400"/>
      <c r="X301" s="157">
        <f t="shared" si="107"/>
        <v>44483</v>
      </c>
      <c r="Y301" s="383">
        <f t="shared" si="108"/>
        <v>38.407000000000004</v>
      </c>
      <c r="Z301" s="383">
        <f t="shared" si="109"/>
        <v>39.151667732788752</v>
      </c>
      <c r="AA301" s="384">
        <f t="shared" si="110"/>
        <v>42.27837687879137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7.3955278722421997E-2</v>
      </c>
      <c r="AD301" s="230">
        <f>(INDEX(Models!$BJ301:$BT301,,AH301)*(1-AF301)+INDEX(Models!$BJ301:$BT301,,AH301+1)*AF301-ERP_i)*AE301*Ramure*Pc/MaxiM</f>
        <v>1.286714196456992E-3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32.097000000000001</v>
      </c>
      <c r="C302" s="388"/>
      <c r="D302" s="391">
        <f t="shared" si="98"/>
        <v>32.719951131619965</v>
      </c>
      <c r="E302" s="383">
        <f t="shared" si="120"/>
        <v>35.334258203217594</v>
      </c>
      <c r="F302" s="383">
        <f t="shared" si="99"/>
        <v>35.373440417790007</v>
      </c>
      <c r="G302" s="110">
        <f t="shared" si="121"/>
        <v>0.87643060637529246</v>
      </c>
      <c r="H302" s="412" t="b">
        <f>Wh_hp&gt;='2020'!Maxi_hp</f>
        <v>1</v>
      </c>
      <c r="I302" s="379">
        <f>IF(H302,Wh_hp,'2020'!Maxi_hp)</f>
        <v>35.373440417790007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1.9038877201071114E-2</v>
      </c>
      <c r="M302" s="832"/>
      <c r="N302" s="832"/>
      <c r="O302" s="48">
        <f>IF(t&lt;Tnet,'2020'!Resal+('2020'!Salim-'2020'!Resal)*(1-EXP(('2020'!Tnet-t)/('2020'!Tau_j))),Resal+(Salim-Resal)*(1-EXP((Tnet-t)/(Tau_j))))*Salcycl</f>
        <v>7.3987886106508527E-2</v>
      </c>
      <c r="P302" s="169">
        <f>(INDEX(Models!$BJ302:$BT302,,T302)*(1-R302)+INDEX(Models!$BJ302:$BT302,,T302+1)*R302-ERP_i)*Q302*Ramure*Pc/MaxiM</f>
        <v>1.3446400070285694E-3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36.613720939387392</v>
      </c>
      <c r="W302" s="400"/>
      <c r="X302" s="157">
        <f t="shared" si="107"/>
        <v>44484</v>
      </c>
      <c r="Y302" s="383">
        <f t="shared" si="108"/>
        <v>32.097000000000001</v>
      </c>
      <c r="Z302" s="383">
        <f t="shared" si="109"/>
        <v>32.719951131619965</v>
      </c>
      <c r="AA302" s="384">
        <f t="shared" si="110"/>
        <v>35.334258203217594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7.3987886106508527E-2</v>
      </c>
      <c r="AD302" s="230">
        <f>(INDEX(Models!$BJ302:$BT302,,AH302)*(1-AF302)+INDEX(Models!$BJ302:$BT302,,AH302+1)*AF302-ERP_i)*AE302*Ramure*Pc/MaxiM</f>
        <v>1.3446400070285694E-3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35.198999999999998</v>
      </c>
      <c r="C303" s="388"/>
      <c r="D303" s="391">
        <f t="shared" si="98"/>
        <v>35.882843647564464</v>
      </c>
      <c r="E303" s="383">
        <f t="shared" si="120"/>
        <v>38.751182237667663</v>
      </c>
      <c r="F303" s="383">
        <f t="shared" si="99"/>
        <v>38.803370286376357</v>
      </c>
      <c r="G303" s="110">
        <f t="shared" si="121"/>
        <v>0.97005904941195453</v>
      </c>
      <c r="H303" s="412" t="b">
        <f>Wh_hp&gt;='2020'!Maxi_hp</f>
        <v>1</v>
      </c>
      <c r="I303" s="379">
        <f>IF(H303,Wh_hp,'2020'!Maxi_hp)</f>
        <v>38.803370286376357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1.9057677097196302E-2</v>
      </c>
      <c r="M303" s="832"/>
      <c r="N303" s="832"/>
      <c r="O303" s="48">
        <f>IF(t&lt;Tnet,'2020'!Resal+('2020'!Salim-'2020'!Resal)*(1-EXP(('2020'!Tnet-t)/('2020'!Tau_j))),Resal+(Salim-Resal)*(1-EXP((Tnet-t)/(Tau_j))))*Salcycl</f>
        <v>7.4019382750987725E-2</v>
      </c>
      <c r="P303" s="169">
        <f>(INDEX(Models!$BJ303:$BT303,,T303)*(1-R303)+INDEX(Models!$BJ303:$BT303,,T303+1)*R303-ERP_i)*Q303*Ramure*Pc/MaxiM</f>
        <v>1.4049110039441697E-3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36.283240816402426</v>
      </c>
      <c r="W303" s="400"/>
      <c r="X303" s="157">
        <f t="shared" si="107"/>
        <v>44485</v>
      </c>
      <c r="Y303" s="383">
        <f t="shared" si="108"/>
        <v>35.198999999999998</v>
      </c>
      <c r="Z303" s="383">
        <f t="shared" si="109"/>
        <v>35.882843647564464</v>
      </c>
      <c r="AA303" s="384">
        <f t="shared" si="110"/>
        <v>38.751182237667663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7.4019382750987725E-2</v>
      </c>
      <c r="AD303" s="230">
        <f>(INDEX(Models!$BJ303:$BT303,,AH303)*(1-AF303)+INDEX(Models!$BJ303:$BT303,,AH303+1)*AF303-ERP_i)*AE303*Ramure*Pc/MaxiM</f>
        <v>1.4049110039441697E-3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32.332999999999998</v>
      </c>
      <c r="C304" s="388"/>
      <c r="D304" s="391">
        <f t="shared" si="98"/>
        <v>32.961794910390658</v>
      </c>
      <c r="E304" s="383">
        <f t="shared" si="120"/>
        <v>35.59780503309041</v>
      </c>
      <c r="F304" s="383">
        <f t="shared" si="99"/>
        <v>35.6425652403491</v>
      </c>
      <c r="G304" s="110">
        <f t="shared" si="121"/>
        <v>0.89917317882760284</v>
      </c>
      <c r="H304" s="412" t="b">
        <f>Wh_hp&gt;='2020'!Maxi_hp</f>
        <v>1</v>
      </c>
      <c r="I304" s="379">
        <f>IF(H304,Wh_hp,'2020'!Maxi_hp)</f>
        <v>35.6425652403491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1.9076476633025918E-2</v>
      </c>
      <c r="M304" s="832"/>
      <c r="N304" s="832"/>
      <c r="O304" s="48">
        <f>IF(t&lt;Tnet,'2020'!Resal+('2020'!Salim-'2020'!Resal)*(1-EXP(('2020'!Tnet-t)/('2020'!Tau_j))),Resal+(Salim-Resal)*(1-EXP((Tnet-t)/(Tau_j))))*Salcycl</f>
        <v>7.404979380749499E-2</v>
      </c>
      <c r="P304" s="169">
        <f>(INDEX(Models!$BJ304:$BT304,,T304)*(1-R304)+INDEX(Models!$BJ304:$BT304,,T304+1)*R304-ERP_i)*Q304*Ramure*Pc/MaxiM</f>
        <v>1.4666659380215422E-3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35.950998660478426</v>
      </c>
      <c r="W304" s="400"/>
      <c r="X304" s="157">
        <f t="shared" si="107"/>
        <v>44486</v>
      </c>
      <c r="Y304" s="383">
        <f t="shared" si="108"/>
        <v>32.332999999999998</v>
      </c>
      <c r="Z304" s="383">
        <f t="shared" si="109"/>
        <v>32.961794910390658</v>
      </c>
      <c r="AA304" s="384">
        <f t="shared" si="110"/>
        <v>35.59780503309041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7.404979380749499E-2</v>
      </c>
      <c r="AD304" s="230">
        <f>(INDEX(Models!$BJ304:$BT304,,AH304)*(1-AF304)+INDEX(Models!$BJ304:$BT304,,AH304+1)*AF304-ERP_i)*AE304*Ramure*Pc/MaxiM</f>
        <v>1.4666659380215422E-3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33.036000000000001</v>
      </c>
      <c r="C305" s="388"/>
      <c r="D305" s="391">
        <f t="shared" si="98"/>
        <v>33.679111931316072</v>
      </c>
      <c r="E305" s="383">
        <f t="shared" si="120"/>
        <v>36.373640222229973</v>
      </c>
      <c r="F305" s="383">
        <f t="shared" si="99"/>
        <v>36.423547520229583</v>
      </c>
      <c r="G305" s="110">
        <f t="shared" si="121"/>
        <v>0.92737345298794382</v>
      </c>
      <c r="H305" s="412" t="b">
        <f>Wh_hp&gt;='2020'!Maxi_hp</f>
        <v>0</v>
      </c>
      <c r="I305" s="379">
        <f>IF(H305,Wh_hp,'2020'!Maxi_hp)</f>
        <v>38.775386152374139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1.9095275808566625E-2</v>
      </c>
      <c r="M305" s="832"/>
      <c r="N305" s="832"/>
      <c r="O305" s="48">
        <f>IF(t&lt;Tnet,'2020'!Resal+('2020'!Salim-'2020'!Resal)*(1-EXP(('2020'!Tnet-t)/('2020'!Tau_j))),Resal+(Salim-Resal)*(1-EXP((Tnet-t)/(Tau_j))))*Salcycl</f>
        <v>7.4079148373693005E-2</v>
      </c>
      <c r="P305" s="169">
        <f>(INDEX(Models!$BJ305:$BT305,,T305)*(1-R305)+INDEX(Models!$BJ305:$BT305,,T305+1)*R305-ERP_i)*Q305*Ramure*Pc/MaxiM</f>
        <v>1.5284526058995747E-3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35.617543787865529</v>
      </c>
      <c r="W305" s="400"/>
      <c r="X305" s="157">
        <f t="shared" si="107"/>
        <v>44487</v>
      </c>
      <c r="Y305" s="383">
        <f t="shared" si="108"/>
        <v>33.036000000000001</v>
      </c>
      <c r="Z305" s="383">
        <f t="shared" si="109"/>
        <v>33.679111931316072</v>
      </c>
      <c r="AA305" s="384">
        <f t="shared" si="110"/>
        <v>36.373640222229973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7.4079148373693005E-2</v>
      </c>
      <c r="AD305" s="230">
        <f>(INDEX(Models!$BJ305:$BT305,,AH305)*(1-AF305)+INDEX(Models!$BJ305:$BT305,,AH305+1)*AF305-ERP_i)*AE305*Ramure*Pc/MaxiM</f>
        <v>1.5284526058995747E-3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33.463000000000001</v>
      </c>
      <c r="C306" s="388"/>
      <c r="D306" s="391">
        <f t="shared" si="98"/>
        <v>34.115078149548097</v>
      </c>
      <c r="E306" s="383">
        <f t="shared" si="120"/>
        <v>36.845613712474652</v>
      </c>
      <c r="F306" s="383">
        <f t="shared" si="99"/>
        <v>36.899968457169464</v>
      </c>
      <c r="G306" s="110">
        <f t="shared" si="121"/>
        <v>0.94829573060059646</v>
      </c>
      <c r="H306" s="412" t="b">
        <f>Wh_hp&gt;='2020'!Maxi_hp</f>
        <v>0</v>
      </c>
      <c r="I306" s="379">
        <f>IF(H306,Wh_hp,'2020'!Maxi_hp)</f>
        <v>38.555741543850147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1.9114074623825417E-2</v>
      </c>
      <c r="M306" s="832"/>
      <c r="N306" s="832"/>
      <c r="O306" s="48">
        <f>IF(t&lt;Tnet,'2020'!Resal+('2020'!Salim-'2020'!Resal)*(1-EXP(('2020'!Tnet-t)/('2020'!Tau_j))),Resal+(Salim-Resal)*(1-EXP((Tnet-t)/(Tau_j))))*Salcycl</f>
        <v>7.4107479501748355E-2</v>
      </c>
      <c r="P306" s="169">
        <f>(INDEX(Models!$BJ306:$BT306,,T306)*(1-R306)+INDEX(Models!$BJ306:$BT306,,T306+1)*R306-ERP_i)*Q306*Ramure*Pc/MaxiM</f>
        <v>1.5902367071290698E-3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35.283373141948594</v>
      </c>
      <c r="W306" s="400"/>
      <c r="X306" s="157">
        <f t="shared" si="107"/>
        <v>44488</v>
      </c>
      <c r="Y306" s="383">
        <f t="shared" si="108"/>
        <v>33.463000000000001</v>
      </c>
      <c r="Z306" s="383">
        <f t="shared" si="109"/>
        <v>34.115078149548097</v>
      </c>
      <c r="AA306" s="384">
        <f t="shared" si="110"/>
        <v>36.845613712474652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7.4107479501748355E-2</v>
      </c>
      <c r="AD306" s="230">
        <f>(INDEX(Models!$BJ306:$BT306,,AH306)*(1-AF306)+INDEX(Models!$BJ306:$BT306,,AH306+1)*AF306-ERP_i)*AE306*Ramure*Pc/MaxiM</f>
        <v>1.5902367071290698E-3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26.057000000000002</v>
      </c>
      <c r="C307" s="388"/>
      <c r="D307" s="391">
        <f t="shared" si="98"/>
        <v>26.56526993802861</v>
      </c>
      <c r="E307" s="383">
        <f t="shared" si="120"/>
        <v>28.692374043088861</v>
      </c>
      <c r="F307" s="383">
        <f t="shared" si="99"/>
        <v>28.722576961871106</v>
      </c>
      <c r="G307" s="110">
        <f t="shared" si="121"/>
        <v>0.745124329599543</v>
      </c>
      <c r="H307" s="412" t="b">
        <f>Wh_hp&gt;='2020'!Maxi_hp</f>
        <v>0</v>
      </c>
      <c r="I307" s="379">
        <f>IF(H307,Wh_hp,'2020'!Maxi_hp)</f>
        <v>31.702695928532638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1.9132873078809176E-2</v>
      </c>
      <c r="M307" s="832"/>
      <c r="N307" s="832"/>
      <c r="O307" s="48">
        <f>IF(t&lt;Tnet,'2020'!Resal+('2020'!Salim-'2020'!Resal)*(1-EXP(('2020'!Tnet-t)/('2020'!Tau_j))),Resal+(Salim-Resal)*(1-EXP((Tnet-t)/(Tau_j))))*Salcycl</f>
        <v>7.4134824182407064E-2</v>
      </c>
      <c r="P307" s="169">
        <f>(INDEX(Models!$BJ307:$BT307,,T307)*(1-R307)+INDEX(Models!$BJ307:$BT307,,T307+1)*R307-ERP_i)*Q307*Ramure*Pc/MaxiM</f>
        <v>1.6519815751362818E-3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34.948983373688826</v>
      </c>
      <c r="W307" s="400"/>
      <c r="X307" s="157">
        <f t="shared" si="107"/>
        <v>44489</v>
      </c>
      <c r="Y307" s="383">
        <f t="shared" si="108"/>
        <v>26.057000000000002</v>
      </c>
      <c r="Z307" s="383">
        <f t="shared" si="109"/>
        <v>26.56526993802861</v>
      </c>
      <c r="AA307" s="384">
        <f t="shared" si="110"/>
        <v>28.692374043088861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7.4134824182407064E-2</v>
      </c>
      <c r="AD307" s="230">
        <f>(INDEX(Models!$BJ307:$BT307,,AH307)*(1-AF307)+INDEX(Models!$BJ307:$BT307,,AH307+1)*AF307-ERP_i)*AE307*Ramure*Pc/MaxiM</f>
        <v>1.6519815751362818E-3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14.541</v>
      </c>
      <c r="C308" s="388"/>
      <c r="D308" s="391">
        <f t="shared" si="98"/>
        <v>14.824922031928642</v>
      </c>
      <c r="E308" s="383">
        <f t="shared" si="120"/>
        <v>16.012422902436072</v>
      </c>
      <c r="F308" s="383">
        <f t="shared" si="99"/>
        <v>16.01713134737226</v>
      </c>
      <c r="G308" s="110">
        <f t="shared" si="121"/>
        <v>0.41948301210793315</v>
      </c>
      <c r="H308" s="412" t="b">
        <f>Wh_hp&gt;='2020'!Maxi_hp</f>
        <v>0</v>
      </c>
      <c r="I308" s="379">
        <f>IF(H308,Wh_hp,'2020'!Maxi_hp)</f>
        <v>24.418087613545492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1.9151671173524898E-2</v>
      </c>
      <c r="M308" s="832"/>
      <c r="N308" s="832"/>
      <c r="O308" s="48">
        <f>IF(t&lt;Tnet,'2020'!Resal+('2020'!Salim-'2020'!Resal)*(1-EXP(('2020'!Tnet-t)/('2020'!Tau_j))),Resal+(Salim-Resal)*(1-EXP((Tnet-t)/(Tau_j))))*Salcycl</f>
        <v>7.4161223304111346E-2</v>
      </c>
      <c r="P308" s="169">
        <f>(INDEX(Models!$BJ308:$BT308,,T308)*(1-R308)+INDEX(Models!$BJ308:$BT308,,T308+1)*R308-ERP_i)*Q308*Ramure*Pc/MaxiM</f>
        <v>1.7136482479851167E-3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34.614870848896921</v>
      </c>
      <c r="W308" s="400"/>
      <c r="X308" s="157">
        <f t="shared" si="107"/>
        <v>44490</v>
      </c>
      <c r="Y308" s="383">
        <f t="shared" si="108"/>
        <v>14.541000000000002</v>
      </c>
      <c r="Z308" s="383">
        <f t="shared" si="109"/>
        <v>14.824922031928644</v>
      </c>
      <c r="AA308" s="384">
        <f t="shared" si="110"/>
        <v>16.012422902436072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7.4161223304111346E-2</v>
      </c>
      <c r="AD308" s="230">
        <f>(INDEX(Models!$BJ308:$BT308,,AH308)*(1-AF308)+INDEX(Models!$BJ308:$BT308,,AH308+1)*AF308-ERP_i)*AE308*Ramure*Pc/MaxiM</f>
        <v>1.7136482479851167E-3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12.016</v>
      </c>
      <c r="C309" s="388"/>
      <c r="D309" s="391">
        <f t="shared" si="98"/>
        <v>12.250854627737212</v>
      </c>
      <c r="E309" s="383">
        <f t="shared" si="120"/>
        <v>13.232532858822836</v>
      </c>
      <c r="F309" s="383">
        <f t="shared" si="99"/>
        <v>13.234228052055085</v>
      </c>
      <c r="G309" s="110">
        <f t="shared" si="121"/>
        <v>0.34993202705015392</v>
      </c>
      <c r="H309" s="412" t="b">
        <f>Wh_hp&gt;='2020'!Maxi_hp</f>
        <v>0</v>
      </c>
      <c r="I309" s="379">
        <f>IF(H309,Wh_hp,'2020'!Maxi_hp)</f>
        <v>26.084679596950284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1.9170468907979354E-2</v>
      </c>
      <c r="M309" s="832"/>
      <c r="N309" s="832"/>
      <c r="O309" s="48">
        <f>IF(t&lt;Tnet,'2020'!Resal+('2020'!Salim-'2020'!Resal)*(1-EXP(('2020'!Tnet-t)/('2020'!Tau_j))),Resal+(Salim-Resal)*(1-EXP((Tnet-t)/(Tau_j))))*Salcycl</f>
        <v>7.4186721586796345E-2</v>
      </c>
      <c r="P309" s="169">
        <f>(INDEX(Models!$BJ309:$BT309,,T309)*(1-R309)+INDEX(Models!$BJ309:$BT309,,T309+1)*R309-ERP_i)*Q309*Ramure*Pc/MaxiM</f>
        <v>1.7751955418277817E-3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34.281531657744779</v>
      </c>
      <c r="W309" s="400"/>
      <c r="X309" s="157">
        <f t="shared" si="107"/>
        <v>44491</v>
      </c>
      <c r="Y309" s="383">
        <f t="shared" si="108"/>
        <v>12.016</v>
      </c>
      <c r="Z309" s="383">
        <f t="shared" si="109"/>
        <v>12.250854627737212</v>
      </c>
      <c r="AA309" s="384">
        <f t="shared" si="110"/>
        <v>13.232532858822836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7.4186721586796345E-2</v>
      </c>
      <c r="AD309" s="230">
        <f>(INDEX(Models!$BJ309:$BT309,,AH309)*(1-AF309)+INDEX(Models!$BJ309:$BT309,,AH309+1)*AF309-ERP_i)*AE309*Ramure*Pc/MaxiM</f>
        <v>1.7751955418277817E-3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33.902000000000001</v>
      </c>
      <c r="C310" s="388"/>
      <c r="D310" s="391">
        <f t="shared" si="98"/>
        <v>34.56528240825066</v>
      </c>
      <c r="E310" s="383">
        <f t="shared" si="120"/>
        <v>37.336041072944489</v>
      </c>
      <c r="F310" s="383">
        <f t="shared" si="99"/>
        <v>37.404529448025627</v>
      </c>
      <c r="G310" s="110">
        <f t="shared" si="121"/>
        <v>0.99859642752130628</v>
      </c>
      <c r="H310" s="412" t="b">
        <f>Wh_hp&gt;='2020'!Maxi_hp</f>
        <v>1</v>
      </c>
      <c r="I310" s="379">
        <f>IF(H310,Wh_hp,'2020'!Maxi_hp)</f>
        <v>37.404529448025627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1.918926628217954E-2</v>
      </c>
      <c r="M310" s="832"/>
      <c r="N310" s="832"/>
      <c r="O310" s="48">
        <f>IF(t&lt;Tnet,'2020'!Resal+('2020'!Salim-'2020'!Resal)*(1-EXP(('2020'!Tnet-t)/('2020'!Tau_j))),Resal+(Salim-Resal)*(1-EXP((Tnet-t)/(Tau_j))))*Salcycl</f>
        <v>7.4211367490209304E-2</v>
      </c>
      <c r="P310" s="169">
        <f>(INDEX(Models!$BJ310:$BT310,,T310)*(1-R310)+INDEX(Models!$BJ310:$BT310,,T310+1)*R310-ERP_i)*Q310*Ramure*Pc/MaxiM</f>
        <v>1.83468734128552E-3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33.949526001769158</v>
      </c>
      <c r="W310" s="400"/>
      <c r="X310" s="157">
        <f t="shared" si="107"/>
        <v>44492</v>
      </c>
      <c r="Y310" s="383">
        <f t="shared" si="108"/>
        <v>33.902000000000001</v>
      </c>
      <c r="Z310" s="383">
        <f t="shared" si="109"/>
        <v>34.56528240825066</v>
      </c>
      <c r="AA310" s="384">
        <f t="shared" si="110"/>
        <v>37.336041072944489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7.4211367490209304E-2</v>
      </c>
      <c r="AD310" s="230">
        <f>(INDEX(Models!$BJ310:$BT310,,AH310)*(1-AF310)+INDEX(Models!$BJ310:$BT310,,AH310+1)*AF310-ERP_i)*AE310*Ramure*Pc/MaxiM</f>
        <v>1.83468734128552E-3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34.819000000000003</v>
      </c>
      <c r="C311" s="388"/>
      <c r="D311" s="391">
        <f t="shared" si="98"/>
        <v>35.500903603485646</v>
      </c>
      <c r="E311" s="383">
        <f t="shared" si="120"/>
        <v>38.347649538756755</v>
      </c>
      <c r="F311" s="383">
        <f t="shared" si="99"/>
        <v>38.420312161688102</v>
      </c>
      <c r="G311" s="110">
        <f t="shared" si="121"/>
        <v>1.0356825400171863</v>
      </c>
      <c r="H311" s="412" t="b">
        <f>Wh_hp&gt;='2020'!Maxi_hp</f>
        <v>1</v>
      </c>
      <c r="I311" s="379">
        <f>IF(H311,Wh_hp,'2020'!Maxi_hp)</f>
        <v>38.420312161688102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1.9208063296132338E-2</v>
      </c>
      <c r="M311" s="832"/>
      <c r="N311" s="832"/>
      <c r="O311" s="48">
        <f>IF(t&lt;Tnet,'2020'!Resal+('2020'!Salim-'2020'!Resal)*(1-EXP(('2020'!Tnet-t)/('2020'!Tau_j))),Resal+(Salim-Resal)*(1-EXP((Tnet-t)/(Tau_j))))*Salcycl</f>
        <v>7.4235213096802616E-2</v>
      </c>
      <c r="P311" s="169">
        <f>(INDEX(Models!$BJ311:$BT311,,T311)*(1-R311)+INDEX(Models!$BJ311:$BT311,,T311+1)*R311-ERP_i)*Q311*Ramure*Pc/MaxiM</f>
        <v>1.8912554022349627E-3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33.619375295659815</v>
      </c>
      <c r="W311" s="400"/>
      <c r="X311" s="157">
        <f t="shared" si="107"/>
        <v>44493</v>
      </c>
      <c r="Y311" s="383">
        <f t="shared" si="108"/>
        <v>34.819000000000003</v>
      </c>
      <c r="Z311" s="383">
        <f t="shared" si="109"/>
        <v>35.500903603485646</v>
      </c>
      <c r="AA311" s="384">
        <f t="shared" si="110"/>
        <v>38.347649538756755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7.4235213096802616E-2</v>
      </c>
      <c r="AD311" s="230">
        <f>(INDEX(Models!$BJ311:$BT311,,AH311)*(1-AF311)+INDEX(Models!$BJ311:$BT311,,AH311+1)*AF311-ERP_i)*AE311*Ramure*Pc/MaxiM</f>
        <v>1.8912554022349627E-3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31.927</v>
      </c>
      <c r="C312" s="388"/>
      <c r="D312" s="391">
        <f t="shared" si="98"/>
        <v>32.552889854189218</v>
      </c>
      <c r="E312" s="383">
        <f t="shared" si="120"/>
        <v>35.16411796661319</v>
      </c>
      <c r="F312" s="383">
        <f t="shared" si="99"/>
        <v>35.228620832517834</v>
      </c>
      <c r="G312" s="110">
        <f t="shared" si="121"/>
        <v>0.95890207569470154</v>
      </c>
      <c r="H312" s="412" t="b">
        <f>Wh_hp&gt;='2020'!Maxi_hp</f>
        <v>1</v>
      </c>
      <c r="I312" s="379">
        <f>IF(H312,Wh_hp,'2020'!Maxi_hp)</f>
        <v>35.228620832517834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1.9226859949844743E-2</v>
      </c>
      <c r="M312" s="832"/>
      <c r="N312" s="832"/>
      <c r="O312" s="48">
        <f>IF(t&lt;Tnet,'2020'!Resal+('2020'!Salim-'2020'!Resal)*(1-EXP(('2020'!Tnet-t)/('2020'!Tau_j))),Resal+(Salim-Resal)*(1-EXP((Tnet-t)/(Tau_j))))*Salcycl</f>
        <v>7.4258313969462419E-2</v>
      </c>
      <c r="P312" s="169">
        <f>(INDEX(Models!$BJ312:$BT312,,T312)*(1-R312)+INDEX(Models!$BJ312:$BT312,,T312+1)*R312-ERP_i)*Q312*Ramure*Pc/MaxiM</f>
        <v>1.9448603544309844E-3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33.291571945229393</v>
      </c>
      <c r="W312" s="400"/>
      <c r="X312" s="157">
        <f t="shared" si="107"/>
        <v>44494</v>
      </c>
      <c r="Y312" s="383">
        <f t="shared" si="108"/>
        <v>31.927</v>
      </c>
      <c r="Z312" s="383">
        <f t="shared" si="109"/>
        <v>32.552889854189218</v>
      </c>
      <c r="AA312" s="384">
        <f t="shared" si="110"/>
        <v>35.16411796661319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7.4258313969462419E-2</v>
      </c>
      <c r="AD312" s="230">
        <f>(INDEX(Models!$BJ312:$BT312,,AH312)*(1-AF312)+INDEX(Models!$BJ312:$BT312,,AH312+1)*AF312-ERP_i)*AE312*Ramure*Pc/MaxiM</f>
        <v>1.9448603544309844E-3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24.564</v>
      </c>
      <c r="C313" s="388"/>
      <c r="D313" s="391">
        <f t="shared" si="98"/>
        <v>25.046027230335962</v>
      </c>
      <c r="E313" s="383">
        <f t="shared" si="120"/>
        <v>27.055747908177533</v>
      </c>
      <c r="F313" s="383">
        <f t="shared" si="99"/>
        <v>27.09012176517227</v>
      </c>
      <c r="G313" s="110">
        <f t="shared" si="121"/>
        <v>0.74457551785376141</v>
      </c>
      <c r="H313" s="412" t="b">
        <f>Wh_hp&gt;='2020'!Maxi_hp</f>
        <v>0</v>
      </c>
      <c r="I313" s="379">
        <f>IF(H313,Wh_hp,'2020'!Maxi_hp)</f>
        <v>35.899581400046522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1.9245656243323417E-2</v>
      </c>
      <c r="M313" s="832"/>
      <c r="N313" s="832"/>
      <c r="O313" s="48">
        <f>IF(t&lt;Tnet,'2020'!Resal+('2020'!Salim-'2020'!Resal)*(1-EXP(('2020'!Tnet-t)/('2020'!Tau_j))),Resal+(Salim-Resal)*(1-EXP((Tnet-t)/(Tau_j))))*Salcycl</f>
        <v>7.4280728984547448E-2</v>
      </c>
      <c r="P313" s="169">
        <f>(INDEX(Models!$BJ313:$BT313,,T313)*(1-R313)+INDEX(Models!$BJ313:$BT313,,T313+1)*R313-ERP_i)*Q313*Ramure*Pc/MaxiM</f>
        <v>1.9954488044822941E-3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32.96660858084001</v>
      </c>
      <c r="W313" s="400"/>
      <c r="X313" s="157">
        <f t="shared" si="107"/>
        <v>44495</v>
      </c>
      <c r="Y313" s="383">
        <f t="shared" si="108"/>
        <v>24.564</v>
      </c>
      <c r="Z313" s="383">
        <f t="shared" si="109"/>
        <v>25.046027230335962</v>
      </c>
      <c r="AA313" s="384">
        <f t="shared" si="110"/>
        <v>27.055747908177533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7.4280728984547448E-2</v>
      </c>
      <c r="AD313" s="230">
        <f>(INDEX(Models!$BJ313:$BT313,,AH313)*(1-AF313)+INDEX(Models!$BJ313:$BT313,,AH313+1)*AF313-ERP_i)*AE313*Ramure*Pc/MaxiM</f>
        <v>1.9954488044822941E-3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27.989000000000001</v>
      </c>
      <c r="C314" s="388"/>
      <c r="D314" s="391">
        <f t="shared" si="98"/>
        <v>28.538784040322412</v>
      </c>
      <c r="E314" s="383">
        <f t="shared" si="120"/>
        <v>30.829493070097815</v>
      </c>
      <c r="F314" s="383">
        <f t="shared" si="99"/>
        <v>30.879725572368368</v>
      </c>
      <c r="G314" s="110">
        <f t="shared" si="121"/>
        <v>0.85701791127349169</v>
      </c>
      <c r="H314" s="412" t="b">
        <f>Wh_hp&gt;='2020'!Maxi_hp</f>
        <v>1</v>
      </c>
      <c r="I314" s="379">
        <f>IF(H314,Wh_hp,'2020'!Maxi_hp)</f>
        <v>30.879725572368368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1.9264452176575575E-2</v>
      </c>
      <c r="M314" s="832"/>
      <c r="N314" s="832"/>
      <c r="O314" s="48">
        <f>IF(t&lt;Tnet,'2020'!Resal+('2020'!Salim-'2020'!Resal)*(1-EXP(('2020'!Tnet-t)/('2020'!Tau_j))),Resal+(Salim-Resal)*(1-EXP((Tnet-t)/(Tau_j))))*Salcycl</f>
        <v>7.4302520140923409E-2</v>
      </c>
      <c r="P314" s="169">
        <f>(INDEX(Models!$BJ314:$BT314,,T314)*(1-R314)+INDEX(Models!$BJ314:$BT314,,T314+1)*R314-ERP_i)*Q314*Ramure*Pc/MaxiM</f>
        <v>2.0429683579600236E-3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32.644977571941283</v>
      </c>
      <c r="W314" s="400"/>
      <c r="X314" s="157">
        <f t="shared" si="107"/>
        <v>44496</v>
      </c>
      <c r="Y314" s="383">
        <f t="shared" si="108"/>
        <v>27.989000000000001</v>
      </c>
      <c r="Z314" s="383">
        <f t="shared" si="109"/>
        <v>28.538784040322412</v>
      </c>
      <c r="AA314" s="384">
        <f t="shared" si="110"/>
        <v>30.829493070097815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7.4302520140923409E-2</v>
      </c>
      <c r="AD314" s="230">
        <f>(INDEX(Models!$BJ314:$BT314,,AH314)*(1-AF314)+INDEX(Models!$BJ314:$BT314,,AH314+1)*AF314-ERP_i)*AE314*Ramure*Pc/MaxiM</f>
        <v>2.0429683579600236E-3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32.125999999999998</v>
      </c>
      <c r="C315" s="388"/>
      <c r="D315" s="391">
        <f t="shared" si="98"/>
        <v>32.757674350195799</v>
      </c>
      <c r="E315" s="383">
        <f t="shared" si="120"/>
        <v>35.38783071642122</v>
      </c>
      <c r="F315" s="383">
        <f t="shared" si="99"/>
        <v>35.461193234664123</v>
      </c>
      <c r="G315" s="110">
        <f t="shared" si="121"/>
        <v>0.99375854949912756</v>
      </c>
      <c r="H315" s="412" t="b">
        <f>Wh_hp&gt;='2020'!Maxi_hp</f>
        <v>1</v>
      </c>
      <c r="I315" s="379">
        <f>IF(H315,Wh_hp,'2020'!Maxi_hp)</f>
        <v>35.461193234664123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1.9283247749607879E-2</v>
      </c>
      <c r="M315" s="832"/>
      <c r="N315" s="832"/>
      <c r="O315" s="48">
        <f>IF(t&lt;Tnet,'2020'!Resal+('2020'!Salim-'2020'!Resal)*(1-EXP(('2020'!Tnet-t)/('2020'!Tau_j))),Resal+(Salim-Resal)*(1-EXP((Tnet-t)/(Tau_j))))*Salcycl</f>
        <v>7.4323752345885841E-2</v>
      </c>
      <c r="P315" s="169">
        <f>(INDEX(Models!$BJ315:$BT315,,T315)*(1-R315)+INDEX(Models!$BJ315:$BT315,,T315+1)*R315-ERP_i)*Q315*Ramure*Pc/MaxiM</f>
        <v>2.0873679422105124E-3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32.327171052266564</v>
      </c>
      <c r="W315" s="400"/>
      <c r="X315" s="157">
        <f t="shared" si="107"/>
        <v>44497</v>
      </c>
      <c r="Y315" s="383">
        <f t="shared" si="108"/>
        <v>32.125999999999998</v>
      </c>
      <c r="Z315" s="383">
        <f t="shared" si="109"/>
        <v>32.757674350195799</v>
      </c>
      <c r="AA315" s="384">
        <f t="shared" si="110"/>
        <v>35.38783071642122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7.4323752345885841E-2</v>
      </c>
      <c r="AD315" s="230">
        <f>(INDEX(Models!$BJ315:$BT315,,AH315)*(1-AF315)+INDEX(Models!$BJ315:$BT315,,AH315+1)*AF315-ERP_i)*AE315*Ramure*Pc/MaxiM</f>
        <v>2.0873679422105124E-3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16.802</v>
      </c>
      <c r="C316" s="388"/>
      <c r="D316" s="391">
        <f t="shared" si="98"/>
        <v>17.132696034928397</v>
      </c>
      <c r="E316" s="383">
        <f t="shared" si="120"/>
        <v>18.508717237332561</v>
      </c>
      <c r="F316" s="383">
        <f t="shared" si="99"/>
        <v>18.521380304823857</v>
      </c>
      <c r="G316" s="110">
        <f t="shared" si="121"/>
        <v>0.52407925980264258</v>
      </c>
      <c r="H316" s="412" t="b">
        <f>Wh_hp&gt;='2020'!Maxi_hp</f>
        <v>0</v>
      </c>
      <c r="I316" s="379">
        <f>IF(H316,Wh_hp,'2020'!Maxi_hp)</f>
        <v>29.777598995663187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1.9302042962427324E-2</v>
      </c>
      <c r="M316" s="832"/>
      <c r="N316" s="832"/>
      <c r="O316" s="48">
        <f>IF(t&lt;Tnet,'2020'!Resal+('2020'!Salim-'2020'!Resal)*(1-EXP(('2020'!Tnet-t)/('2020'!Tau_j))),Resal+(Salim-Resal)*(1-EXP((Tnet-t)/(Tau_j))))*Salcycl</f>
        <v>7.4344493179067786E-2</v>
      </c>
      <c r="P316" s="169">
        <f>(INDEX(Models!$BJ316:$BT316,,T316)*(1-R316)+INDEX(Models!$BJ316:$BT316,,T316+1)*R316-ERP_i)*Q316*Ramure*Pc/MaxiM</f>
        <v>2.1285981200921938E-3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32.013680942534023</v>
      </c>
      <c r="W316" s="400"/>
      <c r="X316" s="157">
        <f t="shared" si="107"/>
        <v>44498</v>
      </c>
      <c r="Y316" s="383">
        <f t="shared" si="108"/>
        <v>16.802</v>
      </c>
      <c r="Z316" s="383">
        <f t="shared" si="109"/>
        <v>17.132696034928397</v>
      </c>
      <c r="AA316" s="384">
        <f t="shared" si="110"/>
        <v>18.508717237332561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7.4344493179067786E-2</v>
      </c>
      <c r="AD316" s="230">
        <f>(INDEX(Models!$BJ316:$BT316,,AH316)*(1-AF316)+INDEX(Models!$BJ316:$BT316,,AH316+1)*AF316-ERP_i)*AE316*Ramure*Pc/MaxiM</f>
        <v>2.1285981200921938E-3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10.028</v>
      </c>
      <c r="C317" s="388"/>
      <c r="D317" s="391">
        <f t="shared" si="98"/>
        <v>10.225566512148127</v>
      </c>
      <c r="E317" s="383">
        <f t="shared" si="120"/>
        <v>11.04708059042578</v>
      </c>
      <c r="F317" s="383">
        <f t="shared" si="99"/>
        <v>11.047638320905378</v>
      </c>
      <c r="G317" s="110">
        <f t="shared" si="121"/>
        <v>0.31564027748023321</v>
      </c>
      <c r="H317" s="412" t="b">
        <f>Wh_hp&gt;='2020'!Maxi_hp</f>
        <v>0</v>
      </c>
      <c r="I317" s="379">
        <f>IF(H317,Wh_hp,'2020'!Maxi_hp)</f>
        <v>28.491037803008169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1.9320837815040792E-2</v>
      </c>
      <c r="M317" s="832"/>
      <c r="N317" s="832"/>
      <c r="O317" s="48">
        <f>IF(t&lt;Tnet,'2020'!Resal+('2020'!Salim-'2020'!Resal)*(1-EXP(('2020'!Tnet-t)/('2020'!Tau_j))),Resal+(Salim-Resal)*(1-EXP((Tnet-t)/(Tau_j))))*Salcycl</f>
        <v>7.4364812635624153E-2</v>
      </c>
      <c r="P317" s="169">
        <f>(INDEX(Models!$BJ317:$BT317,,T317)*(1-R317)+INDEX(Models!$BJ317:$BT317,,T317+1)*R317-ERP_i)*Q317*Ramure*Pc/MaxiM</f>
        <v>2.1667404949291813E-3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31.70310579404364</v>
      </c>
      <c r="W317" s="400"/>
      <c r="X317" s="157">
        <f t="shared" si="107"/>
        <v>44499</v>
      </c>
      <c r="Y317" s="383">
        <f t="shared" si="108"/>
        <v>10.028</v>
      </c>
      <c r="Z317" s="383">
        <f t="shared" si="109"/>
        <v>10.225566512148127</v>
      </c>
      <c r="AA317" s="384">
        <f t="shared" si="110"/>
        <v>11.04708059042578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7.4364812635624153E-2</v>
      </c>
      <c r="AD317" s="230">
        <f>(INDEX(Models!$BJ317:$BT317,,AH317)*(1-AF317)+INDEX(Models!$BJ317:$BT317,,AH317+1)*AF317-ERP_i)*AE317*Ramure*Pc/MaxiM</f>
        <v>2.1667404949291813E-3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18.115000000000002</v>
      </c>
      <c r="C318" s="388"/>
      <c r="D318" s="391">
        <f t="shared" si="98"/>
        <v>18.47224645431923</v>
      </c>
      <c r="E318" s="383">
        <f t="shared" si="120"/>
        <v>19.956722957947157</v>
      </c>
      <c r="F318" s="383">
        <f t="shared" si="99"/>
        <v>19.9741396698345</v>
      </c>
      <c r="G318" s="110">
        <f t="shared" si="121"/>
        <v>0.57625463982084923</v>
      </c>
      <c r="H318" s="412" t="b">
        <f>Wh_hp&gt;='2020'!Maxi_hp</f>
        <v>0</v>
      </c>
      <c r="I318" s="379">
        <f>IF(H318,Wh_hp,'2020'!Maxi_hp)</f>
        <v>34.120858369867321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1.9339632307455168E-2</v>
      </c>
      <c r="M318" s="832"/>
      <c r="N318" s="832"/>
      <c r="O318" s="48">
        <f>IF(t&lt;Tnet,'2020'!Resal+('2020'!Salim-'2020'!Resal)*(1-EXP(('2020'!Tnet-t)/('2020'!Tau_j))),Resal+(Salim-Resal)*(1-EXP((Tnet-t)/(Tau_j))))*Salcycl</f>
        <v>7.4384782850171263E-2</v>
      </c>
      <c r="P318" s="169">
        <f>(INDEX(Models!$BJ318:$BT318,,T318)*(1-R318)+INDEX(Models!$BJ318:$BT318,,T318+1)*R318-ERP_i)*Q318*Ramure*Pc/MaxiM</f>
        <v>2.2033295068494821E-3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31.393866527974001</v>
      </c>
      <c r="W318" s="400"/>
      <c r="X318" s="157">
        <f t="shared" si="107"/>
        <v>44500</v>
      </c>
      <c r="Y318" s="383">
        <f t="shared" si="108"/>
        <v>18.115000000000002</v>
      </c>
      <c r="Z318" s="383">
        <f t="shared" si="109"/>
        <v>18.47224645431923</v>
      </c>
      <c r="AA318" s="384">
        <f t="shared" si="110"/>
        <v>19.956722957947157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7.4384782850171263E-2</v>
      </c>
      <c r="AD318" s="230">
        <f>(INDEX(Models!$BJ318:$BT318,,AH318)*(1-AF318)+INDEX(Models!$BJ318:$BT318,,AH318+1)*AF318-ERP_i)*AE318*Ramure*Pc/MaxiM</f>
        <v>2.2033295068494821E-3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16.617000000000001</v>
      </c>
      <c r="C319" s="388"/>
      <c r="D319" s="391">
        <f t="shared" si="98"/>
        <v>16.945029099337724</v>
      </c>
      <c r="E319" s="383">
        <f t="shared" si="120"/>
        <v>18.307164082988862</v>
      </c>
      <c r="F319" s="383">
        <f t="shared" si="99"/>
        <v>18.320910555588522</v>
      </c>
      <c r="G319" s="110">
        <f t="shared" si="121"/>
        <v>0.53374887242612101</v>
      </c>
      <c r="H319" s="412" t="b">
        <f>Wh_hp&gt;='2020'!Maxi_hp</f>
        <v>0</v>
      </c>
      <c r="I319" s="379">
        <f>IF(H319,Wh_hp,'2020'!Maxi_hp)</f>
        <v>32.848992554762482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1.9358426439677334E-2</v>
      </c>
      <c r="M319" s="832"/>
      <c r="N319" s="832"/>
      <c r="O319" s="48">
        <f>IF(t&lt;Tnet,'2020'!Resal+('2020'!Salim-'2020'!Resal)*(1-EXP(('2020'!Tnet-t)/('2020'!Tau_j))),Resal+(Salim-Resal)*(1-EXP((Tnet-t)/(Tau_j))))*Salcycl</f>
        <v>7.4404477803137373E-2</v>
      </c>
      <c r="P319" s="169">
        <f>(INDEX(Models!$BJ319:$BT319,,T319)*(1-R319)+INDEX(Models!$BJ319:$BT319,,T319+1)*R319-ERP_i)*Q319*Ramure*Pc/MaxiM</f>
        <v>2.2393156828868234E-3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31.086227195779387</v>
      </c>
      <c r="W319" s="400"/>
      <c r="X319" s="157">
        <f t="shared" si="107"/>
        <v>44501</v>
      </c>
      <c r="Y319" s="383">
        <f t="shared" si="108"/>
        <v>16.617000000000001</v>
      </c>
      <c r="Z319" s="383">
        <f t="shared" si="109"/>
        <v>16.945029099337724</v>
      </c>
      <c r="AA319" s="384">
        <f t="shared" si="110"/>
        <v>18.307164082988862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7.4404477803137373E-2</v>
      </c>
      <c r="AD319" s="230">
        <f>(INDEX(Models!$BJ319:$BT319,,AH319)*(1-AF319)+INDEX(Models!$BJ319:$BT319,,AH319+1)*AF319-ERP_i)*AE319*Ramure*Pc/MaxiM</f>
        <v>2.2393156828868234E-3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25.44</v>
      </c>
      <c r="C320" s="388"/>
      <c r="D320" s="391">
        <f t="shared" si="98"/>
        <v>25.942697359623285</v>
      </c>
      <c r="E320" s="383">
        <f t="shared" si="120"/>
        <v>28.028704939590224</v>
      </c>
      <c r="F320" s="383">
        <f t="shared" si="99"/>
        <v>28.076741102451006</v>
      </c>
      <c r="G320" s="110">
        <f t="shared" si="121"/>
        <v>0.8260309832550119</v>
      </c>
      <c r="H320" s="412" t="b">
        <f>Wh_hp&gt;='2020'!Maxi_hp</f>
        <v>0</v>
      </c>
      <c r="I320" s="379">
        <f>IF(H320,Wh_hp,'2020'!Maxi_hp)</f>
        <v>29.07838367630567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1.9377220211714397E-2</v>
      </c>
      <c r="M320" s="832"/>
      <c r="N320" s="832"/>
      <c r="O320" s="48">
        <f>IF(t&lt;Tnet,'2020'!Resal+('2020'!Salim-'2020'!Resal)*(1-EXP(('2020'!Tnet-t)/('2020'!Tau_j))),Resal+(Salim-Resal)*(1-EXP((Tnet-t)/(Tau_j))))*Salcycl</f>
        <v>7.4423973011342348E-2</v>
      </c>
      <c r="P320" s="169">
        <f>(INDEX(Models!$BJ320:$BT320,,T320)*(1-R320)+INDEX(Models!$BJ320:$BT320,,T320+1)*R320-ERP_i)*Q320*Ramure*Pc/MaxiM</f>
        <v>2.2746947112081456E-3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30.780482444433922</v>
      </c>
      <c r="W320" s="400"/>
      <c r="X320" s="157">
        <f t="shared" si="107"/>
        <v>44502</v>
      </c>
      <c r="Y320" s="383">
        <f t="shared" si="108"/>
        <v>25.44</v>
      </c>
      <c r="Z320" s="383">
        <f t="shared" si="109"/>
        <v>25.942697359623285</v>
      </c>
      <c r="AA320" s="384">
        <f t="shared" si="110"/>
        <v>28.028704939590224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7.4423973011342348E-2</v>
      </c>
      <c r="AD320" s="230">
        <f>(INDEX(Models!$BJ320:$BT320,,AH320)*(1-AF320)+INDEX(Models!$BJ320:$BT320,,AH320+1)*AF320-ERP_i)*AE320*Ramure*Pc/MaxiM</f>
        <v>2.2746947112081456E-3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16.120999999999999</v>
      </c>
      <c r="C321" s="388"/>
      <c r="D321" s="391">
        <f t="shared" si="98"/>
        <v>16.439867901792915</v>
      </c>
      <c r="E321" s="383">
        <f t="shared" si="120"/>
        <v>17.762141103539655</v>
      </c>
      <c r="F321" s="383">
        <f t="shared" si="99"/>
        <v>17.77556848984138</v>
      </c>
      <c r="G321" s="110">
        <f t="shared" si="121"/>
        <v>0.52813486831321899</v>
      </c>
      <c r="H321" s="412" t="b">
        <f>Wh_hp&gt;='2020'!Maxi_hp</f>
        <v>0</v>
      </c>
      <c r="I321" s="379">
        <f>IF(H321,Wh_hp,'2020'!Maxi_hp)</f>
        <v>29.614967506581426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1.9396013623573016E-2</v>
      </c>
      <c r="M321" s="832"/>
      <c r="N321" s="832"/>
      <c r="O321" s="48">
        <f>IF(t&lt;Tnet,'2020'!Resal+('2020'!Salim-'2020'!Resal)*(1-EXP(('2020'!Tnet-t)/('2020'!Tau_j))),Resal+(Salim-Resal)*(1-EXP((Tnet-t)/(Tau_j))))*Salcycl</f>
        <v>7.4443345204775774E-2</v>
      </c>
      <c r="P321" s="169">
        <f>(INDEX(Models!$BJ321:$BT321,,T321)*(1-R321)+INDEX(Models!$BJ321:$BT321,,T321+1)*R321-ERP_i)*Q321*Ramure*Pc/MaxiM</f>
        <v>2.3094634337507683E-3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30.476926856509554</v>
      </c>
      <c r="W321" s="400"/>
      <c r="X321" s="157">
        <f t="shared" si="107"/>
        <v>44503</v>
      </c>
      <c r="Y321" s="383">
        <f t="shared" si="108"/>
        <v>16.120999999999999</v>
      </c>
      <c r="Z321" s="383">
        <f t="shared" si="109"/>
        <v>16.439867901792915</v>
      </c>
      <c r="AA321" s="384">
        <f t="shared" si="110"/>
        <v>17.762141103539655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7.4443345204775774E-2</v>
      </c>
      <c r="AD321" s="230">
        <f>(INDEX(Models!$BJ321:$BT321,,AH321)*(1-AF321)+INDEX(Models!$BJ321:$BT321,,AH321+1)*AF321-ERP_i)*AE321*Ramure*Pc/MaxiM</f>
        <v>2.3094634337507683E-3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15.282999999999999</v>
      </c>
      <c r="C322" s="388"/>
      <c r="D322" s="391">
        <f t="shared" si="98"/>
        <v>15.585591240860943</v>
      </c>
      <c r="E322" s="383">
        <f t="shared" si="120"/>
        <v>16.839505840785257</v>
      </c>
      <c r="F322" s="383">
        <f t="shared" si="99"/>
        <v>16.851154185275842</v>
      </c>
      <c r="G322" s="110">
        <f t="shared" si="121"/>
        <v>0.50562707718804611</v>
      </c>
      <c r="H322" s="412" t="b">
        <f>Wh_hp&gt;='2020'!Maxi_hp</f>
        <v>1</v>
      </c>
      <c r="I322" s="379">
        <f>IF(H322,Wh_hp,'2020'!Maxi_hp)</f>
        <v>16.851154185275842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1.9414806675260188E-2</v>
      </c>
      <c r="M322" s="832"/>
      <c r="N322" s="832"/>
      <c r="O322" s="48">
        <f>IF(t&lt;Tnet,'2020'!Resal+('2020'!Salim-'2020'!Resal)*(1-EXP(('2020'!Tnet-t)/('2020'!Tau_j))),Resal+(Salim-Resal)*(1-EXP((Tnet-t)/(Tau_j))))*Salcycl</f>
        <v>7.4462671991676568E-2</v>
      </c>
      <c r="P322" s="169">
        <f>(INDEX(Models!$BJ322:$BT322,,T322)*(1-R322)+INDEX(Models!$BJ322:$BT322,,T322+1)*R322-ERP_i)*Q322*Ramure*Pc/MaxiM</f>
        <v>2.3436197872991585E-3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30.1758549694663</v>
      </c>
      <c r="W322" s="400"/>
      <c r="X322" s="157">
        <f t="shared" si="107"/>
        <v>44504</v>
      </c>
      <c r="Y322" s="383">
        <f t="shared" si="108"/>
        <v>15.282999999999999</v>
      </c>
      <c r="Z322" s="383">
        <f t="shared" si="109"/>
        <v>15.585591240860943</v>
      </c>
      <c r="AA322" s="384">
        <f t="shared" si="110"/>
        <v>16.839505840785257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7.4462671991676568E-2</v>
      </c>
      <c r="AD322" s="230">
        <f>(INDEX(Models!$BJ322:$BT322,,AH322)*(1-AF322)+INDEX(Models!$BJ322:$BT322,,AH322+1)*AF322-ERP_i)*AE322*Ramure*Pc/MaxiM</f>
        <v>2.3436197872991585E-3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9.8070000000000004</v>
      </c>
      <c r="C323" s="388"/>
      <c r="D323" s="391">
        <f t="shared" si="98"/>
        <v>10.001362471390989</v>
      </c>
      <c r="E323" s="383">
        <f t="shared" si="120"/>
        <v>10.806232630743056</v>
      </c>
      <c r="F323" s="383">
        <f t="shared" si="99"/>
        <v>10.807269051278359</v>
      </c>
      <c r="G323" s="110">
        <f t="shared" si="121"/>
        <v>0.32749076865776011</v>
      </c>
      <c r="H323" s="412" t="b">
        <f>Wh_hp&gt;='2020'!Maxi_hp</f>
        <v>0</v>
      </c>
      <c r="I323" s="379">
        <f>IF(H323,Wh_hp,'2020'!Maxi_hp)</f>
        <v>16.626544495845593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1.9433599366782794E-2</v>
      </c>
      <c r="M323" s="832"/>
      <c r="N323" s="832"/>
      <c r="O323" s="48">
        <f>IF(t&lt;Tnet,'2020'!Resal+('2020'!Salim-'2020'!Resal)*(1-EXP(('2020'!Tnet-t)/('2020'!Tau_j))),Resal+(Salim-Resal)*(1-EXP((Tnet-t)/(Tau_j))))*Salcycl</f>
        <v>7.4482031514134003E-2</v>
      </c>
      <c r="P323" s="169">
        <f>(INDEX(Models!$BJ323:$BT323,,T323)*(1-R323)+INDEX(Models!$BJ323:$BT323,,T323+1)*R323-ERP_i)*Q323*Ramure*Pc/MaxiM</f>
        <v>2.3771627209046957E-3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29.877561294304979</v>
      </c>
      <c r="W323" s="400"/>
      <c r="X323" s="157">
        <f t="shared" si="107"/>
        <v>44505</v>
      </c>
      <c r="Y323" s="383">
        <f t="shared" si="108"/>
        <v>9.8070000000000004</v>
      </c>
      <c r="Z323" s="383">
        <f t="shared" si="109"/>
        <v>10.001362471390989</v>
      </c>
      <c r="AA323" s="384">
        <f t="shared" si="110"/>
        <v>10.806232630743056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7.4482031514134003E-2</v>
      </c>
      <c r="AD323" s="230">
        <f>(INDEX(Models!$BJ323:$BT323,,AH323)*(1-AF323)+INDEX(Models!$BJ323:$BT323,,AH323+1)*AF323-ERP_i)*AE323*Ramure*Pc/MaxiM</f>
        <v>2.3771627209046957E-3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11.889000000000001</v>
      </c>
      <c r="C324" s="388"/>
      <c r="D324" s="391">
        <f t="shared" si="98"/>
        <v>12.124857476925369</v>
      </c>
      <c r="E324" s="383">
        <f t="shared" si="120"/>
        <v>13.100893739311076</v>
      </c>
      <c r="F324" s="383">
        <f t="shared" si="99"/>
        <v>13.105491705342811</v>
      </c>
      <c r="G324" s="110">
        <f t="shared" si="121"/>
        <v>0.40106728744329789</v>
      </c>
      <c r="H324" s="412" t="b">
        <f>Wh_hp&gt;='2020'!Maxi_hp</f>
        <v>0</v>
      </c>
      <c r="I324" s="379">
        <f>IF(H324,Wh_hp,'2020'!Maxi_hp)</f>
        <v>24.464414265930557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1.9452391698147831E-2</v>
      </c>
      <c r="M324" s="832"/>
      <c r="N324" s="832"/>
      <c r="O324" s="48">
        <f>IF(t&lt;Tnet,'2020'!Resal+('2020'!Salim-'2020'!Resal)*(1-EXP(('2020'!Tnet-t)/('2020'!Tau_j))),Resal+(Salim-Resal)*(1-EXP((Tnet-t)/(Tau_j))))*Salcycl</f>
        <v>7.4501502096530475E-2</v>
      </c>
      <c r="P324" s="169">
        <f>(INDEX(Models!$BJ324:$BT324,,T324)*(1-R324)+INDEX(Models!$BJ324:$BT324,,T324+1)*R324-ERP_i)*Q324*Ramure*Pc/MaxiM</f>
        <v>2.4102196203581632E-3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29.5823365459356</v>
      </c>
      <c r="W324" s="400"/>
      <c r="X324" s="157">
        <f t="shared" si="107"/>
        <v>44506</v>
      </c>
      <c r="Y324" s="383">
        <f t="shared" si="108"/>
        <v>11.889000000000001</v>
      </c>
      <c r="Z324" s="383">
        <f t="shared" si="109"/>
        <v>12.124857476925369</v>
      </c>
      <c r="AA324" s="384">
        <f t="shared" si="110"/>
        <v>13.100893739311076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7.4501502096530475E-2</v>
      </c>
      <c r="AD324" s="230">
        <f>(INDEX(Models!$BJ324:$BT324,,AH324)*(1-AF324)+INDEX(Models!$BJ324:$BT324,,AH324+1)*AF324-ERP_i)*AE324*Ramure*Pc/MaxiM</f>
        <v>2.4102196203581632E-3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8.0229999999999997</v>
      </c>
      <c r="C325" s="388"/>
      <c r="D325" s="391">
        <f t="shared" si="98"/>
        <v>8.1823194447501226</v>
      </c>
      <c r="E325" s="383">
        <f t="shared" si="120"/>
        <v>8.8411740039924531</v>
      </c>
      <c r="F325" s="383">
        <f t="shared" si="99"/>
        <v>8.8411740039924531</v>
      </c>
      <c r="G325" s="110">
        <f t="shared" si="121"/>
        <v>0.27324245831825955</v>
      </c>
      <c r="H325" s="412" t="b">
        <f>Wh_hp&gt;='2020'!Maxi_hp</f>
        <v>0</v>
      </c>
      <c r="I325" s="379">
        <f>IF(H325,Wh_hp,'2020'!Maxi_hp)</f>
        <v>17.660993083535338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1.9471183669362069E-2</v>
      </c>
      <c r="M325" s="832"/>
      <c r="N325" s="832"/>
      <c r="O325" s="48">
        <f>IF(t&lt;Tnet,'2020'!Resal+('2020'!Salim-'2020'!Resal)*(1-EXP(('2020'!Tnet-t)/('2020'!Tau_j))),Resal+(Salim-Resal)*(1-EXP((Tnet-t)/(Tau_j))))*Salcycl</f>
        <v>7.4521161889225224E-2</v>
      </c>
      <c r="P325" s="169">
        <f>(INDEX(Models!$BJ325:$BT325,,T325)*(1-R325)+INDEX(Models!$BJ325:$BT325,,T325+1)*R325-ERP_i)*Q325*Ramure*Pc/MaxiM</f>
        <v>2.4447029152646614E-3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29.290419204137287</v>
      </c>
      <c r="W325" s="400"/>
      <c r="X325" s="157">
        <f t="shared" si="107"/>
        <v>44507</v>
      </c>
      <c r="Y325" s="383">
        <f t="shared" si="108"/>
        <v>8.0229999999999997</v>
      </c>
      <c r="Z325" s="383">
        <f t="shared" si="109"/>
        <v>8.1823194447501226</v>
      </c>
      <c r="AA325" s="384">
        <f t="shared" si="110"/>
        <v>8.8411740039924531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7.4521161889225224E-2</v>
      </c>
      <c r="AD325" s="230">
        <f>(INDEX(Models!$BJ325:$BT325,,AH325)*(1-AF325)+INDEX(Models!$BJ325:$BT325,,AH325+1)*AF325-ERP_i)*AE325*Ramure*Pc/MaxiM</f>
        <v>2.4447029152646614E-3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22.016000000000002</v>
      </c>
      <c r="C326" s="388"/>
      <c r="D326" s="391">
        <f t="shared" si="98"/>
        <v>22.453620508670195</v>
      </c>
      <c r="E326" s="383">
        <f t="shared" si="120"/>
        <v>24.262147384283256</v>
      </c>
      <c r="F326" s="383">
        <f t="shared" si="99"/>
        <v>24.301685975957074</v>
      </c>
      <c r="G326" s="110">
        <f t="shared" si="121"/>
        <v>0.75846824100617671</v>
      </c>
      <c r="H326" s="412" t="b">
        <f>Wh_hp&gt;='2020'!Maxi_hp</f>
        <v>1</v>
      </c>
      <c r="I326" s="379">
        <f>IF(H326,Wh_hp,'2020'!Maxi_hp)</f>
        <v>24.301685975957074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1.9489975280432503E-2</v>
      </c>
      <c r="M326" s="832"/>
      <c r="N326" s="832"/>
      <c r="O326" s="48">
        <f>IF(t&lt;Tnet,'2020'!Resal+('2020'!Salim-'2020'!Resal)*(1-EXP(('2020'!Tnet-t)/('2020'!Tau_j))),Resal+(Salim-Resal)*(1-EXP((Tnet-t)/(Tau_j))))*Salcycl</f>
        <v>7.4541088509939776E-2</v>
      </c>
      <c r="P326" s="169">
        <f>(INDEX(Models!$BJ326:$BT326,,T326)*(1-R326)+INDEX(Models!$BJ326:$BT326,,T326+1)*R326-ERP_i)*Q326*Ramure*Pc/MaxiM</f>
        <v>2.4806139157298717E-3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29.002105549738346</v>
      </c>
      <c r="W326" s="400"/>
      <c r="X326" s="157">
        <f t="shared" si="107"/>
        <v>44508</v>
      </c>
      <c r="Y326" s="383">
        <f t="shared" si="108"/>
        <v>22.016000000000002</v>
      </c>
      <c r="Z326" s="383">
        <f t="shared" si="109"/>
        <v>22.453620508670195</v>
      </c>
      <c r="AA326" s="384">
        <f t="shared" si="110"/>
        <v>24.262147384283256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7.4541088509939776E-2</v>
      </c>
      <c r="AD326" s="230">
        <f>(INDEX(Models!$BJ326:$BT326,,AH326)*(1-AF326)+INDEX(Models!$BJ326:$BT326,,AH326+1)*AF326-ERP_i)*AE326*Ramure*Pc/MaxiM</f>
        <v>2.4806139157298717E-3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16.184999999999999</v>
      </c>
      <c r="C327" s="388"/>
      <c r="D327" s="391">
        <f t="shared" si="98"/>
        <v>16.50703183009923</v>
      </c>
      <c r="E327" s="383">
        <f t="shared" si="120"/>
        <v>17.836981397977645</v>
      </c>
      <c r="F327" s="383">
        <f t="shared" si="99"/>
        <v>17.853909635434484</v>
      </c>
      <c r="G327" s="110">
        <f t="shared" si="121"/>
        <v>0.56270429867918292</v>
      </c>
      <c r="H327" s="412" t="b">
        <f>Wh_hp&gt;='2020'!Maxi_hp</f>
        <v>0</v>
      </c>
      <c r="I327" s="379">
        <f>IF(H327,Wh_hp,'2020'!Maxi_hp)</f>
        <v>24.305673600704964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1.9508766531365906E-2</v>
      </c>
      <c r="M327" s="832"/>
      <c r="N327" s="832"/>
      <c r="O327" s="48">
        <f>IF(t&lt;Tnet,'2020'!Resal+('2020'!Salim-'2020'!Resal)*(1-EXP(('2020'!Tnet-t)/('2020'!Tau_j))),Resal+(Salim-Resal)*(1-EXP((Tnet-t)/(Tau_j))))*Salcycl</f>
        <v>7.4561358685343804E-2</v>
      </c>
      <c r="P327" s="169">
        <f>(INDEX(Models!$BJ327:$BT327,,T327)*(1-R327)+INDEX(Models!$BJ327:$BT327,,T327+1)*R327-ERP_i)*Q327*Ramure*Pc/MaxiM</f>
        <v>2.5179537408164827E-3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28.717691867052011</v>
      </c>
      <c r="W327" s="400"/>
      <c r="X327" s="157">
        <f t="shared" si="107"/>
        <v>44509</v>
      </c>
      <c r="Y327" s="383">
        <f t="shared" si="108"/>
        <v>16.184999999999999</v>
      </c>
      <c r="Z327" s="383">
        <f t="shared" si="109"/>
        <v>16.50703183009923</v>
      </c>
      <c r="AA327" s="384">
        <f t="shared" si="110"/>
        <v>17.836981397977645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7.4561358685343804E-2</v>
      </c>
      <c r="AD327" s="230">
        <f>(INDEX(Models!$BJ327:$BT327,,AH327)*(1-AF327)+INDEX(Models!$BJ327:$BT327,,AH327+1)*AF327-ERP_i)*AE327*Ramure*Pc/MaxiM</f>
        <v>2.5179537408164827E-3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6.0280000000000005</v>
      </c>
      <c r="C328" s="388"/>
      <c r="D328" s="391">
        <f t="shared" si="98"/>
        <v>6.148056526863062</v>
      </c>
      <c r="E328" s="383">
        <f t="shared" si="120"/>
        <v>6.6435457761336805</v>
      </c>
      <c r="F328" s="383">
        <f t="shared" si="99"/>
        <v>6.6435457761336805</v>
      </c>
      <c r="G328" s="110">
        <f t="shared" si="121"/>
        <v>0.21143185845209769</v>
      </c>
      <c r="H328" s="412" t="b">
        <f>Wh_hp&gt;='2020'!Maxi_hp</f>
        <v>0</v>
      </c>
      <c r="I328" s="379">
        <f>IF(H328,Wh_hp,'2020'!Maxi_hp)</f>
        <v>19.151082328690954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1.9527557422169384E-2</v>
      </c>
      <c r="M328" s="832"/>
      <c r="N328" s="832"/>
      <c r="O328" s="48">
        <f>IF(t&lt;Tnet,'2020'!Resal+('2020'!Salim-'2020'!Resal)*(1-EXP(('2020'!Tnet-t)/('2020'!Tau_j))),Resal+(Salim-Resal)*(1-EXP((Tnet-t)/(Tau_j))))*Salcycl</f>
        <v>7.4582047895359979E-2</v>
      </c>
      <c r="P328" s="169">
        <f>(INDEX(Models!$BJ328:$BT328,,T328)*(1-R328)+INDEX(Models!$BJ328:$BT328,,T328+1)*R328-ERP_i)*Q328*Ramure*Pc/MaxiM</f>
        <v>2.5567231683321836E-3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28.437474450443403</v>
      </c>
      <c r="W328" s="400"/>
      <c r="X328" s="157">
        <f t="shared" si="107"/>
        <v>44510</v>
      </c>
      <c r="Y328" s="383">
        <f t="shared" si="108"/>
        <v>6.0280000000000005</v>
      </c>
      <c r="Z328" s="383">
        <f t="shared" si="109"/>
        <v>6.148056526863062</v>
      </c>
      <c r="AA328" s="384">
        <f t="shared" si="110"/>
        <v>6.6435457761336805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7.4582047895359979E-2</v>
      </c>
      <c r="AD328" s="230">
        <f>(INDEX(Models!$BJ328:$BT328,,AH328)*(1-AF328)+INDEX(Models!$BJ328:$BT328,,AH328+1)*AF328-ERP_i)*AE328*Ramure*Pc/MaxiM</f>
        <v>2.5567231683321836E-3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10.286</v>
      </c>
      <c r="C329" s="388"/>
      <c r="D329" s="391">
        <f t="shared" si="98"/>
        <v>10.491061947215169</v>
      </c>
      <c r="E329" s="383">
        <f t="shared" si="120"/>
        <v>11.336825767689396</v>
      </c>
      <c r="F329" s="383">
        <f t="shared" si="99"/>
        <v>11.339570622555728</v>
      </c>
      <c r="G329" s="110">
        <f t="shared" si="121"/>
        <v>0.36438687802229902</v>
      </c>
      <c r="H329" s="412" t="b">
        <f>Wh_hp&gt;='2020'!Maxi_hp</f>
        <v>0</v>
      </c>
      <c r="I329" s="379">
        <f>IF(H329,Wh_hp,'2020'!Maxi_hp)</f>
        <v>24.228823723355269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1.9546347952849707E-2</v>
      </c>
      <c r="M329" s="832"/>
      <c r="N329" s="832"/>
      <c r="O329" s="48">
        <f>IF(t&lt;Tnet,'2020'!Resal+('2020'!Salim-'2020'!Resal)*(1-EXP(('2020'!Tnet-t)/('2020'!Tau_j))),Resal+(Salim-Resal)*(1-EXP((Tnet-t)/(Tau_j))))*Salcycl</f>
        <v>7.4603230022701958E-2</v>
      </c>
      <c r="P329" s="169">
        <f>(INDEX(Models!$BJ329:$BT329,,T329)*(1-R329)+INDEX(Models!$BJ329:$BT329,,T329+1)*R329-ERP_i)*Q329*Ramure*Pc/MaxiM</f>
        <v>2.5969224566793764E-3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28.161749606336919</v>
      </c>
      <c r="W329" s="400"/>
      <c r="X329" s="157">
        <f t="shared" si="107"/>
        <v>44511</v>
      </c>
      <c r="Y329" s="383">
        <f t="shared" si="108"/>
        <v>10.286</v>
      </c>
      <c r="Z329" s="383">
        <f t="shared" si="109"/>
        <v>10.491061947215169</v>
      </c>
      <c r="AA329" s="384">
        <f t="shared" si="110"/>
        <v>11.336825767689396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7.4603230022701958E-2</v>
      </c>
      <c r="AD329" s="230">
        <f>(INDEX(Models!$BJ329:$BT329,,AH329)*(1-AF329)+INDEX(Models!$BJ329:$BT329,,AH329+1)*AF329-ERP_i)*AE329*Ramure*Pc/MaxiM</f>
        <v>2.5969224566793764E-3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6.758</v>
      </c>
      <c r="C330" s="388"/>
      <c r="D330" s="391">
        <f t="shared" si="98"/>
        <v>6.8928597531354141</v>
      </c>
      <c r="E330" s="383">
        <f t="shared" si="120"/>
        <v>7.4487203370421149</v>
      </c>
      <c r="F330" s="383">
        <f t="shared" si="99"/>
        <v>7.4487203370421149</v>
      </c>
      <c r="G330" s="110">
        <f t="shared" si="121"/>
        <v>0.24166267624029247</v>
      </c>
      <c r="H330" s="412" t="b">
        <f>Wh_hp&gt;='2020'!Maxi_hp</f>
        <v>0</v>
      </c>
      <c r="I330" s="379">
        <f>IF(H330,Wh_hp,'2020'!Maxi_hp)</f>
        <v>25.88656869722448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1.9565138123413761E-2</v>
      </c>
      <c r="M330" s="832"/>
      <c r="N330" s="832"/>
      <c r="O330" s="48">
        <f>IF(t&lt;Tnet,'2020'!Resal+('2020'!Salim-'2020'!Resal)*(1-EXP(('2020'!Tnet-t)/('2020'!Tau_j))),Resal+(Salim-Resal)*(1-EXP((Tnet-t)/(Tau_j))))*Salcycl</f>
        <v>7.4624977010135998E-2</v>
      </c>
      <c r="P330" s="169">
        <f>(INDEX(Models!$BJ330:$BT330,,T330)*(1-R330)+INDEX(Models!$BJ330:$BT330,,T330+1)*R330-ERP_i)*Q330*Ramure*Pc/MaxiM</f>
        <v>2.6385511360408629E-3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27.890813659287147</v>
      </c>
      <c r="W330" s="400"/>
      <c r="X330" s="157">
        <f t="shared" si="107"/>
        <v>44512</v>
      </c>
      <c r="Y330" s="383">
        <f t="shared" si="108"/>
        <v>6.758</v>
      </c>
      <c r="Z330" s="383">
        <f t="shared" si="109"/>
        <v>6.8928597531354141</v>
      </c>
      <c r="AA330" s="384">
        <f t="shared" si="110"/>
        <v>7.4487203370421149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7.4624977010135998E-2</v>
      </c>
      <c r="AD330" s="230">
        <f>(INDEX(Models!$BJ330:$BT330,,AH330)*(1-AF330)+INDEX(Models!$BJ330:$BT330,,AH330+1)*AF330-ERP_i)*AE330*Ramure*Pc/MaxiM</f>
        <v>2.6385511360408629E-3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5.13</v>
      </c>
      <c r="C331" s="388"/>
      <c r="D331" s="391">
        <f t="shared" si="98"/>
        <v>5.2324723616464421</v>
      </c>
      <c r="E331" s="383">
        <f t="shared" si="120"/>
        <v>5.6545711625379971</v>
      </c>
      <c r="F331" s="383">
        <f t="shared" si="99"/>
        <v>5.6545711625379971</v>
      </c>
      <c r="G331" s="110">
        <f t="shared" si="121"/>
        <v>0.18521583548872295</v>
      </c>
      <c r="H331" s="412" t="b">
        <f>Wh_hp&gt;='2020'!Maxi_hp</f>
        <v>0</v>
      </c>
      <c r="I331" s="379">
        <f>IF(H331,Wh_hp,'2020'!Maxi_hp)</f>
        <v>29.071978311267806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1.9583927933868428E-2</v>
      </c>
      <c r="M331" s="832"/>
      <c r="N331" s="832"/>
      <c r="O331" s="48">
        <f>IF(t&lt;Tnet,'2020'!Resal+('2020'!Salim-'2020'!Resal)*(1-EXP(('2020'!Tnet-t)/('2020'!Tau_j))),Resal+(Salim-Resal)*(1-EXP((Tnet-t)/(Tau_j))))*Salcycl</f>
        <v>7.4647358527910074E-2</v>
      </c>
      <c r="P331" s="169">
        <f>(INDEX(Models!$BJ331:$BT331,,T331)*(1-R331)+INDEX(Models!$BJ331:$BT331,,T331+1)*R331-ERP_i)*Q331*Ramure*Pc/MaxiM</f>
        <v>2.6817845283586164E-3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27.623137254271263</v>
      </c>
      <c r="W331" s="400"/>
      <c r="X331" s="157">
        <f t="shared" si="107"/>
        <v>44513</v>
      </c>
      <c r="Y331" s="383">
        <f t="shared" si="108"/>
        <v>5.13</v>
      </c>
      <c r="Z331" s="383">
        <f t="shared" si="109"/>
        <v>5.2324723616464421</v>
      </c>
      <c r="AA331" s="384">
        <f t="shared" si="110"/>
        <v>5.6545711625379971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7.4647358527910074E-2</v>
      </c>
      <c r="AD331" s="230">
        <f>(INDEX(Models!$BJ331:$BT331,,AH331)*(1-AF331)+INDEX(Models!$BJ331:$BT331,,AH331+1)*AF331-ERP_i)*AE331*Ramure*Pc/MaxiM</f>
        <v>2.6817845283586164E-3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5.9640000000000004</v>
      </c>
      <c r="C332" s="388"/>
      <c r="D332" s="391">
        <f t="shared" si="98"/>
        <v>6.0832481951475481</v>
      </c>
      <c r="E332" s="383">
        <f t="shared" si="120"/>
        <v>6.5741423045205511</v>
      </c>
      <c r="F332" s="383">
        <f t="shared" si="99"/>
        <v>6.5741423045205511</v>
      </c>
      <c r="G332" s="110">
        <f t="shared" si="121"/>
        <v>0.21740932407053212</v>
      </c>
      <c r="H332" s="412" t="b">
        <f>Wh_hp&gt;='2020'!Maxi_hp</f>
        <v>0</v>
      </c>
      <c r="I332" s="379">
        <f>IF(H332,Wh_hp,'2020'!Maxi_hp)</f>
        <v>19.875209801097167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1.9602717384220703E-2</v>
      </c>
      <c r="M332" s="832"/>
      <c r="N332" s="832"/>
      <c r="O332" s="48">
        <f>IF(t&lt;Tnet,'2020'!Resal+('2020'!Salim-'2020'!Resal)*(1-EXP(('2020'!Tnet-t)/('2020'!Tau_j))),Resal+(Salim-Resal)*(1-EXP((Tnet-t)/(Tau_j))))*Salcycl</f>
        <v>7.467044165372734E-2</v>
      </c>
      <c r="P332" s="169">
        <f>(INDEX(Models!$BJ332:$BT332,,T332)*(1-R332)+INDEX(Models!$BJ332:$BT332,,T332+1)*R332-ERP_i)*Q332*Ramure*Pc/MaxiM</f>
        <v>2.7227579022182885E-3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27.357435092993491</v>
      </c>
      <c r="W332" s="400"/>
      <c r="X332" s="157">
        <f t="shared" si="107"/>
        <v>44514</v>
      </c>
      <c r="Y332" s="383">
        <f t="shared" si="108"/>
        <v>5.9640000000000004</v>
      </c>
      <c r="Z332" s="383">
        <f t="shared" si="109"/>
        <v>6.0832481951475481</v>
      </c>
      <c r="AA332" s="384">
        <f t="shared" si="110"/>
        <v>6.5741423045205511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7.467044165372734E-2</v>
      </c>
      <c r="AD332" s="230">
        <f>(INDEX(Models!$BJ332:$BT332,,AH332)*(1-AF332)+INDEX(Models!$BJ332:$BT332,,AH332+1)*AF332-ERP_i)*AE332*Ramure*Pc/MaxiM</f>
        <v>2.7227579022182885E-3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4.6509999999999998</v>
      </c>
      <c r="C333" s="388"/>
      <c r="D333" s="391">
        <f t="shared" si="98"/>
        <v>4.7440861164493899</v>
      </c>
      <c r="E333" s="383">
        <f t="shared" si="120"/>
        <v>5.1270472753910283</v>
      </c>
      <c r="F333" s="383">
        <f t="shared" si="99"/>
        <v>5.1270472753910283</v>
      </c>
      <c r="G333" s="110">
        <f t="shared" si="121"/>
        <v>0.17118631950096783</v>
      </c>
      <c r="H333" s="412" t="b">
        <f>Wh_hp&gt;='2020'!Maxi_hp</f>
        <v>0</v>
      </c>
      <c r="I333" s="379">
        <f>IF(H333,Wh_hp,'2020'!Maxi_hp)</f>
        <v>26.911873928380832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1.9621506474477468E-2</v>
      </c>
      <c r="M333" s="832"/>
      <c r="N333" s="832"/>
      <c r="O333" s="48">
        <f>IF(t&lt;Tnet,'2020'!Resal+('2020'!Salim-'2020'!Resal)*(1-EXP(('2020'!Tnet-t)/('2020'!Tau_j))),Resal+(Salim-Resal)*(1-EXP((Tnet-t)/(Tau_j))))*Salcycl</f>
        <v>7.4694290567553015E-2</v>
      </c>
      <c r="P333" s="169">
        <f>(INDEX(Models!$BJ333:$BT333,,T333)*(1-R333)+INDEX(Models!$BJ333:$BT333,,T333+1)*R333-ERP_i)*Q333*Ramure*Pc/MaxiM</f>
        <v>2.7600452960499368E-3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27.094238855353446</v>
      </c>
      <c r="W333" s="400"/>
      <c r="X333" s="157">
        <f t="shared" si="107"/>
        <v>44515</v>
      </c>
      <c r="Y333" s="383">
        <f t="shared" si="108"/>
        <v>4.6509999999999998</v>
      </c>
      <c r="Z333" s="383">
        <f t="shared" si="109"/>
        <v>4.7440861164493899</v>
      </c>
      <c r="AA333" s="384">
        <f t="shared" si="110"/>
        <v>5.1270472753910283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7.4694290567553015E-2</v>
      </c>
      <c r="AD333" s="230">
        <f>(INDEX(Models!$BJ333:$BT333,,AH333)*(1-AF333)+INDEX(Models!$BJ333:$BT333,,AH333+1)*AF333-ERP_i)*AE333*Ramure*Pc/MaxiM</f>
        <v>2.7600452960499368E-3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8.718</v>
      </c>
      <c r="C334" s="388"/>
      <c r="D334" s="391">
        <f t="shared" si="98"/>
        <v>8.8926543567188361</v>
      </c>
      <c r="E334" s="383">
        <f t="shared" si="120"/>
        <v>9.6107604419466153</v>
      </c>
      <c r="F334" s="383">
        <f t="shared" si="99"/>
        <v>9.6117150534314497</v>
      </c>
      <c r="G334" s="110">
        <f t="shared" si="121"/>
        <v>0.3240104128646108</v>
      </c>
      <c r="H334" s="412" t="b">
        <f>Wh_hp&gt;='2020'!Maxi_hp</f>
        <v>0</v>
      </c>
      <c r="I334" s="379">
        <f>IF(H334,Wh_hp,'2020'!Maxi_hp)</f>
        <v>20.772499884462185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1.9640295204645608E-2</v>
      </c>
      <c r="M334" s="832"/>
      <c r="N334" s="832"/>
      <c r="O334" s="48">
        <f>IF(t&lt;Tnet,'2020'!Resal+('2020'!Salim-'2020'!Resal)*(1-EXP(('2020'!Tnet-t)/('2020'!Tau_j))),Resal+(Salim-Resal)*(1-EXP((Tnet-t)/(Tau_j))))*Salcycl</f>
        <v>7.4718966263436451E-2</v>
      </c>
      <c r="P334" s="169">
        <f>(INDEX(Models!$BJ334:$BT334,,T334)*(1-R334)+INDEX(Models!$BJ334:$BT334,,T334+1)*R334-ERP_i)*Q334*Ramure*Pc/MaxiM</f>
        <v>2.7936458304533237E-3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26.834040411255966</v>
      </c>
      <c r="W334" s="400"/>
      <c r="X334" s="157">
        <f t="shared" si="107"/>
        <v>44516</v>
      </c>
      <c r="Y334" s="383">
        <f t="shared" si="108"/>
        <v>8.718</v>
      </c>
      <c r="Z334" s="383">
        <f t="shared" si="109"/>
        <v>8.8926543567188361</v>
      </c>
      <c r="AA334" s="384">
        <f t="shared" si="110"/>
        <v>9.6107604419466153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7.4718966263436451E-2</v>
      </c>
      <c r="AD334" s="230">
        <f>(INDEX(Models!$BJ334:$BT334,,AH334)*(1-AF334)+INDEX(Models!$BJ334:$BT334,,AH334+1)*AF334-ERP_i)*AE334*Ramure*Pc/MaxiM</f>
        <v>2.7936458304533237E-3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2.6320000000000001</v>
      </c>
      <c r="C335" s="388"/>
      <c r="D335" s="391">
        <f t="shared" ref="D335:D379" si="122">Wh/(1-Ppv)</f>
        <v>2.6847803207045264</v>
      </c>
      <c r="E335" s="383">
        <f t="shared" si="120"/>
        <v>2.9016638074147307</v>
      </c>
      <c r="F335" s="383">
        <f t="shared" ref="F335:F379" si="123">Wh_sa/(1-Pvg*MEDIAN((-Sdif+Wh/Env_an)/Csdif,0,1))</f>
        <v>2.9016638074147307</v>
      </c>
      <c r="G335" s="110">
        <f t="shared" si="121"/>
        <v>9.8752140551690237E-2</v>
      </c>
      <c r="H335" s="412" t="b">
        <f>Wh_hp&gt;='2020'!Maxi_hp</f>
        <v>0</v>
      </c>
      <c r="I335" s="379">
        <f>IF(H335,Wh_hp,'2020'!Maxi_hp)</f>
        <v>23.200751935750731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1.9659083574732117E-2</v>
      </c>
      <c r="M335" s="832"/>
      <c r="N335" s="832"/>
      <c r="O335" s="48">
        <f>IF(t&lt;Tnet,'2020'!Resal+('2020'!Salim-'2020'!Resal)*(1-EXP(('2020'!Tnet-t)/('2020'!Tau_j))),Resal+(Salim-Resal)*(1-EXP((Tnet-t)/(Tau_j))))*Salcycl</f>
        <v>7.4744526280402873E-2</v>
      </c>
      <c r="P335" s="169">
        <f>(INDEX(Models!$BJ335:$BT335,,T335)*(1-R335)+INDEX(Models!$BJ335:$BT335,,T335+1)*R335-ERP_i)*Q335*Ramure*Pc/MaxiM</f>
        <v>2.8235534595385612E-3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26.57733181915896</v>
      </c>
      <c r="W335" s="400"/>
      <c r="X335" s="157">
        <f t="shared" ref="X335:X379" si="131">t</f>
        <v>44517</v>
      </c>
      <c r="Y335" s="383">
        <f t="shared" ref="Y335:Y379" si="132">Wh_pvt_s*(1-Ppv)</f>
        <v>2.6320000000000001</v>
      </c>
      <c r="Z335" s="383">
        <f t="shared" ref="Z335:Z379" si="133">Wh_sa_s*(1-Psa_s)</f>
        <v>2.6847803207045264</v>
      </c>
      <c r="AA335" s="384">
        <f t="shared" ref="AA335:AA379" si="134">Wh_hp*(1-Pvg_s*MEDIAN((-Sdif+Wh/Env_an)/Csdif,0,1))</f>
        <v>2.9016638074147307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7.4744526280402873E-2</v>
      </c>
      <c r="AD335" s="230">
        <f>(INDEX(Models!$BJ335:$BT335,,AH335)*(1-AF335)+INDEX(Models!$BJ335:$BT335,,AH335+1)*AF335-ERP_i)*AE335*Ramure*Pc/MaxiM</f>
        <v>2.8235534595385612E-3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16.431999999999999</v>
      </c>
      <c r="C336" s="388"/>
      <c r="D336" s="391">
        <f t="shared" si="122"/>
        <v>16.761837281550722</v>
      </c>
      <c r="E336" s="383">
        <f t="shared" si="120"/>
        <v>18.116420610006362</v>
      </c>
      <c r="F336" s="383">
        <f t="shared" si="123"/>
        <v>18.140363576861724</v>
      </c>
      <c r="G336" s="110">
        <f t="shared" si="121"/>
        <v>0.6232506623081171</v>
      </c>
      <c r="H336" s="412" t="b">
        <f>Wh_hp&gt;='2020'!Maxi_hp</f>
        <v>0</v>
      </c>
      <c r="I336" s="379">
        <f>IF(H336,Wh_hp,'2020'!Maxi_hp)</f>
        <v>27.250192771666942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1.9677871584743656E-2</v>
      </c>
      <c r="M336" s="832"/>
      <c r="N336" s="832"/>
      <c r="O336" s="48">
        <f>IF(t&lt;Tnet,'2020'!Resal+('2020'!Salim-'2020'!Resal)*(1-EXP(('2020'!Tnet-t)/('2020'!Tau_j))),Resal+(Salim-Resal)*(1-EXP((Tnet-t)/(Tau_j))))*Salcycl</f>
        <v>7.4771024454325763E-2</v>
      </c>
      <c r="P336" s="169">
        <f>(INDEX(Models!$BJ336:$BT336,,T336)*(1-R336)+INDEX(Models!$BJ336:$BT336,,T336+1)*R336-ERP_i)*Q336*Ramure*Pc/MaxiM</f>
        <v>2.8497566701959523E-3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26.324605349314901</v>
      </c>
      <c r="W336" s="400"/>
      <c r="X336" s="157">
        <f t="shared" si="131"/>
        <v>44518</v>
      </c>
      <c r="Y336" s="383">
        <f t="shared" si="132"/>
        <v>16.431999999999999</v>
      </c>
      <c r="Z336" s="383">
        <f t="shared" si="133"/>
        <v>16.761837281550722</v>
      </c>
      <c r="AA336" s="384">
        <f t="shared" si="134"/>
        <v>18.116420610006362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7.4771024454325763E-2</v>
      </c>
      <c r="AD336" s="230">
        <f>(INDEX(Models!$BJ336:$BT336,,AH336)*(1-AF336)+INDEX(Models!$BJ336:$BT336,,AH336+1)*AF336-ERP_i)*AE336*Ramure*Pc/MaxiM</f>
        <v>2.8497566701959523E-3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25.123000000000001</v>
      </c>
      <c r="C337" s="388"/>
      <c r="D337" s="391">
        <f t="shared" si="122"/>
        <v>25.627781682746011</v>
      </c>
      <c r="E337" s="383">
        <f t="shared" si="120"/>
        <v>27.699676209912756</v>
      </c>
      <c r="F337" s="383">
        <f t="shared" si="123"/>
        <v>27.775286790481452</v>
      </c>
      <c r="G337" s="110">
        <f t="shared" si="121"/>
        <v>0.9632949998784065</v>
      </c>
      <c r="H337" s="412" t="b">
        <f>Wh_hp&gt;='2020'!Maxi_hp</f>
        <v>0</v>
      </c>
      <c r="I337" s="379">
        <f>IF(H337,Wh_hp,'2020'!Maxi_hp)</f>
        <v>28.562272949049884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1.969665923468733E-2</v>
      </c>
      <c r="M337" s="832"/>
      <c r="N337" s="832"/>
      <c r="O337" s="48">
        <f>IF(t&lt;Tnet,'2020'!Resal+('2020'!Salim-'2020'!Resal)*(1-EXP(('2020'!Tnet-t)/('2020'!Tau_j))),Resal+(Salim-Resal)*(1-EXP((Tnet-t)/(Tau_j))))*Salcycl</f>
        <v>7.4798510692528783E-2</v>
      </c>
      <c r="P337" s="169">
        <f>(INDEX(Models!$BJ337:$BT337,,T337)*(1-R337)+INDEX(Models!$BJ337:$BT337,,T337+1)*R337-ERP_i)*Q337*Ramure*Pc/MaxiM</f>
        <v>2.8722382326573136E-3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26.076353488483072</v>
      </c>
      <c r="W337" s="400"/>
      <c r="X337" s="157">
        <f t="shared" si="131"/>
        <v>44519</v>
      </c>
      <c r="Y337" s="383">
        <f t="shared" si="132"/>
        <v>25.123000000000001</v>
      </c>
      <c r="Z337" s="383">
        <f t="shared" si="133"/>
        <v>25.627781682746011</v>
      </c>
      <c r="AA337" s="384">
        <f t="shared" si="134"/>
        <v>27.699676209912756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7.4798510692528783E-2</v>
      </c>
      <c r="AD337" s="230">
        <f>(INDEX(Models!$BJ337:$BT337,,AH337)*(1-AF337)+INDEX(Models!$BJ337:$BT337,,AH337+1)*AF337-ERP_i)*AE337*Ramure*Pc/MaxiM</f>
        <v>2.8722382326573136E-3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20.024000000000001</v>
      </c>
      <c r="C338" s="388"/>
      <c r="D338" s="391">
        <f t="shared" si="122"/>
        <v>20.426721944162395</v>
      </c>
      <c r="E338" s="383">
        <f t="shared" si="120"/>
        <v>22.078814041900173</v>
      </c>
      <c r="F338" s="383">
        <f t="shared" si="123"/>
        <v>22.122268146115079</v>
      </c>
      <c r="G338" s="110">
        <f t="shared" si="121"/>
        <v>0.77441078208067549</v>
      </c>
      <c r="H338" s="412" t="b">
        <f>Wh_hp&gt;='2020'!Maxi_hp</f>
        <v>0</v>
      </c>
      <c r="I338" s="379">
        <f>IF(H338,Wh_hp,'2020'!Maxi_hp)</f>
        <v>28.66422438766487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1.9715446524569913E-2</v>
      </c>
      <c r="M338" s="832"/>
      <c r="N338" s="832"/>
      <c r="O338" s="48">
        <f>IF(t&lt;Tnet,'2020'!Resal+('2020'!Salim-'2020'!Resal)*(1-EXP(('2020'!Tnet-t)/('2020'!Tau_j))),Resal+(Salim-Resal)*(1-EXP((Tnet-t)/(Tau_j))))*Salcycl</f>
        <v>7.4827030772690609E-2</v>
      </c>
      <c r="P338" s="169">
        <f>(INDEX(Models!$BJ338:$BT338,,T338)*(1-R338)+INDEX(Models!$BJ338:$BT338,,T338+1)*R338-ERP_i)*Q338*Ramure*Pc/MaxiM</f>
        <v>2.893904438064851E-3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25.832993061250626</v>
      </c>
      <c r="W338" s="400"/>
      <c r="X338" s="157">
        <f t="shared" si="131"/>
        <v>44520</v>
      </c>
      <c r="Y338" s="383">
        <f t="shared" si="132"/>
        <v>20.024000000000001</v>
      </c>
      <c r="Z338" s="383">
        <f t="shared" si="133"/>
        <v>20.426721944162395</v>
      </c>
      <c r="AA338" s="384">
        <f t="shared" si="134"/>
        <v>22.078814041900173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7.4827030772690609E-2</v>
      </c>
      <c r="AD338" s="230">
        <f>(INDEX(Models!$BJ338:$BT338,,AH338)*(1-AF338)+INDEX(Models!$BJ338:$BT338,,AH338+1)*AF338-ERP_i)*AE338*Ramure*Pc/MaxiM</f>
        <v>2.893904438064851E-3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9.0590000000000011</v>
      </c>
      <c r="C339" s="388"/>
      <c r="D339" s="391">
        <f t="shared" si="122"/>
        <v>9.2413713802567852</v>
      </c>
      <c r="E339" s="383">
        <f t="shared" si="120"/>
        <v>9.9891234609105268</v>
      </c>
      <c r="F339" s="383">
        <f t="shared" si="123"/>
        <v>9.991367265332924</v>
      </c>
      <c r="G339" s="110">
        <f t="shared" si="121"/>
        <v>0.35298369577232641</v>
      </c>
      <c r="H339" s="412" t="b">
        <f>Wh_hp&gt;='2020'!Maxi_hp</f>
        <v>0</v>
      </c>
      <c r="I339" s="379">
        <f>IF(H339,Wh_hp,'2020'!Maxi_hp)</f>
        <v>27.981917732937102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1.9734233454398509E-2</v>
      </c>
      <c r="M339" s="832"/>
      <c r="N339" s="832"/>
      <c r="O339" s="48">
        <f>IF(t&lt;Tnet,'2020'!Resal+('2020'!Salim-'2020'!Resal)*(1-EXP(('2020'!Tnet-t)/('2020'!Tau_j))),Resal+(Salim-Resal)*(1-EXP((Tnet-t)/(Tau_j))))*Salcycl</f>
        <v>7.4856626167435741E-2</v>
      </c>
      <c r="P339" s="169">
        <f>(INDEX(Models!$BJ339:$BT339,,T339)*(1-R339)+INDEX(Models!$BJ339:$BT339,,T339+1)*R339-ERP_i)*Q339*Ramure*Pc/MaxiM</f>
        <v>2.9146024213134382E-3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25.59502229050775</v>
      </c>
      <c r="W339" s="400"/>
      <c r="X339" s="157">
        <f t="shared" si="131"/>
        <v>44521</v>
      </c>
      <c r="Y339" s="383">
        <f t="shared" si="132"/>
        <v>9.0590000000000011</v>
      </c>
      <c r="Z339" s="383">
        <f t="shared" si="133"/>
        <v>9.2413713802567852</v>
      </c>
      <c r="AA339" s="384">
        <f t="shared" si="134"/>
        <v>9.9891234609105268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7.4856626167435741E-2</v>
      </c>
      <c r="AD339" s="230">
        <f>(INDEX(Models!$BJ339:$BT339,,AH339)*(1-AF339)+INDEX(Models!$BJ339:$BT339,,AH339+1)*AF339-ERP_i)*AE339*Ramure*Pc/MaxiM</f>
        <v>2.9146024213134382E-3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17.899000000000001</v>
      </c>
      <c r="C340" s="388"/>
      <c r="D340" s="391">
        <f t="shared" si="122"/>
        <v>18.259683901746392</v>
      </c>
      <c r="E340" s="383">
        <f t="shared" si="120"/>
        <v>19.737794725739445</v>
      </c>
      <c r="F340" s="383">
        <f t="shared" si="123"/>
        <v>19.77141996398996</v>
      </c>
      <c r="G340" s="110">
        <f t="shared" si="121"/>
        <v>0.70484276827808456</v>
      </c>
      <c r="H340" s="412" t="b">
        <f>Wh_hp&gt;='2020'!Maxi_hp</f>
        <v>0</v>
      </c>
      <c r="I340" s="379">
        <f>IF(H340,Wh_hp,'2020'!Maxi_hp)</f>
        <v>29.203443370360098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1.9753020024179779E-2</v>
      </c>
      <c r="M340" s="832"/>
      <c r="N340" s="832"/>
      <c r="O340" s="48">
        <f>IF(t&lt;Tnet,'2020'!Resal+('2020'!Salim-'2020'!Resal)*(1-EXP(('2020'!Tnet-t)/('2020'!Tau_j))),Resal+(Salim-Resal)*(1-EXP((Tnet-t)/(Tau_j))))*Salcycl</f>
        <v>7.4887333895792024E-2</v>
      </c>
      <c r="P340" s="169">
        <f>(INDEX(Models!$BJ340:$BT340,,T340)*(1-R340)+INDEX(Models!$BJ340:$BT340,,T340+1)*R340-ERP_i)*Q340*Ramure*Pc/MaxiM</f>
        <v>2.9343010871642414E-3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25.362936173405956</v>
      </c>
      <c r="W340" s="400"/>
      <c r="X340" s="157">
        <f t="shared" si="131"/>
        <v>44522</v>
      </c>
      <c r="Y340" s="383">
        <f t="shared" si="132"/>
        <v>17.899000000000001</v>
      </c>
      <c r="Z340" s="383">
        <f t="shared" si="133"/>
        <v>18.259683901746392</v>
      </c>
      <c r="AA340" s="384">
        <f t="shared" si="134"/>
        <v>19.737794725739445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7.4887333895792024E-2</v>
      </c>
      <c r="AD340" s="230">
        <f>(INDEX(Models!$BJ340:$BT340,,AH340)*(1-AF340)+INDEX(Models!$BJ340:$BT340,,AH340+1)*AF340-ERP_i)*AE340*Ramure*Pc/MaxiM</f>
        <v>2.9343010871642414E-3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12.022</v>
      </c>
      <c r="C341" s="388"/>
      <c r="D341" s="391">
        <f t="shared" si="122"/>
        <v>12.264491142425678</v>
      </c>
      <c r="E341" s="383">
        <f t="shared" si="120"/>
        <v>13.257751065802253</v>
      </c>
      <c r="F341" s="383">
        <f t="shared" si="123"/>
        <v>13.267727952684869</v>
      </c>
      <c r="G341" s="110">
        <f t="shared" si="121"/>
        <v>0.47720133765432332</v>
      </c>
      <c r="H341" s="412" t="b">
        <f>Wh_hp&gt;='2020'!Maxi_hp</f>
        <v>0</v>
      </c>
      <c r="I341" s="379">
        <f>IF(H341,Wh_hp,'2020'!Maxi_hp)</f>
        <v>29.107219927904186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1.9771806233920719E-2</v>
      </c>
      <c r="M341" s="832"/>
      <c r="N341" s="832"/>
      <c r="O341" s="48">
        <f>IF(t&lt;Tnet,'2020'!Resal+('2020'!Salim-'2020'!Resal)*(1-EXP(('2020'!Tnet-t)/('2020'!Tau_j))),Resal+(Salim-Resal)*(1-EXP((Tnet-t)/(Tau_j))))*Salcycl</f>
        <v>7.491918640248442E-2</v>
      </c>
      <c r="P341" s="169">
        <f>(INDEX(Models!$BJ341:$BT341,,T341)*(1-R341)+INDEX(Models!$BJ341:$BT341,,T341+1)*R341-ERP_i)*Q341*Ramure*Pc/MaxiM</f>
        <v>2.9529452744465156E-3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25.137230293491566</v>
      </c>
      <c r="W341" s="400"/>
      <c r="X341" s="157">
        <f t="shared" si="131"/>
        <v>44523</v>
      </c>
      <c r="Y341" s="383">
        <f t="shared" si="132"/>
        <v>12.022</v>
      </c>
      <c r="Z341" s="383">
        <f t="shared" si="133"/>
        <v>12.264491142425678</v>
      </c>
      <c r="AA341" s="384">
        <f t="shared" si="134"/>
        <v>13.257751065802253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7.491918640248442E-2</v>
      </c>
      <c r="AD341" s="230">
        <f>(INDEX(Models!$BJ341:$BT341,,AH341)*(1-AF341)+INDEX(Models!$BJ341:$BT341,,AH341+1)*AF341-ERP_i)*AE341*Ramure*Pc/MaxiM</f>
        <v>2.9529452744465156E-3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1.7690000000000001</v>
      </c>
      <c r="C342" s="388"/>
      <c r="D342" s="391">
        <f t="shared" si="122"/>
        <v>1.8047164062221746</v>
      </c>
      <c r="E342" s="383">
        <f t="shared" si="120"/>
        <v>1.9509439713183834</v>
      </c>
      <c r="F342" s="383">
        <f t="shared" si="123"/>
        <v>1.9509439713183834</v>
      </c>
      <c r="G342" s="110">
        <f t="shared" si="121"/>
        <v>7.0780836952377746E-2</v>
      </c>
      <c r="H342" s="412" t="b">
        <f>Wh_hp&gt;='2020'!Maxi_hp</f>
        <v>0</v>
      </c>
      <c r="I342" s="379">
        <f>IF(H342,Wh_hp,'2020'!Maxi_hp)</f>
        <v>27.112988230859333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1.9790592083628211E-2</v>
      </c>
      <c r="M342" s="832"/>
      <c r="N342" s="832"/>
      <c r="O342" s="48">
        <f>IF(t&lt;Tnet,'2020'!Resal+('2020'!Salim-'2020'!Resal)*(1-EXP(('2020'!Tnet-t)/('2020'!Tau_j))),Resal+(Salim-Resal)*(1-EXP((Tnet-t)/(Tau_j))))*Salcycl</f>
        <v>7.495221146581324E-2</v>
      </c>
      <c r="P342" s="169">
        <f>(INDEX(Models!$BJ342:$BT342,,T342)*(1-R342)+INDEX(Models!$BJ342:$BT342,,T342+1)*R342-ERP_i)*Q342*Ramure*Pc/MaxiM</f>
        <v>2.9704858035595836E-3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24.91840004378831</v>
      </c>
      <c r="W342" s="400"/>
      <c r="X342" s="157">
        <f t="shared" si="131"/>
        <v>44524</v>
      </c>
      <c r="Y342" s="383">
        <f t="shared" si="132"/>
        <v>1.7690000000000001</v>
      </c>
      <c r="Z342" s="383">
        <f t="shared" si="133"/>
        <v>1.8047164062221746</v>
      </c>
      <c r="AA342" s="384">
        <f t="shared" si="134"/>
        <v>1.9509439713183834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7.495221146581324E-2</v>
      </c>
      <c r="AD342" s="230">
        <f>(INDEX(Models!$BJ342:$BT342,,AH342)*(1-AF342)+INDEX(Models!$BJ342:$BT342,,AH342+1)*AF342-ERP_i)*AE342*Ramure*Pc/MaxiM</f>
        <v>2.9704858035595836E-3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16.123999999999999</v>
      </c>
      <c r="C343" s="388"/>
      <c r="D343" s="391">
        <f t="shared" si="122"/>
        <v>16.449861517835451</v>
      </c>
      <c r="E343" s="383">
        <f t="shared" si="120"/>
        <v>17.783373227483061</v>
      </c>
      <c r="F343" s="383">
        <f t="shared" si="123"/>
        <v>17.810170030844752</v>
      </c>
      <c r="G343" s="110">
        <f t="shared" si="121"/>
        <v>0.65164131858337626</v>
      </c>
      <c r="H343" s="412" t="b">
        <f>Wh_hp&gt;='2020'!Maxi_hp</f>
        <v>0</v>
      </c>
      <c r="I343" s="379">
        <f>IF(H343,Wh_hp,'2020'!Maxi_hp)</f>
        <v>25.709723482797013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1.980937757330925E-2</v>
      </c>
      <c r="M343" s="832"/>
      <c r="N343" s="832"/>
      <c r="O343" s="48">
        <f>IF(t&lt;Tnet,'2020'!Resal+('2020'!Salim-'2020'!Resal)*(1-EXP(('2020'!Tnet-t)/('2020'!Tau_j))),Resal+(Salim-Resal)*(1-EXP((Tnet-t)/(Tau_j))))*Salcycl</f>
        <v>7.4986432134638695E-2</v>
      </c>
      <c r="P343" s="169">
        <f>(INDEX(Models!$BJ343:$BT343,,T343)*(1-R343)+INDEX(Models!$BJ343:$BT343,,T343+1)*R343-ERP_i)*Q343*Ramure*Pc/MaxiM</f>
        <v>2.9868826702677187E-3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24.706940548160535</v>
      </c>
      <c r="W343" s="400"/>
      <c r="X343" s="157">
        <f t="shared" si="131"/>
        <v>44525</v>
      </c>
      <c r="Y343" s="383">
        <f t="shared" si="132"/>
        <v>16.123999999999999</v>
      </c>
      <c r="Z343" s="383">
        <f t="shared" si="133"/>
        <v>16.449861517835451</v>
      </c>
      <c r="AA343" s="384">
        <f t="shared" si="134"/>
        <v>17.783373227483061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7.4986432134638695E-2</v>
      </c>
      <c r="AD343" s="230">
        <f>(INDEX(Models!$BJ343:$BT343,,AH343)*(1-AF343)+INDEX(Models!$BJ343:$BT343,,AH343+1)*AF343-ERP_i)*AE343*Ramure*Pc/MaxiM</f>
        <v>2.9868826702677187E-3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7.2450000000000001</v>
      </c>
      <c r="C344" s="388"/>
      <c r="D344" s="391">
        <f t="shared" si="122"/>
        <v>7.3915610756366688</v>
      </c>
      <c r="E344" s="383">
        <f t="shared" si="120"/>
        <v>7.9910657446833921</v>
      </c>
      <c r="F344" s="383">
        <f t="shared" si="123"/>
        <v>7.9910657446833921</v>
      </c>
      <c r="G344" s="110">
        <f t="shared" si="121"/>
        <v>0.29478625293332122</v>
      </c>
      <c r="H344" s="412" t="b">
        <f>Wh_hp&gt;='2020'!Maxi_hp</f>
        <v>0</v>
      </c>
      <c r="I344" s="379">
        <f>IF(H344,Wh_hp,'2020'!Maxi_hp)</f>
        <v>26.915508219914461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1.9828162702970609E-2</v>
      </c>
      <c r="M344" s="832"/>
      <c r="N344" s="832"/>
      <c r="O344" s="48">
        <f>IF(t&lt;Tnet,'2020'!Resal+('2020'!Salim-'2020'!Resal)*(1-EXP(('2020'!Tnet-t)/('2020'!Tau_j))),Resal+(Salim-Resal)*(1-EXP((Tnet-t)/(Tau_j))))*Salcycl</f>
        <v>7.5021866694762879E-2</v>
      </c>
      <c r="P344" s="169">
        <f>(INDEX(Models!$BJ344:$BT344,,T344)*(1-R344)+INDEX(Models!$BJ344:$BT344,,T344+1)*R344-ERP_i)*Q344*Ramure*Pc/MaxiM</f>
        <v>3.0020899980924927E-3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24.503347039041451</v>
      </c>
      <c r="W344" s="400"/>
      <c r="X344" s="157">
        <f t="shared" si="131"/>
        <v>44526</v>
      </c>
      <c r="Y344" s="383">
        <f t="shared" si="132"/>
        <v>7.2450000000000001</v>
      </c>
      <c r="Z344" s="383">
        <f t="shared" si="133"/>
        <v>7.3915610756366688</v>
      </c>
      <c r="AA344" s="384">
        <f t="shared" si="134"/>
        <v>7.9910657446833921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7.5021866694762879E-2</v>
      </c>
      <c r="AD344" s="230">
        <f>(INDEX(Models!$BJ344:$BT344,,AH344)*(1-AF344)+INDEX(Models!$BJ344:$BT344,,AH344+1)*AF344-ERP_i)*AE344*Ramure*Pc/MaxiM</f>
        <v>3.0020899980924927E-3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14.719000000000001</v>
      </c>
      <c r="C345" s="388"/>
      <c r="D345" s="391">
        <f t="shared" si="122"/>
        <v>15.017042452753902</v>
      </c>
      <c r="E345" s="383">
        <f t="shared" si="120"/>
        <v>16.235667788876956</v>
      </c>
      <c r="F345" s="383">
        <f t="shared" si="123"/>
        <v>16.257074776859344</v>
      </c>
      <c r="G345" s="110">
        <f t="shared" si="121"/>
        <v>0.60455057654731337</v>
      </c>
      <c r="H345" s="412" t="b">
        <f>Wh_hp&gt;='2020'!Maxi_hp</f>
        <v>0</v>
      </c>
      <c r="I345" s="379">
        <f>IF(H345,Wh_hp,'2020'!Maxi_hp)</f>
        <v>23.300191289146664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1.9846947472619281E-2</v>
      </c>
      <c r="M345" s="832"/>
      <c r="N345" s="832"/>
      <c r="O345" s="48">
        <f>IF(t&lt;Tnet,'2020'!Resal+('2020'!Salim-'2020'!Resal)*(1-EXP(('2020'!Tnet-t)/('2020'!Tau_j))),Resal+(Salim-Resal)*(1-EXP((Tnet-t)/(Tau_j))))*Salcycl</f>
        <v>7.5058528664766921E-2</v>
      </c>
      <c r="P345" s="169">
        <f>(INDEX(Models!$BJ345:$BT345,,T345)*(1-R345)+INDEX(Models!$BJ345:$BT345,,T345+1)*R345-ERP_i)*Q345*Ramure*Pc/MaxiM</f>
        <v>3.0163699648796385E-3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24.305577264045358</v>
      </c>
      <c r="W345" s="400"/>
      <c r="X345" s="157">
        <f t="shared" si="131"/>
        <v>44527</v>
      </c>
      <c r="Y345" s="383">
        <f t="shared" si="132"/>
        <v>14.719000000000001</v>
      </c>
      <c r="Z345" s="383">
        <f t="shared" si="133"/>
        <v>15.017042452753902</v>
      </c>
      <c r="AA345" s="384">
        <f t="shared" si="134"/>
        <v>16.235667788876956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7.5058528664766921E-2</v>
      </c>
      <c r="AD345" s="230">
        <f>(INDEX(Models!$BJ345:$BT345,,AH345)*(1-AF345)+INDEX(Models!$BJ345:$BT345,,AH345+1)*AF345-ERP_i)*AE345*Ramure*Pc/MaxiM</f>
        <v>3.0163699648796385E-3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6.1160000000000005</v>
      </c>
      <c r="C346" s="388"/>
      <c r="D346" s="391">
        <f t="shared" si="122"/>
        <v>6.2399614001306611</v>
      </c>
      <c r="E346" s="383">
        <f t="shared" si="120"/>
        <v>6.7466075178886555</v>
      </c>
      <c r="F346" s="383">
        <f t="shared" si="123"/>
        <v>6.7466075178886555</v>
      </c>
      <c r="G346" s="110">
        <f t="shared" si="121"/>
        <v>0.25288468791305602</v>
      </c>
      <c r="H346" s="412" t="b">
        <f>Wh_hp&gt;='2020'!Maxi_hp</f>
        <v>0</v>
      </c>
      <c r="I346" s="379">
        <f>IF(H346,Wh_hp,'2020'!Maxi_hp)</f>
        <v>16.384266753107251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1.986573188226215E-2</v>
      </c>
      <c r="M346" s="832"/>
      <c r="N346" s="832"/>
      <c r="O346" s="48">
        <f>IF(t&lt;Tnet,'2020'!Resal+('2020'!Salim-'2020'!Resal)*(1-EXP(('2020'!Tnet-t)/('2020'!Tau_j))),Resal+(Salim-Resal)*(1-EXP((Tnet-t)/(Tau_j))))*Salcycl</f>
        <v>7.5096426821127632E-2</v>
      </c>
      <c r="P346" s="169">
        <f>(INDEX(Models!$BJ346:$BT346,,T346)*(1-R346)+INDEX(Models!$BJ346:$BT346,,T346+1)*R346-ERP_i)*Q346*Ramure*Pc/MaxiM</f>
        <v>3.0350716837978754E-3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24.111533014914073</v>
      </c>
      <c r="W346" s="400"/>
      <c r="X346" s="157">
        <f t="shared" si="131"/>
        <v>44528</v>
      </c>
      <c r="Y346" s="383">
        <f t="shared" si="132"/>
        <v>6.1160000000000005</v>
      </c>
      <c r="Z346" s="383">
        <f t="shared" si="133"/>
        <v>6.2399614001306611</v>
      </c>
      <c r="AA346" s="384">
        <f t="shared" si="134"/>
        <v>6.7466075178886555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7.5096426821127632E-2</v>
      </c>
      <c r="AD346" s="230">
        <f>(INDEX(Models!$BJ346:$BT346,,AH346)*(1-AF346)+INDEX(Models!$BJ346:$BT346,,AH346+1)*AF346-ERP_i)*AE346*Ramure*Pc/MaxiM</f>
        <v>3.0350716837978754E-3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6.9960000000000004</v>
      </c>
      <c r="C347" s="388"/>
      <c r="D347" s="391">
        <f t="shared" si="122"/>
        <v>7.1379343696951025</v>
      </c>
      <c r="E347" s="383">
        <f t="shared" si="120"/>
        <v>7.7178169053949954</v>
      </c>
      <c r="F347" s="383">
        <f t="shared" si="123"/>
        <v>7.7178169053949954</v>
      </c>
      <c r="G347" s="110">
        <f t="shared" si="121"/>
        <v>0.29155838715101384</v>
      </c>
      <c r="H347" s="412" t="b">
        <f>Wh_hp&gt;='2020'!Maxi_hp</f>
        <v>0</v>
      </c>
      <c r="I347" s="379">
        <f>IF(H347,Wh_hp,'2020'!Maxi_hp)</f>
        <v>16.175594142321199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1.9884515931906099E-2</v>
      </c>
      <c r="M347" s="832"/>
      <c r="N347" s="832"/>
      <c r="O347" s="48">
        <f>IF(t&lt;Tnet,'2020'!Resal+('2020'!Salim-'2020'!Resal)*(1-EXP(('2020'!Tnet-t)/('2020'!Tau_j))),Resal+(Salim-Resal)*(1-EXP((Tnet-t)/(Tau_j))))*Salcycl</f>
        <v>7.5135565252207076E-2</v>
      </c>
      <c r="P347" s="169">
        <f>(INDEX(Models!$BJ347:$BT347,,T347)*(1-R347)+INDEX(Models!$BJ347:$BT347,,T347+1)*R347-ERP_i)*Q347*Ramure*Pc/MaxiM</f>
        <v>3.0622203082195892E-3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23.921715217580712</v>
      </c>
      <c r="W347" s="400"/>
      <c r="X347" s="157">
        <f t="shared" si="131"/>
        <v>44529</v>
      </c>
      <c r="Y347" s="383">
        <f t="shared" si="132"/>
        <v>6.9960000000000004</v>
      </c>
      <c r="Z347" s="383">
        <f t="shared" si="133"/>
        <v>7.1379343696951025</v>
      </c>
      <c r="AA347" s="384">
        <f t="shared" si="134"/>
        <v>7.7178169053949954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7.5135565252207076E-2</v>
      </c>
      <c r="AD347" s="230">
        <f>(INDEX(Models!$BJ347:$BT347,,AH347)*(1-AF347)+INDEX(Models!$BJ347:$BT347,,AH347+1)*AF347-ERP_i)*AE347*Ramure*Pc/MaxiM</f>
        <v>3.0622203082195892E-3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19.564</v>
      </c>
      <c r="C348" s="388"/>
      <c r="D348" s="391">
        <f t="shared" si="122"/>
        <v>19.961295648119016</v>
      </c>
      <c r="E348" s="383">
        <f t="shared" si="120"/>
        <v>21.583884530834951</v>
      </c>
      <c r="F348" s="383">
        <f t="shared" si="123"/>
        <v>21.634071896712399</v>
      </c>
      <c r="G348" s="110">
        <f t="shared" si="121"/>
        <v>0.82356539993644706</v>
      </c>
      <c r="H348" s="412" t="b">
        <f>Wh_hp&gt;='2020'!Maxi_hp</f>
        <v>0</v>
      </c>
      <c r="I348" s="379">
        <f>IF(H348,Wh_hp,'2020'!Maxi_hp)</f>
        <v>25.310170680267795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1.9903299621558013E-2</v>
      </c>
      <c r="M348" s="832"/>
      <c r="N348" s="832"/>
      <c r="O348" s="48">
        <f>IF(t&lt;Tnet,'2020'!Resal+('2020'!Salim-'2020'!Resal)*(1-EXP(('2020'!Tnet-t)/('2020'!Tau_j))),Resal+(Salim-Resal)*(1-EXP((Tnet-t)/(Tau_j))))*Salcycl</f>
        <v>7.5175943440481646E-2</v>
      </c>
      <c r="P348" s="169">
        <f>(INDEX(Models!$BJ348:$BT348,,T348)*(1-R348)+INDEX(Models!$BJ348:$BT348,,T348+1)*R348-ERP_i)*Q348*Ramure*Pc/MaxiM</f>
        <v>3.0977792052091849E-3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23.73672426134009</v>
      </c>
      <c r="W348" s="400"/>
      <c r="X348" s="157">
        <f t="shared" si="131"/>
        <v>44530</v>
      </c>
      <c r="Y348" s="383">
        <f t="shared" si="132"/>
        <v>19.564</v>
      </c>
      <c r="Z348" s="383">
        <f t="shared" si="133"/>
        <v>19.961295648119016</v>
      </c>
      <c r="AA348" s="384">
        <f t="shared" si="134"/>
        <v>21.583884530834951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7.5175943440481646E-2</v>
      </c>
      <c r="AD348" s="230">
        <f>(INDEX(Models!$BJ348:$BT348,,AH348)*(1-AF348)+INDEX(Models!$BJ348:$BT348,,AH348+1)*AF348-ERP_i)*AE348*Ramure*Pc/MaxiM</f>
        <v>3.0977792052091849E-3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3.956</v>
      </c>
      <c r="C349" s="388"/>
      <c r="D349" s="391">
        <f t="shared" si="122"/>
        <v>4.0364137699504177</v>
      </c>
      <c r="E349" s="383">
        <f t="shared" si="120"/>
        <v>4.3647171264583058</v>
      </c>
      <c r="F349" s="383">
        <f t="shared" si="123"/>
        <v>4.3647171264583058</v>
      </c>
      <c r="G349" s="110">
        <f t="shared" si="121"/>
        <v>0.16740436330657857</v>
      </c>
      <c r="H349" s="412" t="b">
        <f>Wh_hp&gt;='2020'!Maxi_hp</f>
        <v>0</v>
      </c>
      <c r="I349" s="379">
        <f>IF(H349,Wh_hp,'2020'!Maxi_hp)</f>
        <v>26.146261330818092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1.9922082951224773E-2</v>
      </c>
      <c r="M349" s="832"/>
      <c r="N349" s="832"/>
      <c r="O349" s="48">
        <f>IF(t&lt;Tnet,'2020'!Resal+('2020'!Salim-'2020'!Resal)*(1-EXP(('2020'!Tnet-t)/('2020'!Tau_j))),Resal+(Salim-Resal)*(1-EXP((Tnet-t)/(Tau_j))))*Salcycl</f>
        <v>7.5217556372155062E-2</v>
      </c>
      <c r="P349" s="169">
        <f>(INDEX(Models!$BJ349:$BT349,,T349)*(1-R349)+INDEX(Models!$BJ349:$BT349,,T349+1)*R349-ERP_i)*Q349*Ramure*Pc/MaxiM</f>
        <v>3.141708075791505E-3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23.55716018960657</v>
      </c>
      <c r="W349" s="400"/>
      <c r="X349" s="157">
        <f t="shared" si="131"/>
        <v>44531</v>
      </c>
      <c r="Y349" s="383">
        <f t="shared" si="132"/>
        <v>3.9559999999999995</v>
      </c>
      <c r="Z349" s="383">
        <f t="shared" si="133"/>
        <v>4.0364137699504177</v>
      </c>
      <c r="AA349" s="384">
        <f t="shared" si="134"/>
        <v>4.3647171264583058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7.5217556372155062E-2</v>
      </c>
      <c r="AD349" s="230">
        <f>(INDEX(Models!$BJ349:$BT349,,AH349)*(1-AF349)+INDEX(Models!$BJ349:$BT349,,AH349+1)*AF349-ERP_i)*AE349*Ramure*Pc/MaxiM</f>
        <v>3.141708075791505E-3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9.0139999999999993</v>
      </c>
      <c r="C350" s="388"/>
      <c r="D350" s="391">
        <f t="shared" si="122"/>
        <v>9.1974042040534734</v>
      </c>
      <c r="E350" s="383">
        <f t="shared" si="120"/>
        <v>9.9459395391657655</v>
      </c>
      <c r="F350" s="383">
        <f t="shared" si="123"/>
        <v>9.9498204075695913</v>
      </c>
      <c r="G350" s="110">
        <f t="shared" si="121"/>
        <v>0.38440218407380938</v>
      </c>
      <c r="H350" s="412" t="b">
        <f>Wh_hp&gt;='2020'!Maxi_hp</f>
        <v>1</v>
      </c>
      <c r="I350" s="379">
        <f>IF(H350,Wh_hp,'2020'!Maxi_hp)</f>
        <v>9.9498204075695913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1.9940865920913264E-2</v>
      </c>
      <c r="M350" s="832"/>
      <c r="N350" s="832"/>
      <c r="O350" s="48">
        <f>IF(t&lt;Tnet,'2020'!Resal+('2020'!Salim-'2020'!Resal)*(1-EXP(('2020'!Tnet-t)/('2020'!Tau_j))),Resal+(Salim-Resal)*(1-EXP((Tnet-t)/(Tau_j))))*Salcycl</f>
        <v>7.5260394673088524E-2</v>
      </c>
      <c r="P350" s="169">
        <f>(INDEX(Models!$BJ350:$BT350,,T350)*(1-R350)+INDEX(Models!$BJ350:$BT350,,T350+1)*R350-ERP_i)*Q350*Ramure*Pc/MaxiM</f>
        <v>3.1939607503952828E-3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23.383622688418647</v>
      </c>
      <c r="W350" s="400"/>
      <c r="X350" s="157">
        <f t="shared" si="131"/>
        <v>44532</v>
      </c>
      <c r="Y350" s="383">
        <f t="shared" si="132"/>
        <v>9.0139999999999993</v>
      </c>
      <c r="Z350" s="383">
        <f t="shared" si="133"/>
        <v>9.1974042040534734</v>
      </c>
      <c r="AA350" s="384">
        <f t="shared" si="134"/>
        <v>9.9459395391657655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7.5260394673088524E-2</v>
      </c>
      <c r="AD350" s="230">
        <f>(INDEX(Models!$BJ350:$BT350,,AH350)*(1-AF350)+INDEX(Models!$BJ350:$BT350,,AH350+1)*AF350-ERP_i)*AE350*Ramure*Pc/MaxiM</f>
        <v>3.1939607503952828E-3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15.062000000000001</v>
      </c>
      <c r="C351" s="388"/>
      <c r="D351" s="391">
        <f t="shared" si="122"/>
        <v>15.368754947097456</v>
      </c>
      <c r="E351" s="383">
        <f t="shared" si="120"/>
        <v>16.620340457104358</v>
      </c>
      <c r="F351" s="383">
        <f t="shared" si="123"/>
        <v>16.647333469246274</v>
      </c>
      <c r="G351" s="110">
        <f t="shared" si="121"/>
        <v>0.64769568089006879</v>
      </c>
      <c r="H351" s="412" t="b">
        <f>Wh_hp&gt;='2020'!Maxi_hp</f>
        <v>1</v>
      </c>
      <c r="I351" s="379">
        <f>IF(H351,Wh_hp,'2020'!Maxi_hp)</f>
        <v>16.647333469246274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1.9959648530630481E-2</v>
      </c>
      <c r="M351" s="832"/>
      <c r="N351" s="832"/>
      <c r="O351" s="48">
        <f>IF(t&lt;Tnet,'2020'!Resal+('2020'!Salim-'2020'!Resal)*(1-EXP(('2020'!Tnet-t)/('2020'!Tau_j))),Resal+(Salim-Resal)*(1-EXP((Tnet-t)/(Tau_j))))*Salcycl</f>
        <v>7.5304444769776893E-2</v>
      </c>
      <c r="P351" s="169">
        <f>(INDEX(Models!$BJ351:$BT351,,T351)*(1-R351)+INDEX(Models!$BJ351:$BT351,,T351+1)*R351-ERP_i)*Q351*Ramure*Pc/MaxiM</f>
        <v>3.2544828173596326E-3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23.216711074500875</v>
      </c>
      <c r="W351" s="400"/>
      <c r="X351" s="157">
        <f t="shared" si="131"/>
        <v>44533</v>
      </c>
      <c r="Y351" s="383">
        <f t="shared" si="132"/>
        <v>15.061999999999999</v>
      </c>
      <c r="Z351" s="383">
        <f t="shared" si="133"/>
        <v>15.368754947097454</v>
      </c>
      <c r="AA351" s="384">
        <f t="shared" si="134"/>
        <v>16.620340457104358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7.5304444769776893E-2</v>
      </c>
      <c r="AD351" s="230">
        <f>(INDEX(Models!$BJ351:$BT351,,AH351)*(1-AF351)+INDEX(Models!$BJ351:$BT351,,AH351+1)*AF351-ERP_i)*AE351*Ramure*Pc/MaxiM</f>
        <v>3.2544828173596326E-3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6.4930000000000003</v>
      </c>
      <c r="C352" s="388"/>
      <c r="D352" s="391">
        <f t="shared" si="122"/>
        <v>6.6253643837352723</v>
      </c>
      <c r="E352" s="383">
        <f t="shared" si="120"/>
        <v>7.165264863318531</v>
      </c>
      <c r="F352" s="383">
        <f t="shared" si="123"/>
        <v>7.165264863318531</v>
      </c>
      <c r="G352" s="110">
        <f t="shared" si="121"/>
        <v>0.28067032093704392</v>
      </c>
      <c r="H352" s="412" t="b">
        <f>Wh_hp&gt;='2020'!Maxi_hp</f>
        <v>0</v>
      </c>
      <c r="I352" s="379">
        <f>IF(H352,Wh_hp,'2020'!Maxi_hp)</f>
        <v>13.058578014907082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1.9978430780383305E-2</v>
      </c>
      <c r="M352" s="832"/>
      <c r="N352" s="832"/>
      <c r="O352" s="48">
        <f>IF(t&lt;Tnet,'2020'!Resal+('2020'!Salim-'2020'!Resal)*(1-EXP(('2020'!Tnet-t)/('2020'!Tau_j))),Resal+(Salim-Resal)*(1-EXP((Tnet-t)/(Tau_j))))*Salcycl</f>
        <v>7.5349689073909418E-2</v>
      </c>
      <c r="P352" s="169">
        <f>(INDEX(Models!$BJ352:$BT352,,T352)*(1-R352)+INDEX(Models!$BJ352:$BT352,,T352+1)*R352-ERP_i)*Q352*Ramure*Pc/MaxiM</f>
        <v>3.319887263513469E-3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23.057101122742477</v>
      </c>
      <c r="W352" s="400"/>
      <c r="X352" s="157">
        <f t="shared" si="131"/>
        <v>44534</v>
      </c>
      <c r="Y352" s="383">
        <f t="shared" si="132"/>
        <v>6.4930000000000003</v>
      </c>
      <c r="Z352" s="383">
        <f t="shared" si="133"/>
        <v>6.6253643837352723</v>
      </c>
      <c r="AA352" s="384">
        <f t="shared" si="134"/>
        <v>7.165264863318531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7.5349689073909418E-2</v>
      </c>
      <c r="AD352" s="230">
        <f>(INDEX(Models!$BJ352:$BT352,,AH352)*(1-AF352)+INDEX(Models!$BJ352:$BT352,,AH352+1)*AF352-ERP_i)*AE352*Ramure*Pc/MaxiM</f>
        <v>3.319887263513469E-3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9.2720000000000002</v>
      </c>
      <c r="C353" s="388"/>
      <c r="D353" s="391">
        <f t="shared" si="122"/>
        <v>9.461197580124324</v>
      </c>
      <c r="E353" s="383">
        <f t="shared" si="120"/>
        <v>10.232703586317623</v>
      </c>
      <c r="F353" s="383">
        <f t="shared" si="123"/>
        <v>10.237894952094093</v>
      </c>
      <c r="G353" s="110">
        <f t="shared" si="121"/>
        <v>0.40362792801129593</v>
      </c>
      <c r="H353" s="412" t="b">
        <f>Wh_hp&gt;='2020'!Maxi_hp</f>
        <v>1</v>
      </c>
      <c r="I353" s="379">
        <f>IF(H353,Wh_hp,'2020'!Maxi_hp)</f>
        <v>10.237894952094093</v>
      </c>
      <c r="J353" s="85">
        <f>IF(H353,An,'2020'!An_max)</f>
        <v>2021</v>
      </c>
      <c r="K353" s="197">
        <f t="shared" si="124"/>
        <v>44535</v>
      </c>
      <c r="L353" s="147">
        <f>IF(t&lt;Tvie,1-EXP((T0-t)*PertePVj)+'2020'!Pspv,1-EXP((T0-t)*PertePVj)+Pspv)</f>
        <v>1.999721267017851E-2</v>
      </c>
      <c r="M353" s="832"/>
      <c r="N353" s="832"/>
      <c r="O353" s="48">
        <f>IF(t&lt;Tnet,'2020'!Resal+('2020'!Salim-'2020'!Resal)*(1-EXP(('2020'!Tnet-t)/('2020'!Tau_j))),Resal+(Salim-Resal)*(1-EXP((Tnet-t)/(Tau_j))))*Salcycl</f>
        <v>7.5396106188876225E-2</v>
      </c>
      <c r="P353" s="169">
        <f>(INDEX(Models!$BJ353:$BT353,,T353)*(1-R353)+INDEX(Models!$BJ353:$BT353,,T353+1)*R353-ERP_i)*Q353*Ramure*Pc/MaxiM</f>
        <v>3.3871243557764448E-3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22.905458169953185</v>
      </c>
      <c r="W353" s="400"/>
      <c r="X353" s="157">
        <f t="shared" si="131"/>
        <v>44535</v>
      </c>
      <c r="Y353" s="383">
        <f t="shared" si="132"/>
        <v>9.2720000000000002</v>
      </c>
      <c r="Z353" s="383">
        <f t="shared" si="133"/>
        <v>9.461197580124324</v>
      </c>
      <c r="AA353" s="384">
        <f t="shared" si="134"/>
        <v>10.232703586317623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7.5396106188876225E-2</v>
      </c>
      <c r="AD353" s="230">
        <f>(INDEX(Models!$BJ353:$BT353,,AH353)*(1-AF353)+INDEX(Models!$BJ353:$BT353,,AH353+1)*AF353-ERP_i)*AE353*Ramure*Pc/MaxiM</f>
        <v>3.3871243557764448E-3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11.448</v>
      </c>
      <c r="C354" s="388"/>
      <c r="D354" s="391">
        <f t="shared" si="122"/>
        <v>11.681823307570017</v>
      </c>
      <c r="E354" s="383">
        <f t="shared" si="120"/>
        <v>12.635058506309433</v>
      </c>
      <c r="F354" s="383">
        <f t="shared" si="123"/>
        <v>12.647730818114573</v>
      </c>
      <c r="G354" s="110">
        <f t="shared" si="121"/>
        <v>0.50169963633716552</v>
      </c>
      <c r="H354" s="412" t="b">
        <f>Wh_hp&gt;='2020'!Maxi_hp</f>
        <v>0</v>
      </c>
      <c r="I354" s="379">
        <f>IF(H354,Wh_hp,'2020'!Maxi_hp)</f>
        <v>18.881092862283797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2.0015994200023091E-2</v>
      </c>
      <c r="M354" s="832"/>
      <c r="N354" s="832"/>
      <c r="O354" s="48">
        <f>IF(t&lt;Tnet,'2020'!Resal+('2020'!Salim-'2020'!Resal)*(1-EXP(('2020'!Tnet-t)/('2020'!Tau_j))),Resal+(Salim-Resal)*(1-EXP((Tnet-t)/(Tau_j))))*Salcycl</f>
        <v>7.5443671136418436E-2</v>
      </c>
      <c r="P354" s="169">
        <f>(INDEX(Models!$BJ354:$BT354,,T354)*(1-R354)+INDEX(Models!$BJ354:$BT354,,T354+1)*R354-ERP_i)*Q354*Ramure*Pc/MaxiM</f>
        <v>3.456081750390408E-3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22.762378165120744</v>
      </c>
      <c r="W354" s="400"/>
      <c r="X354" s="157">
        <f t="shared" si="131"/>
        <v>44536</v>
      </c>
      <c r="Y354" s="383">
        <f t="shared" si="132"/>
        <v>11.448</v>
      </c>
      <c r="Z354" s="383">
        <f t="shared" si="133"/>
        <v>11.681823307570017</v>
      </c>
      <c r="AA354" s="384">
        <f t="shared" si="134"/>
        <v>12.635058506309433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7.5443671136418436E-2</v>
      </c>
      <c r="AD354" s="230">
        <f>(INDEX(Models!$BJ354:$BT354,,AH354)*(1-AF354)+INDEX(Models!$BJ354:$BT354,,AH354+1)*AF354-ERP_i)*AE354*Ramure*Pc/MaxiM</f>
        <v>3.456081750390408E-3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5.3449999999999998</v>
      </c>
      <c r="C355" s="388"/>
      <c r="D355" s="391">
        <f t="shared" si="122"/>
        <v>5.4542751779969203</v>
      </c>
      <c r="E355" s="383">
        <f t="shared" si="120"/>
        <v>5.8996539520724163</v>
      </c>
      <c r="F355" s="383">
        <f t="shared" si="123"/>
        <v>5.8996539520724163</v>
      </c>
      <c r="G355" s="110">
        <f t="shared" si="121"/>
        <v>0.23537398808186599</v>
      </c>
      <c r="H355" s="412" t="b">
        <f>Wh_hp&gt;='2020'!Maxi_hp</f>
        <v>0</v>
      </c>
      <c r="I355" s="379">
        <f>IF(H355,Wh_hp,'2020'!Maxi_hp)</f>
        <v>15.619266818048127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2.0034775369924041E-2</v>
      </c>
      <c r="M355" s="832"/>
      <c r="N355" s="832"/>
      <c r="O355" s="48">
        <f>IF(t&lt;Tnet,'2020'!Resal+('2020'!Salim-'2020'!Resal)*(1-EXP(('2020'!Tnet-t)/('2020'!Tau_j))),Resal+(Salim-Resal)*(1-EXP((Tnet-t)/(Tau_j))))*Salcycl</f>
        <v>7.5492355601474576E-2</v>
      </c>
      <c r="P355" s="169">
        <f>(INDEX(Models!$BJ355:$BT355,,T355)*(1-R355)+INDEX(Models!$BJ355:$BT355,,T355+1)*R355-ERP_i)*Q355*Ramure*Pc/MaxiM</f>
        <v>3.5266322021991255E-3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22.628456926288489</v>
      </c>
      <c r="W355" s="400"/>
      <c r="X355" s="157">
        <f t="shared" si="131"/>
        <v>44537</v>
      </c>
      <c r="Y355" s="383">
        <f t="shared" si="132"/>
        <v>5.3449999999999998</v>
      </c>
      <c r="Z355" s="383">
        <f t="shared" si="133"/>
        <v>5.4542751779969203</v>
      </c>
      <c r="AA355" s="384">
        <f t="shared" si="134"/>
        <v>5.8996539520724163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7.5492355601474576E-2</v>
      </c>
      <c r="AD355" s="230">
        <f>(INDEX(Models!$BJ355:$BT355,,AH355)*(1-AF355)+INDEX(Models!$BJ355:$BT355,,AH355+1)*AF355-ERP_i)*AE355*Ramure*Pc/MaxiM</f>
        <v>3.5266322021991255E-3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9.3930000000000007</v>
      </c>
      <c r="C356" s="388"/>
      <c r="D356" s="391">
        <f t="shared" si="122"/>
        <v>9.5852177016770383</v>
      </c>
      <c r="E356" s="383">
        <f t="shared" si="120"/>
        <v>10.368474317756341</v>
      </c>
      <c r="F356" s="383">
        <f t="shared" si="123"/>
        <v>10.374735219036834</v>
      </c>
      <c r="G356" s="110">
        <f t="shared" si="121"/>
        <v>0.41613618787503243</v>
      </c>
      <c r="H356" s="412" t="b">
        <f>Wh_hp&gt;='2020'!Maxi_hp</f>
        <v>0</v>
      </c>
      <c r="I356" s="379">
        <f>IF(H356,Wh_hp,'2020'!Maxi_hp)</f>
        <v>17.076709643331426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2.0053556179888021E-2</v>
      </c>
      <c r="M356" s="832"/>
      <c r="N356" s="832"/>
      <c r="O356" s="48">
        <f>IF(t&lt;Tnet,'2020'!Resal+('2020'!Salim-'2020'!Resal)*(1-EXP(('2020'!Tnet-t)/('2020'!Tau_j))),Resal+(Salim-Resal)*(1-EXP((Tnet-t)/(Tau_j))))*Salcycl</f>
        <v>7.5542128193147137E-2</v>
      </c>
      <c r="P356" s="169">
        <f>(INDEX(Models!$BJ356:$BT356,,T356)*(1-R356)+INDEX(Models!$BJ356:$BT356,,T356+1)*R356-ERP_i)*Q356*Ramure*Pc/MaxiM</f>
        <v>3.598633054072535E-3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22.504290115374378</v>
      </c>
      <c r="W356" s="400"/>
      <c r="X356" s="157">
        <f t="shared" si="131"/>
        <v>44538</v>
      </c>
      <c r="Y356" s="383">
        <f t="shared" si="132"/>
        <v>9.3930000000000007</v>
      </c>
      <c r="Z356" s="383">
        <f t="shared" si="133"/>
        <v>9.5852177016770383</v>
      </c>
      <c r="AA356" s="384">
        <f t="shared" si="134"/>
        <v>10.368474317756341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7.5542128193147137E-2</v>
      </c>
      <c r="AD356" s="230">
        <f>(INDEX(Models!$BJ356:$BT356,,AH356)*(1-AF356)+INDEX(Models!$BJ356:$BT356,,AH356+1)*AF356-ERP_i)*AE356*Ramure*Pc/MaxiM</f>
        <v>3.598633054072535E-3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7.7720000000000002</v>
      </c>
      <c r="C357" s="388"/>
      <c r="D357" s="391">
        <f t="shared" si="122"/>
        <v>7.9311976695006718</v>
      </c>
      <c r="E357" s="383">
        <f t="shared" si="120"/>
        <v>8.5797676575419626</v>
      </c>
      <c r="F357" s="383">
        <f t="shared" si="123"/>
        <v>8.5818885052160496</v>
      </c>
      <c r="G357" s="110">
        <f t="shared" si="121"/>
        <v>0.34592283217900027</v>
      </c>
      <c r="H357" s="412" t="b">
        <f>Wh_hp&gt;='2020'!Maxi_hp</f>
        <v>0</v>
      </c>
      <c r="I357" s="379">
        <f>IF(H357,Wh_hp,'2020'!Maxi_hp)</f>
        <v>11.827516861952027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2.0072336629922138E-2</v>
      </c>
      <c r="M357" s="832"/>
      <c r="N357" s="832"/>
      <c r="O357" s="48">
        <f>IF(t&lt;Tnet,'2020'!Resal+('2020'!Salim-'2020'!Resal)*(1-EXP(('2020'!Tnet-t)/('2020'!Tau_j))),Resal+(Salim-Resal)*(1-EXP((Tnet-t)/(Tau_j))))*Salcycl</f>
        <v>7.5592954719603825E-2</v>
      </c>
      <c r="P357" s="169">
        <f>(INDEX(Models!$BJ357:$BT357,,T357)*(1-R357)+INDEX(Models!$BJ357:$BT357,,T357+1)*R357-ERP_i)*Q357*Ramure*Pc/MaxiM</f>
        <v>3.6719258920584843E-3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22.390473224771604</v>
      </c>
      <c r="W357" s="400"/>
      <c r="X357" s="157">
        <f t="shared" si="131"/>
        <v>44539</v>
      </c>
      <c r="Y357" s="383">
        <f t="shared" si="132"/>
        <v>7.7720000000000002</v>
      </c>
      <c r="Z357" s="383">
        <f t="shared" si="133"/>
        <v>7.9311976695006718</v>
      </c>
      <c r="AA357" s="384">
        <f t="shared" si="134"/>
        <v>8.5797676575419626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7.5592954719603825E-2</v>
      </c>
      <c r="AD357" s="230">
        <f>(INDEX(Models!$BJ357:$BT357,,AH357)*(1-AF357)+INDEX(Models!$BJ357:$BT357,,AH357+1)*AF357-ERP_i)*AE357*Ramure*Pc/MaxiM</f>
        <v>3.6719258920584843E-3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2.032</v>
      </c>
      <c r="C358" s="388"/>
      <c r="D358" s="391">
        <f t="shared" si="122"/>
        <v>2.0736621890786995</v>
      </c>
      <c r="E358" s="383">
        <f t="shared" si="120"/>
        <v>2.2433607618118692</v>
      </c>
      <c r="F358" s="383">
        <f t="shared" si="123"/>
        <v>2.2433607618118692</v>
      </c>
      <c r="G358" s="110">
        <f t="shared" si="121"/>
        <v>9.0830206074091549E-2</v>
      </c>
      <c r="H358" s="412" t="b">
        <f>Wh_hp&gt;='2020'!Maxi_hp</f>
        <v>0</v>
      </c>
      <c r="I358" s="379">
        <f>IF(H358,Wh_hp,'2020'!Maxi_hp)</f>
        <v>21.581579026303849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2.0091116720033164E-2</v>
      </c>
      <c r="M358" s="832"/>
      <c r="N358" s="832"/>
      <c r="O358" s="48">
        <f>IF(t&lt;Tnet,'2020'!Resal+('2020'!Salim-'2020'!Resal)*(1-EXP(('2020'!Tnet-t)/('2020'!Tau_j))),Resal+(Salim-Resal)*(1-EXP((Tnet-t)/(Tau_j))))*Salcycl</f>
        <v>7.5644798474638272E-2</v>
      </c>
      <c r="P358" s="169">
        <f>(INDEX(Models!$BJ358:$BT358,,T358)*(1-R358)+INDEX(Models!$BJ358:$BT358,,T358+1)*R358-ERP_i)*Q358*Ramure*Pc/MaxiM</f>
        <v>3.746336391432333E-3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22.28760158048399</v>
      </c>
      <c r="W358" s="400"/>
      <c r="X358" s="157">
        <f t="shared" si="131"/>
        <v>44540</v>
      </c>
      <c r="Y358" s="383">
        <f t="shared" si="132"/>
        <v>2.032</v>
      </c>
      <c r="Z358" s="383">
        <f t="shared" si="133"/>
        <v>2.0736621890786995</v>
      </c>
      <c r="AA358" s="384">
        <f t="shared" si="134"/>
        <v>2.2433607618118692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7.5644798474638272E-2</v>
      </c>
      <c r="AD358" s="230">
        <f>(INDEX(Models!$BJ358:$BT358,,AH358)*(1-AF358)+INDEX(Models!$BJ358:$BT358,,AH358+1)*AF358-ERP_i)*AE358*Ramure*Pc/MaxiM</f>
        <v>3.746336391432333E-3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12.394</v>
      </c>
      <c r="C359" s="388"/>
      <c r="D359" s="391">
        <f t="shared" si="122"/>
        <v>12.648357152604376</v>
      </c>
      <c r="E359" s="383">
        <f t="shared" si="120"/>
        <v>13.684220049185125</v>
      </c>
      <c r="F359" s="383">
        <f t="shared" si="123"/>
        <v>13.703557835359431</v>
      </c>
      <c r="G359" s="110">
        <f t="shared" si="121"/>
        <v>0.55709708025384252</v>
      </c>
      <c r="H359" s="412" t="b">
        <f>Wh_hp&gt;='2020'!Maxi_hp</f>
        <v>1</v>
      </c>
      <c r="I359" s="379">
        <f>IF(H359,Wh_hp,'2020'!Maxi_hp)</f>
        <v>13.703557835359431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2.0109896450228093E-2</v>
      </c>
      <c r="M359" s="832"/>
      <c r="N359" s="832"/>
      <c r="O359" s="48">
        <f>IF(t&lt;Tnet,'2020'!Resal+('2020'!Salim-'2020'!Resal)*(1-EXP(('2020'!Tnet-t)/('2020'!Tau_j))),Resal+(Salim-Resal)*(1-EXP((Tnet-t)/(Tau_j))))*Salcycl</f>
        <v>7.5697620533545368E-2</v>
      </c>
      <c r="P359" s="169">
        <f>(INDEX(Models!$BJ359:$BT359,,T359)*(1-R359)+INDEX(Models!$BJ359:$BT359,,T359+1)*R359-ERP_i)*Q359*Ramure*Pc/MaxiM</f>
        <v>3.822105769827755E-3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22.193755514510762</v>
      </c>
      <c r="W359" s="400"/>
      <c r="X359" s="157">
        <f t="shared" si="131"/>
        <v>44541</v>
      </c>
      <c r="Y359" s="383">
        <f t="shared" si="132"/>
        <v>12.394</v>
      </c>
      <c r="Z359" s="383">
        <f t="shared" si="133"/>
        <v>12.648357152604376</v>
      </c>
      <c r="AA359" s="384">
        <f t="shared" si="134"/>
        <v>13.684220049185125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7.5697620533545368E-2</v>
      </c>
      <c r="AD359" s="230">
        <f>(INDEX(Models!$BJ359:$BT359,,AH359)*(1-AF359)+INDEX(Models!$BJ359:$BT359,,AH359+1)*AF359-ERP_i)*AE359*Ramure*Pc/MaxiM</f>
        <v>3.822105769827755E-3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21.565999999999999</v>
      </c>
      <c r="C360" s="388"/>
      <c r="D360" s="391">
        <f t="shared" si="122"/>
        <v>22.009012273176477</v>
      </c>
      <c r="E360" s="383">
        <f t="shared" si="120"/>
        <v>23.81287004194613</v>
      </c>
      <c r="F360" s="383">
        <f t="shared" si="123"/>
        <v>23.902821263615333</v>
      </c>
      <c r="G360" s="110">
        <f t="shared" si="121"/>
        <v>0.97539758339048688</v>
      </c>
      <c r="H360" s="412" t="b">
        <f>Wh_hp&gt;='2020'!Maxi_hp</f>
        <v>1</v>
      </c>
      <c r="I360" s="379">
        <f>IF(H360,Wh_hp,'2020'!Maxi_hp)</f>
        <v>23.902821263615333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2.0128675820513808E-2</v>
      </c>
      <c r="M360" s="832"/>
      <c r="N360" s="832"/>
      <c r="O360" s="48">
        <f>IF(t&lt;Tnet,'2020'!Resal+('2020'!Salim-'2020'!Resal)*(1-EXP(('2020'!Tnet-t)/('2020'!Tau_j))),Resal+(Salim-Resal)*(1-EXP((Tnet-t)/(Tau_j))))*Salcycl</f>
        <v>7.5751380055918277E-2</v>
      </c>
      <c r="P360" s="169">
        <f>(INDEX(Models!$BJ360:$BT360,,T360)*(1-R360)+INDEX(Models!$BJ360:$BT360,,T360+1)*R360-ERP_i)*Q360*Ramure*Pc/MaxiM</f>
        <v>3.8995152203264746E-3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22.106933215035731</v>
      </c>
      <c r="W360" s="400"/>
      <c r="X360" s="157">
        <f t="shared" si="131"/>
        <v>44542</v>
      </c>
      <c r="Y360" s="383">
        <f t="shared" si="132"/>
        <v>21.565999999999999</v>
      </c>
      <c r="Z360" s="383">
        <f t="shared" si="133"/>
        <v>22.009012273176477</v>
      </c>
      <c r="AA360" s="384">
        <f t="shared" si="134"/>
        <v>23.81287004194613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7.5751380055918277E-2</v>
      </c>
      <c r="AD360" s="230">
        <f>(INDEX(Models!$BJ360:$BT360,,AH360)*(1-AF360)+INDEX(Models!$BJ360:$BT360,,AH360+1)*AF360-ERP_i)*AE360*Ramure*Pc/MaxiM</f>
        <v>3.8995152203264746E-3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22.576000000000001</v>
      </c>
      <c r="C361" s="388"/>
      <c r="D361" s="391">
        <f t="shared" si="122"/>
        <v>23.040201417350847</v>
      </c>
      <c r="E361" s="383">
        <f t="shared" ref="E361:E379" si="144">Wh_pvt/(1-Psa)</f>
        <v>24.930049621350847</v>
      </c>
      <c r="F361" s="383">
        <f t="shared" si="123"/>
        <v>25.0294040728553</v>
      </c>
      <c r="G361" s="110">
        <f t="shared" ref="G361:G379" si="145">+Wh_hp/MaxiM</f>
        <v>1.0248865565445491</v>
      </c>
      <c r="H361" s="412" t="b">
        <f>Wh_hp&gt;='2020'!Maxi_hp</f>
        <v>1</v>
      </c>
      <c r="I361" s="379">
        <f>IF(H361,Wh_hp,'2020'!Maxi_hp)</f>
        <v>25.0294040728553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2.0147454830897082E-2</v>
      </c>
      <c r="M361" s="832"/>
      <c r="N361" s="832"/>
      <c r="O361" s="48">
        <f>IF(t&lt;Tnet,'2020'!Resal+('2020'!Salim-'2020'!Resal)*(1-EXP(('2020'!Tnet-t)/('2020'!Tau_j))),Resal+(Salim-Resal)*(1-EXP((Tnet-t)/(Tau_j))))*Salcycl</f>
        <v>7.5806034592946631E-2</v>
      </c>
      <c r="P361" s="169">
        <f>(INDEX(Models!$BJ361:$BT361,,T361)*(1-R361)+INDEX(Models!$BJ361:$BT361,,T361+1)*R361-ERP_i)*Q361*Ramure*Pc/MaxiM</f>
        <v>3.969509270586479E-3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22.027803814810486</v>
      </c>
      <c r="W361" s="400"/>
      <c r="X361" s="157">
        <f t="shared" si="131"/>
        <v>44543</v>
      </c>
      <c r="Y361" s="383">
        <f t="shared" si="132"/>
        <v>22.576000000000001</v>
      </c>
      <c r="Z361" s="383">
        <f t="shared" si="133"/>
        <v>23.040201417350847</v>
      </c>
      <c r="AA361" s="384">
        <f t="shared" si="134"/>
        <v>24.930049621350847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7.5806034592946631E-2</v>
      </c>
      <c r="AD361" s="230">
        <f>(INDEX(Models!$BJ361:$BT361,,AH361)*(1-AF361)+INDEX(Models!$BJ361:$BT361,,AH361+1)*AF361-ERP_i)*AE361*Ramure*Pc/MaxiM</f>
        <v>3.969509270586479E-3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22.266000000000002</v>
      </c>
      <c r="C362" s="388"/>
      <c r="D362" s="391">
        <f t="shared" si="122"/>
        <v>22.724262789097288</v>
      </c>
      <c r="E362" s="383">
        <f t="shared" si="144"/>
        <v>24.589673282133749</v>
      </c>
      <c r="F362" s="383">
        <f t="shared" si="123"/>
        <v>24.68921870882129</v>
      </c>
      <c r="G362" s="110">
        <f t="shared" si="145"/>
        <v>1.0140804818120215</v>
      </c>
      <c r="H362" s="412" t="b">
        <f>Wh_hp&gt;='2020'!Maxi_hp</f>
        <v>1</v>
      </c>
      <c r="I362" s="379">
        <f>IF(H362,Wh_hp,'2020'!Maxi_hp)</f>
        <v>24.68921870882129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2.0166233481385021E-2</v>
      </c>
      <c r="M362" s="832"/>
      <c r="N362" s="832"/>
      <c r="O362" s="48">
        <f>IF(t&lt;Tnet,'2020'!Resal+('2020'!Salim-'2020'!Resal)*(1-EXP(('2020'!Tnet-t)/('2020'!Tau_j))),Resal+(Salim-Resal)*(1-EXP((Tnet-t)/(Tau_j))))*Salcycl</f>
        <v>7.5861540396790175E-2</v>
      </c>
      <c r="P362" s="169">
        <f>(INDEX(Models!$BJ362:$BT362,,T362)*(1-R362)+INDEX(Models!$BJ362:$BT362,,T362+1)*R362-ERP_i)*Q362*Ramure*Pc/MaxiM</f>
        <v>4.0319391172947572E-3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21.956837153806315</v>
      </c>
      <c r="W362" s="400"/>
      <c r="X362" s="157">
        <f t="shared" si="131"/>
        <v>44544</v>
      </c>
      <c r="Y362" s="383">
        <f t="shared" si="132"/>
        <v>22.266000000000002</v>
      </c>
      <c r="Z362" s="383">
        <f t="shared" si="133"/>
        <v>22.724262789097288</v>
      </c>
      <c r="AA362" s="384">
        <f t="shared" si="134"/>
        <v>24.589673282133749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7.5861540396790175E-2</v>
      </c>
      <c r="AD362" s="230">
        <f>(INDEX(Models!$BJ362:$BT362,,AH362)*(1-AF362)+INDEX(Models!$BJ362:$BT362,,AH362+1)*AF362-ERP_i)*AE362*Ramure*Pc/MaxiM</f>
        <v>4.0319391172947572E-3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21.088000000000001</v>
      </c>
      <c r="C363" s="388"/>
      <c r="D363" s="391">
        <f t="shared" si="122"/>
        <v>21.522430513272113</v>
      </c>
      <c r="E363" s="383">
        <f t="shared" si="144"/>
        <v>23.290603088531181</v>
      </c>
      <c r="F363" s="383">
        <f t="shared" si="123"/>
        <v>23.381125458789235</v>
      </c>
      <c r="G363" s="110">
        <f t="shared" si="145"/>
        <v>0.9629561900780349</v>
      </c>
      <c r="H363" s="412" t="b">
        <f>Wh_hp&gt;='2020'!Maxi_hp</f>
        <v>0</v>
      </c>
      <c r="I363" s="379">
        <f>IF(H363,Wh_hp,'2020'!Maxi_hp)</f>
        <v>24.850474320764231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2.0185011771984285E-2</v>
      </c>
      <c r="M363" s="832"/>
      <c r="N363" s="832"/>
      <c r="O363" s="48">
        <f>IF(t&lt;Tnet,'2020'!Resal+('2020'!Salim-'2020'!Resal)*(1-EXP(('2020'!Tnet-t)/('2020'!Tau_j))),Resal+(Salim-Resal)*(1-EXP((Tnet-t)/(Tau_j))))*Salcycl</f>
        <v>7.5917852729616819E-2</v>
      </c>
      <c r="P363" s="169">
        <f>(INDEX(Models!$BJ363:$BT363,,T363)*(1-R363)+INDEX(Models!$BJ363:$BT363,,T363+1)*R363-ERP_i)*Q363*Ramure*Pc/MaxiM</f>
        <v>4.0866507239315482E-3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21.894503203913342</v>
      </c>
      <c r="W363" s="400"/>
      <c r="X363" s="157">
        <f t="shared" si="131"/>
        <v>44545</v>
      </c>
      <c r="Y363" s="383">
        <f t="shared" si="132"/>
        <v>21.088000000000001</v>
      </c>
      <c r="Z363" s="383">
        <f t="shared" si="133"/>
        <v>21.522430513272113</v>
      </c>
      <c r="AA363" s="384">
        <f t="shared" si="134"/>
        <v>23.290603088531181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7.5917852729616819E-2</v>
      </c>
      <c r="AD363" s="230">
        <f>(INDEX(Models!$BJ363:$BT363,,AH363)*(1-AF363)+INDEX(Models!$BJ363:$BT363,,AH363+1)*AF363-ERP_i)*AE363*Ramure*Pc/MaxiM</f>
        <v>4.0866507239315482E-3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22.080000000000002</v>
      </c>
      <c r="C364" s="388"/>
      <c r="D364" s="391">
        <f t="shared" si="122"/>
        <v>22.535298430374926</v>
      </c>
      <c r="E364" s="383">
        <f t="shared" si="144"/>
        <v>24.388189312835944</v>
      </c>
      <c r="F364" s="383">
        <f t="shared" si="123"/>
        <v>24.489416018785828</v>
      </c>
      <c r="G364" s="110">
        <f t="shared" si="145"/>
        <v>1.0109301306952165</v>
      </c>
      <c r="H364" s="412" t="b">
        <f>Wh_hp&gt;='2020'!Maxi_hp</f>
        <v>1</v>
      </c>
      <c r="I364" s="379">
        <f>IF(H364,Wh_hp,'2020'!Maxi_hp)</f>
        <v>24.489416018785828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2.020378970270198E-2</v>
      </c>
      <c r="M364" s="832"/>
      <c r="N364" s="832"/>
      <c r="O364" s="48">
        <f>IF(t&lt;Tnet,'2020'!Resal+('2020'!Salim-'2020'!Resal)*(1-EXP(('2020'!Tnet-t)/('2020'!Tau_j))),Resal+(Salim-Resal)*(1-EXP((Tnet-t)/(Tau_j))))*Salcycl</f>
        <v>7.5974926169931248E-2</v>
      </c>
      <c r="P364" s="169">
        <f>(INDEX(Models!$BJ364:$BT364,,T364)*(1-R364)+INDEX(Models!$BJ364:$BT364,,T364+1)*R364-ERP_i)*Q364*Ramure*Pc/MaxiM</f>
        <v>4.1334879472925117E-3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21.841272042030823</v>
      </c>
      <c r="W364" s="400"/>
      <c r="X364" s="157">
        <f t="shared" si="131"/>
        <v>44546</v>
      </c>
      <c r="Y364" s="383">
        <f t="shared" si="132"/>
        <v>22.080000000000002</v>
      </c>
      <c r="Z364" s="383">
        <f t="shared" si="133"/>
        <v>22.535298430374926</v>
      </c>
      <c r="AA364" s="384">
        <f t="shared" si="134"/>
        <v>24.388189312835944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7.5974926169931248E-2</v>
      </c>
      <c r="AD364" s="230">
        <f>(INDEX(Models!$BJ364:$BT364,,AH364)*(1-AF364)+INDEX(Models!$BJ364:$BT364,,AH364+1)*AF364-ERP_i)*AE364*Ramure*Pc/MaxiM</f>
        <v>4.1334879472925117E-3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22.533999999999999</v>
      </c>
      <c r="C365" s="388"/>
      <c r="D365" s="391">
        <f t="shared" si="122"/>
        <v>22.99910086446264</v>
      </c>
      <c r="E365" s="383">
        <f t="shared" si="144"/>
        <v>24.8916831100994</v>
      </c>
      <c r="F365" s="383">
        <f t="shared" si="123"/>
        <v>24.995973707121568</v>
      </c>
      <c r="G365" s="110">
        <f t="shared" si="145"/>
        <v>1.033782881203811</v>
      </c>
      <c r="H365" s="412" t="b">
        <f>Wh_hp&gt;='2020'!Maxi_hp</f>
        <v>1</v>
      </c>
      <c r="I365" s="379">
        <f>IF(H365,Wh_hp,'2020'!Maxi_hp)</f>
        <v>24.995973707121568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2.0222567273544878E-2</v>
      </c>
      <c r="M365" s="832"/>
      <c r="N365" s="832"/>
      <c r="O365" s="48">
        <f>IF(t&lt;Tnet,'2020'!Resal+('2020'!Salim-'2020'!Resal)*(1-EXP(('2020'!Tnet-t)/('2020'!Tau_j))),Resal+(Salim-Resal)*(1-EXP((Tnet-t)/(Tau_j))))*Salcycl</f>
        <v>7.6032714913877184E-2</v>
      </c>
      <c r="P365" s="169">
        <f>(INDEX(Models!$BJ365:$BT365,,T365)*(1-R365)+INDEX(Models!$BJ365:$BT365,,T365+1)*R365-ERP_i)*Q365*Ramure*Pc/MaxiM</f>
        <v>4.1722958362871813E-3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21.797613802387396</v>
      </c>
      <c r="W365" s="400"/>
      <c r="X365" s="157">
        <f t="shared" si="131"/>
        <v>44547</v>
      </c>
      <c r="Y365" s="383">
        <f t="shared" si="132"/>
        <v>22.533999999999999</v>
      </c>
      <c r="Z365" s="383">
        <f t="shared" si="133"/>
        <v>22.99910086446264</v>
      </c>
      <c r="AA365" s="384">
        <f t="shared" si="134"/>
        <v>24.8916831100994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7.6032714913877184E-2</v>
      </c>
      <c r="AD365" s="230">
        <f>(INDEX(Models!$BJ365:$BT365,,AH365)*(1-AF365)+INDEX(Models!$BJ365:$BT365,,AH365+1)*AF365-ERP_i)*AE365*Ramure*Pc/MaxiM</f>
        <v>4.1722958362871813E-3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22.681000000000001</v>
      </c>
      <c r="C366" s="388"/>
      <c r="D366" s="391">
        <f t="shared" si="122"/>
        <v>23.149578595013132</v>
      </c>
      <c r="E366" s="383">
        <f t="shared" si="144"/>
        <v>25.056128830284283</v>
      </c>
      <c r="F366" s="383">
        <f t="shared" si="123"/>
        <v>25.161787004742354</v>
      </c>
      <c r="G366" s="110">
        <f t="shared" si="145"/>
        <v>1.0421299155160051</v>
      </c>
      <c r="H366" s="412" t="b">
        <f>Wh_hp&gt;='2020'!Maxi_hp</f>
        <v>1</v>
      </c>
      <c r="I366" s="379">
        <f>IF(H366,Wh_hp,'2020'!Maxi_hp)</f>
        <v>25.161787004742354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2.0241344484519974E-2</v>
      </c>
      <c r="M366" s="832"/>
      <c r="N366" s="832"/>
      <c r="O366" s="48">
        <f>IF(t&lt;Tnet,'2020'!Resal+('2020'!Salim-'2020'!Resal)*(1-EXP(('2020'!Tnet-t)/('2020'!Tau_j))),Resal+(Salim-Resal)*(1-EXP((Tnet-t)/(Tau_j))))*Salcycl</f>
        <v>7.6091173069272641E-2</v>
      </c>
      <c r="P366" s="169">
        <f>(INDEX(Models!$BJ366:$BT366,,T366)*(1-R366)+INDEX(Models!$BJ366:$BT366,,T366+1)*R366-ERP_i)*Q366*Ramure*Pc/MaxiM</f>
        <v>4.1991522477379823E-3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21.764081101893733</v>
      </c>
      <c r="W366" s="400"/>
      <c r="X366" s="157">
        <f t="shared" si="131"/>
        <v>44548</v>
      </c>
      <c r="Y366" s="383">
        <f t="shared" si="132"/>
        <v>22.681000000000001</v>
      </c>
      <c r="Z366" s="383">
        <f t="shared" si="133"/>
        <v>23.149578595013132</v>
      </c>
      <c r="AA366" s="384">
        <f t="shared" si="134"/>
        <v>25.056128830284283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7.6091173069272641E-2</v>
      </c>
      <c r="AD366" s="230">
        <f>(INDEX(Models!$BJ366:$BT366,,AH366)*(1-AF366)+INDEX(Models!$BJ366:$BT366,,AH366+1)*AF366-ERP_i)*AE366*Ramure*Pc/MaxiM</f>
        <v>4.1991522477379823E-3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22.429000000000002</v>
      </c>
      <c r="C367" s="388"/>
      <c r="D367" s="391">
        <f t="shared" si="122"/>
        <v>22.892811131232527</v>
      </c>
      <c r="E367" s="383">
        <f t="shared" si="144"/>
        <v>24.779799154192059</v>
      </c>
      <c r="F367" s="383">
        <f t="shared" si="123"/>
        <v>24.884744497458982</v>
      </c>
      <c r="G367" s="110">
        <f t="shared" si="145"/>
        <v>1.0316419128835221</v>
      </c>
      <c r="H367" s="412" t="b">
        <f>Wh_hp&gt;='2020'!Maxi_hp</f>
        <v>1</v>
      </c>
      <c r="I367" s="379">
        <f>IF(H367,Wh_hp,'2020'!Maxi_hp)</f>
        <v>24.884744497458982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2.026012133563404E-2</v>
      </c>
      <c r="M367" s="832"/>
      <c r="N367" s="832"/>
      <c r="O367" s="48">
        <f>IF(t&lt;Tnet,'2020'!Resal+('2020'!Salim-'2020'!Resal)*(1-EXP(('2020'!Tnet-t)/('2020'!Tau_j))),Resal+(Salim-Resal)*(1-EXP((Tnet-t)/(Tau_j))))*Salcycl</f>
        <v>7.6150254940234433E-2</v>
      </c>
      <c r="P367" s="169">
        <f>(INDEX(Models!$BJ367:$BT367,,T367)*(1-R367)+INDEX(Models!$BJ367:$BT367,,T367+1)*R367-ERP_i)*Q367*Ramure*Pc/MaxiM</f>
        <v>4.2172562100301859E-3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21.741070927710897</v>
      </c>
      <c r="W367" s="400"/>
      <c r="X367" s="157">
        <f t="shared" si="131"/>
        <v>44549</v>
      </c>
      <c r="Y367" s="383">
        <f t="shared" si="132"/>
        <v>22.429000000000002</v>
      </c>
      <c r="Z367" s="383">
        <f t="shared" si="133"/>
        <v>22.892811131232527</v>
      </c>
      <c r="AA367" s="384">
        <f t="shared" si="134"/>
        <v>24.779799154192059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7.6150254940234433E-2</v>
      </c>
      <c r="AD367" s="230">
        <f>(INDEX(Models!$BJ367:$BT367,,AH367)*(1-AF367)+INDEX(Models!$BJ367:$BT367,,AH367+1)*AF367-ERP_i)*AE367*Ramure*Pc/MaxiM</f>
        <v>4.2172562100301859E-3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21.786999999999999</v>
      </c>
      <c r="C368" s="388"/>
      <c r="D368" s="391">
        <f t="shared" si="122"/>
        <v>22.237961346014242</v>
      </c>
      <c r="E368" s="383">
        <f t="shared" si="144"/>
        <v>24.07252655590549</v>
      </c>
      <c r="F368" s="383">
        <f t="shared" si="123"/>
        <v>24.174700505084488</v>
      </c>
      <c r="G368" s="110">
        <f t="shared" si="145"/>
        <v>1.0026667776975977</v>
      </c>
      <c r="H368" s="412" t="b">
        <f>Wh_hp&gt;='2020'!Maxi_hp</f>
        <v>1</v>
      </c>
      <c r="I368" s="379">
        <f>IF(H368,Wh_hp,'2020'!Maxi_hp)</f>
        <v>24.174700505084488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2.0278897826894071E-2</v>
      </c>
      <c r="M368" s="832"/>
      <c r="N368" s="832"/>
      <c r="O368" s="48">
        <f>IF(t&lt;Tnet,'2020'!Resal+('2020'!Salim-'2020'!Resal)*(1-EXP(('2020'!Tnet-t)/('2020'!Tau_j))),Resal+(Salim-Resal)*(1-EXP((Tnet-t)/(Tau_j))))*Salcycl</f>
        <v>7.6209915300361086E-2</v>
      </c>
      <c r="P368" s="169">
        <f>(INDEX(Models!$BJ368:$BT368,,T368)*(1-R368)+INDEX(Models!$BJ368:$BT368,,T368+1)*R368-ERP_i)*Q368*Ramure*Pc/MaxiM</f>
        <v>4.2264825228138037E-3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21.729053444883274</v>
      </c>
      <c r="W368" s="400"/>
      <c r="X368" s="157">
        <f t="shared" si="131"/>
        <v>44550</v>
      </c>
      <c r="Y368" s="383">
        <f t="shared" si="132"/>
        <v>21.786999999999999</v>
      </c>
      <c r="Z368" s="383">
        <f t="shared" si="133"/>
        <v>22.237961346014242</v>
      </c>
      <c r="AA368" s="384">
        <f t="shared" si="134"/>
        <v>24.07252655590549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7.6209915300361086E-2</v>
      </c>
      <c r="AD368" s="230">
        <f>(INDEX(Models!$BJ368:$BT368,,AH368)*(1-AF368)+INDEX(Models!$BJ368:$BT368,,AH368+1)*AF368-ERP_i)*AE368*Ramure*Pc/MaxiM</f>
        <v>4.2264825228138037E-3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16.37</v>
      </c>
      <c r="C369" s="388"/>
      <c r="D369" s="391">
        <f t="shared" si="122"/>
        <v>16.709157021337258</v>
      </c>
      <c r="E369" s="383">
        <f t="shared" si="144"/>
        <v>18.08879110218329</v>
      </c>
      <c r="F369" s="383">
        <f t="shared" si="123"/>
        <v>18.138447620152135</v>
      </c>
      <c r="G369" s="110">
        <f t="shared" si="145"/>
        <v>0.7522635110011423</v>
      </c>
      <c r="H369" s="412" t="b">
        <f>Wh_hp&gt;='2020'!Maxi_hp</f>
        <v>0</v>
      </c>
      <c r="I369" s="379">
        <f>IF(H369,Wh_hp,'2020'!Maxi_hp)</f>
        <v>19.700986215963447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2.0297673958306839E-2</v>
      </c>
      <c r="M369" s="832"/>
      <c r="N369" s="832"/>
      <c r="O369" s="48">
        <f>IF(t&lt;Tnet,'2020'!Resal+('2020'!Salim-'2020'!Resal)*(1-EXP(('2020'!Tnet-t)/('2020'!Tau_j))),Resal+(Salim-Resal)*(1-EXP((Tnet-t)/(Tau_j))))*Salcycl</f>
        <v>7.6270109652574331E-2</v>
      </c>
      <c r="P369" s="169">
        <f>(INDEX(Models!$BJ369:$BT369,,T369)*(1-R369)+INDEX(Models!$BJ369:$BT369,,T369+1)*R369-ERP_i)*Q369*Ramure*Pc/MaxiM</f>
        <v>4.2267225010894508E-3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21.728498782765378</v>
      </c>
      <c r="W369" s="400"/>
      <c r="X369" s="157">
        <f t="shared" si="131"/>
        <v>44551</v>
      </c>
      <c r="Y369" s="383">
        <f t="shared" si="132"/>
        <v>16.37</v>
      </c>
      <c r="Z369" s="383">
        <f t="shared" si="133"/>
        <v>16.709157021337258</v>
      </c>
      <c r="AA369" s="384">
        <f t="shared" si="134"/>
        <v>18.08879110218329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7.6270109652574331E-2</v>
      </c>
      <c r="AD369" s="230">
        <f>(INDEX(Models!$BJ369:$BT369,,AH369)*(1-AF369)+INDEX(Models!$BJ369:$BT369,,AH369+1)*AF369-ERP_i)*AE369*Ramure*Pc/MaxiM</f>
        <v>4.2267225010894508E-3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22.11</v>
      </c>
      <c r="C370" s="388"/>
      <c r="D370" s="391">
        <f t="shared" si="122"/>
        <v>22.568512040345865</v>
      </c>
      <c r="E370" s="383">
        <f t="shared" si="144"/>
        <v>24.433543854577827</v>
      </c>
      <c r="F370" s="383">
        <f t="shared" si="123"/>
        <v>24.5370383220707</v>
      </c>
      <c r="G370" s="110">
        <f t="shared" si="145"/>
        <v>1.0170250725966241</v>
      </c>
      <c r="H370" s="412" t="b">
        <f>Wh_hp&gt;='2020'!Maxi_hp</f>
        <v>1</v>
      </c>
      <c r="I370" s="379">
        <f>IF(H370,Wh_hp,'2020'!Maxi_hp)</f>
        <v>24.5370383220707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2.0316449729879449E-2</v>
      </c>
      <c r="M370" s="832"/>
      <c r="N370" s="832"/>
      <c r="O370" s="48">
        <f>IF(t&lt;Tnet,'2020'!Resal+('2020'!Salim-'2020'!Resal)*(1-EXP(('2020'!Tnet-t)/('2020'!Tau_j))),Resal+(Salim-Resal)*(1-EXP((Tnet-t)/(Tau_j))))*Salcycl</f>
        <v>7.6330794473865621E-2</v>
      </c>
      <c r="P370" s="169">
        <f>(INDEX(Models!$BJ370:$BT370,,T370)*(1-R370)+INDEX(Models!$BJ370:$BT370,,T370+1)*R370-ERP_i)*Q370*Ramure*Pc/MaxiM</f>
        <v>4.2178875108892892E-3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21.739877015568272</v>
      </c>
      <c r="W370" s="400"/>
      <c r="X370" s="157">
        <f t="shared" si="131"/>
        <v>44552</v>
      </c>
      <c r="Y370" s="383">
        <f t="shared" si="132"/>
        <v>22.11</v>
      </c>
      <c r="Z370" s="383">
        <f t="shared" si="133"/>
        <v>22.568512040345865</v>
      </c>
      <c r="AA370" s="384">
        <f t="shared" si="134"/>
        <v>24.433543854577827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7.6330794473865621E-2</v>
      </c>
      <c r="AD370" s="230">
        <f>(INDEX(Models!$BJ370:$BT370,,AH370)*(1-AF370)+INDEX(Models!$BJ370:$BT370,,AH370+1)*AF370-ERP_i)*AE370*Ramure*Pc/MaxiM</f>
        <v>4.2178875108892892E-3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5.9820000000000002</v>
      </c>
      <c r="C371" s="388"/>
      <c r="D371" s="391">
        <f t="shared" si="122"/>
        <v>6.1061703487958399</v>
      </c>
      <c r="E371" s="383">
        <f t="shared" si="144"/>
        <v>6.611213706581518</v>
      </c>
      <c r="F371" s="383">
        <f t="shared" si="123"/>
        <v>6.611213706581518</v>
      </c>
      <c r="G371" s="110">
        <f t="shared" si="145"/>
        <v>0.27370748466889461</v>
      </c>
      <c r="H371" s="412" t="b">
        <f>Wh_hp&gt;='2020'!Maxi_hp</f>
        <v>0</v>
      </c>
      <c r="I371" s="379">
        <f>IF(H371,Wh_hp,'2020'!Maxi_hp)</f>
        <v>20.621523847427799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2.0335225141618674E-2</v>
      </c>
      <c r="M371" s="832"/>
      <c r="N371" s="832"/>
      <c r="O371" s="48">
        <f>IF(t&lt;Tnet,'2020'!Resal+('2020'!Salim-'2020'!Resal)*(1-EXP(('2020'!Tnet-t)/('2020'!Tau_j))),Resal+(Salim-Resal)*(1-EXP((Tnet-t)/(Tau_j))))*Salcycl</f>
        <v>7.6391927443353297E-2</v>
      </c>
      <c r="P371" s="169">
        <f>(INDEX(Models!$BJ371:$BT371,,T371)*(1-R371)+INDEX(Models!$BJ371:$BT371,,T371+1)*R371-ERP_i)*Q371*Ramure*Pc/MaxiM</f>
        <v>4.1998936264676613E-3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21.763658540549358</v>
      </c>
      <c r="W371" s="400"/>
      <c r="X371" s="157">
        <f t="shared" si="131"/>
        <v>44553</v>
      </c>
      <c r="Y371" s="383">
        <f t="shared" si="132"/>
        <v>5.9820000000000002</v>
      </c>
      <c r="Z371" s="383">
        <f t="shared" si="133"/>
        <v>6.1061703487958399</v>
      </c>
      <c r="AA371" s="384">
        <f t="shared" si="134"/>
        <v>6.611213706581518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7.6391927443353297E-2</v>
      </c>
      <c r="AD371" s="230">
        <f>(INDEX(Models!$BJ371:$BT371,,AH371)*(1-AF371)+INDEX(Models!$BJ371:$BT371,,AH371+1)*AF371-ERP_i)*AE371*Ramure*Pc/MaxiM</f>
        <v>4.1998936264676613E-3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12.232000000000001</v>
      </c>
      <c r="C372" s="388"/>
      <c r="D372" s="391">
        <f t="shared" si="122"/>
        <v>12.486142956145855</v>
      </c>
      <c r="E372" s="383">
        <f t="shared" si="144"/>
        <v>13.519776772269955</v>
      </c>
      <c r="F372" s="383">
        <f t="shared" si="123"/>
        <v>13.540851487737845</v>
      </c>
      <c r="G372" s="110">
        <f t="shared" si="145"/>
        <v>0.55962256734410998</v>
      </c>
      <c r="H372" s="412" t="b">
        <f>Wh_hp&gt;='2020'!Maxi_hp</f>
        <v>0</v>
      </c>
      <c r="I372" s="379">
        <f>IF(H372,Wh_hp,'2020'!Maxi_hp)</f>
        <v>13.665587151375444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2.0354000193531396E-2</v>
      </c>
      <c r="M372" s="832"/>
      <c r="N372" s="832"/>
      <c r="O372" s="48">
        <f>IF(t&lt;Tnet,'2020'!Resal+('2020'!Salim-'2020'!Resal)*(1-EXP(('2020'!Tnet-t)/('2020'!Tau_j))),Resal+(Salim-Resal)*(1-EXP((Tnet-t)/(Tau_j))))*Salcycl</f>
        <v>7.6453467652229115E-2</v>
      </c>
      <c r="P372" s="169">
        <f>(INDEX(Models!$BJ372:$BT372,,T372)*(1-R372)+INDEX(Models!$BJ372:$BT372,,T372+1)*R372-ERP_i)*Q372*Ramure*Pc/MaxiM</f>
        <v>4.1727155951964663E-3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21.800312948313127</v>
      </c>
      <c r="W372" s="400"/>
      <c r="X372" s="157">
        <f t="shared" si="131"/>
        <v>44554</v>
      </c>
      <c r="Y372" s="383">
        <f t="shared" si="132"/>
        <v>12.232000000000001</v>
      </c>
      <c r="Z372" s="383">
        <f t="shared" si="133"/>
        <v>12.486142956145855</v>
      </c>
      <c r="AA372" s="384">
        <f t="shared" si="134"/>
        <v>13.519776772269955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7.6453467652229115E-2</v>
      </c>
      <c r="AD372" s="230">
        <f>(INDEX(Models!$BJ372:$BT372,,AH372)*(1-AF372)+INDEX(Models!$BJ372:$BT372,,AH372+1)*AF372-ERP_i)*AE372*Ramure*Pc/MaxiM</f>
        <v>4.1727155951964663E-3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9.011000000000001</v>
      </c>
      <c r="C373" s="388"/>
      <c r="D373" s="391">
        <f t="shared" si="122"/>
        <v>9.1983968687149638</v>
      </c>
      <c r="E373" s="383">
        <f t="shared" si="144"/>
        <v>9.9605306115704568</v>
      </c>
      <c r="F373" s="383">
        <f t="shared" si="123"/>
        <v>9.9671504996837843</v>
      </c>
      <c r="G373" s="110">
        <f t="shared" si="145"/>
        <v>0.41096578811072726</v>
      </c>
      <c r="H373" s="412" t="b">
        <f>Wh_hp&gt;='2020'!Maxi_hp</f>
        <v>0</v>
      </c>
      <c r="I373" s="379">
        <f>IF(H373,Wh_hp,'2020'!Maxi_hp)</f>
        <v>11.594478528110951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2.0372774885624501E-2</v>
      </c>
      <c r="M373" s="832"/>
      <c r="N373" s="832"/>
      <c r="O373" s="48">
        <f>IF(t&lt;Tnet,'2020'!Resal+('2020'!Salim-'2020'!Resal)*(1-EXP(('2020'!Tnet-t)/('2020'!Tau_j))),Resal+(Salim-Resal)*(1-EXP((Tnet-t)/(Tau_j))))*Salcycl</f>
        <v>7.6515375794355273E-2</v>
      </c>
      <c r="P373" s="169">
        <f>(INDEX(Models!$BJ373:$BT373,,T373)*(1-R373)+INDEX(Models!$BJ373:$BT373,,T373+1)*R373-ERP_i)*Q373*Ramure*Pc/MaxiM</f>
        <v>4.1363429864222801E-3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21.850216538710473</v>
      </c>
      <c r="W373" s="400"/>
      <c r="X373" s="157">
        <f t="shared" si="131"/>
        <v>44555</v>
      </c>
      <c r="Y373" s="383">
        <f t="shared" si="132"/>
        <v>9.011000000000001</v>
      </c>
      <c r="Z373" s="383">
        <f t="shared" si="133"/>
        <v>9.1983968687149638</v>
      </c>
      <c r="AA373" s="384">
        <f t="shared" si="134"/>
        <v>9.9605306115704568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7.6515375794355273E-2</v>
      </c>
      <c r="AD373" s="230">
        <f>(INDEX(Models!$BJ373:$BT373,,AH373)*(1-AF373)+INDEX(Models!$BJ373:$BT373,,AH373+1)*AF373-ERP_i)*AE373*Ramure*Pc/MaxiM</f>
        <v>4.1363429864222801E-3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10.962</v>
      </c>
      <c r="C374" s="388"/>
      <c r="D374" s="391">
        <f t="shared" si="122"/>
        <v>11.190185212518543</v>
      </c>
      <c r="E374" s="383">
        <f t="shared" si="144"/>
        <v>12.118165409730357</v>
      </c>
      <c r="F374" s="383">
        <f t="shared" si="123"/>
        <v>12.132363710554303</v>
      </c>
      <c r="G374" s="110">
        <f t="shared" si="145"/>
        <v>0.49878548408363221</v>
      </c>
      <c r="H374" s="412" t="b">
        <f>Wh_hp&gt;='2020'!Maxi_hp</f>
        <v>1</v>
      </c>
      <c r="I374" s="379">
        <f>IF(H374,Wh_hp,'2020'!Maxi_hp)</f>
        <v>12.132363710554303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2.039154921790487E-2</v>
      </c>
      <c r="M374" s="832"/>
      <c r="N374" s="832"/>
      <c r="O374" s="48">
        <f>IF(t&lt;Tnet,'2020'!Resal+('2020'!Salim-'2020'!Resal)*(1-EXP(('2020'!Tnet-t)/('2020'!Tau_j))),Resal+(Salim-Resal)*(1-EXP((Tnet-t)/(Tau_j))))*Salcycl</f>
        <v>7.6577614336464442E-2</v>
      </c>
      <c r="P374" s="169">
        <f>(INDEX(Models!$BJ374:$BT374,,T374)*(1-R374)+INDEX(Models!$BJ374:$BT374,,T374+1)*R374-ERP_i)*Q374*Ramure*Pc/MaxiM</f>
        <v>4.0909134644781216E-3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21.913120745586937</v>
      </c>
      <c r="W374" s="400"/>
      <c r="X374" s="157">
        <f t="shared" si="131"/>
        <v>44556</v>
      </c>
      <c r="Y374" s="383">
        <f t="shared" si="132"/>
        <v>10.962</v>
      </c>
      <c r="Z374" s="383">
        <f t="shared" si="133"/>
        <v>11.190185212518543</v>
      </c>
      <c r="AA374" s="384">
        <f t="shared" si="134"/>
        <v>12.118165409730357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7.6577614336464442E-2</v>
      </c>
      <c r="AD374" s="230">
        <f>(INDEX(Models!$BJ374:$BT374,,AH374)*(1-AF374)+INDEX(Models!$BJ374:$BT374,,AH374+1)*AF374-ERP_i)*AE374*Ramure*Pc/MaxiM</f>
        <v>4.0909134644781216E-3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10.022</v>
      </c>
      <c r="C375" s="388"/>
      <c r="D375" s="391">
        <f t="shared" si="122"/>
        <v>10.230814224829503</v>
      </c>
      <c r="E375" s="383">
        <f t="shared" si="144"/>
        <v>11.079985987024633</v>
      </c>
      <c r="F375" s="383">
        <f t="shared" si="123"/>
        <v>11.089940366817663</v>
      </c>
      <c r="G375" s="110">
        <f t="shared" si="145"/>
        <v>0.45435049204959149</v>
      </c>
      <c r="H375" s="412" t="b">
        <f>Wh_hp&gt;='2020'!Maxi_hp</f>
        <v>0</v>
      </c>
      <c r="I375" s="379">
        <f>IF(H375,Wh_hp,'2020'!Maxi_hp)</f>
        <v>21.290446008401918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2.0410323190379498E-2</v>
      </c>
      <c r="M375" s="832"/>
      <c r="N375" s="832"/>
      <c r="O375" s="48">
        <f>IF(t&lt;Tnet,'2020'!Resal+('2020'!Salim-'2020'!Resal)*(1-EXP(('2020'!Tnet-t)/('2020'!Tau_j))),Resal+(Salim-Resal)*(1-EXP((Tnet-t)/(Tau_j))))*Salcycl</f>
        <v>7.6640147667114786E-2</v>
      </c>
      <c r="P375" s="169">
        <f>(INDEX(Models!$BJ375:$BT375,,T375)*(1-R375)+INDEX(Models!$BJ375:$BT375,,T375+1)*R375-ERP_i)*Q375*Ramure*Pc/MaxiM</f>
        <v>4.0333744879922796E-3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21.988630481077823</v>
      </c>
      <c r="W375" s="400"/>
      <c r="X375" s="157">
        <f t="shared" si="131"/>
        <v>44557</v>
      </c>
      <c r="Y375" s="383">
        <f t="shared" si="132"/>
        <v>10.022</v>
      </c>
      <c r="Z375" s="383">
        <f t="shared" si="133"/>
        <v>10.230814224829503</v>
      </c>
      <c r="AA375" s="384">
        <f t="shared" si="134"/>
        <v>11.079985987024633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7.6640147667114786E-2</v>
      </c>
      <c r="AD375" s="230">
        <f>(INDEX(Models!$BJ375:$BT375,,AH375)*(1-AF375)+INDEX(Models!$BJ375:$BT375,,AH375+1)*AF375-ERP_i)*AE375*Ramure*Pc/MaxiM</f>
        <v>4.0333744879922796E-3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4.6109999999999998</v>
      </c>
      <c r="C376" s="388"/>
      <c r="D376" s="391">
        <f t="shared" si="122"/>
        <v>4.7071630904424167</v>
      </c>
      <c r="E376" s="383">
        <f t="shared" si="144"/>
        <v>5.0982108637707411</v>
      </c>
      <c r="F376" s="383">
        <f t="shared" si="123"/>
        <v>5.0982108637707411</v>
      </c>
      <c r="G376" s="110">
        <f t="shared" si="145"/>
        <v>0.20803877618563271</v>
      </c>
      <c r="H376" s="412" t="b">
        <f>Wh_hp&gt;='2020'!Maxi_hp</f>
        <v>0</v>
      </c>
      <c r="I376" s="379">
        <f>IF(H376,Wh_hp,'2020'!Maxi_hp)</f>
        <v>6.5281474457395792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2.0429096803055269E-2</v>
      </c>
      <c r="M376" s="832"/>
      <c r="N376" s="832"/>
      <c r="O376" s="48">
        <f>IF(t&lt;Tnet,'2020'!Resal+('2020'!Salim-'2020'!Resal)*(1-EXP(('2020'!Tnet-t)/('2020'!Tau_j))),Resal+(Salim-Resal)*(1-EXP((Tnet-t)/(Tau_j))))*Salcycl</f>
        <v>7.6702942223754483E-2</v>
      </c>
      <c r="P376" s="169">
        <f>(INDEX(Models!$BJ376:$BT376,,T376)*(1-R376)+INDEX(Models!$BJ376:$BT376,,T376+1)*R376-ERP_i)*Q376*Ramure*Pc/MaxiM</f>
        <v>3.967665399195134E-3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22.076197423629559</v>
      </c>
      <c r="W376" s="400"/>
      <c r="X376" s="157">
        <f t="shared" si="131"/>
        <v>44558</v>
      </c>
      <c r="Y376" s="383">
        <f t="shared" si="132"/>
        <v>4.6109999999999998</v>
      </c>
      <c r="Z376" s="383">
        <f t="shared" si="133"/>
        <v>4.7071630904424167</v>
      </c>
      <c r="AA376" s="384">
        <f t="shared" si="134"/>
        <v>5.0982108637707411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7.6702942223754483E-2</v>
      </c>
      <c r="AD376" s="230">
        <f>(INDEX(Models!$BJ376:$BT376,,AH376)*(1-AF376)+INDEX(Models!$BJ376:$BT376,,AH376+1)*AF376-ERP_i)*AE376*Ramure*Pc/MaxiM</f>
        <v>3.967665399195134E-3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3.9380000000000002</v>
      </c>
      <c r="C377" s="388"/>
      <c r="D377" s="391">
        <f t="shared" si="122"/>
        <v>4.0202046217028657</v>
      </c>
      <c r="E377" s="383">
        <f t="shared" si="144"/>
        <v>4.3544805285032231</v>
      </c>
      <c r="F377" s="383">
        <f t="shared" si="123"/>
        <v>4.3544805285032231</v>
      </c>
      <c r="G377" s="110">
        <f t="shared" si="145"/>
        <v>0.17689301206727356</v>
      </c>
      <c r="H377" s="412" t="b">
        <f>Wh_hp&gt;='2020'!Maxi_hp</f>
        <v>0</v>
      </c>
      <c r="I377" s="379">
        <f>IF(H377,Wh_hp,'2020'!Maxi_hp)</f>
        <v>25.022994124609578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2.0447870055939066E-2</v>
      </c>
      <c r="M377" s="832"/>
      <c r="N377" s="832"/>
      <c r="O377" s="48">
        <f>IF(t&lt;Tnet,'2020'!Resal+('2020'!Salim-'2020'!Resal)*(1-EXP(('2020'!Tnet-t)/('2020'!Tau_j))),Resal+(Salim-Resal)*(1-EXP((Tnet-t)/(Tau_j))))*Salcycl</f>
        <v>7.6765966597457394E-2</v>
      </c>
      <c r="P377" s="169">
        <f>(INDEX(Models!$BJ377:$BT377,,T377)*(1-R377)+INDEX(Models!$BJ377:$BT377,,T377+1)*R377-ERP_i)*Q377*Ramure*Pc/MaxiM</f>
        <v>3.8940279344735523E-3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22.175354877796011</v>
      </c>
      <c r="W377" s="400"/>
      <c r="X377" s="157">
        <f t="shared" si="131"/>
        <v>44559</v>
      </c>
      <c r="Y377" s="383">
        <f t="shared" si="132"/>
        <v>3.9379999999999997</v>
      </c>
      <c r="Z377" s="383">
        <f t="shared" si="133"/>
        <v>4.0202046217028657</v>
      </c>
      <c r="AA377" s="384">
        <f t="shared" si="134"/>
        <v>4.3544805285032231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7.6765966597457394E-2</v>
      </c>
      <c r="AD377" s="230">
        <f>(INDEX(Models!$BJ377:$BT377,,AH377)*(1-AF377)+INDEX(Models!$BJ377:$BT377,,AH377+1)*AF377-ERP_i)*AE377*Ramure*Pc/MaxiM</f>
        <v>3.8940279344735523E-3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16.397000000000002</v>
      </c>
      <c r="C378" s="388"/>
      <c r="D378" s="391">
        <f t="shared" si="122"/>
        <v>16.739603487691038</v>
      </c>
      <c r="E378" s="383">
        <f t="shared" si="144"/>
        <v>18.132726182034713</v>
      </c>
      <c r="F378" s="383">
        <f t="shared" si="123"/>
        <v>18.175866627306938</v>
      </c>
      <c r="G378" s="110">
        <f t="shared" si="145"/>
        <v>0.73470395171227598</v>
      </c>
      <c r="H378" s="412" t="b">
        <f>Wh_hp&gt;='2020'!Maxi_hp</f>
        <v>0</v>
      </c>
      <c r="I378" s="379">
        <f>IF(H378,Wh_hp,'2020'!Maxi_hp)</f>
        <v>25.027651179472095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2.0466642949037661E-2</v>
      </c>
      <c r="M378" s="832"/>
      <c r="N378" s="832"/>
      <c r="O378" s="48">
        <f>IF(t&lt;Tnet,'2020'!Resal+('2020'!Salim-'2020'!Resal)*(1-EXP(('2020'!Tnet-t)/('2020'!Tau_j))),Resal+(Salim-Resal)*(1-EXP((Tnet-t)/(Tau_j))))*Salcycl</f>
        <v>7.6829191615099393E-2</v>
      </c>
      <c r="P378" s="169">
        <f>(INDEX(Models!$BJ378:$BT378,,T378)*(1-R378)+INDEX(Models!$BJ378:$BT378,,T378+1)*R378-ERP_i)*Q378*Ramure*Pc/MaxiM</f>
        <v>3.8127189637247195E-3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22.285636230255751</v>
      </c>
      <c r="W378" s="400"/>
      <c r="X378" s="157">
        <f t="shared" si="131"/>
        <v>44560</v>
      </c>
      <c r="Y378" s="383">
        <f t="shared" si="132"/>
        <v>16.397000000000002</v>
      </c>
      <c r="Z378" s="383">
        <f t="shared" si="133"/>
        <v>16.739603487691038</v>
      </c>
      <c r="AA378" s="384">
        <f t="shared" si="134"/>
        <v>18.132726182034713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7.6829191615099393E-2</v>
      </c>
      <c r="AD378" s="230">
        <f>(INDEX(Models!$BJ378:$BT378,,AH378)*(1-AF378)+INDEX(Models!$BJ378:$BT378,,AH378+1)*AF378-ERP_i)*AE378*Ramure*Pc/MaxiM</f>
        <v>3.8127189637247195E-3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22.772000000000002</v>
      </c>
      <c r="C379" s="388"/>
      <c r="D379" s="391">
        <f t="shared" si="122"/>
        <v>23.248250061752763</v>
      </c>
      <c r="E379" s="383">
        <f t="shared" si="144"/>
        <v>25.184772454378031</v>
      </c>
      <c r="F379" s="383">
        <f t="shared" si="123"/>
        <v>25.278911318099443</v>
      </c>
      <c r="G379" s="110">
        <f t="shared" si="145"/>
        <v>1.0163088310105435</v>
      </c>
      <c r="H379" s="412" t="b">
        <f>Wh_hp&gt;='2020'!Maxi_hp</f>
        <v>1</v>
      </c>
      <c r="I379" s="379">
        <f>IF(H379,Wh_hp,'2020'!Maxi_hp)</f>
        <v>25.278911318099443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2.0485415482358049E-2</v>
      </c>
      <c r="M379" s="832"/>
      <c r="N379" s="832"/>
      <c r="O379" s="48">
        <f>IF(t&lt;Tnet,'2020'!Resal+('2020'!Salim-'2020'!Resal)*(1-EXP(('2020'!Tnet-t)/('2020'!Tau_j))),Resal+(Salim-Resal)*(1-EXP((Tnet-t)/(Tau_j))))*Salcycl</f>
        <v>7.6892590398950827E-2</v>
      </c>
      <c r="P379" s="169">
        <f>(INDEX(Models!$BJ379:$BT379,,T379)*(1-R379)+INDEX(Models!$BJ379:$BT379,,T379+1)*R379-ERP_i)*Q379*Ramure*Pc/MaxiM</f>
        <v>3.7240078315400943E-3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22.406574955525265</v>
      </c>
      <c r="W379" s="400"/>
      <c r="X379" s="157">
        <f t="shared" si="131"/>
        <v>44561</v>
      </c>
      <c r="Y379" s="383">
        <f t="shared" si="132"/>
        <v>22.772000000000002</v>
      </c>
      <c r="Z379" s="383">
        <f t="shared" si="133"/>
        <v>23.248250061752763</v>
      </c>
      <c r="AA379" s="384">
        <f t="shared" si="134"/>
        <v>25.184772454378031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7.6892590398950827E-2</v>
      </c>
      <c r="AD379" s="230">
        <f>(INDEX(Models!$BJ379:$BT379,,AH379)*(1-AF379)+INDEX(Models!$BJ379:$BT379,,AH379+1)*AF379-ERP_i)*AE379*Ramure*Pc/MaxiM</f>
        <v>3.7240078315400943E-3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15"/>
      <c r="B380" s="609"/>
      <c r="C380" s="839"/>
      <c r="D380" s="393"/>
      <c r="E380" s="1116"/>
      <c r="F380" s="1116"/>
      <c r="G380" s="1117"/>
      <c r="H380" s="412" t="b">
        <f>Wh_hp&gt;='2020'!Maxi_hp</f>
        <v>0</v>
      </c>
      <c r="I380" s="380">
        <f>IF(H380,Wh_hp,'2020'!Maxi_hp)</f>
        <v>14.71093936617153</v>
      </c>
      <c r="J380" s="128">
        <f>IF(H380,An,'2020'!An_max)</f>
        <v>2020</v>
      </c>
      <c r="K380" s="233">
        <f t="shared" si="124"/>
        <v>0</v>
      </c>
      <c r="L380" s="1118"/>
      <c r="M380" s="1119"/>
      <c r="N380" s="1119"/>
      <c r="O380" s="1120"/>
      <c r="P380" s="321"/>
      <c r="Q380" s="1121"/>
      <c r="R380" s="1122"/>
      <c r="S380" s="1123"/>
      <c r="T380" s="1124"/>
      <c r="U380" s="322"/>
      <c r="V380" s="395"/>
      <c r="W380" s="400"/>
      <c r="X380" s="1125"/>
      <c r="Y380" s="1126"/>
      <c r="Z380" s="1126"/>
      <c r="AA380" s="1127"/>
      <c r="AB380" s="1128"/>
      <c r="AC380" s="1129"/>
      <c r="AD380" s="1130"/>
      <c r="AE380" s="1121"/>
      <c r="AF380" s="1122"/>
      <c r="AG380" s="1123"/>
      <c r="AH380" s="1124"/>
      <c r="AI380" s="1131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1.7690000000000001</v>
      </c>
      <c r="C381" s="374"/>
      <c r="D381" s="372">
        <f>MIN(D15:D380)</f>
        <v>1.8047164062221746</v>
      </c>
      <c r="E381" s="372">
        <f>MIN(E15:E380)</f>
        <v>1.9509439713183834</v>
      </c>
      <c r="F381" s="373">
        <f>MIN(F15:F380)</f>
        <v>1.9509439713183834</v>
      </c>
      <c r="G381" s="125">
        <f>+MIN(G15:G380)</f>
        <v>7.0780836952377746E-2</v>
      </c>
      <c r="H381" s="94"/>
      <c r="I381" s="373">
        <f>MIN(I15:I380)</f>
        <v>6.5281474457395792</v>
      </c>
      <c r="J381" s="57">
        <f>MIN(J15:J380)</f>
        <v>2018</v>
      </c>
      <c r="K381" s="200" t="s">
        <v>7</v>
      </c>
      <c r="L381" s="146">
        <f t="shared" ref="L381:T381" si="146">MIN(L15:L380)</f>
        <v>1.3628389182788747E-2</v>
      </c>
      <c r="M381" s="833"/>
      <c r="N381" s="833"/>
      <c r="O381" s="47">
        <f t="shared" si="146"/>
        <v>4.8025118577546266E-2</v>
      </c>
      <c r="P381" s="168">
        <f t="shared" si="146"/>
        <v>5.4538037366502991E-5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21.728498782765378</v>
      </c>
      <c r="W381" s="793"/>
      <c r="X381" s="112" t="s">
        <v>7</v>
      </c>
      <c r="Y381" s="374">
        <f>MIN(Y15:Y380)</f>
        <v>1.7690000000000001</v>
      </c>
      <c r="Z381" s="374">
        <f>MIN(Z15:Z380)</f>
        <v>1.8047164062221746</v>
      </c>
      <c r="AA381" s="374">
        <f>MIN(AA15:AA380)</f>
        <v>1.9509439713183834</v>
      </c>
      <c r="AB381" s="200" t="s">
        <v>7</v>
      </c>
      <c r="AC381" s="48">
        <f t="shared" ref="AC381:AH381" si="147">MIN(AC15:AC380)</f>
        <v>4.8025118577546266E-2</v>
      </c>
      <c r="AD381" s="169">
        <f t="shared" si="147"/>
        <v>5.4538037366502991E-5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29.532863013698627</v>
      </c>
      <c r="C382" s="374"/>
      <c r="D382" s="374">
        <f>AVERAGE(D15:D380)</f>
        <v>30.041541890213303</v>
      </c>
      <c r="E382" s="374">
        <f>AVERAGE(E15:E380)</f>
        <v>32.116267733651647</v>
      </c>
      <c r="F382" s="375">
        <f>AVERAGE(F15:F380)</f>
        <v>32.128358754460862</v>
      </c>
      <c r="G382" s="126">
        <f>AVERAGE(G15:G380)</f>
        <v>0.65747924805962854</v>
      </c>
      <c r="H382" s="94"/>
      <c r="I382" s="375">
        <f>AVERAGE(I15:I380)</f>
        <v>41.610632799346398</v>
      </c>
      <c r="J382" s="59">
        <f>AVERAGE(J15:J380)</f>
        <v>2019.7896174863388</v>
      </c>
      <c r="K382" s="200" t="s">
        <v>8</v>
      </c>
      <c r="L382" s="147">
        <f t="shared" ref="L382:V382" si="148">AVERAGE(L15:L380)</f>
        <v>1.7060877621118874E-2</v>
      </c>
      <c r="M382" s="832"/>
      <c r="N382" s="832"/>
      <c r="O382" s="48">
        <f t="shared" si="148"/>
        <v>6.4675855531747622E-2</v>
      </c>
      <c r="P382" s="169">
        <f t="shared" si="148"/>
        <v>9.7534435072292158E-4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43.484097743644561</v>
      </c>
      <c r="X382" s="112" t="s">
        <v>8</v>
      </c>
      <c r="Y382" s="374">
        <f>AVERAGE(Y15:Y380)</f>
        <v>29.532863013698627</v>
      </c>
      <c r="Z382" s="374">
        <f>AVERAGE(Z15:Z380)</f>
        <v>30.041541890213303</v>
      </c>
      <c r="AA382" s="374">
        <f>AVERAGE(AA15:AA380)</f>
        <v>32.116267733651647</v>
      </c>
      <c r="AB382" s="200" t="s">
        <v>8</v>
      </c>
      <c r="AC382" s="48">
        <f t="shared" ref="AC382:AH382" si="149">AVERAGE(AC15:AC380)</f>
        <v>6.4675855531747622E-2</v>
      </c>
      <c r="AD382" s="169">
        <f t="shared" si="149"/>
        <v>9.7534435072292158E-4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58.438000000000002</v>
      </c>
      <c r="C383" s="376"/>
      <c r="D383" s="376">
        <f>MAX(D15:D380)</f>
        <v>59.403455621524884</v>
      </c>
      <c r="E383" s="376">
        <f>MAX(E15:E380)</f>
        <v>63.301440704721593</v>
      </c>
      <c r="F383" s="377">
        <f>MAX(F15:F380)</f>
        <v>63.305602398396879</v>
      </c>
      <c r="G383" s="127">
        <f>+MAX(G15:G380)</f>
        <v>1.0421299155160051</v>
      </c>
      <c r="H383" s="94"/>
      <c r="I383" s="377">
        <f>MAX(I15:I380)</f>
        <v>65.112138934007149</v>
      </c>
      <c r="J383" s="60">
        <f>MAX(J15:J380)</f>
        <v>2021</v>
      </c>
      <c r="K383" s="200" t="s">
        <v>9</v>
      </c>
      <c r="L383" s="148">
        <f t="shared" ref="L383:T383" si="150">MAX(L15:L380)</f>
        <v>2.0485415482358049E-2</v>
      </c>
      <c r="M383" s="834"/>
      <c r="N383" s="834"/>
      <c r="O383" s="49">
        <f t="shared" si="150"/>
        <v>7.6892590398950827E-2</v>
      </c>
      <c r="P383" s="170">
        <f t="shared" si="150"/>
        <v>4.2267225010894508E-3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59.085641730838965</v>
      </c>
      <c r="X383" s="112" t="s">
        <v>9</v>
      </c>
      <c r="Y383" s="376">
        <f>MAX(Y15:Y380)</f>
        <v>58.438000000000002</v>
      </c>
      <c r="Z383" s="376">
        <f>MAX(Z15:Z380)</f>
        <v>59.403455621524884</v>
      </c>
      <c r="AA383" s="376">
        <f>MAX(AA15:AA380)</f>
        <v>63.301440704721593</v>
      </c>
      <c r="AB383" s="200" t="s">
        <v>9</v>
      </c>
      <c r="AC383" s="49">
        <f t="shared" ref="AC383:AH383" si="151">MAX(AC15:AC380)</f>
        <v>7.6892590398950827E-2</v>
      </c>
      <c r="AD383" s="170">
        <f t="shared" si="151"/>
        <v>4.2267225010894508E-3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273" activePane="bottomRight" state="frozen"/>
      <selection pane="topRight"/>
      <selection pane="bottomLeft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'2021'!An+1</f>
        <v>2022</v>
      </c>
      <c r="K1" s="1279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-0.40329038973226261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620.6074558581995</v>
      </c>
      <c r="AK4" s="822">
        <f>AM12-AK12</f>
        <v>-0.38116540804640398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620.93310326220058</v>
      </c>
      <c r="AA5" s="236">
        <f>Wh_Pvg_s-Wh_Pvg</f>
        <v>-0.3839533258578065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2958.7675000000004</v>
      </c>
      <c r="AK5" s="514">
        <f>SUMIF(AK15:AK380,"VRAI",Wh)</f>
        <v>4.5395500000000002</v>
      </c>
      <c r="AL5" s="514">
        <f>SUMIF(AJ15:AJ380,"VRAI",Wh_s)</f>
        <v>2954.2279500000004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8589.6364999999951</v>
      </c>
      <c r="AK6" s="514">
        <f>SUMIF(AK15:AK380,"FAUX",Wh)</f>
        <v>11543.864449999986</v>
      </c>
      <c r="AL6" s="514">
        <f>SUMIF(AJ15:AJ380,"FAUX",Wh_s)</f>
        <v>7968.9871318515252</v>
      </c>
      <c r="AM6" s="514">
        <f>SUMIF(AK15:AK380,"FAUX",Wh_s)</f>
        <v>10923.215081851524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3020.0998463633332</v>
      </c>
      <c r="AK7" s="514">
        <f>SUMIF(AK15:AK380,"VRAI",Wh_sa)</f>
        <v>0</v>
      </c>
      <c r="AL7" s="514">
        <f>SUMIF(AJ15:AJ380,"VRAI",Wh_pvt_s)</f>
        <v>3020.0998463633332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8805.991082706656</v>
      </c>
      <c r="AK8" s="514">
        <f>SUMIF(AK15:AK380,"FAUX",Wh_sa)</f>
        <v>12256.622295607092</v>
      </c>
      <c r="AL8" s="514">
        <f>SUMIF(AJ15:AJ380,"FAUX",Wh_pvt_s)</f>
        <v>8169.7480260273051</v>
      </c>
      <c r="AM8" s="514">
        <f>SUMIF(AK15:AK380,"FAUX",Wh_sa_s)</f>
        <v>12256.622295607092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11826.090929069984</v>
      </c>
      <c r="E9" s="184">
        <f>SUM(E$15:E$380)</f>
        <v>12256.622295607092</v>
      </c>
      <c r="F9" s="184">
        <f>SUM(F$15:F$380)</f>
        <v>12264.149573774655</v>
      </c>
      <c r="H9" s="1280">
        <f>+SUM(Wh)</f>
        <v>11548.403999999986</v>
      </c>
      <c r="I9" s="1281"/>
      <c r="J9" s="1282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10923.215081851524</v>
      </c>
      <c r="Y9" s="1275"/>
      <c r="Z9" s="514">
        <f>SUM(Wh_pvt_s)</f>
        <v>11189.847872390645</v>
      </c>
      <c r="AA9" s="514">
        <f>SUM(Wh_sa_s)</f>
        <v>12256.622295607092</v>
      </c>
      <c r="AB9" s="514">
        <f>F9</f>
        <v>12264.149573774655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3288.4033663311998</v>
      </c>
      <c r="AK9" s="514">
        <f>SUMIF(AK15:AK380,"VRAI",Wh_hp)</f>
        <v>0</v>
      </c>
      <c r="AL9" s="514">
        <f>SUMIF(AJ15:AJ380,"VRAI",Wh_sa_s)</f>
        <v>3288.4033663311998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0.01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8.4558263050890259E-2</v>
      </c>
      <c r="AD10" s="426"/>
      <c r="AE10" s="426"/>
      <c r="AF10" s="259"/>
      <c r="AG10" s="260"/>
      <c r="AH10" s="261"/>
      <c r="AI10" s="471"/>
      <c r="AJ10" s="514">
        <f>SUMIF(AJ15:AJ380,"FAUX",Wh_sa)</f>
        <v>8968.2189292758976</v>
      </c>
      <c r="AK10" s="514">
        <f>SUMIF(AK15:AK380,"FAUX",Wh_hp)</f>
        <v>12264.149573774655</v>
      </c>
      <c r="AL10" s="514">
        <f>SUMIF(AJ15:AJ380,"FAUX",Wh_sa_s)</f>
        <v>8968.2189292758976</v>
      </c>
      <c r="AM10" s="514">
        <f>SUMIF(AK15:AK380,"FAUX",Wh_hp)</f>
        <v>12264.149573774655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277.68692906999786</v>
      </c>
      <c r="E11" s="51">
        <f>(E$9-D$9)*Prod_an/D$9</f>
        <v>420.422114565426</v>
      </c>
      <c r="F11" s="186">
        <f>(F$9-E$9)*Prod_an/E$9</f>
        <v>7.0923332059072832</v>
      </c>
      <c r="G11" s="185" t="s">
        <v>6</v>
      </c>
      <c r="K11" s="194"/>
      <c r="L11" s="211">
        <f>Tvie_2022</f>
        <v>43481</v>
      </c>
      <c r="M11" s="831"/>
      <c r="N11" s="831"/>
      <c r="O11" s="202">
        <f>IF(An_Tnet,Salim_2022,'2021'!Salim)</f>
        <v>0.1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266.63279053912083</v>
      </c>
      <c r="Z11" s="51">
        <f>(AA$9-Z$9)*Prod_an_s/Z$9</f>
        <v>1041.3552178276266</v>
      </c>
      <c r="AA11" s="186">
        <f>(AB$9-AA$9)*Prod_an_s/AA$9</f>
        <v>6.7083798800494767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262.85479798704012</v>
      </c>
      <c r="AK11" s="822">
        <f>IF($AK7=0,0,($AK9-$AK7)*$AK5/$AK7)</f>
        <v>0</v>
      </c>
      <c r="AL11" s="821">
        <f>IF($AL7=0,0,($AL9-$AL7)*$AL5/$AL7)</f>
        <v>262.45150759730785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158.24206714722786</v>
      </c>
      <c r="AK12" s="822">
        <f>IF($AK8=0,0,($AK10-$AK8)*$AK6/$AK8)</f>
        <v>7.0895452880958807</v>
      </c>
      <c r="AL12" s="821">
        <f>IF($AL8=0,0,($AL10-$AL8)*$AL6/$AL8)</f>
        <v>778.84952300542739</v>
      </c>
      <c r="AM12" s="822">
        <f>IF($AM8=0,0,($AM10-$AM8)*$AM6/$AM8)</f>
        <v>6.7083798800494767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271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421.096865134268</v>
      </c>
      <c r="AK13" s="73">
        <f>+AK11+AK12</f>
        <v>7.0895452880958807</v>
      </c>
      <c r="AL13" s="73">
        <f>+AL11+AL12</f>
        <v>1041.3010306027352</v>
      </c>
      <c r="AM13" s="73">
        <f>+AM11+AM12</f>
        <v>6.7083798800494767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2022</v>
      </c>
      <c r="W14" s="826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2">
        <v>22.93</v>
      </c>
      <c r="C15" s="388"/>
      <c r="D15" s="391">
        <f t="shared" ref="D15:D78" si="0">Wh/(1-Ppv)</f>
        <v>23.410003096516338</v>
      </c>
      <c r="E15" s="398">
        <f t="shared" ref="E15:E79" si="1">Wh_pvt/(1-Psa)</f>
        <v>25.361745059477002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Wh_hp&gt;='2021'!Maxi_hp</f>
        <v>1</v>
      </c>
      <c r="I15" s="378">
        <f>IF(H15,Wh_hp,'2021'!Maxi_hp)</f>
        <v>25.454097031999808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2.0504187655907113E-2</v>
      </c>
      <c r="M15" s="832"/>
      <c r="N15" s="832"/>
      <c r="O15" s="48">
        <f>IF(t&lt;Tnet,'2021'!Resal+('2021'!Salim-'2021'!Resal)*(1-EXP(('2021'!Tnet-t)/('2021'!Tau_j))),Resal+(Salim-Resal)*(1-EXP((Tnet-t)/(Tau_j))))*Salcycl</f>
        <v>7.6956138403865532E-2</v>
      </c>
      <c r="P15" s="301">
        <f>(INDEX(Models!$BJ15:$BT15,,T15)*(1-R15)+INDEX(Models!$BJ15:$BT15,,T15+1)*R15-ERP_i)*Q15*Ramure*Pc/MaxiM</f>
        <v>3.6281771223982385E-3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22.537704513700483</v>
      </c>
      <c r="W15" s="400">
        <f t="shared" ref="W15:W78" si="10">Wh*(A15&gt;Tmaj)</f>
        <v>0</v>
      </c>
      <c r="X15" s="156">
        <f t="shared" ref="X15:X78" si="11">t</f>
        <v>44562</v>
      </c>
      <c r="Y15" s="383">
        <f t="shared" ref="Y15:Y78" si="12">Wh_pvt_s*(1-Ppv)</f>
        <v>22.93</v>
      </c>
      <c r="Z15" s="383">
        <f t="shared" ref="Z15:Z78" si="13">Wh_sa_s*(1-Psa_s)</f>
        <v>23.410003096516338</v>
      </c>
      <c r="AA15" s="384">
        <f t="shared" ref="AA15:AA78" si="14">Wh_hp*(1-Pvg_s*MEDIAN((-Sdif+Wh/Env_an)/Csdif,0,1))</f>
        <v>25.361745059477002</v>
      </c>
      <c r="AB15" s="197">
        <f t="shared" ref="AB15:AB78" si="15">t</f>
        <v>44562</v>
      </c>
      <c r="AC15" s="119">
        <f>IF(OR(t&lt;Tnet,NoTnet),'2021'!Resal_s+('2021'!Salim-'2021'!Resal_s)*(1-EXP(('2021'!Tnet_s-t)/'2021'!Tau_j)),Resal_s+(Salim-Resal_s)*(1-EXP((Tnet_s-t)/Tau_j)))*Salcycl</f>
        <v>7.6956138403865532E-2</v>
      </c>
      <c r="AD15" s="230">
        <f>(INDEX(Models!$BJ15:$BT15,,AH15)*(1-AF15)+INDEX(Models!$BJ15:$BT15,,AH15+1)*AF15-ERP_i)*AE15*Ramure*Pc/MaxiM</f>
        <v>3.6281771223982385E-3</v>
      </c>
      <c r="AE15" s="302">
        <f t="shared" ref="AE15:AE78" si="16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7">MIN(MATCH(Hp_vg_s,Echel_vg),10)</f>
        <v>5</v>
      </c>
      <c r="AI15" s="223">
        <f t="shared" ref="AI15:AI78" si="18">IF(OR(t&lt;Ttai,Notai),Hdd_s+PousH*Croivg,Hdtai_s+PousH*(Croivg-Croi_tai))</f>
        <v>-8.8649929857817749E-4</v>
      </c>
      <c r="AJ15" s="264" t="b">
        <f t="shared" ref="AJ15:AJ78" si="19">t&lt;Tnet</f>
        <v>1</v>
      </c>
      <c r="AK15" s="264" t="b">
        <f t="shared" ref="AK15:AK78" si="20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1">A15+1</f>
        <v>44563</v>
      </c>
      <c r="B16" s="1153">
        <v>15.814</v>
      </c>
      <c r="C16" s="388"/>
      <c r="D16" s="391">
        <f t="shared" si="0"/>
        <v>16.145350371294043</v>
      </c>
      <c r="E16" s="383">
        <f t="shared" si="1"/>
        <v>17.492629426138095</v>
      </c>
      <c r="F16" s="383">
        <f t="shared" si="2"/>
        <v>17.527788053234588</v>
      </c>
      <c r="G16" s="110">
        <f t="shared" ref="G16:G79" si="22">+Wh_hp/MaxiM</f>
        <v>0.69624884661171682</v>
      </c>
      <c r="H16" s="412" t="b">
        <f>Wh_hp&gt;='2021'!Maxi_hp</f>
        <v>0</v>
      </c>
      <c r="I16" s="379">
        <f>IF(H16,Wh_hp,'2021'!Maxi_hp)</f>
        <v>24.084283353934023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2.0522959469691848E-2</v>
      </c>
      <c r="M16" s="832"/>
      <c r="N16" s="832"/>
      <c r="O16" s="48">
        <f>IF(t&lt;Tnet,'2021'!Resal+('2021'!Salim-'2021'!Resal)*(1-EXP(('2021'!Tnet-t)/('2021'!Tau_j))),Resal+(Salim-Resal)*(1-EXP((Tnet-t)/(Tau_j))))*Salcycl</f>
        <v>7.7019813432444809E-2</v>
      </c>
      <c r="P16" s="169">
        <f>(INDEX(Models!$BJ16:$BT16,,T16)*(1-R16)+INDEX(Models!$BJ16:$BT16,,T16+1)*R16-ERP_i)*Q16*Ramure*Pc/MaxiM</f>
        <v>3.5339968442442871E-3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22.678365436537334</v>
      </c>
      <c r="W16" s="400">
        <f t="shared" si="10"/>
        <v>0</v>
      </c>
      <c r="X16" s="157">
        <f t="shared" si="11"/>
        <v>44563</v>
      </c>
      <c r="Y16" s="383">
        <f t="shared" si="12"/>
        <v>15.814000000000002</v>
      </c>
      <c r="Z16" s="383">
        <f t="shared" si="13"/>
        <v>16.145350371294043</v>
      </c>
      <c r="AA16" s="384">
        <f t="shared" si="14"/>
        <v>17.492629426138095</v>
      </c>
      <c r="AB16" s="197">
        <f t="shared" si="15"/>
        <v>44563</v>
      </c>
      <c r="AC16" s="119">
        <f>IF(OR(t&lt;Tnet,NoTnet),'2021'!Resal_s+('2021'!Salim-'2021'!Resal_s)*(1-EXP(('2021'!Tnet_s-t)/'2021'!Tau_j)),Resal_s+(Salim-Resal_s)*(1-EXP((Tnet_s-t)/Tau_j)))*Salcycl</f>
        <v>7.7019813432444809E-2</v>
      </c>
      <c r="AD16" s="230">
        <f>(INDEX(Models!$BJ16:$BT16,,AH16)*(1-AF16)+INDEX(Models!$BJ16:$BT16,,AH16+1)*AF16-ERP_i)*AE16*Ramure*Pc/MaxiM</f>
        <v>3.5339968442442871E-3</v>
      </c>
      <c r="AE16" s="304">
        <f t="shared" si="16"/>
        <v>0.6</v>
      </c>
      <c r="AF16" s="177">
        <f t="shared" ref="AF16:AF78" si="23">(Hp_vg_s-AG16)/(INDEX(Echel_vg,AH16+1)-AG16)</f>
        <v>0.9991427153154161</v>
      </c>
      <c r="AG16" s="799">
        <f t="shared" ref="AG16:AG79" si="24">INDEX(Echel_vg,AH16)</f>
        <v>-1</v>
      </c>
      <c r="AH16" s="176">
        <f t="shared" si="17"/>
        <v>5</v>
      </c>
      <c r="AI16" s="224">
        <f t="shared" si="18"/>
        <v>-8.5728468458393862E-4</v>
      </c>
      <c r="AJ16" s="264" t="b">
        <f t="shared" si="19"/>
        <v>1</v>
      </c>
      <c r="AK16" s="264" t="b">
        <f t="shared" si="20"/>
        <v>0</v>
      </c>
      <c r="AL16" s="264"/>
      <c r="AM16" s="264"/>
      <c r="AN16" s="75"/>
    </row>
    <row r="17" spans="1:40" s="6" customFormat="1" ht="11.25" x14ac:dyDescent="0.2">
      <c r="A17" s="56">
        <f t="shared" si="21"/>
        <v>44564</v>
      </c>
      <c r="B17" s="1153">
        <v>17.074999999999999</v>
      </c>
      <c r="C17" s="388"/>
      <c r="D17" s="391">
        <f t="shared" si="0"/>
        <v>17.43310617623688</v>
      </c>
      <c r="E17" s="383">
        <f t="shared" si="1"/>
        <v>18.889149757949536</v>
      </c>
      <c r="F17" s="383">
        <f t="shared" si="2"/>
        <v>18.930844479535686</v>
      </c>
      <c r="G17" s="110">
        <f t="shared" si="22"/>
        <v>0.74705305299308977</v>
      </c>
      <c r="H17" s="412" t="b">
        <f>Wh_hp&gt;='2021'!Maxi_hp</f>
        <v>0</v>
      </c>
      <c r="I17" s="379">
        <f>IF(H17,Wh_hp,'2021'!Maxi_hp)</f>
        <v>25.872417420672249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2.0541730923718915E-2</v>
      </c>
      <c r="M17" s="832"/>
      <c r="N17" s="832"/>
      <c r="O17" s="48">
        <f>IF(t&lt;Tnet,'2021'!Resal+('2021'!Salim-'2021'!Resal)*(1-EXP(('2021'!Tnet-t)/('2021'!Tau_j))),Resal+(Salim-Resal)*(1-EXP((Tnet-t)/(Tau_j))))*Salcycl</f>
        <v>7.7083595628748558E-2</v>
      </c>
      <c r="P17" s="169">
        <f>(INDEX(Models!$BJ17:$BT17,,T17)*(1-R17)+INDEX(Models!$BJ17:$BT17,,T17+1)*R17-ERP_i)*Q17*Ramure*Pc/MaxiM</f>
        <v>3.4415072622136973E-3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22.828093353293426</v>
      </c>
      <c r="W17" s="400">
        <f t="shared" si="10"/>
        <v>0</v>
      </c>
      <c r="X17" s="157">
        <f t="shared" si="11"/>
        <v>44564</v>
      </c>
      <c r="Y17" s="383">
        <f t="shared" si="12"/>
        <v>17.074999999999999</v>
      </c>
      <c r="Z17" s="383">
        <f t="shared" si="13"/>
        <v>17.43310617623688</v>
      </c>
      <c r="AA17" s="384">
        <f t="shared" si="14"/>
        <v>18.889149757949536</v>
      </c>
      <c r="AB17" s="197">
        <f t="shared" si="15"/>
        <v>44564</v>
      </c>
      <c r="AC17" s="119">
        <f>IF(OR(t&lt;Tnet,NoTnet),'2021'!Resal_s+('2021'!Salim-'2021'!Resal_s)*(1-EXP(('2021'!Tnet_s-t)/'2021'!Tau_j)),Resal_s+(Salim-Resal_s)*(1-EXP((Tnet_s-t)/Tau_j)))*Salcycl</f>
        <v>7.7083595628748558E-2</v>
      </c>
      <c r="AD17" s="230">
        <f>(INDEX(Models!$BJ17:$BT17,,AH17)*(1-AF17)+INDEX(Models!$BJ17:$BT17,,AH17+1)*AF17-ERP_i)*AE17*Ramure*Pc/MaxiM</f>
        <v>3.4415072622136973E-3</v>
      </c>
      <c r="AE17" s="304">
        <f t="shared" si="16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7"/>
        <v>5</v>
      </c>
      <c r="AI17" s="224">
        <f t="shared" si="18"/>
        <v>-8.2684808909435606E-4</v>
      </c>
      <c r="AJ17" s="264" t="b">
        <f t="shared" si="19"/>
        <v>1</v>
      </c>
      <c r="AK17" s="264" t="b">
        <f t="shared" si="20"/>
        <v>0</v>
      </c>
      <c r="AL17" s="264"/>
      <c r="AM17" s="264"/>
      <c r="AN17" s="75"/>
    </row>
    <row r="18" spans="1:40" s="6" customFormat="1" ht="11.25" x14ac:dyDescent="0.2">
      <c r="A18" s="56">
        <f t="shared" si="21"/>
        <v>44565</v>
      </c>
      <c r="B18" s="1153">
        <v>18.144000000000002</v>
      </c>
      <c r="C18" s="388"/>
      <c r="D18" s="391">
        <f t="shared" si="0"/>
        <v>18.524880850101642</v>
      </c>
      <c r="E18" s="383">
        <f t="shared" si="1"/>
        <v>20.073500582959333</v>
      </c>
      <c r="F18" s="383">
        <f t="shared" si="2"/>
        <v>20.120630976461818</v>
      </c>
      <c r="G18" s="110">
        <f t="shared" si="22"/>
        <v>0.78853768771935029</v>
      </c>
      <c r="H18" s="412" t="b">
        <f>Wh_hp&gt;='2021'!Maxi_hp</f>
        <v>0</v>
      </c>
      <c r="I18" s="379">
        <f>IF(H18,Wh_hp,'2021'!Maxi_hp)</f>
        <v>21.824345162432092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2.0560502017995419E-2</v>
      </c>
      <c r="M18" s="832"/>
      <c r="N18" s="832"/>
      <c r="O18" s="48">
        <f>IF(t&lt;Tnet,'2021'!Resal+('2021'!Salim-'2021'!Resal)*(1-EXP(('2021'!Tnet-t)/('2021'!Tau_j))),Resal+(Salim-Resal)*(1-EXP((Tnet-t)/(Tau_j))))*Salcycl</f>
        <v>7.7147467451309223E-2</v>
      </c>
      <c r="P18" s="169">
        <f>(INDEX(Models!$BJ18:$BT18,,T18)*(1-R18)+INDEX(Models!$BJ18:$BT18,,T18+1)*R18-ERP_i)*Q18*Ramure*Pc/MaxiM</f>
        <v>3.3508172915523524E-3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22.986422138497854</v>
      </c>
      <c r="W18" s="400">
        <f t="shared" si="10"/>
        <v>0</v>
      </c>
      <c r="X18" s="157">
        <f t="shared" si="11"/>
        <v>44565</v>
      </c>
      <c r="Y18" s="383">
        <f t="shared" si="12"/>
        <v>18.144000000000002</v>
      </c>
      <c r="Z18" s="383">
        <f>Wh_sa_s*(1-Psa_s)</f>
        <v>18.524880850101642</v>
      </c>
      <c r="AA18" s="384">
        <f t="shared" si="14"/>
        <v>20.073500582959333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7.7147467451309223E-2</v>
      </c>
      <c r="AD18" s="230">
        <f>(INDEX(Models!$BJ18:$BT18,,AH18)*(1-AF18)+INDEX(Models!$BJ18:$BT18,,AH18+1)*AF18-ERP_i)*AE18*Ramure*Pc/MaxiM</f>
        <v>3.3508172915523524E-3</v>
      </c>
      <c r="AE18" s="304">
        <f t="shared" si="16"/>
        <v>0.6</v>
      </c>
      <c r="AF18" s="177">
        <f t="shared" si="23"/>
        <v>0.99920486144220078</v>
      </c>
      <c r="AG18" s="799">
        <f t="shared" si="24"/>
        <v>-1</v>
      </c>
      <c r="AH18" s="176">
        <f t="shared" si="17"/>
        <v>5</v>
      </c>
      <c r="AI18" s="224">
        <f t="shared" si="18"/>
        <v>-7.9513855779923641E-4</v>
      </c>
      <c r="AJ18" s="264" t="b">
        <f t="shared" si="19"/>
        <v>1</v>
      </c>
      <c r="AK18" s="264" t="b">
        <f t="shared" si="20"/>
        <v>0</v>
      </c>
      <c r="AL18" s="264"/>
      <c r="AM18" s="264"/>
      <c r="AN18" s="75"/>
    </row>
    <row r="19" spans="1:40" s="6" customFormat="1" ht="11.25" x14ac:dyDescent="0.2">
      <c r="A19" s="56">
        <f t="shared" si="21"/>
        <v>44566</v>
      </c>
      <c r="B19" s="1153">
        <v>14.348000000000001</v>
      </c>
      <c r="C19" s="388"/>
      <c r="D19" s="391">
        <f t="shared" si="0"/>
        <v>14.649475553088504</v>
      </c>
      <c r="E19" s="383">
        <f t="shared" si="1"/>
        <v>15.875224043091029</v>
      </c>
      <c r="F19" s="383">
        <f t="shared" si="2"/>
        <v>15.89891096179743</v>
      </c>
      <c r="G19" s="110">
        <f t="shared" si="22"/>
        <v>0.6186068989353618</v>
      </c>
      <c r="H19" s="412" t="b">
        <f>Wh_hp&gt;='2021'!Maxi_hp</f>
        <v>1</v>
      </c>
      <c r="I19" s="379">
        <f>IF(H19,Wh_hp,'2021'!Maxi_hp)</f>
        <v>15.89891096179743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2.0579272752528244E-2</v>
      </c>
      <c r="M19" s="832"/>
      <c r="N19" s="832"/>
      <c r="O19" s="48">
        <f>IF(t&lt;Tnet,'2021'!Resal+('2021'!Salim-'2021'!Resal)*(1-EXP(('2021'!Tnet-t)/('2021'!Tau_j))),Resal+(Salim-Resal)*(1-EXP((Tnet-t)/(Tau_j))))*Salcycl</f>
        <v>7.7211413626378192E-2</v>
      </c>
      <c r="P19" s="169">
        <f>(INDEX(Models!$BJ19:$BT19,,T19)*(1-R19)+INDEX(Models!$BJ19:$BT19,,T19+1)*R19-ERP_i)*Q19*Ramure*Pc/MaxiM</f>
        <v>3.2620258611420986E-3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23.152885684938369</v>
      </c>
      <c r="W19" s="400">
        <f t="shared" si="10"/>
        <v>0</v>
      </c>
      <c r="X19" s="157">
        <f t="shared" si="11"/>
        <v>44566</v>
      </c>
      <c r="Y19" s="383">
        <f t="shared" si="12"/>
        <v>14.348000000000001</v>
      </c>
      <c r="Z19" s="383">
        <f t="shared" si="13"/>
        <v>14.649475553088504</v>
      </c>
      <c r="AA19" s="384">
        <f t="shared" si="14"/>
        <v>15.875224043091029</v>
      </c>
      <c r="AB19" s="197">
        <f t="shared" si="15"/>
        <v>44566</v>
      </c>
      <c r="AC19" s="119">
        <f>IF(OR(t&lt;Tnet,NoTnet),'2021'!Resal_s+('2021'!Salim-'2021'!Resal_s)*(1-EXP(('2021'!Tnet_s-t)/'2021'!Tau_j)),Resal_s+(Salim-Resal_s)*(1-EXP((Tnet_s-t)/Tau_j)))*Salcycl</f>
        <v>7.7211413626378192E-2</v>
      </c>
      <c r="AD19" s="230">
        <f>(INDEX(Models!$BJ19:$BT19,,AH19)*(1-AF19)+INDEX(Models!$BJ19:$BT19,,AH19+1)*AF19-ERP_i)*AE19*Ramure*Pc/MaxiM</f>
        <v>3.2620258611420986E-3</v>
      </c>
      <c r="AE19" s="304">
        <f t="shared" si="16"/>
        <v>0.6</v>
      </c>
      <c r="AF19" s="177">
        <f t="shared" si="23"/>
        <v>0.9992378969747624</v>
      </c>
      <c r="AG19" s="799">
        <f t="shared" si="24"/>
        <v>-1</v>
      </c>
      <c r="AH19" s="176">
        <f t="shared" si="17"/>
        <v>5</v>
      </c>
      <c r="AI19" s="224">
        <f t="shared" si="18"/>
        <v>-7.6210302523756961E-4</v>
      </c>
      <c r="AJ19" s="264" t="b">
        <f t="shared" si="19"/>
        <v>1</v>
      </c>
      <c r="AK19" s="264" t="b">
        <f t="shared" si="20"/>
        <v>0</v>
      </c>
      <c r="AL19" s="264"/>
      <c r="AM19" s="264"/>
      <c r="AN19" s="75"/>
    </row>
    <row r="20" spans="1:40" s="6" customFormat="1" ht="11.25" x14ac:dyDescent="0.2">
      <c r="A20" s="56">
        <f t="shared" si="21"/>
        <v>44567</v>
      </c>
      <c r="B20" s="1153">
        <v>20.589000000000002</v>
      </c>
      <c r="C20" s="388"/>
      <c r="D20" s="391">
        <f t="shared" si="0"/>
        <v>21.022012316314591</v>
      </c>
      <c r="E20" s="383">
        <f t="shared" si="1"/>
        <v>22.782542913267427</v>
      </c>
      <c r="F20" s="383">
        <f t="shared" si="2"/>
        <v>22.842912240368953</v>
      </c>
      <c r="G20" s="110">
        <f t="shared" si="22"/>
        <v>0.88215343572801219</v>
      </c>
      <c r="H20" s="412" t="b">
        <f>Wh_hp&gt;='2021'!Maxi_hp</f>
        <v>0</v>
      </c>
      <c r="I20" s="379">
        <f>IF(H20,Wh_hp,'2021'!Maxi_hp)</f>
        <v>25.97684931198668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2.0598043127324162E-2</v>
      </c>
      <c r="M20" s="832"/>
      <c r="N20" s="832"/>
      <c r="O20" s="48">
        <f>IF(t&lt;Tnet,'2021'!Resal+('2021'!Salim-'2021'!Resal)*(1-EXP(('2021'!Tnet-t)/('2021'!Tau_j))),Resal+(Salim-Resal)*(1-EXP((Tnet-t)/(Tau_j))))*Salcycl</f>
        <v>7.7275421082498727E-2</v>
      </c>
      <c r="P20" s="169">
        <f>(INDEX(Models!$BJ20:$BT20,,T20)*(1-R20)+INDEX(Models!$BJ20:$BT20,,T20+1)*R20-ERP_i)*Q20*Ramure*Pc/MaxiM</f>
        <v>3.1752218989081014E-3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23.327017904015925</v>
      </c>
      <c r="W20" s="400">
        <f t="shared" si="10"/>
        <v>0</v>
      </c>
      <c r="X20" s="157">
        <f t="shared" si="11"/>
        <v>44567</v>
      </c>
      <c r="Y20" s="383">
        <f t="shared" si="12"/>
        <v>20.589000000000002</v>
      </c>
      <c r="Z20" s="383">
        <f t="shared" si="13"/>
        <v>21.022012316314591</v>
      </c>
      <c r="AA20" s="384">
        <f t="shared" si="14"/>
        <v>22.782542913267427</v>
      </c>
      <c r="AB20" s="197">
        <f t="shared" si="15"/>
        <v>44567</v>
      </c>
      <c r="AC20" s="119">
        <f>IF(OR(t&lt;Tnet,NoTnet),'2021'!Resal_s+('2021'!Salim-'2021'!Resal_s)*(1-EXP(('2021'!Tnet_s-t)/'2021'!Tau_j)),Resal_s+(Salim-Resal_s)*(1-EXP((Tnet_s-t)/Tau_j)))*Salcycl</f>
        <v>7.7275421082498727E-2</v>
      </c>
      <c r="AD20" s="230">
        <f>(INDEX(Models!$BJ20:$BT20,,AH20)*(1-AF20)+INDEX(Models!$BJ20:$BT20,,AH20+1)*AF20-ERP_i)*AE20*Ramure*Pc/MaxiM</f>
        <v>3.1752218989081014E-3</v>
      </c>
      <c r="AE20" s="304">
        <f t="shared" si="16"/>
        <v>0.6</v>
      </c>
      <c r="AF20" s="177">
        <f t="shared" si="23"/>
        <v>0.99927231377151315</v>
      </c>
      <c r="AG20" s="799">
        <f t="shared" si="24"/>
        <v>-1</v>
      </c>
      <c r="AH20" s="176">
        <f t="shared" si="17"/>
        <v>5</v>
      </c>
      <c r="AI20" s="224">
        <f t="shared" si="18"/>
        <v>-7.2768622848685808E-4</v>
      </c>
      <c r="AJ20" s="264" t="b">
        <f t="shared" si="19"/>
        <v>1</v>
      </c>
      <c r="AK20" s="264" t="b">
        <f t="shared" si="20"/>
        <v>0</v>
      </c>
      <c r="AL20" s="264"/>
      <c r="AM20" s="264"/>
      <c r="AN20" s="75"/>
    </row>
    <row r="21" spans="1:40" s="6" customFormat="1" ht="11.25" x14ac:dyDescent="0.2">
      <c r="A21" s="56">
        <f t="shared" si="21"/>
        <v>44568</v>
      </c>
      <c r="B21" s="1153">
        <v>10.096</v>
      </c>
      <c r="C21" s="388"/>
      <c r="D21" s="391">
        <f t="shared" si="0"/>
        <v>10.308529016506215</v>
      </c>
      <c r="E21" s="383">
        <f t="shared" si="1"/>
        <v>11.17261309051662</v>
      </c>
      <c r="F21" s="383">
        <f t="shared" si="2"/>
        <v>11.179002810984537</v>
      </c>
      <c r="G21" s="110">
        <f t="shared" si="22"/>
        <v>0.42838197685005025</v>
      </c>
      <c r="H21" s="412" t="b">
        <f>Wh_hp&gt;='2021'!Maxi_hp</f>
        <v>0</v>
      </c>
      <c r="I21" s="379">
        <f>IF(H21,Wh_hp,'2021'!Maxi_hp)</f>
        <v>15.082360291680677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2.0616813142390167E-2</v>
      </c>
      <c r="M21" s="832"/>
      <c r="N21" s="832"/>
      <c r="O21" s="48">
        <f>IF(t&lt;Tnet,'2021'!Resal+('2021'!Salim-'2021'!Resal)*(1-EXP(('2021'!Tnet-t)/('2021'!Tau_j))),Resal+(Salim-Resal)*(1-EXP((Tnet-t)/(Tau_j))))*Salcycl</f>
        <v>7.7339478867646763E-2</v>
      </c>
      <c r="P21" s="169">
        <f>(INDEX(Models!$BJ21:$BT21,,T21)*(1-R21)+INDEX(Models!$BJ21:$BT21,,T21+1)*R21-ERP_i)*Q21*Ramure*Pc/MaxiM</f>
        <v>3.0904844131280991E-3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23.508352742765339</v>
      </c>
      <c r="W21" s="400">
        <f t="shared" si="10"/>
        <v>0</v>
      </c>
      <c r="X21" s="157">
        <f t="shared" si="11"/>
        <v>44568</v>
      </c>
      <c r="Y21" s="383">
        <f t="shared" si="12"/>
        <v>10.096</v>
      </c>
      <c r="Z21" s="383">
        <f t="shared" si="13"/>
        <v>10.308529016506215</v>
      </c>
      <c r="AA21" s="384">
        <f t="shared" si="14"/>
        <v>11.17261309051662</v>
      </c>
      <c r="AB21" s="197">
        <f t="shared" si="15"/>
        <v>44568</v>
      </c>
      <c r="AC21" s="119">
        <f>IF(OR(t&lt;Tnet,NoTnet),'2021'!Resal_s+('2021'!Salim-'2021'!Resal_s)*(1-EXP(('2021'!Tnet_s-t)/'2021'!Tau_j)),Resal_s+(Salim-Resal_s)*(1-EXP((Tnet_s-t)/Tau_j)))*Salcycl</f>
        <v>7.7339478867646763E-2</v>
      </c>
      <c r="AD21" s="230">
        <f>(INDEX(Models!$BJ21:$BT21,,AH21)*(1-AF21)+INDEX(Models!$BJ21:$BT21,,AH21+1)*AF21-ERP_i)*AE21*Ramure*Pc/MaxiM</f>
        <v>3.0904844131280991E-3</v>
      </c>
      <c r="AE21" s="304">
        <f t="shared" si="16"/>
        <v>0.6</v>
      </c>
      <c r="AF21" s="177">
        <f t="shared" si="23"/>
        <v>0.99930816938257627</v>
      </c>
      <c r="AG21" s="799">
        <f t="shared" si="24"/>
        <v>-1</v>
      </c>
      <c r="AH21" s="176">
        <f t="shared" si="17"/>
        <v>5</v>
      </c>
      <c r="AI21" s="224">
        <f t="shared" si="18"/>
        <v>-6.918306174236743E-4</v>
      </c>
      <c r="AJ21" s="264" t="b">
        <f t="shared" si="19"/>
        <v>1</v>
      </c>
      <c r="AK21" s="264" t="b">
        <f t="shared" si="20"/>
        <v>0</v>
      </c>
      <c r="AL21" s="264"/>
      <c r="AM21" s="264"/>
      <c r="AN21" s="75"/>
    </row>
    <row r="22" spans="1:40" s="6" customFormat="1" ht="11.25" x14ac:dyDescent="0.2">
      <c r="A22" s="56">
        <f t="shared" si="21"/>
        <v>44569</v>
      </c>
      <c r="B22" s="1153">
        <v>7.1850000000000005</v>
      </c>
      <c r="C22" s="388"/>
      <c r="D22" s="391">
        <f t="shared" si="0"/>
        <v>7.3363906976784632</v>
      </c>
      <c r="E22" s="383">
        <f t="shared" si="1"/>
        <v>7.9518958920031393</v>
      </c>
      <c r="F22" s="383">
        <f t="shared" si="2"/>
        <v>7.9520055867372204</v>
      </c>
      <c r="G22" s="110">
        <f t="shared" si="22"/>
        <v>0.30230245380880449</v>
      </c>
      <c r="H22" s="412" t="b">
        <f>Wh_hp&gt;='2021'!Maxi_hp</f>
        <v>0</v>
      </c>
      <c r="I22" s="379">
        <f>IF(H22,Wh_hp,'2021'!Maxi_hp)</f>
        <v>20.347217475948305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2.0635582797733032E-2</v>
      </c>
      <c r="M22" s="832"/>
      <c r="N22" s="832"/>
      <c r="O22" s="48">
        <f>IF(t&lt;Tnet,'2021'!Resal+('2021'!Salim-'2021'!Resal)*(1-EXP(('2021'!Tnet-t)/('2021'!Tau_j))),Resal+(Salim-Resal)*(1-EXP((Tnet-t)/(Tau_j))))*Salcycl</f>
        <v>7.7403578050319083E-2</v>
      </c>
      <c r="P22" s="169">
        <f>(INDEX(Models!$BJ22:$BT22,,T22)*(1-R22)+INDEX(Models!$BJ22:$BT22,,T22+1)*R22-ERP_i)*Q22*Ramure*Pc/MaxiM</f>
        <v>3.0078826627892821E-3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23.696424194547891</v>
      </c>
      <c r="W22" s="400">
        <f t="shared" si="10"/>
        <v>0</v>
      </c>
      <c r="X22" s="157">
        <f t="shared" si="11"/>
        <v>44569</v>
      </c>
      <c r="Y22" s="383">
        <f t="shared" si="12"/>
        <v>7.1850000000000005</v>
      </c>
      <c r="Z22" s="383">
        <f t="shared" si="13"/>
        <v>7.3363906976784632</v>
      </c>
      <c r="AA22" s="384">
        <f t="shared" si="14"/>
        <v>7.9518958920031393</v>
      </c>
      <c r="AB22" s="197">
        <f t="shared" si="15"/>
        <v>44569</v>
      </c>
      <c r="AC22" s="119">
        <f>IF(OR(t&lt;Tnet,NoTnet),'2021'!Resal_s+('2021'!Salim-'2021'!Resal_s)*(1-EXP(('2021'!Tnet_s-t)/'2021'!Tau_j)),Resal_s+(Salim-Resal_s)*(1-EXP((Tnet_s-t)/Tau_j)))*Salcycl</f>
        <v>7.7403578050319083E-2</v>
      </c>
      <c r="AD22" s="230">
        <f>(INDEX(Models!$BJ22:$BT22,,AH22)*(1-AF22)+INDEX(Models!$BJ22:$BT22,,AH22+1)*AF22-ERP_i)*AE22*Ramure*Pc/MaxiM</f>
        <v>3.0078826627892821E-3</v>
      </c>
      <c r="AE22" s="304">
        <f t="shared" si="16"/>
        <v>0.6</v>
      </c>
      <c r="AF22" s="177">
        <f t="shared" si="23"/>
        <v>0.99934552373857344</v>
      </c>
      <c r="AG22" s="799">
        <f t="shared" si="24"/>
        <v>-1</v>
      </c>
      <c r="AH22" s="176">
        <f t="shared" si="17"/>
        <v>5</v>
      </c>
      <c r="AI22" s="224">
        <f t="shared" si="18"/>
        <v>-6.5447626142652168E-4</v>
      </c>
      <c r="AJ22" s="264" t="b">
        <f t="shared" si="19"/>
        <v>1</v>
      </c>
      <c r="AK22" s="264" t="b">
        <f t="shared" si="20"/>
        <v>0</v>
      </c>
      <c r="AL22" s="264"/>
      <c r="AM22" s="264"/>
      <c r="AN22" s="75"/>
    </row>
    <row r="23" spans="1:40" s="6" customFormat="1" ht="11.25" x14ac:dyDescent="0.2">
      <c r="A23" s="56">
        <f t="shared" si="21"/>
        <v>44570</v>
      </c>
      <c r="B23" s="1153">
        <v>2.145</v>
      </c>
      <c r="C23" s="388"/>
      <c r="D23" s="391">
        <f t="shared" si="0"/>
        <v>2.1902379456986978</v>
      </c>
      <c r="E23" s="383">
        <f t="shared" si="1"/>
        <v>2.3741585777032861</v>
      </c>
      <c r="F23" s="383">
        <f t="shared" si="2"/>
        <v>2.3741585777032861</v>
      </c>
      <c r="G23" s="110">
        <f t="shared" si="22"/>
        <v>8.9509967067670795E-2</v>
      </c>
      <c r="H23" s="412" t="b">
        <f>Wh_hp&gt;='2021'!Maxi_hp</f>
        <v>0</v>
      </c>
      <c r="I23" s="379">
        <f>IF(H23,Wh_hp,'2021'!Maxi_hp)</f>
        <v>25.649292652260151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2.0654352093359751E-2</v>
      </c>
      <c r="M23" s="832"/>
      <c r="N23" s="832"/>
      <c r="O23" s="48">
        <f>IF(t&lt;Tnet,'2021'!Resal+('2021'!Salim-'2021'!Resal)*(1-EXP(('2021'!Tnet-t)/('2021'!Tau_j))),Resal+(Salim-Resal)*(1-EXP((Tnet-t)/(Tau_j))))*Salcycl</f>
        <v>7.7467711606066969E-2</v>
      </c>
      <c r="P23" s="169">
        <f>(INDEX(Models!$BJ23:$BT23,,T23)*(1-R23)+INDEX(Models!$BJ23:$BT23,,T23+1)*R23-ERP_i)*Q23*Ramure*Pc/MaxiM</f>
        <v>2.9271220819823804E-3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23.893666741238373</v>
      </c>
      <c r="W23" s="400">
        <f t="shared" si="10"/>
        <v>0</v>
      </c>
      <c r="X23" s="157">
        <f t="shared" si="11"/>
        <v>44570</v>
      </c>
      <c r="Y23" s="383">
        <f t="shared" si="12"/>
        <v>2.145</v>
      </c>
      <c r="Z23" s="383">
        <f t="shared" si="13"/>
        <v>2.1902379456986978</v>
      </c>
      <c r="AA23" s="384">
        <f t="shared" si="14"/>
        <v>2.3741585777032861</v>
      </c>
      <c r="AB23" s="197">
        <f t="shared" si="15"/>
        <v>44570</v>
      </c>
      <c r="AC23" s="119">
        <f>IF(OR(t&lt;Tnet,NoTnet),'2021'!Resal_s+('2021'!Salim-'2021'!Resal_s)*(1-EXP(('2021'!Tnet_s-t)/'2021'!Tau_j)),Resal_s+(Salim-Resal_s)*(1-EXP((Tnet_s-t)/Tau_j)))*Salcycl</f>
        <v>7.7467711606066969E-2</v>
      </c>
      <c r="AD23" s="230">
        <f>(INDEX(Models!$BJ23:$BT23,,AH23)*(1-AF23)+INDEX(Models!$BJ23:$BT23,,AH23+1)*AF23-ERP_i)*AE23*Ramure*Pc/MaxiM</f>
        <v>2.9271220819823804E-3</v>
      </c>
      <c r="AE23" s="304">
        <f t="shared" si="16"/>
        <v>0.6</v>
      </c>
      <c r="AF23" s="177">
        <f t="shared" si="23"/>
        <v>0.99938443924760856</v>
      </c>
      <c r="AG23" s="799">
        <f t="shared" si="24"/>
        <v>-1</v>
      </c>
      <c r="AH23" s="176">
        <f t="shared" si="17"/>
        <v>5</v>
      </c>
      <c r="AI23" s="224">
        <f t="shared" si="18"/>
        <v>-6.1556075239140506E-4</v>
      </c>
      <c r="AJ23" s="264" t="b">
        <f t="shared" si="19"/>
        <v>1</v>
      </c>
      <c r="AK23" s="264" t="b">
        <f t="shared" si="20"/>
        <v>0</v>
      </c>
      <c r="AL23" s="264"/>
      <c r="AM23" s="264"/>
      <c r="AN23" s="75"/>
    </row>
    <row r="24" spans="1:40" s="6" customFormat="1" ht="11.25" x14ac:dyDescent="0.2">
      <c r="A24" s="56">
        <f t="shared" si="21"/>
        <v>44571</v>
      </c>
      <c r="B24" s="1153">
        <v>1.7590000000000001</v>
      </c>
      <c r="C24" s="388"/>
      <c r="D24" s="391">
        <f t="shared" si="0"/>
        <v>1.7961316469213198</v>
      </c>
      <c r="E24" s="383">
        <f t="shared" si="1"/>
        <v>1.9470934516474292</v>
      </c>
      <c r="F24" s="383">
        <f t="shared" si="2"/>
        <v>1.9470934516474292</v>
      </c>
      <c r="G24" s="110">
        <f t="shared" si="22"/>
        <v>7.2772702206217454E-2</v>
      </c>
      <c r="H24" s="412" t="b">
        <f>Wh_hp&gt;='2021'!Maxi_hp</f>
        <v>0</v>
      </c>
      <c r="I24" s="379">
        <f>IF(H24,Wh_hp,'2021'!Maxi_hp)</f>
        <v>9.0351524420219071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2.0673121029277319E-2</v>
      </c>
      <c r="M24" s="832"/>
      <c r="N24" s="832"/>
      <c r="O24" s="48">
        <f>IF(t&lt;Tnet,'2021'!Resal+('2021'!Salim-'2021'!Resal)*(1-EXP(('2021'!Tnet-t)/('2021'!Tau_j))),Resal+(Salim-Resal)*(1-EXP((Tnet-t)/(Tau_j))))*Salcycl</f>
        <v>7.7531874291077912E-2</v>
      </c>
      <c r="P24" s="169">
        <f>(INDEX(Models!$BJ24:$BT24,,T24)*(1-R24)+INDEX(Models!$BJ24:$BT24,,T24+1)*R24-ERP_i)*Q24*Ramure*Pc/MaxiM</f>
        <v>2.8506074235134225E-3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24.102248897831711</v>
      </c>
      <c r="W24" s="400">
        <f t="shared" si="10"/>
        <v>0</v>
      </c>
      <c r="X24" s="157">
        <f t="shared" si="11"/>
        <v>44571</v>
      </c>
      <c r="Y24" s="383">
        <f t="shared" si="12"/>
        <v>1.7590000000000001</v>
      </c>
      <c r="Z24" s="383">
        <f t="shared" si="13"/>
        <v>1.7961316469213198</v>
      </c>
      <c r="AA24" s="384">
        <f t="shared" si="14"/>
        <v>1.9470934516474292</v>
      </c>
      <c r="AB24" s="197">
        <f t="shared" si="15"/>
        <v>44571</v>
      </c>
      <c r="AC24" s="119">
        <f>IF(OR(t&lt;Tnet,NoTnet),'2021'!Resal_s+('2021'!Salim-'2021'!Resal_s)*(1-EXP(('2021'!Tnet_s-t)/'2021'!Tau_j)),Resal_s+(Salim-Resal_s)*(1-EXP((Tnet_s-t)/Tau_j)))*Salcycl</f>
        <v>7.7531874291077912E-2</v>
      </c>
      <c r="AD24" s="230">
        <f>(INDEX(Models!$BJ24:$BT24,,AH24)*(1-AF24)+INDEX(Models!$BJ24:$BT24,,AH24+1)*AF24-ERP_i)*AE24*Ramure*Pc/MaxiM</f>
        <v>2.8506074235134225E-3</v>
      </c>
      <c r="AE24" s="304">
        <f t="shared" si="16"/>
        <v>0.6</v>
      </c>
      <c r="AF24" s="177">
        <f t="shared" si="23"/>
        <v>0.99942498089607812</v>
      </c>
      <c r="AG24" s="799">
        <f t="shared" si="24"/>
        <v>-1</v>
      </c>
      <c r="AH24" s="176">
        <f t="shared" si="17"/>
        <v>5</v>
      </c>
      <c r="AI24" s="224">
        <f t="shared" si="18"/>
        <v>-5.7501910392184722E-4</v>
      </c>
      <c r="AJ24" s="264" t="b">
        <f t="shared" si="19"/>
        <v>1</v>
      </c>
      <c r="AK24" s="264" t="b">
        <f t="shared" si="20"/>
        <v>0</v>
      </c>
      <c r="AL24" s="264"/>
      <c r="AM24" s="264"/>
      <c r="AN24" s="75"/>
    </row>
    <row r="25" spans="1:40" s="6" customFormat="1" ht="11.25" x14ac:dyDescent="0.2">
      <c r="A25" s="56">
        <f t="shared" si="21"/>
        <v>44572</v>
      </c>
      <c r="B25" s="1153">
        <v>24.657</v>
      </c>
      <c r="C25" s="388"/>
      <c r="D25" s="391">
        <f t="shared" si="0"/>
        <v>25.17797998228269</v>
      </c>
      <c r="E25" s="383">
        <f t="shared" si="1"/>
        <v>27.29604564638516</v>
      </c>
      <c r="F25" s="383">
        <f t="shared" si="2"/>
        <v>27.372177107233075</v>
      </c>
      <c r="G25" s="110">
        <f t="shared" si="22"/>
        <v>1.0138014686256271</v>
      </c>
      <c r="H25" s="412" t="b">
        <f>Wh_hp&gt;='2021'!Maxi_hp</f>
        <v>1</v>
      </c>
      <c r="I25" s="379">
        <f>IF(H25,Wh_hp,'2021'!Maxi_hp)</f>
        <v>27.372177107233075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2.0691889605492397E-2</v>
      </c>
      <c r="M25" s="832"/>
      <c r="N25" s="832"/>
      <c r="O25" s="48">
        <f>IF(t&lt;Tnet,'2021'!Resal+('2021'!Salim-'2021'!Resal)*(1-EXP(('2021'!Tnet-t)/('2021'!Tau_j))),Resal+(Salim-Resal)*(1-EXP((Tnet-t)/(Tau_j))))*Salcycl</f>
        <v>7.7596062504495703E-2</v>
      </c>
      <c r="P25" s="169">
        <f>(INDEX(Models!$BJ25:$BT25,,T25)*(1-R25)+INDEX(Models!$BJ25:$BT25,,T25+1)*R25-ERP_i)*Q25*Ramure*Pc/MaxiM</f>
        <v>2.7813447410361992E-3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24.321329928064294</v>
      </c>
      <c r="W25" s="400">
        <f t="shared" si="10"/>
        <v>0</v>
      </c>
      <c r="X25" s="157">
        <f t="shared" si="11"/>
        <v>44572</v>
      </c>
      <c r="Y25" s="383">
        <f t="shared" si="12"/>
        <v>24.657</v>
      </c>
      <c r="Z25" s="383">
        <f t="shared" si="13"/>
        <v>25.17797998228269</v>
      </c>
      <c r="AA25" s="384">
        <f t="shared" si="14"/>
        <v>27.29604564638516</v>
      </c>
      <c r="AB25" s="197">
        <f t="shared" si="15"/>
        <v>44572</v>
      </c>
      <c r="AC25" s="119">
        <f>IF(OR(t&lt;Tnet,NoTnet),'2021'!Resal_s+('2021'!Salim-'2021'!Resal_s)*(1-EXP(('2021'!Tnet_s-t)/'2021'!Tau_j)),Resal_s+(Salim-Resal_s)*(1-EXP((Tnet_s-t)/Tau_j)))*Salcycl</f>
        <v>7.7596062504495703E-2</v>
      </c>
      <c r="AD25" s="230">
        <f>(INDEX(Models!$BJ25:$BT25,,AH25)*(1-AF25)+INDEX(Models!$BJ25:$BT25,,AH25+1)*AF25-ERP_i)*AE25*Ramure*Pc/MaxiM</f>
        <v>2.7813447410361992E-3</v>
      </c>
      <c r="AE25" s="304">
        <f t="shared" si="16"/>
        <v>0.6</v>
      </c>
      <c r="AF25" s="177">
        <f t="shared" si="23"/>
        <v>0.99946721635344415</v>
      </c>
      <c r="AG25" s="799">
        <f t="shared" si="24"/>
        <v>-1</v>
      </c>
      <c r="AH25" s="176">
        <f t="shared" si="17"/>
        <v>5</v>
      </c>
      <c r="AI25" s="224">
        <f t="shared" si="18"/>
        <v>-5.3278364655583339E-4</v>
      </c>
      <c r="AJ25" s="264" t="b">
        <f t="shared" si="19"/>
        <v>1</v>
      </c>
      <c r="AK25" s="264" t="b">
        <f t="shared" si="20"/>
        <v>0</v>
      </c>
      <c r="AL25" s="264"/>
      <c r="AM25" s="264"/>
      <c r="AN25" s="75"/>
    </row>
    <row r="26" spans="1:40" s="6" customFormat="1" ht="11.25" x14ac:dyDescent="0.2">
      <c r="A26" s="56">
        <f t="shared" si="21"/>
        <v>44573</v>
      </c>
      <c r="B26" s="1153">
        <v>21.433</v>
      </c>
      <c r="C26" s="388"/>
      <c r="D26" s="391">
        <f t="shared" si="0"/>
        <v>21.886279240343764</v>
      </c>
      <c r="E26" s="383">
        <f t="shared" si="1"/>
        <v>23.729086611732029</v>
      </c>
      <c r="F26" s="383">
        <f t="shared" si="2"/>
        <v>23.782026822723253</v>
      </c>
      <c r="G26" s="110">
        <f t="shared" si="22"/>
        <v>0.87259803742746667</v>
      </c>
      <c r="H26" s="412" t="b">
        <f>Wh_hp&gt;='2021'!Maxi_hp</f>
        <v>0</v>
      </c>
      <c r="I26" s="379">
        <f>IF(H26,Wh_hp,'2021'!Maxi_hp)</f>
        <v>27.37093962937724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2.071065782201198E-2</v>
      </c>
      <c r="M26" s="832"/>
      <c r="N26" s="832"/>
      <c r="O26" s="48">
        <f>IF(t&lt;Tnet,'2021'!Resal+('2021'!Salim-'2021'!Resal)*(1-EXP(('2021'!Tnet-t)/('2021'!Tau_j))),Resal+(Salim-Resal)*(1-EXP((Tnet-t)/(Tau_j))))*Salcycl</f>
        <v>7.7660274141236912E-2</v>
      </c>
      <c r="P26" s="169">
        <f>(INDEX(Models!$BJ26:$BT26,,T26)*(1-R26)+INDEX(Models!$BJ26:$BT26,,T26+1)*R26-ERP_i)*Q26*Ramure*Pc/MaxiM</f>
        <v>2.7193040884240811E-3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24.550140829986919</v>
      </c>
      <c r="W26" s="400">
        <f t="shared" si="10"/>
        <v>0</v>
      </c>
      <c r="X26" s="157">
        <f t="shared" si="11"/>
        <v>44573</v>
      </c>
      <c r="Y26" s="383">
        <f t="shared" si="12"/>
        <v>21.433</v>
      </c>
      <c r="Z26" s="383">
        <f t="shared" si="13"/>
        <v>21.886279240343764</v>
      </c>
      <c r="AA26" s="384">
        <f t="shared" si="14"/>
        <v>23.729086611732029</v>
      </c>
      <c r="AB26" s="197">
        <f t="shared" si="15"/>
        <v>44573</v>
      </c>
      <c r="AC26" s="119">
        <f>IF(OR(t&lt;Tnet,NoTnet),'2021'!Resal_s+('2021'!Salim-'2021'!Resal_s)*(1-EXP(('2021'!Tnet_s-t)/'2021'!Tau_j)),Resal_s+(Salim-Resal_s)*(1-EXP((Tnet_s-t)/Tau_j)))*Salcycl</f>
        <v>7.7660274141236912E-2</v>
      </c>
      <c r="AD26" s="230">
        <f>(INDEX(Models!$BJ26:$BT26,,AH26)*(1-AF26)+INDEX(Models!$BJ26:$BT26,,AH26+1)*AF26-ERP_i)*AE26*Ramure*Pc/MaxiM</f>
        <v>2.7193040884240811E-3</v>
      </c>
      <c r="AE26" s="304">
        <f t="shared" si="16"/>
        <v>0.6</v>
      </c>
      <c r="AF26" s="177">
        <f t="shared" si="23"/>
        <v>0.99951121608111526</v>
      </c>
      <c r="AG26" s="799">
        <f t="shared" si="24"/>
        <v>-1</v>
      </c>
      <c r="AH26" s="176">
        <f t="shared" si="17"/>
        <v>5</v>
      </c>
      <c r="AI26" s="224">
        <f t="shared" si="18"/>
        <v>-4.8878391888471898E-4</v>
      </c>
      <c r="AJ26" s="264" t="b">
        <f t="shared" si="19"/>
        <v>1</v>
      </c>
      <c r="AK26" s="264" t="b">
        <f t="shared" si="20"/>
        <v>0</v>
      </c>
      <c r="AL26" s="264"/>
      <c r="AM26" s="264"/>
      <c r="AN26" s="75"/>
    </row>
    <row r="27" spans="1:40" s="6" customFormat="1" ht="11.25" x14ac:dyDescent="0.2">
      <c r="A27" s="56">
        <f t="shared" si="21"/>
        <v>44574</v>
      </c>
      <c r="B27" s="1153">
        <v>5.4939999999999998</v>
      </c>
      <c r="C27" s="388"/>
      <c r="D27" s="391">
        <f t="shared" si="0"/>
        <v>5.610298260834103</v>
      </c>
      <c r="E27" s="383">
        <f t="shared" si="1"/>
        <v>6.0831045735877769</v>
      </c>
      <c r="F27" s="383">
        <f t="shared" si="2"/>
        <v>6.0831045735877769</v>
      </c>
      <c r="G27" s="110">
        <f t="shared" si="22"/>
        <v>0.22104973710765777</v>
      </c>
      <c r="H27" s="412" t="b">
        <f>Wh_hp&gt;='2021'!Maxi_hp</f>
        <v>0</v>
      </c>
      <c r="I27" s="379">
        <f>IF(H27,Wh_hp,'2021'!Maxi_hp)</f>
        <v>16.17097757884445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2.0729425678843061E-2</v>
      </c>
      <c r="M27" s="832"/>
      <c r="N27" s="832"/>
      <c r="O27" s="48">
        <f>IF(t&lt;Tnet,'2021'!Resal+('2021'!Salim-'2021'!Resal)*(1-EXP(('2021'!Tnet-t)/('2021'!Tau_j))),Resal+(Salim-Resal)*(1-EXP((Tnet-t)/(Tau_j))))*Salcycl</f>
        <v>7.7724508437114606E-2</v>
      </c>
      <c r="P27" s="169">
        <f>(INDEX(Models!$BJ27:$BT27,,T27)*(1-R27)+INDEX(Models!$BJ27:$BT27,,T27+1)*R27-ERP_i)*Q27*Ramure*Pc/MaxiM</f>
        <v>2.6644328524201553E-3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24.787912791048434</v>
      </c>
      <c r="W27" s="400">
        <f t="shared" si="10"/>
        <v>0</v>
      </c>
      <c r="X27" s="157">
        <f t="shared" si="11"/>
        <v>44574</v>
      </c>
      <c r="Y27" s="383">
        <f t="shared" si="12"/>
        <v>5.4939999999999998</v>
      </c>
      <c r="Z27" s="383">
        <f t="shared" si="13"/>
        <v>5.610298260834103</v>
      </c>
      <c r="AA27" s="384">
        <f t="shared" si="14"/>
        <v>6.0831045735877769</v>
      </c>
      <c r="AB27" s="197">
        <f t="shared" si="15"/>
        <v>44574</v>
      </c>
      <c r="AC27" s="119">
        <f>IF(OR(t&lt;Tnet,NoTnet),'2021'!Resal_s+('2021'!Salim-'2021'!Resal_s)*(1-EXP(('2021'!Tnet_s-t)/'2021'!Tau_j)),Resal_s+(Salim-Resal_s)*(1-EXP((Tnet_s-t)/Tau_j)))*Salcycl</f>
        <v>7.7724508437114606E-2</v>
      </c>
      <c r="AD27" s="230">
        <f>(INDEX(Models!$BJ27:$BT27,,AH27)*(1-AF27)+INDEX(Models!$BJ27:$BT27,,AH27+1)*AF27-ERP_i)*AE27*Ramure*Pc/MaxiM</f>
        <v>2.6644328524201553E-3</v>
      </c>
      <c r="AE27" s="304">
        <f t="shared" si="16"/>
        <v>0.6</v>
      </c>
      <c r="AF27" s="177">
        <f t="shared" si="23"/>
        <v>0.99955705344558443</v>
      </c>
      <c r="AG27" s="799">
        <f t="shared" si="24"/>
        <v>-1</v>
      </c>
      <c r="AH27" s="176">
        <f t="shared" si="17"/>
        <v>5</v>
      </c>
      <c r="AI27" s="224">
        <f t="shared" si="18"/>
        <v>-4.4294655441559969E-4</v>
      </c>
      <c r="AJ27" s="264" t="b">
        <f t="shared" si="19"/>
        <v>1</v>
      </c>
      <c r="AK27" s="264" t="b">
        <f t="shared" si="20"/>
        <v>0</v>
      </c>
      <c r="AL27" s="264"/>
      <c r="AM27" s="264"/>
      <c r="AN27" s="75"/>
    </row>
    <row r="28" spans="1:40" s="6" customFormat="1" ht="11.25" x14ac:dyDescent="0.2">
      <c r="A28" s="56">
        <f t="shared" si="21"/>
        <v>44575</v>
      </c>
      <c r="B28" s="1153">
        <v>26.071000000000002</v>
      </c>
      <c r="C28" s="388"/>
      <c r="D28" s="391">
        <f t="shared" si="0"/>
        <v>26.62338718021433</v>
      </c>
      <c r="E28" s="383">
        <f t="shared" si="1"/>
        <v>28.869077054286567</v>
      </c>
      <c r="F28" s="383">
        <f t="shared" si="2"/>
        <v>28.944815761904703</v>
      </c>
      <c r="G28" s="110">
        <f t="shared" si="22"/>
        <v>1.0414287719294832</v>
      </c>
      <c r="H28" s="412" t="b">
        <f>Wh_hp&gt;='2021'!Maxi_hp</f>
        <v>1</v>
      </c>
      <c r="I28" s="379">
        <f>IF(H28,Wh_hp,'2021'!Maxi_hp)</f>
        <v>28.944815761904703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2.0748193175992413E-2</v>
      </c>
      <c r="M28" s="832"/>
      <c r="N28" s="832"/>
      <c r="O28" s="48">
        <f>IF(t&lt;Tnet,'2021'!Resal+('2021'!Salim-'2021'!Resal)*(1-EXP(('2021'!Tnet-t)/('2021'!Tau_j))),Resal+(Salim-Resal)*(1-EXP((Tnet-t)/(Tau_j))))*Salcycl</f>
        <v>7.778876580811199E-2</v>
      </c>
      <c r="P28" s="169">
        <f>(INDEX(Models!$BJ28:$BT28,,T28)*(1-R28)+INDEX(Models!$BJ28:$BT28,,T28+1)*R28-ERP_i)*Q28*Ramure*Pc/MaxiM</f>
        <v>2.6166588255786311E-3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25.033877210534097</v>
      </c>
      <c r="W28" s="400">
        <f t="shared" si="10"/>
        <v>0</v>
      </c>
      <c r="X28" s="157">
        <f t="shared" si="11"/>
        <v>44575</v>
      </c>
      <c r="Y28" s="383">
        <f t="shared" si="12"/>
        <v>26.071000000000002</v>
      </c>
      <c r="Z28" s="383">
        <f t="shared" si="13"/>
        <v>26.62338718021433</v>
      </c>
      <c r="AA28" s="384">
        <f t="shared" si="14"/>
        <v>28.869077054286567</v>
      </c>
      <c r="AB28" s="197">
        <f t="shared" si="15"/>
        <v>44575</v>
      </c>
      <c r="AC28" s="119">
        <f>IF(OR(t&lt;Tnet,NoTnet),'2021'!Resal_s+('2021'!Salim-'2021'!Resal_s)*(1-EXP(('2021'!Tnet_s-t)/'2021'!Tau_j)),Resal_s+(Salim-Resal_s)*(1-EXP((Tnet_s-t)/Tau_j)))*Salcycl</f>
        <v>7.778876580811199E-2</v>
      </c>
      <c r="AD28" s="230">
        <f>(INDEX(Models!$BJ28:$BT28,,AH28)*(1-AF28)+INDEX(Models!$BJ28:$BT28,,AH28+1)*AF28-ERP_i)*AE28*Ramure*Pc/MaxiM</f>
        <v>2.6166588255786311E-3</v>
      </c>
      <c r="AE28" s="304">
        <f t="shared" si="16"/>
        <v>0.6</v>
      </c>
      <c r="AF28" s="177">
        <f t="shared" si="23"/>
        <v>0.99960480483597391</v>
      </c>
      <c r="AG28" s="799">
        <f t="shared" si="24"/>
        <v>-1</v>
      </c>
      <c r="AH28" s="176">
        <f t="shared" si="17"/>
        <v>5</v>
      </c>
      <c r="AI28" s="224">
        <f t="shared" si="18"/>
        <v>-3.9519516402611895E-4</v>
      </c>
      <c r="AJ28" s="264" t="b">
        <f t="shared" si="19"/>
        <v>1</v>
      </c>
      <c r="AK28" s="264" t="b">
        <f t="shared" si="20"/>
        <v>0</v>
      </c>
      <c r="AL28" s="264"/>
      <c r="AM28" s="264"/>
      <c r="AN28" s="75"/>
    </row>
    <row r="29" spans="1:40" s="6" customFormat="1" ht="11.25" x14ac:dyDescent="0.2">
      <c r="A29" s="56">
        <f t="shared" si="21"/>
        <v>44576</v>
      </c>
      <c r="B29" s="1153">
        <v>26.376000000000001</v>
      </c>
      <c r="C29" s="388"/>
      <c r="D29" s="391">
        <f t="shared" si="0"/>
        <v>26.93536566989544</v>
      </c>
      <c r="E29" s="383">
        <f t="shared" si="1"/>
        <v>29.20940702812608</v>
      </c>
      <c r="F29" s="383">
        <f t="shared" si="2"/>
        <v>29.284841653101807</v>
      </c>
      <c r="G29" s="110">
        <f t="shared" si="22"/>
        <v>1.0430546469739899</v>
      </c>
      <c r="H29" s="412" t="b">
        <f>Wh_hp&gt;='2021'!Maxi_hp</f>
        <v>1</v>
      </c>
      <c r="I29" s="379">
        <f>IF(H29,Wh_hp,'2021'!Maxi_hp)</f>
        <v>29.284841653101807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2.076696031346692E-2</v>
      </c>
      <c r="M29" s="832"/>
      <c r="N29" s="832"/>
      <c r="O29" s="48">
        <f>IF(t&lt;Tnet,'2021'!Resal+('2021'!Salim-'2021'!Resal)*(1-EXP(('2021'!Tnet-t)/('2021'!Tau_j))),Resal+(Salim-Resal)*(1-EXP((Tnet-t)/(Tau_j))))*Salcycl</f>
        <v>7.7853047685662993E-2</v>
      </c>
      <c r="P29" s="169">
        <f>(INDEX(Models!$BJ29:$BT29,,T29)*(1-R29)+INDEX(Models!$BJ29:$BT29,,T29+1)*R29-ERP_i)*Q29*Ramure*Pc/MaxiM</f>
        <v>2.5758932170198835E-3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25.287265702252061</v>
      </c>
      <c r="W29" s="400">
        <f t="shared" si="10"/>
        <v>0</v>
      </c>
      <c r="X29" s="157">
        <f t="shared" si="11"/>
        <v>44576</v>
      </c>
      <c r="Y29" s="383">
        <f t="shared" si="12"/>
        <v>26.376000000000001</v>
      </c>
      <c r="Z29" s="383">
        <f t="shared" si="13"/>
        <v>26.93536566989544</v>
      </c>
      <c r="AA29" s="384">
        <f t="shared" si="14"/>
        <v>29.20940702812608</v>
      </c>
      <c r="AB29" s="197">
        <f t="shared" si="15"/>
        <v>44576</v>
      </c>
      <c r="AC29" s="119">
        <f>IF(OR(t&lt;Tnet,NoTnet),'2021'!Resal_s+('2021'!Salim-'2021'!Resal_s)*(1-EXP(('2021'!Tnet_s-t)/'2021'!Tau_j)),Resal_s+(Salim-Resal_s)*(1-EXP((Tnet_s-t)/Tau_j)))*Salcycl</f>
        <v>7.7853047685662993E-2</v>
      </c>
      <c r="AD29" s="230">
        <f>(INDEX(Models!$BJ29:$BT29,,AH29)*(1-AF29)+INDEX(Models!$BJ29:$BT29,,AH29+1)*AF29-ERP_i)*AE29*Ramure*Pc/MaxiM</f>
        <v>2.5758932170198835E-3</v>
      </c>
      <c r="AE29" s="304">
        <f t="shared" si="16"/>
        <v>0.6</v>
      </c>
      <c r="AF29" s="177">
        <f t="shared" si="23"/>
        <v>0.99965454978614621</v>
      </c>
      <c r="AG29" s="799">
        <f t="shared" si="24"/>
        <v>-1</v>
      </c>
      <c r="AH29" s="176">
        <f t="shared" si="17"/>
        <v>5</v>
      </c>
      <c r="AI29" s="224">
        <f t="shared" si="18"/>
        <v>-3.4545021385381483E-4</v>
      </c>
      <c r="AJ29" s="264" t="b">
        <f t="shared" si="19"/>
        <v>1</v>
      </c>
      <c r="AK29" s="264" t="b">
        <f t="shared" si="20"/>
        <v>0</v>
      </c>
      <c r="AL29" s="264"/>
      <c r="AM29" s="264"/>
      <c r="AN29" s="75"/>
    </row>
    <row r="30" spans="1:40" s="6" customFormat="1" ht="11.25" x14ac:dyDescent="0.2">
      <c r="A30" s="56">
        <f t="shared" si="21"/>
        <v>44577</v>
      </c>
      <c r="B30" s="1153">
        <v>25.804000000000002</v>
      </c>
      <c r="C30" s="388"/>
      <c r="D30" s="391">
        <f t="shared" si="0"/>
        <v>26.351740077633877</v>
      </c>
      <c r="E30" s="383">
        <f t="shared" si="1"/>
        <v>28.578501351371784</v>
      </c>
      <c r="F30" s="383">
        <f t="shared" si="2"/>
        <v>28.651235386050466</v>
      </c>
      <c r="G30" s="110">
        <f t="shared" si="22"/>
        <v>1.010044152286218</v>
      </c>
      <c r="H30" s="412" t="b">
        <f>Wh_hp&gt;='2021'!Maxi_hp</f>
        <v>1</v>
      </c>
      <c r="I30" s="379">
        <f>IF(H30,Wh_hp,'2021'!Maxi_hp)</f>
        <v>28.651235386050466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2.0785727091273576E-2</v>
      </c>
      <c r="M30" s="832"/>
      <c r="N30" s="832"/>
      <c r="O30" s="48">
        <f>IF(t&lt;Tnet,'2021'!Resal+('2021'!Salim-'2021'!Resal)*(1-EXP(('2021'!Tnet-t)/('2021'!Tau_j))),Resal+(Salim-Resal)*(1-EXP((Tnet-t)/(Tau_j))))*Salcycl</f>
        <v>7.7917356349793992E-2</v>
      </c>
      <c r="P30" s="169">
        <f>(INDEX(Models!$BJ30:$BT30,,T30)*(1-R30)+INDEX(Models!$BJ30:$BT30,,T30+1)*R30-ERP_i)*Q30*Ramure*Pc/MaxiM</f>
        <v>2.538600297636548E-3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25.54739804353412</v>
      </c>
      <c r="W30" s="400">
        <f t="shared" si="10"/>
        <v>0</v>
      </c>
      <c r="X30" s="157">
        <f t="shared" si="11"/>
        <v>44577</v>
      </c>
      <c r="Y30" s="383">
        <f t="shared" si="12"/>
        <v>25.804000000000002</v>
      </c>
      <c r="Z30" s="383">
        <f t="shared" si="13"/>
        <v>26.351740077633877</v>
      </c>
      <c r="AA30" s="384">
        <f t="shared" si="14"/>
        <v>28.578501351371784</v>
      </c>
      <c r="AB30" s="197">
        <f t="shared" si="15"/>
        <v>44577</v>
      </c>
      <c r="AC30" s="119">
        <f>IF(OR(t&lt;Tnet,NoTnet),'2021'!Resal_s+('2021'!Salim-'2021'!Resal_s)*(1-EXP(('2021'!Tnet_s-t)/'2021'!Tau_j)),Resal_s+(Salim-Resal_s)*(1-EXP((Tnet_s-t)/Tau_j)))*Salcycl</f>
        <v>7.7917356349793992E-2</v>
      </c>
      <c r="AD30" s="230">
        <f>(INDEX(Models!$BJ30:$BT30,,AH30)*(1-AF30)+INDEX(Models!$BJ30:$BT30,,AH30+1)*AF30-ERP_i)*AE30*Ramure*Pc/MaxiM</f>
        <v>2.538600297636548E-3</v>
      </c>
      <c r="AE30" s="304">
        <f t="shared" si="16"/>
        <v>0.6</v>
      </c>
      <c r="AF30" s="177">
        <f t="shared" si="23"/>
        <v>0.99970637110153948</v>
      </c>
      <c r="AG30" s="799">
        <f t="shared" si="24"/>
        <v>-1</v>
      </c>
      <c r="AH30" s="176">
        <f t="shared" si="17"/>
        <v>5</v>
      </c>
      <c r="AI30" s="224">
        <f t="shared" si="18"/>
        <v>-2.9362889846052645E-4</v>
      </c>
      <c r="AJ30" s="264" t="b">
        <f t="shared" si="19"/>
        <v>1</v>
      </c>
      <c r="AK30" s="264" t="b">
        <f t="shared" si="20"/>
        <v>0</v>
      </c>
      <c r="AL30" s="264"/>
      <c r="AM30" s="264"/>
      <c r="AN30" s="75"/>
    </row>
    <row r="31" spans="1:40" s="6" customFormat="1" ht="11.25" x14ac:dyDescent="0.2">
      <c r="A31" s="56">
        <f t="shared" si="21"/>
        <v>44578</v>
      </c>
      <c r="B31" s="1153">
        <v>11.915000000000001</v>
      </c>
      <c r="C31" s="388"/>
      <c r="D31" s="391">
        <f t="shared" si="0"/>
        <v>12.168152244390038</v>
      </c>
      <c r="E31" s="383">
        <f t="shared" si="1"/>
        <v>13.197300070141797</v>
      </c>
      <c r="F31" s="383">
        <f t="shared" si="2"/>
        <v>13.20492175837156</v>
      </c>
      <c r="G31" s="110">
        <f t="shared" si="22"/>
        <v>0.46068981831048306</v>
      </c>
      <c r="H31" s="412" t="b">
        <f>Wh_hp&gt;='2021'!Maxi_hp</f>
        <v>1</v>
      </c>
      <c r="I31" s="379">
        <f>IF(H31,Wh_hp,'2021'!Maxi_hp)</f>
        <v>13.20492175837156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2.0804493509419153E-2</v>
      </c>
      <c r="M31" s="832"/>
      <c r="N31" s="832"/>
      <c r="O31" s="48">
        <f>IF(t&lt;Tnet,'2021'!Resal+('2021'!Salim-'2021'!Resal)*(1-EXP(('2021'!Tnet-t)/('2021'!Tau_j))),Resal+(Salim-Resal)*(1-EXP((Tnet-t)/(Tau_j))))*Salcycl</f>
        <v>7.798169476195764E-2</v>
      </c>
      <c r="P31" s="169">
        <f>(INDEX(Models!$BJ31:$BT31,,T31)*(1-R31)+INDEX(Models!$BJ31:$BT31,,T31+1)*R31-ERP_i)*Q31*Ramure*Pc/MaxiM</f>
        <v>2.5005231875550702E-3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25.813616283707049</v>
      </c>
      <c r="W31" s="400">
        <f t="shared" si="10"/>
        <v>0</v>
      </c>
      <c r="X31" s="157">
        <f t="shared" si="11"/>
        <v>44578</v>
      </c>
      <c r="Y31" s="383">
        <f t="shared" si="12"/>
        <v>11.915000000000001</v>
      </c>
      <c r="Z31" s="383">
        <f t="shared" si="13"/>
        <v>12.168152244390038</v>
      </c>
      <c r="AA31" s="384">
        <f t="shared" si="14"/>
        <v>13.197300070141797</v>
      </c>
      <c r="AB31" s="197">
        <f t="shared" si="15"/>
        <v>44578</v>
      </c>
      <c r="AC31" s="119">
        <f>IF(OR(t&lt;Tnet,NoTnet),'2021'!Resal_s+('2021'!Salim-'2021'!Resal_s)*(1-EXP(('2021'!Tnet_s-t)/'2021'!Tau_j)),Resal_s+(Salim-Resal_s)*(1-EXP((Tnet_s-t)/Tau_j)))*Salcycl</f>
        <v>7.798169476195764E-2</v>
      </c>
      <c r="AD31" s="230">
        <f>(INDEX(Models!$BJ31:$BT31,,AH31)*(1-AF31)+INDEX(Models!$BJ31:$BT31,,AH31+1)*AF31-ERP_i)*AE31*Ramure*Pc/MaxiM</f>
        <v>2.5005231875550702E-3</v>
      </c>
      <c r="AE31" s="304">
        <f t="shared" si="16"/>
        <v>0.6</v>
      </c>
      <c r="AF31" s="177">
        <f t="shared" si="23"/>
        <v>0.99976035499089355</v>
      </c>
      <c r="AG31" s="799">
        <f t="shared" si="24"/>
        <v>-1</v>
      </c>
      <c r="AH31" s="176">
        <f t="shared" si="17"/>
        <v>5</v>
      </c>
      <c r="AI31" s="224">
        <f t="shared" si="18"/>
        <v>-2.3964500910640305E-4</v>
      </c>
      <c r="AJ31" s="264" t="b">
        <f t="shared" si="19"/>
        <v>1</v>
      </c>
      <c r="AK31" s="264" t="b">
        <f t="shared" si="20"/>
        <v>0</v>
      </c>
      <c r="AL31" s="264"/>
      <c r="AM31" s="264"/>
      <c r="AN31" s="75"/>
    </row>
    <row r="32" spans="1:40" s="6" customFormat="1" ht="11.25" x14ac:dyDescent="0.2">
      <c r="A32" s="56">
        <f t="shared" si="21"/>
        <v>44579</v>
      </c>
      <c r="B32" s="1153">
        <v>3.7850000000000001</v>
      </c>
      <c r="C32" s="388"/>
      <c r="D32" s="391">
        <f t="shared" si="0"/>
        <v>3.8654921463205532</v>
      </c>
      <c r="E32" s="383">
        <f t="shared" si="1"/>
        <v>4.1927172339555536</v>
      </c>
      <c r="F32" s="383">
        <f t="shared" si="2"/>
        <v>4.1927172339555536</v>
      </c>
      <c r="G32" s="110">
        <f t="shared" si="22"/>
        <v>0.14474449148214782</v>
      </c>
      <c r="H32" s="412" t="b">
        <f>Wh_hp&gt;='2021'!Maxi_hp</f>
        <v>0</v>
      </c>
      <c r="I32" s="379">
        <f>IF(H32,Wh_hp,'2021'!Maxi_hp)</f>
        <v>29.066008249734857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2.0823259567910646E-2</v>
      </c>
      <c r="M32" s="832"/>
      <c r="N32" s="832"/>
      <c r="O32" s="48">
        <f>IF(t&lt;Tnet,'2021'!Resal+('2021'!Salim-'2021'!Resal)*(1-EXP(('2021'!Tnet-t)/('2021'!Tau_j))),Resal+(Salim-Resal)*(1-EXP((Tnet-t)/(Tau_j))))*Salcycl</f>
        <v>7.8046066399351355E-2</v>
      </c>
      <c r="P32" s="169">
        <f>(INDEX(Models!$BJ32:$BT32,,T32)*(1-R32)+INDEX(Models!$BJ32:$BT32,,T32+1)*R32-ERP_i)*Q32*Ramure*Pc/MaxiM</f>
        <v>2.4617813310294518E-3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26.085152664533219</v>
      </c>
      <c r="W32" s="400">
        <f t="shared" si="10"/>
        <v>0</v>
      </c>
      <c r="X32" s="157">
        <f t="shared" si="11"/>
        <v>44579</v>
      </c>
      <c r="Y32" s="383">
        <f t="shared" si="12"/>
        <v>3.7850000000000006</v>
      </c>
      <c r="Z32" s="383">
        <f t="shared" si="13"/>
        <v>3.8654921463205536</v>
      </c>
      <c r="AA32" s="384">
        <f t="shared" si="14"/>
        <v>4.1927172339555536</v>
      </c>
      <c r="AB32" s="197">
        <f t="shared" si="15"/>
        <v>44579</v>
      </c>
      <c r="AC32" s="119">
        <f>IF(OR(t&lt;Tnet,NoTnet),'2021'!Resal_s+('2021'!Salim-'2021'!Resal_s)*(1-EXP(('2021'!Tnet_s-t)/'2021'!Tau_j)),Resal_s+(Salim-Resal_s)*(1-EXP((Tnet_s-t)/Tau_j)))*Salcycl</f>
        <v>7.8046066399351355E-2</v>
      </c>
      <c r="AD32" s="230">
        <f>(INDEX(Models!$BJ32:$BT32,,AH32)*(1-AF32)+INDEX(Models!$BJ32:$BT32,,AH32+1)*AF32-ERP_i)*AE32*Ramure*Pc/MaxiM</f>
        <v>2.4617813310294518E-3</v>
      </c>
      <c r="AE32" s="304">
        <f t="shared" si="16"/>
        <v>0.6</v>
      </c>
      <c r="AF32" s="177">
        <f t="shared" si="23"/>
        <v>0.99981659120303523</v>
      </c>
      <c r="AG32" s="799">
        <f t="shared" si="24"/>
        <v>-1</v>
      </c>
      <c r="AH32" s="176">
        <f t="shared" si="17"/>
        <v>5</v>
      </c>
      <c r="AI32" s="224">
        <f t="shared" si="18"/>
        <v>-1.8340879696471962E-4</v>
      </c>
      <c r="AJ32" s="264" t="b">
        <f t="shared" si="19"/>
        <v>1</v>
      </c>
      <c r="AK32" s="264" t="b">
        <f t="shared" si="20"/>
        <v>0</v>
      </c>
      <c r="AL32" s="264"/>
      <c r="AM32" s="264"/>
      <c r="AN32" s="75"/>
    </row>
    <row r="33" spans="1:40" s="6" customFormat="1" ht="11.25" x14ac:dyDescent="0.2">
      <c r="A33" s="56">
        <f t="shared" si="21"/>
        <v>44580</v>
      </c>
      <c r="B33" s="1153">
        <v>10.327</v>
      </c>
      <c r="C33" s="388"/>
      <c r="D33" s="391">
        <f t="shared" si="0"/>
        <v>10.546817026959737</v>
      </c>
      <c r="E33" s="383">
        <f t="shared" si="1"/>
        <v>11.440434826523799</v>
      </c>
      <c r="F33" s="383">
        <f t="shared" si="2"/>
        <v>11.444068508749462</v>
      </c>
      <c r="G33" s="110">
        <f t="shared" si="22"/>
        <v>0.3909245241121711</v>
      </c>
      <c r="H33" s="412" t="b">
        <f>Wh_hp&gt;='2021'!Maxi_hp</f>
        <v>0</v>
      </c>
      <c r="I33" s="379">
        <f>IF(H33,Wh_hp,'2021'!Maxi_hp)</f>
        <v>30.468754573897851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2.0842025266754938E-2</v>
      </c>
      <c r="M33" s="832"/>
      <c r="N33" s="832"/>
      <c r="O33" s="48">
        <f>IF(t&lt;Tnet,'2021'!Resal+('2021'!Salim-'2021'!Resal)*(1-EXP(('2021'!Tnet-t)/('2021'!Tau_j))),Resal+(Salim-Resal)*(1-EXP((Tnet-t)/(Tau_j))))*Salcycl</f>
        <v>7.8110475092456721E-2</v>
      </c>
      <c r="P33" s="169">
        <f>(INDEX(Models!$BJ33:$BT33,,T33)*(1-R33)+INDEX(Models!$BJ33:$BT33,,T33+1)*R33-ERP_i)*Q33*Ramure*Pc/MaxiM</f>
        <v>2.4224859777184048E-3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26.36123968103367</v>
      </c>
      <c r="W33" s="400">
        <f t="shared" si="10"/>
        <v>0</v>
      </c>
      <c r="X33" s="157">
        <f t="shared" si="11"/>
        <v>44580</v>
      </c>
      <c r="Y33" s="383">
        <f t="shared" si="12"/>
        <v>10.327</v>
      </c>
      <c r="Z33" s="383">
        <f t="shared" si="13"/>
        <v>10.546817026959737</v>
      </c>
      <c r="AA33" s="384">
        <f t="shared" si="14"/>
        <v>11.440434826523799</v>
      </c>
      <c r="AB33" s="197">
        <f t="shared" si="15"/>
        <v>44580</v>
      </c>
      <c r="AC33" s="119">
        <f>IF(OR(t&lt;Tnet,NoTnet),'2021'!Resal_s+('2021'!Salim-'2021'!Resal_s)*(1-EXP(('2021'!Tnet_s-t)/'2021'!Tau_j)),Resal_s+(Salim-Resal_s)*(1-EXP((Tnet_s-t)/Tau_j)))*Salcycl</f>
        <v>7.8110475092456721E-2</v>
      </c>
      <c r="AD33" s="230">
        <f>(INDEX(Models!$BJ33:$BT33,,AH33)*(1-AF33)+INDEX(Models!$BJ33:$BT33,,AH33+1)*AF33-ERP_i)*AE33*Ramure*Pc/MaxiM</f>
        <v>2.4224859777184048E-3</v>
      </c>
      <c r="AE33" s="304">
        <f t="shared" si="16"/>
        <v>0.6</v>
      </c>
      <c r="AF33" s="177">
        <f t="shared" si="23"/>
        <v>0.99987517316889618</v>
      </c>
      <c r="AG33" s="799">
        <f t="shared" si="24"/>
        <v>-1</v>
      </c>
      <c r="AH33" s="176">
        <f t="shared" si="17"/>
        <v>5</v>
      </c>
      <c r="AI33" s="224">
        <f t="shared" si="18"/>
        <v>-1.2482683110383904E-4</v>
      </c>
      <c r="AJ33" s="264" t="b">
        <f t="shared" si="19"/>
        <v>1</v>
      </c>
      <c r="AK33" s="264" t="b">
        <f t="shared" si="20"/>
        <v>0</v>
      </c>
      <c r="AL33" s="264"/>
      <c r="AM33" s="264"/>
      <c r="AN33" s="75"/>
    </row>
    <row r="34" spans="1:40" s="6" customFormat="1" ht="11.25" x14ac:dyDescent="0.2">
      <c r="A34" s="56">
        <f t="shared" si="21"/>
        <v>44581</v>
      </c>
      <c r="B34" s="1153">
        <v>6.4670000000000005</v>
      </c>
      <c r="C34" s="388"/>
      <c r="D34" s="391">
        <f t="shared" si="0"/>
        <v>6.6047809524472276</v>
      </c>
      <c r="E34" s="383">
        <f t="shared" si="1"/>
        <v>7.164896172408433</v>
      </c>
      <c r="F34" s="383">
        <f t="shared" si="2"/>
        <v>7.164896172408433</v>
      </c>
      <c r="G34" s="110">
        <f t="shared" si="22"/>
        <v>0.2421667415431612</v>
      </c>
      <c r="H34" s="412" t="b">
        <f>Wh_hp&gt;='2021'!Maxi_hp</f>
        <v>0</v>
      </c>
      <c r="I34" s="379">
        <f>IF(H34,Wh_hp,'2021'!Maxi_hp)</f>
        <v>12.26188245483894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2.0860790605958912E-2</v>
      </c>
      <c r="M34" s="832"/>
      <c r="N34" s="832"/>
      <c r="O34" s="48">
        <f>IF(t&lt;Tnet,'2021'!Resal+('2021'!Salim-'2021'!Resal)*(1-EXP(('2021'!Tnet-t)/('2021'!Tau_j))),Resal+(Salim-Resal)*(1-EXP((Tnet-t)/(Tau_j))))*Salcycl</f>
        <v>7.8174924867463386E-2</v>
      </c>
      <c r="P34" s="169">
        <f>(INDEX(Models!$BJ34:$BT34,,T34)*(1-R34)+INDEX(Models!$BJ34:$BT34,,T34+1)*R34-ERP_i)*Q34*Ramure*Pc/MaxiM</f>
        <v>2.3827534218932487E-3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26.641109726748976</v>
      </c>
      <c r="W34" s="400">
        <f t="shared" si="10"/>
        <v>0</v>
      </c>
      <c r="X34" s="157">
        <f t="shared" si="11"/>
        <v>44581</v>
      </c>
      <c r="Y34" s="383">
        <f t="shared" si="12"/>
        <v>6.4670000000000005</v>
      </c>
      <c r="Z34" s="383">
        <f t="shared" si="13"/>
        <v>6.6047809524472276</v>
      </c>
      <c r="AA34" s="384">
        <f t="shared" si="14"/>
        <v>7.164896172408433</v>
      </c>
      <c r="AB34" s="197">
        <f t="shared" si="15"/>
        <v>44581</v>
      </c>
      <c r="AC34" s="119">
        <f>IF(OR(t&lt;Tnet,NoTnet),'2021'!Resal_s+('2021'!Salim-'2021'!Resal_s)*(1-EXP(('2021'!Tnet_s-t)/'2021'!Tau_j)),Resal_s+(Salim-Resal_s)*(1-EXP((Tnet_s-t)/Tau_j)))*Salcycl</f>
        <v>7.8174924867463386E-2</v>
      </c>
      <c r="AD34" s="230">
        <f>(INDEX(Models!$BJ34:$BT34,,AH34)*(1-AF34)+INDEX(Models!$BJ34:$BT34,,AH34+1)*AF34-ERP_i)*AE34*Ramure*Pc/MaxiM</f>
        <v>2.3827534218932487E-3</v>
      </c>
      <c r="AE34" s="304">
        <f t="shared" si="16"/>
        <v>0.6</v>
      </c>
      <c r="AF34" s="177">
        <f t="shared" si="23"/>
        <v>0.99993619814893886</v>
      </c>
      <c r="AG34" s="799">
        <f t="shared" si="24"/>
        <v>-1</v>
      </c>
      <c r="AH34" s="176">
        <f t="shared" si="17"/>
        <v>5</v>
      </c>
      <c r="AI34" s="224">
        <f t="shared" si="18"/>
        <v>-6.3801851061189236E-5</v>
      </c>
      <c r="AJ34" s="264" t="b">
        <f t="shared" si="19"/>
        <v>1</v>
      </c>
      <c r="AK34" s="264" t="b">
        <f t="shared" si="20"/>
        <v>0</v>
      </c>
      <c r="AL34" s="264"/>
      <c r="AM34" s="264"/>
      <c r="AN34" s="75"/>
    </row>
    <row r="35" spans="1:40" s="6" customFormat="1" ht="11.25" x14ac:dyDescent="0.2">
      <c r="A35" s="56">
        <f t="shared" si="21"/>
        <v>44582</v>
      </c>
      <c r="B35" s="1153">
        <v>20.618000000000002</v>
      </c>
      <c r="C35" s="388"/>
      <c r="D35" s="391">
        <f t="shared" si="0"/>
        <v>21.057674893439579</v>
      </c>
      <c r="E35" s="383">
        <f t="shared" si="1"/>
        <v>22.845059059435876</v>
      </c>
      <c r="F35" s="383">
        <f t="shared" si="2"/>
        <v>22.880726638611495</v>
      </c>
      <c r="G35" s="110">
        <f t="shared" si="22"/>
        <v>0.76518410983193275</v>
      </c>
      <c r="H35" s="412" t="b">
        <f>Wh_hp&gt;='2021'!Maxi_hp</f>
        <v>1</v>
      </c>
      <c r="I35" s="379">
        <f>IF(H35,Wh_hp,'2021'!Maxi_hp)</f>
        <v>22.880726638611495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2.0879555585529341E-2</v>
      </c>
      <c r="M35" s="832"/>
      <c r="N35" s="832"/>
      <c r="O35" s="48">
        <f>IF(t&lt;Tnet,'2021'!Resal+('2021'!Salim-'2021'!Resal)*(1-EXP(('2021'!Tnet-t)/('2021'!Tau_j))),Resal+(Salim-Resal)*(1-EXP((Tnet-t)/(Tau_j))))*Salcycl</f>
        <v>7.8239419795154322E-2</v>
      </c>
      <c r="P35" s="169">
        <f>(INDEX(Models!$BJ35:$BT35,,T35)*(1-R35)+INDEX(Models!$BJ35:$BT35,,T35+1)*R35-ERP_i)*Q35*Ramure*Pc/MaxiM</f>
        <v>2.3426967601447145E-3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26.923995301079763</v>
      </c>
      <c r="W35" s="400">
        <f t="shared" si="10"/>
        <v>0</v>
      </c>
      <c r="X35" s="157">
        <f t="shared" si="11"/>
        <v>44582</v>
      </c>
      <c r="Y35" s="383">
        <f t="shared" si="12"/>
        <v>20.618000000000002</v>
      </c>
      <c r="Z35" s="383">
        <f t="shared" si="13"/>
        <v>21.057674893439579</v>
      </c>
      <c r="AA35" s="384">
        <f t="shared" si="14"/>
        <v>22.845059059435876</v>
      </c>
      <c r="AB35" s="197">
        <f t="shared" si="15"/>
        <v>44582</v>
      </c>
      <c r="AC35" s="119">
        <f>IF(OR(t&lt;Tnet,NoTnet),'2021'!Resal_s+('2021'!Salim-'2021'!Resal_s)*(1-EXP(('2021'!Tnet_s-t)/'2021'!Tau_j)),Resal_s+(Salim-Resal_s)*(1-EXP((Tnet_s-t)/Tau_j)))*Salcycl</f>
        <v>7.8239419795154322E-2</v>
      </c>
      <c r="AD35" s="230">
        <f>(INDEX(Models!$BJ35:$BT35,,AH35)*(1-AF35)+INDEX(Models!$BJ35:$BT35,,AH35+1)*AF35-ERP_i)*AE35*Ramure*Pc/MaxiM</f>
        <v>2.3426967601447145E-3</v>
      </c>
      <c r="AE35" s="304">
        <f t="shared" si="16"/>
        <v>0.6</v>
      </c>
      <c r="AF35" s="177">
        <f t="shared" si="23"/>
        <v>0.99999976738617502</v>
      </c>
      <c r="AG35" s="799">
        <f t="shared" si="24"/>
        <v>-1</v>
      </c>
      <c r="AH35" s="176">
        <f t="shared" si="17"/>
        <v>5</v>
      </c>
      <c r="AI35" s="224">
        <f t="shared" si="18"/>
        <v>-2.3261382499850051E-7</v>
      </c>
      <c r="AJ35" s="264" t="b">
        <f t="shared" si="19"/>
        <v>1</v>
      </c>
      <c r="AK35" s="264" t="b">
        <f t="shared" si="20"/>
        <v>0</v>
      </c>
      <c r="AL35" s="264"/>
      <c r="AM35" s="264"/>
      <c r="AN35" s="75"/>
    </row>
    <row r="36" spans="1:40" s="6" customFormat="1" ht="11.25" x14ac:dyDescent="0.2">
      <c r="A36" s="56">
        <f t="shared" si="21"/>
        <v>44583</v>
      </c>
      <c r="B36" s="1153">
        <v>27.521000000000001</v>
      </c>
      <c r="C36" s="388"/>
      <c r="D36" s="391">
        <f t="shared" si="0"/>
        <v>28.108418735197688</v>
      </c>
      <c r="E36" s="383">
        <f t="shared" si="1"/>
        <v>30.496408395700122</v>
      </c>
      <c r="F36" s="383">
        <f t="shared" si="2"/>
        <v>30.566788013971934</v>
      </c>
      <c r="G36" s="110">
        <f t="shared" si="22"/>
        <v>1.011462059241816</v>
      </c>
      <c r="H36" s="412" t="b">
        <f>Wh_hp&gt;='2021'!Maxi_hp</f>
        <v>1</v>
      </c>
      <c r="I36" s="379">
        <f>IF(H36,Wh_hp,'2021'!Maxi_hp)</f>
        <v>30.566788013971934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2.0898320205473331E-2</v>
      </c>
      <c r="M36" s="832"/>
      <c r="N36" s="832"/>
      <c r="O36" s="48">
        <f>IF(t&lt;Tnet,'2021'!Resal+('2021'!Salim-'2021'!Resal)*(1-EXP(('2021'!Tnet-t)/('2021'!Tau_j))),Resal+(Salim-Resal)*(1-EXP((Tnet-t)/(Tau_j))))*Salcycl</f>
        <v>7.8303963847727392E-2</v>
      </c>
      <c r="P36" s="169">
        <f>(INDEX(Models!$BJ36:$BT36,,T36)*(1-R36)+INDEX(Models!$BJ36:$BT36,,T36+1)*R36-ERP_i)*Q36*Ramure*Pc/MaxiM</f>
        <v>2.3024865497690479E-3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27.209127370165053</v>
      </c>
      <c r="W36" s="400">
        <f t="shared" si="10"/>
        <v>0</v>
      </c>
      <c r="X36" s="157">
        <f t="shared" si="11"/>
        <v>44583</v>
      </c>
      <c r="Y36" s="383">
        <f t="shared" si="12"/>
        <v>27.521000000000001</v>
      </c>
      <c r="Z36" s="383">
        <f t="shared" si="13"/>
        <v>28.108418735197688</v>
      </c>
      <c r="AA36" s="384">
        <f t="shared" si="14"/>
        <v>30.496408395700122</v>
      </c>
      <c r="AB36" s="197">
        <f t="shared" si="15"/>
        <v>44583</v>
      </c>
      <c r="AC36" s="119">
        <f>IF(OR(t&lt;Tnet,NoTnet),'2021'!Resal_s+('2021'!Salim-'2021'!Resal_s)*(1-EXP(('2021'!Tnet_s-t)/'2021'!Tau_j)),Resal_s+(Salim-Resal_s)*(1-EXP((Tnet_s-t)/Tau_j)))*Salcycl</f>
        <v>7.8303963847727392E-2</v>
      </c>
      <c r="AD36" s="230">
        <f>(INDEX(Models!$BJ36:$BT36,,AH36)*(1-AF36)+INDEX(Models!$BJ36:$BT36,,AH36+1)*AF36-ERP_i)*AE36*Ramure*Pc/MaxiM</f>
        <v>2.3024865497690479E-3</v>
      </c>
      <c r="AE36" s="304">
        <f t="shared" si="16"/>
        <v>0.6</v>
      </c>
      <c r="AF36" s="177">
        <f t="shared" si="23"/>
        <v>6.5986264957097036E-5</v>
      </c>
      <c r="AG36" s="799">
        <f t="shared" si="24"/>
        <v>0</v>
      </c>
      <c r="AH36" s="176">
        <f t="shared" si="17"/>
        <v>6</v>
      </c>
      <c r="AI36" s="224">
        <f t="shared" si="18"/>
        <v>6.5986264957097036E-5</v>
      </c>
      <c r="AJ36" s="264" t="b">
        <f t="shared" si="19"/>
        <v>1</v>
      </c>
      <c r="AK36" s="264" t="b">
        <f t="shared" si="20"/>
        <v>0</v>
      </c>
      <c r="AL36" s="264"/>
      <c r="AM36" s="264"/>
      <c r="AN36" s="75"/>
    </row>
    <row r="37" spans="1:40" s="6" customFormat="1" ht="11.25" x14ac:dyDescent="0.2">
      <c r="A37" s="56">
        <f t="shared" si="21"/>
        <v>44584</v>
      </c>
      <c r="B37" s="1153">
        <v>27.641999999999999</v>
      </c>
      <c r="C37" s="388"/>
      <c r="D37" s="391">
        <f t="shared" si="0"/>
        <v>28.232542475647332</v>
      </c>
      <c r="E37" s="383">
        <f t="shared" si="1"/>
        <v>30.633224165051416</v>
      </c>
      <c r="F37" s="383">
        <f t="shared" si="2"/>
        <v>30.702667936607366</v>
      </c>
      <c r="G37" s="110">
        <f t="shared" si="22"/>
        <v>1.0051787273423882</v>
      </c>
      <c r="H37" s="412" t="b">
        <f>Wh_hp&gt;='2021'!Maxi_hp</f>
        <v>1</v>
      </c>
      <c r="I37" s="379">
        <f>IF(H37,Wh_hp,'2021'!Maxi_hp)</f>
        <v>30.702667936607366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2.0917084465797542E-2</v>
      </c>
      <c r="M37" s="832"/>
      <c r="N37" s="832"/>
      <c r="O37" s="48">
        <f>IF(t&lt;Tnet,'2021'!Resal+('2021'!Salim-'2021'!Resal)*(1-EXP(('2021'!Tnet-t)/('2021'!Tau_j))),Resal+(Salim-Resal)*(1-EXP((Tnet-t)/(Tau_j))))*Salcycl</f>
        <v>7.8368560764914719E-2</v>
      </c>
      <c r="P37" s="169">
        <f>(INDEX(Models!$BJ37:$BT37,,T37)*(1-R37)+INDEX(Models!$BJ37:$BT37,,T37+1)*R37-ERP_i)*Q37*Ramure*Pc/MaxiM</f>
        <v>2.2618155431746783E-3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27.499587136193401</v>
      </c>
      <c r="W37" s="400">
        <f t="shared" si="10"/>
        <v>0</v>
      </c>
      <c r="X37" s="157">
        <f t="shared" si="11"/>
        <v>44584</v>
      </c>
      <c r="Y37" s="383">
        <f t="shared" si="12"/>
        <v>27.641999999999999</v>
      </c>
      <c r="Z37" s="383">
        <f t="shared" si="13"/>
        <v>28.232542475647332</v>
      </c>
      <c r="AA37" s="384">
        <f t="shared" si="14"/>
        <v>30.633224165051416</v>
      </c>
      <c r="AB37" s="197">
        <f t="shared" si="15"/>
        <v>44584</v>
      </c>
      <c r="AC37" s="119">
        <f>IF(OR(t&lt;Tnet,NoTnet),'2021'!Resal_s+('2021'!Salim-'2021'!Resal_s)*(1-EXP(('2021'!Tnet_s-t)/'2021'!Tau_j)),Resal_s+(Salim-Resal_s)*(1-EXP((Tnet_s-t)/Tau_j)))*Salcycl</f>
        <v>7.8368560764914719E-2</v>
      </c>
      <c r="AD37" s="230">
        <f>(INDEX(Models!$BJ37:$BT37,,AH37)*(1-AF37)+INDEX(Models!$BJ37:$BT37,,AH37+1)*AF37-ERP_i)*AE37*Ramure*Pc/MaxiM</f>
        <v>2.2618155431746783E-3</v>
      </c>
      <c r="AE37" s="304">
        <f t="shared" si="16"/>
        <v>0.6</v>
      </c>
      <c r="AF37" s="177">
        <f t="shared" si="23"/>
        <v>1.3496447573439069E-4</v>
      </c>
      <c r="AG37" s="799">
        <f t="shared" si="24"/>
        <v>0</v>
      </c>
      <c r="AH37" s="176">
        <f t="shared" si="17"/>
        <v>6</v>
      </c>
      <c r="AI37" s="224">
        <f t="shared" si="18"/>
        <v>1.3496447573439069E-4</v>
      </c>
      <c r="AJ37" s="264" t="b">
        <f t="shared" si="19"/>
        <v>1</v>
      </c>
      <c r="AK37" s="264" t="b">
        <f t="shared" si="20"/>
        <v>0</v>
      </c>
      <c r="AL37" s="264"/>
      <c r="AM37" s="264"/>
      <c r="AN37" s="75"/>
    </row>
    <row r="38" spans="1:40" s="6" customFormat="1" ht="11.25" x14ac:dyDescent="0.2">
      <c r="A38" s="56">
        <f t="shared" si="21"/>
        <v>44585</v>
      </c>
      <c r="B38" s="1153">
        <v>28.177</v>
      </c>
      <c r="C38" s="388"/>
      <c r="D38" s="391">
        <f t="shared" si="0"/>
        <v>28.779523745189639</v>
      </c>
      <c r="E38" s="383">
        <f t="shared" si="1"/>
        <v>31.228907313314863</v>
      </c>
      <c r="F38" s="383">
        <f t="shared" si="2"/>
        <v>31.29840811546141</v>
      </c>
      <c r="G38" s="110">
        <f t="shared" si="22"/>
        <v>1.0136207234082972</v>
      </c>
      <c r="H38" s="412" t="b">
        <f>Wh_hp&gt;='2021'!Maxi_hp</f>
        <v>1</v>
      </c>
      <c r="I38" s="379">
        <f>IF(H38,Wh_hp,'2021'!Maxi_hp)</f>
        <v>31.29840811546141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2.093584836650908E-2</v>
      </c>
      <c r="M38" s="832"/>
      <c r="N38" s="832"/>
      <c r="O38" s="48">
        <f>IF(t&lt;Tnet,'2021'!Resal+('2021'!Salim-'2021'!Resal)*(1-EXP(('2021'!Tnet-t)/('2021'!Tau_j))),Resal+(Salim-Resal)*(1-EXP((Tnet-t)/(Tau_j))))*Salcycl</f>
        <v>7.8433213930635862E-2</v>
      </c>
      <c r="P38" s="169">
        <f>(INDEX(Models!$BJ38:$BT38,,T38)*(1-R38)+INDEX(Models!$BJ38:$BT38,,T38+1)*R38-ERP_i)*Q38*Ramure*Pc/MaxiM</f>
        <v>2.2205858486526405E-3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27.798366143556052</v>
      </c>
      <c r="W38" s="400">
        <f t="shared" si="10"/>
        <v>0</v>
      </c>
      <c r="X38" s="157">
        <f t="shared" si="11"/>
        <v>44585</v>
      </c>
      <c r="Y38" s="383">
        <f t="shared" si="12"/>
        <v>28.177</v>
      </c>
      <c r="Z38" s="383">
        <f t="shared" si="13"/>
        <v>28.779523745189639</v>
      </c>
      <c r="AA38" s="384">
        <f t="shared" si="14"/>
        <v>31.228907313314863</v>
      </c>
      <c r="AB38" s="197">
        <f t="shared" si="15"/>
        <v>44585</v>
      </c>
      <c r="AC38" s="119">
        <f>IF(OR(t&lt;Tnet,NoTnet),'2021'!Resal_s+('2021'!Salim-'2021'!Resal_s)*(1-EXP(('2021'!Tnet_s-t)/'2021'!Tau_j)),Resal_s+(Salim-Resal_s)*(1-EXP((Tnet_s-t)/Tau_j)))*Salcycl</f>
        <v>7.8433213930635862E-2</v>
      </c>
      <c r="AD38" s="230">
        <f>(INDEX(Models!$BJ38:$BT38,,AH38)*(1-AF38)+INDEX(Models!$BJ38:$BT38,,AH38+1)*AF38-ERP_i)*AE38*Ramure*Pc/MaxiM</f>
        <v>2.2205858486526405E-3</v>
      </c>
      <c r="AE38" s="304">
        <f t="shared" si="16"/>
        <v>0.6</v>
      </c>
      <c r="AF38" s="177">
        <f t="shared" si="23"/>
        <v>2.0681618596386743E-4</v>
      </c>
      <c r="AG38" s="799">
        <f t="shared" si="24"/>
        <v>0</v>
      </c>
      <c r="AH38" s="176">
        <f t="shared" si="17"/>
        <v>6</v>
      </c>
      <c r="AI38" s="224">
        <f t="shared" si="18"/>
        <v>2.0681618596386743E-4</v>
      </c>
      <c r="AJ38" s="264" t="b">
        <f t="shared" si="19"/>
        <v>1</v>
      </c>
      <c r="AK38" s="264" t="b">
        <f t="shared" si="20"/>
        <v>0</v>
      </c>
      <c r="AL38" s="264"/>
      <c r="AM38" s="264"/>
      <c r="AN38" s="75"/>
    </row>
    <row r="39" spans="1:40" s="6" customFormat="1" ht="11.25" x14ac:dyDescent="0.2">
      <c r="A39" s="56">
        <f t="shared" si="21"/>
        <v>44586</v>
      </c>
      <c r="B39" s="1153">
        <v>27.245000000000001</v>
      </c>
      <c r="C39" s="388"/>
      <c r="D39" s="391">
        <f t="shared" si="0"/>
        <v>27.82812761427266</v>
      </c>
      <c r="E39" s="383">
        <f t="shared" si="1"/>
        <v>30.198659783117435</v>
      </c>
      <c r="F39" s="383">
        <f t="shared" si="2"/>
        <v>30.261651120262506</v>
      </c>
      <c r="G39" s="110">
        <f t="shared" si="22"/>
        <v>0.96932068567307617</v>
      </c>
      <c r="H39" s="412" t="b">
        <f>Wh_hp&gt;='2021'!Maxi_hp</f>
        <v>1</v>
      </c>
      <c r="I39" s="379">
        <f>IF(H39,Wh_hp,'2021'!Maxi_hp)</f>
        <v>30.261651120262506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2.0954611907614717E-2</v>
      </c>
      <c r="M39" s="832"/>
      <c r="N39" s="832"/>
      <c r="O39" s="48">
        <f>IF(t&lt;Tnet,'2021'!Resal+('2021'!Salim-'2021'!Resal)*(1-EXP(('2021'!Tnet-t)/('2021'!Tau_j))),Resal+(Salim-Resal)*(1-EXP((Tnet-t)/(Tau_j))))*Salcycl</f>
        <v>7.8497926261284726E-2</v>
      </c>
      <c r="P39" s="169">
        <f>(INDEX(Models!$BJ39:$BT39,,T39)*(1-R39)+INDEX(Models!$BJ39:$BT39,,T39+1)*R39-ERP_i)*Q39*Ramure*Pc/MaxiM</f>
        <v>2.1766673032903496E-3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28.104634208412378</v>
      </c>
      <c r="W39" s="400">
        <f t="shared" si="10"/>
        <v>0</v>
      </c>
      <c r="X39" s="157">
        <f t="shared" si="11"/>
        <v>44586</v>
      </c>
      <c r="Y39" s="383">
        <f t="shared" si="12"/>
        <v>27.245000000000001</v>
      </c>
      <c r="Z39" s="383">
        <f t="shared" si="13"/>
        <v>27.82812761427266</v>
      </c>
      <c r="AA39" s="384">
        <f t="shared" si="14"/>
        <v>30.198659783117435</v>
      </c>
      <c r="AB39" s="197">
        <f t="shared" si="15"/>
        <v>44586</v>
      </c>
      <c r="AC39" s="119">
        <f>IF(OR(t&lt;Tnet,NoTnet),'2021'!Resal_s+('2021'!Salim-'2021'!Resal_s)*(1-EXP(('2021'!Tnet_s-t)/'2021'!Tau_j)),Resal_s+(Salim-Resal_s)*(1-EXP((Tnet_s-t)/Tau_j)))*Salcycl</f>
        <v>7.8497926261284726E-2</v>
      </c>
      <c r="AD39" s="230">
        <f>(INDEX(Models!$BJ39:$BT39,,AH39)*(1-AF39)+INDEX(Models!$BJ39:$BT39,,AH39+1)*AF39-ERP_i)*AE39*Ramure*Pc/MaxiM</f>
        <v>2.1766673032903496E-3</v>
      </c>
      <c r="AE39" s="304">
        <f t="shared" si="16"/>
        <v>0.6</v>
      </c>
      <c r="AF39" s="177">
        <f t="shared" si="23"/>
        <v>2.8166021737210055E-4</v>
      </c>
      <c r="AG39" s="799">
        <f t="shared" si="24"/>
        <v>0</v>
      </c>
      <c r="AH39" s="176">
        <f t="shared" si="17"/>
        <v>6</v>
      </c>
      <c r="AI39" s="224">
        <f t="shared" si="18"/>
        <v>2.8166021737210055E-4</v>
      </c>
      <c r="AJ39" s="264" t="b">
        <f t="shared" si="19"/>
        <v>1</v>
      </c>
      <c r="AK39" s="264" t="b">
        <f t="shared" si="20"/>
        <v>0</v>
      </c>
      <c r="AL39" s="264"/>
      <c r="AM39" s="264"/>
      <c r="AN39" s="75"/>
    </row>
    <row r="40" spans="1:40" s="6" customFormat="1" ht="11.25" x14ac:dyDescent="0.2">
      <c r="A40" s="56">
        <f t="shared" si="21"/>
        <v>44587</v>
      </c>
      <c r="B40" s="1153">
        <v>27.907</v>
      </c>
      <c r="C40" s="388"/>
      <c r="D40" s="391">
        <f t="shared" si="0"/>
        <v>28.504842759041807</v>
      </c>
      <c r="E40" s="383">
        <f t="shared" si="1"/>
        <v>30.93519522417828</v>
      </c>
      <c r="F40" s="383">
        <f t="shared" si="2"/>
        <v>30.999537323642969</v>
      </c>
      <c r="G40" s="110">
        <f t="shared" si="22"/>
        <v>0.98198199174056688</v>
      </c>
      <c r="H40" s="412" t="b">
        <f>Wh_hp&gt;='2021'!Maxi_hp</f>
        <v>1</v>
      </c>
      <c r="I40" s="379">
        <f>IF(H40,Wh_hp,'2021'!Maxi_hp)</f>
        <v>30.999537323642969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2.0973375089121338E-2</v>
      </c>
      <c r="M40" s="832"/>
      <c r="N40" s="832"/>
      <c r="O40" s="48">
        <f>IF(t&lt;Tnet,'2021'!Resal+('2021'!Salim-'2021'!Resal)*(1-EXP(('2021'!Tnet-t)/('2021'!Tau_j))),Resal+(Salim-Resal)*(1-EXP((Tnet-t)/(Tau_j))))*Salcycl</f>
        <v>7.8562700106607417E-2</v>
      </c>
      <c r="P40" s="169">
        <f>(INDEX(Models!$BJ40:$BT40,,T40)*(1-R40)+INDEX(Models!$BJ40:$BT40,,T40+1)*R40-ERP_i)*Q40*Ramure*Pc/MaxiM</f>
        <v>2.1302515532528855E-3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28.417497891315456</v>
      </c>
      <c r="W40" s="400">
        <f t="shared" si="10"/>
        <v>0</v>
      </c>
      <c r="X40" s="157">
        <f t="shared" si="11"/>
        <v>44587</v>
      </c>
      <c r="Y40" s="383">
        <f t="shared" si="12"/>
        <v>27.907</v>
      </c>
      <c r="Z40" s="383">
        <f t="shared" si="13"/>
        <v>28.504842759041807</v>
      </c>
      <c r="AA40" s="384">
        <f t="shared" si="14"/>
        <v>30.93519522417828</v>
      </c>
      <c r="AB40" s="197">
        <f t="shared" si="15"/>
        <v>44587</v>
      </c>
      <c r="AC40" s="119">
        <f>IF(OR(t&lt;Tnet,NoTnet),'2021'!Resal_s+('2021'!Salim-'2021'!Resal_s)*(1-EXP(('2021'!Tnet_s-t)/'2021'!Tau_j)),Resal_s+(Salim-Resal_s)*(1-EXP((Tnet_s-t)/Tau_j)))*Salcycl</f>
        <v>7.8562700106607417E-2</v>
      </c>
      <c r="AD40" s="230">
        <f>(INDEX(Models!$BJ40:$BT40,,AH40)*(1-AF40)+INDEX(Models!$BJ40:$BT40,,AH40+1)*AF40-ERP_i)*AE40*Ramure*Pc/MaxiM</f>
        <v>2.1302515532528855E-3</v>
      </c>
      <c r="AE40" s="304">
        <f t="shared" si="16"/>
        <v>0.6</v>
      </c>
      <c r="AF40" s="177">
        <f t="shared" si="23"/>
        <v>3.5962022976476922E-4</v>
      </c>
      <c r="AG40" s="799">
        <f t="shared" si="24"/>
        <v>0</v>
      </c>
      <c r="AH40" s="176">
        <f t="shared" si="17"/>
        <v>6</v>
      </c>
      <c r="AI40" s="224">
        <f t="shared" si="18"/>
        <v>3.5962022976476922E-4</v>
      </c>
      <c r="AJ40" s="264" t="b">
        <f t="shared" si="19"/>
        <v>1</v>
      </c>
      <c r="AK40" s="264" t="b">
        <f t="shared" si="20"/>
        <v>0</v>
      </c>
      <c r="AL40" s="264"/>
      <c r="AM40" s="264"/>
      <c r="AN40" s="75"/>
    </row>
    <row r="41" spans="1:40" s="6" customFormat="1" ht="11.25" x14ac:dyDescent="0.2">
      <c r="A41" s="56">
        <f t="shared" si="21"/>
        <v>44588</v>
      </c>
      <c r="B41" s="1153">
        <v>26.666</v>
      </c>
      <c r="C41" s="388"/>
      <c r="D41" s="391">
        <f t="shared" si="0"/>
        <v>27.237779217728914</v>
      </c>
      <c r="E41" s="383">
        <f t="shared" si="1"/>
        <v>29.562180677605536</v>
      </c>
      <c r="F41" s="383">
        <f t="shared" si="2"/>
        <v>29.617485688648788</v>
      </c>
      <c r="G41" s="110">
        <f t="shared" si="22"/>
        <v>0.92776370147389109</v>
      </c>
      <c r="H41" s="412" t="b">
        <f>Wh_hp&gt;='2021'!Maxi_hp</f>
        <v>1</v>
      </c>
      <c r="I41" s="379">
        <f>IF(H41,Wh_hp,'2021'!Maxi_hp)</f>
        <v>29.617485688648788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2.0992137911035935E-2</v>
      </c>
      <c r="M41" s="832"/>
      <c r="N41" s="832"/>
      <c r="O41" s="48">
        <f>IF(t&lt;Tnet,'2021'!Resal+('2021'!Salim-'2021'!Resal)*(1-EXP(('2021'!Tnet-t)/('2021'!Tau_j))),Resal+(Salim-Resal)*(1-EXP((Tnet-t)/(Tau_j))))*Salcycl</f>
        <v>7.8627537163976621E-2</v>
      </c>
      <c r="P41" s="169">
        <f>(INDEX(Models!$BJ41:$BT41,,T41)*(1-R41)+INDEX(Models!$BJ41:$BT41,,T41+1)*R41-ERP_i)*Q41*Ramure*Pc/MaxiM</f>
        <v>2.0815190169712699E-3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28.736064106858443</v>
      </c>
      <c r="W41" s="400">
        <f t="shared" si="10"/>
        <v>0</v>
      </c>
      <c r="X41" s="157">
        <f t="shared" si="11"/>
        <v>44588</v>
      </c>
      <c r="Y41" s="383">
        <f t="shared" si="12"/>
        <v>26.666</v>
      </c>
      <c r="Z41" s="383">
        <f t="shared" si="13"/>
        <v>27.237779217728914</v>
      </c>
      <c r="AA41" s="384">
        <f t="shared" si="14"/>
        <v>29.562180677605536</v>
      </c>
      <c r="AB41" s="197">
        <f t="shared" si="15"/>
        <v>44588</v>
      </c>
      <c r="AC41" s="119">
        <f>IF(OR(t&lt;Tnet,NoTnet),'2021'!Resal_s+('2021'!Salim-'2021'!Resal_s)*(1-EXP(('2021'!Tnet_s-t)/'2021'!Tau_j)),Resal_s+(Salim-Resal_s)*(1-EXP((Tnet_s-t)/Tau_j)))*Salcycl</f>
        <v>7.8627537163976621E-2</v>
      </c>
      <c r="AD41" s="230">
        <f>(INDEX(Models!$BJ41:$BT41,,AH41)*(1-AF41)+INDEX(Models!$BJ41:$BT41,,AH41+1)*AF41-ERP_i)*AE41*Ramure*Pc/MaxiM</f>
        <v>2.0815190169712699E-3</v>
      </c>
      <c r="AE41" s="304">
        <f t="shared" si="16"/>
        <v>0.6</v>
      </c>
      <c r="AF41" s="177">
        <f t="shared" si="23"/>
        <v>4.4082491158651139E-4</v>
      </c>
      <c r="AG41" s="799">
        <f t="shared" si="24"/>
        <v>0</v>
      </c>
      <c r="AH41" s="176">
        <f t="shared" si="17"/>
        <v>6</v>
      </c>
      <c r="AI41" s="224">
        <f t="shared" si="18"/>
        <v>4.4082491158651139E-4</v>
      </c>
      <c r="AJ41" s="264" t="b">
        <f t="shared" si="19"/>
        <v>1</v>
      </c>
      <c r="AK41" s="264" t="b">
        <f t="shared" si="20"/>
        <v>0</v>
      </c>
      <c r="AL41" s="264"/>
      <c r="AM41" s="264"/>
      <c r="AN41" s="75"/>
    </row>
    <row r="42" spans="1:40" s="6" customFormat="1" ht="11.25" x14ac:dyDescent="0.2">
      <c r="A42" s="56">
        <f t="shared" si="21"/>
        <v>44589</v>
      </c>
      <c r="B42" s="1153">
        <v>4.2140000000000004</v>
      </c>
      <c r="C42" s="388"/>
      <c r="D42" s="391">
        <f t="shared" si="0"/>
        <v>4.3044401634370892</v>
      </c>
      <c r="E42" s="383">
        <f t="shared" si="1"/>
        <v>4.6720990284646025</v>
      </c>
      <c r="F42" s="383">
        <f t="shared" si="2"/>
        <v>4.6720990284646025</v>
      </c>
      <c r="G42" s="110">
        <f t="shared" si="22"/>
        <v>0.14471864807665361</v>
      </c>
      <c r="H42" s="412" t="b">
        <f>Wh_hp&gt;='2021'!Maxi_hp</f>
        <v>0</v>
      </c>
      <c r="I42" s="379">
        <f>IF(H42,Wh_hp,'2021'!Maxi_hp)</f>
        <v>18.471919028830147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2.1010900373365282E-2</v>
      </c>
      <c r="M42" s="832"/>
      <c r="N42" s="832"/>
      <c r="O42" s="48">
        <f>IF(t&lt;Tnet,'2021'!Resal+('2021'!Salim-'2021'!Resal)*(1-EXP(('2021'!Tnet-t)/('2021'!Tau_j))),Resal+(Salim-Resal)*(1-EXP((Tnet-t)/(Tau_j))))*Salcycl</f>
        <v>7.8692438406712667E-2</v>
      </c>
      <c r="P42" s="169">
        <f>(INDEX(Models!$BJ42:$BT42,,T42)*(1-R42)+INDEX(Models!$BJ42:$BT42,,T42+1)*R42-ERP_i)*Q42*Ramure*Pc/MaxiM</f>
        <v>2.0306383055719197E-3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29.059440134852625</v>
      </c>
      <c r="W42" s="400">
        <f t="shared" si="10"/>
        <v>0</v>
      </c>
      <c r="X42" s="157">
        <f t="shared" si="11"/>
        <v>44589</v>
      </c>
      <c r="Y42" s="383">
        <f t="shared" si="12"/>
        <v>4.2140000000000004</v>
      </c>
      <c r="Z42" s="383">
        <f t="shared" si="13"/>
        <v>4.3044401634370892</v>
      </c>
      <c r="AA42" s="384">
        <f t="shared" si="14"/>
        <v>4.6720990284646025</v>
      </c>
      <c r="AB42" s="197">
        <f t="shared" si="15"/>
        <v>44589</v>
      </c>
      <c r="AC42" s="119">
        <f>IF(OR(t&lt;Tnet,NoTnet),'2021'!Resal_s+('2021'!Salim-'2021'!Resal_s)*(1-EXP(('2021'!Tnet_s-t)/'2021'!Tau_j)),Resal_s+(Salim-Resal_s)*(1-EXP((Tnet_s-t)/Tau_j)))*Salcycl</f>
        <v>7.8692438406712667E-2</v>
      </c>
      <c r="AD42" s="230">
        <f>(INDEX(Models!$BJ42:$BT42,,AH42)*(1-AF42)+INDEX(Models!$BJ42:$BT42,,AH42+1)*AF42-ERP_i)*AE42*Ramure*Pc/MaxiM</f>
        <v>2.0306383055719197E-3</v>
      </c>
      <c r="AE42" s="304">
        <f t="shared" si="16"/>
        <v>0.6</v>
      </c>
      <c r="AF42" s="177">
        <f t="shared" si="23"/>
        <v>5.2540817743246368E-4</v>
      </c>
      <c r="AG42" s="799">
        <f t="shared" si="24"/>
        <v>0</v>
      </c>
      <c r="AH42" s="176">
        <f t="shared" si="17"/>
        <v>6</v>
      </c>
      <c r="AI42" s="224">
        <f t="shared" si="18"/>
        <v>5.2540817743246368E-4</v>
      </c>
      <c r="AJ42" s="264" t="b">
        <f t="shared" si="19"/>
        <v>1</v>
      </c>
      <c r="AK42" s="264" t="b">
        <f t="shared" si="20"/>
        <v>0</v>
      </c>
      <c r="AL42" s="264"/>
      <c r="AM42" s="264"/>
      <c r="AN42" s="75"/>
    </row>
    <row r="43" spans="1:40" s="6" customFormat="1" ht="11.25" x14ac:dyDescent="0.2">
      <c r="A43" s="56">
        <f t="shared" si="21"/>
        <v>44590</v>
      </c>
      <c r="B43" s="1153">
        <v>8.8940000000000001</v>
      </c>
      <c r="C43" s="388"/>
      <c r="D43" s="391">
        <f t="shared" si="0"/>
        <v>9.0850556539799303</v>
      </c>
      <c r="E43" s="383">
        <f t="shared" si="1"/>
        <v>9.8617407550330256</v>
      </c>
      <c r="F43" s="383">
        <f t="shared" si="2"/>
        <v>9.8618146925919881</v>
      </c>
      <c r="G43" s="110">
        <f t="shared" si="22"/>
        <v>0.30205726217124096</v>
      </c>
      <c r="H43" s="412" t="b">
        <f>Wh_hp&gt;='2021'!Maxi_hp</f>
        <v>0</v>
      </c>
      <c r="I43" s="379">
        <f>IF(H43,Wh_hp,'2021'!Maxi_hp)</f>
        <v>19.775703807846384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2.1029662476116262E-2</v>
      </c>
      <c r="M43" s="832"/>
      <c r="N43" s="832"/>
      <c r="O43" s="48">
        <f>IF(t&lt;Tnet,'2021'!Resal+('2021'!Salim-'2021'!Resal)*(1-EXP(('2021'!Tnet-t)/('2021'!Tau_j))),Resal+(Salim-Resal)*(1-EXP((Tnet-t)/(Tau_j))))*Salcycl</f>
        <v>7.875740402694198E-2</v>
      </c>
      <c r="P43" s="169">
        <f>(INDEX(Models!$BJ43:$BT43,,T43)*(1-R43)+INDEX(Models!$BJ43:$BT43,,T43+1)*R43-ERP_i)*Q43*Ramure*Pc/MaxiM</f>
        <v>1.977765839153359E-3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29.386733617807469</v>
      </c>
      <c r="W43" s="400">
        <f t="shared" si="10"/>
        <v>0</v>
      </c>
      <c r="X43" s="157">
        <f t="shared" si="11"/>
        <v>44590</v>
      </c>
      <c r="Y43" s="383">
        <f t="shared" si="12"/>
        <v>8.8940000000000001</v>
      </c>
      <c r="Z43" s="383">
        <f t="shared" si="13"/>
        <v>9.0850556539799303</v>
      </c>
      <c r="AA43" s="384">
        <f t="shared" si="14"/>
        <v>9.8617407550330256</v>
      </c>
      <c r="AB43" s="197">
        <f t="shared" si="15"/>
        <v>44590</v>
      </c>
      <c r="AC43" s="119">
        <f>IF(OR(t&lt;Tnet,NoTnet),'2021'!Resal_s+('2021'!Salim-'2021'!Resal_s)*(1-EXP(('2021'!Tnet_s-t)/'2021'!Tau_j)),Resal_s+(Salim-Resal_s)*(1-EXP((Tnet_s-t)/Tau_j)))*Salcycl</f>
        <v>7.875740402694198E-2</v>
      </c>
      <c r="AD43" s="230">
        <f>(INDEX(Models!$BJ43:$BT43,,AH43)*(1-AF43)+INDEX(Models!$BJ43:$BT43,,AH43+1)*AF43-ERP_i)*AE43*Ramure*Pc/MaxiM</f>
        <v>1.977765839153359E-3</v>
      </c>
      <c r="AE43" s="304">
        <f t="shared" si="16"/>
        <v>0.6</v>
      </c>
      <c r="AF43" s="177">
        <f t="shared" si="23"/>
        <v>6.1350937271773681E-4</v>
      </c>
      <c r="AG43" s="799">
        <f t="shared" si="24"/>
        <v>0</v>
      </c>
      <c r="AH43" s="176">
        <f t="shared" si="17"/>
        <v>6</v>
      </c>
      <c r="AI43" s="224">
        <f t="shared" si="18"/>
        <v>6.1350937271773681E-4</v>
      </c>
      <c r="AJ43" s="264" t="b">
        <f t="shared" si="19"/>
        <v>1</v>
      </c>
      <c r="AK43" s="264" t="b">
        <f t="shared" si="20"/>
        <v>0</v>
      </c>
      <c r="AL43" s="264"/>
      <c r="AM43" s="264"/>
      <c r="AN43" s="75"/>
    </row>
    <row r="44" spans="1:40" s="6" customFormat="1" ht="11.25" x14ac:dyDescent="0.2">
      <c r="A44" s="56">
        <f t="shared" si="21"/>
        <v>44591</v>
      </c>
      <c r="B44" s="1153">
        <v>4.593</v>
      </c>
      <c r="C44" s="388"/>
      <c r="D44" s="391">
        <f t="shared" si="0"/>
        <v>4.6917540291378854</v>
      </c>
      <c r="E44" s="383">
        <f t="shared" si="1"/>
        <v>5.0932135119408084</v>
      </c>
      <c r="F44" s="383">
        <f t="shared" si="2"/>
        <v>5.0932135119408084</v>
      </c>
      <c r="G44" s="110">
        <f t="shared" si="22"/>
        <v>0.15426050213068826</v>
      </c>
      <c r="H44" s="412" t="b">
        <f>Wh_hp&gt;='2021'!Maxi_hp</f>
        <v>0</v>
      </c>
      <c r="I44" s="379">
        <f>IF(H44,Wh_hp,'2021'!Maxi_hp)</f>
        <v>11.80160840972839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2.104842421929598E-2</v>
      </c>
      <c r="M44" s="832"/>
      <c r="N44" s="832"/>
      <c r="O44" s="48">
        <f>IF(t&lt;Tnet,'2021'!Resal+('2021'!Salim-'2021'!Resal)*(1-EXP(('2021'!Tnet-t)/('2021'!Tau_j))),Resal+(Salim-Resal)*(1-EXP((Tnet-t)/(Tau_j))))*Salcycl</f>
        <v>7.8822433393322136E-2</v>
      </c>
      <c r="P44" s="169">
        <f>(INDEX(Models!$BJ44:$BT44,,T44)*(1-R44)+INDEX(Models!$BJ44:$BT44,,T44+1)*R44-ERP_i)*Q44*Ramure*Pc/MaxiM</f>
        <v>1.9240889670482076E-3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29.717021506196595</v>
      </c>
      <c r="W44" s="400">
        <f t="shared" si="10"/>
        <v>0</v>
      </c>
      <c r="X44" s="157">
        <f t="shared" si="11"/>
        <v>44591</v>
      </c>
      <c r="Y44" s="383">
        <f t="shared" si="12"/>
        <v>4.593</v>
      </c>
      <c r="Z44" s="383">
        <f t="shared" si="13"/>
        <v>4.6917540291378854</v>
      </c>
      <c r="AA44" s="384">
        <f t="shared" si="14"/>
        <v>5.0932135119408084</v>
      </c>
      <c r="AB44" s="197">
        <f t="shared" si="15"/>
        <v>44591</v>
      </c>
      <c r="AC44" s="119">
        <f>IF(OR(t&lt;Tnet,NoTnet),'2021'!Resal_s+('2021'!Salim-'2021'!Resal_s)*(1-EXP(('2021'!Tnet_s-t)/'2021'!Tau_j)),Resal_s+(Salim-Resal_s)*(1-EXP((Tnet_s-t)/Tau_j)))*Salcycl</f>
        <v>7.8822433393322136E-2</v>
      </c>
      <c r="AD44" s="230">
        <f>(INDEX(Models!$BJ44:$BT44,,AH44)*(1-AF44)+INDEX(Models!$BJ44:$BT44,,AH44+1)*AF44-ERP_i)*AE44*Ramure*Pc/MaxiM</f>
        <v>1.9240889670482076E-3</v>
      </c>
      <c r="AE44" s="304">
        <f t="shared" si="16"/>
        <v>0.6</v>
      </c>
      <c r="AF44" s="177">
        <f t="shared" si="23"/>
        <v>7.0527348571120842E-4</v>
      </c>
      <c r="AG44" s="799">
        <f t="shared" si="24"/>
        <v>0</v>
      </c>
      <c r="AH44" s="176">
        <f t="shared" si="17"/>
        <v>6</v>
      </c>
      <c r="AI44" s="224">
        <f t="shared" si="18"/>
        <v>7.0527348571120842E-4</v>
      </c>
      <c r="AJ44" s="264" t="b">
        <f t="shared" si="19"/>
        <v>1</v>
      </c>
      <c r="AK44" s="264" t="b">
        <f t="shared" si="20"/>
        <v>0</v>
      </c>
      <c r="AL44" s="264"/>
      <c r="AM44" s="264"/>
      <c r="AN44" s="75"/>
    </row>
    <row r="45" spans="1:40" s="6" customFormat="1" ht="11.25" x14ac:dyDescent="0.2">
      <c r="A45" s="56">
        <f t="shared" si="21"/>
        <v>44592</v>
      </c>
      <c r="B45" s="1153">
        <v>7.6160000000000005</v>
      </c>
      <c r="C45" s="388"/>
      <c r="D45" s="391">
        <f t="shared" si="0"/>
        <v>7.7799006101257193</v>
      </c>
      <c r="E45" s="383">
        <f t="shared" si="1"/>
        <v>8.4462004602931362</v>
      </c>
      <c r="F45" s="383">
        <f t="shared" si="2"/>
        <v>8.4462004602931362</v>
      </c>
      <c r="G45" s="110">
        <f t="shared" si="22"/>
        <v>0.25297534208314532</v>
      </c>
      <c r="H45" s="412" t="b">
        <f>Wh_hp&gt;='2021'!Maxi_hp</f>
        <v>0</v>
      </c>
      <c r="I45" s="379">
        <f>IF(H45,Wh_hp,'2021'!Maxi_hp)</f>
        <v>23.12427848668732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2.1067185602910987E-2</v>
      </c>
      <c r="M45" s="832"/>
      <c r="N45" s="832"/>
      <c r="O45" s="48">
        <f>IF(t&lt;Tnet,'2021'!Resal+('2021'!Salim-'2021'!Resal)*(1-EXP(('2021'!Tnet-t)/('2021'!Tau_j))),Resal+(Salim-Resal)*(1-EXP((Tnet-t)/(Tau_j))))*Salcycl</f>
        <v>7.8887525023801336E-2</v>
      </c>
      <c r="P45" s="169">
        <f>(INDEX(Models!$BJ45:$BT45,,T45)*(1-R45)+INDEX(Models!$BJ45:$BT45,,T45+1)*R45-ERP_i)*Q45*Ramure*Pc/MaxiM</f>
        <v>1.872620996148865E-3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30.04932439618905</v>
      </c>
      <c r="W45" s="400">
        <f t="shared" si="10"/>
        <v>0</v>
      </c>
      <c r="X45" s="157">
        <f t="shared" si="11"/>
        <v>44592</v>
      </c>
      <c r="Y45" s="383">
        <f t="shared" si="12"/>
        <v>7.6159999999999997</v>
      </c>
      <c r="Z45" s="383">
        <f t="shared" si="13"/>
        <v>7.7799006101257184</v>
      </c>
      <c r="AA45" s="384">
        <f t="shared" si="14"/>
        <v>8.4462004602931362</v>
      </c>
      <c r="AB45" s="197">
        <f t="shared" si="15"/>
        <v>44592</v>
      </c>
      <c r="AC45" s="119">
        <f>IF(OR(t&lt;Tnet,NoTnet),'2021'!Resal_s+('2021'!Salim-'2021'!Resal_s)*(1-EXP(('2021'!Tnet_s-t)/'2021'!Tau_j)),Resal_s+(Salim-Resal_s)*(1-EXP((Tnet_s-t)/Tau_j)))*Salcycl</f>
        <v>7.8887525023801336E-2</v>
      </c>
      <c r="AD45" s="230">
        <f>(INDEX(Models!$BJ45:$BT45,,AH45)*(1-AF45)+INDEX(Models!$BJ45:$BT45,,AH45+1)*AF45-ERP_i)*AE45*Ramure*Pc/MaxiM</f>
        <v>1.872620996148865E-3</v>
      </c>
      <c r="AE45" s="304">
        <f t="shared" si="16"/>
        <v>0.6</v>
      </c>
      <c r="AF45" s="177">
        <f t="shared" si="23"/>
        <v>8.0085136714126877E-4</v>
      </c>
      <c r="AG45" s="799">
        <f t="shared" si="24"/>
        <v>0</v>
      </c>
      <c r="AH45" s="176">
        <f t="shared" si="17"/>
        <v>6</v>
      </c>
      <c r="AI45" s="224">
        <f t="shared" si="18"/>
        <v>8.0085136714126877E-4</v>
      </c>
      <c r="AJ45" s="264" t="b">
        <f t="shared" si="19"/>
        <v>1</v>
      </c>
      <c r="AK45" s="264" t="b">
        <f t="shared" si="20"/>
        <v>0</v>
      </c>
      <c r="AL45" s="264"/>
      <c r="AM45" s="264"/>
      <c r="AN45" s="75"/>
    </row>
    <row r="46" spans="1:40" s="6" customFormat="1" ht="11.25" x14ac:dyDescent="0.2">
      <c r="A46" s="56">
        <f t="shared" si="21"/>
        <v>44593</v>
      </c>
      <c r="B46" s="1153">
        <v>12.638</v>
      </c>
      <c r="C46" s="388"/>
      <c r="D46" s="391">
        <f t="shared" si="0"/>
        <v>12.910224300543451</v>
      </c>
      <c r="E46" s="383">
        <f t="shared" si="1"/>
        <v>14.016895736164171</v>
      </c>
      <c r="F46" s="383">
        <f t="shared" si="2"/>
        <v>14.021130827306354</v>
      </c>
      <c r="G46" s="110">
        <f t="shared" si="22"/>
        <v>0.4153267082061623</v>
      </c>
      <c r="H46" s="412" t="b">
        <f>Wh_hp&gt;='2021'!Maxi_hp</f>
        <v>1</v>
      </c>
      <c r="I46" s="379">
        <f>IF(H46,Wh_hp,'2021'!Maxi_hp)</f>
        <v>14.021130827306354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2.1085946626968499E-2</v>
      </c>
      <c r="M46" s="832"/>
      <c r="N46" s="832"/>
      <c r="O46" s="48">
        <f>IF(t&lt;Tnet,'2021'!Resal+('2021'!Salim-'2021'!Resal)*(1-EXP(('2021'!Tnet-t)/('2021'!Tau_j))),Resal+(Salim-Resal)*(1-EXP((Tnet-t)/(Tau_j))))*Salcycl</f>
        <v>7.8952676573420033E-2</v>
      </c>
      <c r="P46" s="169">
        <f>(INDEX(Models!$BJ46:$BT46,,T46)*(1-R46)+INDEX(Models!$BJ46:$BT46,,T46+1)*R46-ERP_i)*Q46*Ramure*Pc/MaxiM</f>
        <v>1.8233526699457166E-3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30.382751039643043</v>
      </c>
      <c r="W46" s="400">
        <f t="shared" si="10"/>
        <v>0</v>
      </c>
      <c r="X46" s="157">
        <f t="shared" si="11"/>
        <v>44593</v>
      </c>
      <c r="Y46" s="383">
        <f t="shared" si="12"/>
        <v>12.638</v>
      </c>
      <c r="Z46" s="383">
        <f t="shared" si="13"/>
        <v>12.910224300543451</v>
      </c>
      <c r="AA46" s="384">
        <f t="shared" si="14"/>
        <v>14.016895736164171</v>
      </c>
      <c r="AB46" s="197">
        <f t="shared" si="15"/>
        <v>44593</v>
      </c>
      <c r="AC46" s="119">
        <f>IF(OR(t&lt;Tnet,NoTnet),'2021'!Resal_s+('2021'!Salim-'2021'!Resal_s)*(1-EXP(('2021'!Tnet_s-t)/'2021'!Tau_j)),Resal_s+(Salim-Resal_s)*(1-EXP((Tnet_s-t)/Tau_j)))*Salcycl</f>
        <v>7.8952676573420033E-2</v>
      </c>
      <c r="AD46" s="230">
        <f>(INDEX(Models!$BJ46:$BT46,,AH46)*(1-AF46)+INDEX(Models!$BJ46:$BT46,,AH46+1)*AF46-ERP_i)*AE46*Ramure*Pc/MaxiM</f>
        <v>1.8233526699457166E-3</v>
      </c>
      <c r="AE46" s="304">
        <f t="shared" si="16"/>
        <v>0.6</v>
      </c>
      <c r="AF46" s="177">
        <f t="shared" si="23"/>
        <v>9.0039995758174336E-4</v>
      </c>
      <c r="AG46" s="799">
        <f t="shared" si="24"/>
        <v>0</v>
      </c>
      <c r="AH46" s="176">
        <f t="shared" si="17"/>
        <v>6</v>
      </c>
      <c r="AI46" s="224">
        <f t="shared" si="18"/>
        <v>9.0039995758174336E-4</v>
      </c>
      <c r="AJ46" s="264" t="b">
        <f t="shared" si="19"/>
        <v>1</v>
      </c>
      <c r="AK46" s="264" t="b">
        <f t="shared" si="20"/>
        <v>0</v>
      </c>
      <c r="AL46" s="264"/>
      <c r="AM46" s="264"/>
      <c r="AN46" s="75"/>
    </row>
    <row r="47" spans="1:40" s="6" customFormat="1" ht="11.25" x14ac:dyDescent="0.2">
      <c r="A47" s="56">
        <f t="shared" si="21"/>
        <v>44594</v>
      </c>
      <c r="B47" s="1153">
        <v>5.335</v>
      </c>
      <c r="C47" s="388"/>
      <c r="D47" s="391">
        <f t="shared" si="0"/>
        <v>5.4500211000488958</v>
      </c>
      <c r="E47" s="383">
        <f t="shared" si="1"/>
        <v>5.9176188226894695</v>
      </c>
      <c r="F47" s="383">
        <f t="shared" si="2"/>
        <v>5.9176188226894695</v>
      </c>
      <c r="G47" s="110">
        <f t="shared" si="22"/>
        <v>0.17337714634251239</v>
      </c>
      <c r="H47" s="412" t="b">
        <f>Wh_hp&gt;='2021'!Maxi_hp</f>
        <v>0</v>
      </c>
      <c r="I47" s="379">
        <f>IF(H47,Wh_hp,'2021'!Maxi_hp)</f>
        <v>29.977059055663016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2.1104707291475178E-2</v>
      </c>
      <c r="M47" s="832"/>
      <c r="N47" s="832"/>
      <c r="O47" s="48">
        <f>IF(t&lt;Tnet,'2021'!Resal+('2021'!Salim-'2021'!Resal)*(1-EXP(('2021'!Tnet-t)/('2021'!Tau_j))),Resal+(Salim-Resal)*(1-EXP((Tnet-t)/(Tau_j))))*Salcycl</f>
        <v>7.901788483700567E-2</v>
      </c>
      <c r="P47" s="169">
        <f>(INDEX(Models!$BJ47:$BT47,,T47)*(1-R47)+INDEX(Models!$BJ47:$BT47,,T47+1)*R47-ERP_i)*Q47*Ramure*Pc/MaxiM</f>
        <v>1.7762684361707984E-3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30.716410554896768</v>
      </c>
      <c r="W47" s="400">
        <f t="shared" si="10"/>
        <v>0</v>
      </c>
      <c r="X47" s="157">
        <f t="shared" si="11"/>
        <v>44594</v>
      </c>
      <c r="Y47" s="383">
        <f t="shared" si="12"/>
        <v>5.335</v>
      </c>
      <c r="Z47" s="383">
        <f t="shared" si="13"/>
        <v>5.4500211000488958</v>
      </c>
      <c r="AA47" s="384">
        <f t="shared" si="14"/>
        <v>5.9176188226894695</v>
      </c>
      <c r="AB47" s="197">
        <f t="shared" si="15"/>
        <v>44594</v>
      </c>
      <c r="AC47" s="119">
        <f>IF(OR(t&lt;Tnet,NoTnet),'2021'!Resal_s+('2021'!Salim-'2021'!Resal_s)*(1-EXP(('2021'!Tnet_s-t)/'2021'!Tau_j)),Resal_s+(Salim-Resal_s)*(1-EXP((Tnet_s-t)/Tau_j)))*Salcycl</f>
        <v>7.901788483700567E-2</v>
      </c>
      <c r="AD47" s="230">
        <f>(INDEX(Models!$BJ47:$BT47,,AH47)*(1-AF47)+INDEX(Models!$BJ47:$BT47,,AH47+1)*AF47-ERP_i)*AE47*Ramure*Pc/MaxiM</f>
        <v>1.7762684361707984E-3</v>
      </c>
      <c r="AE47" s="304">
        <f t="shared" si="16"/>
        <v>0.6</v>
      </c>
      <c r="AF47" s="177">
        <f t="shared" si="23"/>
        <v>1.0040825228266239E-3</v>
      </c>
      <c r="AG47" s="799">
        <f t="shared" si="24"/>
        <v>0</v>
      </c>
      <c r="AH47" s="176">
        <f t="shared" si="17"/>
        <v>6</v>
      </c>
      <c r="AI47" s="224">
        <f t="shared" si="18"/>
        <v>1.0040825228266239E-3</v>
      </c>
      <c r="AJ47" s="264" t="b">
        <f t="shared" si="19"/>
        <v>1</v>
      </c>
      <c r="AK47" s="264" t="b">
        <f t="shared" si="20"/>
        <v>0</v>
      </c>
      <c r="AL47" s="264"/>
      <c r="AM47" s="264"/>
      <c r="AN47" s="75"/>
    </row>
    <row r="48" spans="1:40" s="6" customFormat="1" ht="11.25" x14ac:dyDescent="0.2">
      <c r="A48" s="56">
        <f t="shared" si="21"/>
        <v>44595</v>
      </c>
      <c r="B48" s="1153">
        <v>10.47</v>
      </c>
      <c r="C48" s="388"/>
      <c r="D48" s="391">
        <f t="shared" si="0"/>
        <v>10.695935241487154</v>
      </c>
      <c r="E48" s="383">
        <f t="shared" si="1"/>
        <v>11.61444183838849</v>
      </c>
      <c r="F48" s="383">
        <f t="shared" si="2"/>
        <v>11.615510694827195</v>
      </c>
      <c r="G48" s="110">
        <f t="shared" si="22"/>
        <v>0.33665160931346699</v>
      </c>
      <c r="H48" s="412" t="b">
        <f>Wh_hp&gt;='2021'!Maxi_hp</f>
        <v>0</v>
      </c>
      <c r="I48" s="379">
        <f>IF(H48,Wh_hp,'2021'!Maxi_hp)</f>
        <v>27.588451395254136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2.1123467596438017E-2</v>
      </c>
      <c r="M48" s="832"/>
      <c r="N48" s="832"/>
      <c r="O48" s="48">
        <f>IF(t&lt;Tnet,'2021'!Resal+('2021'!Salim-'2021'!Resal)*(1-EXP(('2021'!Tnet-t)/('2021'!Tau_j))),Resal+(Salim-Resal)*(1-EXP((Tnet-t)/(Tau_j))))*Salcycl</f>
        <v>7.9083145766458862E-2</v>
      </c>
      <c r="P48" s="169">
        <f>(INDEX(Models!$BJ48:$BT48,,T48)*(1-R48)+INDEX(Models!$BJ48:$BT48,,T48+1)*R48-ERP_i)*Q48*Ramure*Pc/MaxiM</f>
        <v>1.7313474605761174E-3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31.049412419800866</v>
      </c>
      <c r="W48" s="400">
        <f t="shared" si="10"/>
        <v>0</v>
      </c>
      <c r="X48" s="157">
        <f t="shared" si="11"/>
        <v>44595</v>
      </c>
      <c r="Y48" s="383">
        <f t="shared" si="12"/>
        <v>10.47</v>
      </c>
      <c r="Z48" s="383">
        <f t="shared" si="13"/>
        <v>10.695935241487154</v>
      </c>
      <c r="AA48" s="384">
        <f t="shared" si="14"/>
        <v>11.61444183838849</v>
      </c>
      <c r="AB48" s="197">
        <f t="shared" si="15"/>
        <v>44595</v>
      </c>
      <c r="AC48" s="119">
        <f>IF(OR(t&lt;Tnet,NoTnet),'2021'!Resal_s+('2021'!Salim-'2021'!Resal_s)*(1-EXP(('2021'!Tnet_s-t)/'2021'!Tau_j)),Resal_s+(Salim-Resal_s)*(1-EXP((Tnet_s-t)/Tau_j)))*Salcycl</f>
        <v>7.9083145766458862E-2</v>
      </c>
      <c r="AD48" s="230">
        <f>(INDEX(Models!$BJ48:$BT48,,AH48)*(1-AF48)+INDEX(Models!$BJ48:$BT48,,AH48+1)*AF48-ERP_i)*AE48*Ramure*Pc/MaxiM</f>
        <v>1.7313474605761174E-3</v>
      </c>
      <c r="AE48" s="304">
        <f t="shared" si="16"/>
        <v>0.6</v>
      </c>
      <c r="AF48" s="177">
        <f t="shared" si="23"/>
        <v>1.1120688974596074E-3</v>
      </c>
      <c r="AG48" s="799">
        <f t="shared" si="24"/>
        <v>0</v>
      </c>
      <c r="AH48" s="176">
        <f t="shared" si="17"/>
        <v>6</v>
      </c>
      <c r="AI48" s="224">
        <f t="shared" si="18"/>
        <v>1.1120688974596074E-3</v>
      </c>
      <c r="AJ48" s="264" t="b">
        <f t="shared" si="19"/>
        <v>1</v>
      </c>
      <c r="AK48" s="264" t="b">
        <f t="shared" si="20"/>
        <v>0</v>
      </c>
      <c r="AL48" s="264"/>
      <c r="AM48" s="264"/>
      <c r="AN48" s="75"/>
    </row>
    <row r="49" spans="1:40" s="6" customFormat="1" ht="11.25" x14ac:dyDescent="0.2">
      <c r="A49" s="56">
        <f t="shared" si="21"/>
        <v>44596</v>
      </c>
      <c r="B49" s="1153">
        <v>10.311999999999999</v>
      </c>
      <c r="C49" s="388"/>
      <c r="D49" s="391">
        <f t="shared" si="0"/>
        <v>10.534727608183777</v>
      </c>
      <c r="E49" s="383">
        <f t="shared" si="1"/>
        <v>11.440201908428847</v>
      </c>
      <c r="F49" s="383">
        <f t="shared" si="2"/>
        <v>11.440991439026538</v>
      </c>
      <c r="G49" s="110">
        <f t="shared" si="22"/>
        <v>0.32807564436446934</v>
      </c>
      <c r="H49" s="412" t="b">
        <f>Wh_hp&gt;='2021'!Maxi_hp</f>
        <v>0</v>
      </c>
      <c r="I49" s="379">
        <f>IF(H49,Wh_hp,'2021'!Maxi_hp)</f>
        <v>19.347515119040757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2.1142227541863901E-2</v>
      </c>
      <c r="M49" s="832"/>
      <c r="N49" s="832"/>
      <c r="O49" s="48">
        <f>IF(t&lt;Tnet,'2021'!Resal+('2021'!Salim-'2021'!Resal)*(1-EXP(('2021'!Tnet-t)/('2021'!Tau_j))),Resal+(Salim-Resal)*(1-EXP((Tnet-t)/(Tau_j))))*Salcycl</f>
        <v>7.9148454502183246E-2</v>
      </c>
      <c r="P49" s="169">
        <f>(INDEX(Models!$BJ49:$BT49,,T49)*(1-R49)+INDEX(Models!$BJ49:$BT49,,T49+1)*R49-ERP_i)*Q49*Ramure*Pc/MaxiM</f>
        <v>1.6885645675154442E-3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31.380866475595568</v>
      </c>
      <c r="W49" s="400">
        <f t="shared" si="10"/>
        <v>0</v>
      </c>
      <c r="X49" s="157">
        <f t="shared" si="11"/>
        <v>44596</v>
      </c>
      <c r="Y49" s="383">
        <f t="shared" si="12"/>
        <v>10.311999999999999</v>
      </c>
      <c r="Z49" s="383">
        <f t="shared" si="13"/>
        <v>10.534727608183777</v>
      </c>
      <c r="AA49" s="384">
        <f t="shared" si="14"/>
        <v>11.440201908428847</v>
      </c>
      <c r="AB49" s="197">
        <f t="shared" si="15"/>
        <v>44596</v>
      </c>
      <c r="AC49" s="119">
        <f>IF(OR(t&lt;Tnet,NoTnet),'2021'!Resal_s+('2021'!Salim-'2021'!Resal_s)*(1-EXP(('2021'!Tnet_s-t)/'2021'!Tau_j)),Resal_s+(Salim-Resal_s)*(1-EXP((Tnet_s-t)/Tau_j)))*Salcycl</f>
        <v>7.9148454502183246E-2</v>
      </c>
      <c r="AD49" s="230">
        <f>(INDEX(Models!$BJ49:$BT49,,AH49)*(1-AF49)+INDEX(Models!$BJ49:$BT49,,AH49+1)*AF49-ERP_i)*AE49*Ramure*Pc/MaxiM</f>
        <v>1.6885645675154442E-3</v>
      </c>
      <c r="AE49" s="304">
        <f t="shared" si="16"/>
        <v>0.6</v>
      </c>
      <c r="AF49" s="177">
        <f t="shared" si="23"/>
        <v>1.2245357368255751E-3</v>
      </c>
      <c r="AG49" s="799">
        <f t="shared" si="24"/>
        <v>0</v>
      </c>
      <c r="AH49" s="176">
        <f t="shared" si="17"/>
        <v>6</v>
      </c>
      <c r="AI49" s="224">
        <f t="shared" si="18"/>
        <v>1.2245357368255751E-3</v>
      </c>
      <c r="AJ49" s="264" t="b">
        <f t="shared" si="19"/>
        <v>1</v>
      </c>
      <c r="AK49" s="264" t="b">
        <f t="shared" si="20"/>
        <v>0</v>
      </c>
      <c r="AL49" s="264"/>
      <c r="AM49" s="264"/>
      <c r="AN49" s="75"/>
    </row>
    <row r="50" spans="1:40" s="6" customFormat="1" ht="11.25" x14ac:dyDescent="0.2">
      <c r="A50" s="56">
        <f t="shared" si="21"/>
        <v>44597</v>
      </c>
      <c r="B50" s="1153">
        <v>9.0609999999999999</v>
      </c>
      <c r="C50" s="388"/>
      <c r="D50" s="391">
        <f t="shared" si="0"/>
        <v>9.2568848205303986</v>
      </c>
      <c r="E50" s="383">
        <f t="shared" si="1"/>
        <v>10.053240236440974</v>
      </c>
      <c r="F50" s="383">
        <f t="shared" si="2"/>
        <v>10.053240236440974</v>
      </c>
      <c r="G50" s="110">
        <f t="shared" si="22"/>
        <v>0.28527599676691467</v>
      </c>
      <c r="H50" s="412" t="b">
        <f>Wh_hp&gt;='2021'!Maxi_hp</f>
        <v>0</v>
      </c>
      <c r="I50" s="379">
        <f>IF(H50,Wh_hp,'2021'!Maxi_hp)</f>
        <v>35.681802082367859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2.1160987127759712E-2</v>
      </c>
      <c r="M50" s="832"/>
      <c r="N50" s="832"/>
      <c r="O50" s="48">
        <f>IF(t&lt;Tnet,'2021'!Resal+('2021'!Salim-'2021'!Resal)*(1-EXP(('2021'!Tnet-t)/('2021'!Tau_j))),Resal+(Salim-Resal)*(1-EXP((Tnet-t)/(Tau_j))))*Salcycl</f>
        <v>7.9213805418072755E-2</v>
      </c>
      <c r="P50" s="169">
        <f>(INDEX(Models!$BJ50:$BT50,,T50)*(1-R50)+INDEX(Models!$BJ50:$BT50,,T50+1)*R50-ERP_i)*Q50*Ramure*Pc/MaxiM</f>
        <v>1.6478911083036747E-3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31.709882924565754</v>
      </c>
      <c r="W50" s="400">
        <f t="shared" si="10"/>
        <v>0</v>
      </c>
      <c r="X50" s="157">
        <f t="shared" si="11"/>
        <v>44597</v>
      </c>
      <c r="Y50" s="383">
        <f t="shared" si="12"/>
        <v>9.0609999999999999</v>
      </c>
      <c r="Z50" s="383">
        <f t="shared" si="13"/>
        <v>9.2568848205303986</v>
      </c>
      <c r="AA50" s="384">
        <f t="shared" si="14"/>
        <v>10.053240236440974</v>
      </c>
      <c r="AB50" s="197">
        <f t="shared" si="15"/>
        <v>44597</v>
      </c>
      <c r="AC50" s="119">
        <f>IF(OR(t&lt;Tnet,NoTnet),'2021'!Resal_s+('2021'!Salim-'2021'!Resal_s)*(1-EXP(('2021'!Tnet_s-t)/'2021'!Tau_j)),Resal_s+(Salim-Resal_s)*(1-EXP((Tnet_s-t)/Tau_j)))*Salcycl</f>
        <v>7.9213805418072755E-2</v>
      </c>
      <c r="AD50" s="230">
        <f>(INDEX(Models!$BJ50:$BT50,,AH50)*(1-AF50)+INDEX(Models!$BJ50:$BT50,,AH50+1)*AF50-ERP_i)*AE50*Ramure*Pc/MaxiM</f>
        <v>1.6478911083036747E-3</v>
      </c>
      <c r="AE50" s="304">
        <f t="shared" si="16"/>
        <v>0.6</v>
      </c>
      <c r="AF50" s="177">
        <f t="shared" si="23"/>
        <v>1.3416667776064246E-3</v>
      </c>
      <c r="AG50" s="799">
        <f t="shared" si="24"/>
        <v>0</v>
      </c>
      <c r="AH50" s="176">
        <f t="shared" si="17"/>
        <v>6</v>
      </c>
      <c r="AI50" s="224">
        <f t="shared" si="18"/>
        <v>1.3416667776064246E-3</v>
      </c>
      <c r="AJ50" s="264" t="b">
        <f t="shared" si="19"/>
        <v>1</v>
      </c>
      <c r="AK50" s="264" t="b">
        <f t="shared" si="20"/>
        <v>0</v>
      </c>
      <c r="AL50" s="264"/>
      <c r="AM50" s="264"/>
      <c r="AN50" s="75"/>
    </row>
    <row r="51" spans="1:40" s="6" customFormat="1" ht="11.25" x14ac:dyDescent="0.2">
      <c r="A51" s="56">
        <f t="shared" si="21"/>
        <v>44598</v>
      </c>
      <c r="B51" s="1153">
        <v>21.109000000000002</v>
      </c>
      <c r="C51" s="388"/>
      <c r="D51" s="391">
        <f t="shared" si="0"/>
        <v>21.565757268889875</v>
      </c>
      <c r="E51" s="383">
        <f t="shared" si="1"/>
        <v>23.42268914279876</v>
      </c>
      <c r="F51" s="383">
        <f t="shared" si="2"/>
        <v>23.442028475237052</v>
      </c>
      <c r="G51" s="110">
        <f t="shared" si="22"/>
        <v>0.65835647388341834</v>
      </c>
      <c r="H51" s="412" t="b">
        <f>Wh_hp&gt;='2021'!Maxi_hp</f>
        <v>0</v>
      </c>
      <c r="I51" s="379">
        <f>IF(H51,Wh_hp,'2021'!Maxi_hp)</f>
        <v>37.076232391062831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2.1179746354132334E-2</v>
      </c>
      <c r="M51" s="832"/>
      <c r="N51" s="832"/>
      <c r="O51" s="48">
        <f>IF(t&lt;Tnet,'2021'!Resal+('2021'!Salim-'2021'!Resal)*(1-EXP(('2021'!Tnet-t)/('2021'!Tau_j))),Resal+(Salim-Resal)*(1-EXP((Tnet-t)/(Tau_j))))*Salcycl</f>
        <v>7.9279192179340027E-2</v>
      </c>
      <c r="P51" s="169">
        <f>(INDEX(Models!$BJ51:$BT51,,T51)*(1-R51)+INDEX(Models!$BJ51:$BT51,,T51+1)*R51-ERP_i)*Q51*Ramure*Pc/MaxiM</f>
        <v>1.6091733860525081E-3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32.038012453735021</v>
      </c>
      <c r="W51" s="400">
        <f t="shared" si="10"/>
        <v>0</v>
      </c>
      <c r="X51" s="157">
        <f t="shared" si="11"/>
        <v>44598</v>
      </c>
      <c r="Y51" s="383">
        <f t="shared" si="12"/>
        <v>21.109000000000002</v>
      </c>
      <c r="Z51" s="383">
        <f t="shared" si="13"/>
        <v>21.565757268889875</v>
      </c>
      <c r="AA51" s="384">
        <f t="shared" si="14"/>
        <v>23.42268914279876</v>
      </c>
      <c r="AB51" s="197">
        <f t="shared" si="15"/>
        <v>44598</v>
      </c>
      <c r="AC51" s="119">
        <f>IF(OR(t&lt;Tnet,NoTnet),'2021'!Resal_s+('2021'!Salim-'2021'!Resal_s)*(1-EXP(('2021'!Tnet_s-t)/'2021'!Tau_j)),Resal_s+(Salim-Resal_s)*(1-EXP((Tnet_s-t)/Tau_j)))*Salcycl</f>
        <v>7.9279192179340027E-2</v>
      </c>
      <c r="AD51" s="230">
        <f>(INDEX(Models!$BJ51:$BT51,,AH51)*(1-AF51)+INDEX(Models!$BJ51:$BT51,,AH51+1)*AF51-ERP_i)*AE51*Ramure*Pc/MaxiM</f>
        <v>1.6091733860525081E-3</v>
      </c>
      <c r="AE51" s="304">
        <f t="shared" si="16"/>
        <v>0.6</v>
      </c>
      <c r="AF51" s="177">
        <f t="shared" si="23"/>
        <v>1.463653107200574E-3</v>
      </c>
      <c r="AG51" s="799">
        <f t="shared" si="24"/>
        <v>0</v>
      </c>
      <c r="AH51" s="176">
        <f t="shared" si="17"/>
        <v>6</v>
      </c>
      <c r="AI51" s="224">
        <f t="shared" si="18"/>
        <v>1.463653107200574E-3</v>
      </c>
      <c r="AJ51" s="264" t="b">
        <f t="shared" si="19"/>
        <v>1</v>
      </c>
      <c r="AK51" s="264" t="b">
        <f t="shared" si="20"/>
        <v>0</v>
      </c>
      <c r="AL51" s="264"/>
      <c r="AM51" s="264"/>
      <c r="AN51" s="75"/>
    </row>
    <row r="52" spans="1:40" s="6" customFormat="1" ht="11.25" x14ac:dyDescent="0.2">
      <c r="A52" s="56">
        <f t="shared" si="21"/>
        <v>44599</v>
      </c>
      <c r="B52" s="1153">
        <v>8.8960000000000008</v>
      </c>
      <c r="C52" s="388"/>
      <c r="D52" s="391">
        <f t="shared" si="0"/>
        <v>9.0886661365474257</v>
      </c>
      <c r="E52" s="383">
        <f t="shared" si="1"/>
        <v>9.8719523218682781</v>
      </c>
      <c r="F52" s="383">
        <f t="shared" si="2"/>
        <v>9.8719523218682781</v>
      </c>
      <c r="G52" s="110">
        <f t="shared" si="22"/>
        <v>0.27441288907125566</v>
      </c>
      <c r="H52" s="412" t="b">
        <f>Wh_hp&gt;='2021'!Maxi_hp</f>
        <v>0</v>
      </c>
      <c r="I52" s="379">
        <f>IF(H52,Wh_hp,'2021'!Maxi_hp)</f>
        <v>24.451684563184926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2.1198505220988761E-2</v>
      </c>
      <c r="M52" s="832"/>
      <c r="N52" s="832"/>
      <c r="O52" s="48">
        <f>IF(t&lt;Tnet,'2021'!Resal+('2021'!Salim-'2021'!Resal)*(1-EXP(('2021'!Tnet-t)/('2021'!Tau_j))),Resal+(Salim-Resal)*(1-EXP((Tnet-t)/(Tau_j))))*Salcycl</f>
        <v>7.9344607812349685E-2</v>
      </c>
      <c r="P52" s="169">
        <f>(INDEX(Models!$BJ52:$BT52,,T52)*(1-R52)+INDEX(Models!$BJ52:$BT52,,T52+1)*R52-ERP_i)*Q52*Ramure*Pc/MaxiM</f>
        <v>1.5709668245191715E-3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32.367374248309162</v>
      </c>
      <c r="W52" s="400">
        <f t="shared" si="10"/>
        <v>0</v>
      </c>
      <c r="X52" s="157">
        <f t="shared" si="11"/>
        <v>44599</v>
      </c>
      <c r="Y52" s="383">
        <f t="shared" si="12"/>
        <v>8.8960000000000008</v>
      </c>
      <c r="Z52" s="383">
        <f t="shared" si="13"/>
        <v>9.0886661365474257</v>
      </c>
      <c r="AA52" s="384">
        <f t="shared" si="14"/>
        <v>9.8719523218682781</v>
      </c>
      <c r="AB52" s="197">
        <f t="shared" si="15"/>
        <v>44599</v>
      </c>
      <c r="AC52" s="119">
        <f>IF(OR(t&lt;Tnet,NoTnet),'2021'!Resal_s+('2021'!Salim-'2021'!Resal_s)*(1-EXP(('2021'!Tnet_s-t)/'2021'!Tau_j)),Resal_s+(Salim-Resal_s)*(1-EXP((Tnet_s-t)/Tau_j)))*Salcycl</f>
        <v>7.9344607812349685E-2</v>
      </c>
      <c r="AD52" s="230">
        <f>(INDEX(Models!$BJ52:$BT52,,AH52)*(1-AF52)+INDEX(Models!$BJ52:$BT52,,AH52+1)*AF52-ERP_i)*AE52*Ramure*Pc/MaxiM</f>
        <v>1.5709668245191715E-3</v>
      </c>
      <c r="AE52" s="304">
        <f t="shared" si="16"/>
        <v>0.6</v>
      </c>
      <c r="AF52" s="177">
        <f t="shared" si="23"/>
        <v>1.590693442102041E-3</v>
      </c>
      <c r="AG52" s="799">
        <f t="shared" si="24"/>
        <v>0</v>
      </c>
      <c r="AH52" s="176">
        <f t="shared" si="17"/>
        <v>6</v>
      </c>
      <c r="AI52" s="224">
        <f t="shared" si="18"/>
        <v>1.590693442102041E-3</v>
      </c>
      <c r="AJ52" s="264" t="b">
        <f t="shared" si="19"/>
        <v>1</v>
      </c>
      <c r="AK52" s="264" t="b">
        <f t="shared" si="20"/>
        <v>0</v>
      </c>
      <c r="AL52" s="264"/>
      <c r="AM52" s="264"/>
      <c r="AN52" s="75"/>
    </row>
    <row r="53" spans="1:40" s="6" customFormat="1" ht="11.25" x14ac:dyDescent="0.2">
      <c r="A53" s="56">
        <f t="shared" si="21"/>
        <v>44600</v>
      </c>
      <c r="B53" s="1153">
        <v>32.991</v>
      </c>
      <c r="C53" s="388"/>
      <c r="D53" s="391">
        <f t="shared" si="0"/>
        <v>33.706152323106814</v>
      </c>
      <c r="E53" s="383">
        <f t="shared" si="1"/>
        <v>36.613643383990244</v>
      </c>
      <c r="F53" s="383">
        <f t="shared" si="2"/>
        <v>36.669864928426442</v>
      </c>
      <c r="G53" s="110">
        <f t="shared" si="22"/>
        <v>1.0089647411935272</v>
      </c>
      <c r="H53" s="412" t="b">
        <f>Wh_hp&gt;='2021'!Maxi_hp</f>
        <v>1</v>
      </c>
      <c r="I53" s="379">
        <f>IF(H53,Wh_hp,'2021'!Maxi_hp)</f>
        <v>36.669864928426442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2.1217263728335656E-2</v>
      </c>
      <c r="M53" s="832"/>
      <c r="N53" s="832"/>
      <c r="O53" s="48">
        <f>IF(t&lt;Tnet,'2021'!Resal+('2021'!Salim-'2021'!Resal)*(1-EXP(('2021'!Tnet-t)/('2021'!Tau_j))),Resal+(Salim-Resal)*(1-EXP((Tnet-t)/(Tau_j))))*Salcycl</f>
        <v>7.9410044785511905E-2</v>
      </c>
      <c r="P53" s="169">
        <f>(INDEX(Models!$BJ53:$BT53,,T53)*(1-R53)+INDEX(Models!$BJ53:$BT53,,T53+1)*R53-ERP_i)*Q53*Ramure*Pc/MaxiM</f>
        <v>1.5331811160453955E-3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32.697872039586045</v>
      </c>
      <c r="W53" s="400">
        <f t="shared" si="10"/>
        <v>0</v>
      </c>
      <c r="X53" s="157">
        <f t="shared" si="11"/>
        <v>44600</v>
      </c>
      <c r="Y53" s="383">
        <f t="shared" si="12"/>
        <v>32.991</v>
      </c>
      <c r="Z53" s="383">
        <f t="shared" si="13"/>
        <v>33.706152323106814</v>
      </c>
      <c r="AA53" s="384">
        <f t="shared" si="14"/>
        <v>36.613643383990244</v>
      </c>
      <c r="AB53" s="197">
        <f t="shared" si="15"/>
        <v>44600</v>
      </c>
      <c r="AC53" s="119">
        <f>IF(OR(t&lt;Tnet,NoTnet),'2021'!Resal_s+('2021'!Salim-'2021'!Resal_s)*(1-EXP(('2021'!Tnet_s-t)/'2021'!Tau_j)),Resal_s+(Salim-Resal_s)*(1-EXP((Tnet_s-t)/Tau_j)))*Salcycl</f>
        <v>7.9410044785511905E-2</v>
      </c>
      <c r="AD53" s="230">
        <f>(INDEX(Models!$BJ53:$BT53,,AH53)*(1-AF53)+INDEX(Models!$BJ53:$BT53,,AH53+1)*AF53-ERP_i)*AE53*Ramure*Pc/MaxiM</f>
        <v>1.5331811160453955E-3</v>
      </c>
      <c r="AE53" s="304">
        <f t="shared" si="16"/>
        <v>0.6</v>
      </c>
      <c r="AF53" s="177">
        <f t="shared" si="23"/>
        <v>1.7229944154683033E-3</v>
      </c>
      <c r="AG53" s="799">
        <f t="shared" si="24"/>
        <v>0</v>
      </c>
      <c r="AH53" s="176">
        <f t="shared" si="17"/>
        <v>6</v>
      </c>
      <c r="AI53" s="224">
        <f t="shared" si="18"/>
        <v>1.7229944154683033E-3</v>
      </c>
      <c r="AJ53" s="264" t="b">
        <f t="shared" si="19"/>
        <v>1</v>
      </c>
      <c r="AK53" s="264" t="b">
        <f t="shared" si="20"/>
        <v>0</v>
      </c>
      <c r="AL53" s="264"/>
      <c r="AM53" s="264"/>
      <c r="AN53" s="75"/>
    </row>
    <row r="54" spans="1:40" s="6" customFormat="1" ht="11.25" x14ac:dyDescent="0.2">
      <c r="A54" s="56">
        <f t="shared" si="21"/>
        <v>44601</v>
      </c>
      <c r="B54" s="1153">
        <v>33.271999999999998</v>
      </c>
      <c r="C54" s="388"/>
      <c r="D54" s="391">
        <f t="shared" si="0"/>
        <v>33.993895100000174</v>
      </c>
      <c r="E54" s="383">
        <f t="shared" si="1"/>
        <v>36.92883233314928</v>
      </c>
      <c r="F54" s="383">
        <f t="shared" si="2"/>
        <v>36.984153600859251</v>
      </c>
      <c r="G54" s="110">
        <f t="shared" si="22"/>
        <v>1.0073447597282734</v>
      </c>
      <c r="H54" s="412" t="b">
        <f>Wh_hp&gt;='2021'!Maxi_hp</f>
        <v>1</v>
      </c>
      <c r="I54" s="379">
        <f>IF(H54,Wh_hp,'2021'!Maxi_hp)</f>
        <v>36.984153600859251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2.1236021876180122E-2</v>
      </c>
      <c r="M54" s="832"/>
      <c r="N54" s="832"/>
      <c r="O54" s="48">
        <f>IF(t&lt;Tnet,'2021'!Resal+('2021'!Salim-'2021'!Resal)*(1-EXP(('2021'!Tnet-t)/('2021'!Tau_j))),Resal+(Salim-Resal)*(1-EXP((Tnet-t)/(Tau_j))))*Salcycl</f>
        <v>7.9475495100194471E-2</v>
      </c>
      <c r="P54" s="169">
        <f>(INDEX(Models!$BJ54:$BT54,,T54)*(1-R54)+INDEX(Models!$BJ54:$BT54,,T54+1)*R54-ERP_i)*Q54*Ramure*Pc/MaxiM</f>
        <v>1.4958100246664874E-3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33.029406942043323</v>
      </c>
      <c r="W54" s="400">
        <f t="shared" si="10"/>
        <v>0</v>
      </c>
      <c r="X54" s="157">
        <f t="shared" si="11"/>
        <v>44601</v>
      </c>
      <c r="Y54" s="383">
        <f t="shared" si="12"/>
        <v>33.271999999999998</v>
      </c>
      <c r="Z54" s="383">
        <f t="shared" si="13"/>
        <v>33.993895100000174</v>
      </c>
      <c r="AA54" s="384">
        <f t="shared" si="14"/>
        <v>36.92883233314928</v>
      </c>
      <c r="AB54" s="197">
        <f t="shared" si="15"/>
        <v>44601</v>
      </c>
      <c r="AC54" s="119">
        <f>IF(OR(t&lt;Tnet,NoTnet),'2021'!Resal_s+('2021'!Salim-'2021'!Resal_s)*(1-EXP(('2021'!Tnet_s-t)/'2021'!Tau_j)),Resal_s+(Salim-Resal_s)*(1-EXP((Tnet_s-t)/Tau_j)))*Salcycl</f>
        <v>7.9475495100194471E-2</v>
      </c>
      <c r="AD54" s="230">
        <f>(INDEX(Models!$BJ54:$BT54,,AH54)*(1-AF54)+INDEX(Models!$BJ54:$BT54,,AH54+1)*AF54-ERP_i)*AE54*Ramure*Pc/MaxiM</f>
        <v>1.4958100246664874E-3</v>
      </c>
      <c r="AE54" s="304">
        <f t="shared" si="16"/>
        <v>0.6</v>
      </c>
      <c r="AF54" s="177">
        <f t="shared" si="23"/>
        <v>1.8607708740594358E-3</v>
      </c>
      <c r="AG54" s="799">
        <f t="shared" si="24"/>
        <v>0</v>
      </c>
      <c r="AH54" s="176">
        <f t="shared" si="17"/>
        <v>6</v>
      </c>
      <c r="AI54" s="224">
        <f t="shared" si="18"/>
        <v>1.8607708740594358E-3</v>
      </c>
      <c r="AJ54" s="264" t="b">
        <f t="shared" si="19"/>
        <v>1</v>
      </c>
      <c r="AK54" s="264" t="b">
        <f t="shared" si="20"/>
        <v>0</v>
      </c>
      <c r="AL54" s="264"/>
      <c r="AM54" s="264"/>
      <c r="AN54" s="75"/>
    </row>
    <row r="55" spans="1:40" s="6" customFormat="1" ht="11.25" x14ac:dyDescent="0.2">
      <c r="A55" s="56">
        <f t="shared" si="21"/>
        <v>44602</v>
      </c>
      <c r="B55" s="1153">
        <v>31.027000000000001</v>
      </c>
      <c r="C55" s="388"/>
      <c r="D55" s="391">
        <f t="shared" si="0"/>
        <v>31.700793378449703</v>
      </c>
      <c r="E55" s="383">
        <f t="shared" si="1"/>
        <v>34.440199585087001</v>
      </c>
      <c r="F55" s="383">
        <f t="shared" si="2"/>
        <v>34.485478690767295</v>
      </c>
      <c r="G55" s="110">
        <f t="shared" si="22"/>
        <v>0.92987770587116814</v>
      </c>
      <c r="H55" s="412" t="b">
        <f>Wh_hp&gt;='2021'!Maxi_hp</f>
        <v>1</v>
      </c>
      <c r="I55" s="379">
        <f>IF(H55,Wh_hp,'2021'!Maxi_hp)</f>
        <v>34.485478690767295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2.1254779664528822E-2</v>
      </c>
      <c r="M55" s="832"/>
      <c r="N55" s="832"/>
      <c r="O55" s="48">
        <f>IF(t&lt;Tnet,'2021'!Resal+('2021'!Salim-'2021'!Resal)*(1-EXP(('2021'!Tnet-t)/('2021'!Tau_j))),Resal+(Salim-Resal)*(1-EXP((Tnet-t)/(Tau_j))))*Salcycl</f>
        <v>7.9540950390528206E-2</v>
      </c>
      <c r="P55" s="169">
        <f>(INDEX(Models!$BJ55:$BT55,,T55)*(1-R55)+INDEX(Models!$BJ55:$BT55,,T55+1)*R55-ERP_i)*Q55*Ramure*Pc/MaxiM</f>
        <v>1.4588469891797487E-3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33.361880132080458</v>
      </c>
      <c r="W55" s="400">
        <f t="shared" si="10"/>
        <v>0</v>
      </c>
      <c r="X55" s="157">
        <f t="shared" si="11"/>
        <v>44602</v>
      </c>
      <c r="Y55" s="383">
        <f t="shared" si="12"/>
        <v>31.027000000000005</v>
      </c>
      <c r="Z55" s="383">
        <f t="shared" si="13"/>
        <v>31.700793378449706</v>
      </c>
      <c r="AA55" s="384">
        <f t="shared" si="14"/>
        <v>34.440199585087001</v>
      </c>
      <c r="AB55" s="197">
        <f t="shared" si="15"/>
        <v>44602</v>
      </c>
      <c r="AC55" s="119">
        <f>IF(OR(t&lt;Tnet,NoTnet),'2021'!Resal_s+('2021'!Salim-'2021'!Resal_s)*(1-EXP(('2021'!Tnet_s-t)/'2021'!Tau_j)),Resal_s+(Salim-Resal_s)*(1-EXP((Tnet_s-t)/Tau_j)))*Salcycl</f>
        <v>7.9540950390528206E-2</v>
      </c>
      <c r="AD55" s="230">
        <f>(INDEX(Models!$BJ55:$BT55,,AH55)*(1-AF55)+INDEX(Models!$BJ55:$BT55,,AH55+1)*AF55-ERP_i)*AE55*Ramure*Pc/MaxiM</f>
        <v>1.4588469891797487E-3</v>
      </c>
      <c r="AE55" s="304">
        <f t="shared" si="16"/>
        <v>0.6</v>
      </c>
      <c r="AF55" s="177">
        <f t="shared" si="23"/>
        <v>2.0042461847219429E-3</v>
      </c>
      <c r="AG55" s="799">
        <f t="shared" si="24"/>
        <v>0</v>
      </c>
      <c r="AH55" s="176">
        <f t="shared" si="17"/>
        <v>6</v>
      </c>
      <c r="AI55" s="224">
        <f t="shared" si="18"/>
        <v>2.0042461847219429E-3</v>
      </c>
      <c r="AJ55" s="264" t="b">
        <f t="shared" si="19"/>
        <v>1</v>
      </c>
      <c r="AK55" s="264" t="b">
        <f t="shared" si="20"/>
        <v>0</v>
      </c>
      <c r="AL55" s="264"/>
      <c r="AM55" s="264"/>
      <c r="AN55" s="75"/>
    </row>
    <row r="56" spans="1:40" s="6" customFormat="1" ht="11.25" x14ac:dyDescent="0.2">
      <c r="A56" s="56">
        <f t="shared" si="21"/>
        <v>44603</v>
      </c>
      <c r="B56" s="1153">
        <v>17.187000000000001</v>
      </c>
      <c r="C56" s="388"/>
      <c r="D56" s="391">
        <f t="shared" si="0"/>
        <v>17.560575555460346</v>
      </c>
      <c r="E56" s="383">
        <f t="shared" si="1"/>
        <v>19.079419494234763</v>
      </c>
      <c r="F56" s="383">
        <f t="shared" si="2"/>
        <v>19.087566705183981</v>
      </c>
      <c r="G56" s="110">
        <f t="shared" si="22"/>
        <v>0.50956478996182131</v>
      </c>
      <c r="H56" s="412" t="b">
        <f>Wh_hp&gt;='2021'!Maxi_hp</f>
        <v>0</v>
      </c>
      <c r="I56" s="379">
        <f>IF(H56,Wh_hp,'2021'!Maxi_hp)</f>
        <v>31.561088268066062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2.1273537093388972E-2</v>
      </c>
      <c r="M56" s="832"/>
      <c r="N56" s="832"/>
      <c r="O56" s="48">
        <f>IF(t&lt;Tnet,'2021'!Resal+('2021'!Salim-'2021'!Resal)*(1-EXP(('2021'!Tnet-t)/('2021'!Tau_j))),Resal+(Salim-Resal)*(1-EXP((Tnet-t)/(Tau_j))))*Salcycl</f>
        <v>7.9606402030909115E-2</v>
      </c>
      <c r="P56" s="169">
        <f>(INDEX(Models!$BJ56:$BT56,,T56)*(1-R56)+INDEX(Models!$BJ56:$BT56,,T56+1)*R56-ERP_i)*Q56*Ramure*Pc/MaxiM</f>
        <v>1.42228520662766E-3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33.695192843498234</v>
      </c>
      <c r="W56" s="400">
        <f t="shared" si="10"/>
        <v>0</v>
      </c>
      <c r="X56" s="157">
        <f t="shared" si="11"/>
        <v>44603</v>
      </c>
      <c r="Y56" s="383">
        <f t="shared" si="12"/>
        <v>17.187000000000001</v>
      </c>
      <c r="Z56" s="383">
        <f t="shared" si="13"/>
        <v>17.560575555460346</v>
      </c>
      <c r="AA56" s="384">
        <f t="shared" si="14"/>
        <v>19.079419494234763</v>
      </c>
      <c r="AB56" s="197">
        <f t="shared" si="15"/>
        <v>44603</v>
      </c>
      <c r="AC56" s="119">
        <f>IF(OR(t&lt;Tnet,NoTnet),'2021'!Resal_s+('2021'!Salim-'2021'!Resal_s)*(1-EXP(('2021'!Tnet_s-t)/'2021'!Tau_j)),Resal_s+(Salim-Resal_s)*(1-EXP((Tnet_s-t)/Tau_j)))*Salcycl</f>
        <v>7.9606402030909115E-2</v>
      </c>
      <c r="AD56" s="230">
        <f>(INDEX(Models!$BJ56:$BT56,,AH56)*(1-AF56)+INDEX(Models!$BJ56:$BT56,,AH56+1)*AF56-ERP_i)*AE56*Ramure*Pc/MaxiM</f>
        <v>1.42228520662766E-3</v>
      </c>
      <c r="AE56" s="304">
        <f t="shared" si="16"/>
        <v>0.6</v>
      </c>
      <c r="AF56" s="177">
        <f t="shared" si="23"/>
        <v>2.1536525505831483E-3</v>
      </c>
      <c r="AG56" s="799">
        <f t="shared" si="24"/>
        <v>0</v>
      </c>
      <c r="AH56" s="176">
        <f t="shared" si="17"/>
        <v>6</v>
      </c>
      <c r="AI56" s="224">
        <f t="shared" si="18"/>
        <v>2.1536525505831483E-3</v>
      </c>
      <c r="AJ56" s="264" t="b">
        <f t="shared" si="19"/>
        <v>1</v>
      </c>
      <c r="AK56" s="264" t="b">
        <f t="shared" si="20"/>
        <v>0</v>
      </c>
      <c r="AL56" s="264"/>
      <c r="AM56" s="264"/>
      <c r="AN56" s="75"/>
    </row>
    <row r="57" spans="1:40" s="6" customFormat="1" ht="11.25" x14ac:dyDescent="0.2">
      <c r="A57" s="56">
        <f t="shared" si="21"/>
        <v>44604</v>
      </c>
      <c r="B57" s="1153">
        <v>26.336000000000002</v>
      </c>
      <c r="C57" s="388"/>
      <c r="D57" s="391">
        <f t="shared" si="0"/>
        <v>26.908953350347787</v>
      </c>
      <c r="E57" s="383">
        <f t="shared" si="1"/>
        <v>29.238433155076155</v>
      </c>
      <c r="F57" s="383">
        <f t="shared" si="2"/>
        <v>29.265897627745993</v>
      </c>
      <c r="G57" s="110">
        <f t="shared" si="22"/>
        <v>0.77357572867486235</v>
      </c>
      <c r="H57" s="412" t="b">
        <f>Wh_hp&gt;='2021'!Maxi_hp</f>
        <v>1</v>
      </c>
      <c r="I57" s="379">
        <f>IF(H57,Wh_hp,'2021'!Maxi_hp)</f>
        <v>29.265897627745993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2.1292294162767123E-2</v>
      </c>
      <c r="M57" s="832"/>
      <c r="N57" s="832"/>
      <c r="O57" s="48">
        <f>IF(t&lt;Tnet,'2021'!Resal+('2021'!Salim-'2021'!Resal)*(1-EXP(('2021'!Tnet-t)/('2021'!Tau_j))),Resal+(Salim-Resal)*(1-EXP((Tnet-t)/(Tau_j))))*Salcycl</f>
        <v>7.967184124994546E-2</v>
      </c>
      <c r="P57" s="169">
        <f>(INDEX(Models!$BJ57:$BT57,,T57)*(1-R57)+INDEX(Models!$BJ57:$BT57,,T57+1)*R57-ERP_i)*Q57*Ramure*Pc/MaxiM</f>
        <v>1.3861177093796976E-3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34.029246361815765</v>
      </c>
      <c r="W57" s="400">
        <f t="shared" si="10"/>
        <v>0</v>
      </c>
      <c r="X57" s="157">
        <f t="shared" si="11"/>
        <v>44604</v>
      </c>
      <c r="Y57" s="383">
        <f t="shared" si="12"/>
        <v>26.336000000000002</v>
      </c>
      <c r="Z57" s="383">
        <f t="shared" si="13"/>
        <v>26.908953350347787</v>
      </c>
      <c r="AA57" s="384">
        <f t="shared" si="14"/>
        <v>29.238433155076155</v>
      </c>
      <c r="AB57" s="197">
        <f t="shared" si="15"/>
        <v>44604</v>
      </c>
      <c r="AC57" s="119">
        <f>IF(OR(t&lt;Tnet,NoTnet),'2021'!Resal_s+('2021'!Salim-'2021'!Resal_s)*(1-EXP(('2021'!Tnet_s-t)/'2021'!Tau_j)),Resal_s+(Salim-Resal_s)*(1-EXP((Tnet_s-t)/Tau_j)))*Salcycl</f>
        <v>7.967184124994546E-2</v>
      </c>
      <c r="AD57" s="230">
        <f>(INDEX(Models!$BJ57:$BT57,,AH57)*(1-AF57)+INDEX(Models!$BJ57:$BT57,,AH57+1)*AF57-ERP_i)*AE57*Ramure*Pc/MaxiM</f>
        <v>1.3861177093796976E-3</v>
      </c>
      <c r="AE57" s="304">
        <f t="shared" si="16"/>
        <v>0.6</v>
      </c>
      <c r="AF57" s="177">
        <f t="shared" si="23"/>
        <v>2.30923133710599E-3</v>
      </c>
      <c r="AG57" s="799">
        <f t="shared" si="24"/>
        <v>0</v>
      </c>
      <c r="AH57" s="176">
        <f t="shared" si="17"/>
        <v>6</v>
      </c>
      <c r="AI57" s="224">
        <f t="shared" si="18"/>
        <v>2.30923133710599E-3</v>
      </c>
      <c r="AJ57" s="264" t="b">
        <f t="shared" si="19"/>
        <v>1</v>
      </c>
      <c r="AK57" s="264" t="b">
        <f t="shared" si="20"/>
        <v>0</v>
      </c>
      <c r="AL57" s="264"/>
      <c r="AM57" s="264"/>
      <c r="AN57" s="75"/>
    </row>
    <row r="58" spans="1:40" s="6" customFormat="1" ht="11.25" x14ac:dyDescent="0.2">
      <c r="A58" s="56">
        <f t="shared" si="21"/>
        <v>44605</v>
      </c>
      <c r="B58" s="1153">
        <v>32.22</v>
      </c>
      <c r="C58" s="388"/>
      <c r="D58" s="391">
        <f t="shared" si="0"/>
        <v>32.921593759416311</v>
      </c>
      <c r="E58" s="383">
        <f t="shared" si="1"/>
        <v>35.774124390355936</v>
      </c>
      <c r="F58" s="383">
        <f t="shared" si="2"/>
        <v>35.818160403759038</v>
      </c>
      <c r="G58" s="110">
        <f t="shared" si="22"/>
        <v>0.93749720661919989</v>
      </c>
      <c r="H58" s="412" t="b">
        <f>Wh_hp&gt;='2021'!Maxi_hp</f>
        <v>1</v>
      </c>
      <c r="I58" s="379">
        <f>IF(H58,Wh_hp,'2021'!Maxi_hp)</f>
        <v>35.818160403759038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2.1311050872670378E-2</v>
      </c>
      <c r="M58" s="832"/>
      <c r="N58" s="832"/>
      <c r="O58" s="48">
        <f>IF(t&lt;Tnet,'2021'!Resal+('2021'!Salim-'2021'!Resal)*(1-EXP(('2021'!Tnet-t)/('2021'!Tau_j))),Resal+(Salim-Resal)*(1-EXP((Tnet-t)/(Tau_j))))*Salcycl</f>
        <v>7.9737259249554576E-2</v>
      </c>
      <c r="P58" s="169">
        <f>(INDEX(Models!$BJ58:$BT58,,T58)*(1-R58)+INDEX(Models!$BJ58:$BT58,,T58+1)*R58-ERP_i)*Q58*Ramure*Pc/MaxiM</f>
        <v>1.3497319972197365E-3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34.363962851465594</v>
      </c>
      <c r="W58" s="400">
        <f t="shared" si="10"/>
        <v>0</v>
      </c>
      <c r="X58" s="157">
        <f t="shared" si="11"/>
        <v>44605</v>
      </c>
      <c r="Y58" s="383">
        <f t="shared" si="12"/>
        <v>32.22</v>
      </c>
      <c r="Z58" s="383">
        <f t="shared" si="13"/>
        <v>32.921593759416311</v>
      </c>
      <c r="AA58" s="384">
        <f t="shared" si="14"/>
        <v>35.774124390355936</v>
      </c>
      <c r="AB58" s="197">
        <f t="shared" si="15"/>
        <v>44605</v>
      </c>
      <c r="AC58" s="119">
        <f>IF(OR(t&lt;Tnet,NoTnet),'2021'!Resal_s+('2021'!Salim-'2021'!Resal_s)*(1-EXP(('2021'!Tnet_s-t)/'2021'!Tau_j)),Resal_s+(Salim-Resal_s)*(1-EXP((Tnet_s-t)/Tau_j)))*Salcycl</f>
        <v>7.9737259249554576E-2</v>
      </c>
      <c r="AD58" s="230">
        <f>(INDEX(Models!$BJ58:$BT58,,AH58)*(1-AF58)+INDEX(Models!$BJ58:$BT58,,AH58+1)*AF58-ERP_i)*AE58*Ramure*Pc/MaxiM</f>
        <v>1.3497319972197365E-3</v>
      </c>
      <c r="AE58" s="304">
        <f t="shared" si="16"/>
        <v>0.6</v>
      </c>
      <c r="AF58" s="177">
        <f t="shared" si="23"/>
        <v>2.4712334081451724E-3</v>
      </c>
      <c r="AG58" s="799">
        <f t="shared" si="24"/>
        <v>0</v>
      </c>
      <c r="AH58" s="176">
        <f t="shared" si="17"/>
        <v>6</v>
      </c>
      <c r="AI58" s="224">
        <f t="shared" si="18"/>
        <v>2.4712334081451724E-3</v>
      </c>
      <c r="AJ58" s="264" t="b">
        <f t="shared" si="19"/>
        <v>1</v>
      </c>
      <c r="AK58" s="264" t="b">
        <f t="shared" si="20"/>
        <v>0</v>
      </c>
      <c r="AL58" s="264"/>
      <c r="AM58" s="264"/>
      <c r="AN58" s="75"/>
    </row>
    <row r="59" spans="1:40" s="6" customFormat="1" ht="11.25" x14ac:dyDescent="0.2">
      <c r="A59" s="56">
        <f t="shared" si="21"/>
        <v>44606</v>
      </c>
      <c r="B59" s="1153">
        <v>15.125999999999999</v>
      </c>
      <c r="C59" s="388"/>
      <c r="D59" s="391">
        <f t="shared" si="0"/>
        <v>15.455666384485713</v>
      </c>
      <c r="E59" s="383">
        <f t="shared" si="1"/>
        <v>16.796034393714354</v>
      </c>
      <c r="F59" s="383">
        <f t="shared" si="2"/>
        <v>16.800315009535005</v>
      </c>
      <c r="G59" s="110">
        <f t="shared" si="22"/>
        <v>0.43545581385275373</v>
      </c>
      <c r="H59" s="412" t="b">
        <f>Wh_hp&gt;='2021'!Maxi_hp</f>
        <v>0</v>
      </c>
      <c r="I59" s="379">
        <f>IF(H59,Wh_hp,'2021'!Maxi_hp)</f>
        <v>38.116109222133424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2.1329807223105623E-2</v>
      </c>
      <c r="M59" s="832"/>
      <c r="N59" s="832"/>
      <c r="O59" s="48">
        <f>IF(t&lt;Tnet,'2021'!Resal+('2021'!Salim-'2021'!Resal)*(1-EXP(('2021'!Tnet-t)/('2021'!Tau_j))),Resal+(Salim-Resal)*(1-EXP((Tnet-t)/(Tau_j))))*Salcycl</f>
        <v>7.9802647327886514E-2</v>
      </c>
      <c r="P59" s="169">
        <f>(INDEX(Models!$BJ59:$BT59,,T59)*(1-R59)+INDEX(Models!$BJ59:$BT59,,T59+1)*R59-ERP_i)*Q59*Ramure*Pc/MaxiM</f>
        <v>1.312240502061313E-3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34.69927488346849</v>
      </c>
      <c r="W59" s="400">
        <f t="shared" si="10"/>
        <v>0</v>
      </c>
      <c r="X59" s="157">
        <f t="shared" si="11"/>
        <v>44606</v>
      </c>
      <c r="Y59" s="383">
        <f t="shared" si="12"/>
        <v>15.126000000000001</v>
      </c>
      <c r="Z59" s="383">
        <f t="shared" si="13"/>
        <v>15.455666384485715</v>
      </c>
      <c r="AA59" s="384">
        <f t="shared" si="14"/>
        <v>16.796034393714354</v>
      </c>
      <c r="AB59" s="197">
        <f t="shared" si="15"/>
        <v>44606</v>
      </c>
      <c r="AC59" s="119">
        <f>IF(OR(t&lt;Tnet,NoTnet),'2021'!Resal_s+('2021'!Salim-'2021'!Resal_s)*(1-EXP(('2021'!Tnet_s-t)/'2021'!Tau_j)),Resal_s+(Salim-Resal_s)*(1-EXP((Tnet_s-t)/Tau_j)))*Salcycl</f>
        <v>7.9802647327886514E-2</v>
      </c>
      <c r="AD59" s="230">
        <f>(INDEX(Models!$BJ59:$BT59,,AH59)*(1-AF59)+INDEX(Models!$BJ59:$BT59,,AH59+1)*AF59-ERP_i)*AE59*Ramure*Pc/MaxiM</f>
        <v>1.312240502061313E-3</v>
      </c>
      <c r="AE59" s="304">
        <f t="shared" si="16"/>
        <v>0.6</v>
      </c>
      <c r="AF59" s="177">
        <f t="shared" si="23"/>
        <v>2.6399194721268755E-3</v>
      </c>
      <c r="AG59" s="799">
        <f t="shared" si="24"/>
        <v>0</v>
      </c>
      <c r="AH59" s="176">
        <f t="shared" si="17"/>
        <v>6</v>
      </c>
      <c r="AI59" s="224">
        <f t="shared" si="18"/>
        <v>2.6399194721268755E-3</v>
      </c>
      <c r="AJ59" s="264" t="b">
        <f t="shared" si="19"/>
        <v>1</v>
      </c>
      <c r="AK59" s="264" t="b">
        <f t="shared" si="20"/>
        <v>0</v>
      </c>
      <c r="AL59" s="264"/>
      <c r="AM59" s="264"/>
      <c r="AN59" s="75"/>
    </row>
    <row r="60" spans="1:40" s="6" customFormat="1" ht="11.25" x14ac:dyDescent="0.2">
      <c r="A60" s="56">
        <f t="shared" si="21"/>
        <v>44607</v>
      </c>
      <c r="B60" s="1153">
        <v>18.243000000000002</v>
      </c>
      <c r="C60" s="388"/>
      <c r="D60" s="391">
        <f t="shared" si="0"/>
        <v>18.640957663040403</v>
      </c>
      <c r="E60" s="383">
        <f t="shared" si="1"/>
        <v>20.259003710727811</v>
      </c>
      <c r="F60" s="383">
        <f t="shared" si="2"/>
        <v>20.267142675340899</v>
      </c>
      <c r="G60" s="110">
        <f t="shared" si="22"/>
        <v>0.52025232934948262</v>
      </c>
      <c r="H60" s="412" t="b">
        <f>Wh_hp&gt;='2021'!Maxi_hp</f>
        <v>0</v>
      </c>
      <c r="I60" s="379">
        <f>IF(H60,Wh_hp,'2021'!Maxi_hp)</f>
        <v>37.957548920378891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2.134856321407963E-2</v>
      </c>
      <c r="M60" s="832"/>
      <c r="N60" s="832"/>
      <c r="O60" s="48">
        <f>IF(t&lt;Tnet,'2021'!Resal+('2021'!Salim-'2021'!Resal)*(1-EXP(('2021'!Tnet-t)/('2021'!Tau_j))),Resal+(Salim-Resal)*(1-EXP((Tnet-t)/(Tau_j))))*Salcycl</f>
        <v>7.9867997004739136E-2</v>
      </c>
      <c r="P60" s="169">
        <f>(INDEX(Models!$BJ60:$BT60,,T60)*(1-R60)+INDEX(Models!$BJ60:$BT60,,T60+1)*R60-ERP_i)*Q60*Ramure*Pc/MaxiM</f>
        <v>1.2736770483463881E-3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35.035083921015307</v>
      </c>
      <c r="W60" s="400">
        <f t="shared" si="10"/>
        <v>0</v>
      </c>
      <c r="X60" s="157">
        <f t="shared" si="11"/>
        <v>44607</v>
      </c>
      <c r="Y60" s="383">
        <f t="shared" si="12"/>
        <v>18.243000000000002</v>
      </c>
      <c r="Z60" s="383">
        <f t="shared" si="13"/>
        <v>18.640957663040403</v>
      </c>
      <c r="AA60" s="384">
        <f t="shared" si="14"/>
        <v>20.259003710727811</v>
      </c>
      <c r="AB60" s="197">
        <f t="shared" si="15"/>
        <v>44607</v>
      </c>
      <c r="AC60" s="119">
        <f>IF(OR(t&lt;Tnet,NoTnet),'2021'!Resal_s+('2021'!Salim-'2021'!Resal_s)*(1-EXP(('2021'!Tnet_s-t)/'2021'!Tau_j)),Resal_s+(Salim-Resal_s)*(1-EXP((Tnet_s-t)/Tau_j)))*Salcycl</f>
        <v>7.9867997004739136E-2</v>
      </c>
      <c r="AD60" s="230">
        <f>(INDEX(Models!$BJ60:$BT60,,AH60)*(1-AF60)+INDEX(Models!$BJ60:$BT60,,AH60+1)*AF60-ERP_i)*AE60*Ramure*Pc/MaxiM</f>
        <v>1.2736770483463881E-3</v>
      </c>
      <c r="AE60" s="304">
        <f t="shared" si="16"/>
        <v>0.6</v>
      </c>
      <c r="AF60" s="177">
        <f t="shared" si="23"/>
        <v>2.8155604384573151E-3</v>
      </c>
      <c r="AG60" s="799">
        <f t="shared" si="24"/>
        <v>0</v>
      </c>
      <c r="AH60" s="176">
        <f t="shared" si="17"/>
        <v>6</v>
      </c>
      <c r="AI60" s="224">
        <f t="shared" si="18"/>
        <v>2.8155604384573151E-3</v>
      </c>
      <c r="AJ60" s="264" t="b">
        <f t="shared" si="19"/>
        <v>1</v>
      </c>
      <c r="AK60" s="264" t="b">
        <f t="shared" si="20"/>
        <v>0</v>
      </c>
      <c r="AL60" s="264"/>
      <c r="AM60" s="264"/>
      <c r="AN60" s="75"/>
    </row>
    <row r="61" spans="1:40" s="6" customFormat="1" ht="11.25" x14ac:dyDescent="0.2">
      <c r="A61" s="56">
        <f t="shared" si="21"/>
        <v>44608</v>
      </c>
      <c r="B61" s="1153">
        <v>8.9730000000000008</v>
      </c>
      <c r="C61" s="388"/>
      <c r="D61" s="391">
        <f t="shared" si="0"/>
        <v>9.1689151331175651</v>
      </c>
      <c r="E61" s="383">
        <f t="shared" si="1"/>
        <v>9.9654896048229347</v>
      </c>
      <c r="F61" s="383">
        <f t="shared" si="2"/>
        <v>9.9654896048229347</v>
      </c>
      <c r="G61" s="110">
        <f t="shared" si="22"/>
        <v>0.25336724458791027</v>
      </c>
      <c r="H61" s="412" t="b">
        <f>Wh_hp&gt;='2021'!Maxi_hp</f>
        <v>0</v>
      </c>
      <c r="I61" s="379">
        <f>IF(H61,Wh_hp,'2021'!Maxi_hp)</f>
        <v>33.411514000889703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2.1367318845599392E-2</v>
      </c>
      <c r="M61" s="832"/>
      <c r="N61" s="832"/>
      <c r="O61" s="48">
        <f>IF(t&lt;Tnet,'2021'!Resal+('2021'!Salim-'2021'!Resal)*(1-EXP(('2021'!Tnet-t)/('2021'!Tau_j))),Resal+(Salim-Resal)*(1-EXP((Tnet-t)/(Tau_j))))*Salcycl</f>
        <v>7.9933300148128869E-2</v>
      </c>
      <c r="P61" s="169">
        <f>(INDEX(Models!$BJ61:$BT61,,T61)*(1-R61)+INDEX(Models!$BJ61:$BT61,,T61+1)*R61-ERP_i)*Q61*Ramure*Pc/MaxiM</f>
        <v>1.2340739008219455E-3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35.371291460599309</v>
      </c>
      <c r="W61" s="400">
        <f t="shared" si="10"/>
        <v>0</v>
      </c>
      <c r="X61" s="157">
        <f t="shared" si="11"/>
        <v>44608</v>
      </c>
      <c r="Y61" s="383">
        <f t="shared" si="12"/>
        <v>8.9730000000000008</v>
      </c>
      <c r="Z61" s="383">
        <f t="shared" si="13"/>
        <v>9.1689151331175651</v>
      </c>
      <c r="AA61" s="384">
        <f t="shared" si="14"/>
        <v>9.9654896048229347</v>
      </c>
      <c r="AB61" s="197">
        <f t="shared" si="15"/>
        <v>44608</v>
      </c>
      <c r="AC61" s="119">
        <f>IF(OR(t&lt;Tnet,NoTnet),'2021'!Resal_s+('2021'!Salim-'2021'!Resal_s)*(1-EXP(('2021'!Tnet_s-t)/'2021'!Tau_j)),Resal_s+(Salim-Resal_s)*(1-EXP((Tnet_s-t)/Tau_j)))*Salcycl</f>
        <v>7.9933300148128869E-2</v>
      </c>
      <c r="AD61" s="230">
        <f>(INDEX(Models!$BJ61:$BT61,,AH61)*(1-AF61)+INDEX(Models!$BJ61:$BT61,,AH61+1)*AF61-ERP_i)*AE61*Ramure*Pc/MaxiM</f>
        <v>1.2340739008219455E-3</v>
      </c>
      <c r="AE61" s="304">
        <f t="shared" si="16"/>
        <v>0.6</v>
      </c>
      <c r="AF61" s="177">
        <f t="shared" si="23"/>
        <v>2.998437784245394E-3</v>
      </c>
      <c r="AG61" s="799">
        <f t="shared" si="24"/>
        <v>0</v>
      </c>
      <c r="AH61" s="176">
        <f t="shared" si="17"/>
        <v>6</v>
      </c>
      <c r="AI61" s="224">
        <f t="shared" si="18"/>
        <v>2.998437784245394E-3</v>
      </c>
      <c r="AJ61" s="264" t="b">
        <f t="shared" si="19"/>
        <v>1</v>
      </c>
      <c r="AK61" s="264" t="b">
        <f t="shared" si="20"/>
        <v>0</v>
      </c>
      <c r="AL61" s="264"/>
      <c r="AM61" s="264"/>
      <c r="AN61" s="75"/>
    </row>
    <row r="62" spans="1:40" s="6" customFormat="1" ht="11.25" x14ac:dyDescent="0.2">
      <c r="A62" s="56">
        <f t="shared" si="21"/>
        <v>44609</v>
      </c>
      <c r="B62" s="1153">
        <v>11.179</v>
      </c>
      <c r="C62" s="388"/>
      <c r="D62" s="391">
        <f t="shared" si="0"/>
        <v>11.423299530426055</v>
      </c>
      <c r="E62" s="383">
        <f t="shared" si="1"/>
        <v>12.416610342581263</v>
      </c>
      <c r="F62" s="383">
        <f t="shared" si="2"/>
        <v>12.416887011895994</v>
      </c>
      <c r="G62" s="110">
        <f t="shared" si="22"/>
        <v>0.31270219365719959</v>
      </c>
      <c r="H62" s="412" t="b">
        <f>Wh_hp&gt;='2021'!Maxi_hp</f>
        <v>0</v>
      </c>
      <c r="I62" s="379">
        <f>IF(H62,Wh_hp,'2021'!Maxi_hp)</f>
        <v>36.826584894030596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2.1386074117671683E-2</v>
      </c>
      <c r="M62" s="832"/>
      <c r="N62" s="832"/>
      <c r="O62" s="48">
        <f>IF(t&lt;Tnet,'2021'!Resal+('2021'!Salim-'2021'!Resal)*(1-EXP(('2021'!Tnet-t)/('2021'!Tau_j))),Resal+(Salim-Resal)*(1-EXP((Tnet-t)/(Tau_j))))*Salcycl</f>
        <v>7.9998549100696884E-2</v>
      </c>
      <c r="P62" s="169">
        <f>(INDEX(Models!$BJ62:$BT62,,T62)*(1-R62)+INDEX(Models!$BJ62:$BT62,,T62+1)*R62-ERP_i)*Q62*Ramure*Pc/MaxiM</f>
        <v>1.1934618409396047E-3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35.707799023884597</v>
      </c>
      <c r="W62" s="400">
        <f t="shared" si="10"/>
        <v>0</v>
      </c>
      <c r="X62" s="157">
        <f t="shared" si="11"/>
        <v>44609</v>
      </c>
      <c r="Y62" s="383">
        <f t="shared" si="12"/>
        <v>11.179</v>
      </c>
      <c r="Z62" s="383">
        <f t="shared" si="13"/>
        <v>11.423299530426055</v>
      </c>
      <c r="AA62" s="384">
        <f t="shared" si="14"/>
        <v>12.416610342581263</v>
      </c>
      <c r="AB62" s="197">
        <f t="shared" si="15"/>
        <v>44609</v>
      </c>
      <c r="AC62" s="119">
        <f>IF(OR(t&lt;Tnet,NoTnet),'2021'!Resal_s+('2021'!Salim-'2021'!Resal_s)*(1-EXP(('2021'!Tnet_s-t)/'2021'!Tau_j)),Resal_s+(Salim-Resal_s)*(1-EXP((Tnet_s-t)/Tau_j)))*Salcycl</f>
        <v>7.9998549100696884E-2</v>
      </c>
      <c r="AD62" s="230">
        <f>(INDEX(Models!$BJ62:$BT62,,AH62)*(1-AF62)+INDEX(Models!$BJ62:$BT62,,AH62+1)*AF62-ERP_i)*AE62*Ramure*Pc/MaxiM</f>
        <v>1.1934618409396047E-3</v>
      </c>
      <c r="AE62" s="304">
        <f t="shared" si="16"/>
        <v>0.6</v>
      </c>
      <c r="AF62" s="177">
        <f t="shared" si="23"/>
        <v>3.1888439314017285E-3</v>
      </c>
      <c r="AG62" s="799">
        <f t="shared" si="24"/>
        <v>0</v>
      </c>
      <c r="AH62" s="176">
        <f t="shared" si="17"/>
        <v>6</v>
      </c>
      <c r="AI62" s="224">
        <f t="shared" si="18"/>
        <v>3.1888439314017285E-3</v>
      </c>
      <c r="AJ62" s="264" t="b">
        <f t="shared" si="19"/>
        <v>1</v>
      </c>
      <c r="AK62" s="264" t="b">
        <f t="shared" si="20"/>
        <v>0</v>
      </c>
      <c r="AL62" s="264"/>
      <c r="AM62" s="264"/>
      <c r="AN62" s="75"/>
    </row>
    <row r="63" spans="1:40" s="6" customFormat="1" ht="11.25" x14ac:dyDescent="0.2">
      <c r="A63" s="56">
        <f t="shared" si="21"/>
        <v>44610</v>
      </c>
      <c r="B63" s="1153">
        <v>28.859000000000002</v>
      </c>
      <c r="C63" s="388"/>
      <c r="D63" s="391">
        <f t="shared" si="0"/>
        <v>29.490233404078037</v>
      </c>
      <c r="E63" s="383">
        <f t="shared" si="1"/>
        <v>32.056822395114168</v>
      </c>
      <c r="F63" s="383">
        <f t="shared" si="2"/>
        <v>32.083253619797951</v>
      </c>
      <c r="G63" s="110">
        <f t="shared" si="22"/>
        <v>0.80038615674193514</v>
      </c>
      <c r="H63" s="412" t="b">
        <f>Wh_hp&gt;='2021'!Maxi_hp</f>
        <v>1</v>
      </c>
      <c r="I63" s="379">
        <f>IF(H63,Wh_hp,'2021'!Maxi_hp)</f>
        <v>32.083253619797951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2.1404829030303496E-2</v>
      </c>
      <c r="M63" s="832"/>
      <c r="N63" s="832"/>
      <c r="O63" s="48">
        <f>IF(t&lt;Tnet,'2021'!Resal+('2021'!Salim-'2021'!Resal)*(1-EXP(('2021'!Tnet-t)/('2021'!Tau_j))),Resal+(Salim-Resal)*(1-EXP((Tnet-t)/(Tau_j))))*Salcycl</f>
        <v>8.0063736804659377E-2</v>
      </c>
      <c r="P63" s="169">
        <f>(INDEX(Models!$BJ63:$BT63,,T63)*(1-R63)+INDEX(Models!$BJ63:$BT63,,T63+1)*R63-ERP_i)*Q63*Ramure*Pc/MaxiM</f>
        <v>1.1518702318466573E-3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36.044508152029891</v>
      </c>
      <c r="W63" s="400">
        <f t="shared" si="10"/>
        <v>0</v>
      </c>
      <c r="X63" s="157">
        <f t="shared" si="11"/>
        <v>44610</v>
      </c>
      <c r="Y63" s="383">
        <f t="shared" si="12"/>
        <v>28.859000000000002</v>
      </c>
      <c r="Z63" s="383">
        <f t="shared" si="13"/>
        <v>29.490233404078037</v>
      </c>
      <c r="AA63" s="384">
        <f t="shared" si="14"/>
        <v>32.056822395114168</v>
      </c>
      <c r="AB63" s="197">
        <f t="shared" si="15"/>
        <v>44610</v>
      </c>
      <c r="AC63" s="119">
        <f>IF(OR(t&lt;Tnet,NoTnet),'2021'!Resal_s+('2021'!Salim-'2021'!Resal_s)*(1-EXP(('2021'!Tnet_s-t)/'2021'!Tau_j)),Resal_s+(Salim-Resal_s)*(1-EXP((Tnet_s-t)/Tau_j)))*Salcycl</f>
        <v>8.0063736804659377E-2</v>
      </c>
      <c r="AD63" s="230">
        <f>(INDEX(Models!$BJ63:$BT63,,AH63)*(1-AF63)+INDEX(Models!$BJ63:$BT63,,AH63+1)*AF63-ERP_i)*AE63*Ramure*Pc/MaxiM</f>
        <v>1.1518702318466573E-3</v>
      </c>
      <c r="AE63" s="304">
        <f t="shared" si="16"/>
        <v>0.6</v>
      </c>
      <c r="AF63" s="177">
        <f t="shared" si="23"/>
        <v>3.3870826341500003E-3</v>
      </c>
      <c r="AG63" s="799">
        <f t="shared" si="24"/>
        <v>0</v>
      </c>
      <c r="AH63" s="176">
        <f t="shared" si="17"/>
        <v>6</v>
      </c>
      <c r="AI63" s="224">
        <f t="shared" si="18"/>
        <v>3.3870826341500003E-3</v>
      </c>
      <c r="AJ63" s="264" t="b">
        <f t="shared" si="19"/>
        <v>1</v>
      </c>
      <c r="AK63" s="264" t="b">
        <f t="shared" si="20"/>
        <v>0</v>
      </c>
      <c r="AL63" s="264"/>
      <c r="AM63" s="264"/>
      <c r="AN63" s="75"/>
    </row>
    <row r="64" spans="1:40" s="6" customFormat="1" ht="11.25" x14ac:dyDescent="0.2">
      <c r="A64" s="56">
        <f t="shared" si="21"/>
        <v>44611</v>
      </c>
      <c r="B64" s="1153">
        <v>19.581</v>
      </c>
      <c r="C64" s="388"/>
      <c r="D64" s="391">
        <f t="shared" si="0"/>
        <v>20.00967903120404</v>
      </c>
      <c r="E64" s="383">
        <f t="shared" si="1"/>
        <v>21.752697844497927</v>
      </c>
      <c r="F64" s="383">
        <f t="shared" si="2"/>
        <v>21.760912874834226</v>
      </c>
      <c r="G64" s="110">
        <f t="shared" si="22"/>
        <v>0.5378217372408296</v>
      </c>
      <c r="H64" s="412" t="b">
        <f>Wh_hp&gt;='2021'!Maxi_hp</f>
        <v>0</v>
      </c>
      <c r="I64" s="379">
        <f>IF(H64,Wh_hp,'2021'!Maxi_hp)</f>
        <v>39.436937045771522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2.1423583583501715E-2</v>
      </c>
      <c r="M64" s="832"/>
      <c r="N64" s="832"/>
      <c r="O64" s="48">
        <f>IF(t&lt;Tnet,'2021'!Resal+('2021'!Salim-'2021'!Resal)*(1-EXP(('2021'!Tnet-t)/('2021'!Tau_j))),Resal+(Salim-Resal)*(1-EXP((Tnet-t)/(Tau_j))))*Salcycl</f>
        <v>8.0128856924051042E-2</v>
      </c>
      <c r="P64" s="169">
        <f>(INDEX(Models!$BJ64:$BT64,,T64)*(1-R64)+INDEX(Models!$BJ64:$BT64,,T64+1)*R64-ERP_i)*Q64*Ramure*Pc/MaxiM</f>
        <v>1.1093270714196714E-3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36.3813203979566</v>
      </c>
      <c r="W64" s="400">
        <f t="shared" si="10"/>
        <v>0</v>
      </c>
      <c r="X64" s="157">
        <f t="shared" si="11"/>
        <v>44611</v>
      </c>
      <c r="Y64" s="383">
        <f t="shared" si="12"/>
        <v>19.581</v>
      </c>
      <c r="Z64" s="383">
        <f t="shared" si="13"/>
        <v>20.00967903120404</v>
      </c>
      <c r="AA64" s="384">
        <f t="shared" si="14"/>
        <v>21.752697844497927</v>
      </c>
      <c r="AB64" s="197">
        <f t="shared" si="15"/>
        <v>44611</v>
      </c>
      <c r="AC64" s="119">
        <f>IF(OR(t&lt;Tnet,NoTnet),'2021'!Resal_s+('2021'!Salim-'2021'!Resal_s)*(1-EXP(('2021'!Tnet_s-t)/'2021'!Tau_j)),Resal_s+(Salim-Resal_s)*(1-EXP((Tnet_s-t)/Tau_j)))*Salcycl</f>
        <v>8.0128856924051042E-2</v>
      </c>
      <c r="AD64" s="230">
        <f>(INDEX(Models!$BJ64:$BT64,,AH64)*(1-AF64)+INDEX(Models!$BJ64:$BT64,,AH64+1)*AF64-ERP_i)*AE64*Ramure*Pc/MaxiM</f>
        <v>1.1093270714196714E-3</v>
      </c>
      <c r="AE64" s="304">
        <f t="shared" si="16"/>
        <v>0.6</v>
      </c>
      <c r="AF64" s="177">
        <f t="shared" si="23"/>
        <v>3.5934693769589651E-3</v>
      </c>
      <c r="AG64" s="799">
        <f t="shared" si="24"/>
        <v>0</v>
      </c>
      <c r="AH64" s="176">
        <f t="shared" si="17"/>
        <v>6</v>
      </c>
      <c r="AI64" s="224">
        <f t="shared" si="18"/>
        <v>3.5934693769589651E-3</v>
      </c>
      <c r="AJ64" s="264" t="b">
        <f t="shared" si="19"/>
        <v>1</v>
      </c>
      <c r="AK64" s="264" t="b">
        <f t="shared" si="20"/>
        <v>0</v>
      </c>
      <c r="AL64" s="264"/>
      <c r="AM64" s="264"/>
      <c r="AN64" s="75"/>
    </row>
    <row r="65" spans="1:40" s="6" customFormat="1" ht="11.25" x14ac:dyDescent="0.2">
      <c r="A65" s="56">
        <f t="shared" si="21"/>
        <v>44612</v>
      </c>
      <c r="B65" s="1153">
        <v>19.462</v>
      </c>
      <c r="C65" s="388"/>
      <c r="D65" s="391">
        <f t="shared" si="0"/>
        <v>19.88845496932025</v>
      </c>
      <c r="E65" s="383">
        <f t="shared" si="1"/>
        <v>21.622443094268892</v>
      </c>
      <c r="F65" s="383">
        <f t="shared" si="2"/>
        <v>21.630019237107017</v>
      </c>
      <c r="G65" s="110">
        <f t="shared" si="22"/>
        <v>0.52965479399190185</v>
      </c>
      <c r="H65" s="412" t="b">
        <f>Wh_hp&gt;='2021'!Maxi_hp</f>
        <v>0</v>
      </c>
      <c r="I65" s="379">
        <f>IF(H65,Wh_hp,'2021'!Maxi_hp)</f>
        <v>41.467946828147284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2.1442337777273113E-2</v>
      </c>
      <c r="M65" s="832"/>
      <c r="N65" s="832"/>
      <c r="O65" s="48">
        <f>IF(t&lt;Tnet,'2021'!Resal+('2021'!Salim-'2021'!Resal)*(1-EXP(('2021'!Tnet-t)/('2021'!Tau_j))),Resal+(Salim-Resal)*(1-EXP((Tnet-t)/(Tau_j))))*Salcycl</f>
        <v>8.0193903963065305E-2</v>
      </c>
      <c r="P65" s="169">
        <f>(INDEX(Models!$BJ65:$BT65,,T65)*(1-R65)+INDEX(Models!$BJ65:$BT65,,T65+1)*R65-ERP_i)*Q65*Ramure*Pc/MaxiM</f>
        <v>1.0658518704109669E-3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36.718384319299361</v>
      </c>
      <c r="W65" s="400">
        <f t="shared" si="10"/>
        <v>0</v>
      </c>
      <c r="X65" s="157">
        <f t="shared" si="11"/>
        <v>44612</v>
      </c>
      <c r="Y65" s="383">
        <f t="shared" si="12"/>
        <v>19.462</v>
      </c>
      <c r="Z65" s="383">
        <f t="shared" si="13"/>
        <v>19.88845496932025</v>
      </c>
      <c r="AA65" s="384">
        <f t="shared" si="14"/>
        <v>21.622443094268892</v>
      </c>
      <c r="AB65" s="197">
        <f t="shared" si="15"/>
        <v>44612</v>
      </c>
      <c r="AC65" s="119">
        <f>IF(OR(t&lt;Tnet,NoTnet),'2021'!Resal_s+('2021'!Salim-'2021'!Resal_s)*(1-EXP(('2021'!Tnet_s-t)/'2021'!Tau_j)),Resal_s+(Salim-Resal_s)*(1-EXP((Tnet_s-t)/Tau_j)))*Salcycl</f>
        <v>8.0193903963065305E-2</v>
      </c>
      <c r="AD65" s="230">
        <f>(INDEX(Models!$BJ65:$BT65,,AH65)*(1-AF65)+INDEX(Models!$BJ65:$BT65,,AH65+1)*AF65-ERP_i)*AE65*Ramure*Pc/MaxiM</f>
        <v>1.0658518704109669E-3</v>
      </c>
      <c r="AE65" s="304">
        <f t="shared" si="16"/>
        <v>0.6</v>
      </c>
      <c r="AF65" s="177">
        <f t="shared" si="23"/>
        <v>3.8083317828692511E-3</v>
      </c>
      <c r="AG65" s="799">
        <f t="shared" si="24"/>
        <v>0</v>
      </c>
      <c r="AH65" s="176">
        <f t="shared" si="17"/>
        <v>6</v>
      </c>
      <c r="AI65" s="224">
        <f t="shared" si="18"/>
        <v>3.8083317828692511E-3</v>
      </c>
      <c r="AJ65" s="264" t="b">
        <f t="shared" si="19"/>
        <v>1</v>
      </c>
      <c r="AK65" s="264" t="b">
        <f t="shared" si="20"/>
        <v>0</v>
      </c>
      <c r="AL65" s="264"/>
      <c r="AM65" s="264"/>
      <c r="AN65" s="75"/>
    </row>
    <row r="66" spans="1:40" s="6" customFormat="1" ht="11.25" x14ac:dyDescent="0.2">
      <c r="A66" s="56">
        <f t="shared" si="21"/>
        <v>44613</v>
      </c>
      <c r="B66" s="1153">
        <v>21.547000000000001</v>
      </c>
      <c r="C66" s="388"/>
      <c r="D66" s="391">
        <f t="shared" si="0"/>
        <v>22.01956387762575</v>
      </c>
      <c r="E66" s="383">
        <f t="shared" si="1"/>
        <v>23.941045192282694</v>
      </c>
      <c r="F66" s="383">
        <f t="shared" si="2"/>
        <v>23.950887388071926</v>
      </c>
      <c r="G66" s="110">
        <f t="shared" si="22"/>
        <v>0.58111747987730122</v>
      </c>
      <c r="H66" s="412" t="b">
        <f>Wh_hp&gt;='2021'!Maxi_hp</f>
        <v>1</v>
      </c>
      <c r="I66" s="379">
        <f>IF(H66,Wh_hp,'2021'!Maxi_hp)</f>
        <v>23.950887388071926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2.1461091611624794E-2</v>
      </c>
      <c r="M66" s="832"/>
      <c r="N66" s="832"/>
      <c r="O66" s="48">
        <f>IF(t&lt;Tnet,'2021'!Resal+('2021'!Salim-'2021'!Resal)*(1-EXP(('2021'!Tnet-t)/('2021'!Tau_j))),Resal+(Salim-Resal)*(1-EXP((Tnet-t)/(Tau_j))))*Salcycl</f>
        <v>8.0258873379359705E-2</v>
      </c>
      <c r="P66" s="169">
        <f>(INDEX(Models!$BJ66:$BT66,,T66)*(1-R66)+INDEX(Models!$BJ66:$BT66,,T66+1)*R66-ERP_i)*Q66*Ramure*Pc/MaxiM</f>
        <v>1.0219550974813602E-3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37.055895971640894</v>
      </c>
      <c r="W66" s="400">
        <f t="shared" si="10"/>
        <v>0</v>
      </c>
      <c r="X66" s="157">
        <f t="shared" si="11"/>
        <v>44613</v>
      </c>
      <c r="Y66" s="383">
        <f t="shared" si="12"/>
        <v>21.547000000000001</v>
      </c>
      <c r="Z66" s="383">
        <f t="shared" si="13"/>
        <v>22.01956387762575</v>
      </c>
      <c r="AA66" s="384">
        <f t="shared" si="14"/>
        <v>23.941045192282694</v>
      </c>
      <c r="AB66" s="197">
        <f t="shared" si="15"/>
        <v>44613</v>
      </c>
      <c r="AC66" s="119">
        <f>IF(OR(t&lt;Tnet,NoTnet),'2021'!Resal_s+('2021'!Salim-'2021'!Resal_s)*(1-EXP(('2021'!Tnet_s-t)/'2021'!Tau_j)),Resal_s+(Salim-Resal_s)*(1-EXP((Tnet_s-t)/Tau_j)))*Salcycl</f>
        <v>8.0258873379359705E-2</v>
      </c>
      <c r="AD66" s="230">
        <f>(INDEX(Models!$BJ66:$BT66,,AH66)*(1-AF66)+INDEX(Models!$BJ66:$BT66,,AH66+1)*AF66-ERP_i)*AE66*Ramure*Pc/MaxiM</f>
        <v>1.0219550974813602E-3</v>
      </c>
      <c r="AE66" s="304">
        <f t="shared" si="16"/>
        <v>0.6</v>
      </c>
      <c r="AF66" s="177">
        <f t="shared" si="23"/>
        <v>4.0320100321558725E-3</v>
      </c>
      <c r="AG66" s="799">
        <f t="shared" si="24"/>
        <v>0</v>
      </c>
      <c r="AH66" s="176">
        <f t="shared" si="17"/>
        <v>6</v>
      </c>
      <c r="AI66" s="224">
        <f t="shared" si="18"/>
        <v>4.0320100321558725E-3</v>
      </c>
      <c r="AJ66" s="264" t="b">
        <f t="shared" si="19"/>
        <v>1</v>
      </c>
      <c r="AK66" s="264" t="b">
        <f t="shared" si="20"/>
        <v>0</v>
      </c>
      <c r="AL66" s="264"/>
      <c r="AM66" s="264"/>
      <c r="AN66" s="75"/>
    </row>
    <row r="67" spans="1:40" s="6" customFormat="1" ht="11.25" x14ac:dyDescent="0.2">
      <c r="A67" s="56">
        <f t="shared" si="21"/>
        <v>44614</v>
      </c>
      <c r="B67" s="1153">
        <v>32.926000000000002</v>
      </c>
      <c r="C67" s="388"/>
      <c r="D67" s="391">
        <f t="shared" si="0"/>
        <v>33.648770375008532</v>
      </c>
      <c r="E67" s="383">
        <f t="shared" si="1"/>
        <v>36.587626137746149</v>
      </c>
      <c r="F67" s="383">
        <f t="shared" si="2"/>
        <v>36.617348207984875</v>
      </c>
      <c r="G67" s="110">
        <f t="shared" si="22"/>
        <v>0.88037274821140632</v>
      </c>
      <c r="H67" s="412" t="b">
        <f>Wh_hp&gt;='2021'!Maxi_hp</f>
        <v>0</v>
      </c>
      <c r="I67" s="379">
        <f>IF(H67,Wh_hp,'2021'!Maxi_hp)</f>
        <v>39.949310572645629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2.1479845086563421E-2</v>
      </c>
      <c r="M67" s="832"/>
      <c r="N67" s="832"/>
      <c r="O67" s="48">
        <f>IF(t&lt;Tnet,'2021'!Resal+('2021'!Salim-'2021'!Resal)*(1-EXP(('2021'!Tnet-t)/('2021'!Tau_j))),Resal+(Salim-Resal)*(1-EXP((Tnet-t)/(Tau_j))))*Salcycl</f>
        <v>8.0323761691270298E-2</v>
      </c>
      <c r="P67" s="169">
        <f>(INDEX(Models!$BJ67:$BT67,,T67)*(1-R67)+INDEX(Models!$BJ67:$BT67,,T67+1)*R67-ERP_i)*Q67*Ramure*Pc/MaxiM</f>
        <v>9.7875286111589479E-4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37.393814163343009</v>
      </c>
      <c r="W67" s="400">
        <f t="shared" si="10"/>
        <v>0</v>
      </c>
      <c r="X67" s="157">
        <f t="shared" si="11"/>
        <v>44614</v>
      </c>
      <c r="Y67" s="383">
        <f t="shared" si="12"/>
        <v>32.926000000000002</v>
      </c>
      <c r="Z67" s="383">
        <f t="shared" si="13"/>
        <v>33.648770375008532</v>
      </c>
      <c r="AA67" s="384">
        <f t="shared" si="14"/>
        <v>36.587626137746149</v>
      </c>
      <c r="AB67" s="197">
        <f t="shared" si="15"/>
        <v>44614</v>
      </c>
      <c r="AC67" s="119">
        <f>IF(OR(t&lt;Tnet,NoTnet),'2021'!Resal_s+('2021'!Salim-'2021'!Resal_s)*(1-EXP(('2021'!Tnet_s-t)/'2021'!Tau_j)),Resal_s+(Salim-Resal_s)*(1-EXP((Tnet_s-t)/Tau_j)))*Salcycl</f>
        <v>8.0323761691270298E-2</v>
      </c>
      <c r="AD67" s="230">
        <f>(INDEX(Models!$BJ67:$BT67,,AH67)*(1-AF67)+INDEX(Models!$BJ67:$BT67,,AH67+1)*AF67-ERP_i)*AE67*Ramure*Pc/MaxiM</f>
        <v>9.7875286111589479E-4</v>
      </c>
      <c r="AE67" s="304">
        <f t="shared" si="16"/>
        <v>0.6</v>
      </c>
      <c r="AF67" s="177">
        <f t="shared" si="23"/>
        <v>4.2648572912251615E-3</v>
      </c>
      <c r="AG67" s="799">
        <f t="shared" si="24"/>
        <v>0</v>
      </c>
      <c r="AH67" s="176">
        <f t="shared" si="17"/>
        <v>6</v>
      </c>
      <c r="AI67" s="224">
        <f t="shared" si="18"/>
        <v>4.2648572912251615E-3</v>
      </c>
      <c r="AJ67" s="264" t="b">
        <f t="shared" si="19"/>
        <v>1</v>
      </c>
      <c r="AK67" s="264" t="b">
        <f t="shared" si="20"/>
        <v>0</v>
      </c>
      <c r="AL67" s="264"/>
      <c r="AM67" s="264"/>
      <c r="AN67" s="75"/>
    </row>
    <row r="68" spans="1:40" s="6" customFormat="1" ht="11.25" x14ac:dyDescent="0.2">
      <c r="A68" s="56">
        <f t="shared" si="21"/>
        <v>44615</v>
      </c>
      <c r="B68" s="1153">
        <v>34.597999999999999</v>
      </c>
      <c r="C68" s="388"/>
      <c r="D68" s="391">
        <f t="shared" si="0"/>
        <v>35.358150674520694</v>
      </c>
      <c r="E68" s="383">
        <f t="shared" si="1"/>
        <v>38.449011603680049</v>
      </c>
      <c r="F68" s="383">
        <f t="shared" si="2"/>
        <v>38.48076316050448</v>
      </c>
      <c r="G68" s="110">
        <f t="shared" si="22"/>
        <v>0.91683519527886048</v>
      </c>
      <c r="H68" s="412" t="b">
        <f>Wh_hp&gt;='2021'!Maxi_hp</f>
        <v>0</v>
      </c>
      <c r="I68" s="379">
        <f>IF(H68,Wh_hp,'2021'!Maxi_hp)</f>
        <v>41.571938803017574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2.1498598202096098E-2</v>
      </c>
      <c r="M68" s="832"/>
      <c r="N68" s="832"/>
      <c r="O68" s="48">
        <f>IF(t&lt;Tnet,'2021'!Resal+('2021'!Salim-'2021'!Resal)*(1-EXP(('2021'!Tnet-t)/('2021'!Tau_j))),Resal+(Salim-Resal)*(1-EXP((Tnet-t)/(Tau_j))))*Salcycl</f>
        <v>8.0388566577964268E-2</v>
      </c>
      <c r="P68" s="169">
        <f>(INDEX(Models!$BJ68:$BT68,,T68)*(1-R68)+INDEX(Models!$BJ68:$BT68,,T68+1)*R68-ERP_i)*Q68*Ramure*Pc/MaxiM</f>
        <v>9.3622119430248707E-4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37.732139214583221</v>
      </c>
      <c r="W68" s="400">
        <f t="shared" si="10"/>
        <v>0</v>
      </c>
      <c r="X68" s="157">
        <f t="shared" si="11"/>
        <v>44615</v>
      </c>
      <c r="Y68" s="383">
        <f t="shared" si="12"/>
        <v>34.597999999999999</v>
      </c>
      <c r="Z68" s="383">
        <f t="shared" si="13"/>
        <v>35.358150674520694</v>
      </c>
      <c r="AA68" s="384">
        <f t="shared" si="14"/>
        <v>38.449011603680049</v>
      </c>
      <c r="AB68" s="197">
        <f t="shared" si="15"/>
        <v>44615</v>
      </c>
      <c r="AC68" s="119">
        <f>IF(OR(t&lt;Tnet,NoTnet),'2021'!Resal_s+('2021'!Salim-'2021'!Resal_s)*(1-EXP(('2021'!Tnet_s-t)/'2021'!Tau_j)),Resal_s+(Salim-Resal_s)*(1-EXP((Tnet_s-t)/Tau_j)))*Salcycl</f>
        <v>8.0388566577964268E-2</v>
      </c>
      <c r="AD68" s="230">
        <f>(INDEX(Models!$BJ68:$BT68,,AH68)*(1-AF68)+INDEX(Models!$BJ68:$BT68,,AH68+1)*AF68-ERP_i)*AE68*Ramure*Pc/MaxiM</f>
        <v>9.3622119430248707E-4</v>
      </c>
      <c r="AE68" s="304">
        <f t="shared" si="16"/>
        <v>0.6</v>
      </c>
      <c r="AF68" s="177">
        <f t="shared" si="23"/>
        <v>4.507240151603027E-3</v>
      </c>
      <c r="AG68" s="799">
        <f t="shared" si="24"/>
        <v>0</v>
      </c>
      <c r="AH68" s="176">
        <f t="shared" si="17"/>
        <v>6</v>
      </c>
      <c r="AI68" s="224">
        <f t="shared" si="18"/>
        <v>4.507240151603027E-3</v>
      </c>
      <c r="AJ68" s="264" t="b">
        <f t="shared" si="19"/>
        <v>1</v>
      </c>
      <c r="AK68" s="264" t="b">
        <f t="shared" si="20"/>
        <v>0</v>
      </c>
      <c r="AL68" s="264"/>
      <c r="AM68" s="264"/>
      <c r="AN68" s="75"/>
    </row>
    <row r="69" spans="1:40" s="6" customFormat="1" ht="11.25" x14ac:dyDescent="0.2">
      <c r="A69" s="56">
        <f t="shared" si="21"/>
        <v>44616</v>
      </c>
      <c r="B69" s="1153">
        <v>21.536000000000001</v>
      </c>
      <c r="C69" s="388"/>
      <c r="D69" s="391">
        <f t="shared" si="0"/>
        <v>22.009588030089482</v>
      </c>
      <c r="E69" s="383">
        <f t="shared" si="1"/>
        <v>23.935258229139009</v>
      </c>
      <c r="F69" s="383">
        <f t="shared" si="2"/>
        <v>23.943385657937263</v>
      </c>
      <c r="G69" s="110">
        <f t="shared" si="22"/>
        <v>0.56536782504041938</v>
      </c>
      <c r="H69" s="412" t="b">
        <f>Wh_hp&gt;='2021'!Maxi_hp</f>
        <v>0</v>
      </c>
      <c r="I69" s="379">
        <f>IF(H69,Wh_hp,'2021'!Maxi_hp)</f>
        <v>41.52507944394246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2.1517350958229486E-2</v>
      </c>
      <c r="M69" s="832"/>
      <c r="N69" s="832"/>
      <c r="O69" s="48">
        <f>IF(t&lt;Tnet,'2021'!Resal+('2021'!Salim-'2021'!Resal)*(1-EXP(('2021'!Tnet-t)/('2021'!Tau_j))),Resal+(Salim-Resal)*(1-EXP((Tnet-t)/(Tau_j))))*Salcycl</f>
        <v>8.0453286971652535E-2</v>
      </c>
      <c r="P69" s="169">
        <f>(INDEX(Models!$BJ69:$BT69,,T69)*(1-R69)+INDEX(Models!$BJ69:$BT69,,T69+1)*R69-ERP_i)*Q69*Ramure*Pc/MaxiM</f>
        <v>8.9434236202707987E-4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38.070871190254024</v>
      </c>
      <c r="W69" s="400">
        <f t="shared" si="10"/>
        <v>0</v>
      </c>
      <c r="X69" s="157">
        <f t="shared" si="11"/>
        <v>44616</v>
      </c>
      <c r="Y69" s="383">
        <f t="shared" si="12"/>
        <v>21.536000000000001</v>
      </c>
      <c r="Z69" s="383">
        <f t="shared" si="13"/>
        <v>22.009588030089482</v>
      </c>
      <c r="AA69" s="384">
        <f t="shared" si="14"/>
        <v>23.935258229139009</v>
      </c>
      <c r="AB69" s="197">
        <f t="shared" si="15"/>
        <v>44616</v>
      </c>
      <c r="AC69" s="119">
        <f>IF(OR(t&lt;Tnet,NoTnet),'2021'!Resal_s+('2021'!Salim-'2021'!Resal_s)*(1-EXP(('2021'!Tnet_s-t)/'2021'!Tau_j)),Resal_s+(Salim-Resal_s)*(1-EXP((Tnet_s-t)/Tau_j)))*Salcycl</f>
        <v>8.0453286971652535E-2</v>
      </c>
      <c r="AD69" s="230">
        <f>(INDEX(Models!$BJ69:$BT69,,AH69)*(1-AF69)+INDEX(Models!$BJ69:$BT69,,AH69+1)*AF69-ERP_i)*AE69*Ramure*Pc/MaxiM</f>
        <v>8.9434236202707987E-4</v>
      </c>
      <c r="AE69" s="304">
        <f t="shared" si="16"/>
        <v>0.6</v>
      </c>
      <c r="AF69" s="177">
        <f t="shared" si="23"/>
        <v>4.7595390788213133E-3</v>
      </c>
      <c r="AG69" s="799">
        <f t="shared" si="24"/>
        <v>0</v>
      </c>
      <c r="AH69" s="176">
        <f t="shared" si="17"/>
        <v>6</v>
      </c>
      <c r="AI69" s="224">
        <f t="shared" si="18"/>
        <v>4.7595390788213133E-3</v>
      </c>
      <c r="AJ69" s="264" t="b">
        <f t="shared" si="19"/>
        <v>1</v>
      </c>
      <c r="AK69" s="264" t="b">
        <f t="shared" si="20"/>
        <v>0</v>
      </c>
      <c r="AL69" s="264"/>
      <c r="AM69" s="264"/>
      <c r="AN69" s="75"/>
    </row>
    <row r="70" spans="1:40" s="6" customFormat="1" ht="11.25" x14ac:dyDescent="0.2">
      <c r="A70" s="56">
        <f t="shared" si="21"/>
        <v>44617</v>
      </c>
      <c r="B70" s="1153">
        <v>30.839000000000002</v>
      </c>
      <c r="C70" s="388"/>
      <c r="D70" s="391">
        <f t="shared" si="0"/>
        <v>31.517769951186949</v>
      </c>
      <c r="E70" s="383">
        <f t="shared" si="1"/>
        <v>34.277742594892395</v>
      </c>
      <c r="F70" s="383">
        <f t="shared" si="2"/>
        <v>34.298763568107987</v>
      </c>
      <c r="G70" s="110">
        <f t="shared" si="22"/>
        <v>0.80269667223338459</v>
      </c>
      <c r="H70" s="412" t="b">
        <f>Wh_hp&gt;='2021'!Maxi_hp</f>
        <v>0</v>
      </c>
      <c r="I70" s="379">
        <f>IF(H70,Wh_hp,'2021'!Maxi_hp)</f>
        <v>36.519009293012743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2.1536103354970582E-2</v>
      </c>
      <c r="M70" s="832"/>
      <c r="N70" s="832"/>
      <c r="O70" s="48">
        <f>IF(t&lt;Tnet,'2021'!Resal+('2021'!Salim-'2021'!Resal)*(1-EXP(('2021'!Tnet-t)/('2021'!Tau_j))),Resal+(Salim-Resal)*(1-EXP((Tnet-t)/(Tau_j))))*Salcycl</f>
        <v>8.0517923141085052E-2</v>
      </c>
      <c r="P70" s="169">
        <f>(INDEX(Models!$BJ70:$BT70,,T70)*(1-R70)+INDEX(Models!$BJ70:$BT70,,T70+1)*R70-ERP_i)*Q70*Ramure*Pc/MaxiM</f>
        <v>8.5309949908991616E-4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38.410010090527834</v>
      </c>
      <c r="W70" s="400">
        <f t="shared" si="10"/>
        <v>0</v>
      </c>
      <c r="X70" s="157">
        <f t="shared" si="11"/>
        <v>44617</v>
      </c>
      <c r="Y70" s="383">
        <f t="shared" si="12"/>
        <v>30.839000000000002</v>
      </c>
      <c r="Z70" s="383">
        <f t="shared" si="13"/>
        <v>31.517769951186949</v>
      </c>
      <c r="AA70" s="384">
        <f t="shared" si="14"/>
        <v>34.277742594892395</v>
      </c>
      <c r="AB70" s="197">
        <f t="shared" si="15"/>
        <v>44617</v>
      </c>
      <c r="AC70" s="119">
        <f>IF(OR(t&lt;Tnet,NoTnet),'2021'!Resal_s+('2021'!Salim-'2021'!Resal_s)*(1-EXP(('2021'!Tnet_s-t)/'2021'!Tau_j)),Resal_s+(Salim-Resal_s)*(1-EXP((Tnet_s-t)/Tau_j)))*Salcycl</f>
        <v>8.0517923141085052E-2</v>
      </c>
      <c r="AD70" s="230">
        <f>(INDEX(Models!$BJ70:$BT70,,AH70)*(1-AF70)+INDEX(Models!$BJ70:$BT70,,AH70+1)*AF70-ERP_i)*AE70*Ramure*Pc/MaxiM</f>
        <v>8.5309949908991616E-4</v>
      </c>
      <c r="AE70" s="304">
        <f t="shared" si="16"/>
        <v>0.6</v>
      </c>
      <c r="AF70" s="177">
        <f t="shared" si="23"/>
        <v>5.0221488709573658E-3</v>
      </c>
      <c r="AG70" s="799">
        <f t="shared" si="24"/>
        <v>0</v>
      </c>
      <c r="AH70" s="176">
        <f t="shared" si="17"/>
        <v>6</v>
      </c>
      <c r="AI70" s="224">
        <f t="shared" si="18"/>
        <v>5.0221488709573658E-3</v>
      </c>
      <c r="AJ70" s="264" t="b">
        <f t="shared" si="19"/>
        <v>1</v>
      </c>
      <c r="AK70" s="264" t="b">
        <f t="shared" si="20"/>
        <v>0</v>
      </c>
      <c r="AL70" s="264"/>
      <c r="AM70" s="264"/>
      <c r="AN70" s="75"/>
    </row>
    <row r="71" spans="1:40" s="6" customFormat="1" ht="11.25" x14ac:dyDescent="0.2">
      <c r="A71" s="56">
        <f t="shared" si="21"/>
        <v>44618</v>
      </c>
      <c r="B71" s="1188">
        <f>41.141*0.95</f>
        <v>39.083949999999994</v>
      </c>
      <c r="C71" s="388"/>
      <c r="D71" s="391">
        <f t="shared" si="0"/>
        <v>39.944957788789935</v>
      </c>
      <c r="E71" s="383">
        <f t="shared" si="1"/>
        <v>43.445939172739358</v>
      </c>
      <c r="F71" s="383">
        <f t="shared" si="2"/>
        <v>43.481266681339839</v>
      </c>
      <c r="G71" s="110">
        <f t="shared" si="22"/>
        <v>1.0086296254599769</v>
      </c>
      <c r="H71" s="412" t="b">
        <f>Wh_hp&gt;='2021'!Maxi_hp</f>
        <v>1</v>
      </c>
      <c r="I71" s="379">
        <f>IF(H71,Wh_hp,'2021'!Maxi_hp)</f>
        <v>43.481266681339839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2.1554855392326266E-2</v>
      </c>
      <c r="M71" s="832"/>
      <c r="N71" s="832"/>
      <c r="O71" s="48">
        <f>IF(t&lt;Tnet,'2021'!Resal+('2021'!Salim-'2021'!Resal)*(1-EXP(('2021'!Tnet-t)/('2021'!Tau_j))),Resal+(Salim-Resal)*(1-EXP((Tnet-t)/(Tau_j))))*Salcycl</f>
        <v>8.0582476765657107E-2</v>
      </c>
      <c r="P71" s="169">
        <f>(INDEX(Models!$BJ71:$BT71,,T71)*(1-R71)+INDEX(Models!$BJ71:$BT71,,T71+1)*R71-ERP_i)*Q71*Ramure*Pc/MaxiM</f>
        <v>8.124765283262802E-4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38.749555846305917</v>
      </c>
      <c r="W71" s="400">
        <f t="shared" si="10"/>
        <v>0</v>
      </c>
      <c r="X71" s="157">
        <f t="shared" si="11"/>
        <v>44618</v>
      </c>
      <c r="Y71" s="383">
        <f t="shared" si="12"/>
        <v>39.083949999999994</v>
      </c>
      <c r="Z71" s="383">
        <f t="shared" si="13"/>
        <v>39.944957788789935</v>
      </c>
      <c r="AA71" s="384">
        <f t="shared" si="14"/>
        <v>43.445939172739358</v>
      </c>
      <c r="AB71" s="197">
        <f t="shared" si="15"/>
        <v>44618</v>
      </c>
      <c r="AC71" s="119">
        <f>IF(OR(t&lt;Tnet,NoTnet),'2021'!Resal_s+('2021'!Salim-'2021'!Resal_s)*(1-EXP(('2021'!Tnet_s-t)/'2021'!Tau_j)),Resal_s+(Salim-Resal_s)*(1-EXP((Tnet_s-t)/Tau_j)))*Salcycl</f>
        <v>8.0582476765657107E-2</v>
      </c>
      <c r="AD71" s="230">
        <f>(INDEX(Models!$BJ71:$BT71,,AH71)*(1-AF71)+INDEX(Models!$BJ71:$BT71,,AH71+1)*AF71-ERP_i)*AE71*Ramure*Pc/MaxiM</f>
        <v>8.124765283262802E-4</v>
      </c>
      <c r="AE71" s="304">
        <f t="shared" si="16"/>
        <v>0.6</v>
      </c>
      <c r="AF71" s="177">
        <f t="shared" si="23"/>
        <v>5.2954791265226661E-3</v>
      </c>
      <c r="AG71" s="799">
        <f t="shared" si="24"/>
        <v>0</v>
      </c>
      <c r="AH71" s="176">
        <f t="shared" si="17"/>
        <v>6</v>
      </c>
      <c r="AI71" s="224">
        <f t="shared" si="18"/>
        <v>5.2954791265226661E-3</v>
      </c>
      <c r="AJ71" s="264" t="b">
        <f t="shared" si="19"/>
        <v>1</v>
      </c>
      <c r="AK71" s="264" t="b">
        <f t="shared" si="20"/>
        <v>0</v>
      </c>
      <c r="AL71" s="264"/>
      <c r="AM71" s="264"/>
      <c r="AN71" s="75"/>
    </row>
    <row r="72" spans="1:40" s="6" customFormat="1" ht="11.25" x14ac:dyDescent="0.2">
      <c r="A72" s="56">
        <f t="shared" si="21"/>
        <v>44619</v>
      </c>
      <c r="B72" s="1153">
        <v>27.937000000000001</v>
      </c>
      <c r="C72" s="388"/>
      <c r="D72" s="391">
        <f t="shared" si="0"/>
        <v>28.552991008703685</v>
      </c>
      <c r="E72" s="383">
        <f t="shared" si="1"/>
        <v>31.057699802864512</v>
      </c>
      <c r="F72" s="383">
        <f t="shared" si="2"/>
        <v>31.071933891955709</v>
      </c>
      <c r="G72" s="110">
        <f t="shared" si="22"/>
        <v>0.71446828033327237</v>
      </c>
      <c r="H72" s="412" t="b">
        <f>Wh_hp&gt;='2021'!Maxi_hp</f>
        <v>0</v>
      </c>
      <c r="I72" s="379">
        <f>IF(H72,Wh_hp,'2021'!Maxi_hp)</f>
        <v>42.979805880549684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2.1573607070303535E-2</v>
      </c>
      <c r="M72" s="832"/>
      <c r="N72" s="832"/>
      <c r="O72" s="48">
        <f>IF(t&lt;Tnet,'2021'!Resal+('2021'!Salim-'2021'!Resal)*(1-EXP(('2021'!Tnet-t)/('2021'!Tau_j))),Resal+(Salim-Resal)*(1-EXP((Tnet-t)/(Tau_j))))*Salcycl</f>
        <v>8.0646950999565453E-2</v>
      </c>
      <c r="P72" s="169">
        <f>(INDEX(Models!$BJ72:$BT72,,T72)*(1-R72)+INDEX(Models!$BJ72:$BT72,,T72+1)*R72-ERP_i)*Q72*Ramure*Pc/MaxiM</f>
        <v>7.7327161251392388E-4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39.089476491199811</v>
      </c>
      <c r="W72" s="400">
        <f t="shared" si="10"/>
        <v>0</v>
      </c>
      <c r="X72" s="157">
        <f t="shared" si="11"/>
        <v>44619</v>
      </c>
      <c r="Y72" s="383">
        <f t="shared" si="12"/>
        <v>27.937000000000001</v>
      </c>
      <c r="Z72" s="383">
        <f t="shared" si="13"/>
        <v>28.552991008703685</v>
      </c>
      <c r="AA72" s="384">
        <f t="shared" si="14"/>
        <v>31.057699802864512</v>
      </c>
      <c r="AB72" s="197">
        <f t="shared" si="15"/>
        <v>44619</v>
      </c>
      <c r="AC72" s="119">
        <f>IF(OR(t&lt;Tnet,NoTnet),'2021'!Resal_s+('2021'!Salim-'2021'!Resal_s)*(1-EXP(('2021'!Tnet_s-t)/'2021'!Tau_j)),Resal_s+(Salim-Resal_s)*(1-EXP((Tnet_s-t)/Tau_j)))*Salcycl</f>
        <v>8.0646950999565453E-2</v>
      </c>
      <c r="AD72" s="230">
        <f>(INDEX(Models!$BJ72:$BT72,,AH72)*(1-AF72)+INDEX(Models!$BJ72:$BT72,,AH72+1)*AF72-ERP_i)*AE72*Ramure*Pc/MaxiM</f>
        <v>7.7327161251392388E-4</v>
      </c>
      <c r="AE72" s="304">
        <f t="shared" si="16"/>
        <v>0.6</v>
      </c>
      <c r="AF72" s="177">
        <f t="shared" si="23"/>
        <v>5.5799547213327971E-3</v>
      </c>
      <c r="AG72" s="799">
        <f t="shared" si="24"/>
        <v>0</v>
      </c>
      <c r="AH72" s="176">
        <f t="shared" si="17"/>
        <v>6</v>
      </c>
      <c r="AI72" s="224">
        <f t="shared" si="18"/>
        <v>5.5799547213327971E-3</v>
      </c>
      <c r="AJ72" s="264" t="b">
        <f t="shared" si="19"/>
        <v>1</v>
      </c>
      <c r="AK72" s="264" t="b">
        <f t="shared" si="20"/>
        <v>0</v>
      </c>
      <c r="AL72" s="264"/>
      <c r="AM72" s="264"/>
      <c r="AN72" s="75"/>
    </row>
    <row r="73" spans="1:40" s="6" customFormat="1" ht="11.25" x14ac:dyDescent="0.2">
      <c r="A73" s="56">
        <f t="shared" si="21"/>
        <v>44620</v>
      </c>
      <c r="B73" s="1153">
        <v>33.725999999999999</v>
      </c>
      <c r="C73" s="388"/>
      <c r="D73" s="391">
        <f t="shared" si="0"/>
        <v>34.470294962603951</v>
      </c>
      <c r="E73" s="383">
        <f t="shared" si="1"/>
        <v>37.496704633861171</v>
      </c>
      <c r="F73" s="383">
        <f t="shared" si="2"/>
        <v>37.518611340462861</v>
      </c>
      <c r="G73" s="110">
        <f t="shared" si="22"/>
        <v>0.85521381319646572</v>
      </c>
      <c r="H73" s="412" t="b">
        <f>Wh_hp&gt;='2021'!Maxi_hp</f>
        <v>1</v>
      </c>
      <c r="I73" s="379">
        <f>IF(H73,Wh_hp,'2021'!Maxi_hp)</f>
        <v>37.518611340462861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2.159235838890905E-2</v>
      </c>
      <c r="M73" s="832"/>
      <c r="N73" s="832"/>
      <c r="O73" s="48">
        <f>IF(t&lt;Tnet,'2021'!Resal+('2021'!Salim-'2021'!Resal)*(1-EXP(('2021'!Tnet-t)/('2021'!Tau_j))),Resal+(Salim-Resal)*(1-EXP((Tnet-t)/(Tau_j))))*Salcycl</f>
        <v>8.0711350525567008E-2</v>
      </c>
      <c r="P73" s="169">
        <f>(INDEX(Models!$BJ73:$BT73,,T73)*(1-R73)+INDEX(Models!$BJ73:$BT73,,T73+1)*R73-ERP_i)*Q73*Ramure*Pc/MaxiM</f>
        <v>7.3598050029479096E-4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39.429750837608424</v>
      </c>
      <c r="W73" s="400">
        <f t="shared" si="10"/>
        <v>0</v>
      </c>
      <c r="X73" s="157">
        <f t="shared" si="11"/>
        <v>44620</v>
      </c>
      <c r="Y73" s="383">
        <f t="shared" si="12"/>
        <v>33.725999999999999</v>
      </c>
      <c r="Z73" s="383">
        <f t="shared" si="13"/>
        <v>34.470294962603951</v>
      </c>
      <c r="AA73" s="384">
        <f t="shared" si="14"/>
        <v>37.496704633861171</v>
      </c>
      <c r="AB73" s="197">
        <f t="shared" si="15"/>
        <v>44620</v>
      </c>
      <c r="AC73" s="119">
        <f>IF(OR(t&lt;Tnet,NoTnet),'2021'!Resal_s+('2021'!Salim-'2021'!Resal_s)*(1-EXP(('2021'!Tnet_s-t)/'2021'!Tau_j)),Resal_s+(Salim-Resal_s)*(1-EXP((Tnet_s-t)/Tau_j)))*Salcycl</f>
        <v>8.0711350525567008E-2</v>
      </c>
      <c r="AD73" s="230">
        <f>(INDEX(Models!$BJ73:$BT73,,AH73)*(1-AF73)+INDEX(Models!$BJ73:$BT73,,AH73+1)*AF73-ERP_i)*AE73*Ramure*Pc/MaxiM</f>
        <v>7.3598050029479096E-4</v>
      </c>
      <c r="AE73" s="304">
        <f t="shared" si="16"/>
        <v>0.6</v>
      </c>
      <c r="AF73" s="177">
        <f t="shared" si="23"/>
        <v>5.8760162939204561E-3</v>
      </c>
      <c r="AG73" s="799">
        <f t="shared" si="24"/>
        <v>0</v>
      </c>
      <c r="AH73" s="176">
        <f t="shared" si="17"/>
        <v>6</v>
      </c>
      <c r="AI73" s="224">
        <f t="shared" si="18"/>
        <v>5.8760162939204561E-3</v>
      </c>
      <c r="AJ73" s="264" t="b">
        <f t="shared" si="19"/>
        <v>1</v>
      </c>
      <c r="AK73" s="264" t="b">
        <f t="shared" si="20"/>
        <v>0</v>
      </c>
      <c r="AL73" s="264"/>
      <c r="AM73" s="264"/>
      <c r="AN73" s="75"/>
    </row>
    <row r="74" spans="1:40" s="6" customFormat="1" ht="11.25" x14ac:dyDescent="0.2">
      <c r="A74" s="56">
        <f t="shared" si="21"/>
        <v>44621</v>
      </c>
      <c r="B74" s="1153">
        <v>39.128999999999998</v>
      </c>
      <c r="C74" s="388"/>
      <c r="D74" s="391">
        <f t="shared" si="0"/>
        <v>39.993299570205018</v>
      </c>
      <c r="E74" s="383">
        <f t="shared" si="1"/>
        <v>43.507660501987786</v>
      </c>
      <c r="F74" s="383">
        <f t="shared" si="2"/>
        <v>43.537458266027507</v>
      </c>
      <c r="G74" s="110">
        <f t="shared" si="22"/>
        <v>0.98385706838615938</v>
      </c>
      <c r="H74" s="412" t="b">
        <f>Wh_hp&gt;='2021'!Maxi_hp</f>
        <v>1</v>
      </c>
      <c r="I74" s="379">
        <f>IF(H74,Wh_hp,'2021'!Maxi_hp)</f>
        <v>43.537458266027507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2.1611109348149915E-2</v>
      </c>
      <c r="M74" s="832"/>
      <c r="N74" s="832"/>
      <c r="O74" s="48">
        <f>IF(t&lt;Tnet,'2021'!Resal+('2021'!Salim-'2021'!Resal)*(1-EXP(('2021'!Tnet-t)/('2021'!Tau_j))),Resal+(Salim-Resal)*(1-EXP((Tnet-t)/(Tau_j))))*Salcycl</f>
        <v>8.0775681598007437E-2</v>
      </c>
      <c r="P74" s="169">
        <f>(INDEX(Models!$BJ74:$BT74,,T74)*(1-R74)+INDEX(Models!$BJ74:$BT74,,T74+1)*R74-ERP_i)*Q74*Ramure*Pc/MaxiM</f>
        <v>7.0055657601365948E-4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39.770378531627294</v>
      </c>
      <c r="W74" s="400">
        <f t="shared" si="10"/>
        <v>0</v>
      </c>
      <c r="X74" s="157">
        <f t="shared" si="11"/>
        <v>44621</v>
      </c>
      <c r="Y74" s="383">
        <f t="shared" si="12"/>
        <v>39.128999999999998</v>
      </c>
      <c r="Z74" s="383">
        <f t="shared" si="13"/>
        <v>39.993299570205018</v>
      </c>
      <c r="AA74" s="384">
        <f t="shared" si="14"/>
        <v>43.507660501987786</v>
      </c>
      <c r="AB74" s="197">
        <f t="shared" si="15"/>
        <v>44621</v>
      </c>
      <c r="AC74" s="119">
        <f>IF(OR(t&lt;Tnet,NoTnet),'2021'!Resal_s+('2021'!Salim-'2021'!Resal_s)*(1-EXP(('2021'!Tnet_s-t)/'2021'!Tau_j)),Resal_s+(Salim-Resal_s)*(1-EXP((Tnet_s-t)/Tau_j)))*Salcycl</f>
        <v>8.0775681598007437E-2</v>
      </c>
      <c r="AD74" s="230">
        <f>(INDEX(Models!$BJ74:$BT74,,AH74)*(1-AF74)+INDEX(Models!$BJ74:$BT74,,AH74+1)*AF74-ERP_i)*AE74*Ramure*Pc/MaxiM</f>
        <v>7.0055657601365948E-4</v>
      </c>
      <c r="AE74" s="304">
        <f t="shared" si="16"/>
        <v>0.6</v>
      </c>
      <c r="AF74" s="177">
        <f t="shared" si="23"/>
        <v>6.1841207389792385E-3</v>
      </c>
      <c r="AG74" s="799">
        <f t="shared" si="24"/>
        <v>0</v>
      </c>
      <c r="AH74" s="176">
        <f t="shared" si="17"/>
        <v>6</v>
      </c>
      <c r="AI74" s="224">
        <f t="shared" si="18"/>
        <v>6.1841207389792385E-3</v>
      </c>
      <c r="AJ74" s="264" t="b">
        <f t="shared" si="19"/>
        <v>1</v>
      </c>
      <c r="AK74" s="264" t="b">
        <f t="shared" si="20"/>
        <v>0</v>
      </c>
      <c r="AL74" s="264"/>
      <c r="AM74" s="264"/>
      <c r="AN74" s="75"/>
    </row>
    <row r="75" spans="1:40" s="6" customFormat="1" ht="11.25" x14ac:dyDescent="0.2">
      <c r="A75" s="56">
        <f t="shared" si="21"/>
        <v>44622</v>
      </c>
      <c r="B75" s="1153">
        <v>11.401</v>
      </c>
      <c r="C75" s="388"/>
      <c r="D75" s="391">
        <f t="shared" si="0"/>
        <v>11.653053924350576</v>
      </c>
      <c r="E75" s="383">
        <f t="shared" si="1"/>
        <v>12.677937809259744</v>
      </c>
      <c r="F75" s="383">
        <f t="shared" si="2"/>
        <v>12.677937809259744</v>
      </c>
      <c r="G75" s="110">
        <f t="shared" si="22"/>
        <v>0.28404412849096522</v>
      </c>
      <c r="H75" s="412" t="b">
        <f>Wh_hp&gt;='2021'!Maxi_hp</f>
        <v>0</v>
      </c>
      <c r="I75" s="379">
        <f>IF(H75,Wh_hp,'2021'!Maxi_hp)</f>
        <v>30.966593074683484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2.1629859948032792E-2</v>
      </c>
      <c r="M75" s="832"/>
      <c r="N75" s="832"/>
      <c r="O75" s="48">
        <f>IF(t&lt;Tnet,'2021'!Resal+('2021'!Salim-'2021'!Resal)*(1-EXP(('2021'!Tnet-t)/('2021'!Tau_j))),Resal+(Salim-Resal)*(1-EXP((Tnet-t)/(Tau_j))))*Salcycl</f>
        <v>8.0839952074903701E-2</v>
      </c>
      <c r="P75" s="169">
        <f>(INDEX(Models!$BJ75:$BT75,,T75)*(1-R75)+INDEX(Models!$BJ75:$BT75,,T75+1)*R75-ERP_i)*Q75*Ramure*Pc/MaxiM</f>
        <v>6.669547592140099E-4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40.111359137467964</v>
      </c>
      <c r="W75" s="400">
        <f t="shared" si="10"/>
        <v>0</v>
      </c>
      <c r="X75" s="157">
        <f t="shared" si="11"/>
        <v>44622</v>
      </c>
      <c r="Y75" s="383">
        <f t="shared" si="12"/>
        <v>11.401</v>
      </c>
      <c r="Z75" s="383">
        <f t="shared" si="13"/>
        <v>11.653053924350576</v>
      </c>
      <c r="AA75" s="384">
        <f t="shared" si="14"/>
        <v>12.677937809259744</v>
      </c>
      <c r="AB75" s="197">
        <f t="shared" si="15"/>
        <v>44622</v>
      </c>
      <c r="AC75" s="119">
        <f>IF(OR(t&lt;Tnet,NoTnet),'2021'!Resal_s+('2021'!Salim-'2021'!Resal_s)*(1-EXP(('2021'!Tnet_s-t)/'2021'!Tau_j)),Resal_s+(Salim-Resal_s)*(1-EXP((Tnet_s-t)/Tau_j)))*Salcycl</f>
        <v>8.0839952074903701E-2</v>
      </c>
      <c r="AD75" s="230">
        <f>(INDEX(Models!$BJ75:$BT75,,AH75)*(1-AF75)+INDEX(Models!$BJ75:$BT75,,AH75+1)*AF75-ERP_i)*AE75*Ramure*Pc/MaxiM</f>
        <v>6.669547592140099E-4</v>
      </c>
      <c r="AE75" s="304">
        <f t="shared" si="16"/>
        <v>0.6</v>
      </c>
      <c r="AF75" s="177">
        <f t="shared" si="23"/>
        <v>6.5047417082407912E-3</v>
      </c>
      <c r="AG75" s="799">
        <f t="shared" si="24"/>
        <v>0</v>
      </c>
      <c r="AH75" s="176">
        <f t="shared" si="17"/>
        <v>6</v>
      </c>
      <c r="AI75" s="224">
        <f t="shared" si="18"/>
        <v>6.5047417082407912E-3</v>
      </c>
      <c r="AJ75" s="264" t="b">
        <f t="shared" si="19"/>
        <v>1</v>
      </c>
      <c r="AK75" s="264" t="b">
        <f t="shared" si="20"/>
        <v>0</v>
      </c>
      <c r="AL75" s="264"/>
      <c r="AM75" s="264"/>
      <c r="AN75" s="75"/>
    </row>
    <row r="76" spans="1:40" s="6" customFormat="1" ht="11.25" x14ac:dyDescent="0.2">
      <c r="A76" s="56">
        <f t="shared" si="21"/>
        <v>44623</v>
      </c>
      <c r="B76" s="1153">
        <v>34.981999999999999</v>
      </c>
      <c r="C76" s="388"/>
      <c r="D76" s="391">
        <f t="shared" si="0"/>
        <v>35.756069204074358</v>
      </c>
      <c r="E76" s="383">
        <f t="shared" si="1"/>
        <v>38.903526806400251</v>
      </c>
      <c r="F76" s="383">
        <f t="shared" si="2"/>
        <v>38.923472241989082</v>
      </c>
      <c r="G76" s="110">
        <f t="shared" si="22"/>
        <v>0.86465704766781681</v>
      </c>
      <c r="H76" s="412" t="b">
        <f>Wh_hp&gt;='2021'!Maxi_hp</f>
        <v>1</v>
      </c>
      <c r="I76" s="379">
        <f>IF(H76,Wh_hp,'2021'!Maxi_hp)</f>
        <v>38.923472241989082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2.1648610188564898E-2</v>
      </c>
      <c r="M76" s="832"/>
      <c r="N76" s="832"/>
      <c r="O76" s="48">
        <f>IF(t&lt;Tnet,'2021'!Resal+('2021'!Salim-'2021'!Resal)*(1-EXP(('2021'!Tnet-t)/('2021'!Tau_j))),Resal+(Salim-Resal)*(1-EXP((Tnet-t)/(Tau_j))))*Salcycl</f>
        <v>8.0904171438978281E-2</v>
      </c>
      <c r="P76" s="169">
        <f>(INDEX(Models!$BJ76:$BT76,,T76)*(1-R76)+INDEX(Models!$BJ76:$BT76,,T76+1)*R76-ERP_i)*Q76*Ramure*Pc/MaxiM</f>
        <v>6.351314086752675E-4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40.452692134712649</v>
      </c>
      <c r="W76" s="400">
        <f t="shared" si="10"/>
        <v>0</v>
      </c>
      <c r="X76" s="157">
        <f t="shared" si="11"/>
        <v>44623</v>
      </c>
      <c r="Y76" s="383">
        <f t="shared" si="12"/>
        <v>34.981999999999999</v>
      </c>
      <c r="Z76" s="383">
        <f t="shared" si="13"/>
        <v>35.756069204074358</v>
      </c>
      <c r="AA76" s="384">
        <f t="shared" si="14"/>
        <v>38.903526806400251</v>
      </c>
      <c r="AB76" s="197">
        <f t="shared" si="15"/>
        <v>44623</v>
      </c>
      <c r="AC76" s="119">
        <f>IF(OR(t&lt;Tnet,NoTnet),'2021'!Resal_s+('2021'!Salim-'2021'!Resal_s)*(1-EXP(('2021'!Tnet_s-t)/'2021'!Tau_j)),Resal_s+(Salim-Resal_s)*(1-EXP((Tnet_s-t)/Tau_j)))*Salcycl</f>
        <v>8.0904171438978281E-2</v>
      </c>
      <c r="AD76" s="230">
        <f>(INDEX(Models!$BJ76:$BT76,,AH76)*(1-AF76)+INDEX(Models!$BJ76:$BT76,,AH76+1)*AF76-ERP_i)*AE76*Ramure*Pc/MaxiM</f>
        <v>6.351314086752675E-4</v>
      </c>
      <c r="AE76" s="304">
        <f t="shared" si="16"/>
        <v>0.6</v>
      </c>
      <c r="AF76" s="177">
        <f t="shared" si="23"/>
        <v>6.8383701180986739E-3</v>
      </c>
      <c r="AG76" s="799">
        <f t="shared" si="24"/>
        <v>0</v>
      </c>
      <c r="AH76" s="176">
        <f t="shared" si="17"/>
        <v>6</v>
      </c>
      <c r="AI76" s="224">
        <f t="shared" si="18"/>
        <v>6.8383701180986739E-3</v>
      </c>
      <c r="AJ76" s="264" t="b">
        <f t="shared" si="19"/>
        <v>1</v>
      </c>
      <c r="AK76" s="264" t="b">
        <f t="shared" si="20"/>
        <v>0</v>
      </c>
      <c r="AL76" s="264"/>
      <c r="AM76" s="264"/>
      <c r="AN76" s="75"/>
    </row>
    <row r="77" spans="1:40" s="6" customFormat="1" ht="11.25" x14ac:dyDescent="0.2">
      <c r="A77" s="56">
        <f t="shared" si="21"/>
        <v>44624</v>
      </c>
      <c r="B77" s="1153">
        <v>3.7589999999999999</v>
      </c>
      <c r="C77" s="388"/>
      <c r="D77" s="391">
        <f t="shared" si="0"/>
        <v>3.8422514455492434</v>
      </c>
      <c r="E77" s="383">
        <f t="shared" si="1"/>
        <v>4.1807607484746159</v>
      </c>
      <c r="F77" s="383">
        <f t="shared" si="2"/>
        <v>4.1807607484746159</v>
      </c>
      <c r="G77" s="110">
        <f t="shared" si="22"/>
        <v>9.208930060136207E-2</v>
      </c>
      <c r="H77" s="412" t="b">
        <f>Wh_hp&gt;='2021'!Maxi_hp</f>
        <v>0</v>
      </c>
      <c r="I77" s="379">
        <f>IF(H77,Wh_hp,'2021'!Maxi_hp)</f>
        <v>32.038386239307918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2.1667360069752784E-2</v>
      </c>
      <c r="M77" s="832"/>
      <c r="N77" s="832"/>
      <c r="O77" s="48">
        <f>IF(t&lt;Tnet,'2021'!Resal+('2021'!Salim-'2021'!Resal)*(1-EXP(('2021'!Tnet-t)/('2021'!Tau_j))),Resal+(Salim-Resal)*(1-EXP((Tnet-t)/(Tau_j))))*Salcycl</f>
        <v>8.0968350807656311E-2</v>
      </c>
      <c r="P77" s="169">
        <f>(INDEX(Models!$BJ77:$BT77,,T77)*(1-R77)+INDEX(Models!$BJ77:$BT77,,T77+1)*R77-ERP_i)*Q77*Ramure*Pc/MaxiM</f>
        <v>6.0504423585946792E-4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40.794376916593059</v>
      </c>
      <c r="W77" s="400">
        <f t="shared" si="10"/>
        <v>0</v>
      </c>
      <c r="X77" s="157">
        <f t="shared" si="11"/>
        <v>44624</v>
      </c>
      <c r="Y77" s="383">
        <f t="shared" si="12"/>
        <v>3.7589999999999999</v>
      </c>
      <c r="Z77" s="383">
        <f t="shared" si="13"/>
        <v>3.8422514455492434</v>
      </c>
      <c r="AA77" s="384">
        <f t="shared" si="14"/>
        <v>4.1807607484746159</v>
      </c>
      <c r="AB77" s="197">
        <f t="shared" si="15"/>
        <v>44624</v>
      </c>
      <c r="AC77" s="119">
        <f>IF(OR(t&lt;Tnet,NoTnet),'2021'!Resal_s+('2021'!Salim-'2021'!Resal_s)*(1-EXP(('2021'!Tnet_s-t)/'2021'!Tau_j)),Resal_s+(Salim-Resal_s)*(1-EXP((Tnet_s-t)/Tau_j)))*Salcycl</f>
        <v>8.0968350807656311E-2</v>
      </c>
      <c r="AD77" s="230">
        <f>(INDEX(Models!$BJ77:$BT77,,AH77)*(1-AF77)+INDEX(Models!$BJ77:$BT77,,AH77+1)*AF77-ERP_i)*AE77*Ramure*Pc/MaxiM</f>
        <v>6.0504423585946792E-4</v>
      </c>
      <c r="AE77" s="304">
        <f t="shared" si="16"/>
        <v>0.6</v>
      </c>
      <c r="AF77" s="177">
        <f t="shared" si="23"/>
        <v>7.1855146631969596E-3</v>
      </c>
      <c r="AG77" s="799">
        <f t="shared" si="24"/>
        <v>0</v>
      </c>
      <c r="AH77" s="176">
        <f t="shared" si="17"/>
        <v>6</v>
      </c>
      <c r="AI77" s="224">
        <f t="shared" si="18"/>
        <v>7.1855146631969596E-3</v>
      </c>
      <c r="AJ77" s="264" t="b">
        <f t="shared" si="19"/>
        <v>1</v>
      </c>
      <c r="AK77" s="264" t="b">
        <f t="shared" si="20"/>
        <v>0</v>
      </c>
      <c r="AL77" s="264"/>
      <c r="AM77" s="264"/>
      <c r="AN77" s="75"/>
    </row>
    <row r="78" spans="1:40" s="6" customFormat="1" ht="11.25" x14ac:dyDescent="0.2">
      <c r="A78" s="56">
        <f t="shared" si="21"/>
        <v>44625</v>
      </c>
      <c r="B78" s="1153">
        <v>12.943</v>
      </c>
      <c r="C78" s="388"/>
      <c r="D78" s="391">
        <f t="shared" si="0"/>
        <v>13.229905173478578</v>
      </c>
      <c r="E78" s="383">
        <f t="shared" si="1"/>
        <v>14.396488685063584</v>
      </c>
      <c r="F78" s="383">
        <f t="shared" si="2"/>
        <v>14.396662266295969</v>
      </c>
      <c r="G78" s="110">
        <f t="shared" si="22"/>
        <v>0.31445844399429806</v>
      </c>
      <c r="H78" s="412" t="b">
        <f>Wh_hp&gt;='2021'!Maxi_hp</f>
        <v>0</v>
      </c>
      <c r="I78" s="379">
        <f>IF(H78,Wh_hp,'2021'!Maxi_hp)</f>
        <v>38.035034481034316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2.1686109591603442E-2</v>
      </c>
      <c r="M78" s="832"/>
      <c r="N78" s="832"/>
      <c r="O78" s="48">
        <f>IF(t&lt;Tnet,'2021'!Resal+('2021'!Salim-'2021'!Resal)*(1-EXP(('2021'!Tnet-t)/('2021'!Tau_j))),Resal+(Salim-Resal)*(1-EXP((Tnet-t)/(Tau_j))))*Salcycl</f>
        <v>8.1032502932144909E-2</v>
      </c>
      <c r="P78" s="169">
        <f>(INDEX(Models!$BJ78:$BT78,,T78)*(1-R78)+INDEX(Models!$BJ78:$BT78,,T78+1)*R78-ERP_i)*Q78*Ramure*Pc/MaxiM</f>
        <v>5.7665222783232243E-4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41.136412786865286</v>
      </c>
      <c r="W78" s="400">
        <f t="shared" si="10"/>
        <v>0</v>
      </c>
      <c r="X78" s="157">
        <f t="shared" si="11"/>
        <v>44625</v>
      </c>
      <c r="Y78" s="383">
        <f t="shared" si="12"/>
        <v>12.943</v>
      </c>
      <c r="Z78" s="383">
        <f t="shared" si="13"/>
        <v>13.229905173478578</v>
      </c>
      <c r="AA78" s="384">
        <f t="shared" si="14"/>
        <v>14.396488685063584</v>
      </c>
      <c r="AB78" s="197">
        <f t="shared" si="15"/>
        <v>44625</v>
      </c>
      <c r="AC78" s="119">
        <f>IF(OR(t&lt;Tnet,NoTnet),'2021'!Resal_s+('2021'!Salim-'2021'!Resal_s)*(1-EXP(('2021'!Tnet_s-t)/'2021'!Tau_j)),Resal_s+(Salim-Resal_s)*(1-EXP((Tnet_s-t)/Tau_j)))*Salcycl</f>
        <v>8.1032502932144909E-2</v>
      </c>
      <c r="AD78" s="230">
        <f>(INDEX(Models!$BJ78:$BT78,,AH78)*(1-AF78)+INDEX(Models!$BJ78:$BT78,,AH78+1)*AF78-ERP_i)*AE78*Ramure*Pc/MaxiM</f>
        <v>5.7665222783232243E-4</v>
      </c>
      <c r="AE78" s="304">
        <f t="shared" si="16"/>
        <v>0.6</v>
      </c>
      <c r="AF78" s="177">
        <f t="shared" si="23"/>
        <v>7.5467023350926019E-3</v>
      </c>
      <c r="AG78" s="799">
        <f t="shared" si="24"/>
        <v>0</v>
      </c>
      <c r="AH78" s="176">
        <f t="shared" si="17"/>
        <v>6</v>
      </c>
      <c r="AI78" s="224">
        <f t="shared" si="18"/>
        <v>7.5467023350926019E-3</v>
      </c>
      <c r="AJ78" s="264" t="b">
        <f t="shared" si="19"/>
        <v>1</v>
      </c>
      <c r="AK78" s="264" t="b">
        <f t="shared" si="20"/>
        <v>0</v>
      </c>
      <c r="AL78" s="264"/>
      <c r="AM78" s="264"/>
      <c r="AN78" s="75"/>
    </row>
    <row r="79" spans="1:40" s="6" customFormat="1" ht="11.25" x14ac:dyDescent="0.2">
      <c r="A79" s="56">
        <f t="shared" si="21"/>
        <v>44626</v>
      </c>
      <c r="B79" s="1153">
        <v>15.604000000000001</v>
      </c>
      <c r="C79" s="388"/>
      <c r="D79" s="391">
        <f t="shared" ref="D79:D142" si="25">Wh/(1-Ppv)</f>
        <v>15.950196767948812</v>
      </c>
      <c r="E79" s="383">
        <f t="shared" si="1"/>
        <v>17.357861011510455</v>
      </c>
      <c r="F79" s="383">
        <f t="shared" ref="F79:F142" si="26">Wh_sa/(1-Pvg*MEDIAN((-Sdif+Wh/Env_an)/Csdif,0,1))</f>
        <v>17.358899888574093</v>
      </c>
      <c r="G79" s="110">
        <f t="shared" si="22"/>
        <v>0.3759981288301833</v>
      </c>
      <c r="H79" s="412" t="b">
        <f>Wh_hp&gt;='2021'!Maxi_hp</f>
        <v>1</v>
      </c>
      <c r="I79" s="379">
        <f>IF(H79,Wh_hp,'2021'!Maxi_hp)</f>
        <v>17.358899888574093</v>
      </c>
      <c r="J79" s="85">
        <f>IF(H79,An,'2021'!An_max)</f>
        <v>2022</v>
      </c>
      <c r="K79" s="197">
        <f t="shared" ref="K79:K142" si="27">t</f>
        <v>44626</v>
      </c>
      <c r="L79" s="147">
        <f>IF(t&lt;Tvie,1-EXP((T0-t)*PertePVj)+'2021'!Pspv,1-EXP((T0-t)*PertePVj)+Pspv)</f>
        <v>2.1704858754123868E-2</v>
      </c>
      <c r="M79" s="832"/>
      <c r="N79" s="832"/>
      <c r="O79" s="48">
        <f>IF(t&lt;Tnet,'2021'!Resal+('2021'!Salim-'2021'!Resal)*(1-EXP(('2021'!Tnet-t)/('2021'!Tau_j))),Resal+(Salim-Resal)*(1-EXP((Tnet-t)/(Tau_j))))*Salcycl</f>
        <v>8.1096642185819037E-2</v>
      </c>
      <c r="P79" s="169">
        <f>(INDEX(Models!$BJ79:$BT79,,T79)*(1-R79)+INDEX(Models!$BJ79:$BT79,,T79+1)*R79-ERP_i)*Q79*Ramure*Pc/MaxiM</f>
        <v>5.4990141530615177E-4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7.9224789449907265E-3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7.9224789449907265E-3</v>
      </c>
      <c r="V79" s="382">
        <f t="shared" ref="V79:V142" si="33">MaxiM*(1-Ppv)*(1-Pvg)*(1-Psa)</f>
        <v>41.479867947339912</v>
      </c>
      <c r="W79" s="400">
        <f t="shared" ref="W79:W142" si="34">Wh*(A79&gt;Tmaj)</f>
        <v>0</v>
      </c>
      <c r="X79" s="157">
        <f t="shared" ref="X79:X142" si="35">t</f>
        <v>44626</v>
      </c>
      <c r="Y79" s="383">
        <f t="shared" ref="Y79:Y142" si="36">Wh_pvt_s*(1-Ppv)</f>
        <v>15.604000000000001</v>
      </c>
      <c r="Z79" s="383">
        <f t="shared" ref="Z79:Z142" si="37">Wh_sa_s*(1-Psa_s)</f>
        <v>15.950196767948812</v>
      </c>
      <c r="AA79" s="384">
        <f t="shared" ref="AA79:AA142" si="38">Wh_hp*(1-Pvg_s*MEDIAN((-Sdif+Wh/Env_an)/Csdif,0,1))</f>
        <v>17.357861011510455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8.1096642185819037E-2</v>
      </c>
      <c r="AD79" s="230">
        <f>(INDEX(Models!$BJ79:$BT79,,AH79)*(1-AF79)+INDEX(Models!$BJ79:$BT79,,AH79+1)*AF79-ERP_i)*AE79*Ramure*Pc/MaxiM</f>
        <v>5.4990141530615177E-4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7.9224789449907265E-3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7.9224789449907265E-3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3">
        <v>38.436999999999998</v>
      </c>
      <c r="C80" s="388"/>
      <c r="D80" s="391">
        <f t="shared" si="25"/>
        <v>39.29053210006002</v>
      </c>
      <c r="E80" s="383">
        <f t="shared" ref="E80:E143" si="47">Wh_pvt/(1-Psa)</f>
        <v>42.761052683722873</v>
      </c>
      <c r="F80" s="383">
        <f t="shared" si="26"/>
        <v>42.780921418940942</v>
      </c>
      <c r="G80" s="110">
        <f t="shared" ref="G80:G143" si="48">+Wh_hp/MaxiM</f>
        <v>0.91892978653008806</v>
      </c>
      <c r="H80" s="412" t="b">
        <f>Wh_hp&gt;='2021'!Maxi_hp</f>
        <v>1</v>
      </c>
      <c r="I80" s="379">
        <f>IF(H80,Wh_hp,'2021'!Maxi_hp)</f>
        <v>42.780921418940942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2.1723607557320834E-2</v>
      </c>
      <c r="M80" s="832"/>
      <c r="N80" s="832"/>
      <c r="O80" s="48">
        <f>IF(t&lt;Tnet,'2021'!Resal+('2021'!Salim-'2021'!Resal)*(1-EXP(('2021'!Tnet-t)/('2021'!Tau_j))),Resal+(Salim-Resal)*(1-EXP((Tnet-t)/(Tau_j))))*Salcycl</f>
        <v>8.1160784542236492E-2</v>
      </c>
      <c r="P80" s="169">
        <f>(INDEX(Models!$BJ80:$BT80,,T80)*(1-R80)+INDEX(Models!$BJ80:$BT80,,T80+1)*R80-ERP_i)*Q80*Ramure*Pc/MaxiM</f>
        <v>5.2521549533087288E-4</v>
      </c>
      <c r="Q80" s="304">
        <f t="shared" si="28"/>
        <v>0.6</v>
      </c>
      <c r="R80" s="177">
        <f t="shared" si="29"/>
        <v>8.3134096494262948E-3</v>
      </c>
      <c r="S80" s="799">
        <f t="shared" si="30"/>
        <v>0</v>
      </c>
      <c r="T80" s="176">
        <f t="shared" si="31"/>
        <v>6</v>
      </c>
      <c r="U80" s="250">
        <f t="shared" si="32"/>
        <v>8.3134096494262948E-3</v>
      </c>
      <c r="V80" s="382">
        <f t="shared" si="33"/>
        <v>41.825461595000903</v>
      </c>
      <c r="W80" s="400">
        <f t="shared" si="34"/>
        <v>0</v>
      </c>
      <c r="X80" s="157">
        <f t="shared" si="35"/>
        <v>44627</v>
      </c>
      <c r="Y80" s="383">
        <f t="shared" si="36"/>
        <v>38.436999999999998</v>
      </c>
      <c r="Z80" s="383">
        <f t="shared" si="37"/>
        <v>39.29053210006002</v>
      </c>
      <c r="AA80" s="384">
        <f t="shared" si="38"/>
        <v>42.761052683722873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8.1160784542236492E-2</v>
      </c>
      <c r="AD80" s="230">
        <f>(INDEX(Models!$BJ80:$BT80,,AH80)*(1-AF80)+INDEX(Models!$BJ80:$BT80,,AH80+1)*AF80-ERP_i)*AE80*Ramure*Pc/MaxiM</f>
        <v>5.2521549533087288E-4</v>
      </c>
      <c r="AE80" s="304">
        <f t="shared" si="40"/>
        <v>0.6</v>
      </c>
      <c r="AF80" s="177">
        <f t="shared" si="41"/>
        <v>8.3134096494262948E-3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8.3134096494262948E-3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3">
        <v>31.324999999999999</v>
      </c>
      <c r="C81" s="388"/>
      <c r="D81" s="391">
        <f t="shared" si="25"/>
        <v>32.021216692929279</v>
      </c>
      <c r="E81" s="383">
        <f t="shared" si="47"/>
        <v>34.852074626215156</v>
      </c>
      <c r="F81" s="383">
        <f t="shared" si="26"/>
        <v>34.863147641201927</v>
      </c>
      <c r="G81" s="110">
        <f t="shared" si="48"/>
        <v>0.74264170044185662</v>
      </c>
      <c r="H81" s="412" t="b">
        <f>Wh_hp&gt;='2021'!Maxi_hp</f>
        <v>1</v>
      </c>
      <c r="I81" s="379">
        <f>IF(H81,Wh_hp,'2021'!Maxi_hp)</f>
        <v>34.863147641201927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2.1742356001201335E-2</v>
      </c>
      <c r="M81" s="832"/>
      <c r="N81" s="832"/>
      <c r="O81" s="48">
        <f>IF(t&lt;Tnet,'2021'!Resal+('2021'!Salim-'2021'!Resal)*(1-EXP(('2021'!Tnet-t)/('2021'!Tau_j))),Resal+(Salim-Resal)*(1-EXP((Tnet-t)/(Tau_j))))*Salcycl</f>
        <v>8.1224947543195994E-2</v>
      </c>
      <c r="P81" s="169">
        <f>(INDEX(Models!$BJ81:$BT81,,T81)*(1-R81)+INDEX(Models!$BJ81:$BT81,,T81+1)*R81-ERP_i)*Q81*Ramure*Pc/MaxiM</f>
        <v>5.0212346800295989E-4</v>
      </c>
      <c r="Q81" s="304">
        <f t="shared" si="28"/>
        <v>0.6</v>
      </c>
      <c r="R81" s="177">
        <f t="shared" si="29"/>
        <v>8.7200794776363753E-3</v>
      </c>
      <c r="S81" s="799">
        <f t="shared" si="30"/>
        <v>0</v>
      </c>
      <c r="T81" s="176">
        <f t="shared" si="31"/>
        <v>6</v>
      </c>
      <c r="U81" s="250">
        <f t="shared" si="32"/>
        <v>8.7200794776363753E-3</v>
      </c>
      <c r="V81" s="382">
        <f t="shared" si="33"/>
        <v>42.172717177163044</v>
      </c>
      <c r="W81" s="400">
        <f t="shared" si="34"/>
        <v>0</v>
      </c>
      <c r="X81" s="157">
        <f t="shared" si="35"/>
        <v>44628</v>
      </c>
      <c r="Y81" s="383">
        <f t="shared" si="36"/>
        <v>31.324999999999999</v>
      </c>
      <c r="Z81" s="383">
        <f t="shared" si="37"/>
        <v>32.021216692929279</v>
      </c>
      <c r="AA81" s="384">
        <f t="shared" si="38"/>
        <v>34.852074626215156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8.1224947543195994E-2</v>
      </c>
      <c r="AD81" s="230">
        <f>(INDEX(Models!$BJ81:$BT81,,AH81)*(1-AF81)+INDEX(Models!$BJ81:$BT81,,AH81+1)*AF81-ERP_i)*AE81*Ramure*Pc/MaxiM</f>
        <v>5.0212346800295989E-4</v>
      </c>
      <c r="AE81" s="304">
        <f t="shared" si="40"/>
        <v>0.6</v>
      </c>
      <c r="AF81" s="177">
        <f t="shared" si="41"/>
        <v>8.7200794776363753E-3</v>
      </c>
      <c r="AG81" s="799">
        <f t="shared" si="49"/>
        <v>0</v>
      </c>
      <c r="AH81" s="176">
        <f t="shared" si="42"/>
        <v>6</v>
      </c>
      <c r="AI81" s="224">
        <f t="shared" si="43"/>
        <v>8.7200794776363753E-3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3">
        <v>30.54</v>
      </c>
      <c r="C82" s="388"/>
      <c r="D82" s="391">
        <f t="shared" si="25"/>
        <v>31.219367914683442</v>
      </c>
      <c r="E82" s="383">
        <f t="shared" si="47"/>
        <v>33.981712443505124</v>
      </c>
      <c r="F82" s="383">
        <f t="shared" si="26"/>
        <v>33.991472888421292</v>
      </c>
      <c r="G82" s="110">
        <f t="shared" si="48"/>
        <v>0.71809199529253953</v>
      </c>
      <c r="H82" s="412" t="b">
        <f>Wh_hp&gt;='2021'!Maxi_hp</f>
        <v>0</v>
      </c>
      <c r="I82" s="379">
        <f>IF(H82,Wh_hp,'2021'!Maxi_hp)</f>
        <v>45.223150143497143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2.1761104085772143E-2</v>
      </c>
      <c r="M82" s="832"/>
      <c r="N82" s="832"/>
      <c r="O82" s="48">
        <f>IF(t&lt;Tnet,'2021'!Resal+('2021'!Salim-'2021'!Resal)*(1-EXP(('2021'!Tnet-t)/('2021'!Tau_j))),Resal+(Salim-Resal)*(1-EXP((Tnet-t)/(Tau_j))))*Salcycl</f>
        <v>8.1289150257336351E-2</v>
      </c>
      <c r="P82" s="169">
        <f>(INDEX(Models!$BJ82:$BT82,,T82)*(1-R82)+INDEX(Models!$BJ82:$BT82,,T82+1)*R82-ERP_i)*Q82*Ramure*Pc/MaxiM</f>
        <v>4.8059746124638465E-4</v>
      </c>
      <c r="Q82" s="304">
        <f t="shared" si="28"/>
        <v>0.6</v>
      </c>
      <c r="R82" s="177">
        <f t="shared" si="29"/>
        <v>9.1430938592232999E-3</v>
      </c>
      <c r="S82" s="799">
        <f t="shared" si="30"/>
        <v>0</v>
      </c>
      <c r="T82" s="176">
        <f t="shared" si="31"/>
        <v>6</v>
      </c>
      <c r="U82" s="250">
        <f t="shared" si="32"/>
        <v>9.1430938592232999E-3</v>
      </c>
      <c r="V82" s="382">
        <f t="shared" si="33"/>
        <v>42.521139954480347</v>
      </c>
      <c r="W82" s="400">
        <f t="shared" si="34"/>
        <v>0</v>
      </c>
      <c r="X82" s="157">
        <f t="shared" si="35"/>
        <v>44629</v>
      </c>
      <c r="Y82" s="383">
        <f t="shared" si="36"/>
        <v>30.54</v>
      </c>
      <c r="Z82" s="383">
        <f t="shared" si="37"/>
        <v>31.219367914683442</v>
      </c>
      <c r="AA82" s="384">
        <f t="shared" si="38"/>
        <v>33.981712443505124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8.1289150257336351E-2</v>
      </c>
      <c r="AD82" s="230">
        <f>(INDEX(Models!$BJ82:$BT82,,AH82)*(1-AF82)+INDEX(Models!$BJ82:$BT82,,AH82+1)*AF82-ERP_i)*AE82*Ramure*Pc/MaxiM</f>
        <v>4.8059746124638465E-4</v>
      </c>
      <c r="AE82" s="304">
        <f t="shared" si="40"/>
        <v>0.6</v>
      </c>
      <c r="AF82" s="177">
        <f t="shared" si="41"/>
        <v>9.1430938592232999E-3</v>
      </c>
      <c r="AG82" s="799">
        <f t="shared" si="49"/>
        <v>0</v>
      </c>
      <c r="AH82" s="176">
        <f t="shared" si="42"/>
        <v>6</v>
      </c>
      <c r="AI82" s="224">
        <f t="shared" si="43"/>
        <v>9.1430938592232999E-3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3">
        <v>24.311</v>
      </c>
      <c r="C83" s="388"/>
      <c r="D83" s="391">
        <f t="shared" si="25"/>
        <v>24.852278952757693</v>
      </c>
      <c r="E83" s="383">
        <f t="shared" si="47"/>
        <v>27.053144604972953</v>
      </c>
      <c r="F83" s="383">
        <f t="shared" si="26"/>
        <v>27.05789988058347</v>
      </c>
      <c r="G83" s="110">
        <f t="shared" si="48"/>
        <v>0.56692185814483353</v>
      </c>
      <c r="H83" s="412" t="b">
        <f>Wh_hp&gt;='2021'!Maxi_hp</f>
        <v>0</v>
      </c>
      <c r="I83" s="379">
        <f>IF(H83,Wh_hp,'2021'!Maxi_hp)</f>
        <v>44.941946667610743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2.1779851811040141E-2</v>
      </c>
      <c r="M83" s="832"/>
      <c r="N83" s="832"/>
      <c r="O83" s="48">
        <f>IF(t&lt;Tnet,'2021'!Resal+('2021'!Salim-'2021'!Resal)*(1-EXP(('2021'!Tnet-t)/('2021'!Tau_j))),Resal+(Salim-Resal)*(1-EXP((Tnet-t)/(Tau_j))))*Salcycl</f>
        <v>8.1353413229850374E-2</v>
      </c>
      <c r="P83" s="169">
        <f>(INDEX(Models!$BJ83:$BT83,,T83)*(1-R83)+INDEX(Models!$BJ83:$BT83,,T83+1)*R83-ERP_i)*Q83*Ramure*Pc/MaxiM</f>
        <v>4.6060930267334402E-4</v>
      </c>
      <c r="Q83" s="304">
        <f t="shared" si="28"/>
        <v>0.6</v>
      </c>
      <c r="R83" s="177">
        <f t="shared" si="29"/>
        <v>9.5830791505600588E-3</v>
      </c>
      <c r="S83" s="799">
        <f t="shared" si="30"/>
        <v>0</v>
      </c>
      <c r="T83" s="176">
        <f t="shared" si="31"/>
        <v>6</v>
      </c>
      <c r="U83" s="250">
        <f t="shared" si="32"/>
        <v>9.5830791505600588E-3</v>
      </c>
      <c r="V83" s="382">
        <f t="shared" si="33"/>
        <v>42.870235260786515</v>
      </c>
      <c r="W83" s="400">
        <f t="shared" si="34"/>
        <v>0</v>
      </c>
      <c r="X83" s="157">
        <f t="shared" si="35"/>
        <v>44630</v>
      </c>
      <c r="Y83" s="383">
        <f t="shared" si="36"/>
        <v>24.311</v>
      </c>
      <c r="Z83" s="383">
        <f t="shared" si="37"/>
        <v>24.852278952757693</v>
      </c>
      <c r="AA83" s="384">
        <f t="shared" si="38"/>
        <v>27.053144604972953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8.1353413229850374E-2</v>
      </c>
      <c r="AD83" s="230">
        <f>(INDEX(Models!$BJ83:$BT83,,AH83)*(1-AF83)+INDEX(Models!$BJ83:$BT83,,AH83+1)*AF83-ERP_i)*AE83*Ramure*Pc/MaxiM</f>
        <v>4.6060930267334402E-4</v>
      </c>
      <c r="AE83" s="304">
        <f t="shared" si="40"/>
        <v>0.6</v>
      </c>
      <c r="AF83" s="177">
        <f t="shared" si="41"/>
        <v>9.5830791505600588E-3</v>
      </c>
      <c r="AG83" s="799">
        <f t="shared" si="49"/>
        <v>0</v>
      </c>
      <c r="AH83" s="176">
        <f t="shared" si="42"/>
        <v>6</v>
      </c>
      <c r="AI83" s="224">
        <f t="shared" si="43"/>
        <v>9.5830791505600588E-3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3">
        <v>15.077</v>
      </c>
      <c r="C84" s="388"/>
      <c r="D84" s="391">
        <f t="shared" si="25"/>
        <v>15.412981403742936</v>
      </c>
      <c r="E84" s="383">
        <f t="shared" si="47"/>
        <v>16.779097946960391</v>
      </c>
      <c r="F84" s="383">
        <f t="shared" si="26"/>
        <v>16.779615641307064</v>
      </c>
      <c r="G84" s="110">
        <f t="shared" si="48"/>
        <v>0.34870361764780178</v>
      </c>
      <c r="H84" s="412" t="b">
        <f>Wh_hp&gt;='2021'!Maxi_hp</f>
        <v>0</v>
      </c>
      <c r="I84" s="379">
        <f>IF(H84,Wh_hp,'2021'!Maxi_hp)</f>
        <v>33.644561072825525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2.1798599177012323E-2</v>
      </c>
      <c r="M84" s="832"/>
      <c r="N84" s="832"/>
      <c r="O84" s="48">
        <f>IF(t&lt;Tnet,'2021'!Resal+('2021'!Salim-'2021'!Resal)*(1-EXP(('2021'!Tnet-t)/('2021'!Tau_j))),Resal+(Salim-Resal)*(1-EXP((Tnet-t)/(Tau_j))))*Salcycl</f>
        <v>8.141775842395238E-2</v>
      </c>
      <c r="P84" s="169">
        <f>(INDEX(Models!$BJ84:$BT84,,T84)*(1-R84)+INDEX(Models!$BJ84:$BT84,,T84+1)*R84-ERP_i)*Q84*Ramure*Pc/MaxiM</f>
        <v>4.4213073962576043E-4</v>
      </c>
      <c r="Q84" s="304">
        <f t="shared" si="28"/>
        <v>0.6</v>
      </c>
      <c r="R84" s="177">
        <f t="shared" si="29"/>
        <v>1.0040683158224907E-2</v>
      </c>
      <c r="S84" s="799">
        <f t="shared" si="30"/>
        <v>0</v>
      </c>
      <c r="T84" s="176">
        <f t="shared" si="31"/>
        <v>6</v>
      </c>
      <c r="U84" s="250">
        <f t="shared" si="32"/>
        <v>1.0040683158224907E-2</v>
      </c>
      <c r="V84" s="382">
        <f t="shared" si="33"/>
        <v>43.219508502527013</v>
      </c>
      <c r="W84" s="400">
        <f t="shared" si="34"/>
        <v>0</v>
      </c>
      <c r="X84" s="157">
        <f t="shared" si="35"/>
        <v>44631</v>
      </c>
      <c r="Y84" s="383">
        <f t="shared" si="36"/>
        <v>15.076999999999998</v>
      </c>
      <c r="Z84" s="383">
        <f t="shared" si="37"/>
        <v>15.412981403742934</v>
      </c>
      <c r="AA84" s="384">
        <f t="shared" si="38"/>
        <v>16.779097946960391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8.141775842395238E-2</v>
      </c>
      <c r="AD84" s="230">
        <f>(INDEX(Models!$BJ84:$BT84,,AH84)*(1-AF84)+INDEX(Models!$BJ84:$BT84,,AH84+1)*AF84-ERP_i)*AE84*Ramure*Pc/MaxiM</f>
        <v>4.4213073962576043E-4</v>
      </c>
      <c r="AE84" s="304">
        <f t="shared" si="40"/>
        <v>0.6</v>
      </c>
      <c r="AF84" s="177">
        <f t="shared" si="41"/>
        <v>1.0040683158224907E-2</v>
      </c>
      <c r="AG84" s="799">
        <f t="shared" si="49"/>
        <v>0</v>
      </c>
      <c r="AH84" s="176">
        <f t="shared" si="42"/>
        <v>6</v>
      </c>
      <c r="AI84" s="224">
        <f t="shared" si="43"/>
        <v>1.0040683158224907E-2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3">
        <v>15.692</v>
      </c>
      <c r="C85" s="388"/>
      <c r="D85" s="391">
        <f t="shared" si="25"/>
        <v>16.041993730699339</v>
      </c>
      <c r="E85" s="383">
        <f t="shared" si="47"/>
        <v>17.465087655991685</v>
      </c>
      <c r="F85" s="383">
        <f t="shared" si="26"/>
        <v>17.465725897625184</v>
      </c>
      <c r="G85" s="110">
        <f t="shared" si="48"/>
        <v>0.36002879487308392</v>
      </c>
      <c r="H85" s="412" t="b">
        <f>Wh_hp&gt;='2021'!Maxi_hp</f>
        <v>0</v>
      </c>
      <c r="I85" s="379">
        <f>IF(H85,Wh_hp,'2021'!Maxi_hp)</f>
        <v>43.401527185164618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2.1817346183695463E-2</v>
      </c>
      <c r="M85" s="832"/>
      <c r="N85" s="832"/>
      <c r="O85" s="48">
        <f>IF(t&lt;Tnet,'2021'!Resal+('2021'!Salim-'2021'!Resal)*(1-EXP(('2021'!Tnet-t)/('2021'!Tau_j))),Resal+(Salim-Resal)*(1-EXP((Tnet-t)/(Tau_j))))*Salcycl</f>
        <v>8.1482209154795052E-2</v>
      </c>
      <c r="P85" s="169">
        <f>(INDEX(Models!$BJ85:$BT85,,T85)*(1-R85)+INDEX(Models!$BJ85:$BT85,,T85+1)*R85-ERP_i)*Q85*Ramure*Pc/MaxiM</f>
        <v>4.2513364933041708E-4</v>
      </c>
      <c r="Q85" s="304">
        <f t="shared" si="28"/>
        <v>0.6</v>
      </c>
      <c r="R85" s="177">
        <f t="shared" si="29"/>
        <v>1.051657565758015E-2</v>
      </c>
      <c r="S85" s="799">
        <f t="shared" si="30"/>
        <v>0</v>
      </c>
      <c r="T85" s="176">
        <f t="shared" si="31"/>
        <v>6</v>
      </c>
      <c r="U85" s="250">
        <f t="shared" si="32"/>
        <v>1.051657565758015E-2</v>
      </c>
      <c r="V85" s="382">
        <f t="shared" si="33"/>
        <v>43.568465157593877</v>
      </c>
      <c r="W85" s="400">
        <f t="shared" si="34"/>
        <v>0</v>
      </c>
      <c r="X85" s="157">
        <f t="shared" si="35"/>
        <v>44632</v>
      </c>
      <c r="Y85" s="383">
        <f t="shared" si="36"/>
        <v>15.691999999999998</v>
      </c>
      <c r="Z85" s="383">
        <f t="shared" si="37"/>
        <v>16.041993730699339</v>
      </c>
      <c r="AA85" s="384">
        <f t="shared" si="38"/>
        <v>17.465087655991685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8.1482209154795052E-2</v>
      </c>
      <c r="AD85" s="230">
        <f>(INDEX(Models!$BJ85:$BT85,,AH85)*(1-AF85)+INDEX(Models!$BJ85:$BT85,,AH85+1)*AF85-ERP_i)*AE85*Ramure*Pc/MaxiM</f>
        <v>4.2513364933041708E-4</v>
      </c>
      <c r="AE85" s="304">
        <f t="shared" si="40"/>
        <v>0.6</v>
      </c>
      <c r="AF85" s="177">
        <f t="shared" si="41"/>
        <v>1.051657565758015E-2</v>
      </c>
      <c r="AG85" s="799">
        <f t="shared" si="49"/>
        <v>0</v>
      </c>
      <c r="AH85" s="176">
        <f t="shared" si="42"/>
        <v>6</v>
      </c>
      <c r="AI85" s="224">
        <f t="shared" si="43"/>
        <v>1.051657565758015E-2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3">
        <v>8.7989999999999995</v>
      </c>
      <c r="C86" s="388"/>
      <c r="D86" s="391">
        <f t="shared" si="25"/>
        <v>8.995424933912064</v>
      </c>
      <c r="E86" s="383">
        <f t="shared" si="47"/>
        <v>9.7941025586642745</v>
      </c>
      <c r="F86" s="383">
        <f t="shared" si="26"/>
        <v>9.7941025586642745</v>
      </c>
      <c r="G86" s="110">
        <f t="shared" si="48"/>
        <v>0.20027492696438573</v>
      </c>
      <c r="H86" s="412" t="b">
        <f>Wh_hp&gt;='2021'!Maxi_hp</f>
        <v>0</v>
      </c>
      <c r="I86" s="379">
        <f>IF(H86,Wh_hp,'2021'!Maxi_hp)</f>
        <v>43.4645843753053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2.1836092831096554E-2</v>
      </c>
      <c r="M86" s="832"/>
      <c r="N86" s="832"/>
      <c r="O86" s="48">
        <f>IF(t&lt;Tnet,'2021'!Resal+('2021'!Salim-'2021'!Resal)*(1-EXP(('2021'!Tnet-t)/('2021'!Tau_j))),Resal+(Salim-Resal)*(1-EXP((Tnet-t)/(Tau_j))))*Salcycl</f>
        <v>8.1546790016576456E-2</v>
      </c>
      <c r="P86" s="169">
        <f>(INDEX(Models!$BJ86:$BT86,,T86)*(1-R86)+INDEX(Models!$BJ86:$BT86,,T86+1)*R86-ERP_i)*Q86*Ramure*Pc/MaxiM</f>
        <v>4.0963926061414111E-4</v>
      </c>
      <c r="Q86" s="304">
        <f t="shared" si="28"/>
        <v>0.6</v>
      </c>
      <c r="R86" s="177">
        <f t="shared" si="29"/>
        <v>1.1011448904425934E-2</v>
      </c>
      <c r="S86" s="799">
        <f t="shared" si="30"/>
        <v>0</v>
      </c>
      <c r="T86" s="176">
        <f t="shared" si="31"/>
        <v>6</v>
      </c>
      <c r="U86" s="250">
        <f t="shared" si="32"/>
        <v>1.1011448904425934E-2</v>
      </c>
      <c r="V86" s="382">
        <f t="shared" si="33"/>
        <v>43.916608621257495</v>
      </c>
      <c r="W86" s="400">
        <f t="shared" si="34"/>
        <v>0</v>
      </c>
      <c r="X86" s="157">
        <f t="shared" si="35"/>
        <v>44633</v>
      </c>
      <c r="Y86" s="383">
        <f t="shared" si="36"/>
        <v>8.7989999999999995</v>
      </c>
      <c r="Z86" s="383">
        <f t="shared" si="37"/>
        <v>8.995424933912064</v>
      </c>
      <c r="AA86" s="384">
        <f t="shared" si="38"/>
        <v>9.7941025586642745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8.1546790016576456E-2</v>
      </c>
      <c r="AD86" s="230">
        <f>(INDEX(Models!$BJ86:$BT86,,AH86)*(1-AF86)+INDEX(Models!$BJ86:$BT86,,AH86+1)*AF86-ERP_i)*AE86*Ramure*Pc/MaxiM</f>
        <v>4.0963926061414111E-4</v>
      </c>
      <c r="AE86" s="304">
        <f t="shared" si="40"/>
        <v>0.6</v>
      </c>
      <c r="AF86" s="177">
        <f t="shared" si="41"/>
        <v>1.1011448904425934E-2</v>
      </c>
      <c r="AG86" s="799">
        <f t="shared" si="49"/>
        <v>0</v>
      </c>
      <c r="AH86" s="176">
        <f t="shared" si="42"/>
        <v>6</v>
      </c>
      <c r="AI86" s="224">
        <f t="shared" si="43"/>
        <v>1.1011448904425934E-2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3">
        <v>14.177</v>
      </c>
      <c r="C87" s="388"/>
      <c r="D87" s="391">
        <f t="shared" si="25"/>
        <v>14.493758766065174</v>
      </c>
      <c r="E87" s="383">
        <f t="shared" si="47"/>
        <v>15.781729833368516</v>
      </c>
      <c r="F87" s="383">
        <f t="shared" si="26"/>
        <v>15.781910448247334</v>
      </c>
      <c r="G87" s="110">
        <f t="shared" si="48"/>
        <v>0.32016382023824647</v>
      </c>
      <c r="H87" s="412" t="b">
        <f>Wh_hp&gt;='2021'!Maxi_hp</f>
        <v>0</v>
      </c>
      <c r="I87" s="379">
        <f>IF(H87,Wh_hp,'2021'!Maxi_hp)</f>
        <v>41.9627960937136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2.1854839119222369E-2</v>
      </c>
      <c r="M87" s="832"/>
      <c r="N87" s="832"/>
      <c r="O87" s="48">
        <f>IF(t&lt;Tnet,'2021'!Resal+('2021'!Salim-'2021'!Resal)*(1-EXP(('2021'!Tnet-t)/('2021'!Tau_j))),Resal+(Salim-Resal)*(1-EXP((Tnet-t)/(Tau_j))))*Salcycl</f>
        <v>8.1611526803613554E-2</v>
      </c>
      <c r="P87" s="169">
        <f>(INDEX(Models!$BJ87:$BT87,,T87)*(1-R87)+INDEX(Models!$BJ87:$BT87,,T87+1)*R87-ERP_i)*Q87*Ramure*Pc/MaxiM</f>
        <v>3.9489529209709606E-4</v>
      </c>
      <c r="Q87" s="304">
        <f t="shared" si="28"/>
        <v>0.6</v>
      </c>
      <c r="R87" s="177">
        <f t="shared" si="29"/>
        <v>1.1526018137463567E-2</v>
      </c>
      <c r="S87" s="799">
        <f t="shared" si="30"/>
        <v>0</v>
      </c>
      <c r="T87" s="176">
        <f t="shared" si="31"/>
        <v>6</v>
      </c>
      <c r="U87" s="250">
        <f t="shared" si="32"/>
        <v>1.1526018137463567E-2</v>
      </c>
      <c r="V87" s="382">
        <f t="shared" si="33"/>
        <v>44.263476567359717</v>
      </c>
      <c r="W87" s="400">
        <f t="shared" si="34"/>
        <v>0</v>
      </c>
      <c r="X87" s="157">
        <f t="shared" si="35"/>
        <v>44634</v>
      </c>
      <c r="Y87" s="383">
        <f t="shared" si="36"/>
        <v>14.177</v>
      </c>
      <c r="Z87" s="383">
        <f t="shared" si="37"/>
        <v>14.493758766065174</v>
      </c>
      <c r="AA87" s="384">
        <f t="shared" si="38"/>
        <v>15.781729833368516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8.1611526803613554E-2</v>
      </c>
      <c r="AD87" s="230">
        <f>(INDEX(Models!$BJ87:$BT87,,AH87)*(1-AF87)+INDEX(Models!$BJ87:$BT87,,AH87+1)*AF87-ERP_i)*AE87*Ramure*Pc/MaxiM</f>
        <v>3.9489529209709606E-4</v>
      </c>
      <c r="AE87" s="304">
        <f t="shared" si="40"/>
        <v>0.6</v>
      </c>
      <c r="AF87" s="177">
        <f t="shared" si="41"/>
        <v>1.1526018137463567E-2</v>
      </c>
      <c r="AG87" s="799">
        <f t="shared" si="49"/>
        <v>0</v>
      </c>
      <c r="AH87" s="176">
        <f t="shared" si="42"/>
        <v>6</v>
      </c>
      <c r="AI87" s="224">
        <f t="shared" si="43"/>
        <v>1.1526018137463567E-2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3">
        <v>13.494</v>
      </c>
      <c r="C88" s="388"/>
      <c r="D88" s="391">
        <f t="shared" si="25"/>
        <v>13.795762790705636</v>
      </c>
      <c r="E88" s="383">
        <f t="shared" si="47"/>
        <v>15.022769193948045</v>
      </c>
      <c r="F88" s="383">
        <f t="shared" si="26"/>
        <v>15.022789612536666</v>
      </c>
      <c r="G88" s="110">
        <f t="shared" si="48"/>
        <v>0.30238308860666813</v>
      </c>
      <c r="H88" s="412" t="b">
        <f>Wh_hp&gt;='2021'!Maxi_hp</f>
        <v>0</v>
      </c>
      <c r="I88" s="379">
        <f>IF(H88,Wh_hp,'2021'!Maxi_hp)</f>
        <v>33.906662518762403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2.1873585048079902E-2</v>
      </c>
      <c r="M88" s="832"/>
      <c r="N88" s="832"/>
      <c r="O88" s="48">
        <f>IF(t&lt;Tnet,'2021'!Resal+('2021'!Salim-'2021'!Resal)*(1-EXP(('2021'!Tnet-t)/('2021'!Tau_j))),Resal+(Salim-Resal)*(1-EXP((Tnet-t)/(Tau_j))))*Salcycl</f>
        <v>8.167644642618295E-2</v>
      </c>
      <c r="P88" s="169">
        <f>(INDEX(Models!$BJ88:$BT88,,T88)*(1-R88)+INDEX(Models!$BJ88:$BT88,,T88+1)*R88-ERP_i)*Q88*Ramure*Pc/MaxiM</f>
        <v>3.8088936633589752E-4</v>
      </c>
      <c r="Q88" s="304">
        <f t="shared" si="28"/>
        <v>0.6</v>
      </c>
      <c r="R88" s="177">
        <f t="shared" si="29"/>
        <v>1.2061022069095168E-2</v>
      </c>
      <c r="S88" s="799">
        <f t="shared" si="30"/>
        <v>0</v>
      </c>
      <c r="T88" s="176">
        <f t="shared" si="31"/>
        <v>6</v>
      </c>
      <c r="U88" s="250">
        <f t="shared" si="32"/>
        <v>1.2061022069095168E-2</v>
      </c>
      <c r="V88" s="382">
        <f t="shared" si="33"/>
        <v>44.608574754565538</v>
      </c>
      <c r="W88" s="400">
        <f t="shared" si="34"/>
        <v>0</v>
      </c>
      <c r="X88" s="157">
        <f t="shared" si="35"/>
        <v>44635</v>
      </c>
      <c r="Y88" s="383">
        <f t="shared" si="36"/>
        <v>13.494</v>
      </c>
      <c r="Z88" s="383">
        <f t="shared" si="37"/>
        <v>13.795762790705636</v>
      </c>
      <c r="AA88" s="384">
        <f t="shared" si="38"/>
        <v>15.022769193948045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8.167644642618295E-2</v>
      </c>
      <c r="AD88" s="230">
        <f>(INDEX(Models!$BJ88:$BT88,,AH88)*(1-AF88)+INDEX(Models!$BJ88:$BT88,,AH88+1)*AF88-ERP_i)*AE88*Ramure*Pc/MaxiM</f>
        <v>3.8088936633589752E-4</v>
      </c>
      <c r="AE88" s="304">
        <f t="shared" si="40"/>
        <v>0.6</v>
      </c>
      <c r="AF88" s="177">
        <f t="shared" si="41"/>
        <v>1.2061022069095168E-2</v>
      </c>
      <c r="AG88" s="799">
        <f t="shared" si="49"/>
        <v>0</v>
      </c>
      <c r="AH88" s="176">
        <f t="shared" si="42"/>
        <v>6</v>
      </c>
      <c r="AI88" s="224">
        <f t="shared" si="43"/>
        <v>1.2061022069095168E-2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3">
        <v>13.467000000000001</v>
      </c>
      <c r="C89" s="388"/>
      <c r="D89" s="391">
        <f t="shared" si="25"/>
        <v>13.7684228654545</v>
      </c>
      <c r="E89" s="383">
        <f t="shared" si="47"/>
        <v>14.994061059415618</v>
      </c>
      <c r="F89" s="383">
        <f t="shared" si="26"/>
        <v>14.994061059415618</v>
      </c>
      <c r="G89" s="110">
        <f t="shared" si="48"/>
        <v>0.29948003188844108</v>
      </c>
      <c r="H89" s="412" t="b">
        <f>Wh_hp&gt;='2021'!Maxi_hp</f>
        <v>0</v>
      </c>
      <c r="I89" s="379">
        <f>IF(H89,Wh_hp,'2021'!Maxi_hp)</f>
        <v>50.695816320188271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2.1892330617676037E-2</v>
      </c>
      <c r="M89" s="832"/>
      <c r="N89" s="832"/>
      <c r="O89" s="48">
        <f>IF(t&lt;Tnet,'2021'!Resal+('2021'!Salim-'2021'!Resal)*(1-EXP(('2021'!Tnet-t)/('2021'!Tau_j))),Resal+(Salim-Resal)*(1-EXP((Tnet-t)/(Tau_j))))*Salcycl</f>
        <v>8.1741576821942441E-2</v>
      </c>
      <c r="P89" s="169">
        <f>(INDEX(Models!$BJ89:$BT89,,T89)*(1-R89)+INDEX(Models!$BJ89:$BT89,,T89+1)*R89-ERP_i)*Q89*Ramure*Pc/MaxiM</f>
        <v>3.6760907650604452E-4</v>
      </c>
      <c r="Q89" s="304">
        <f t="shared" si="28"/>
        <v>0.6</v>
      </c>
      <c r="R89" s="177">
        <f t="shared" si="29"/>
        <v>1.2617223361867096E-2</v>
      </c>
      <c r="S89" s="799">
        <f t="shared" si="30"/>
        <v>0</v>
      </c>
      <c r="T89" s="176">
        <f t="shared" si="31"/>
        <v>6</v>
      </c>
      <c r="U89" s="250">
        <f t="shared" si="32"/>
        <v>1.2617223361867096E-2</v>
      </c>
      <c r="V89" s="382">
        <f t="shared" si="33"/>
        <v>44.951409026099689</v>
      </c>
      <c r="W89" s="400">
        <f t="shared" si="34"/>
        <v>0</v>
      </c>
      <c r="X89" s="157">
        <f t="shared" si="35"/>
        <v>44636</v>
      </c>
      <c r="Y89" s="383">
        <f t="shared" si="36"/>
        <v>13.467000000000001</v>
      </c>
      <c r="Z89" s="383">
        <f t="shared" si="37"/>
        <v>13.7684228654545</v>
      </c>
      <c r="AA89" s="384">
        <f t="shared" si="38"/>
        <v>14.994061059415618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8.1741576821942441E-2</v>
      </c>
      <c r="AD89" s="230">
        <f>(INDEX(Models!$BJ89:$BT89,,AH89)*(1-AF89)+INDEX(Models!$BJ89:$BT89,,AH89+1)*AF89-ERP_i)*AE89*Ramure*Pc/MaxiM</f>
        <v>3.6760907650604452E-4</v>
      </c>
      <c r="AE89" s="304">
        <f t="shared" si="40"/>
        <v>0.6</v>
      </c>
      <c r="AF89" s="177">
        <f t="shared" si="41"/>
        <v>1.2617223361867096E-2</v>
      </c>
      <c r="AG89" s="799">
        <f t="shared" si="49"/>
        <v>0</v>
      </c>
      <c r="AH89" s="176">
        <f t="shared" si="42"/>
        <v>6</v>
      </c>
      <c r="AI89" s="224">
        <f t="shared" si="43"/>
        <v>1.2617223361867096E-2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3">
        <v>11.31</v>
      </c>
      <c r="C90" s="388"/>
      <c r="D90" s="391">
        <f t="shared" si="25"/>
        <v>11.563365784531983</v>
      </c>
      <c r="E90" s="383">
        <f t="shared" si="47"/>
        <v>12.593610619286732</v>
      </c>
      <c r="F90" s="383">
        <f t="shared" si="26"/>
        <v>12.593610619286732</v>
      </c>
      <c r="G90" s="110">
        <f t="shared" si="48"/>
        <v>0.24962715166144575</v>
      </c>
      <c r="H90" s="412" t="b">
        <f>Wh_hp&gt;='2021'!Maxi_hp</f>
        <v>0</v>
      </c>
      <c r="I90" s="379">
        <f>IF(H90,Wh_hp,'2021'!Maxi_hp)</f>
        <v>27.308423529990701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2.1911075828017434E-2</v>
      </c>
      <c r="M90" s="832"/>
      <c r="N90" s="832"/>
      <c r="O90" s="48">
        <f>IF(t&lt;Tnet,'2021'!Resal+('2021'!Salim-'2021'!Resal)*(1-EXP(('2021'!Tnet-t)/('2021'!Tau_j))),Resal+(Salim-Resal)*(1-EXP((Tnet-t)/(Tau_j))))*Salcycl</f>
        <v>8.1806946863750091E-2</v>
      </c>
      <c r="P90" s="169">
        <f>(INDEX(Models!$BJ90:$BT90,,T90)*(1-R90)+INDEX(Models!$BJ90:$BT90,,T90+1)*R90-ERP_i)*Q90*Ramure*Pc/MaxiM</f>
        <v>3.5504207750031473E-4</v>
      </c>
      <c r="Q90" s="304">
        <f t="shared" si="28"/>
        <v>0.6</v>
      </c>
      <c r="R90" s="177">
        <f t="shared" si="29"/>
        <v>1.3195409087631345E-2</v>
      </c>
      <c r="S90" s="799">
        <f t="shared" si="30"/>
        <v>0</v>
      </c>
      <c r="T90" s="176">
        <f t="shared" si="31"/>
        <v>6</v>
      </c>
      <c r="U90" s="250">
        <f t="shared" si="32"/>
        <v>1.3195409087631345E-2</v>
      </c>
      <c r="V90" s="382">
        <f t="shared" si="33"/>
        <v>45.29148531661771</v>
      </c>
      <c r="W90" s="400">
        <f t="shared" si="34"/>
        <v>0</v>
      </c>
      <c r="X90" s="157">
        <f t="shared" si="35"/>
        <v>44637</v>
      </c>
      <c r="Y90" s="383">
        <f t="shared" si="36"/>
        <v>11.31</v>
      </c>
      <c r="Z90" s="383">
        <f t="shared" si="37"/>
        <v>11.563365784531983</v>
      </c>
      <c r="AA90" s="384">
        <f t="shared" si="38"/>
        <v>12.593610619286732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8.1806946863750091E-2</v>
      </c>
      <c r="AD90" s="230">
        <f>(INDEX(Models!$BJ90:$BT90,,AH90)*(1-AF90)+INDEX(Models!$BJ90:$BT90,,AH90+1)*AF90-ERP_i)*AE90*Ramure*Pc/MaxiM</f>
        <v>3.5504207750031473E-4</v>
      </c>
      <c r="AE90" s="304">
        <f t="shared" si="40"/>
        <v>0.6</v>
      </c>
      <c r="AF90" s="177">
        <f t="shared" si="41"/>
        <v>1.3195409087631345E-2</v>
      </c>
      <c r="AG90" s="799">
        <f t="shared" si="49"/>
        <v>0</v>
      </c>
      <c r="AH90" s="176">
        <f t="shared" si="42"/>
        <v>6</v>
      </c>
      <c r="AI90" s="224">
        <f t="shared" si="43"/>
        <v>1.3195409087631345E-2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3">
        <v>14.621</v>
      </c>
      <c r="C91" s="388"/>
      <c r="D91" s="391">
        <f t="shared" si="25"/>
        <v>14.948825052770667</v>
      </c>
      <c r="E91" s="383">
        <f t="shared" si="47"/>
        <v>16.28186331127273</v>
      </c>
      <c r="F91" s="383">
        <f t="shared" si="26"/>
        <v>16.282026445583469</v>
      </c>
      <c r="G91" s="110">
        <f t="shared" si="48"/>
        <v>0.32033027249533524</v>
      </c>
      <c r="H91" s="412" t="b">
        <f>Wh_hp&gt;='2021'!Maxi_hp</f>
        <v>0</v>
      </c>
      <c r="I91" s="379">
        <f>IF(H91,Wh_hp,'2021'!Maxi_hp)</f>
        <v>34.112652515484889</v>
      </c>
      <c r="J91" s="85">
        <f>IF(H91,An,'2021'!An_max)</f>
        <v>2018</v>
      </c>
      <c r="K91" s="197">
        <f t="shared" si="27"/>
        <v>44638</v>
      </c>
      <c r="L91" s="147">
        <f>IF(t&lt;Tvie,1-EXP((T0-t)*PertePVj)+'2021'!Pspv,1-EXP((T0-t)*PertePVj)+Pspv)</f>
        <v>2.1929820679111311E-2</v>
      </c>
      <c r="M91" s="832"/>
      <c r="N91" s="832"/>
      <c r="O91" s="48">
        <f>IF(t&lt;Tnet,'2021'!Resal+('2021'!Salim-'2021'!Resal)*(1-EXP(('2021'!Tnet-t)/('2021'!Tau_j))),Resal+(Salim-Resal)*(1-EXP((Tnet-t)/(Tau_j))))*Salcycl</f>
        <v>8.1872586264689698E-2</v>
      </c>
      <c r="P91" s="169">
        <f>(INDEX(Models!$BJ91:$BT91,,T91)*(1-R91)+INDEX(Models!$BJ91:$BT91,,T91+1)*R91-ERP_i)*Q91*Ramure*Pc/MaxiM</f>
        <v>3.431761735871394E-4</v>
      </c>
      <c r="Q91" s="304">
        <f t="shared" si="28"/>
        <v>0.6</v>
      </c>
      <c r="R91" s="177">
        <f t="shared" si="29"/>
        <v>1.3796391166256772E-2</v>
      </c>
      <c r="S91" s="799">
        <f t="shared" si="30"/>
        <v>0</v>
      </c>
      <c r="T91" s="176">
        <f t="shared" si="31"/>
        <v>6</v>
      </c>
      <c r="U91" s="250">
        <f t="shared" si="32"/>
        <v>1.3796391166256772E-2</v>
      </c>
      <c r="V91" s="382">
        <f t="shared" si="33"/>
        <v>45.628309652132764</v>
      </c>
      <c r="W91" s="400">
        <f t="shared" si="34"/>
        <v>0</v>
      </c>
      <c r="X91" s="157">
        <f t="shared" si="35"/>
        <v>44638</v>
      </c>
      <c r="Y91" s="383">
        <f t="shared" si="36"/>
        <v>14.620999999999999</v>
      </c>
      <c r="Z91" s="383">
        <f t="shared" si="37"/>
        <v>14.948825052770665</v>
      </c>
      <c r="AA91" s="384">
        <f t="shared" si="38"/>
        <v>16.28186331127273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8.1872586264689698E-2</v>
      </c>
      <c r="AD91" s="230">
        <f>(INDEX(Models!$BJ91:$BT91,,AH91)*(1-AF91)+INDEX(Models!$BJ91:$BT91,,AH91+1)*AF91-ERP_i)*AE91*Ramure*Pc/MaxiM</f>
        <v>3.431761735871394E-4</v>
      </c>
      <c r="AE91" s="304">
        <f t="shared" si="40"/>
        <v>0.6</v>
      </c>
      <c r="AF91" s="177">
        <f t="shared" si="41"/>
        <v>1.3796391166256772E-2</v>
      </c>
      <c r="AG91" s="799">
        <f t="shared" si="49"/>
        <v>0</v>
      </c>
      <c r="AH91" s="176">
        <f t="shared" si="42"/>
        <v>6</v>
      </c>
      <c r="AI91" s="224">
        <f t="shared" si="43"/>
        <v>1.3796391166256772E-2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3">
        <v>27.934000000000001</v>
      </c>
      <c r="C92" s="388"/>
      <c r="D92" s="391">
        <f t="shared" si="25"/>
        <v>28.560870119149605</v>
      </c>
      <c r="E92" s="383">
        <f t="shared" si="47"/>
        <v>31.109975651811752</v>
      </c>
      <c r="F92" s="383">
        <f t="shared" si="26"/>
        <v>31.114517473333766</v>
      </c>
      <c r="G92" s="110">
        <f t="shared" si="48"/>
        <v>0.60765794612064927</v>
      </c>
      <c r="H92" s="412" t="b">
        <f>Wh_hp&gt;='2021'!Maxi_hp</f>
        <v>0</v>
      </c>
      <c r="I92" s="379">
        <f>IF(H92,Wh_hp,'2021'!Maxi_hp)</f>
        <v>46.811989092410982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2.1948565170964329E-2</v>
      </c>
      <c r="M92" s="832"/>
      <c r="N92" s="832"/>
      <c r="O92" s="48">
        <f>IF(t&lt;Tnet,'2021'!Resal+('2021'!Salim-'2021'!Resal)*(1-EXP(('2021'!Tnet-t)/('2021'!Tau_j))),Resal+(Salim-Resal)*(1-EXP((Tnet-t)/(Tau_j))))*Salcycl</f>
        <v>8.1938525481092594E-2</v>
      </c>
      <c r="P92" s="169">
        <f>(INDEX(Models!$BJ92:$BT92,,T92)*(1-R92)+INDEX(Models!$BJ92:$BT92,,T92+1)*R92-ERP_i)*Q92*Ramure*Pc/MaxiM</f>
        <v>3.3199940275622754E-4</v>
      </c>
      <c r="Q92" s="304">
        <f t="shared" si="28"/>
        <v>0.6</v>
      </c>
      <c r="R92" s="177">
        <f t="shared" si="29"/>
        <v>1.4421006780463359E-2</v>
      </c>
      <c r="S92" s="799">
        <f t="shared" si="30"/>
        <v>0</v>
      </c>
      <c r="T92" s="176">
        <f t="shared" si="31"/>
        <v>6</v>
      </c>
      <c r="U92" s="250">
        <f t="shared" si="32"/>
        <v>1.4421006780463359E-2</v>
      </c>
      <c r="V92" s="382">
        <f t="shared" si="33"/>
        <v>45.961388156115156</v>
      </c>
      <c r="W92" s="400">
        <f t="shared" si="34"/>
        <v>0</v>
      </c>
      <c r="X92" s="157">
        <f t="shared" si="35"/>
        <v>44639</v>
      </c>
      <c r="Y92" s="383">
        <f t="shared" si="36"/>
        <v>27.934000000000001</v>
      </c>
      <c r="Z92" s="383">
        <f t="shared" si="37"/>
        <v>28.560870119149605</v>
      </c>
      <c r="AA92" s="384">
        <f t="shared" si="38"/>
        <v>31.109975651811752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8.1938525481092594E-2</v>
      </c>
      <c r="AD92" s="230">
        <f>(INDEX(Models!$BJ92:$BT92,,AH92)*(1-AF92)+INDEX(Models!$BJ92:$BT92,,AH92+1)*AF92-ERP_i)*AE92*Ramure*Pc/MaxiM</f>
        <v>3.3199940275622754E-4</v>
      </c>
      <c r="AE92" s="304">
        <f t="shared" si="40"/>
        <v>0.6</v>
      </c>
      <c r="AF92" s="177">
        <f t="shared" si="41"/>
        <v>1.4421006780463359E-2</v>
      </c>
      <c r="AG92" s="799">
        <f t="shared" si="49"/>
        <v>0</v>
      </c>
      <c r="AH92" s="176">
        <f t="shared" si="42"/>
        <v>6</v>
      </c>
      <c r="AI92" s="224">
        <f t="shared" si="43"/>
        <v>1.4421006780463359E-2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3">
        <v>31.016999999999999</v>
      </c>
      <c r="C93" s="388"/>
      <c r="D93" s="391">
        <f t="shared" si="25"/>
        <v>31.713663863233524</v>
      </c>
      <c r="E93" s="383">
        <f t="shared" si="47"/>
        <v>34.546655267612422</v>
      </c>
      <c r="F93" s="383">
        <f t="shared" si="26"/>
        <v>34.552526803610711</v>
      </c>
      <c r="G93" s="110">
        <f t="shared" si="48"/>
        <v>0.66991092837147204</v>
      </c>
      <c r="H93" s="412" t="b">
        <f>Wh_hp&gt;='2021'!Maxi_hp</f>
        <v>0</v>
      </c>
      <c r="I93" s="379">
        <f>IF(H93,Wh_hp,'2021'!Maxi_hp)</f>
        <v>50.974512464979433</v>
      </c>
      <c r="J93" s="85">
        <f>IF(H93,An,'2021'!An_max)</f>
        <v>2018</v>
      </c>
      <c r="K93" s="197">
        <f t="shared" si="27"/>
        <v>44640</v>
      </c>
      <c r="L93" s="147">
        <f>IF(t&lt;Tvie,1-EXP((T0-t)*PertePVj)+'2021'!Pspv,1-EXP((T0-t)*PertePVj)+Pspv)</f>
        <v>2.1967309303583371E-2</v>
      </c>
      <c r="M93" s="832"/>
      <c r="N93" s="832"/>
      <c r="O93" s="48">
        <f>IF(t&lt;Tnet,'2021'!Resal+('2021'!Salim-'2021'!Resal)*(1-EXP(('2021'!Tnet-t)/('2021'!Tau_j))),Resal+(Salim-Resal)*(1-EXP((Tnet-t)/(Tau_j))))*Salcycl</f>
        <v>8.2004795614319004E-2</v>
      </c>
      <c r="P93" s="169">
        <f>(INDEX(Models!$BJ93:$BT93,,T93)*(1-R93)+INDEX(Models!$BJ93:$BT93,,T93+1)*R93-ERP_i)*Q93*Ramure*Pc/MaxiM</f>
        <v>3.2147971646478854E-4</v>
      </c>
      <c r="Q93" s="304">
        <f t="shared" si="28"/>
        <v>0.6</v>
      </c>
      <c r="R93" s="177">
        <f t="shared" si="29"/>
        <v>1.5070118763084835E-2</v>
      </c>
      <c r="S93" s="799">
        <f t="shared" si="30"/>
        <v>0</v>
      </c>
      <c r="T93" s="176">
        <f t="shared" si="31"/>
        <v>6</v>
      </c>
      <c r="U93" s="250">
        <f t="shared" si="32"/>
        <v>1.5070118763084835E-2</v>
      </c>
      <c r="V93" s="382">
        <f t="shared" si="33"/>
        <v>46.293167184884098</v>
      </c>
      <c r="W93" s="400">
        <f t="shared" si="34"/>
        <v>0</v>
      </c>
      <c r="X93" s="157">
        <f t="shared" si="35"/>
        <v>44640</v>
      </c>
      <c r="Y93" s="383">
        <f t="shared" si="36"/>
        <v>31.017000000000003</v>
      </c>
      <c r="Z93" s="383">
        <f t="shared" si="37"/>
        <v>31.713663863233528</v>
      </c>
      <c r="AA93" s="384">
        <f t="shared" si="38"/>
        <v>34.546655267612422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8.2004795614319004E-2</v>
      </c>
      <c r="AD93" s="230">
        <f>(INDEX(Models!$BJ93:$BT93,,AH93)*(1-AF93)+INDEX(Models!$BJ93:$BT93,,AH93+1)*AF93-ERP_i)*AE93*Ramure*Pc/MaxiM</f>
        <v>3.2147971646478854E-4</v>
      </c>
      <c r="AE93" s="304">
        <f t="shared" si="40"/>
        <v>0.6</v>
      </c>
      <c r="AF93" s="177">
        <f t="shared" si="41"/>
        <v>1.5070118763084835E-2</v>
      </c>
      <c r="AG93" s="799">
        <f t="shared" si="49"/>
        <v>0</v>
      </c>
      <c r="AH93" s="176">
        <f t="shared" si="42"/>
        <v>6</v>
      </c>
      <c r="AI93" s="224">
        <f t="shared" si="43"/>
        <v>1.5070118763084835E-2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3">
        <v>43.905999999999999</v>
      </c>
      <c r="C94" s="388"/>
      <c r="D94" s="391">
        <f t="shared" si="25"/>
        <v>44.893020327710794</v>
      </c>
      <c r="E94" s="383">
        <f t="shared" si="47"/>
        <v>48.906877629004597</v>
      </c>
      <c r="F94" s="383">
        <f t="shared" si="26"/>
        <v>48.920855815846522</v>
      </c>
      <c r="G94" s="110">
        <f t="shared" si="48"/>
        <v>0.94164121172747595</v>
      </c>
      <c r="H94" s="412" t="b">
        <f>Wh_hp&gt;='2021'!Maxi_hp</f>
        <v>0</v>
      </c>
      <c r="I94" s="379">
        <f>IF(H94,Wh_hp,'2021'!Maxi_hp)</f>
        <v>52.150714918937091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2.1986053076975542E-2</v>
      </c>
      <c r="M94" s="832"/>
      <c r="N94" s="832"/>
      <c r="O94" s="48">
        <f>IF(t&lt;Tnet,'2021'!Resal+('2021'!Salim-'2021'!Resal)*(1-EXP(('2021'!Tnet-t)/('2021'!Tau_j))),Resal+(Salim-Resal)*(1-EXP((Tnet-t)/(Tau_j))))*Salcycl</f>
        <v>8.2071428312024464E-2</v>
      </c>
      <c r="P94" s="169">
        <f>(INDEX(Models!$BJ94:$BT94,,T94)*(1-R94)+INDEX(Models!$BJ94:$BT94,,T94+1)*R94-ERP_i)*Q94*Ramure*Pc/MaxiM</f>
        <v>3.117066189368817E-4</v>
      </c>
      <c r="Q94" s="304">
        <f t="shared" si="28"/>
        <v>0.6</v>
      </c>
      <c r="R94" s="177">
        <f t="shared" si="29"/>
        <v>1.5744615952785042E-2</v>
      </c>
      <c r="S94" s="799">
        <f t="shared" si="30"/>
        <v>0</v>
      </c>
      <c r="T94" s="176">
        <f t="shared" si="31"/>
        <v>6</v>
      </c>
      <c r="U94" s="250">
        <f t="shared" si="32"/>
        <v>1.5744615952785042E-2</v>
      </c>
      <c r="V94" s="382">
        <f t="shared" si="33"/>
        <v>46.625889590809258</v>
      </c>
      <c r="W94" s="400">
        <f t="shared" si="34"/>
        <v>0</v>
      </c>
      <c r="X94" s="157">
        <f t="shared" si="35"/>
        <v>44641</v>
      </c>
      <c r="Y94" s="383">
        <f t="shared" si="36"/>
        <v>43.905999999999999</v>
      </c>
      <c r="Z94" s="383">
        <f t="shared" si="37"/>
        <v>44.893020327710794</v>
      </c>
      <c r="AA94" s="384">
        <f t="shared" si="38"/>
        <v>48.906877629004597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8.2071428312024464E-2</v>
      </c>
      <c r="AD94" s="230">
        <f>(INDEX(Models!$BJ94:$BT94,,AH94)*(1-AF94)+INDEX(Models!$BJ94:$BT94,,AH94+1)*AF94-ERP_i)*AE94*Ramure*Pc/MaxiM</f>
        <v>3.117066189368817E-4</v>
      </c>
      <c r="AE94" s="304">
        <f t="shared" si="40"/>
        <v>0.6</v>
      </c>
      <c r="AF94" s="177">
        <f t="shared" si="41"/>
        <v>1.5744615952785042E-2</v>
      </c>
      <c r="AG94" s="799">
        <f t="shared" si="49"/>
        <v>0</v>
      </c>
      <c r="AH94" s="176">
        <f t="shared" si="42"/>
        <v>6</v>
      </c>
      <c r="AI94" s="224">
        <f t="shared" si="43"/>
        <v>1.5744615952785042E-2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3">
        <v>41.683999999999997</v>
      </c>
      <c r="C95" s="388"/>
      <c r="D95" s="391">
        <f t="shared" si="25"/>
        <v>42.621885925867616</v>
      </c>
      <c r="E95" s="383">
        <f t="shared" si="47"/>
        <v>46.436073271770859</v>
      </c>
      <c r="F95" s="383">
        <f t="shared" si="26"/>
        <v>46.447859171278907</v>
      </c>
      <c r="G95" s="110">
        <f t="shared" si="48"/>
        <v>0.88762897148895248</v>
      </c>
      <c r="H95" s="412" t="b">
        <f>Wh_hp&gt;='2021'!Maxi_hp</f>
        <v>0</v>
      </c>
      <c r="I95" s="379">
        <f>IF(H95,Wh_hp,'2021'!Maxi_hp)</f>
        <v>50.892769880316351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2.2004796491147394E-2</v>
      </c>
      <c r="M95" s="832"/>
      <c r="N95" s="832"/>
      <c r="O95" s="48">
        <f>IF(t&lt;Tnet,'2021'!Resal+('2021'!Salim-'2021'!Resal)*(1-EXP(('2021'!Tnet-t)/('2021'!Tau_j))),Resal+(Salim-Resal)*(1-EXP((Tnet-t)/(Tau_j))))*Salcycl</f>
        <v>8.2138455669591284E-2</v>
      </c>
      <c r="P95" s="169">
        <f>(INDEX(Models!$BJ95:$BT95,,T95)*(1-R95)+INDEX(Models!$BJ95:$BT95,,T95+1)*R95-ERP_i)*Q95*Ramure*Pc/MaxiM</f>
        <v>3.0224564158249398E-4</v>
      </c>
      <c r="Q95" s="304">
        <f t="shared" si="28"/>
        <v>0.6</v>
      </c>
      <c r="R95" s="177">
        <f t="shared" si="29"/>
        <v>1.6445413513959752E-2</v>
      </c>
      <c r="S95" s="799">
        <f t="shared" si="30"/>
        <v>0</v>
      </c>
      <c r="T95" s="176">
        <f t="shared" si="31"/>
        <v>6</v>
      </c>
      <c r="U95" s="250">
        <f t="shared" si="32"/>
        <v>1.6445413513959752E-2</v>
      </c>
      <c r="V95" s="382">
        <f t="shared" si="33"/>
        <v>46.958784710434095</v>
      </c>
      <c r="W95" s="400">
        <f t="shared" si="34"/>
        <v>0</v>
      </c>
      <c r="X95" s="157">
        <f t="shared" si="35"/>
        <v>44642</v>
      </c>
      <c r="Y95" s="383">
        <f t="shared" si="36"/>
        <v>41.683999999999997</v>
      </c>
      <c r="Z95" s="383">
        <f t="shared" si="37"/>
        <v>42.621885925867616</v>
      </c>
      <c r="AA95" s="384">
        <f t="shared" si="38"/>
        <v>46.436073271770859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8.2138455669591284E-2</v>
      </c>
      <c r="AD95" s="230">
        <f>(INDEX(Models!$BJ95:$BT95,,AH95)*(1-AF95)+INDEX(Models!$BJ95:$BT95,,AH95+1)*AF95-ERP_i)*AE95*Ramure*Pc/MaxiM</f>
        <v>3.0224564158249398E-4</v>
      </c>
      <c r="AE95" s="304">
        <f t="shared" si="40"/>
        <v>0.6</v>
      </c>
      <c r="AF95" s="177">
        <f t="shared" si="41"/>
        <v>1.6445413513959752E-2</v>
      </c>
      <c r="AG95" s="799">
        <f t="shared" si="49"/>
        <v>0</v>
      </c>
      <c r="AH95" s="176">
        <f t="shared" si="42"/>
        <v>6</v>
      </c>
      <c r="AI95" s="224">
        <f t="shared" si="43"/>
        <v>1.6445413513959752E-2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3">
        <v>47.512</v>
      </c>
      <c r="C96" s="388"/>
      <c r="D96" s="391">
        <f t="shared" si="25"/>
        <v>48.58194641816732</v>
      </c>
      <c r="E96" s="383">
        <f t="shared" si="47"/>
        <v>52.93338337488445</v>
      </c>
      <c r="F96" s="383">
        <f t="shared" si="26"/>
        <v>52.948902458584236</v>
      </c>
      <c r="G96" s="110">
        <f t="shared" si="48"/>
        <v>1.0046718730909368</v>
      </c>
      <c r="H96" s="412" t="b">
        <f>Wh_hp&gt;='2021'!Maxi_hp</f>
        <v>0</v>
      </c>
      <c r="I96" s="379">
        <f>IF(H96,Wh_hp,'2021'!Maxi_hp)</f>
        <v>53.286062169656844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2.2023539546106141E-2</v>
      </c>
      <c r="M96" s="832"/>
      <c r="N96" s="832"/>
      <c r="O96" s="48">
        <f>IF(t&lt;Tnet,'2021'!Resal+('2021'!Salim-'2021'!Resal)*(1-EXP(('2021'!Tnet-t)/('2021'!Tau_j))),Resal+(Salim-Resal)*(1-EXP((Tnet-t)/(Tau_j))))*Salcycl</f>
        <v>8.2205910132352816E-2</v>
      </c>
      <c r="P96" s="169">
        <f>(INDEX(Models!$BJ96:$BT96,,T96)*(1-R96)+INDEX(Models!$BJ96:$BT96,,T96+1)*R96-ERP_i)*Q96*Ramure*Pc/MaxiM</f>
        <v>2.9309547467814352E-4</v>
      </c>
      <c r="Q96" s="304">
        <f t="shared" si="28"/>
        <v>0.6</v>
      </c>
      <c r="R96" s="177">
        <f t="shared" si="29"/>
        <v>1.7173453216254395E-2</v>
      </c>
      <c r="S96" s="799">
        <f t="shared" si="30"/>
        <v>0</v>
      </c>
      <c r="T96" s="176">
        <f t="shared" si="31"/>
        <v>6</v>
      </c>
      <c r="U96" s="250">
        <f t="shared" si="32"/>
        <v>1.7173453216254395E-2</v>
      </c>
      <c r="V96" s="382">
        <f t="shared" si="33"/>
        <v>47.291062159256356</v>
      </c>
      <c r="W96" s="400">
        <f t="shared" si="34"/>
        <v>0</v>
      </c>
      <c r="X96" s="157">
        <f t="shared" si="35"/>
        <v>44643</v>
      </c>
      <c r="Y96" s="383">
        <f t="shared" si="36"/>
        <v>47.512</v>
      </c>
      <c r="Z96" s="383">
        <f t="shared" si="37"/>
        <v>48.58194641816732</v>
      </c>
      <c r="AA96" s="384">
        <f t="shared" si="38"/>
        <v>52.93338337488445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8.2205910132352816E-2</v>
      </c>
      <c r="AD96" s="230">
        <f>(INDEX(Models!$BJ96:$BT96,,AH96)*(1-AF96)+INDEX(Models!$BJ96:$BT96,,AH96+1)*AF96-ERP_i)*AE96*Ramure*Pc/MaxiM</f>
        <v>2.9309547467814352E-4</v>
      </c>
      <c r="AE96" s="304">
        <f t="shared" si="40"/>
        <v>0.6</v>
      </c>
      <c r="AF96" s="177">
        <f t="shared" si="41"/>
        <v>1.7173453216254395E-2</v>
      </c>
      <c r="AG96" s="799">
        <f t="shared" si="49"/>
        <v>0</v>
      </c>
      <c r="AH96" s="176">
        <f t="shared" si="42"/>
        <v>6</v>
      </c>
      <c r="AI96" s="224">
        <f t="shared" si="43"/>
        <v>1.7173453216254395E-2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3">
        <v>46.731000000000002</v>
      </c>
      <c r="C97" s="388"/>
      <c r="D97" s="391">
        <f t="shared" si="25"/>
        <v>47.78427446446824</v>
      </c>
      <c r="E97" s="383">
        <f t="shared" si="47"/>
        <v>52.068117631258112</v>
      </c>
      <c r="F97" s="383">
        <f t="shared" si="26"/>
        <v>52.082526631852751</v>
      </c>
      <c r="G97" s="110">
        <f t="shared" si="48"/>
        <v>0.98128410854983295</v>
      </c>
      <c r="H97" s="412" t="b">
        <f>Wh_hp&gt;='2021'!Maxi_hp</f>
        <v>0</v>
      </c>
      <c r="I97" s="379">
        <f>IF(H97,Wh_hp,'2021'!Maxi_hp)</f>
        <v>52.432685420203406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2.2042282241858446E-2</v>
      </c>
      <c r="M97" s="832"/>
      <c r="N97" s="832"/>
      <c r="O97" s="48">
        <f>IF(t&lt;Tnet,'2021'!Resal+('2021'!Salim-'2021'!Resal)*(1-EXP(('2021'!Tnet-t)/('2021'!Tau_j))),Resal+(Salim-Resal)*(1-EXP((Tnet-t)/(Tau_j))))*Salcycl</f>
        <v>8.227382439917795E-2</v>
      </c>
      <c r="P97" s="169">
        <f>(INDEX(Models!$BJ97:$BT97,,T97)*(1-R97)+INDEX(Models!$BJ97:$BT97,,T97+1)*R97-ERP_i)*Q97*Ramure*Pc/MaxiM</f>
        <v>2.842541685792209E-4</v>
      </c>
      <c r="Q97" s="304">
        <f t="shared" si="28"/>
        <v>0.6</v>
      </c>
      <c r="R97" s="177">
        <f t="shared" si="29"/>
        <v>1.7929703668814211E-2</v>
      </c>
      <c r="S97" s="799">
        <f t="shared" si="30"/>
        <v>0</v>
      </c>
      <c r="T97" s="176">
        <f t="shared" si="31"/>
        <v>6</v>
      </c>
      <c r="U97" s="250">
        <f t="shared" si="32"/>
        <v>1.7929703668814211E-2</v>
      </c>
      <c r="V97" s="382">
        <f t="shared" si="33"/>
        <v>47.621931788987432</v>
      </c>
      <c r="W97" s="400">
        <f t="shared" si="34"/>
        <v>0</v>
      </c>
      <c r="X97" s="157">
        <f t="shared" si="35"/>
        <v>44644</v>
      </c>
      <c r="Y97" s="383">
        <f t="shared" si="36"/>
        <v>46.731000000000002</v>
      </c>
      <c r="Z97" s="383">
        <f t="shared" si="37"/>
        <v>47.78427446446824</v>
      </c>
      <c r="AA97" s="384">
        <f t="shared" si="38"/>
        <v>52.068117631258112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8.227382439917795E-2</v>
      </c>
      <c r="AD97" s="230">
        <f>(INDEX(Models!$BJ97:$BT97,,AH97)*(1-AF97)+INDEX(Models!$BJ97:$BT97,,AH97+1)*AF97-ERP_i)*AE97*Ramure*Pc/MaxiM</f>
        <v>2.842541685792209E-4</v>
      </c>
      <c r="AE97" s="304">
        <f t="shared" si="40"/>
        <v>0.6</v>
      </c>
      <c r="AF97" s="177">
        <f t="shared" si="41"/>
        <v>1.7929703668814211E-2</v>
      </c>
      <c r="AG97" s="799">
        <f t="shared" si="49"/>
        <v>0</v>
      </c>
      <c r="AH97" s="176">
        <f t="shared" si="42"/>
        <v>6</v>
      </c>
      <c r="AI97" s="224">
        <f t="shared" si="43"/>
        <v>1.7929703668814211E-2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3">
        <v>41.585999999999999</v>
      </c>
      <c r="C98" s="388"/>
      <c r="D98" s="391">
        <f t="shared" si="25"/>
        <v>42.524125784098452</v>
      </c>
      <c r="E98" s="383">
        <f t="shared" si="47"/>
        <v>46.339852650769771</v>
      </c>
      <c r="F98" s="383">
        <f t="shared" si="26"/>
        <v>46.350209045253081</v>
      </c>
      <c r="G98" s="110">
        <f t="shared" si="48"/>
        <v>0.86722214402524955</v>
      </c>
      <c r="H98" s="412" t="b">
        <f>Wh_hp&gt;='2021'!Maxi_hp</f>
        <v>1</v>
      </c>
      <c r="I98" s="379">
        <f>IF(H98,Wh_hp,'2021'!Maxi_hp)</f>
        <v>46.350209045253081</v>
      </c>
      <c r="J98" s="85">
        <f>IF(H98,An,'2021'!An_max)</f>
        <v>2022</v>
      </c>
      <c r="K98" s="197">
        <f t="shared" si="27"/>
        <v>44645</v>
      </c>
      <c r="L98" s="147">
        <f>IF(t&lt;Tvie,1-EXP((T0-t)*PertePVj)+'2021'!Pspv,1-EXP((T0-t)*PertePVj)+Pspv)</f>
        <v>2.2061024578411303E-2</v>
      </c>
      <c r="M98" s="832"/>
      <c r="N98" s="832"/>
      <c r="O98" s="48">
        <f>IF(t&lt;Tnet,'2021'!Resal+('2021'!Salim-'2021'!Resal)*(1-EXP(('2021'!Tnet-t)/('2021'!Tau_j))),Resal+(Salim-Resal)*(1-EXP((Tnet-t)/(Tau_j))))*Salcycl</f>
        <v>8.2342231327917945E-2</v>
      </c>
      <c r="P98" s="169">
        <f>(INDEX(Models!$BJ98:$BT98,,T98)*(1-R98)+INDEX(Models!$BJ98:$BT98,,T98+1)*R98-ERP_i)*Q98*Ramure*Pc/MaxiM</f>
        <v>2.7571921158204405E-4</v>
      </c>
      <c r="Q98" s="304">
        <f t="shared" si="28"/>
        <v>0.6</v>
      </c>
      <c r="R98" s="177">
        <f t="shared" si="29"/>
        <v>1.871516050406145E-2</v>
      </c>
      <c r="S98" s="799">
        <f t="shared" si="30"/>
        <v>0</v>
      </c>
      <c r="T98" s="176">
        <f t="shared" si="31"/>
        <v>6</v>
      </c>
      <c r="U98" s="250">
        <f t="shared" si="32"/>
        <v>1.871516050406145E-2</v>
      </c>
      <c r="V98" s="382">
        <f t="shared" si="33"/>
        <v>47.95060369590945</v>
      </c>
      <c r="W98" s="400">
        <f t="shared" si="34"/>
        <v>0</v>
      </c>
      <c r="X98" s="157">
        <f t="shared" si="35"/>
        <v>44645</v>
      </c>
      <c r="Y98" s="383">
        <f t="shared" si="36"/>
        <v>41.585999999999999</v>
      </c>
      <c r="Z98" s="383">
        <f t="shared" si="37"/>
        <v>42.524125784098452</v>
      </c>
      <c r="AA98" s="384">
        <f t="shared" si="38"/>
        <v>46.339852650769771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8.2342231327917945E-2</v>
      </c>
      <c r="AD98" s="230">
        <f>(INDEX(Models!$BJ98:$BT98,,AH98)*(1-AF98)+INDEX(Models!$BJ98:$BT98,,AH98+1)*AF98-ERP_i)*AE98*Ramure*Pc/MaxiM</f>
        <v>2.7571921158204405E-4</v>
      </c>
      <c r="AE98" s="304">
        <f t="shared" si="40"/>
        <v>0.6</v>
      </c>
      <c r="AF98" s="177">
        <f t="shared" si="41"/>
        <v>1.871516050406145E-2</v>
      </c>
      <c r="AG98" s="799">
        <f t="shared" si="49"/>
        <v>0</v>
      </c>
      <c r="AH98" s="176">
        <f t="shared" si="42"/>
        <v>6</v>
      </c>
      <c r="AI98" s="224">
        <f t="shared" si="43"/>
        <v>1.871516050406145E-2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3">
        <v>46.033999999999999</v>
      </c>
      <c r="C99" s="388"/>
      <c r="D99" s="391">
        <f t="shared" si="25"/>
        <v>47.073368998480127</v>
      </c>
      <c r="E99" s="383">
        <f t="shared" si="47"/>
        <v>51.301157058141683</v>
      </c>
      <c r="F99" s="383">
        <f t="shared" si="26"/>
        <v>51.313972160403146</v>
      </c>
      <c r="G99" s="110">
        <f t="shared" si="48"/>
        <v>0.95353608254080313</v>
      </c>
      <c r="H99" s="412" t="b">
        <f>Wh_hp&gt;='2021'!Maxi_hp</f>
        <v>0</v>
      </c>
      <c r="I99" s="379">
        <f>IF(H99,Wh_hp,'2021'!Maxi_hp)</f>
        <v>54.664172365947202</v>
      </c>
      <c r="J99" s="85">
        <f>IF(H99,An,'2021'!An_max)</f>
        <v>2018</v>
      </c>
      <c r="K99" s="197">
        <f t="shared" si="27"/>
        <v>44646</v>
      </c>
      <c r="L99" s="147">
        <f>IF(t&lt;Tvie,1-EXP((T0-t)*PertePVj)+'2021'!Pspv,1-EXP((T0-t)*PertePVj)+Pspv)</f>
        <v>2.2079766555771485E-2</v>
      </c>
      <c r="M99" s="832"/>
      <c r="N99" s="832"/>
      <c r="O99" s="48">
        <f>IF(t&lt;Tnet,'2021'!Resal+('2021'!Salim-'2021'!Resal)*(1-EXP(('2021'!Tnet-t)/('2021'!Tau_j))),Resal+(Salim-Resal)*(1-EXP((Tnet-t)/(Tau_j))))*Salcycl</f>
        <v>8.2411163843147478E-2</v>
      </c>
      <c r="P99" s="169">
        <f>(INDEX(Models!$BJ99:$BT99,,T99)*(1-R99)+INDEX(Models!$BJ99:$BT99,,T99+1)*R99-ERP_i)*Q99*Ramure*Pc/MaxiM</f>
        <v>2.6748760489718232E-4</v>
      </c>
      <c r="Q99" s="304">
        <f t="shared" si="28"/>
        <v>0.6</v>
      </c>
      <c r="R99" s="177">
        <f t="shared" si="29"/>
        <v>1.9530846505465067E-2</v>
      </c>
      <c r="S99" s="799">
        <f t="shared" si="30"/>
        <v>0</v>
      </c>
      <c r="T99" s="176">
        <f t="shared" si="31"/>
        <v>6</v>
      </c>
      <c r="U99" s="250">
        <f t="shared" si="32"/>
        <v>1.9530846505465067E-2</v>
      </c>
      <c r="V99" s="382">
        <f t="shared" si="33"/>
        <v>48.2762882301313</v>
      </c>
      <c r="W99" s="400">
        <f t="shared" si="34"/>
        <v>0</v>
      </c>
      <c r="X99" s="157">
        <f t="shared" si="35"/>
        <v>44646</v>
      </c>
      <c r="Y99" s="383">
        <f t="shared" si="36"/>
        <v>46.033999999999999</v>
      </c>
      <c r="Z99" s="383">
        <f t="shared" si="37"/>
        <v>47.073368998480127</v>
      </c>
      <c r="AA99" s="384">
        <f t="shared" si="38"/>
        <v>51.301157058141683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8.2411163843147478E-2</v>
      </c>
      <c r="AD99" s="230">
        <f>(INDEX(Models!$BJ99:$BT99,,AH99)*(1-AF99)+INDEX(Models!$BJ99:$BT99,,AH99+1)*AF99-ERP_i)*AE99*Ramure*Pc/MaxiM</f>
        <v>2.6748760489718232E-4</v>
      </c>
      <c r="AE99" s="304">
        <f t="shared" si="40"/>
        <v>0.6</v>
      </c>
      <c r="AF99" s="177">
        <f t="shared" si="41"/>
        <v>1.9530846505465067E-2</v>
      </c>
      <c r="AG99" s="799">
        <f t="shared" si="49"/>
        <v>0</v>
      </c>
      <c r="AH99" s="176">
        <f t="shared" si="42"/>
        <v>6</v>
      </c>
      <c r="AI99" s="224">
        <f t="shared" si="43"/>
        <v>1.9530846505465067E-2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3">
        <v>44.505000000000003</v>
      </c>
      <c r="C100" s="388"/>
      <c r="D100" s="391">
        <f t="shared" si="25"/>
        <v>45.510718995729285</v>
      </c>
      <c r="E100" s="383">
        <f t="shared" si="47"/>
        <v>49.601917644710042</v>
      </c>
      <c r="F100" s="383">
        <f t="shared" si="26"/>
        <v>49.613250732252105</v>
      </c>
      <c r="G100" s="110">
        <f t="shared" si="48"/>
        <v>0.91574622151092089</v>
      </c>
      <c r="H100" s="412" t="b">
        <f>Wh_hp&gt;='2021'!Maxi_hp</f>
        <v>0</v>
      </c>
      <c r="I100" s="379">
        <f>IF(H100,Wh_hp,'2021'!Maxi_hp)</f>
        <v>53.82661692337178</v>
      </c>
      <c r="J100" s="85">
        <f>IF(H100,An,'2021'!An_max)</f>
        <v>2018</v>
      </c>
      <c r="K100" s="197">
        <f t="shared" si="27"/>
        <v>44647</v>
      </c>
      <c r="L100" s="147">
        <f>IF(t&lt;Tvie,1-EXP((T0-t)*PertePVj)+'2021'!Pspv,1-EXP((T0-t)*PertePVj)+Pspv)</f>
        <v>2.2098508173945985E-2</v>
      </c>
      <c r="M100" s="832"/>
      <c r="N100" s="832"/>
      <c r="O100" s="48">
        <f>IF(t&lt;Tnet,'2021'!Resal+('2021'!Salim-'2021'!Resal)*(1-EXP(('2021'!Tnet-t)/('2021'!Tau_j))),Resal+(Salim-Resal)*(1-EXP((Tnet-t)/(Tau_j))))*Salcycl</f>
        <v>8.2480654846558601E-2</v>
      </c>
      <c r="P100" s="169">
        <f>(INDEX(Models!$BJ100:$BT100,,T100)*(1-R100)+INDEX(Models!$BJ100:$BT100,,T100+1)*R100-ERP_i)*Q100*Ramure*Pc/MaxiM</f>
        <v>2.5967291865147191E-4</v>
      </c>
      <c r="Q100" s="304">
        <f t="shared" si="28"/>
        <v>0.6</v>
      </c>
      <c r="R100" s="177">
        <f t="shared" si="29"/>
        <v>2.0377811673429645E-2</v>
      </c>
      <c r="S100" s="799">
        <f t="shared" si="30"/>
        <v>0</v>
      </c>
      <c r="T100" s="176">
        <f t="shared" si="31"/>
        <v>6</v>
      </c>
      <c r="U100" s="250">
        <f t="shared" si="32"/>
        <v>2.0377811673429645E-2</v>
      </c>
      <c r="V100" s="382">
        <f t="shared" si="33"/>
        <v>48.598190317812815</v>
      </c>
      <c r="W100" s="400">
        <f t="shared" si="34"/>
        <v>0</v>
      </c>
      <c r="X100" s="157">
        <f t="shared" si="35"/>
        <v>44647</v>
      </c>
      <c r="Y100" s="383">
        <f t="shared" si="36"/>
        <v>44.505000000000003</v>
      </c>
      <c r="Z100" s="383">
        <f t="shared" si="37"/>
        <v>45.510718995729285</v>
      </c>
      <c r="AA100" s="384">
        <f t="shared" si="38"/>
        <v>49.601917644710042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8.2480654846558601E-2</v>
      </c>
      <c r="AD100" s="230">
        <f>(INDEX(Models!$BJ100:$BT100,,AH100)*(1-AF100)+INDEX(Models!$BJ100:$BT100,,AH100+1)*AF100-ERP_i)*AE100*Ramure*Pc/MaxiM</f>
        <v>2.5967291865147191E-4</v>
      </c>
      <c r="AE100" s="304">
        <f t="shared" si="40"/>
        <v>0.6</v>
      </c>
      <c r="AF100" s="177">
        <f t="shared" si="41"/>
        <v>2.0377811673429645E-2</v>
      </c>
      <c r="AG100" s="799">
        <f t="shared" si="49"/>
        <v>0</v>
      </c>
      <c r="AH100" s="176">
        <f t="shared" si="42"/>
        <v>6</v>
      </c>
      <c r="AI100" s="224">
        <f t="shared" si="43"/>
        <v>2.0377811673429645E-2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3">
        <v>14.331</v>
      </c>
      <c r="C101" s="388"/>
      <c r="D101" s="391">
        <f t="shared" si="25"/>
        <v>14.655131192046987</v>
      </c>
      <c r="E101" s="383">
        <f t="shared" si="47"/>
        <v>15.973778371358494</v>
      </c>
      <c r="F101" s="383">
        <f t="shared" si="26"/>
        <v>15.973778371358494</v>
      </c>
      <c r="G101" s="110">
        <f t="shared" si="48"/>
        <v>0.29290058622318194</v>
      </c>
      <c r="H101" s="412" t="b">
        <f>Wh_hp&gt;='2021'!Maxi_hp</f>
        <v>0</v>
      </c>
      <c r="I101" s="379">
        <f>IF(H101,Wh_hp,'2021'!Maxi_hp)</f>
        <v>53.283033319082513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2.2117249432941688E-2</v>
      </c>
      <c r="M101" s="832"/>
      <c r="N101" s="832"/>
      <c r="O101" s="48">
        <f>IF(t&lt;Tnet,'2021'!Resal+('2021'!Salim-'2021'!Resal)*(1-EXP(('2021'!Tnet-t)/('2021'!Tau_j))),Resal+(Salim-Resal)*(1-EXP((Tnet-t)/(Tau_j))))*Salcycl</f>
        <v>8.2550737130288765E-2</v>
      </c>
      <c r="P101" s="169">
        <f>(INDEX(Models!$BJ101:$BT101,,T101)*(1-R101)+INDEX(Models!$BJ101:$BT101,,T101+1)*R101-ERP_i)*Q101*Ramure*Pc/MaxiM</f>
        <v>2.5222406723349915E-4</v>
      </c>
      <c r="Q101" s="304">
        <f t="shared" si="28"/>
        <v>0.6</v>
      </c>
      <c r="R101" s="177">
        <f t="shared" si="29"/>
        <v>2.1257133223093885E-2</v>
      </c>
      <c r="S101" s="799">
        <f t="shared" si="30"/>
        <v>0</v>
      </c>
      <c r="T101" s="176">
        <f t="shared" si="31"/>
        <v>6</v>
      </c>
      <c r="U101" s="250">
        <f t="shared" si="32"/>
        <v>2.1257133223093885E-2</v>
      </c>
      <c r="V101" s="382">
        <f t="shared" si="33"/>
        <v>48.915523050457189</v>
      </c>
      <c r="W101" s="400">
        <f t="shared" si="34"/>
        <v>0</v>
      </c>
      <c r="X101" s="157">
        <f t="shared" si="35"/>
        <v>44648</v>
      </c>
      <c r="Y101" s="383">
        <f t="shared" si="36"/>
        <v>14.331</v>
      </c>
      <c r="Z101" s="383">
        <f t="shared" si="37"/>
        <v>14.655131192046987</v>
      </c>
      <c r="AA101" s="384">
        <f t="shared" si="38"/>
        <v>15.973778371358494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8.2550737130288765E-2</v>
      </c>
      <c r="AD101" s="230">
        <f>(INDEX(Models!$BJ101:$BT101,,AH101)*(1-AF101)+INDEX(Models!$BJ101:$BT101,,AH101+1)*AF101-ERP_i)*AE101*Ramure*Pc/MaxiM</f>
        <v>2.5222406723349915E-4</v>
      </c>
      <c r="AE101" s="304">
        <f t="shared" si="40"/>
        <v>0.6</v>
      </c>
      <c r="AF101" s="177">
        <f t="shared" si="41"/>
        <v>2.1257133223093885E-2</v>
      </c>
      <c r="AG101" s="799">
        <f t="shared" si="49"/>
        <v>0</v>
      </c>
      <c r="AH101" s="176">
        <f t="shared" si="42"/>
        <v>6</v>
      </c>
      <c r="AI101" s="224">
        <f t="shared" si="43"/>
        <v>2.1257133223093885E-2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3">
        <v>27.504999999999999</v>
      </c>
      <c r="C102" s="388"/>
      <c r="D102" s="391">
        <f t="shared" si="25"/>
        <v>28.127633012447099</v>
      </c>
      <c r="E102" s="383">
        <f t="shared" si="47"/>
        <v>30.66087909600294</v>
      </c>
      <c r="F102" s="383">
        <f t="shared" si="26"/>
        <v>30.663657428213796</v>
      </c>
      <c r="G102" s="110">
        <f t="shared" si="48"/>
        <v>0.55864609489777506</v>
      </c>
      <c r="H102" s="412" t="b">
        <f>Wh_hp&gt;='2021'!Maxi_hp</f>
        <v>0</v>
      </c>
      <c r="I102" s="379">
        <f>IF(H102,Wh_hp,'2021'!Maxi_hp)</f>
        <v>55.473113479022246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2.2135990332765365E-2</v>
      </c>
      <c r="M102" s="832"/>
      <c r="N102" s="832"/>
      <c r="O102" s="48">
        <f>IF(t&lt;Tnet,'2021'!Resal+('2021'!Salim-'2021'!Resal)*(1-EXP(('2021'!Tnet-t)/('2021'!Tau_j))),Resal+(Salim-Resal)*(1-EXP((Tnet-t)/(Tau_j))))*Salcycl</f>
        <v>8.2621443293388275E-2</v>
      </c>
      <c r="P102" s="169">
        <f>(INDEX(Models!$BJ102:$BT102,,T102)*(1-R102)+INDEX(Models!$BJ102:$BT102,,T102+1)*R102-ERP_i)*Q102*Ramure*Pc/MaxiM</f>
        <v>2.4513615498754273E-4</v>
      </c>
      <c r="Q102" s="304">
        <f t="shared" si="28"/>
        <v>0.6</v>
      </c>
      <c r="R102" s="177">
        <f t="shared" si="29"/>
        <v>2.2169915507480268E-2</v>
      </c>
      <c r="S102" s="799">
        <f t="shared" si="30"/>
        <v>0</v>
      </c>
      <c r="T102" s="176">
        <f t="shared" si="31"/>
        <v>6</v>
      </c>
      <c r="U102" s="250">
        <f t="shared" si="32"/>
        <v>2.2169915507480268E-2</v>
      </c>
      <c r="V102" s="382">
        <f t="shared" si="33"/>
        <v>49.227497574636033</v>
      </c>
      <c r="W102" s="400">
        <f t="shared" si="34"/>
        <v>0</v>
      </c>
      <c r="X102" s="157">
        <f t="shared" si="35"/>
        <v>44649</v>
      </c>
      <c r="Y102" s="383">
        <f t="shared" si="36"/>
        <v>27.504999999999999</v>
      </c>
      <c r="Z102" s="383">
        <f t="shared" si="37"/>
        <v>28.127633012447099</v>
      </c>
      <c r="AA102" s="384">
        <f t="shared" si="38"/>
        <v>30.66087909600294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8.2621443293388275E-2</v>
      </c>
      <c r="AD102" s="230">
        <f>(INDEX(Models!$BJ102:$BT102,,AH102)*(1-AF102)+INDEX(Models!$BJ102:$BT102,,AH102+1)*AF102-ERP_i)*AE102*Ramure*Pc/MaxiM</f>
        <v>2.4513615498754273E-4</v>
      </c>
      <c r="AE102" s="304">
        <f t="shared" si="40"/>
        <v>0.6</v>
      </c>
      <c r="AF102" s="177">
        <f t="shared" si="41"/>
        <v>2.2169915507480268E-2</v>
      </c>
      <c r="AG102" s="799">
        <f t="shared" si="49"/>
        <v>0</v>
      </c>
      <c r="AH102" s="176">
        <f t="shared" si="42"/>
        <v>6</v>
      </c>
      <c r="AI102" s="224">
        <f t="shared" si="43"/>
        <v>2.2169915507480268E-2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3">
        <v>7.7119999999999997</v>
      </c>
      <c r="C103" s="388"/>
      <c r="D103" s="391">
        <f t="shared" si="25"/>
        <v>7.88672834393161</v>
      </c>
      <c r="E103" s="383">
        <f t="shared" si="47"/>
        <v>8.5976959437448226</v>
      </c>
      <c r="F103" s="383">
        <f t="shared" si="26"/>
        <v>8.5976959437448226</v>
      </c>
      <c r="G103" s="110">
        <f t="shared" si="48"/>
        <v>0.15565604317875781</v>
      </c>
      <c r="H103" s="412" t="b">
        <f>Wh_hp&gt;='2021'!Maxi_hp</f>
        <v>0</v>
      </c>
      <c r="I103" s="379">
        <f>IF(H103,Wh_hp,'2021'!Maxi_hp)</f>
        <v>54.228775027955102</v>
      </c>
      <c r="J103" s="85">
        <f>IF(H103,An,'2021'!An_max)</f>
        <v>2018</v>
      </c>
      <c r="K103" s="197">
        <f t="shared" si="27"/>
        <v>44650</v>
      </c>
      <c r="L103" s="147">
        <f>IF(t&lt;Tvie,1-EXP((T0-t)*PertePVj)+'2021'!Pspv,1-EXP((T0-t)*PertePVj)+Pspv)</f>
        <v>2.2154730873424011E-2</v>
      </c>
      <c r="M103" s="832"/>
      <c r="N103" s="832"/>
      <c r="O103" s="48">
        <f>IF(t&lt;Tnet,'2021'!Resal+('2021'!Salim-'2021'!Resal)*(1-EXP(('2021'!Tnet-t)/('2021'!Tau_j))),Resal+(Salim-Resal)*(1-EXP((Tnet-t)/(Tau_j))))*Salcycl</f>
        <v>8.269280566155307E-2</v>
      </c>
      <c r="P103" s="169">
        <f>(INDEX(Models!$BJ103:$BT103,,T103)*(1-R103)+INDEX(Models!$BJ103:$BT103,,T103+1)*R103-ERP_i)*Q103*Ramure*Pc/MaxiM</f>
        <v>2.3840421512849694E-4</v>
      </c>
      <c r="Q103" s="304">
        <f t="shared" si="28"/>
        <v>0.6</v>
      </c>
      <c r="R103" s="177">
        <f t="shared" si="29"/>
        <v>2.3117289859098607E-2</v>
      </c>
      <c r="S103" s="799">
        <f t="shared" si="30"/>
        <v>0</v>
      </c>
      <c r="T103" s="176">
        <f t="shared" si="31"/>
        <v>6</v>
      </c>
      <c r="U103" s="250">
        <f t="shared" si="32"/>
        <v>2.3117289859098607E-2</v>
      </c>
      <c r="V103" s="382">
        <f t="shared" si="33"/>
        <v>49.533325332177824</v>
      </c>
      <c r="W103" s="400">
        <f t="shared" si="34"/>
        <v>0</v>
      </c>
      <c r="X103" s="157">
        <f t="shared" si="35"/>
        <v>44650</v>
      </c>
      <c r="Y103" s="383">
        <f t="shared" si="36"/>
        <v>7.7119999999999997</v>
      </c>
      <c r="Z103" s="383">
        <f t="shared" si="37"/>
        <v>7.8867283439316092</v>
      </c>
      <c r="AA103" s="384">
        <f t="shared" si="38"/>
        <v>8.5976959437448226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8.269280566155307E-2</v>
      </c>
      <c r="AD103" s="230">
        <f>(INDEX(Models!$BJ103:$BT103,,AH103)*(1-AF103)+INDEX(Models!$BJ103:$BT103,,AH103+1)*AF103-ERP_i)*AE103*Ramure*Pc/MaxiM</f>
        <v>2.3840421512849694E-4</v>
      </c>
      <c r="AE103" s="304">
        <f t="shared" si="40"/>
        <v>0.6</v>
      </c>
      <c r="AF103" s="177">
        <f t="shared" si="41"/>
        <v>2.3117289859098607E-2</v>
      </c>
      <c r="AG103" s="799">
        <f t="shared" si="49"/>
        <v>0</v>
      </c>
      <c r="AH103" s="176">
        <f t="shared" si="42"/>
        <v>6</v>
      </c>
      <c r="AI103" s="224">
        <f t="shared" si="43"/>
        <v>2.3117289859098607E-2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3">
        <v>27.469000000000001</v>
      </c>
      <c r="C104" s="388"/>
      <c r="D104" s="391">
        <f t="shared" si="25"/>
        <v>28.091894816593726</v>
      </c>
      <c r="E104" s="383">
        <f t="shared" si="47"/>
        <v>30.626710071883835</v>
      </c>
      <c r="F104" s="383">
        <f t="shared" si="26"/>
        <v>30.629260664282391</v>
      </c>
      <c r="G104" s="110">
        <f t="shared" si="48"/>
        <v>0.55114772544713386</v>
      </c>
      <c r="H104" s="412" t="b">
        <f>Wh_hp&gt;='2021'!Maxi_hp</f>
        <v>0</v>
      </c>
      <c r="I104" s="379">
        <f>IF(H104,Wh_hp,'2021'!Maxi_hp)</f>
        <v>49.948595361830613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2.217347105492451E-2</v>
      </c>
      <c r="M104" s="832"/>
      <c r="N104" s="832"/>
      <c r="O104" s="48">
        <f>IF(t&lt;Tnet,'2021'!Resal+('2021'!Salim-'2021'!Resal)*(1-EXP(('2021'!Tnet-t)/('2021'!Tau_j))),Resal+(Salim-Resal)*(1-EXP((Tnet-t)/(Tau_j))))*Salcycl</f>
        <v>8.2764856210172613E-2</v>
      </c>
      <c r="P104" s="169">
        <f>(INDEX(Models!$BJ104:$BT104,,T104)*(1-R104)+INDEX(Models!$BJ104:$BT104,,T104+1)*R104-ERP_i)*Q104*Ramure*Pc/MaxiM</f>
        <v>2.3202327865131034E-4</v>
      </c>
      <c r="Q104" s="304">
        <f t="shared" si="28"/>
        <v>0.6</v>
      </c>
      <c r="R104" s="177">
        <f t="shared" si="29"/>
        <v>2.4100414342762864E-2</v>
      </c>
      <c r="S104" s="799">
        <f t="shared" si="30"/>
        <v>0</v>
      </c>
      <c r="T104" s="176">
        <f t="shared" si="31"/>
        <v>6</v>
      </c>
      <c r="U104" s="250">
        <f t="shared" si="32"/>
        <v>2.4100414342762864E-2</v>
      </c>
      <c r="V104" s="382">
        <f t="shared" si="33"/>
        <v>49.832218064225515</v>
      </c>
      <c r="W104" s="400">
        <f t="shared" si="34"/>
        <v>0</v>
      </c>
      <c r="X104" s="157">
        <f t="shared" si="35"/>
        <v>44651</v>
      </c>
      <c r="Y104" s="383">
        <f t="shared" si="36"/>
        <v>27.469000000000001</v>
      </c>
      <c r="Z104" s="383">
        <f t="shared" si="37"/>
        <v>28.091894816593726</v>
      </c>
      <c r="AA104" s="384">
        <f t="shared" si="38"/>
        <v>30.626710071883835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8.2764856210172613E-2</v>
      </c>
      <c r="AD104" s="230">
        <f>(INDEX(Models!$BJ104:$BT104,,AH104)*(1-AF104)+INDEX(Models!$BJ104:$BT104,,AH104+1)*AF104-ERP_i)*AE104*Ramure*Pc/MaxiM</f>
        <v>2.3202327865131034E-4</v>
      </c>
      <c r="AE104" s="304">
        <f t="shared" si="40"/>
        <v>0.6</v>
      </c>
      <c r="AF104" s="177">
        <f t="shared" si="41"/>
        <v>2.4100414342762864E-2</v>
      </c>
      <c r="AG104" s="799">
        <f t="shared" si="49"/>
        <v>0</v>
      </c>
      <c r="AH104" s="176">
        <f t="shared" si="42"/>
        <v>6</v>
      </c>
      <c r="AI104" s="224">
        <f t="shared" si="43"/>
        <v>2.4100414342762864E-2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3">
        <v>32.166000000000004</v>
      </c>
      <c r="C105" s="388"/>
      <c r="D105" s="391">
        <f t="shared" si="25"/>
        <v>32.896035762671545</v>
      </c>
      <c r="E105" s="383">
        <f t="shared" si="47"/>
        <v>35.867188529334996</v>
      </c>
      <c r="F105" s="383">
        <f t="shared" si="26"/>
        <v>35.871146062960712</v>
      </c>
      <c r="G105" s="110">
        <f t="shared" si="48"/>
        <v>0.64166211815704821</v>
      </c>
      <c r="H105" s="412" t="b">
        <f>Wh_hp&gt;='2021'!Maxi_hp</f>
        <v>0</v>
      </c>
      <c r="I105" s="379">
        <f>IF(H105,Wh_hp,'2021'!Maxi_hp)</f>
        <v>50.703405728850484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2.2192210877273633E-2</v>
      </c>
      <c r="M105" s="832"/>
      <c r="N105" s="832"/>
      <c r="O105" s="48">
        <f>IF(t&lt;Tnet,'2021'!Resal+('2021'!Salim-'2021'!Resal)*(1-EXP(('2021'!Tnet-t)/('2021'!Tau_j))),Resal+(Salim-Resal)*(1-EXP((Tnet-t)/(Tau_j))))*Salcycl</f>
        <v>8.283762649066867E-2</v>
      </c>
      <c r="P105" s="169">
        <f>(INDEX(Models!$BJ105:$BT105,,T105)*(1-R105)+INDEX(Models!$BJ105:$BT105,,T105+1)*R105-ERP_i)*Q105*Ramure*Pc/MaxiM</f>
        <v>2.2598843966206689E-4</v>
      </c>
      <c r="Q105" s="304">
        <f t="shared" si="28"/>
        <v>0.6</v>
      </c>
      <c r="R105" s="177">
        <f t="shared" si="29"/>
        <v>2.5120473412048101E-2</v>
      </c>
      <c r="S105" s="799">
        <f t="shared" si="30"/>
        <v>0</v>
      </c>
      <c r="T105" s="176">
        <f t="shared" si="31"/>
        <v>6</v>
      </c>
      <c r="U105" s="250">
        <f t="shared" si="32"/>
        <v>2.5120473412048101E-2</v>
      </c>
      <c r="V105" s="382">
        <f t="shared" si="33"/>
        <v>50.123387829100544</v>
      </c>
      <c r="W105" s="400">
        <f t="shared" si="34"/>
        <v>0</v>
      </c>
      <c r="X105" s="157">
        <f t="shared" si="35"/>
        <v>44652</v>
      </c>
      <c r="Y105" s="383">
        <f t="shared" si="36"/>
        <v>32.166000000000004</v>
      </c>
      <c r="Z105" s="383">
        <f t="shared" si="37"/>
        <v>32.896035762671545</v>
      </c>
      <c r="AA105" s="384">
        <f t="shared" si="38"/>
        <v>35.867188529334996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8.283762649066867E-2</v>
      </c>
      <c r="AD105" s="230">
        <f>(INDEX(Models!$BJ105:$BT105,,AH105)*(1-AF105)+INDEX(Models!$BJ105:$BT105,,AH105+1)*AF105-ERP_i)*AE105*Ramure*Pc/MaxiM</f>
        <v>2.2598843966206689E-4</v>
      </c>
      <c r="AE105" s="304">
        <f t="shared" si="40"/>
        <v>0.6</v>
      </c>
      <c r="AF105" s="177">
        <f t="shared" si="41"/>
        <v>2.5120473412048101E-2</v>
      </c>
      <c r="AG105" s="799">
        <f t="shared" si="49"/>
        <v>0</v>
      </c>
      <c r="AH105" s="176">
        <f t="shared" si="42"/>
        <v>6</v>
      </c>
      <c r="AI105" s="224">
        <f t="shared" si="43"/>
        <v>2.5120473412048101E-2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3">
        <v>20.080000000000002</v>
      </c>
      <c r="C106" s="388"/>
      <c r="D106" s="391">
        <f t="shared" si="25"/>
        <v>20.536126894642674</v>
      </c>
      <c r="E106" s="383">
        <f t="shared" si="47"/>
        <v>22.392734182740341</v>
      </c>
      <c r="F106" s="383">
        <f t="shared" si="26"/>
        <v>22.393427396496172</v>
      </c>
      <c r="G106" s="110">
        <f t="shared" si="48"/>
        <v>0.39828947418207672</v>
      </c>
      <c r="H106" s="412" t="b">
        <f>Wh_hp&gt;='2021'!Maxi_hp</f>
        <v>0</v>
      </c>
      <c r="I106" s="379">
        <f>IF(H106,Wh_hp,'2021'!Maxi_hp)</f>
        <v>45.942881049826532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2.2210950340478375E-2</v>
      </c>
      <c r="M106" s="832"/>
      <c r="N106" s="832"/>
      <c r="O106" s="48">
        <f>IF(t&lt;Tnet,'2021'!Resal+('2021'!Salim-'2021'!Resal)*(1-EXP(('2021'!Tnet-t)/('2021'!Tau_j))),Resal+(Salim-Resal)*(1-EXP((Tnet-t)/(Tau_j))))*Salcycl</f>
        <v>8.2911147560028001E-2</v>
      </c>
      <c r="P106" s="169">
        <f>(INDEX(Models!$BJ106:$BT106,,T106)*(1-R106)+INDEX(Models!$BJ106:$BT106,,T106+1)*R106-ERP_i)*Q106*Ramure*Pc/MaxiM</f>
        <v>2.2029491748582955E-4</v>
      </c>
      <c r="Q106" s="304">
        <f t="shared" si="28"/>
        <v>0.6</v>
      </c>
      <c r="R106" s="177">
        <f t="shared" si="29"/>
        <v>2.6178677461487464E-2</v>
      </c>
      <c r="S106" s="799">
        <f t="shared" si="30"/>
        <v>0</v>
      </c>
      <c r="T106" s="176">
        <f t="shared" si="31"/>
        <v>6</v>
      </c>
      <c r="U106" s="250">
        <f t="shared" si="32"/>
        <v>2.6178677461487464E-2</v>
      </c>
      <c r="V106" s="382">
        <f t="shared" si="33"/>
        <v>50.40604701039365</v>
      </c>
      <c r="W106" s="400">
        <f t="shared" si="34"/>
        <v>0</v>
      </c>
      <c r="X106" s="157">
        <f t="shared" si="35"/>
        <v>44653</v>
      </c>
      <c r="Y106" s="383">
        <f t="shared" si="36"/>
        <v>20.080000000000002</v>
      </c>
      <c r="Z106" s="383">
        <f t="shared" si="37"/>
        <v>20.536126894642674</v>
      </c>
      <c r="AA106" s="384">
        <f t="shared" si="38"/>
        <v>22.392734182740341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8.2911147560028001E-2</v>
      </c>
      <c r="AD106" s="230">
        <f>(INDEX(Models!$BJ106:$BT106,,AH106)*(1-AF106)+INDEX(Models!$BJ106:$BT106,,AH106+1)*AF106-ERP_i)*AE106*Ramure*Pc/MaxiM</f>
        <v>2.2029491748582955E-4</v>
      </c>
      <c r="AE106" s="304">
        <f t="shared" si="40"/>
        <v>0.6</v>
      </c>
      <c r="AF106" s="177">
        <f t="shared" si="41"/>
        <v>2.6178677461487464E-2</v>
      </c>
      <c r="AG106" s="799">
        <f t="shared" si="49"/>
        <v>0</v>
      </c>
      <c r="AH106" s="176">
        <f t="shared" si="42"/>
        <v>6</v>
      </c>
      <c r="AI106" s="224">
        <f t="shared" si="43"/>
        <v>2.6178677461487464E-2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3">
        <v>22.339000000000002</v>
      </c>
      <c r="C107" s="388"/>
      <c r="D107" s="391">
        <f t="shared" si="25"/>
        <v>22.846879025514284</v>
      </c>
      <c r="E107" s="383">
        <f t="shared" si="47"/>
        <v>24.914412779334679</v>
      </c>
      <c r="F107" s="383">
        <f t="shared" si="26"/>
        <v>24.91548969289402</v>
      </c>
      <c r="G107" s="110">
        <f t="shared" si="48"/>
        <v>0.44069580489923771</v>
      </c>
      <c r="H107" s="412" t="b">
        <f>Wh_hp&gt;='2021'!Maxi_hp</f>
        <v>0</v>
      </c>
      <c r="I107" s="379">
        <f>IF(H107,Wh_hp,'2021'!Maxi_hp)</f>
        <v>55.561785950469968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2.2229689444545508E-2</v>
      </c>
      <c r="M107" s="832"/>
      <c r="N107" s="832"/>
      <c r="O107" s="48">
        <f>IF(t&lt;Tnet,'2021'!Resal+('2021'!Salim-'2021'!Resal)*(1-EXP(('2021'!Tnet-t)/('2021'!Tau_j))),Resal+(Salim-Resal)*(1-EXP((Tnet-t)/(Tau_j))))*Salcycl</f>
        <v>8.2985449913365664E-2</v>
      </c>
      <c r="P107" s="169">
        <f>(INDEX(Models!$BJ107:$BT107,,T107)*(1-R107)+INDEX(Models!$BJ107:$BT107,,T107+1)*R107-ERP_i)*Q107*Ramure*Pc/MaxiM</f>
        <v>2.1492886547348167E-4</v>
      </c>
      <c r="Q107" s="304">
        <f t="shared" si="28"/>
        <v>0.6</v>
      </c>
      <c r="R107" s="177">
        <f t="shared" si="29"/>
        <v>2.7276262266301032E-2</v>
      </c>
      <c r="S107" s="799">
        <f t="shared" si="30"/>
        <v>0</v>
      </c>
      <c r="T107" s="176">
        <f t="shared" si="31"/>
        <v>6</v>
      </c>
      <c r="U107" s="250">
        <f t="shared" si="32"/>
        <v>2.7276262266301032E-2</v>
      </c>
      <c r="V107" s="382">
        <f t="shared" si="33"/>
        <v>50.681589978426821</v>
      </c>
      <c r="W107" s="400">
        <f t="shared" si="34"/>
        <v>0</v>
      </c>
      <c r="X107" s="157">
        <f t="shared" si="35"/>
        <v>44654</v>
      </c>
      <c r="Y107" s="383">
        <f t="shared" si="36"/>
        <v>22.339000000000002</v>
      </c>
      <c r="Z107" s="383">
        <f t="shared" si="37"/>
        <v>22.846879025514284</v>
      </c>
      <c r="AA107" s="384">
        <f t="shared" si="38"/>
        <v>24.914412779334679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8.2985449913365664E-2</v>
      </c>
      <c r="AD107" s="230">
        <f>(INDEX(Models!$BJ107:$BT107,,AH107)*(1-AF107)+INDEX(Models!$BJ107:$BT107,,AH107+1)*AF107-ERP_i)*AE107*Ramure*Pc/MaxiM</f>
        <v>2.1492886547348167E-4</v>
      </c>
      <c r="AE107" s="304">
        <f t="shared" si="40"/>
        <v>0.6</v>
      </c>
      <c r="AF107" s="177">
        <f t="shared" si="41"/>
        <v>2.7276262266301032E-2</v>
      </c>
      <c r="AG107" s="799">
        <f t="shared" si="49"/>
        <v>0</v>
      </c>
      <c r="AH107" s="176">
        <f t="shared" si="42"/>
        <v>6</v>
      </c>
      <c r="AI107" s="224">
        <f t="shared" si="43"/>
        <v>2.7276262266301032E-2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3">
        <v>44.968000000000004</v>
      </c>
      <c r="C108" s="388"/>
      <c r="D108" s="391">
        <f t="shared" si="25"/>
        <v>45.991232636662559</v>
      </c>
      <c r="E108" s="383">
        <f t="shared" si="47"/>
        <v>50.157328610671584</v>
      </c>
      <c r="F108" s="383">
        <f t="shared" si="26"/>
        <v>50.166091368223242</v>
      </c>
      <c r="G108" s="110">
        <f t="shared" si="48"/>
        <v>0.88252731384048588</v>
      </c>
      <c r="H108" s="412" t="b">
        <f>Wh_hp&gt;='2021'!Maxi_hp</f>
        <v>0</v>
      </c>
      <c r="I108" s="379">
        <f>IF(H108,Wh_hp,'2021'!Maxi_hp)</f>
        <v>57.558924699627966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2.2248428189482139E-2</v>
      </c>
      <c r="M108" s="832"/>
      <c r="N108" s="832"/>
      <c r="O108" s="48">
        <f>IF(t&lt;Tnet,'2021'!Resal+('2021'!Salim-'2021'!Resal)*(1-EXP(('2021'!Tnet-t)/('2021'!Tau_j))),Resal+(Salim-Resal)*(1-EXP((Tnet-t)/(Tau_j))))*Salcycl</f>
        <v>8.3060563419293354E-2</v>
      </c>
      <c r="P108" s="169">
        <f>(INDEX(Models!$BJ108:$BT108,,T108)*(1-R108)+INDEX(Models!$BJ108:$BT108,,T108+1)*R108-ERP_i)*Q108*Ramure*Pc/MaxiM</f>
        <v>2.0988872242678786E-4</v>
      </c>
      <c r="Q108" s="304">
        <f t="shared" si="28"/>
        <v>0.6</v>
      </c>
      <c r="R108" s="177">
        <f t="shared" si="29"/>
        <v>2.8414488301153704E-2</v>
      </c>
      <c r="S108" s="799">
        <f t="shared" si="30"/>
        <v>0</v>
      </c>
      <c r="T108" s="176">
        <f t="shared" si="31"/>
        <v>6</v>
      </c>
      <c r="U108" s="250">
        <f t="shared" si="32"/>
        <v>2.8414488301153704E-2</v>
      </c>
      <c r="V108" s="382">
        <f t="shared" si="33"/>
        <v>50.951869164262718</v>
      </c>
      <c r="W108" s="400">
        <f t="shared" si="34"/>
        <v>0</v>
      </c>
      <c r="X108" s="157">
        <f t="shared" si="35"/>
        <v>44655</v>
      </c>
      <c r="Y108" s="383">
        <f t="shared" si="36"/>
        <v>44.968000000000004</v>
      </c>
      <c r="Z108" s="383">
        <f t="shared" si="37"/>
        <v>45.991232636662559</v>
      </c>
      <c r="AA108" s="384">
        <f t="shared" si="38"/>
        <v>50.157328610671584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8.3060563419293354E-2</v>
      </c>
      <c r="AD108" s="230">
        <f>(INDEX(Models!$BJ108:$BT108,,AH108)*(1-AF108)+INDEX(Models!$BJ108:$BT108,,AH108+1)*AF108-ERP_i)*AE108*Ramure*Pc/MaxiM</f>
        <v>2.0988872242678786E-4</v>
      </c>
      <c r="AE108" s="304">
        <f t="shared" si="40"/>
        <v>0.6</v>
      </c>
      <c r="AF108" s="177">
        <f t="shared" si="41"/>
        <v>2.8414488301153704E-2</v>
      </c>
      <c r="AG108" s="799">
        <f t="shared" si="49"/>
        <v>0</v>
      </c>
      <c r="AH108" s="176">
        <f t="shared" si="42"/>
        <v>6</v>
      </c>
      <c r="AI108" s="224">
        <f t="shared" si="43"/>
        <v>2.8414488301153704E-2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3">
        <v>51.6</v>
      </c>
      <c r="C109" s="388"/>
      <c r="D109" s="391">
        <f t="shared" si="25"/>
        <v>52.775153125686352</v>
      </c>
      <c r="E109" s="383">
        <f t="shared" si="47"/>
        <v>57.560535585782659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Wh_hp&gt;='2021'!Maxi_hp</f>
        <v>0</v>
      </c>
      <c r="I109" s="379">
        <f>IF(H109,Wh_hp,'2021'!Maxi_hp)</f>
        <v>59.132284614261103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2.2267166575294817E-2</v>
      </c>
      <c r="M109" s="832"/>
      <c r="N109" s="832"/>
      <c r="O109" s="48">
        <f>IF(t&lt;Tnet,'2021'!Resal+('2021'!Salim-'2021'!Resal)*(1-EXP(('2021'!Tnet-t)/('2021'!Tau_j))),Resal+(Salim-Resal)*(1-EXP((Tnet-t)/(Tau_j))))*Salcycl</f>
        <v>8.3136517257811779E-2</v>
      </c>
      <c r="P109" s="169">
        <f>(INDEX(Models!$BJ109:$BT109,,T109)*(1-R109)+INDEX(Models!$BJ109:$BT109,,T109+1)*R109-ERP_i)*Q109*Ramure*Pc/MaxiM</f>
        <v>2.0505927922876042E-4</v>
      </c>
      <c r="Q109" s="304">
        <f t="shared" si="28"/>
        <v>0.6</v>
      </c>
      <c r="R109" s="177">
        <f t="shared" si="29"/>
        <v>2.9594639929172432E-2</v>
      </c>
      <c r="S109" s="799">
        <f t="shared" si="30"/>
        <v>0</v>
      </c>
      <c r="T109" s="176">
        <f t="shared" si="31"/>
        <v>6</v>
      </c>
      <c r="U109" s="250">
        <f t="shared" si="32"/>
        <v>2.9594639929172432E-2</v>
      </c>
      <c r="V109" s="382">
        <f t="shared" si="33"/>
        <v>51.216790953342084</v>
      </c>
      <c r="W109" s="400">
        <f t="shared" si="34"/>
        <v>0</v>
      </c>
      <c r="X109" s="157">
        <f t="shared" si="35"/>
        <v>44656</v>
      </c>
      <c r="Y109" s="383">
        <f t="shared" si="36"/>
        <v>51.6</v>
      </c>
      <c r="Z109" s="383">
        <f t="shared" si="37"/>
        <v>52.775153125686352</v>
      </c>
      <c r="AA109" s="384">
        <f t="shared" si="38"/>
        <v>57.560535585782659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8.3136517257811779E-2</v>
      </c>
      <c r="AD109" s="230">
        <f>(INDEX(Models!$BJ109:$BT109,,AH109)*(1-AF109)+INDEX(Models!$BJ109:$BT109,,AH109+1)*AF109-ERP_i)*AE109*Ramure*Pc/MaxiM</f>
        <v>2.0505927922876042E-4</v>
      </c>
      <c r="AE109" s="304">
        <f t="shared" si="40"/>
        <v>0.6</v>
      </c>
      <c r="AF109" s="177">
        <f t="shared" si="41"/>
        <v>2.9594639929172432E-2</v>
      </c>
      <c r="AG109" s="799">
        <f t="shared" si="49"/>
        <v>0</v>
      </c>
      <c r="AH109" s="176">
        <f t="shared" si="42"/>
        <v>6</v>
      </c>
      <c r="AI109" s="224">
        <f t="shared" si="43"/>
        <v>2.9594639929172432E-2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3">
        <v>11.169</v>
      </c>
      <c r="C110" s="388"/>
      <c r="D110" s="391">
        <f t="shared" si="25"/>
        <v>11.423584923825107</v>
      </c>
      <c r="E110" s="383">
        <f t="shared" si="47"/>
        <v>12.460461545203525</v>
      </c>
      <c r="F110" s="383">
        <f t="shared" si="26"/>
        <v>12.460461545203525</v>
      </c>
      <c r="G110" s="110">
        <f t="shared" si="48"/>
        <v>0.21693033150955227</v>
      </c>
      <c r="H110" s="412" t="b">
        <f>Wh_hp&gt;='2021'!Maxi_hp</f>
        <v>0</v>
      </c>
      <c r="I110" s="379">
        <f>IF(H110,Wh_hp,'2021'!Maxi_hp)</f>
        <v>59.680123270108488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2.2285904601990758E-2</v>
      </c>
      <c r="M110" s="832"/>
      <c r="N110" s="832"/>
      <c r="O110" s="48">
        <f>IF(t&lt;Tnet,'2021'!Resal+('2021'!Salim-'2021'!Resal)*(1-EXP(('2021'!Tnet-t)/('2021'!Tau_j))),Resal+(Salim-Resal)*(1-EXP((Tnet-t)/(Tau_j))))*Salcycl</f>
        <v>8.3213339860396307E-2</v>
      </c>
      <c r="P110" s="169">
        <f>(INDEX(Models!$BJ110:$BT110,,T110)*(1-R110)+INDEX(Models!$BJ110:$BT110,,T110+1)*R110-ERP_i)*Q110*Ramure*Pc/MaxiM</f>
        <v>2.0043604260061169E-4</v>
      </c>
      <c r="Q110" s="304">
        <f t="shared" si="28"/>
        <v>0.6</v>
      </c>
      <c r="R110" s="177">
        <f t="shared" si="29"/>
        <v>3.0818024452212635E-2</v>
      </c>
      <c r="S110" s="799">
        <f t="shared" si="30"/>
        <v>0</v>
      </c>
      <c r="T110" s="176">
        <f t="shared" si="31"/>
        <v>6</v>
      </c>
      <c r="U110" s="250">
        <f t="shared" si="32"/>
        <v>3.0818024452212635E-2</v>
      </c>
      <c r="V110" s="382">
        <f t="shared" si="33"/>
        <v>51.476256234589677</v>
      </c>
      <c r="W110" s="400">
        <f t="shared" si="34"/>
        <v>0</v>
      </c>
      <c r="X110" s="157">
        <f t="shared" si="35"/>
        <v>44657</v>
      </c>
      <c r="Y110" s="383">
        <f t="shared" si="36"/>
        <v>11.169</v>
      </c>
      <c r="Z110" s="383">
        <f t="shared" si="37"/>
        <v>11.423584923825107</v>
      </c>
      <c r="AA110" s="384">
        <f t="shared" si="38"/>
        <v>12.460461545203525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8.3213339860396307E-2</v>
      </c>
      <c r="AD110" s="230">
        <f>(INDEX(Models!$BJ110:$BT110,,AH110)*(1-AF110)+INDEX(Models!$BJ110:$BT110,,AH110+1)*AF110-ERP_i)*AE110*Ramure*Pc/MaxiM</f>
        <v>2.0043604260061169E-4</v>
      </c>
      <c r="AE110" s="304">
        <f t="shared" si="40"/>
        <v>0.6</v>
      </c>
      <c r="AF110" s="177">
        <f t="shared" si="41"/>
        <v>3.0818024452212635E-2</v>
      </c>
      <c r="AG110" s="799">
        <f t="shared" si="49"/>
        <v>0</v>
      </c>
      <c r="AH110" s="176">
        <f t="shared" si="42"/>
        <v>6</v>
      </c>
      <c r="AI110" s="224">
        <f t="shared" si="43"/>
        <v>3.0818024452212635E-2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3">
        <v>37.493000000000002</v>
      </c>
      <c r="C111" s="388"/>
      <c r="D111" s="391">
        <f t="shared" si="25"/>
        <v>38.348346142334677</v>
      </c>
      <c r="E111" s="383">
        <f t="shared" si="47"/>
        <v>41.832630206821015</v>
      </c>
      <c r="F111" s="383">
        <f t="shared" si="26"/>
        <v>41.837606681240267</v>
      </c>
      <c r="G111" s="110">
        <f t="shared" si="48"/>
        <v>0.72472433562004412</v>
      </c>
      <c r="H111" s="412" t="b">
        <f>Wh_hp&gt;='2021'!Maxi_hp</f>
        <v>0</v>
      </c>
      <c r="I111" s="379">
        <f>IF(H111,Wh_hp,'2021'!Maxi_hp)</f>
        <v>57.850737846912956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2.2304642269576624E-2</v>
      </c>
      <c r="M111" s="832"/>
      <c r="N111" s="832"/>
      <c r="O111" s="48">
        <f>IF(t&lt;Tnet,'2021'!Resal+('2021'!Salim-'2021'!Resal)*(1-EXP(('2021'!Tnet-t)/('2021'!Tau_j))),Resal+(Salim-Resal)*(1-EXP((Tnet-t)/(Tau_j))))*Salcycl</f>
        <v>8.3291058851905769E-2</v>
      </c>
      <c r="P111" s="169">
        <f>(INDEX(Models!$BJ111:$BT111,,T111)*(1-R111)+INDEX(Models!$BJ111:$BT111,,T111+1)*R111-ERP_i)*Q111*Ramure*Pc/MaxiM</f>
        <v>1.9601473467515765E-4</v>
      </c>
      <c r="Q111" s="304">
        <f t="shared" si="28"/>
        <v>0.6</v>
      </c>
      <c r="R111" s="177">
        <f t="shared" si="29"/>
        <v>3.2085971013161643E-2</v>
      </c>
      <c r="S111" s="799">
        <f t="shared" si="30"/>
        <v>0</v>
      </c>
      <c r="T111" s="176">
        <f t="shared" si="31"/>
        <v>6</v>
      </c>
      <c r="U111" s="250">
        <f t="shared" si="32"/>
        <v>3.2085971013161643E-2</v>
      </c>
      <c r="V111" s="382">
        <f t="shared" si="33"/>
        <v>51.730165978906825</v>
      </c>
      <c r="W111" s="400">
        <f t="shared" si="34"/>
        <v>0</v>
      </c>
      <c r="X111" s="157">
        <f t="shared" si="35"/>
        <v>44658</v>
      </c>
      <c r="Y111" s="383">
        <f t="shared" si="36"/>
        <v>37.493000000000002</v>
      </c>
      <c r="Z111" s="383">
        <f t="shared" si="37"/>
        <v>38.348346142334677</v>
      </c>
      <c r="AA111" s="384">
        <f t="shared" si="38"/>
        <v>41.832630206821015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8.3291058851905769E-2</v>
      </c>
      <c r="AD111" s="230">
        <f>(INDEX(Models!$BJ111:$BT111,,AH111)*(1-AF111)+INDEX(Models!$BJ111:$BT111,,AH111+1)*AF111-ERP_i)*AE111*Ramure*Pc/MaxiM</f>
        <v>1.9601473467515765E-4</v>
      </c>
      <c r="AE111" s="304">
        <f t="shared" si="40"/>
        <v>0.6</v>
      </c>
      <c r="AF111" s="177">
        <f t="shared" si="41"/>
        <v>3.2085971013161643E-2</v>
      </c>
      <c r="AG111" s="799">
        <f t="shared" si="49"/>
        <v>0</v>
      </c>
      <c r="AH111" s="176">
        <f t="shared" si="42"/>
        <v>6</v>
      </c>
      <c r="AI111" s="224">
        <f t="shared" si="43"/>
        <v>3.2085971013161643E-2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3">
        <v>30.46</v>
      </c>
      <c r="C112" s="388"/>
      <c r="D112" s="391">
        <f t="shared" si="25"/>
        <v>31.155495962309327</v>
      </c>
      <c r="E112" s="383">
        <f t="shared" si="47"/>
        <v>33.98916225668242</v>
      </c>
      <c r="F112" s="383">
        <f t="shared" si="26"/>
        <v>33.991825986872563</v>
      </c>
      <c r="G112" s="110">
        <f t="shared" si="48"/>
        <v>0.58594593678343654</v>
      </c>
      <c r="H112" s="412" t="b">
        <f>Wh_hp&gt;='2021'!Maxi_hp</f>
        <v>0</v>
      </c>
      <c r="I112" s="379">
        <f>IF(H112,Wh_hp,'2021'!Maxi_hp)</f>
        <v>57.096062387011123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2.2323379578059299E-2</v>
      </c>
      <c r="M112" s="832"/>
      <c r="N112" s="832"/>
      <c r="O112" s="48">
        <f>IF(t&lt;Tnet,'2021'!Resal+('2021'!Salim-'2021'!Resal)*(1-EXP(('2021'!Tnet-t)/('2021'!Tau_j))),Resal+(Salim-Resal)*(1-EXP((Tnet-t)/(Tau_j))))*Salcycl</f>
        <v>8.3369700993909585E-2</v>
      </c>
      <c r="P112" s="169">
        <f>(INDEX(Models!$BJ112:$BT112,,T112)*(1-R112)+INDEX(Models!$BJ112:$BT112,,T112+1)*R112-ERP_i)*Q112*Ramure*Pc/MaxiM</f>
        <v>1.9179129775203553E-4</v>
      </c>
      <c r="Q112" s="304">
        <f t="shared" si="28"/>
        <v>0.6</v>
      </c>
      <c r="R112" s="177">
        <f t="shared" si="29"/>
        <v>3.3399829340905227E-2</v>
      </c>
      <c r="S112" s="799">
        <f t="shared" si="30"/>
        <v>0</v>
      </c>
      <c r="T112" s="176">
        <f t="shared" si="31"/>
        <v>6</v>
      </c>
      <c r="U112" s="250">
        <f t="shared" si="32"/>
        <v>3.3399829340905227E-2</v>
      </c>
      <c r="V112" s="382">
        <f t="shared" si="33"/>
        <v>51.978421245173642</v>
      </c>
      <c r="W112" s="400">
        <f t="shared" si="34"/>
        <v>0</v>
      </c>
      <c r="X112" s="157">
        <f t="shared" si="35"/>
        <v>44659</v>
      </c>
      <c r="Y112" s="383">
        <f t="shared" si="36"/>
        <v>30.46</v>
      </c>
      <c r="Z112" s="383">
        <f t="shared" si="37"/>
        <v>31.155495962309327</v>
      </c>
      <c r="AA112" s="384">
        <f t="shared" si="38"/>
        <v>33.98916225668242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8.3369700993909585E-2</v>
      </c>
      <c r="AD112" s="230">
        <f>(INDEX(Models!$BJ112:$BT112,,AH112)*(1-AF112)+INDEX(Models!$BJ112:$BT112,,AH112+1)*AF112-ERP_i)*AE112*Ramure*Pc/MaxiM</f>
        <v>1.9179129775203553E-4</v>
      </c>
      <c r="AE112" s="304">
        <f t="shared" si="40"/>
        <v>0.6</v>
      </c>
      <c r="AF112" s="177">
        <f t="shared" si="41"/>
        <v>3.3399829340905227E-2</v>
      </c>
      <c r="AG112" s="799">
        <f t="shared" si="49"/>
        <v>0</v>
      </c>
      <c r="AH112" s="176">
        <f t="shared" si="42"/>
        <v>6</v>
      </c>
      <c r="AI112" s="224">
        <f t="shared" si="43"/>
        <v>3.3399829340905227E-2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3">
        <v>35.734999999999999</v>
      </c>
      <c r="C113" s="388"/>
      <c r="D113" s="391">
        <f t="shared" si="25"/>
        <v>36.551641023005359</v>
      </c>
      <c r="E113" s="383">
        <f t="shared" si="47"/>
        <v>39.879562264382734</v>
      </c>
      <c r="F113" s="383">
        <f t="shared" si="26"/>
        <v>39.88367357014603</v>
      </c>
      <c r="G113" s="110">
        <f t="shared" si="48"/>
        <v>0.68424630374724404</v>
      </c>
      <c r="H113" s="412" t="b">
        <f>Wh_hp&gt;='2021'!Maxi_hp</f>
        <v>0</v>
      </c>
      <c r="I113" s="379">
        <f>IF(H113,Wh_hp,'2021'!Maxi_hp)</f>
        <v>45.048186570983958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2.2342116527445888E-2</v>
      </c>
      <c r="M113" s="832"/>
      <c r="N113" s="832"/>
      <c r="O113" s="48">
        <f>IF(t&lt;Tnet,'2021'!Resal+('2021'!Salim-'2021'!Resal)*(1-EXP(('2021'!Tnet-t)/('2021'!Tau_j))),Resal+(Salim-Resal)*(1-EXP((Tnet-t)/(Tau_j))))*Salcycl</f>
        <v>8.3449292129006439E-2</v>
      </c>
      <c r="P113" s="169">
        <f>(INDEX(Models!$BJ113:$BT113,,T113)*(1-R113)+INDEX(Models!$BJ113:$BT113,,T113+1)*R113-ERP_i)*Q113*Ramure*Pc/MaxiM</f>
        <v>1.8776189924245534E-4</v>
      </c>
      <c r="Q113" s="304">
        <f t="shared" si="28"/>
        <v>0.6</v>
      </c>
      <c r="R113" s="177">
        <f t="shared" si="29"/>
        <v>3.476096832847126E-2</v>
      </c>
      <c r="S113" s="799">
        <f t="shared" si="30"/>
        <v>0</v>
      </c>
      <c r="T113" s="176">
        <f t="shared" si="31"/>
        <v>6</v>
      </c>
      <c r="U113" s="250">
        <f t="shared" si="32"/>
        <v>3.476096832847126E-2</v>
      </c>
      <c r="V113" s="382">
        <f t="shared" si="33"/>
        <v>52.220923184119762</v>
      </c>
      <c r="W113" s="400">
        <f t="shared" si="34"/>
        <v>0</v>
      </c>
      <c r="X113" s="157">
        <f t="shared" si="35"/>
        <v>44660</v>
      </c>
      <c r="Y113" s="383">
        <f t="shared" si="36"/>
        <v>35.734999999999999</v>
      </c>
      <c r="Z113" s="383">
        <f t="shared" si="37"/>
        <v>36.551641023005359</v>
      </c>
      <c r="AA113" s="384">
        <f t="shared" si="38"/>
        <v>39.879562264382734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8.3449292129006439E-2</v>
      </c>
      <c r="AD113" s="230">
        <f>(INDEX(Models!$BJ113:$BT113,,AH113)*(1-AF113)+INDEX(Models!$BJ113:$BT113,,AH113+1)*AF113-ERP_i)*AE113*Ramure*Pc/MaxiM</f>
        <v>1.8776189924245534E-4</v>
      </c>
      <c r="AE113" s="304">
        <f t="shared" si="40"/>
        <v>0.6</v>
      </c>
      <c r="AF113" s="177">
        <f t="shared" si="41"/>
        <v>3.476096832847126E-2</v>
      </c>
      <c r="AG113" s="799">
        <f t="shared" si="49"/>
        <v>0</v>
      </c>
      <c r="AH113" s="176">
        <f t="shared" si="42"/>
        <v>6</v>
      </c>
      <c r="AI113" s="224">
        <f t="shared" si="43"/>
        <v>3.476096832847126E-2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3">
        <v>52.253</v>
      </c>
      <c r="C114" s="388"/>
      <c r="D114" s="391">
        <f t="shared" si="25"/>
        <v>53.448146145372334</v>
      </c>
      <c r="E114" s="383">
        <f t="shared" si="47"/>
        <v>58.319571631372433</v>
      </c>
      <c r="F114" s="383">
        <f t="shared" si="26"/>
        <v>58.33024090130305</v>
      </c>
      <c r="G114" s="110">
        <f t="shared" si="48"/>
        <v>0.99609921119737344</v>
      </c>
      <c r="H114" s="412" t="b">
        <f>Wh_hp&gt;='2021'!Maxi_hp</f>
        <v>1</v>
      </c>
      <c r="I114" s="379">
        <f>IF(H114,Wh_hp,'2021'!Maxi_hp)</f>
        <v>58.33024090130305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2.2360853117743051E-2</v>
      </c>
      <c r="M114" s="832"/>
      <c r="N114" s="832"/>
      <c r="O114" s="48">
        <f>IF(t&lt;Tnet,'2021'!Resal+('2021'!Salim-'2021'!Resal)*(1-EXP(('2021'!Tnet-t)/('2021'!Tau_j))),Resal+(Salim-Resal)*(1-EXP((Tnet-t)/(Tau_j))))*Salcycl</f>
        <v>8.3529857125691928E-2</v>
      </c>
      <c r="P114" s="169">
        <f>(INDEX(Models!$BJ114:$BT114,,T114)*(1-R114)+INDEX(Models!$BJ114:$BT114,,T114+1)*R114-ERP_i)*Q114*Ramure*Pc/MaxiM</f>
        <v>1.8393619331785648E-4</v>
      </c>
      <c r="Q114" s="304">
        <f t="shared" si="28"/>
        <v>0.6</v>
      </c>
      <c r="R114" s="177">
        <f t="shared" si="29"/>
        <v>3.6170774434813785E-2</v>
      </c>
      <c r="S114" s="799">
        <f t="shared" si="30"/>
        <v>0</v>
      </c>
      <c r="T114" s="176">
        <f t="shared" si="31"/>
        <v>6</v>
      </c>
      <c r="U114" s="250">
        <f t="shared" si="32"/>
        <v>3.6170774434813785E-2</v>
      </c>
      <c r="V114" s="382">
        <f t="shared" si="33"/>
        <v>52.457572356036543</v>
      </c>
      <c r="W114" s="400">
        <f t="shared" si="34"/>
        <v>0</v>
      </c>
      <c r="X114" s="157">
        <f t="shared" si="35"/>
        <v>44661</v>
      </c>
      <c r="Y114" s="383">
        <f t="shared" si="36"/>
        <v>52.253</v>
      </c>
      <c r="Z114" s="383">
        <f t="shared" si="37"/>
        <v>53.448146145372334</v>
      </c>
      <c r="AA114" s="384">
        <f t="shared" si="38"/>
        <v>58.319571631372433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8.3529857125691928E-2</v>
      </c>
      <c r="AD114" s="230">
        <f>(INDEX(Models!$BJ114:$BT114,,AH114)*(1-AF114)+INDEX(Models!$BJ114:$BT114,,AH114+1)*AF114-ERP_i)*AE114*Ramure*Pc/MaxiM</f>
        <v>1.8393619331785648E-4</v>
      </c>
      <c r="AE114" s="304">
        <f t="shared" si="40"/>
        <v>0.6</v>
      </c>
      <c r="AF114" s="177">
        <f t="shared" si="41"/>
        <v>3.6170774434813785E-2</v>
      </c>
      <c r="AG114" s="799">
        <f t="shared" si="49"/>
        <v>0</v>
      </c>
      <c r="AH114" s="176">
        <f t="shared" si="42"/>
        <v>6</v>
      </c>
      <c r="AI114" s="224">
        <f t="shared" si="43"/>
        <v>3.6170774434813785E-2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3">
        <v>43.307000000000002</v>
      </c>
      <c r="C115" s="388"/>
      <c r="D115" s="391">
        <f t="shared" si="25"/>
        <v>44.298379542996528</v>
      </c>
      <c r="E115" s="383">
        <f t="shared" si="47"/>
        <v>48.340169772146432</v>
      </c>
      <c r="F115" s="383">
        <f t="shared" si="26"/>
        <v>48.346665699755086</v>
      </c>
      <c r="G115" s="110">
        <f t="shared" si="48"/>
        <v>0.82190988071679649</v>
      </c>
      <c r="H115" s="412" t="b">
        <f>Wh_hp&gt;='2021'!Maxi_hp</f>
        <v>0</v>
      </c>
      <c r="I115" s="379">
        <f>IF(H115,Wh_hp,'2021'!Maxi_hp)</f>
        <v>59.403908056990687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2.2379589348957674E-2</v>
      </c>
      <c r="M115" s="832"/>
      <c r="N115" s="832"/>
      <c r="O115" s="48">
        <f>IF(t&lt;Tnet,'2021'!Resal+('2021'!Salim-'2021'!Resal)*(1-EXP(('2021'!Tnet-t)/('2021'!Tau_j))),Resal+(Salim-Resal)*(1-EXP((Tnet-t)/(Tau_j))))*Salcycl</f>
        <v>8.3611419823328412E-2</v>
      </c>
      <c r="P115" s="169">
        <f>(INDEX(Models!$BJ115:$BT115,,T115)*(1-R115)+INDEX(Models!$BJ115:$BT115,,T115+1)*R115-ERP_i)*Q115*Ramure*Pc/MaxiM</f>
        <v>1.801962784681308E-4</v>
      </c>
      <c r="Q115" s="304">
        <f t="shared" si="28"/>
        <v>0.6</v>
      </c>
      <c r="R115" s="177">
        <f t="shared" si="29"/>
        <v>3.763064990071089E-2</v>
      </c>
      <c r="S115" s="799">
        <f t="shared" si="30"/>
        <v>0</v>
      </c>
      <c r="T115" s="176">
        <f t="shared" si="31"/>
        <v>6</v>
      </c>
      <c r="U115" s="250">
        <f t="shared" si="32"/>
        <v>3.763064990071089E-2</v>
      </c>
      <c r="V115" s="382">
        <f t="shared" si="33"/>
        <v>52.688276147905661</v>
      </c>
      <c r="W115" s="400">
        <f t="shared" si="34"/>
        <v>0</v>
      </c>
      <c r="X115" s="157">
        <f t="shared" si="35"/>
        <v>44662</v>
      </c>
      <c r="Y115" s="383">
        <f t="shared" si="36"/>
        <v>43.307000000000002</v>
      </c>
      <c r="Z115" s="383">
        <f t="shared" si="37"/>
        <v>44.298379542996528</v>
      </c>
      <c r="AA115" s="384">
        <f t="shared" si="38"/>
        <v>48.340169772146432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8.3611419823328412E-2</v>
      </c>
      <c r="AD115" s="230">
        <f>(INDEX(Models!$BJ115:$BT115,,AH115)*(1-AF115)+INDEX(Models!$BJ115:$BT115,,AH115+1)*AF115-ERP_i)*AE115*Ramure*Pc/MaxiM</f>
        <v>1.801962784681308E-4</v>
      </c>
      <c r="AE115" s="304">
        <f t="shared" si="40"/>
        <v>0.6</v>
      </c>
      <c r="AF115" s="177">
        <f t="shared" si="41"/>
        <v>3.763064990071089E-2</v>
      </c>
      <c r="AG115" s="799">
        <f t="shared" si="49"/>
        <v>0</v>
      </c>
      <c r="AH115" s="176">
        <f t="shared" si="42"/>
        <v>6</v>
      </c>
      <c r="AI115" s="224">
        <f t="shared" si="43"/>
        <v>3.763064990071089E-2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3">
        <v>36.987000000000002</v>
      </c>
      <c r="C116" s="388"/>
      <c r="D116" s="391">
        <f t="shared" si="25"/>
        <v>37.834427818840503</v>
      </c>
      <c r="E116" s="383">
        <f t="shared" si="47"/>
        <v>41.290167194967651</v>
      </c>
      <c r="F116" s="383">
        <f t="shared" si="26"/>
        <v>41.294322689001859</v>
      </c>
      <c r="G116" s="110">
        <f t="shared" si="48"/>
        <v>0.69896314275300042</v>
      </c>
      <c r="H116" s="412" t="b">
        <f>Wh_hp&gt;='2021'!Maxi_hp</f>
        <v>0</v>
      </c>
      <c r="I116" s="379">
        <f>IF(H116,Wh_hp,'2021'!Maxi_hp)</f>
        <v>58.857771528976158</v>
      </c>
      <c r="J116" s="85">
        <f>IF(H116,An,'2021'!An_max)</f>
        <v>2018</v>
      </c>
      <c r="K116" s="197">
        <f t="shared" si="27"/>
        <v>44663</v>
      </c>
      <c r="L116" s="147">
        <f>IF(t&lt;Tvie,1-EXP((T0-t)*PertePVj)+'2021'!Pspv,1-EXP((T0-t)*PertePVj)+Pspv)</f>
        <v>2.2398325221096749E-2</v>
      </c>
      <c r="M116" s="832"/>
      <c r="N116" s="832"/>
      <c r="O116" s="48">
        <f>IF(t&lt;Tnet,'2021'!Resal+('2021'!Salim-'2021'!Resal)*(1-EXP(('2021'!Tnet-t)/('2021'!Tau_j))),Resal+(Salim-Resal)*(1-EXP((Tnet-t)/(Tau_j))))*Salcycl</f>
        <v>8.3694002976774678E-2</v>
      </c>
      <c r="P116" s="169">
        <f>(INDEX(Models!$BJ116:$BT116,,T116)*(1-R116)+INDEX(Models!$BJ116:$BT116,,T116+1)*R116-ERP_i)*Q116*Ramure*Pc/MaxiM</f>
        <v>1.765386569057893E-4</v>
      </c>
      <c r="Q116" s="304">
        <f t="shared" si="28"/>
        <v>0.6</v>
      </c>
      <c r="R116" s="177">
        <f t="shared" si="29"/>
        <v>3.9142010769339215E-2</v>
      </c>
      <c r="S116" s="799">
        <f t="shared" si="30"/>
        <v>0</v>
      </c>
      <c r="T116" s="176">
        <f t="shared" si="31"/>
        <v>6</v>
      </c>
      <c r="U116" s="250">
        <f t="shared" si="32"/>
        <v>3.9142010769339215E-2</v>
      </c>
      <c r="V116" s="382">
        <f t="shared" si="33"/>
        <v>52.912936123908196</v>
      </c>
      <c r="W116" s="400">
        <f t="shared" si="34"/>
        <v>0</v>
      </c>
      <c r="X116" s="157">
        <f t="shared" si="35"/>
        <v>44663</v>
      </c>
      <c r="Y116" s="383">
        <f t="shared" si="36"/>
        <v>36.987000000000002</v>
      </c>
      <c r="Z116" s="383">
        <f t="shared" si="37"/>
        <v>37.834427818840503</v>
      </c>
      <c r="AA116" s="384">
        <f t="shared" si="38"/>
        <v>41.290167194967651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8.3694002976774678E-2</v>
      </c>
      <c r="AD116" s="230">
        <f>(INDEX(Models!$BJ116:$BT116,,AH116)*(1-AF116)+INDEX(Models!$BJ116:$BT116,,AH116+1)*AF116-ERP_i)*AE116*Ramure*Pc/MaxiM</f>
        <v>1.765386569057893E-4</v>
      </c>
      <c r="AE116" s="304">
        <f t="shared" si="40"/>
        <v>0.6</v>
      </c>
      <c r="AF116" s="177">
        <f t="shared" si="41"/>
        <v>3.9142010769339215E-2</v>
      </c>
      <c r="AG116" s="799">
        <f t="shared" si="49"/>
        <v>0</v>
      </c>
      <c r="AH116" s="176">
        <f t="shared" si="42"/>
        <v>6</v>
      </c>
      <c r="AI116" s="224">
        <f t="shared" si="43"/>
        <v>3.9142010769339215E-2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3">
        <v>7.9039999999999999</v>
      </c>
      <c r="C117" s="388"/>
      <c r="D117" s="391">
        <f t="shared" si="25"/>
        <v>8.0852474838972963</v>
      </c>
      <c r="E117" s="383">
        <f t="shared" si="47"/>
        <v>8.8245471107797737</v>
      </c>
      <c r="F117" s="383">
        <f t="shared" si="26"/>
        <v>8.8245471107797737</v>
      </c>
      <c r="G117" s="110">
        <f t="shared" si="48"/>
        <v>0.14873737370859255</v>
      </c>
      <c r="H117" s="412" t="b">
        <f>Wh_hp&gt;='2021'!Maxi_hp</f>
        <v>0</v>
      </c>
      <c r="I117" s="379">
        <f>IF(H117,Wh_hp,'2021'!Maxi_hp)</f>
        <v>58.816606841862637</v>
      </c>
      <c r="J117" s="85">
        <f>IF(H117,An,'2021'!An_max)</f>
        <v>2018</v>
      </c>
      <c r="K117" s="197">
        <f t="shared" si="27"/>
        <v>44664</v>
      </c>
      <c r="L117" s="147">
        <f>IF(t&lt;Tvie,1-EXP((T0-t)*PertePVj)+'2021'!Pspv,1-EXP((T0-t)*PertePVj)+Pspv)</f>
        <v>2.2417060734167049E-2</v>
      </c>
      <c r="M117" s="832"/>
      <c r="N117" s="832"/>
      <c r="O117" s="48">
        <f>IF(t&lt;Tnet,'2021'!Resal+('2021'!Salim-'2021'!Resal)*(1-EXP(('2021'!Tnet-t)/('2021'!Tau_j))),Resal+(Salim-Resal)*(1-EXP((Tnet-t)/(Tau_j))))*Salcycl</f>
        <v>8.3777628200247714E-2</v>
      </c>
      <c r="P117" s="169">
        <f>(INDEX(Models!$BJ117:$BT117,,T117)*(1-R117)+INDEX(Models!$BJ117:$BT117,,T117+1)*R117-ERP_i)*Q117*Ramure*Pc/MaxiM</f>
        <v>1.7295984981936362E-4</v>
      </c>
      <c r="Q117" s="304">
        <f t="shared" si="28"/>
        <v>0.6</v>
      </c>
      <c r="R117" s="177">
        <f t="shared" si="29"/>
        <v>4.0706284702260766E-2</v>
      </c>
      <c r="S117" s="799">
        <f t="shared" si="30"/>
        <v>0</v>
      </c>
      <c r="T117" s="176">
        <f t="shared" si="31"/>
        <v>6</v>
      </c>
      <c r="U117" s="250">
        <f t="shared" si="32"/>
        <v>4.0706284702260766E-2</v>
      </c>
      <c r="V117" s="382">
        <f t="shared" si="33"/>
        <v>53.13145397356503</v>
      </c>
      <c r="W117" s="400">
        <f t="shared" si="34"/>
        <v>0</v>
      </c>
      <c r="X117" s="157">
        <f t="shared" si="35"/>
        <v>44664</v>
      </c>
      <c r="Y117" s="383">
        <f t="shared" si="36"/>
        <v>7.903999999999999</v>
      </c>
      <c r="Z117" s="383">
        <f t="shared" si="37"/>
        <v>8.0852474838972963</v>
      </c>
      <c r="AA117" s="384">
        <f t="shared" si="38"/>
        <v>8.8245471107797737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8.3777628200247714E-2</v>
      </c>
      <c r="AD117" s="230">
        <f>(INDEX(Models!$BJ117:$BT117,,AH117)*(1-AF117)+INDEX(Models!$BJ117:$BT117,,AH117+1)*AF117-ERP_i)*AE117*Ramure*Pc/MaxiM</f>
        <v>1.7295984981936362E-4</v>
      </c>
      <c r="AE117" s="304">
        <f t="shared" si="40"/>
        <v>0.6</v>
      </c>
      <c r="AF117" s="177">
        <f t="shared" si="41"/>
        <v>4.0706284702260766E-2</v>
      </c>
      <c r="AG117" s="799">
        <f t="shared" si="49"/>
        <v>0</v>
      </c>
      <c r="AH117" s="176">
        <f t="shared" si="42"/>
        <v>6</v>
      </c>
      <c r="AI117" s="224">
        <f t="shared" si="43"/>
        <v>4.0706284702260766E-2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3">
        <v>40.005000000000003</v>
      </c>
      <c r="C118" s="388"/>
      <c r="D118" s="391">
        <f t="shared" si="25"/>
        <v>40.923143289956016</v>
      </c>
      <c r="E118" s="383">
        <f t="shared" si="47"/>
        <v>44.669206387471725</v>
      </c>
      <c r="F118" s="383">
        <f t="shared" si="26"/>
        <v>44.674072446314028</v>
      </c>
      <c r="G118" s="110">
        <f t="shared" si="48"/>
        <v>0.74990213422853091</v>
      </c>
      <c r="H118" s="412" t="b">
        <f>Wh_hp&gt;='2021'!Maxi_hp</f>
        <v>0</v>
      </c>
      <c r="I118" s="379">
        <f>IF(H118,Wh_hp,'2021'!Maxi_hp)</f>
        <v>59.036177217934771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2.2435795888175569E-2</v>
      </c>
      <c r="M118" s="832"/>
      <c r="N118" s="832"/>
      <c r="O118" s="48">
        <f>IF(t&lt;Tnet,'2021'!Resal+('2021'!Salim-'2021'!Resal)*(1-EXP(('2021'!Tnet-t)/('2021'!Tau_j))),Resal+(Salim-Resal)*(1-EXP((Tnet-t)/(Tau_j))))*Salcycl</f>
        <v>8.3862315910012711E-2</v>
      </c>
      <c r="P118" s="169">
        <f>(INDEX(Models!$BJ118:$BT118,,T118)*(1-R118)+INDEX(Models!$BJ118:$BT118,,T118+1)*R118-ERP_i)*Q118*Ramure*Pc/MaxiM</f>
        <v>1.6945639952636841E-4</v>
      </c>
      <c r="Q118" s="304">
        <f t="shared" si="28"/>
        <v>0.6</v>
      </c>
      <c r="R118" s="177">
        <f t="shared" si="29"/>
        <v>4.232490858182434E-2</v>
      </c>
      <c r="S118" s="799">
        <f t="shared" si="30"/>
        <v>0</v>
      </c>
      <c r="T118" s="176">
        <f t="shared" si="31"/>
        <v>6</v>
      </c>
      <c r="U118" s="250">
        <f t="shared" si="32"/>
        <v>4.232490858182434E-2</v>
      </c>
      <c r="V118" s="382">
        <f t="shared" si="33"/>
        <v>53.343731526990943</v>
      </c>
      <c r="W118" s="400">
        <f t="shared" si="34"/>
        <v>0</v>
      </c>
      <c r="X118" s="157">
        <f t="shared" si="35"/>
        <v>44665</v>
      </c>
      <c r="Y118" s="383">
        <f t="shared" si="36"/>
        <v>40.005000000000003</v>
      </c>
      <c r="Z118" s="383">
        <f t="shared" si="37"/>
        <v>40.923143289956016</v>
      </c>
      <c r="AA118" s="384">
        <f t="shared" si="38"/>
        <v>44.669206387471725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8.3862315910012711E-2</v>
      </c>
      <c r="AD118" s="230">
        <f>(INDEX(Models!$BJ118:$BT118,,AH118)*(1-AF118)+INDEX(Models!$BJ118:$BT118,,AH118+1)*AF118-ERP_i)*AE118*Ramure*Pc/MaxiM</f>
        <v>1.6945639952636841E-4</v>
      </c>
      <c r="AE118" s="304">
        <f t="shared" si="40"/>
        <v>0.6</v>
      </c>
      <c r="AF118" s="177">
        <f t="shared" si="41"/>
        <v>4.232490858182434E-2</v>
      </c>
      <c r="AG118" s="799">
        <f t="shared" si="49"/>
        <v>0</v>
      </c>
      <c r="AH118" s="176">
        <f t="shared" si="42"/>
        <v>6</v>
      </c>
      <c r="AI118" s="224">
        <f t="shared" si="43"/>
        <v>4.232490858182434E-2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3">
        <v>43.652999999999999</v>
      </c>
      <c r="C119" s="388"/>
      <c r="D119" s="391">
        <f t="shared" si="25"/>
        <v>44.655723309224307</v>
      </c>
      <c r="E119" s="383">
        <f t="shared" si="47"/>
        <v>48.748026821349342</v>
      </c>
      <c r="F119" s="383">
        <f t="shared" si="26"/>
        <v>48.753984131244202</v>
      </c>
      <c r="G119" s="110">
        <f t="shared" si="48"/>
        <v>0.8151513479285134</v>
      </c>
      <c r="H119" s="412" t="b">
        <f>Wh_hp&gt;='2021'!Maxi_hp</f>
        <v>0</v>
      </c>
      <c r="I119" s="379">
        <f>IF(H119,Wh_hp,'2021'!Maxi_hp)</f>
        <v>59.816550107721071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2.2454530683129192E-2</v>
      </c>
      <c r="M119" s="832"/>
      <c r="N119" s="832"/>
      <c r="O119" s="48">
        <f>IF(t&lt;Tnet,'2021'!Resal+('2021'!Salim-'2021'!Resal)*(1-EXP(('2021'!Tnet-t)/('2021'!Tau_j))),Resal+(Salim-Resal)*(1-EXP((Tnet-t)/(Tau_j))))*Salcycl</f>
        <v>8.3948085265531172E-2</v>
      </c>
      <c r="P119" s="169">
        <f>(INDEX(Models!$BJ119:$BT119,,T119)*(1-R119)+INDEX(Models!$BJ119:$BT119,,T119+1)*R119-ERP_i)*Q119*Ramure*Pc/MaxiM</f>
        <v>1.6602487176759273E-4</v>
      </c>
      <c r="Q119" s="304">
        <f t="shared" si="28"/>
        <v>0.6</v>
      </c>
      <c r="R119" s="177">
        <f t="shared" si="29"/>
        <v>4.3999325891355842E-2</v>
      </c>
      <c r="S119" s="799">
        <f t="shared" si="30"/>
        <v>0</v>
      </c>
      <c r="T119" s="176">
        <f t="shared" si="31"/>
        <v>6</v>
      </c>
      <c r="U119" s="250">
        <f t="shared" si="32"/>
        <v>4.3999325891355842E-2</v>
      </c>
      <c r="V119" s="382">
        <f t="shared" si="33"/>
        <v>53.54967075460106</v>
      </c>
      <c r="W119" s="400">
        <f t="shared" si="34"/>
        <v>0</v>
      </c>
      <c r="X119" s="157">
        <f t="shared" si="35"/>
        <v>44666</v>
      </c>
      <c r="Y119" s="383">
        <f t="shared" si="36"/>
        <v>43.652999999999999</v>
      </c>
      <c r="Z119" s="383">
        <f t="shared" si="37"/>
        <v>44.655723309224307</v>
      </c>
      <c r="AA119" s="384">
        <f t="shared" si="38"/>
        <v>48.748026821349342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8.3948085265531172E-2</v>
      </c>
      <c r="AD119" s="230">
        <f>(INDEX(Models!$BJ119:$BT119,,AH119)*(1-AF119)+INDEX(Models!$BJ119:$BT119,,AH119+1)*AF119-ERP_i)*AE119*Ramure*Pc/MaxiM</f>
        <v>1.6602487176759273E-4</v>
      </c>
      <c r="AE119" s="304">
        <f t="shared" si="40"/>
        <v>0.6</v>
      </c>
      <c r="AF119" s="177">
        <f t="shared" si="41"/>
        <v>4.3999325891355842E-2</v>
      </c>
      <c r="AG119" s="799">
        <f t="shared" si="49"/>
        <v>0</v>
      </c>
      <c r="AH119" s="176">
        <f t="shared" si="42"/>
        <v>6</v>
      </c>
      <c r="AI119" s="224">
        <f t="shared" si="43"/>
        <v>4.3999325891355842E-2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3">
        <v>45.292000000000002</v>
      </c>
      <c r="C120" s="388"/>
      <c r="D120" s="391">
        <f t="shared" si="25"/>
        <v>46.333259627436448</v>
      </c>
      <c r="E120" s="383">
        <f t="shared" si="47"/>
        <v>50.584091429332666</v>
      </c>
      <c r="F120" s="383">
        <f t="shared" si="26"/>
        <v>50.590470832793535</v>
      </c>
      <c r="G120" s="110">
        <f t="shared" si="48"/>
        <v>0.84262399953746203</v>
      </c>
      <c r="H120" s="412" t="b">
        <f>Wh_hp&gt;='2021'!Maxi_hp</f>
        <v>0</v>
      </c>
      <c r="I120" s="379">
        <f>IF(H120,Wh_hp,'2021'!Maxi_hp)</f>
        <v>51.884062779817704</v>
      </c>
      <c r="J120" s="85">
        <f>IF(H120,An,'2021'!An_max)</f>
        <v>2021</v>
      </c>
      <c r="K120" s="197">
        <f t="shared" si="27"/>
        <v>44667</v>
      </c>
      <c r="L120" s="147">
        <f>IF(t&lt;Tvie,1-EXP((T0-t)*PertePVj)+'2021'!Pspv,1-EXP((T0-t)*PertePVj)+Pspv)</f>
        <v>2.2473265119034691E-2</v>
      </c>
      <c r="M120" s="832"/>
      <c r="N120" s="832"/>
      <c r="O120" s="48">
        <f>IF(t&lt;Tnet,'2021'!Resal+('2021'!Salim-'2021'!Resal)*(1-EXP(('2021'!Tnet-t)/('2021'!Tau_j))),Resal+(Salim-Resal)*(1-EXP((Tnet-t)/(Tau_j))))*Salcycl</f>
        <v>8.4034954108738902E-2</v>
      </c>
      <c r="P120" s="169">
        <f>(INDEX(Models!$BJ120:$BT120,,T120)*(1-R120)+INDEX(Models!$BJ120:$BT120,,T120+1)*R120-ERP_i)*Q120*Ramure*Pc/MaxiM</f>
        <v>1.6266185804094402E-4</v>
      </c>
      <c r="Q120" s="304">
        <f t="shared" si="28"/>
        <v>0.6</v>
      </c>
      <c r="R120" s="177">
        <f t="shared" si="29"/>
        <v>4.5730983864998236E-2</v>
      </c>
      <c r="S120" s="799">
        <f t="shared" si="30"/>
        <v>0</v>
      </c>
      <c r="T120" s="176">
        <f t="shared" si="31"/>
        <v>6</v>
      </c>
      <c r="U120" s="250">
        <f t="shared" si="32"/>
        <v>4.5730983864998236E-2</v>
      </c>
      <c r="V120" s="382">
        <f t="shared" si="33"/>
        <v>53.749173779976871</v>
      </c>
      <c r="W120" s="400">
        <f t="shared" si="34"/>
        <v>0</v>
      </c>
      <c r="X120" s="157">
        <f t="shared" si="35"/>
        <v>44667</v>
      </c>
      <c r="Y120" s="383">
        <f t="shared" si="36"/>
        <v>45.292000000000002</v>
      </c>
      <c r="Z120" s="383">
        <f t="shared" si="37"/>
        <v>46.333259627436448</v>
      </c>
      <c r="AA120" s="384">
        <f t="shared" si="38"/>
        <v>50.584091429332666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8.4034954108738902E-2</v>
      </c>
      <c r="AD120" s="230">
        <f>(INDEX(Models!$BJ120:$BT120,,AH120)*(1-AF120)+INDEX(Models!$BJ120:$BT120,,AH120+1)*AF120-ERP_i)*AE120*Ramure*Pc/MaxiM</f>
        <v>1.6266185804094402E-4</v>
      </c>
      <c r="AE120" s="304">
        <f t="shared" si="40"/>
        <v>0.6</v>
      </c>
      <c r="AF120" s="177">
        <f t="shared" si="41"/>
        <v>4.5730983864998236E-2</v>
      </c>
      <c r="AG120" s="799">
        <f t="shared" si="49"/>
        <v>0</v>
      </c>
      <c r="AH120" s="176">
        <f t="shared" si="42"/>
        <v>6</v>
      </c>
      <c r="AI120" s="224">
        <f t="shared" si="43"/>
        <v>4.5730983864998236E-2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3">
        <v>53.158999999999999</v>
      </c>
      <c r="C121" s="388"/>
      <c r="D121" s="391">
        <f t="shared" si="25"/>
        <v>54.382163579501388</v>
      </c>
      <c r="E121" s="383">
        <f t="shared" si="47"/>
        <v>59.377143384567823</v>
      </c>
      <c r="F121" s="383">
        <f t="shared" si="26"/>
        <v>59.386411049175642</v>
      </c>
      <c r="G121" s="110">
        <f t="shared" si="48"/>
        <v>0.98547405173400704</v>
      </c>
      <c r="H121" s="412" t="b">
        <f>Wh_hp&gt;='2021'!Maxi_hp</f>
        <v>1</v>
      </c>
      <c r="I121" s="379">
        <f>IF(H121,Wh_hp,'2021'!Maxi_hp)</f>
        <v>59.386411049175642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2.2491999195898948E-2</v>
      </c>
      <c r="M121" s="832"/>
      <c r="N121" s="832"/>
      <c r="O121" s="48">
        <f>IF(t&lt;Tnet,'2021'!Resal+('2021'!Salim-'2021'!Resal)*(1-EXP(('2021'!Tnet-t)/('2021'!Tau_j))),Resal+(Salim-Resal)*(1-EXP((Tnet-t)/(Tau_j))))*Salcycl</f>
        <v>8.4122938901177197E-2</v>
      </c>
      <c r="P121" s="169">
        <f>(INDEX(Models!$BJ121:$BT121,,T121)*(1-R121)+INDEX(Models!$BJ121:$BT121,,T121+1)*R121-ERP_i)*Q121*Ramure*Pc/MaxiM</f>
        <v>1.5936325236198999E-4</v>
      </c>
      <c r="Q121" s="304">
        <f t="shared" si="28"/>
        <v>0.6</v>
      </c>
      <c r="R121" s="177">
        <f t="shared" si="29"/>
        <v>4.7521330399675023E-2</v>
      </c>
      <c r="S121" s="799">
        <f t="shared" si="30"/>
        <v>0</v>
      </c>
      <c r="T121" s="176">
        <f t="shared" si="31"/>
        <v>6</v>
      </c>
      <c r="U121" s="250">
        <f t="shared" si="32"/>
        <v>4.7521330399675023E-2</v>
      </c>
      <c r="V121" s="382">
        <f t="shared" si="33"/>
        <v>53.942388560588896</v>
      </c>
      <c r="W121" s="400">
        <f t="shared" si="34"/>
        <v>0</v>
      </c>
      <c r="X121" s="157">
        <f t="shared" si="35"/>
        <v>44668</v>
      </c>
      <c r="Y121" s="383">
        <f t="shared" si="36"/>
        <v>53.158999999999999</v>
      </c>
      <c r="Z121" s="383">
        <f t="shared" si="37"/>
        <v>54.382163579501388</v>
      </c>
      <c r="AA121" s="384">
        <f t="shared" si="38"/>
        <v>59.377143384567823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8.4122938901177197E-2</v>
      </c>
      <c r="AD121" s="230">
        <f>(INDEX(Models!$BJ121:$BT121,,AH121)*(1-AF121)+INDEX(Models!$BJ121:$BT121,,AH121+1)*AF121-ERP_i)*AE121*Ramure*Pc/MaxiM</f>
        <v>1.5936325236198999E-4</v>
      </c>
      <c r="AE121" s="304">
        <f t="shared" si="40"/>
        <v>0.6</v>
      </c>
      <c r="AF121" s="177">
        <f t="shared" si="41"/>
        <v>4.7521330399675023E-2</v>
      </c>
      <c r="AG121" s="799">
        <f t="shared" si="49"/>
        <v>0</v>
      </c>
      <c r="AH121" s="176">
        <f t="shared" si="42"/>
        <v>6</v>
      </c>
      <c r="AI121" s="224">
        <f t="shared" si="43"/>
        <v>4.7521330399675023E-2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3">
        <v>39.323999999999998</v>
      </c>
      <c r="C122" s="388"/>
      <c r="D122" s="391">
        <f t="shared" si="25"/>
        <v>40.229597729720496</v>
      </c>
      <c r="E122" s="383">
        <f t="shared" si="47"/>
        <v>43.928944396325406</v>
      </c>
      <c r="F122" s="383">
        <f t="shared" si="26"/>
        <v>43.933124779978819</v>
      </c>
      <c r="G122" s="110">
        <f t="shared" si="48"/>
        <v>0.72643533273181382</v>
      </c>
      <c r="H122" s="412" t="b">
        <f>Wh_hp&gt;='2021'!Maxi_hp</f>
        <v>1</v>
      </c>
      <c r="I122" s="379">
        <f>IF(H122,Wh_hp,'2021'!Maxi_hp)</f>
        <v>43.933124779978819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2.2510732913728959E-2</v>
      </c>
      <c r="M122" s="832"/>
      <c r="N122" s="832"/>
      <c r="O122" s="48">
        <f>IF(t&lt;Tnet,'2021'!Resal+('2021'!Salim-'2021'!Resal)*(1-EXP(('2021'!Tnet-t)/('2021'!Tau_j))),Resal+(Salim-Resal)*(1-EXP((Tnet-t)/(Tau_j))))*Salcycl</f>
        <v>8.4212054658758209E-2</v>
      </c>
      <c r="P122" s="169">
        <f>(INDEX(Models!$BJ122:$BT122,,T122)*(1-R122)+INDEX(Models!$BJ122:$BT122,,T122+1)*R122-ERP_i)*Q122*Ramure*Pc/MaxiM</f>
        <v>1.5617940081120768E-4</v>
      </c>
      <c r="Q122" s="304">
        <f t="shared" si="28"/>
        <v>0.6</v>
      </c>
      <c r="R122" s="177">
        <f t="shared" si="29"/>
        <v>4.9371810722397935E-2</v>
      </c>
      <c r="S122" s="799">
        <f t="shared" si="30"/>
        <v>0</v>
      </c>
      <c r="T122" s="176">
        <f t="shared" si="31"/>
        <v>6</v>
      </c>
      <c r="U122" s="250">
        <f t="shared" si="32"/>
        <v>4.9371810722397935E-2</v>
      </c>
      <c r="V122" s="382">
        <f t="shared" si="33"/>
        <v>54.129525659259066</v>
      </c>
      <c r="W122" s="400">
        <f t="shared" si="34"/>
        <v>0</v>
      </c>
      <c r="X122" s="157">
        <f t="shared" si="35"/>
        <v>44669</v>
      </c>
      <c r="Y122" s="383">
        <f t="shared" si="36"/>
        <v>39.323999999999998</v>
      </c>
      <c r="Z122" s="383">
        <f t="shared" si="37"/>
        <v>40.229597729720496</v>
      </c>
      <c r="AA122" s="384">
        <f t="shared" si="38"/>
        <v>43.928944396325406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8.4212054658758209E-2</v>
      </c>
      <c r="AD122" s="230">
        <f>(INDEX(Models!$BJ122:$BT122,,AH122)*(1-AF122)+INDEX(Models!$BJ122:$BT122,,AH122+1)*AF122-ERP_i)*AE122*Ramure*Pc/MaxiM</f>
        <v>1.5617940081120768E-4</v>
      </c>
      <c r="AE122" s="304">
        <f t="shared" si="40"/>
        <v>0.6</v>
      </c>
      <c r="AF122" s="177">
        <f t="shared" si="41"/>
        <v>4.9371810722397935E-2</v>
      </c>
      <c r="AG122" s="799">
        <f t="shared" si="49"/>
        <v>0</v>
      </c>
      <c r="AH122" s="176">
        <f t="shared" si="42"/>
        <v>6</v>
      </c>
      <c r="AI122" s="224">
        <f t="shared" si="43"/>
        <v>4.9371810722397935E-2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3">
        <v>9.1920000000000002</v>
      </c>
      <c r="C123" s="388"/>
      <c r="D123" s="391">
        <f t="shared" si="25"/>
        <v>9.4038640376681162</v>
      </c>
      <c r="E123" s="383">
        <f t="shared" si="47"/>
        <v>10.269616479894198</v>
      </c>
      <c r="F123" s="383">
        <f t="shared" si="26"/>
        <v>10.269616479894198</v>
      </c>
      <c r="G123" s="110">
        <f t="shared" si="48"/>
        <v>0.1692228599849972</v>
      </c>
      <c r="H123" s="412" t="b">
        <f>Wh_hp&gt;='2021'!Maxi_hp</f>
        <v>0</v>
      </c>
      <c r="I123" s="379">
        <f>IF(H123,Wh_hp,'2021'!Maxi_hp)</f>
        <v>59.533076172726751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2.2529466272531606E-2</v>
      </c>
      <c r="M123" s="832"/>
      <c r="N123" s="832"/>
      <c r="O123" s="48">
        <f>IF(t&lt;Tnet,'2021'!Resal+('2021'!Salim-'2021'!Resal)*(1-EXP(('2021'!Tnet-t)/('2021'!Tau_j))),Resal+(Salim-Resal)*(1-EXP((Tnet-t)/(Tau_j))))*Salcycl</f>
        <v>8.4302314884012228E-2</v>
      </c>
      <c r="P123" s="169">
        <f>(INDEX(Models!$BJ123:$BT123,,T123)*(1-R123)+INDEX(Models!$BJ123:$BT123,,T123+1)*R123-ERP_i)*Q123*Ramure*Pc/MaxiM</f>
        <v>1.5309284814584136E-4</v>
      </c>
      <c r="Q123" s="304">
        <f t="shared" si="28"/>
        <v>0.6</v>
      </c>
      <c r="R123" s="177">
        <f t="shared" si="29"/>
        <v>5.1283863807034792E-2</v>
      </c>
      <c r="S123" s="799">
        <f t="shared" si="30"/>
        <v>0</v>
      </c>
      <c r="T123" s="176">
        <f t="shared" si="31"/>
        <v>6</v>
      </c>
      <c r="U123" s="250">
        <f t="shared" si="32"/>
        <v>5.1283863807034792E-2</v>
      </c>
      <c r="V123" s="382">
        <f t="shared" si="33"/>
        <v>54.310586473687152</v>
      </c>
      <c r="W123" s="400">
        <f t="shared" si="34"/>
        <v>0</v>
      </c>
      <c r="X123" s="157">
        <f t="shared" si="35"/>
        <v>44670</v>
      </c>
      <c r="Y123" s="383">
        <f t="shared" si="36"/>
        <v>9.1920000000000002</v>
      </c>
      <c r="Z123" s="383">
        <f t="shared" si="37"/>
        <v>9.4038640376681162</v>
      </c>
      <c r="AA123" s="384">
        <f t="shared" si="38"/>
        <v>10.269616479894198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8.4302314884012228E-2</v>
      </c>
      <c r="AD123" s="230">
        <f>(INDEX(Models!$BJ123:$BT123,,AH123)*(1-AF123)+INDEX(Models!$BJ123:$BT123,,AH123+1)*AF123-ERP_i)*AE123*Ramure*Pc/MaxiM</f>
        <v>1.5309284814584136E-4</v>
      </c>
      <c r="AE123" s="304">
        <f t="shared" si="40"/>
        <v>0.6</v>
      </c>
      <c r="AF123" s="177">
        <f t="shared" si="41"/>
        <v>5.1283863807034792E-2</v>
      </c>
      <c r="AG123" s="799">
        <f t="shared" si="49"/>
        <v>0</v>
      </c>
      <c r="AH123" s="176">
        <f t="shared" si="42"/>
        <v>6</v>
      </c>
      <c r="AI123" s="224">
        <f t="shared" si="43"/>
        <v>5.1283863807034792E-2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3">
        <v>9.59</v>
      </c>
      <c r="C124" s="388"/>
      <c r="D124" s="391">
        <f t="shared" si="25"/>
        <v>9.811225466934026</v>
      </c>
      <c r="E124" s="383">
        <f t="shared" si="47"/>
        <v>10.715550782501372</v>
      </c>
      <c r="F124" s="383">
        <f t="shared" si="26"/>
        <v>10.715550782501372</v>
      </c>
      <c r="G124" s="110">
        <f t="shared" si="48"/>
        <v>0.17598348013363771</v>
      </c>
      <c r="H124" s="412" t="b">
        <f>Wh_hp&gt;='2021'!Maxi_hp</f>
        <v>0</v>
      </c>
      <c r="I124" s="379">
        <f>IF(H124,Wh_hp,'2021'!Maxi_hp)</f>
        <v>52.580415314681325</v>
      </c>
      <c r="J124" s="85">
        <f>IF(H124,An,'2021'!An_max)</f>
        <v>2018</v>
      </c>
      <c r="K124" s="197">
        <f t="shared" si="27"/>
        <v>44671</v>
      </c>
      <c r="L124" s="147">
        <f>IF(t&lt;Tvie,1-EXP((T0-t)*PertePVj)+'2021'!Pspv,1-EXP((T0-t)*PertePVj)+Pspv)</f>
        <v>2.2548199272313552E-2</v>
      </c>
      <c r="M124" s="832"/>
      <c r="N124" s="832"/>
      <c r="O124" s="48">
        <f>IF(t&lt;Tnet,'2021'!Resal+('2021'!Salim-'2021'!Resal)*(1-EXP(('2021'!Tnet-t)/('2021'!Tau_j))),Resal+(Salim-Resal)*(1-EXP((Tnet-t)/(Tau_j))))*Salcycl</f>
        <v>8.4393731495736132E-2</v>
      </c>
      <c r="P124" s="169">
        <f>(INDEX(Models!$BJ124:$BT124,,T124)*(1-R124)+INDEX(Models!$BJ124:$BT124,,T124+1)*R124-ERP_i)*Q124*Ramure*Pc/MaxiM</f>
        <v>1.5010037217937661E-4</v>
      </c>
      <c r="Q124" s="304">
        <f t="shared" si="28"/>
        <v>0.6</v>
      </c>
      <c r="R124" s="177">
        <f t="shared" si="29"/>
        <v>5.3258918535704004E-2</v>
      </c>
      <c r="S124" s="799">
        <f t="shared" si="30"/>
        <v>0</v>
      </c>
      <c r="T124" s="176">
        <f t="shared" si="31"/>
        <v>6</v>
      </c>
      <c r="U124" s="250">
        <f t="shared" si="32"/>
        <v>5.3258918535704004E-2</v>
      </c>
      <c r="V124" s="382">
        <f t="shared" si="33"/>
        <v>54.485571771563301</v>
      </c>
      <c r="W124" s="400">
        <f t="shared" si="34"/>
        <v>0</v>
      </c>
      <c r="X124" s="157">
        <f t="shared" si="35"/>
        <v>44671</v>
      </c>
      <c r="Y124" s="383">
        <f t="shared" si="36"/>
        <v>9.59</v>
      </c>
      <c r="Z124" s="383">
        <f t="shared" si="37"/>
        <v>9.811225466934026</v>
      </c>
      <c r="AA124" s="384">
        <f t="shared" si="38"/>
        <v>10.715550782501372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8.4393731495736132E-2</v>
      </c>
      <c r="AD124" s="230">
        <f>(INDEX(Models!$BJ124:$BT124,,AH124)*(1-AF124)+INDEX(Models!$BJ124:$BT124,,AH124+1)*AF124-ERP_i)*AE124*Ramure*Pc/MaxiM</f>
        <v>1.5010037217937661E-4</v>
      </c>
      <c r="AE124" s="304">
        <f t="shared" si="40"/>
        <v>0.6</v>
      </c>
      <c r="AF124" s="177">
        <f t="shared" si="41"/>
        <v>5.3258918535704004E-2</v>
      </c>
      <c r="AG124" s="799">
        <f t="shared" si="49"/>
        <v>0</v>
      </c>
      <c r="AH124" s="176">
        <f t="shared" si="42"/>
        <v>6</v>
      </c>
      <c r="AI124" s="224">
        <f t="shared" si="43"/>
        <v>5.3258918535704004E-2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3">
        <v>9.2309999999999999</v>
      </c>
      <c r="C125" s="388"/>
      <c r="D125" s="391">
        <f t="shared" si="25"/>
        <v>9.4441249241417466</v>
      </c>
      <c r="E125" s="383">
        <f t="shared" si="47"/>
        <v>10.315656746982578</v>
      </c>
      <c r="F125" s="383">
        <f t="shared" si="26"/>
        <v>10.315656746982578</v>
      </c>
      <c r="G125" s="110">
        <f t="shared" si="48"/>
        <v>0.168872538774792</v>
      </c>
      <c r="H125" s="412" t="b">
        <f>Wh_hp&gt;='2021'!Maxi_hp</f>
        <v>0</v>
      </c>
      <c r="I125" s="379">
        <f>IF(H125,Wh_hp,'2021'!Maxi_hp)</f>
        <v>55.246951602065522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2.25669319130819E-2</v>
      </c>
      <c r="M125" s="832"/>
      <c r="N125" s="832"/>
      <c r="O125" s="48">
        <f>IF(t&lt;Tnet,'2021'!Resal+('2021'!Salim-'2021'!Resal)*(1-EXP(('2021'!Tnet-t)/('2021'!Tau_j))),Resal+(Salim-Resal)*(1-EXP((Tnet-t)/(Tau_j))))*Salcycl</f>
        <v>8.4486314756039405E-2</v>
      </c>
      <c r="P125" s="169">
        <f>(INDEX(Models!$BJ125:$BT125,,T125)*(1-R125)+INDEX(Models!$BJ125:$BT125,,T125+1)*R125-ERP_i)*Q125*Ramure*Pc/MaxiM</f>
        <v>1.4719929014583193E-4</v>
      </c>
      <c r="Q125" s="304">
        <f t="shared" si="28"/>
        <v>0.6</v>
      </c>
      <c r="R125" s="177">
        <f t="shared" si="29"/>
        <v>5.529838960117707E-2</v>
      </c>
      <c r="S125" s="799">
        <f t="shared" si="30"/>
        <v>0</v>
      </c>
      <c r="T125" s="176">
        <f t="shared" si="31"/>
        <v>6</v>
      </c>
      <c r="U125" s="250">
        <f t="shared" si="32"/>
        <v>5.529838960117707E-2</v>
      </c>
      <c r="V125" s="382">
        <f t="shared" si="33"/>
        <v>54.654482429859655</v>
      </c>
      <c r="W125" s="400">
        <f t="shared" si="34"/>
        <v>0</v>
      </c>
      <c r="X125" s="157">
        <f t="shared" si="35"/>
        <v>44672</v>
      </c>
      <c r="Y125" s="383">
        <f t="shared" si="36"/>
        <v>9.2309999999999999</v>
      </c>
      <c r="Z125" s="383">
        <f t="shared" si="37"/>
        <v>9.4441249241417466</v>
      </c>
      <c r="AA125" s="384">
        <f t="shared" si="38"/>
        <v>10.315656746982578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8.4486314756039405E-2</v>
      </c>
      <c r="AD125" s="230">
        <f>(INDEX(Models!$BJ125:$BT125,,AH125)*(1-AF125)+INDEX(Models!$BJ125:$BT125,,AH125+1)*AF125-ERP_i)*AE125*Ramure*Pc/MaxiM</f>
        <v>1.4719929014583193E-4</v>
      </c>
      <c r="AE125" s="304">
        <f t="shared" si="40"/>
        <v>0.6</v>
      </c>
      <c r="AF125" s="177">
        <f t="shared" si="41"/>
        <v>5.529838960117707E-2</v>
      </c>
      <c r="AG125" s="799">
        <f t="shared" si="49"/>
        <v>0</v>
      </c>
      <c r="AH125" s="176">
        <f t="shared" si="42"/>
        <v>6</v>
      </c>
      <c r="AI125" s="224">
        <f t="shared" si="43"/>
        <v>5.529838960117707E-2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3">
        <v>26.829000000000001</v>
      </c>
      <c r="C126" s="388"/>
      <c r="D126" s="391">
        <f t="shared" si="25"/>
        <v>27.448952831144325</v>
      </c>
      <c r="E126" s="383">
        <f t="shared" si="47"/>
        <v>29.985094301958991</v>
      </c>
      <c r="F126" s="383">
        <f t="shared" si="26"/>
        <v>29.986265933860359</v>
      </c>
      <c r="G126" s="110">
        <f t="shared" si="48"/>
        <v>0.48937406393285748</v>
      </c>
      <c r="H126" s="412" t="b">
        <f>Wh_hp&gt;='2021'!Maxi_hp</f>
        <v>0</v>
      </c>
      <c r="I126" s="379">
        <f>IF(H126,Wh_hp,'2021'!Maxi_hp)</f>
        <v>61.484611749803321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2.2585664194843535E-2</v>
      </c>
      <c r="M126" s="832"/>
      <c r="N126" s="832"/>
      <c r="O126" s="48">
        <f>IF(t&lt;Tnet,'2021'!Resal+('2021'!Salim-'2021'!Resal)*(1-EXP(('2021'!Tnet-t)/('2021'!Tau_j))),Resal+(Salim-Resal)*(1-EXP((Tnet-t)/(Tau_j))))*Salcycl</f>
        <v>8.4580073194866504E-2</v>
      </c>
      <c r="P126" s="169">
        <f>(INDEX(Models!$BJ126:$BT126,,T126)*(1-R126)+INDEX(Models!$BJ126:$BT126,,T126+1)*R126-ERP_i)*Q126*Ramure*Pc/MaxiM</f>
        <v>1.4438701773215326E-4</v>
      </c>
      <c r="Q126" s="304">
        <f t="shared" si="28"/>
        <v>0.6</v>
      </c>
      <c r="R126" s="177">
        <f t="shared" si="29"/>
        <v>5.7403673148059525E-2</v>
      </c>
      <c r="S126" s="799">
        <f t="shared" si="30"/>
        <v>0</v>
      </c>
      <c r="T126" s="176">
        <f t="shared" si="31"/>
        <v>6</v>
      </c>
      <c r="U126" s="250">
        <f t="shared" si="32"/>
        <v>5.7403673148059525E-2</v>
      </c>
      <c r="V126" s="382">
        <f t="shared" si="33"/>
        <v>54.817319465236451</v>
      </c>
      <c r="W126" s="400">
        <f t="shared" si="34"/>
        <v>0</v>
      </c>
      <c r="X126" s="157">
        <f t="shared" si="35"/>
        <v>44673</v>
      </c>
      <c r="Y126" s="383">
        <f t="shared" si="36"/>
        <v>26.829000000000001</v>
      </c>
      <c r="Z126" s="383">
        <f t="shared" si="37"/>
        <v>27.448952831144325</v>
      </c>
      <c r="AA126" s="384">
        <f t="shared" si="38"/>
        <v>29.985094301958991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8.4580073194866504E-2</v>
      </c>
      <c r="AD126" s="230">
        <f>(INDEX(Models!$BJ126:$BT126,,AH126)*(1-AF126)+INDEX(Models!$BJ126:$BT126,,AH126+1)*AF126-ERP_i)*AE126*Ramure*Pc/MaxiM</f>
        <v>1.4438701773215326E-4</v>
      </c>
      <c r="AE126" s="304">
        <f t="shared" si="40"/>
        <v>0.6</v>
      </c>
      <c r="AF126" s="177">
        <f t="shared" si="41"/>
        <v>5.7403673148059525E-2</v>
      </c>
      <c r="AG126" s="799">
        <f t="shared" si="49"/>
        <v>0</v>
      </c>
      <c r="AH126" s="176">
        <f t="shared" si="42"/>
        <v>6</v>
      </c>
      <c r="AI126" s="224">
        <f t="shared" si="43"/>
        <v>5.7403673148059525E-2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3">
        <v>8.9350000000000005</v>
      </c>
      <c r="C127" s="388"/>
      <c r="D127" s="391">
        <f t="shared" si="25"/>
        <v>9.141641280673392</v>
      </c>
      <c r="E127" s="383">
        <f t="shared" si="47"/>
        <v>9.9873175274611263</v>
      </c>
      <c r="F127" s="383">
        <f t="shared" si="26"/>
        <v>9.9873175274611263</v>
      </c>
      <c r="G127" s="110">
        <f t="shared" si="48"/>
        <v>0.16250810566226226</v>
      </c>
      <c r="H127" s="412" t="b">
        <f>Wh_hp&gt;='2021'!Maxi_hp</f>
        <v>0</v>
      </c>
      <c r="I127" s="379">
        <f>IF(H127,Wh_hp,'2021'!Maxi_hp)</f>
        <v>61.411826255045938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2.2604396117605119E-2</v>
      </c>
      <c r="M127" s="832"/>
      <c r="N127" s="832"/>
      <c r="O127" s="48">
        <f>IF(t&lt;Tnet,'2021'!Resal+('2021'!Salim-'2021'!Resal)*(1-EXP(('2021'!Tnet-t)/('2021'!Tau_j))),Resal+(Salim-Resal)*(1-EXP((Tnet-t)/(Tau_j))))*Salcycl</f>
        <v>8.4675013532158491E-2</v>
      </c>
      <c r="P127" s="169">
        <f>(INDEX(Models!$BJ127:$BT127,,T127)*(1-R127)+INDEX(Models!$BJ127:$BT127,,T127+1)*R127-ERP_i)*Q127*Ramure*Pc/MaxiM</f>
        <v>1.4166066234151163E-4</v>
      </c>
      <c r="Q127" s="304">
        <f t="shared" si="28"/>
        <v>0.6</v>
      </c>
      <c r="R127" s="177">
        <f t="shared" si="29"/>
        <v>5.9576142152092913E-2</v>
      </c>
      <c r="S127" s="799">
        <f t="shared" si="30"/>
        <v>0</v>
      </c>
      <c r="T127" s="176">
        <f t="shared" si="31"/>
        <v>6</v>
      </c>
      <c r="U127" s="250">
        <f t="shared" si="32"/>
        <v>5.9576142152092913E-2</v>
      </c>
      <c r="V127" s="382">
        <f t="shared" si="33"/>
        <v>54.974084065374562</v>
      </c>
      <c r="W127" s="400">
        <f t="shared" si="34"/>
        <v>0</v>
      </c>
      <c r="X127" s="157">
        <f t="shared" si="35"/>
        <v>44674</v>
      </c>
      <c r="Y127" s="383">
        <f t="shared" si="36"/>
        <v>8.9350000000000005</v>
      </c>
      <c r="Z127" s="383">
        <f t="shared" si="37"/>
        <v>9.141641280673392</v>
      </c>
      <c r="AA127" s="384">
        <f t="shared" si="38"/>
        <v>9.9873175274611263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8.4675013532158491E-2</v>
      </c>
      <c r="AD127" s="230">
        <f>(INDEX(Models!$BJ127:$BT127,,AH127)*(1-AF127)+INDEX(Models!$BJ127:$BT127,,AH127+1)*AF127-ERP_i)*AE127*Ramure*Pc/MaxiM</f>
        <v>1.4166066234151163E-4</v>
      </c>
      <c r="AE127" s="304">
        <f t="shared" si="40"/>
        <v>0.6</v>
      </c>
      <c r="AF127" s="177">
        <f t="shared" si="41"/>
        <v>5.9576142152092913E-2</v>
      </c>
      <c r="AG127" s="799">
        <f t="shared" si="49"/>
        <v>0</v>
      </c>
      <c r="AH127" s="176">
        <f t="shared" si="42"/>
        <v>6</v>
      </c>
      <c r="AI127" s="224">
        <f t="shared" si="43"/>
        <v>5.9576142152092913E-2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3">
        <v>30.874000000000002</v>
      </c>
      <c r="C128" s="388"/>
      <c r="D128" s="391">
        <f t="shared" si="25"/>
        <v>31.588633693324223</v>
      </c>
      <c r="E128" s="383">
        <f t="shared" si="47"/>
        <v>34.514464189820856</v>
      </c>
      <c r="F128" s="383">
        <f t="shared" si="26"/>
        <v>34.516247619334536</v>
      </c>
      <c r="G128" s="110">
        <f t="shared" si="48"/>
        <v>0.56002589819160975</v>
      </c>
      <c r="H128" s="412" t="b">
        <f>Wh_hp&gt;='2021'!Maxi_hp</f>
        <v>0</v>
      </c>
      <c r="I128" s="379">
        <f>IF(H128,Wh_hp,'2021'!Maxi_hp)</f>
        <v>58.10105142457774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2.2623127681373756E-2</v>
      </c>
      <c r="M128" s="832"/>
      <c r="N128" s="832"/>
      <c r="O128" s="48">
        <f>IF(t&lt;Tnet,'2021'!Resal+('2021'!Salim-'2021'!Resal)*(1-EXP(('2021'!Tnet-t)/('2021'!Tau_j))),Resal+(Salim-Resal)*(1-EXP((Tnet-t)/(Tau_j))))*Salcycl</f>
        <v>8.4771140597904096E-2</v>
      </c>
      <c r="P128" s="169">
        <f>(INDEX(Models!$BJ128:$BT128,,T128)*(1-R128)+INDEX(Models!$BJ128:$BT128,,T128+1)*R128-ERP_i)*Q128*Ramure*Pc/MaxiM</f>
        <v>1.3906955162678046E-4</v>
      </c>
      <c r="Q128" s="304">
        <f t="shared" si="28"/>
        <v>0.6</v>
      </c>
      <c r="R128" s="177">
        <f t="shared" si="29"/>
        <v>6.1817141538674417E-2</v>
      </c>
      <c r="S128" s="799">
        <f t="shared" si="30"/>
        <v>0</v>
      </c>
      <c r="T128" s="176">
        <f t="shared" si="31"/>
        <v>6</v>
      </c>
      <c r="U128" s="250">
        <f t="shared" si="32"/>
        <v>6.1817141538674417E-2</v>
      </c>
      <c r="V128" s="382">
        <f t="shared" si="33"/>
        <v>55.124774700841783</v>
      </c>
      <c r="W128" s="400">
        <f t="shared" si="34"/>
        <v>0</v>
      </c>
      <c r="X128" s="157">
        <f t="shared" si="35"/>
        <v>44675</v>
      </c>
      <c r="Y128" s="383">
        <f t="shared" si="36"/>
        <v>30.874000000000006</v>
      </c>
      <c r="Z128" s="383">
        <f t="shared" si="37"/>
        <v>31.588633693324226</v>
      </c>
      <c r="AA128" s="384">
        <f t="shared" si="38"/>
        <v>34.514464189820856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8.4771140597904096E-2</v>
      </c>
      <c r="AD128" s="230">
        <f>(INDEX(Models!$BJ128:$BT128,,AH128)*(1-AF128)+INDEX(Models!$BJ128:$BT128,,AH128+1)*AF128-ERP_i)*AE128*Ramure*Pc/MaxiM</f>
        <v>1.3906955162678046E-4</v>
      </c>
      <c r="AE128" s="304">
        <f t="shared" si="40"/>
        <v>0.6</v>
      </c>
      <c r="AF128" s="177">
        <f t="shared" si="41"/>
        <v>6.1817141538674417E-2</v>
      </c>
      <c r="AG128" s="799">
        <f t="shared" si="49"/>
        <v>0</v>
      </c>
      <c r="AH128" s="176">
        <f t="shared" si="42"/>
        <v>6</v>
      </c>
      <c r="AI128" s="224">
        <f t="shared" si="43"/>
        <v>6.1817141538674417E-2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3">
        <v>46.725000000000001</v>
      </c>
      <c r="C129" s="388"/>
      <c r="D129" s="391">
        <f t="shared" si="25"/>
        <v>47.807449525871831</v>
      </c>
      <c r="E129" s="383">
        <f t="shared" si="47"/>
        <v>52.241068406658513</v>
      </c>
      <c r="F129" s="383">
        <f t="shared" si="26"/>
        <v>52.246629003917974</v>
      </c>
      <c r="G129" s="110">
        <f t="shared" si="48"/>
        <v>0.84537910081480661</v>
      </c>
      <c r="H129" s="412" t="b">
        <f>Wh_hp&gt;='2021'!Maxi_hp</f>
        <v>0</v>
      </c>
      <c r="I129" s="379">
        <f>IF(H129,Wh_hp,'2021'!Maxi_hp)</f>
        <v>57.415722541484826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2.264185888615633E-2</v>
      </c>
      <c r="M129" s="832"/>
      <c r="N129" s="832"/>
      <c r="O129" s="48">
        <f>IF(t&lt;Tnet,'2021'!Resal+('2021'!Salim-'2021'!Resal)*(1-EXP(('2021'!Tnet-t)/('2021'!Tau_j))),Resal+(Salim-Resal)*(1-EXP((Tnet-t)/(Tau_j))))*Salcycl</f>
        <v>8.4868457250418472E-2</v>
      </c>
      <c r="P129" s="169">
        <f>(INDEX(Models!$BJ129:$BT129,,T129)*(1-R129)+INDEX(Models!$BJ129:$BT129,,T129+1)*R129-ERP_i)*Q129*Ramure*Pc/MaxiM</f>
        <v>1.365973909646143E-4</v>
      </c>
      <c r="Q129" s="304">
        <f t="shared" si="28"/>
        <v>0.6</v>
      </c>
      <c r="R129" s="177">
        <f t="shared" si="29"/>
        <v>6.4127983043640258E-2</v>
      </c>
      <c r="S129" s="799">
        <f t="shared" si="30"/>
        <v>0</v>
      </c>
      <c r="T129" s="176">
        <f t="shared" si="31"/>
        <v>6</v>
      </c>
      <c r="U129" s="250">
        <f t="shared" si="32"/>
        <v>6.4127983043640258E-2</v>
      </c>
      <c r="V129" s="382">
        <f t="shared" si="33"/>
        <v>55.269393604989958</v>
      </c>
      <c r="W129" s="400">
        <f t="shared" si="34"/>
        <v>0</v>
      </c>
      <c r="X129" s="157">
        <f t="shared" si="35"/>
        <v>44676</v>
      </c>
      <c r="Y129" s="383">
        <f t="shared" si="36"/>
        <v>46.725000000000001</v>
      </c>
      <c r="Z129" s="383">
        <f t="shared" si="37"/>
        <v>47.807449525871831</v>
      </c>
      <c r="AA129" s="384">
        <f t="shared" si="38"/>
        <v>52.241068406658513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8.4868457250418472E-2</v>
      </c>
      <c r="AD129" s="230">
        <f>(INDEX(Models!$BJ129:$BT129,,AH129)*(1-AF129)+INDEX(Models!$BJ129:$BT129,,AH129+1)*AF129-ERP_i)*AE129*Ramure*Pc/MaxiM</f>
        <v>1.365973909646143E-4</v>
      </c>
      <c r="AE129" s="304">
        <f t="shared" si="40"/>
        <v>0.6</v>
      </c>
      <c r="AF129" s="177">
        <f t="shared" si="41"/>
        <v>6.4127983043640258E-2</v>
      </c>
      <c r="AG129" s="799">
        <f t="shared" si="49"/>
        <v>0</v>
      </c>
      <c r="AH129" s="176">
        <f t="shared" si="42"/>
        <v>6</v>
      </c>
      <c r="AI129" s="224">
        <f t="shared" si="43"/>
        <v>6.4127983043640258E-2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3">
        <v>53.57</v>
      </c>
      <c r="C130" s="388"/>
      <c r="D130" s="391">
        <f t="shared" si="25"/>
        <v>54.812073919446412</v>
      </c>
      <c r="E130" s="383">
        <f t="shared" si="47"/>
        <v>59.901743194563835</v>
      </c>
      <c r="F130" s="383">
        <f t="shared" si="26"/>
        <v>59.909404473598052</v>
      </c>
      <c r="G130" s="110">
        <f t="shared" si="48"/>
        <v>0.96682274908050125</v>
      </c>
      <c r="H130" s="412" t="b">
        <f>Wh_hp&gt;='2021'!Maxi_hp</f>
        <v>1</v>
      </c>
      <c r="I130" s="379">
        <f>IF(H130,Wh_hp,'2021'!Maxi_hp)</f>
        <v>59.909404473598052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2.2660589731959502E-2</v>
      </c>
      <c r="M130" s="832"/>
      <c r="N130" s="832"/>
      <c r="O130" s="48">
        <f>IF(t&lt;Tnet,'2021'!Resal+('2021'!Salim-'2021'!Resal)*(1-EXP(('2021'!Tnet-t)/('2021'!Tau_j))),Resal+(Salim-Resal)*(1-EXP((Tnet-t)/(Tau_j))))*Salcycl</f>
        <v>8.4966964293274785E-2</v>
      </c>
      <c r="P130" s="169">
        <f>(INDEX(Models!$BJ130:$BT130,,T130)*(1-R130)+INDEX(Models!$BJ130:$BT130,,T130+1)*R130-ERP_i)*Q130*Ramure*Pc/MaxiM</f>
        <v>1.3424246058055505E-4</v>
      </c>
      <c r="Q130" s="304">
        <f t="shared" si="28"/>
        <v>0.6</v>
      </c>
      <c r="R130" s="177">
        <f t="shared" si="29"/>
        <v>6.650993982149922E-2</v>
      </c>
      <c r="S130" s="799">
        <f t="shared" si="30"/>
        <v>0</v>
      </c>
      <c r="T130" s="176">
        <f t="shared" si="31"/>
        <v>6</v>
      </c>
      <c r="U130" s="250">
        <f t="shared" si="32"/>
        <v>6.650993982149922E-2</v>
      </c>
      <c r="V130" s="382">
        <f t="shared" si="33"/>
        <v>55.407942384398808</v>
      </c>
      <c r="W130" s="400">
        <f t="shared" si="34"/>
        <v>0</v>
      </c>
      <c r="X130" s="157">
        <f t="shared" si="35"/>
        <v>44677</v>
      </c>
      <c r="Y130" s="383">
        <f t="shared" si="36"/>
        <v>53.57</v>
      </c>
      <c r="Z130" s="383">
        <f t="shared" si="37"/>
        <v>54.812073919446412</v>
      </c>
      <c r="AA130" s="384">
        <f t="shared" si="38"/>
        <v>59.901743194563835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8.4966964293274785E-2</v>
      </c>
      <c r="AD130" s="230">
        <f>(INDEX(Models!$BJ130:$BT130,,AH130)*(1-AF130)+INDEX(Models!$BJ130:$BT130,,AH130+1)*AF130-ERP_i)*AE130*Ramure*Pc/MaxiM</f>
        <v>1.3424246058055505E-4</v>
      </c>
      <c r="AE130" s="304">
        <f t="shared" si="40"/>
        <v>0.6</v>
      </c>
      <c r="AF130" s="177">
        <f t="shared" si="41"/>
        <v>6.650993982149922E-2</v>
      </c>
      <c r="AG130" s="799">
        <f t="shared" si="49"/>
        <v>0</v>
      </c>
      <c r="AH130" s="176">
        <f t="shared" si="42"/>
        <v>6</v>
      </c>
      <c r="AI130" s="224">
        <f t="shared" si="43"/>
        <v>6.650993982149922E-2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3">
        <v>38.886000000000003</v>
      </c>
      <c r="C131" s="388"/>
      <c r="D131" s="391">
        <f t="shared" si="25"/>
        <v>39.788373258105331</v>
      </c>
      <c r="E131" s="383">
        <f t="shared" si="47"/>
        <v>43.487729144427561</v>
      </c>
      <c r="F131" s="383">
        <f t="shared" si="26"/>
        <v>43.491010827693984</v>
      </c>
      <c r="G131" s="110">
        <f t="shared" si="48"/>
        <v>0.70009911679775982</v>
      </c>
      <c r="H131" s="412" t="b">
        <f>Wh_hp&gt;='2021'!Maxi_hp</f>
        <v>1</v>
      </c>
      <c r="I131" s="379">
        <f>IF(H131,Wh_hp,'2021'!Maxi_hp)</f>
        <v>43.491010827693984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2.2679320218790378E-2</v>
      </c>
      <c r="M131" s="832"/>
      <c r="N131" s="832"/>
      <c r="O131" s="48">
        <f>IF(t&lt;Tnet,'2021'!Resal+('2021'!Salim-'2021'!Resal)*(1-EXP(('2021'!Tnet-t)/('2021'!Tau_j))),Resal+(Salim-Resal)*(1-EXP((Tnet-t)/(Tau_j))))*Salcycl</f>
        <v>8.5066660391400498E-2</v>
      </c>
      <c r="P131" s="169">
        <f>(INDEX(Models!$BJ131:$BT131,,T131)*(1-R131)+INDEX(Models!$BJ131:$BT131,,T131+1)*R131-ERP_i)*Q131*Ramure*Pc/MaxiM</f>
        <v>1.3200325269794162E-4</v>
      </c>
      <c r="Q131" s="304">
        <f t="shared" si="28"/>
        <v>0.6</v>
      </c>
      <c r="R131" s="177">
        <f t="shared" si="29"/>
        <v>6.896424080863417E-2</v>
      </c>
      <c r="S131" s="799">
        <f t="shared" si="30"/>
        <v>0</v>
      </c>
      <c r="T131" s="176">
        <f t="shared" si="31"/>
        <v>6</v>
      </c>
      <c r="U131" s="250">
        <f t="shared" si="32"/>
        <v>6.896424080863417E-2</v>
      </c>
      <c r="V131" s="382">
        <f t="shared" si="33"/>
        <v>55.54042281655925</v>
      </c>
      <c r="W131" s="400">
        <f t="shared" si="34"/>
        <v>0</v>
      </c>
      <c r="X131" s="157">
        <f t="shared" si="35"/>
        <v>44678</v>
      </c>
      <c r="Y131" s="383">
        <f t="shared" si="36"/>
        <v>38.886000000000003</v>
      </c>
      <c r="Z131" s="383">
        <f t="shared" si="37"/>
        <v>39.788373258105331</v>
      </c>
      <c r="AA131" s="384">
        <f t="shared" si="38"/>
        <v>43.487729144427561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8.5066660391400498E-2</v>
      </c>
      <c r="AD131" s="230">
        <f>(INDEX(Models!$BJ131:$BT131,,AH131)*(1-AF131)+INDEX(Models!$BJ131:$BT131,,AH131+1)*AF131-ERP_i)*AE131*Ramure*Pc/MaxiM</f>
        <v>1.3200325269794162E-4</v>
      </c>
      <c r="AE131" s="304">
        <f t="shared" si="40"/>
        <v>0.6</v>
      </c>
      <c r="AF131" s="177">
        <f t="shared" si="41"/>
        <v>6.896424080863417E-2</v>
      </c>
      <c r="AG131" s="799">
        <f t="shared" si="49"/>
        <v>0</v>
      </c>
      <c r="AH131" s="176">
        <f t="shared" si="42"/>
        <v>6</v>
      </c>
      <c r="AI131" s="224">
        <f t="shared" si="43"/>
        <v>6.896424080863417E-2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3">
        <v>23.43</v>
      </c>
      <c r="C132" s="388"/>
      <c r="D132" s="391">
        <f t="shared" si="25"/>
        <v>23.974166846091713</v>
      </c>
      <c r="E132" s="383">
        <f t="shared" si="47"/>
        <v>26.206073730878998</v>
      </c>
      <c r="F132" s="383">
        <f t="shared" si="26"/>
        <v>26.206661580251836</v>
      </c>
      <c r="G132" s="110">
        <f t="shared" si="48"/>
        <v>0.4208516916036148</v>
      </c>
      <c r="H132" s="412" t="b">
        <f>Wh_hp&gt;='2021'!Maxi_hp</f>
        <v>0</v>
      </c>
      <c r="I132" s="379">
        <f>IF(H132,Wh_hp,'2021'!Maxi_hp)</f>
        <v>46.721279625112096</v>
      </c>
      <c r="J132" s="85">
        <f>IF(H132,An,'2021'!An_max)</f>
        <v>2018</v>
      </c>
      <c r="K132" s="197">
        <f t="shared" si="27"/>
        <v>44679</v>
      </c>
      <c r="L132" s="147">
        <f>IF(t&lt;Tvie,1-EXP((T0-t)*PertePVj)+'2021'!Pspv,1-EXP((T0-t)*PertePVj)+Pspv)</f>
        <v>2.2698050346655729E-2</v>
      </c>
      <c r="M132" s="832"/>
      <c r="N132" s="832"/>
      <c r="O132" s="48">
        <f>IF(t&lt;Tnet,'2021'!Resal+('2021'!Salim-'2021'!Resal)*(1-EXP(('2021'!Tnet-t)/('2021'!Tau_j))),Resal+(Salim-Resal)*(1-EXP((Tnet-t)/(Tau_j))))*Salcycl</f>
        <v>8.5167541986932438E-2</v>
      </c>
      <c r="P132" s="169">
        <f>(INDEX(Models!$BJ132:$BT132,,T132)*(1-R132)+INDEX(Models!$BJ132:$BT132,,T132+1)*R132-ERP_i)*Q132*Ramure*Pc/MaxiM</f>
        <v>1.2987847284721293E-4</v>
      </c>
      <c r="Q132" s="304">
        <f t="shared" si="28"/>
        <v>0.6</v>
      </c>
      <c r="R132" s="177">
        <f t="shared" si="29"/>
        <v>7.149206485151148E-2</v>
      </c>
      <c r="S132" s="799">
        <f t="shared" si="30"/>
        <v>0</v>
      </c>
      <c r="T132" s="176">
        <f t="shared" si="31"/>
        <v>6</v>
      </c>
      <c r="U132" s="250">
        <f t="shared" si="32"/>
        <v>7.149206485151148E-2</v>
      </c>
      <c r="V132" s="382">
        <f t="shared" si="33"/>
        <v>55.666836853850768</v>
      </c>
      <c r="W132" s="400">
        <f t="shared" si="34"/>
        <v>0</v>
      </c>
      <c r="X132" s="157">
        <f t="shared" si="35"/>
        <v>44679</v>
      </c>
      <c r="Y132" s="383">
        <f t="shared" si="36"/>
        <v>23.43</v>
      </c>
      <c r="Z132" s="383">
        <f t="shared" si="37"/>
        <v>23.974166846091713</v>
      </c>
      <c r="AA132" s="384">
        <f t="shared" si="38"/>
        <v>26.206073730878998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8.5167541986932438E-2</v>
      </c>
      <c r="AD132" s="230">
        <f>(INDEX(Models!$BJ132:$BT132,,AH132)*(1-AF132)+INDEX(Models!$BJ132:$BT132,,AH132+1)*AF132-ERP_i)*AE132*Ramure*Pc/MaxiM</f>
        <v>1.2987847284721293E-4</v>
      </c>
      <c r="AE132" s="304">
        <f t="shared" si="40"/>
        <v>0.6</v>
      </c>
      <c r="AF132" s="177">
        <f t="shared" si="41"/>
        <v>7.149206485151148E-2</v>
      </c>
      <c r="AG132" s="799">
        <f t="shared" si="49"/>
        <v>0</v>
      </c>
      <c r="AH132" s="176">
        <f t="shared" si="42"/>
        <v>6</v>
      </c>
      <c r="AI132" s="224">
        <f t="shared" si="43"/>
        <v>7.149206485151148E-2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3">
        <v>42.85</v>
      </c>
      <c r="C133" s="388"/>
      <c r="D133" s="391">
        <f t="shared" si="25"/>
        <v>43.846040869367378</v>
      </c>
      <c r="E133" s="383">
        <f t="shared" si="47"/>
        <v>47.933293813671327</v>
      </c>
      <c r="F133" s="383">
        <f t="shared" si="26"/>
        <v>47.937392751496574</v>
      </c>
      <c r="G133" s="110">
        <f t="shared" si="48"/>
        <v>0.76806498521156985</v>
      </c>
      <c r="H133" s="412" t="b">
        <f>Wh_hp&gt;='2021'!Maxi_hp</f>
        <v>0</v>
      </c>
      <c r="I133" s="379">
        <f>IF(H133,Wh_hp,'2021'!Maxi_hp)</f>
        <v>51.783140656081144</v>
      </c>
      <c r="J133" s="85">
        <f>IF(H133,An,'2021'!An_max)</f>
        <v>2018</v>
      </c>
      <c r="K133" s="197">
        <f t="shared" si="27"/>
        <v>44680</v>
      </c>
      <c r="L133" s="147">
        <f>IF(t&lt;Tvie,1-EXP((T0-t)*PertePVj)+'2021'!Pspv,1-EXP((T0-t)*PertePVj)+Pspv)</f>
        <v>2.2716780115562329E-2</v>
      </c>
      <c r="M133" s="832"/>
      <c r="N133" s="832"/>
      <c r="O133" s="48">
        <f>IF(t&lt;Tnet,'2021'!Resal+('2021'!Salim-'2021'!Resal)*(1-EXP(('2021'!Tnet-t)/('2021'!Tau_j))),Resal+(Salim-Resal)*(1-EXP((Tnet-t)/(Tau_j))))*Salcycl</f>
        <v>8.5269603215504489E-2</v>
      </c>
      <c r="P133" s="169">
        <f>(INDEX(Models!$BJ133:$BT133,,T133)*(1-R133)+INDEX(Models!$BJ133:$BT133,,T133+1)*R133-ERP_i)*Q133*Ramure*Pc/MaxiM</f>
        <v>1.2786704121820776E-4</v>
      </c>
      <c r="Q133" s="304">
        <f t="shared" si="28"/>
        <v>0.6</v>
      </c>
      <c r="R133" s="177">
        <f t="shared" si="29"/>
        <v>7.4094534612643564E-2</v>
      </c>
      <c r="S133" s="799">
        <f t="shared" si="30"/>
        <v>0</v>
      </c>
      <c r="T133" s="176">
        <f t="shared" si="31"/>
        <v>6</v>
      </c>
      <c r="U133" s="250">
        <f t="shared" si="32"/>
        <v>7.4094534612643564E-2</v>
      </c>
      <c r="V133" s="382">
        <f t="shared" si="33"/>
        <v>55.787186633887806</v>
      </c>
      <c r="W133" s="400">
        <f t="shared" si="34"/>
        <v>0</v>
      </c>
      <c r="X133" s="157">
        <f t="shared" si="35"/>
        <v>44680</v>
      </c>
      <c r="Y133" s="383">
        <f t="shared" si="36"/>
        <v>42.85</v>
      </c>
      <c r="Z133" s="383">
        <f t="shared" si="37"/>
        <v>43.846040869367378</v>
      </c>
      <c r="AA133" s="384">
        <f t="shared" si="38"/>
        <v>47.933293813671327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8.5269603215504489E-2</v>
      </c>
      <c r="AD133" s="230">
        <f>(INDEX(Models!$BJ133:$BT133,,AH133)*(1-AF133)+INDEX(Models!$BJ133:$BT133,,AH133+1)*AF133-ERP_i)*AE133*Ramure*Pc/MaxiM</f>
        <v>1.2786704121820776E-4</v>
      </c>
      <c r="AE133" s="304">
        <f t="shared" si="40"/>
        <v>0.6</v>
      </c>
      <c r="AF133" s="177">
        <f t="shared" si="41"/>
        <v>7.4094534612643564E-2</v>
      </c>
      <c r="AG133" s="799">
        <f t="shared" si="49"/>
        <v>0</v>
      </c>
      <c r="AH133" s="176">
        <f t="shared" si="42"/>
        <v>6</v>
      </c>
      <c r="AI133" s="224">
        <f t="shared" si="43"/>
        <v>7.4094534612643564E-2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3">
        <v>45.358000000000004</v>
      </c>
      <c r="C134" s="388"/>
      <c r="D134" s="391">
        <f t="shared" si="25"/>
        <v>46.413228396314423</v>
      </c>
      <c r="E134" s="383">
        <f t="shared" si="47"/>
        <v>50.745517096153911</v>
      </c>
      <c r="F134" s="383">
        <f t="shared" si="26"/>
        <v>50.750187494888173</v>
      </c>
      <c r="G134" s="110">
        <f t="shared" si="48"/>
        <v>0.81136429394771747</v>
      </c>
      <c r="H134" s="412" t="b">
        <f>Wh_hp&gt;='2021'!Maxi_hp</f>
        <v>0</v>
      </c>
      <c r="I134" s="379">
        <f>IF(H134,Wh_hp,'2021'!Maxi_hp)</f>
        <v>61.648626642094747</v>
      </c>
      <c r="J134" s="85">
        <f>IF(H134,An,'2021'!An_max)</f>
        <v>2018</v>
      </c>
      <c r="K134" s="197">
        <f t="shared" si="27"/>
        <v>44681</v>
      </c>
      <c r="L134" s="147">
        <f>IF(t&lt;Tvie,1-EXP((T0-t)*PertePVj)+'2021'!Pspv,1-EXP((T0-t)*PertePVj)+Pspv)</f>
        <v>2.2735509525517283E-2</v>
      </c>
      <c r="M134" s="832"/>
      <c r="N134" s="832"/>
      <c r="O134" s="48">
        <f>IF(t&lt;Tnet,'2021'!Resal+('2021'!Salim-'2021'!Resal)*(1-EXP(('2021'!Tnet-t)/('2021'!Tau_j))),Resal+(Salim-Resal)*(1-EXP((Tnet-t)/(Tau_j))))*Salcycl</f>
        <v>8.5372835823715354E-2</v>
      </c>
      <c r="P134" s="169">
        <f>(INDEX(Models!$BJ134:$BT134,,T134)*(1-R134)+INDEX(Models!$BJ134:$BT134,,T134+1)*R134-ERP_i)*Q134*Ramure*Pc/MaxiM</f>
        <v>1.2596809408756105E-4</v>
      </c>
      <c r="Q134" s="304">
        <f t="shared" si="28"/>
        <v>0.6</v>
      </c>
      <c r="R134" s="177">
        <f t="shared" si="29"/>
        <v>7.6772710269922689E-2</v>
      </c>
      <c r="S134" s="799">
        <f t="shared" si="30"/>
        <v>0</v>
      </c>
      <c r="T134" s="176">
        <f t="shared" si="31"/>
        <v>6</v>
      </c>
      <c r="U134" s="250">
        <f t="shared" si="32"/>
        <v>7.6772710269922689E-2</v>
      </c>
      <c r="V134" s="382">
        <f t="shared" si="33"/>
        <v>55.90147447519491</v>
      </c>
      <c r="W134" s="400">
        <f t="shared" si="34"/>
        <v>0</v>
      </c>
      <c r="X134" s="157">
        <f t="shared" si="35"/>
        <v>44681</v>
      </c>
      <c r="Y134" s="383">
        <f t="shared" si="36"/>
        <v>45.358000000000004</v>
      </c>
      <c r="Z134" s="383">
        <f t="shared" si="37"/>
        <v>46.413228396314423</v>
      </c>
      <c r="AA134" s="384">
        <f t="shared" si="38"/>
        <v>50.745517096153911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8.5372835823715354E-2</v>
      </c>
      <c r="AD134" s="230">
        <f>(INDEX(Models!$BJ134:$BT134,,AH134)*(1-AF134)+INDEX(Models!$BJ134:$BT134,,AH134+1)*AF134-ERP_i)*AE134*Ramure*Pc/MaxiM</f>
        <v>1.2596809408756105E-4</v>
      </c>
      <c r="AE134" s="304">
        <f t="shared" si="40"/>
        <v>0.6</v>
      </c>
      <c r="AF134" s="177">
        <f t="shared" si="41"/>
        <v>7.6772710269922689E-2</v>
      </c>
      <c r="AG134" s="799">
        <f t="shared" si="49"/>
        <v>0</v>
      </c>
      <c r="AH134" s="176">
        <f t="shared" si="42"/>
        <v>6</v>
      </c>
      <c r="AI134" s="224">
        <f t="shared" si="43"/>
        <v>7.6772710269922689E-2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3">
        <v>45.893000000000001</v>
      </c>
      <c r="C135" s="388"/>
      <c r="D135" s="391">
        <f t="shared" si="25"/>
        <v>46.961574878719851</v>
      </c>
      <c r="E135" s="383">
        <f t="shared" si="47"/>
        <v>51.350908224973089</v>
      </c>
      <c r="F135" s="383">
        <f t="shared" si="26"/>
        <v>51.355640216775114</v>
      </c>
      <c r="G135" s="110">
        <f t="shared" si="48"/>
        <v>0.81936206843016302</v>
      </c>
      <c r="H135" s="412" t="b">
        <f>Wh_hp&gt;='2021'!Maxi_hp</f>
        <v>0</v>
      </c>
      <c r="I135" s="379">
        <f>IF(H135,Wh_hp,'2021'!Maxi_hp)</f>
        <v>57.098058064772587</v>
      </c>
      <c r="J135" s="85">
        <f>IF(H135,An,'2021'!An_max)</f>
        <v>2018</v>
      </c>
      <c r="K135" s="197">
        <f t="shared" si="27"/>
        <v>44682</v>
      </c>
      <c r="L135" s="147">
        <f>IF(t&lt;Tvie,1-EXP((T0-t)*PertePVj)+'2021'!Pspv,1-EXP((T0-t)*PertePVj)+Pspv)</f>
        <v>2.2754238576527475E-2</v>
      </c>
      <c r="M135" s="832"/>
      <c r="N135" s="832"/>
      <c r="O135" s="48">
        <f>IF(t&lt;Tnet,'2021'!Resal+('2021'!Salim-'2021'!Resal)*(1-EXP(('2021'!Tnet-t)/('2021'!Tau_j))),Resal+(Salim-Resal)*(1-EXP((Tnet-t)/(Tau_j))))*Salcycl</f>
        <v>8.5477229088591067E-2</v>
      </c>
      <c r="P135" s="169">
        <f>(INDEX(Models!$BJ135:$BT135,,T135)*(1-R135)+INDEX(Models!$BJ135:$BT135,,T135+1)*R135-ERP_i)*Q135*Ramure*Pc/MaxiM</f>
        <v>1.2418287001308184E-4</v>
      </c>
      <c r="Q135" s="304">
        <f t="shared" si="28"/>
        <v>0.6</v>
      </c>
      <c r="R135" s="177">
        <f t="shared" si="29"/>
        <v>7.9527583027982685E-2</v>
      </c>
      <c r="S135" s="799">
        <f t="shared" si="30"/>
        <v>0</v>
      </c>
      <c r="T135" s="176">
        <f t="shared" si="31"/>
        <v>6</v>
      </c>
      <c r="U135" s="250">
        <f t="shared" si="32"/>
        <v>7.9527583027982685E-2</v>
      </c>
      <c r="V135" s="382">
        <f t="shared" si="33"/>
        <v>56.008852695926279</v>
      </c>
      <c r="W135" s="400">
        <f t="shared" si="34"/>
        <v>0</v>
      </c>
      <c r="X135" s="157">
        <f t="shared" si="35"/>
        <v>44682</v>
      </c>
      <c r="Y135" s="383">
        <f t="shared" si="36"/>
        <v>45.893000000000001</v>
      </c>
      <c r="Z135" s="383">
        <f t="shared" si="37"/>
        <v>46.961574878719851</v>
      </c>
      <c r="AA135" s="384">
        <f t="shared" si="38"/>
        <v>51.350908224973089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8.5477229088591067E-2</v>
      </c>
      <c r="AD135" s="230">
        <f>(INDEX(Models!$BJ135:$BT135,,AH135)*(1-AF135)+INDEX(Models!$BJ135:$BT135,,AH135+1)*AF135-ERP_i)*AE135*Ramure*Pc/MaxiM</f>
        <v>1.2418287001308184E-4</v>
      </c>
      <c r="AE135" s="304">
        <f t="shared" si="40"/>
        <v>0.6</v>
      </c>
      <c r="AF135" s="177">
        <f t="shared" si="41"/>
        <v>7.9527583027982685E-2</v>
      </c>
      <c r="AG135" s="799">
        <f t="shared" si="49"/>
        <v>0</v>
      </c>
      <c r="AH135" s="176">
        <f t="shared" si="42"/>
        <v>6</v>
      </c>
      <c r="AI135" s="224">
        <f t="shared" si="43"/>
        <v>7.9527583027982685E-2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3">
        <v>29.515000000000001</v>
      </c>
      <c r="C136" s="388"/>
      <c r="D136" s="391">
        <f t="shared" si="25"/>
        <v>30.202807547703667</v>
      </c>
      <c r="E136" s="383">
        <f t="shared" si="47"/>
        <v>30.511620536589579</v>
      </c>
      <c r="F136" s="383">
        <f t="shared" si="26"/>
        <v>30.512614022773661</v>
      </c>
      <c r="G136" s="110">
        <f t="shared" si="48"/>
        <v>0.4858873528047406</v>
      </c>
      <c r="H136" s="412" t="b">
        <f>Wh_hp&gt;='2021'!Maxi_hp</f>
        <v>0</v>
      </c>
      <c r="I136" s="379">
        <f>IF(H136,Wh_hp,'2021'!Maxi_hp)</f>
        <v>49.564429764978506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2.2772967268599564E-2</v>
      </c>
      <c r="M136" s="832"/>
      <c r="N136" s="832"/>
      <c r="O136" s="48">
        <f>IF(t&lt;Tnet,'2021'!Resal+('2021'!Salim-'2021'!Resal)*(1-EXP(('2021'!Tnet-t)/('2021'!Tau_j))),Resal+(Salim-Resal)*(1-EXP((Tnet-t)/(Tau_j))))*Salcycl</f>
        <v>1.0121159854999638E-2</v>
      </c>
      <c r="P136" s="169">
        <f>(INDEX(Models!$BJ136:$BT136,,T136)*(1-R136)+INDEX(Models!$BJ136:$BT136,,T136+1)*R136-ERP_i)*Q136*Ramure*Pc/MaxiM</f>
        <v>1.2258248474613029E-4</v>
      </c>
      <c r="Q136" s="304">
        <f t="shared" si="28"/>
        <v>0.6</v>
      </c>
      <c r="R136" s="177">
        <f t="shared" si="29"/>
        <v>8.2360068463417771E-2</v>
      </c>
      <c r="S136" s="799">
        <f t="shared" si="30"/>
        <v>0</v>
      </c>
      <c r="T136" s="176">
        <f t="shared" si="31"/>
        <v>6</v>
      </c>
      <c r="U136" s="250">
        <f t="shared" si="32"/>
        <v>8.2360068463417771E-2</v>
      </c>
      <c r="V136" s="382">
        <f t="shared" si="33"/>
        <v>60.739063746174971</v>
      </c>
      <c r="W136" s="400">
        <f t="shared" si="34"/>
        <v>0</v>
      </c>
      <c r="X136" s="157">
        <f t="shared" si="35"/>
        <v>44683</v>
      </c>
      <c r="Y136" s="383">
        <f t="shared" si="36"/>
        <v>27.264977749370736</v>
      </c>
      <c r="Z136" s="383">
        <f t="shared" si="37"/>
        <v>27.90035154181491</v>
      </c>
      <c r="AA136" s="384">
        <f t="shared" si="38"/>
        <v>30.511620536589579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8.5582769739916964E-2</v>
      </c>
      <c r="AD136" s="230">
        <f>(INDEX(Models!$BJ136:$BT136,,AH136)*(1-AF136)+INDEX(Models!$BJ136:$BT136,,AH136+1)*AF136-ERP_i)*AE136*Ramure*Pc/MaxiM</f>
        <v>1.2258248474613029E-4</v>
      </c>
      <c r="AE136" s="304">
        <f t="shared" si="40"/>
        <v>0.6</v>
      </c>
      <c r="AF136" s="177">
        <f t="shared" si="41"/>
        <v>8.2360068463417771E-2</v>
      </c>
      <c r="AG136" s="799">
        <f t="shared" si="49"/>
        <v>0</v>
      </c>
      <c r="AH136" s="176">
        <f t="shared" si="42"/>
        <v>6</v>
      </c>
      <c r="AI136" s="224">
        <f t="shared" si="43"/>
        <v>8.2360068463417771E-2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3">
        <v>41.195999999999998</v>
      </c>
      <c r="C137" s="388"/>
      <c r="D137" s="391">
        <f t="shared" si="25"/>
        <v>42.15682553513242</v>
      </c>
      <c r="E137" s="383">
        <f t="shared" si="47"/>
        <v>42.59167871900982</v>
      </c>
      <c r="F137" s="383">
        <f t="shared" si="26"/>
        <v>42.594457743095766</v>
      </c>
      <c r="G137" s="110">
        <f t="shared" si="48"/>
        <v>0.67706971026141172</v>
      </c>
      <c r="H137" s="412" t="b">
        <f>Wh_hp&gt;='2021'!Maxi_hp</f>
        <v>0</v>
      </c>
      <c r="I137" s="379">
        <f>IF(H137,Wh_hp,'2021'!Maxi_hp)</f>
        <v>61.404519088032231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2.2791695601740547E-2</v>
      </c>
      <c r="M137" s="832"/>
      <c r="N137" s="832"/>
      <c r="O137" s="48">
        <f>IF(t&lt;Tnet,'2021'!Resal+('2021'!Salim-'2021'!Resal)*(1-EXP(('2021'!Tnet-t)/('2021'!Tau_j))),Resal+(Salim-Resal)*(1-EXP((Tnet-t)/(Tau_j))))*Salcycl</f>
        <v>1.0209815554495046E-2</v>
      </c>
      <c r="P137" s="169">
        <f>(INDEX(Models!$BJ137:$BT137,,T137)*(1-R137)+INDEX(Models!$BJ137:$BT137,,T137+1)*R137-ERP_i)*Q137*Ramure*Pc/MaxiM</f>
        <v>1.2110777986388455E-4</v>
      </c>
      <c r="Q137" s="304">
        <f t="shared" si="28"/>
        <v>0.6</v>
      </c>
      <c r="R137" s="177">
        <f t="shared" si="29"/>
        <v>8.5270999728981542E-2</v>
      </c>
      <c r="S137" s="799">
        <f t="shared" si="30"/>
        <v>0</v>
      </c>
      <c r="T137" s="176">
        <f t="shared" si="31"/>
        <v>6</v>
      </c>
      <c r="U137" s="250">
        <f t="shared" si="32"/>
        <v>8.5270999728981542E-2</v>
      </c>
      <c r="V137" s="382">
        <f t="shared" si="33"/>
        <v>60.84114804254223</v>
      </c>
      <c r="W137" s="400">
        <f t="shared" si="34"/>
        <v>0</v>
      </c>
      <c r="X137" s="157">
        <f t="shared" si="35"/>
        <v>44684</v>
      </c>
      <c r="Y137" s="383">
        <f t="shared" si="36"/>
        <v>38.056390524943019</v>
      </c>
      <c r="Z137" s="383">
        <f t="shared" si="37"/>
        <v>38.943990092651944</v>
      </c>
      <c r="AA137" s="384">
        <f t="shared" si="38"/>
        <v>42.59167871900982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8.5643222715469272E-2</v>
      </c>
      <c r="AD137" s="230">
        <f>(INDEX(Models!$BJ137:$BT137,,AH137)*(1-AF137)+INDEX(Models!$BJ137:$BT137,,AH137+1)*AF137-ERP_i)*AE137*Ramure*Pc/MaxiM</f>
        <v>1.2110777986388455E-4</v>
      </c>
      <c r="AE137" s="304">
        <f t="shared" si="40"/>
        <v>0.6</v>
      </c>
      <c r="AF137" s="177">
        <f t="shared" si="41"/>
        <v>8.5270999728981542E-2</v>
      </c>
      <c r="AG137" s="799">
        <f t="shared" si="49"/>
        <v>0</v>
      </c>
      <c r="AH137" s="176">
        <f t="shared" si="42"/>
        <v>6</v>
      </c>
      <c r="AI137" s="224">
        <f t="shared" si="43"/>
        <v>8.5270999728981542E-2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3">
        <v>22.308</v>
      </c>
      <c r="C138" s="388"/>
      <c r="D138" s="391">
        <f t="shared" si="25"/>
        <v>22.828733071053186</v>
      </c>
      <c r="E138" s="383">
        <f t="shared" si="47"/>
        <v>23.066283903606465</v>
      </c>
      <c r="F138" s="383">
        <f t="shared" si="26"/>
        <v>23.066544709912105</v>
      </c>
      <c r="G138" s="110">
        <f t="shared" si="48"/>
        <v>0.36604903479206907</v>
      </c>
      <c r="H138" s="412" t="b">
        <f>Wh_hp&gt;='2021'!Maxi_hp</f>
        <v>0</v>
      </c>
      <c r="I138" s="379">
        <f>IF(H138,Wh_hp,'2021'!Maxi_hp)</f>
        <v>54.000058250195806</v>
      </c>
      <c r="J138" s="85">
        <f>IF(H138,An,'2021'!An_max)</f>
        <v>2021</v>
      </c>
      <c r="K138" s="197">
        <f t="shared" si="27"/>
        <v>44685</v>
      </c>
      <c r="L138" s="147">
        <f>IF(t&lt;Tvie,1-EXP((T0-t)*PertePVj)+'2021'!Pspv,1-EXP((T0-t)*PertePVj)+Pspv)</f>
        <v>2.2810423575957306E-2</v>
      </c>
      <c r="M138" s="832"/>
      <c r="N138" s="832"/>
      <c r="O138" s="48">
        <f>IF(t&lt;Tnet,'2021'!Resal+('2021'!Salim-'2021'!Resal)*(1-EXP(('2021'!Tnet-t)/('2021'!Tau_j))),Resal+(Salim-Resal)*(1-EXP((Tnet-t)/(Tau_j))))*Salcycl</f>
        <v>1.02986173909069E-2</v>
      </c>
      <c r="P138" s="169">
        <f>(INDEX(Models!$BJ138:$BT138,,T138)*(1-R138)+INDEX(Models!$BJ138:$BT138,,T138+1)*R138-ERP_i)*Q138*Ramure*Pc/MaxiM</f>
        <v>1.1975843818986954E-4</v>
      </c>
      <c r="Q138" s="304">
        <f t="shared" si="28"/>
        <v>0.6</v>
      </c>
      <c r="R138" s="177">
        <f t="shared" si="29"/>
        <v>8.8261120645271945E-2</v>
      </c>
      <c r="S138" s="799">
        <f t="shared" si="30"/>
        <v>0</v>
      </c>
      <c r="T138" s="176">
        <f t="shared" si="31"/>
        <v>6</v>
      </c>
      <c r="U138" s="250">
        <f t="shared" si="32"/>
        <v>8.8261120645271945E-2</v>
      </c>
      <c r="V138" s="382">
        <f t="shared" si="33"/>
        <v>60.93604547748879</v>
      </c>
      <c r="W138" s="400">
        <f t="shared" si="34"/>
        <v>0</v>
      </c>
      <c r="X138" s="157">
        <f t="shared" si="35"/>
        <v>44685</v>
      </c>
      <c r="Y138" s="383">
        <f t="shared" si="36"/>
        <v>20.608335131296826</v>
      </c>
      <c r="Z138" s="383">
        <f t="shared" si="37"/>
        <v>21.08939312135481</v>
      </c>
      <c r="AA138" s="384">
        <f t="shared" si="38"/>
        <v>23.066283903606465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8.5704779777836818E-2</v>
      </c>
      <c r="AD138" s="230">
        <f>(INDEX(Models!$BJ138:$BT138,,AH138)*(1-AF138)+INDEX(Models!$BJ138:$BT138,,AH138+1)*AF138-ERP_i)*AE138*Ramure*Pc/MaxiM</f>
        <v>1.1975843818986954E-4</v>
      </c>
      <c r="AE138" s="304">
        <f t="shared" si="40"/>
        <v>0.6</v>
      </c>
      <c r="AF138" s="177">
        <f t="shared" si="41"/>
        <v>8.8261120645271945E-2</v>
      </c>
      <c r="AG138" s="799">
        <f t="shared" si="49"/>
        <v>0</v>
      </c>
      <c r="AH138" s="176">
        <f t="shared" si="42"/>
        <v>6</v>
      </c>
      <c r="AI138" s="224">
        <f t="shared" si="43"/>
        <v>8.8261120645271945E-2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3">
        <v>45.761000000000003</v>
      </c>
      <c r="C139" s="388"/>
      <c r="D139" s="391">
        <f t="shared" si="25"/>
        <v>46.830091233059868</v>
      </c>
      <c r="E139" s="383">
        <f t="shared" si="47"/>
        <v>47.321647958282398</v>
      </c>
      <c r="F139" s="383">
        <f t="shared" si="26"/>
        <v>47.325253239604251</v>
      </c>
      <c r="G139" s="110">
        <f t="shared" si="48"/>
        <v>0.7498512821194836</v>
      </c>
      <c r="H139" s="412" t="b">
        <f>Wh_hp&gt;='2021'!Maxi_hp</f>
        <v>0</v>
      </c>
      <c r="I139" s="379">
        <f>IF(H139,Wh_hp,'2021'!Maxi_hp)</f>
        <v>59.96671405061354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2.2829151191256614E-2</v>
      </c>
      <c r="M139" s="832"/>
      <c r="N139" s="832"/>
      <c r="O139" s="48">
        <f>IF(t&lt;Tnet,'2021'!Resal+('2021'!Salim-'2021'!Resal)*(1-EXP(('2021'!Tnet-t)/('2021'!Tau_j))),Resal+(Salim-Resal)*(1-EXP((Tnet-t)/(Tau_j))))*Salcycl</f>
        <v>1.0387565658234801E-2</v>
      </c>
      <c r="P139" s="169">
        <f>(INDEX(Models!$BJ139:$BT139,,T139)*(1-R139)+INDEX(Models!$BJ139:$BT139,,T139+1)*R139-ERP_i)*Q139*Ramure*Pc/MaxiM</f>
        <v>1.1853446020631877E-4</v>
      </c>
      <c r="Q139" s="304">
        <f t="shared" si="28"/>
        <v>0.6</v>
      </c>
      <c r="R139" s="177">
        <f t="shared" si="29"/>
        <v>9.133107871184834E-2</v>
      </c>
      <c r="S139" s="799">
        <f t="shared" si="30"/>
        <v>0</v>
      </c>
      <c r="T139" s="176">
        <f t="shared" si="31"/>
        <v>6</v>
      </c>
      <c r="U139" s="250">
        <f t="shared" si="32"/>
        <v>9.133107871184834E-2</v>
      </c>
      <c r="V139" s="382">
        <f t="shared" si="33"/>
        <v>61.024182798804361</v>
      </c>
      <c r="W139" s="400">
        <f t="shared" si="34"/>
        <v>0</v>
      </c>
      <c r="X139" s="157">
        <f t="shared" si="35"/>
        <v>44686</v>
      </c>
      <c r="Y139" s="383">
        <f t="shared" si="36"/>
        <v>42.275335008537049</v>
      </c>
      <c r="Z139" s="383">
        <f t="shared" si="37"/>
        <v>43.262992403093456</v>
      </c>
      <c r="AA139" s="384">
        <f t="shared" si="38"/>
        <v>47.321647958282398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8.5767417879591815E-2</v>
      </c>
      <c r="AD139" s="230">
        <f>(INDEX(Models!$BJ139:$BT139,,AH139)*(1-AF139)+INDEX(Models!$BJ139:$BT139,,AH139+1)*AF139-ERP_i)*AE139*Ramure*Pc/MaxiM</f>
        <v>1.1853446020631877E-4</v>
      </c>
      <c r="AE139" s="304">
        <f t="shared" si="40"/>
        <v>0.6</v>
      </c>
      <c r="AF139" s="177">
        <f t="shared" si="41"/>
        <v>9.133107871184834E-2</v>
      </c>
      <c r="AG139" s="799">
        <f t="shared" si="49"/>
        <v>0</v>
      </c>
      <c r="AH139" s="176">
        <f t="shared" si="42"/>
        <v>6</v>
      </c>
      <c r="AI139" s="224">
        <f t="shared" si="43"/>
        <v>9.133107871184834E-2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3">
        <v>40.157000000000004</v>
      </c>
      <c r="C140" s="388"/>
      <c r="D140" s="391">
        <f t="shared" si="25"/>
        <v>41.095955393521038</v>
      </c>
      <c r="E140" s="383">
        <f t="shared" si="47"/>
        <v>41.531062220972309</v>
      </c>
      <c r="F140" s="383">
        <f t="shared" si="26"/>
        <v>41.533550948788822</v>
      </c>
      <c r="G140" s="110">
        <f t="shared" si="48"/>
        <v>0.65713185343564062</v>
      </c>
      <c r="H140" s="412" t="b">
        <f>Wh_hp&gt;='2021'!Maxi_hp</f>
        <v>0</v>
      </c>
      <c r="I140" s="379">
        <f>IF(H140,Wh_hp,'2021'!Maxi_hp)</f>
        <v>63.959766591204975</v>
      </c>
      <c r="J140" s="85">
        <f>IF(H140,An,'2021'!An_max)</f>
        <v>2018</v>
      </c>
      <c r="K140" s="197">
        <f t="shared" si="27"/>
        <v>44687</v>
      </c>
      <c r="L140" s="147">
        <f>IF(t&lt;Tvie,1-EXP((T0-t)*PertePVj)+'2021'!Pspv,1-EXP((T0-t)*PertePVj)+Pspv)</f>
        <v>2.2847878447645575E-2</v>
      </c>
      <c r="M140" s="832"/>
      <c r="N140" s="832"/>
      <c r="O140" s="48">
        <f>IF(t&lt;Tnet,'2021'!Resal+('2021'!Salim-'2021'!Resal)*(1-EXP(('2021'!Tnet-t)/('2021'!Tau_j))),Resal+(Salim-Resal)*(1-EXP((Tnet-t)/(Tau_j))))*Salcycl</f>
        <v>1.0476660219674045E-2</v>
      </c>
      <c r="P140" s="169">
        <f>(INDEX(Models!$BJ140:$BT140,,T140)*(1-R140)+INDEX(Models!$BJ140:$BT140,,T140+1)*R140-ERP_i)*Q140*Ramure*Pc/MaxiM</f>
        <v>1.1743615595467324E-4</v>
      </c>
      <c r="Q140" s="304">
        <f t="shared" si="28"/>
        <v>0.6</v>
      </c>
      <c r="R140" s="177">
        <f t="shared" si="29"/>
        <v>9.4481418073189716E-2</v>
      </c>
      <c r="S140" s="799">
        <f t="shared" si="30"/>
        <v>0</v>
      </c>
      <c r="T140" s="176">
        <f t="shared" si="31"/>
        <v>6</v>
      </c>
      <c r="U140" s="250">
        <f t="shared" si="32"/>
        <v>9.4481418073189716E-2</v>
      </c>
      <c r="V140" s="382">
        <f t="shared" si="33"/>
        <v>61.105986586384113</v>
      </c>
      <c r="W140" s="400">
        <f t="shared" si="34"/>
        <v>0</v>
      </c>
      <c r="X140" s="157">
        <f t="shared" si="35"/>
        <v>44687</v>
      </c>
      <c r="Y140" s="383">
        <f t="shared" si="36"/>
        <v>37.098953193732868</v>
      </c>
      <c r="Z140" s="383">
        <f t="shared" si="37"/>
        <v>37.966405000273191</v>
      </c>
      <c r="AA140" s="384">
        <f t="shared" si="38"/>
        <v>41.531062220972309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8.5831111223036424E-2</v>
      </c>
      <c r="AD140" s="230">
        <f>(INDEX(Models!$BJ140:$BT140,,AH140)*(1-AF140)+INDEX(Models!$BJ140:$BT140,,AH140+1)*AF140-ERP_i)*AE140*Ramure*Pc/MaxiM</f>
        <v>1.1743615595467324E-4</v>
      </c>
      <c r="AE140" s="304">
        <f t="shared" si="40"/>
        <v>0.6</v>
      </c>
      <c r="AF140" s="177">
        <f t="shared" si="41"/>
        <v>9.4481418073189716E-2</v>
      </c>
      <c r="AG140" s="799">
        <f t="shared" si="49"/>
        <v>0</v>
      </c>
      <c r="AH140" s="176">
        <f t="shared" si="42"/>
        <v>6</v>
      </c>
      <c r="AI140" s="224">
        <f t="shared" si="43"/>
        <v>9.4481418073189716E-2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3">
        <v>54.938000000000002</v>
      </c>
      <c r="C141" s="388"/>
      <c r="D141" s="391">
        <f t="shared" si="25"/>
        <v>56.223643875567795</v>
      </c>
      <c r="E141" s="383">
        <f t="shared" si="47"/>
        <v>56.824041038609529</v>
      </c>
      <c r="F141" s="383">
        <f t="shared" si="26"/>
        <v>56.829694717464399</v>
      </c>
      <c r="G141" s="110">
        <f t="shared" si="48"/>
        <v>0.89793030482176106</v>
      </c>
      <c r="H141" s="412" t="b">
        <f>Wh_hp&gt;='2021'!Maxi_hp</f>
        <v>0</v>
      </c>
      <c r="I141" s="379">
        <f>IF(H141,Wh_hp,'2021'!Maxi_hp)</f>
        <v>60.392486037860046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2.2866605345130853E-2</v>
      </c>
      <c r="M141" s="832"/>
      <c r="N141" s="832"/>
      <c r="O141" s="48">
        <f>IF(t&lt;Tnet,'2021'!Resal+('2021'!Salim-'2021'!Resal)*(1-EXP(('2021'!Tnet-t)/('2021'!Tau_j))),Resal+(Salim-Resal)*(1-EXP((Tnet-t)/(Tau_j))))*Salcycl</f>
        <v>1.0565900489790805E-2</v>
      </c>
      <c r="P141" s="169">
        <f>(INDEX(Models!$BJ141:$BT141,,T141)*(1-R141)+INDEX(Models!$BJ141:$BT141,,T141+1)*R141-ERP_i)*Q141*Ramure*Pc/MaxiM</f>
        <v>1.1646413682725654E-4</v>
      </c>
      <c r="Q141" s="304">
        <f t="shared" si="28"/>
        <v>0.6</v>
      </c>
      <c r="R141" s="177">
        <f t="shared" si="29"/>
        <v>9.7712572478342044E-2</v>
      </c>
      <c r="S141" s="799">
        <f t="shared" si="30"/>
        <v>0</v>
      </c>
      <c r="T141" s="176">
        <f t="shared" si="31"/>
        <v>6</v>
      </c>
      <c r="U141" s="250">
        <f t="shared" si="32"/>
        <v>9.7712572478342044E-2</v>
      </c>
      <c r="V141" s="382">
        <f t="shared" si="33"/>
        <v>61.181883259556081</v>
      </c>
      <c r="W141" s="400">
        <f t="shared" si="34"/>
        <v>0</v>
      </c>
      <c r="X141" s="157">
        <f t="shared" si="35"/>
        <v>44688</v>
      </c>
      <c r="Y141" s="383">
        <f t="shared" si="36"/>
        <v>50.755330596915691</v>
      </c>
      <c r="Z141" s="383">
        <f t="shared" si="37"/>
        <v>51.94309280038766</v>
      </c>
      <c r="AA141" s="384">
        <f t="shared" si="38"/>
        <v>56.824041038609529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8.5895831218787785E-2</v>
      </c>
      <c r="AD141" s="230">
        <f>(INDEX(Models!$BJ141:$BT141,,AH141)*(1-AF141)+INDEX(Models!$BJ141:$BT141,,AH141+1)*AF141-ERP_i)*AE141*Ramure*Pc/MaxiM</f>
        <v>1.1646413682725654E-4</v>
      </c>
      <c r="AE141" s="304">
        <f t="shared" si="40"/>
        <v>0.6</v>
      </c>
      <c r="AF141" s="177">
        <f t="shared" si="41"/>
        <v>9.7712572478342044E-2</v>
      </c>
      <c r="AG141" s="799">
        <f t="shared" si="49"/>
        <v>0</v>
      </c>
      <c r="AH141" s="176">
        <f t="shared" si="42"/>
        <v>6</v>
      </c>
      <c r="AI141" s="224">
        <f t="shared" si="43"/>
        <v>9.7712572478342044E-2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3">
        <v>50.658999999999999</v>
      </c>
      <c r="C142" s="388"/>
      <c r="D142" s="391">
        <f t="shared" si="25"/>
        <v>51.845501508704587</v>
      </c>
      <c r="E142" s="383">
        <f t="shared" si="47"/>
        <v>52.403879805017461</v>
      </c>
      <c r="F142" s="383">
        <f t="shared" si="26"/>
        <v>52.40844154526733</v>
      </c>
      <c r="G142" s="110">
        <f t="shared" si="48"/>
        <v>0.82703103315447957</v>
      </c>
      <c r="H142" s="412" t="b">
        <f>Wh_hp&gt;='2021'!Maxi_hp</f>
        <v>0</v>
      </c>
      <c r="I142" s="379">
        <f>IF(H142,Wh_hp,'2021'!Maxi_hp)</f>
        <v>59.443974291396984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2.2885331883719551E-2</v>
      </c>
      <c r="M142" s="832"/>
      <c r="N142" s="832"/>
      <c r="O142" s="48">
        <f>IF(t&lt;Tnet,'2021'!Resal+('2021'!Salim-'2021'!Resal)*(1-EXP(('2021'!Tnet-t)/('2021'!Tau_j))),Resal+(Salim-Resal)*(1-EXP((Tnet-t)/(Tau_j))))*Salcycl</f>
        <v>1.0655285417615432E-2</v>
      </c>
      <c r="P142" s="169">
        <f>(INDEX(Models!$BJ142:$BT142,,T142)*(1-R142)+INDEX(Models!$BJ142:$BT142,,T142+1)*R142-ERP_i)*Q142*Ramure*Pc/MaxiM</f>
        <v>1.1560368870074979E-4</v>
      </c>
      <c r="Q142" s="304">
        <f t="shared" si="28"/>
        <v>0.6</v>
      </c>
      <c r="R142" s="177">
        <f t="shared" si="29"/>
        <v>0.10102485827647499</v>
      </c>
      <c r="S142" s="799">
        <f t="shared" si="30"/>
        <v>0</v>
      </c>
      <c r="T142" s="176">
        <f t="shared" si="31"/>
        <v>6</v>
      </c>
      <c r="U142" s="250">
        <f t="shared" si="32"/>
        <v>0.10102485827647499</v>
      </c>
      <c r="V142" s="382">
        <f t="shared" si="33"/>
        <v>61.252300024057462</v>
      </c>
      <c r="W142" s="400">
        <f t="shared" si="34"/>
        <v>0</v>
      </c>
      <c r="X142" s="157">
        <f t="shared" si="35"/>
        <v>44689</v>
      </c>
      <c r="Y142" s="383">
        <f t="shared" si="36"/>
        <v>46.802973054512016</v>
      </c>
      <c r="Z142" s="383">
        <f t="shared" si="37"/>
        <v>47.899161256826289</v>
      </c>
      <c r="AA142" s="384">
        <f t="shared" si="38"/>
        <v>52.403879805017461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8.5961546453281149E-2</v>
      </c>
      <c r="AD142" s="230">
        <f>(INDEX(Models!$BJ142:$BT142,,AH142)*(1-AF142)+INDEX(Models!$BJ142:$BT142,,AH142+1)*AF142-ERP_i)*AE142*Ramure*Pc/MaxiM</f>
        <v>1.1560368870074979E-4</v>
      </c>
      <c r="AE142" s="304">
        <f t="shared" si="40"/>
        <v>0.6</v>
      </c>
      <c r="AF142" s="177">
        <f t="shared" si="41"/>
        <v>0.10102485827647499</v>
      </c>
      <c r="AG142" s="799">
        <f t="shared" si="49"/>
        <v>0</v>
      </c>
      <c r="AH142" s="176">
        <f t="shared" si="42"/>
        <v>6</v>
      </c>
      <c r="AI142" s="224">
        <f t="shared" si="43"/>
        <v>0.10102485827647499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3">
        <v>58.172000000000004</v>
      </c>
      <c r="C143" s="388"/>
      <c r="D143" s="391">
        <f t="shared" ref="D143:D206" si="50">Wh/(1-Ppv)</f>
        <v>59.535606999558752</v>
      </c>
      <c r="E143" s="383">
        <f t="shared" si="47"/>
        <v>60.182254094053775</v>
      </c>
      <c r="F143" s="383">
        <f t="shared" ref="F143:F206" si="51">Wh_sa/(1-Pvg*MEDIAN((-Sdif+Wh/Env_an)/Csdif,0,1))</f>
        <v>60.188657093420851</v>
      </c>
      <c r="G143" s="110">
        <f t="shared" si="48"/>
        <v>0.94869086953472959</v>
      </c>
      <c r="H143" s="412" t="b">
        <f>Wh_hp&gt;='2021'!Maxi_hp</f>
        <v>1</v>
      </c>
      <c r="I143" s="379">
        <f>IF(H143,Wh_hp,'2021'!Maxi_hp)</f>
        <v>60.188657093420851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2.2904058063418331E-2</v>
      </c>
      <c r="M143" s="832"/>
      <c r="N143" s="832"/>
      <c r="O143" s="48">
        <f>IF(t&lt;Tnet,'2021'!Resal+('2021'!Salim-'2021'!Resal)*(1-EXP(('2021'!Tnet-t)/('2021'!Tau_j))),Resal+(Salim-Resal)*(1-EXP((Tnet-t)/(Tau_j))))*Salcycl</f>
        <v>1.0744813470835368E-2</v>
      </c>
      <c r="P143" s="169">
        <f>(INDEX(Models!$BJ143:$BT143,,T143)*(1-R143)+INDEX(Models!$BJ143:$BT143,,T143+1)*R143-ERP_i)*Q143*Ramure*Pc/MaxiM</f>
        <v>1.1479519656923065E-4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0.10441846749382039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0.10441846749382039</v>
      </c>
      <c r="V143" s="382">
        <f t="shared" ref="V143:V206" si="58">MaxiM*(1-Ppv)*(1-Pvg)*(1-Psa)</f>
        <v>61.317666705608822</v>
      </c>
      <c r="W143" s="400">
        <f t="shared" ref="W143:W206" si="59">Wh*(A143&gt;Tmaj)</f>
        <v>0</v>
      </c>
      <c r="X143" s="157">
        <f t="shared" ref="X143:X206" si="60">t</f>
        <v>44690</v>
      </c>
      <c r="Y143" s="383">
        <f t="shared" ref="Y143:Y206" si="61">Wh_pvt_s*(1-Ppv)</f>
        <v>53.745046733193355</v>
      </c>
      <c r="Z143" s="383">
        <f t="shared" ref="Z143:Z206" si="62">Wh_sa_s*(1-Psa_s)</f>
        <v>55.004881738298813</v>
      </c>
      <c r="AA143" s="384">
        <f t="shared" ref="AA143:AA206" si="63">Wh_hp*(1-Pvg_s*MEDIAN((-Sdif+Wh/Env_an)/Csdif,0,1))</f>
        <v>60.182254094053775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8.6028222666164694E-2</v>
      </c>
      <c r="AD143" s="230">
        <f>(INDEX(Models!$BJ143:$BT143,,AH143)*(1-AF143)+INDEX(Models!$BJ143:$BT143,,AH143+1)*AF143-ERP_i)*AE143*Ramure*Pc/MaxiM</f>
        <v>1.1479519656923065E-4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0.10441846749382039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0.10441846749382039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3">
        <v>54.338999999999999</v>
      </c>
      <c r="C144" s="388"/>
      <c r="D144" s="391">
        <f t="shared" si="50"/>
        <v>55.613823660751308</v>
      </c>
      <c r="E144" s="383">
        <f t="shared" ref="E144:E169" si="72">Wh_pvt/(1-Psa)</f>
        <v>56.222970457084884</v>
      </c>
      <c r="F144" s="383">
        <f t="shared" si="51"/>
        <v>56.228332022395691</v>
      </c>
      <c r="G144" s="110">
        <f t="shared" ref="G144:G169" si="73">+Wh_hp/MaxiM</f>
        <v>0.88529476660569306</v>
      </c>
      <c r="H144" s="412" t="b">
        <f>Wh_hp&gt;='2021'!Maxi_hp</f>
        <v>1</v>
      </c>
      <c r="I144" s="379">
        <f>IF(H144,Wh_hp,'2021'!Maxi_hp)</f>
        <v>56.228332022395691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2.2922783884234077E-2</v>
      </c>
      <c r="M144" s="832"/>
      <c r="N144" s="832"/>
      <c r="O144" s="48">
        <f>IF(t&lt;Tnet,'2021'!Resal+('2021'!Salim-'2021'!Resal)*(1-EXP(('2021'!Tnet-t)/('2021'!Tau_j))),Resal+(Salim-Resal)*(1-EXP((Tnet-t)/(Tau_j))))*Salcycl</f>
        <v>1.083448262127199E-2</v>
      </c>
      <c r="P144" s="169">
        <f>(INDEX(Models!$BJ144:$BT144,,T144)*(1-R144)+INDEX(Models!$BJ144:$BT144,,T144+1)*R144-ERP_i)*Q144*Ramure*Pc/MaxiM</f>
        <v>1.1403745707622764E-4</v>
      </c>
      <c r="Q144" s="304">
        <f t="shared" si="53"/>
        <v>0.6</v>
      </c>
      <c r="R144" s="177">
        <f t="shared" si="54"/>
        <v>0.10789346104053862</v>
      </c>
      <c r="S144" s="799">
        <f t="shared" si="55"/>
        <v>0</v>
      </c>
      <c r="T144" s="176">
        <f t="shared" si="56"/>
        <v>6</v>
      </c>
      <c r="U144" s="250">
        <f t="shared" si="57"/>
        <v>0.10789346104053862</v>
      </c>
      <c r="V144" s="382">
        <f t="shared" si="58"/>
        <v>61.378409409475168</v>
      </c>
      <c r="W144" s="400">
        <f t="shared" si="59"/>
        <v>0</v>
      </c>
      <c r="X144" s="157">
        <f t="shared" si="60"/>
        <v>44691</v>
      </c>
      <c r="Y144" s="383">
        <f t="shared" si="61"/>
        <v>50.204579734856694</v>
      </c>
      <c r="Z144" s="383">
        <f t="shared" si="62"/>
        <v>51.382407558778205</v>
      </c>
      <c r="AA144" s="384">
        <f t="shared" si="63"/>
        <v>56.222970457084884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8.6095822738528047E-2</v>
      </c>
      <c r="AD144" s="230">
        <f>(INDEX(Models!$BJ144:$BT144,,AH144)*(1-AF144)+INDEX(Models!$BJ144:$BT144,,AH144+1)*AF144-ERP_i)*AE144*Ramure*Pc/MaxiM</f>
        <v>1.1403745707622764E-4</v>
      </c>
      <c r="AE144" s="304">
        <f t="shared" si="65"/>
        <v>0.6</v>
      </c>
      <c r="AF144" s="177">
        <f t="shared" si="66"/>
        <v>0.10789346104053862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0.10789346104053862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3">
        <v>58.594999999999999</v>
      </c>
      <c r="C145" s="388"/>
      <c r="D145" s="391">
        <f t="shared" si="50"/>
        <v>59.970821154002259</v>
      </c>
      <c r="E145" s="383">
        <f t="shared" si="72"/>
        <v>60.633195788542821</v>
      </c>
      <c r="F145" s="383">
        <f t="shared" si="51"/>
        <v>60.639614204775107</v>
      </c>
      <c r="G145" s="110">
        <f t="shared" si="73"/>
        <v>0.95376585356336718</v>
      </c>
      <c r="H145" s="412" t="b">
        <f>Wh_hp&gt;='2021'!Maxi_hp</f>
        <v>1</v>
      </c>
      <c r="I145" s="379">
        <f>IF(H145,Wh_hp,'2021'!Maxi_hp)</f>
        <v>60.639614204775107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2.2941509346173783E-2</v>
      </c>
      <c r="M145" s="832"/>
      <c r="N145" s="832"/>
      <c r="O145" s="48">
        <f>IF(t&lt;Tnet,'2021'!Resal+('2021'!Salim-'2021'!Resal)*(1-EXP(('2021'!Tnet-t)/('2021'!Tau_j))),Resal+(Salim-Resal)*(1-EXP((Tnet-t)/(Tau_j))))*Salcycl</f>
        <v>1.0924290331827173E-2</v>
      </c>
      <c r="P145" s="169">
        <f>(INDEX(Models!$BJ145:$BT145,,T145)*(1-R145)+INDEX(Models!$BJ145:$BT145,,T145+1)*R145-ERP_i)*Q145*Ramure*Pc/MaxiM</f>
        <v>1.1332937981774041E-4</v>
      </c>
      <c r="Q145" s="304">
        <f t="shared" si="53"/>
        <v>0.6</v>
      </c>
      <c r="R145" s="177">
        <f t="shared" si="54"/>
        <v>0.11144976209890288</v>
      </c>
      <c r="S145" s="799">
        <f t="shared" si="55"/>
        <v>0</v>
      </c>
      <c r="T145" s="176">
        <f t="shared" si="56"/>
        <v>6</v>
      </c>
      <c r="U145" s="250">
        <f t="shared" si="57"/>
        <v>0.11144976209890288</v>
      </c>
      <c r="V145" s="382">
        <f t="shared" si="58"/>
        <v>61.434954085582099</v>
      </c>
      <c r="W145" s="400">
        <f t="shared" si="59"/>
        <v>0</v>
      </c>
      <c r="X145" s="157">
        <f t="shared" si="60"/>
        <v>44692</v>
      </c>
      <c r="Y145" s="383">
        <f t="shared" si="61"/>
        <v>54.137617500783783</v>
      </c>
      <c r="Z145" s="383">
        <f t="shared" si="62"/>
        <v>55.408778510850532</v>
      </c>
      <c r="AA145" s="384">
        <f t="shared" si="63"/>
        <v>60.633195788542821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8.6164306692860959E-2</v>
      </c>
      <c r="AD145" s="230">
        <f>(INDEX(Models!$BJ145:$BT145,,AH145)*(1-AF145)+INDEX(Models!$BJ145:$BT145,,AH145+1)*AF145-ERP_i)*AE145*Ramure*Pc/MaxiM</f>
        <v>1.1332937981774041E-4</v>
      </c>
      <c r="AE145" s="304">
        <f t="shared" si="65"/>
        <v>0.6</v>
      </c>
      <c r="AF145" s="177">
        <f t="shared" si="66"/>
        <v>0.11144976209890288</v>
      </c>
      <c r="AG145" s="799">
        <f t="shared" si="74"/>
        <v>0</v>
      </c>
      <c r="AH145" s="176">
        <f t="shared" si="67"/>
        <v>6</v>
      </c>
      <c r="AI145" s="224">
        <f t="shared" si="68"/>
        <v>0.11144976209890288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3">
        <v>43.686</v>
      </c>
      <c r="C146" s="388"/>
      <c r="D146" s="391">
        <f t="shared" si="50"/>
        <v>44.712612055635496</v>
      </c>
      <c r="E146" s="383">
        <f t="shared" si="72"/>
        <v>45.210571852728251</v>
      </c>
      <c r="F146" s="383">
        <f t="shared" si="51"/>
        <v>45.213559121744069</v>
      </c>
      <c r="G146" s="110">
        <f t="shared" si="73"/>
        <v>0.71045014299524045</v>
      </c>
      <c r="H146" s="412" t="b">
        <f>Wh_hp&gt;='2021'!Maxi_hp</f>
        <v>0</v>
      </c>
      <c r="I146" s="379">
        <f>IF(H146,Wh_hp,'2021'!Maxi_hp)</f>
        <v>56.127004376201441</v>
      </c>
      <c r="J146" s="85">
        <f>IF(H146,An,'2021'!An_max)</f>
        <v>2018</v>
      </c>
      <c r="K146" s="197">
        <f t="shared" si="52"/>
        <v>44693</v>
      </c>
      <c r="L146" s="147">
        <f>IF(t&lt;Tvie,1-EXP((T0-t)*PertePVj)+'2021'!Pspv,1-EXP((T0-t)*PertePVj)+Pspv)</f>
        <v>2.2960234449244332E-2</v>
      </c>
      <c r="M146" s="832"/>
      <c r="N146" s="832"/>
      <c r="O146" s="48">
        <f>IF(t&lt;Tnet,'2021'!Resal+('2021'!Salim-'2021'!Resal)*(1-EXP(('2021'!Tnet-t)/('2021'!Tau_j))),Resal+(Salim-Resal)*(1-EXP((Tnet-t)/(Tau_j))))*Salcycl</f>
        <v>1.1014233545083997E-2</v>
      </c>
      <c r="P146" s="169">
        <f>(INDEX(Models!$BJ146:$BT146,,T146)*(1-R146)+INDEX(Models!$BJ146:$BT146,,T146+1)*R146-ERP_i)*Q146*Ramure*Pc/MaxiM</f>
        <v>1.1266998467793491E-4</v>
      </c>
      <c r="Q146" s="304">
        <f t="shared" si="53"/>
        <v>0.6</v>
      </c>
      <c r="R146" s="177">
        <f t="shared" si="54"/>
        <v>0.11508714974673162</v>
      </c>
      <c r="S146" s="799">
        <f t="shared" si="55"/>
        <v>0</v>
      </c>
      <c r="T146" s="176">
        <f t="shared" si="56"/>
        <v>6</v>
      </c>
      <c r="U146" s="250">
        <f t="shared" si="57"/>
        <v>0.11508714974673162</v>
      </c>
      <c r="V146" s="382">
        <f t="shared" si="58"/>
        <v>61.487726532423522</v>
      </c>
      <c r="W146" s="400">
        <f t="shared" si="59"/>
        <v>0</v>
      </c>
      <c r="X146" s="157">
        <f t="shared" si="60"/>
        <v>44693</v>
      </c>
      <c r="Y146" s="383">
        <f t="shared" si="61"/>
        <v>40.363369139680785</v>
      </c>
      <c r="Z146" s="383">
        <f t="shared" si="62"/>
        <v>41.31190005038129</v>
      </c>
      <c r="AA146" s="384">
        <f t="shared" si="63"/>
        <v>45.210571852728251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8.6233631705582875E-2</v>
      </c>
      <c r="AD146" s="230">
        <f>(INDEX(Models!$BJ146:$BT146,,AH146)*(1-AF146)+INDEX(Models!$BJ146:$BT146,,AH146+1)*AF146-ERP_i)*AE146*Ramure*Pc/MaxiM</f>
        <v>1.1266998467793491E-4</v>
      </c>
      <c r="AE146" s="304">
        <f t="shared" si="65"/>
        <v>0.6</v>
      </c>
      <c r="AF146" s="177">
        <f t="shared" si="66"/>
        <v>0.11508714974673162</v>
      </c>
      <c r="AG146" s="799">
        <f t="shared" si="74"/>
        <v>0</v>
      </c>
      <c r="AH146" s="176">
        <f t="shared" si="67"/>
        <v>6</v>
      </c>
      <c r="AI146" s="224">
        <f t="shared" si="68"/>
        <v>0.11508714974673162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3">
        <v>45.758000000000003</v>
      </c>
      <c r="C147" s="388"/>
      <c r="D147" s="391">
        <f t="shared" si="50"/>
        <v>46.834201198191181</v>
      </c>
      <c r="E147" s="383">
        <f t="shared" si="72"/>
        <v>47.360102393994197</v>
      </c>
      <c r="F147" s="383">
        <f t="shared" si="51"/>
        <v>47.363465689704839</v>
      </c>
      <c r="G147" s="110">
        <f t="shared" si="73"/>
        <v>0.74355279389008533</v>
      </c>
      <c r="H147" s="412" t="b">
        <f>Wh_hp&gt;='2021'!Maxi_hp</f>
        <v>0</v>
      </c>
      <c r="I147" s="379">
        <f>IF(H147,Wh_hp,'2021'!Maxi_hp)</f>
        <v>64.735176440204555</v>
      </c>
      <c r="J147" s="85">
        <f>IF(H147,An,'2021'!An_max)</f>
        <v>2018</v>
      </c>
      <c r="K147" s="197">
        <f t="shared" si="52"/>
        <v>44694</v>
      </c>
      <c r="L147" s="147">
        <f>IF(t&lt;Tvie,1-EXP((T0-t)*PertePVj)+'2021'!Pspv,1-EXP((T0-t)*PertePVj)+Pspv)</f>
        <v>2.2978959193452497E-2</v>
      </c>
      <c r="M147" s="832"/>
      <c r="N147" s="832"/>
      <c r="O147" s="48">
        <f>IF(t&lt;Tnet,'2021'!Resal+('2021'!Salim-'2021'!Resal)*(1-EXP(('2021'!Tnet-t)/('2021'!Tau_j))),Resal+(Salim-Resal)*(1-EXP((Tnet-t)/(Tau_j))))*Salcycl</f>
        <v>1.1104308673743672E-2</v>
      </c>
      <c r="P147" s="169">
        <f>(INDEX(Models!$BJ147:$BT147,,T147)*(1-R147)+INDEX(Models!$BJ147:$BT147,,T147+1)*R147-ERP_i)*Q147*Ramure*Pc/MaxiM</f>
        <v>1.1205839929042771E-4</v>
      </c>
      <c r="Q147" s="304">
        <f t="shared" si="53"/>
        <v>0.6</v>
      </c>
      <c r="R147" s="177">
        <f t="shared" si="54"/>
        <v>0.11880525287218373</v>
      </c>
      <c r="S147" s="799">
        <f t="shared" si="55"/>
        <v>0</v>
      </c>
      <c r="T147" s="176">
        <f t="shared" si="56"/>
        <v>6</v>
      </c>
      <c r="U147" s="250">
        <f t="shared" si="57"/>
        <v>0.11880525287218373</v>
      </c>
      <c r="V147" s="382">
        <f t="shared" si="58"/>
        <v>61.537152392425533</v>
      </c>
      <c r="W147" s="400">
        <f t="shared" si="59"/>
        <v>0</v>
      </c>
      <c r="X147" s="157">
        <f t="shared" si="60"/>
        <v>44694</v>
      </c>
      <c r="Y147" s="383">
        <f t="shared" si="61"/>
        <v>42.278385148822039</v>
      </c>
      <c r="Z147" s="383">
        <f t="shared" si="62"/>
        <v>43.272747855993472</v>
      </c>
      <c r="AA147" s="384">
        <f t="shared" si="63"/>
        <v>47.360102393994197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8.6303752132914469E-2</v>
      </c>
      <c r="AD147" s="230">
        <f>(INDEX(Models!$BJ147:$BT147,,AH147)*(1-AF147)+INDEX(Models!$BJ147:$BT147,,AH147+1)*AF147-ERP_i)*AE147*Ramure*Pc/MaxiM</f>
        <v>1.1205839929042771E-4</v>
      </c>
      <c r="AE147" s="304">
        <f t="shared" si="65"/>
        <v>0.6</v>
      </c>
      <c r="AF147" s="177">
        <f t="shared" si="66"/>
        <v>0.11880525287218373</v>
      </c>
      <c r="AG147" s="799">
        <f t="shared" si="74"/>
        <v>0</v>
      </c>
      <c r="AH147" s="176">
        <f t="shared" si="67"/>
        <v>6</v>
      </c>
      <c r="AI147" s="224">
        <f t="shared" si="68"/>
        <v>0.11880525287218373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3">
        <v>52.142000000000003</v>
      </c>
      <c r="C148" s="388"/>
      <c r="D148" s="391">
        <f t="shared" si="50"/>
        <v>53.36937192840913</v>
      </c>
      <c r="E148" s="383">
        <f t="shared" si="72"/>
        <v>53.973579793123015</v>
      </c>
      <c r="F148" s="383">
        <f t="shared" si="51"/>
        <v>53.978279920511433</v>
      </c>
      <c r="G148" s="110">
        <f t="shared" si="73"/>
        <v>0.84666499232341708</v>
      </c>
      <c r="H148" s="412" t="b">
        <f>Wh_hp&gt;='2021'!Maxi_hp</f>
        <v>0</v>
      </c>
      <c r="I148" s="379">
        <f>IF(H148,Wh_hp,'2021'!Maxi_hp)</f>
        <v>63.17753058579234</v>
      </c>
      <c r="J148" s="85">
        <f>IF(H148,An,'2021'!An_max)</f>
        <v>2018</v>
      </c>
      <c r="K148" s="197">
        <f t="shared" si="52"/>
        <v>44695</v>
      </c>
      <c r="L148" s="147">
        <f>IF(t&lt;Tvie,1-EXP((T0-t)*PertePVj)+'2021'!Pspv,1-EXP((T0-t)*PertePVj)+Pspv)</f>
        <v>2.2997683578805272E-2</v>
      </c>
      <c r="M148" s="832"/>
      <c r="N148" s="832"/>
      <c r="O148" s="48">
        <f>IF(t&lt;Tnet,'2021'!Resal+('2021'!Salim-'2021'!Resal)*(1-EXP(('2021'!Tnet-t)/('2021'!Tau_j))),Resal+(Salim-Resal)*(1-EXP((Tnet-t)/(Tau_j))))*Salcycl</f>
        <v>1.1194511593075185E-2</v>
      </c>
      <c r="P148" s="169">
        <f>(INDEX(Models!$BJ148:$BT148,,T148)*(1-R148)+INDEX(Models!$BJ148:$BT148,,T148+1)*R148-ERP_i)*Q148*Ramure*Pc/MaxiM</f>
        <v>1.1149385654416739E-4</v>
      </c>
      <c r="Q148" s="304">
        <f t="shared" si="53"/>
        <v>0.6</v>
      </c>
      <c r="R148" s="177">
        <f t="shared" si="54"/>
        <v>0.12260354443778609</v>
      </c>
      <c r="S148" s="799">
        <f t="shared" si="55"/>
        <v>0</v>
      </c>
      <c r="T148" s="176">
        <f t="shared" si="56"/>
        <v>6</v>
      </c>
      <c r="U148" s="250">
        <f t="shared" si="57"/>
        <v>0.12260354443778609</v>
      </c>
      <c r="V148" s="382">
        <f t="shared" si="58"/>
        <v>61.583657153165483</v>
      </c>
      <c r="W148" s="400">
        <f t="shared" si="59"/>
        <v>0</v>
      </c>
      <c r="X148" s="157">
        <f t="shared" si="60"/>
        <v>44695</v>
      </c>
      <c r="Y148" s="383">
        <f t="shared" si="61"/>
        <v>48.177579054636553</v>
      </c>
      <c r="Z148" s="383">
        <f t="shared" si="62"/>
        <v>49.311632372698234</v>
      </c>
      <c r="AA148" s="384">
        <f t="shared" si="63"/>
        <v>53.973579793123015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8.6374619550782031E-2</v>
      </c>
      <c r="AD148" s="230">
        <f>(INDEX(Models!$BJ148:$BT148,,AH148)*(1-AF148)+INDEX(Models!$BJ148:$BT148,,AH148+1)*AF148-ERP_i)*AE148*Ramure*Pc/MaxiM</f>
        <v>1.1149385654416739E-4</v>
      </c>
      <c r="AE148" s="304">
        <f t="shared" si="65"/>
        <v>0.6</v>
      </c>
      <c r="AF148" s="177">
        <f t="shared" si="66"/>
        <v>0.12260354443778609</v>
      </c>
      <c r="AG148" s="799">
        <f t="shared" si="74"/>
        <v>0</v>
      </c>
      <c r="AH148" s="176">
        <f t="shared" si="67"/>
        <v>6</v>
      </c>
      <c r="AI148" s="224">
        <f t="shared" si="68"/>
        <v>0.12260354443778609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3">
        <v>54.871000000000002</v>
      </c>
      <c r="C149" s="388"/>
      <c r="D149" s="391">
        <f t="shared" si="50"/>
        <v>56.163686296415023</v>
      </c>
      <c r="E149" s="383">
        <f t="shared" si="72"/>
        <v>56.804718319584538</v>
      </c>
      <c r="F149" s="383">
        <f t="shared" si="51"/>
        <v>56.81003573942639</v>
      </c>
      <c r="G149" s="110">
        <f t="shared" si="73"/>
        <v>0.89036958430567203</v>
      </c>
      <c r="H149" s="412" t="b">
        <f>Wh_hp&gt;='2021'!Maxi_hp</f>
        <v>0</v>
      </c>
      <c r="I149" s="379">
        <f>IF(H149,Wh_hp,'2021'!Maxi_hp)</f>
        <v>63.749746861981109</v>
      </c>
      <c r="J149" s="85">
        <f>IF(H149,An,'2021'!An_max)</f>
        <v>2018</v>
      </c>
      <c r="K149" s="197">
        <f t="shared" si="52"/>
        <v>44696</v>
      </c>
      <c r="L149" s="147">
        <f>IF(t&lt;Tvie,1-EXP((T0-t)*PertePVj)+'2021'!Pspv,1-EXP((T0-t)*PertePVj)+Pspv)</f>
        <v>2.301640760530943E-2</v>
      </c>
      <c r="M149" s="832"/>
      <c r="N149" s="832"/>
      <c r="O149" s="48">
        <f>IF(t&lt;Tnet,'2021'!Resal+('2021'!Salim-'2021'!Resal)*(1-EXP(('2021'!Tnet-t)/('2021'!Tau_j))),Resal+(Salim-Resal)*(1-EXP((Tnet-t)/(Tau_j))))*Salcycl</f>
        <v>1.1284837635547294E-2</v>
      </c>
      <c r="P149" s="169">
        <f>(INDEX(Models!$BJ149:$BT149,,T149)*(1-R149)+INDEX(Models!$BJ149:$BT149,,T149+1)*R149-ERP_i)*Q149*Ramure*Pc/MaxiM</f>
        <v>1.1097842855960867E-4</v>
      </c>
      <c r="Q149" s="304">
        <f t="shared" si="53"/>
        <v>0.6</v>
      </c>
      <c r="R149" s="177">
        <f t="shared" si="54"/>
        <v>0.12648133615282572</v>
      </c>
      <c r="S149" s="799">
        <f t="shared" si="55"/>
        <v>0</v>
      </c>
      <c r="T149" s="176">
        <f t="shared" si="56"/>
        <v>6</v>
      </c>
      <c r="U149" s="250">
        <f t="shared" si="57"/>
        <v>0.12648133615282572</v>
      </c>
      <c r="V149" s="382">
        <f t="shared" si="58"/>
        <v>61.626146385326408</v>
      </c>
      <c r="W149" s="400">
        <f t="shared" si="59"/>
        <v>0</v>
      </c>
      <c r="X149" s="157">
        <f t="shared" si="60"/>
        <v>44696</v>
      </c>
      <c r="Y149" s="383">
        <f t="shared" si="61"/>
        <v>50.699749949409878</v>
      </c>
      <c r="Z149" s="383">
        <f t="shared" si="62"/>
        <v>51.894167255295869</v>
      </c>
      <c r="AA149" s="384">
        <f t="shared" si="63"/>
        <v>56.804718319584538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8.6446182809354122E-2</v>
      </c>
      <c r="AD149" s="230">
        <f>(INDEX(Models!$BJ149:$BT149,,AH149)*(1-AF149)+INDEX(Models!$BJ149:$BT149,,AH149+1)*AF149-ERP_i)*AE149*Ramure*Pc/MaxiM</f>
        <v>1.1097842855960867E-4</v>
      </c>
      <c r="AE149" s="304">
        <f t="shared" si="65"/>
        <v>0.6</v>
      </c>
      <c r="AF149" s="177">
        <f t="shared" si="66"/>
        <v>0.12648133615282572</v>
      </c>
      <c r="AG149" s="799">
        <f t="shared" si="74"/>
        <v>0</v>
      </c>
      <c r="AH149" s="176">
        <f t="shared" si="67"/>
        <v>6</v>
      </c>
      <c r="AI149" s="224">
        <f t="shared" si="68"/>
        <v>0.12648133615282572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3">
        <v>53.228999999999999</v>
      </c>
      <c r="C150" s="388"/>
      <c r="D150" s="391">
        <f t="shared" si="50"/>
        <v>54.484047179052261</v>
      </c>
      <c r="E150" s="383">
        <f t="shared" si="72"/>
        <v>55.11094975104163</v>
      </c>
      <c r="F150" s="383">
        <f t="shared" si="51"/>
        <v>55.11584961334696</v>
      </c>
      <c r="G150" s="110">
        <f t="shared" si="73"/>
        <v>0.86320025407452783</v>
      </c>
      <c r="H150" s="412" t="b">
        <f>Wh_hp&gt;='2021'!Maxi_hp</f>
        <v>1</v>
      </c>
      <c r="I150" s="379">
        <f>IF(H150,Wh_hp,'2021'!Maxi_hp)</f>
        <v>55.11584961334696</v>
      </c>
      <c r="J150" s="85">
        <f>IF(H150,An,'2021'!An_max)</f>
        <v>2022</v>
      </c>
      <c r="K150" s="197">
        <f t="shared" si="52"/>
        <v>44697</v>
      </c>
      <c r="L150" s="147">
        <f>IF(t&lt;Tvie,1-EXP((T0-t)*PertePVj)+'2021'!Pspv,1-EXP((T0-t)*PertePVj)+Pspv)</f>
        <v>2.3035131272971854E-2</v>
      </c>
      <c r="M150" s="832"/>
      <c r="N150" s="832"/>
      <c r="O150" s="48">
        <f>IF(t&lt;Tnet,'2021'!Resal+('2021'!Salim-'2021'!Resal)*(1-EXP(('2021'!Tnet-t)/('2021'!Tau_j))),Resal+(Salim-Resal)*(1-EXP((Tnet-t)/(Tau_j))))*Salcycl</f>
        <v>1.1375281587803137E-2</v>
      </c>
      <c r="P150" s="169">
        <f>(INDEX(Models!$BJ150:$BT150,,T150)*(1-R150)+INDEX(Models!$BJ150:$BT150,,T150+1)*R150-ERP_i)*Q150*Ramure*Pc/MaxiM</f>
        <v>1.1049132836108513E-4</v>
      </c>
      <c r="Q150" s="304">
        <f t="shared" si="53"/>
        <v>0.6</v>
      </c>
      <c r="R150" s="177">
        <f t="shared" si="54"/>
        <v>0.13043777361395184</v>
      </c>
      <c r="S150" s="799">
        <f t="shared" si="55"/>
        <v>0</v>
      </c>
      <c r="T150" s="176">
        <f t="shared" si="56"/>
        <v>6</v>
      </c>
      <c r="U150" s="250">
        <f t="shared" si="57"/>
        <v>0.13043777361395184</v>
      </c>
      <c r="V150" s="382">
        <f t="shared" si="58"/>
        <v>61.663386245388182</v>
      </c>
      <c r="W150" s="400">
        <f t="shared" si="59"/>
        <v>0</v>
      </c>
      <c r="X150" s="157">
        <f t="shared" si="60"/>
        <v>44697</v>
      </c>
      <c r="Y150" s="383">
        <f t="shared" si="61"/>
        <v>49.183185301874865</v>
      </c>
      <c r="Z150" s="383">
        <f t="shared" si="62"/>
        <v>50.342839211772151</v>
      </c>
      <c r="AA150" s="384">
        <f t="shared" si="63"/>
        <v>55.11094975104163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8.6518388102708357E-2</v>
      </c>
      <c r="AD150" s="230">
        <f>(INDEX(Models!$BJ150:$BT150,,AH150)*(1-AF150)+INDEX(Models!$BJ150:$BT150,,AH150+1)*AF150-ERP_i)*AE150*Ramure*Pc/MaxiM</f>
        <v>1.1049132836108513E-4</v>
      </c>
      <c r="AE150" s="304">
        <f t="shared" si="65"/>
        <v>0.6</v>
      </c>
      <c r="AF150" s="177">
        <f t="shared" si="66"/>
        <v>0.13043777361395184</v>
      </c>
      <c r="AG150" s="799">
        <f t="shared" si="74"/>
        <v>0</v>
      </c>
      <c r="AH150" s="176">
        <f t="shared" si="67"/>
        <v>6</v>
      </c>
      <c r="AI150" s="224">
        <f t="shared" si="68"/>
        <v>0.13043777361395184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3">
        <v>56.77</v>
      </c>
      <c r="C151" s="388"/>
      <c r="D151" s="391">
        <f t="shared" si="50"/>
        <v>58.109651454429475</v>
      </c>
      <c r="E151" s="383">
        <f t="shared" si="72"/>
        <v>58.783655304988791</v>
      </c>
      <c r="F151" s="383">
        <f t="shared" si="51"/>
        <v>58.789381900861969</v>
      </c>
      <c r="G151" s="110">
        <f t="shared" si="73"/>
        <v>0.92015138431840249</v>
      </c>
      <c r="H151" s="412" t="b">
        <f>Wh_hp&gt;='2021'!Maxi_hp</f>
        <v>1</v>
      </c>
      <c r="I151" s="379">
        <f>IF(H151,Wh_hp,'2021'!Maxi_hp)</f>
        <v>58.789381900861969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2.3053854581799538E-2</v>
      </c>
      <c r="M151" s="832"/>
      <c r="N151" s="832"/>
      <c r="O151" s="48">
        <f>IF(t&lt;Tnet,'2021'!Resal+('2021'!Salim-'2021'!Resal)*(1-EXP(('2021'!Tnet-t)/('2021'!Tau_j))),Resal+(Salim-Resal)*(1-EXP((Tnet-t)/(Tau_j))))*Salcycl</f>
        <v>1.1465837690126006E-2</v>
      </c>
      <c r="P151" s="169">
        <f>(INDEX(Models!$BJ151:$BT151,,T151)*(1-R151)+INDEX(Models!$BJ151:$BT151,,T151+1)*R151-ERP_i)*Q151*Ramure*Pc/MaxiM</f>
        <v>1.0994864536953793E-4</v>
      </c>
      <c r="Q151" s="304">
        <f t="shared" si="53"/>
        <v>0.6</v>
      </c>
      <c r="R151" s="177">
        <f t="shared" si="54"/>
        <v>0.13447183197392565</v>
      </c>
      <c r="S151" s="799">
        <f t="shared" si="55"/>
        <v>0</v>
      </c>
      <c r="T151" s="176">
        <f t="shared" si="56"/>
        <v>6</v>
      </c>
      <c r="U151" s="250">
        <f t="shared" si="57"/>
        <v>0.13447183197392565</v>
      </c>
      <c r="V151" s="382">
        <f t="shared" si="58"/>
        <v>61.695595968328348</v>
      </c>
      <c r="W151" s="400">
        <f t="shared" si="59"/>
        <v>0</v>
      </c>
      <c r="X151" s="157">
        <f t="shared" si="60"/>
        <v>44698</v>
      </c>
      <c r="Y151" s="383">
        <f t="shared" si="61"/>
        <v>52.455666928027711</v>
      </c>
      <c r="Z151" s="383">
        <f t="shared" si="62"/>
        <v>53.693509283025072</v>
      </c>
      <c r="AA151" s="384">
        <f t="shared" si="63"/>
        <v>58.783655304988791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8.6591179054013895E-2</v>
      </c>
      <c r="AD151" s="230">
        <f>(INDEX(Models!$BJ151:$BT151,,AH151)*(1-AF151)+INDEX(Models!$BJ151:$BT151,,AH151+1)*AF151-ERP_i)*AE151*Ramure*Pc/MaxiM</f>
        <v>1.0994864536953793E-4</v>
      </c>
      <c r="AE151" s="304">
        <f t="shared" si="65"/>
        <v>0.6</v>
      </c>
      <c r="AF151" s="177">
        <f t="shared" si="66"/>
        <v>0.13447183197392565</v>
      </c>
      <c r="AG151" s="799">
        <f t="shared" si="74"/>
        <v>0</v>
      </c>
      <c r="AH151" s="176">
        <f t="shared" si="67"/>
        <v>6</v>
      </c>
      <c r="AI151" s="224">
        <f t="shared" si="68"/>
        <v>0.13447183197392565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3">
        <v>54.908000000000001</v>
      </c>
      <c r="C152" s="388"/>
      <c r="D152" s="391">
        <f t="shared" si="50"/>
        <v>56.204789360170992</v>
      </c>
      <c r="E152" s="383">
        <f t="shared" si="72"/>
        <v>56.861914049328263</v>
      </c>
      <c r="F152" s="383">
        <f t="shared" si="51"/>
        <v>56.867151466020537</v>
      </c>
      <c r="G152" s="110">
        <f t="shared" si="73"/>
        <v>0.88957215237928122</v>
      </c>
      <c r="H152" s="412" t="b">
        <f>Wh_hp&gt;='2021'!Maxi_hp</f>
        <v>0</v>
      </c>
      <c r="I152" s="379">
        <f>IF(H152,Wh_hp,'2021'!Maxi_hp)</f>
        <v>65.112138934007149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2.3072577531799254E-2</v>
      </c>
      <c r="M152" s="832"/>
      <c r="N152" s="832"/>
      <c r="O152" s="48">
        <f>IF(t&lt;Tnet,'2021'!Resal+('2021'!Salim-'2021'!Resal)*(1-EXP(('2021'!Tnet-t)/('2021'!Tau_j))),Resal+(Salim-Resal)*(1-EXP((Tnet-t)/(Tau_j))))*Salcycl</f>
        <v>1.1556499638531597E-2</v>
      </c>
      <c r="P152" s="169">
        <f>(INDEX(Models!$BJ152:$BT152,,T152)*(1-R152)+INDEX(Models!$BJ152:$BT152,,T152+1)*R152-ERP_i)*Q152*Ramure*Pc/MaxiM</f>
        <v>1.093466364271489E-4</v>
      </c>
      <c r="Q152" s="304">
        <f t="shared" si="53"/>
        <v>0.6</v>
      </c>
      <c r="R152" s="177">
        <f t="shared" si="54"/>
        <v>0.13858231219788275</v>
      </c>
      <c r="S152" s="799">
        <f t="shared" si="55"/>
        <v>0</v>
      </c>
      <c r="T152" s="176">
        <f t="shared" si="56"/>
        <v>6</v>
      </c>
      <c r="U152" s="250">
        <f t="shared" si="57"/>
        <v>0.13858231219788275</v>
      </c>
      <c r="V152" s="382">
        <f t="shared" si="58"/>
        <v>61.722989800542848</v>
      </c>
      <c r="W152" s="400">
        <f t="shared" si="59"/>
        <v>0</v>
      </c>
      <c r="X152" s="157">
        <f t="shared" si="60"/>
        <v>44699</v>
      </c>
      <c r="Y152" s="383">
        <f t="shared" si="61"/>
        <v>50.735753526084579</v>
      </c>
      <c r="Z152" s="383">
        <f t="shared" si="62"/>
        <v>51.9340048802203</v>
      </c>
      <c r="AA152" s="384">
        <f t="shared" si="63"/>
        <v>56.861914049328263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8.6664496816497474E-2</v>
      </c>
      <c r="AD152" s="230">
        <f>(INDEX(Models!$BJ152:$BT152,,AH152)*(1-AF152)+INDEX(Models!$BJ152:$BT152,,AH152+1)*AF152-ERP_i)*AE152*Ramure*Pc/MaxiM</f>
        <v>1.093466364271489E-4</v>
      </c>
      <c r="AE152" s="304">
        <f t="shared" si="65"/>
        <v>0.6</v>
      </c>
      <c r="AF152" s="177">
        <f t="shared" si="66"/>
        <v>0.13858231219788275</v>
      </c>
      <c r="AG152" s="799">
        <f t="shared" si="74"/>
        <v>0</v>
      </c>
      <c r="AH152" s="176">
        <f t="shared" si="67"/>
        <v>6</v>
      </c>
      <c r="AI152" s="224">
        <f t="shared" si="68"/>
        <v>0.13858231219788275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3">
        <v>57.721000000000004</v>
      </c>
      <c r="C153" s="388"/>
      <c r="D153" s="391">
        <f t="shared" si="50"/>
        <v>59.085357728174799</v>
      </c>
      <c r="E153" s="383">
        <f t="shared" si="72"/>
        <v>59.781650186372154</v>
      </c>
      <c r="F153" s="383">
        <f t="shared" si="51"/>
        <v>59.78754292055698</v>
      </c>
      <c r="G153" s="110">
        <f t="shared" si="73"/>
        <v>0.93480743114683362</v>
      </c>
      <c r="H153" s="412" t="b">
        <f>Wh_hp&gt;='2021'!Maxi_hp</f>
        <v>0</v>
      </c>
      <c r="I153" s="379">
        <f>IF(H153,Wh_hp,'2021'!Maxi_hp)</f>
        <v>63.796579298765408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2.3091300122977887E-2</v>
      </c>
      <c r="M153" s="832"/>
      <c r="N153" s="832"/>
      <c r="O153" s="48">
        <f>IF(t&lt;Tnet,'2021'!Resal+('2021'!Salim-'2021'!Resal)*(1-EXP(('2021'!Tnet-t)/('2021'!Tau_j))),Resal+(Salim-Resal)*(1-EXP((Tnet-t)/(Tau_j))))*Salcycl</f>
        <v>1.1647260589606181E-2</v>
      </c>
      <c r="P153" s="169">
        <f>(INDEX(Models!$BJ153:$BT153,,T153)*(1-R153)+INDEX(Models!$BJ153:$BT153,,T153+1)*R153-ERP_i)*Q153*Ramure*Pc/MaxiM</f>
        <v>1.0868152165390703E-4</v>
      </c>
      <c r="Q153" s="304">
        <f t="shared" si="53"/>
        <v>0.6</v>
      </c>
      <c r="R153" s="177">
        <f t="shared" si="54"/>
        <v>0.14276783796517922</v>
      </c>
      <c r="S153" s="799">
        <f t="shared" si="55"/>
        <v>0</v>
      </c>
      <c r="T153" s="176">
        <f t="shared" si="56"/>
        <v>6</v>
      </c>
      <c r="U153" s="250">
        <f t="shared" si="57"/>
        <v>0.14276783796517922</v>
      </c>
      <c r="V153" s="382">
        <f t="shared" si="58"/>
        <v>61.745781929283893</v>
      </c>
      <c r="W153" s="400">
        <f t="shared" si="59"/>
        <v>0</v>
      </c>
      <c r="X153" s="157">
        <f t="shared" si="60"/>
        <v>44700</v>
      </c>
      <c r="Y153" s="383">
        <f t="shared" si="61"/>
        <v>53.335593282799898</v>
      </c>
      <c r="Z153" s="383">
        <f t="shared" si="62"/>
        <v>54.596292662266222</v>
      </c>
      <c r="AA153" s="384">
        <f t="shared" si="63"/>
        <v>59.781650186372154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8.6738280190331474E-2</v>
      </c>
      <c r="AD153" s="230">
        <f>(INDEX(Models!$BJ153:$BT153,,AH153)*(1-AF153)+INDEX(Models!$BJ153:$BT153,,AH153+1)*AF153-ERP_i)*AE153*Ramure*Pc/MaxiM</f>
        <v>1.0868152165390703E-4</v>
      </c>
      <c r="AE153" s="304">
        <f t="shared" si="65"/>
        <v>0.6</v>
      </c>
      <c r="AF153" s="177">
        <f t="shared" si="66"/>
        <v>0.14276783796517922</v>
      </c>
      <c r="AG153" s="799">
        <f t="shared" si="74"/>
        <v>0</v>
      </c>
      <c r="AH153" s="176">
        <f t="shared" si="67"/>
        <v>6</v>
      </c>
      <c r="AI153" s="224">
        <f t="shared" si="68"/>
        <v>0.14276783796517922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3">
        <v>51.506</v>
      </c>
      <c r="C154" s="388"/>
      <c r="D154" s="391">
        <f t="shared" si="50"/>
        <v>52.72446353087188</v>
      </c>
      <c r="E154" s="383">
        <f t="shared" si="72"/>
        <v>53.350700086084665</v>
      </c>
      <c r="F154" s="383">
        <f t="shared" si="51"/>
        <v>53.355093170067242</v>
      </c>
      <c r="G154" s="110">
        <f t="shared" si="73"/>
        <v>0.83389231868920877</v>
      </c>
      <c r="H154" s="412" t="b">
        <f>Wh_hp&gt;='2021'!Maxi_hp</f>
        <v>0</v>
      </c>
      <c r="I154" s="379">
        <f>IF(H154,Wh_hp,'2021'!Maxi_hp)</f>
        <v>63.305602398396879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2.3110022355342319E-2</v>
      </c>
      <c r="M154" s="832"/>
      <c r="N154" s="832"/>
      <c r="O154" s="48">
        <f>IF(t&lt;Tnet,'2021'!Resal+('2021'!Salim-'2021'!Resal)*(1-EXP(('2021'!Tnet-t)/('2021'!Tau_j))),Resal+(Salim-Resal)*(1-EXP((Tnet-t)/(Tau_j))))*Salcycl</f>
        <v>1.1738113168193006E-2</v>
      </c>
      <c r="P154" s="169">
        <f>(INDEX(Models!$BJ154:$BT154,,T154)*(1-R154)+INDEX(Models!$BJ154:$BT154,,T154+1)*R154-ERP_i)*Q154*Ramure*Pc/MaxiM</f>
        <v>1.0794949504719133E-4</v>
      </c>
      <c r="Q154" s="304">
        <f t="shared" si="53"/>
        <v>0.6</v>
      </c>
      <c r="R154" s="177">
        <f t="shared" si="54"/>
        <v>0.1470268532728399</v>
      </c>
      <c r="S154" s="799">
        <f t="shared" si="55"/>
        <v>0</v>
      </c>
      <c r="T154" s="176">
        <f t="shared" si="56"/>
        <v>6</v>
      </c>
      <c r="U154" s="250">
        <f t="shared" si="57"/>
        <v>0.1470268532728399</v>
      </c>
      <c r="V154" s="382">
        <f t="shared" si="58"/>
        <v>61.764186485533571</v>
      </c>
      <c r="W154" s="400">
        <f t="shared" si="59"/>
        <v>0</v>
      </c>
      <c r="X154" s="157">
        <f t="shared" si="60"/>
        <v>44701</v>
      </c>
      <c r="Y154" s="383">
        <f t="shared" si="61"/>
        <v>47.593292593306899</v>
      </c>
      <c r="Z154" s="383">
        <f t="shared" si="62"/>
        <v>48.719194261832101</v>
      </c>
      <c r="AA154" s="384">
        <f t="shared" si="63"/>
        <v>53.350700086084665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8.6812465755451054E-2</v>
      </c>
      <c r="AD154" s="230">
        <f>(INDEX(Models!$BJ154:$BT154,,AH154)*(1-AF154)+INDEX(Models!$BJ154:$BT154,,AH154+1)*AF154-ERP_i)*AE154*Ramure*Pc/MaxiM</f>
        <v>1.0794949504719133E-4</v>
      </c>
      <c r="AE154" s="304">
        <f t="shared" si="65"/>
        <v>0.6</v>
      </c>
      <c r="AF154" s="177">
        <f t="shared" si="66"/>
        <v>0.1470268532728399</v>
      </c>
      <c r="AG154" s="799">
        <f t="shared" si="74"/>
        <v>0</v>
      </c>
      <c r="AH154" s="176">
        <f t="shared" si="67"/>
        <v>6</v>
      </c>
      <c r="AI154" s="224">
        <f t="shared" si="68"/>
        <v>0.1470268532728399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3">
        <v>51.606000000000002</v>
      </c>
      <c r="C155" s="388"/>
      <c r="D155" s="391">
        <f t="shared" si="50"/>
        <v>52.827841637396141</v>
      </c>
      <c r="E155" s="383">
        <f t="shared" si="72"/>
        <v>53.460225287426645</v>
      </c>
      <c r="F155" s="383">
        <f t="shared" si="51"/>
        <v>53.464606327163153</v>
      </c>
      <c r="G155" s="110">
        <f t="shared" si="73"/>
        <v>0.83531921454974623</v>
      </c>
      <c r="H155" s="412" t="b">
        <f>Wh_hp&gt;='2021'!Maxi_hp</f>
        <v>0</v>
      </c>
      <c r="I155" s="379">
        <f>IF(H155,Wh_hp,'2021'!Maxi_hp)</f>
        <v>61.653025263591708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2.3128744228899434E-2</v>
      </c>
      <c r="M155" s="832"/>
      <c r="N155" s="832"/>
      <c r="O155" s="48">
        <f>IF(t&lt;Tnet,'2021'!Resal+('2021'!Salim-'2021'!Resal)*(1-EXP(('2021'!Tnet-t)/('2021'!Tau_j))),Resal+(Salim-Resal)*(1-EXP((Tnet-t)/(Tau_j))))*Salcycl</f>
        <v>1.1829049478009482E-2</v>
      </c>
      <c r="P155" s="169">
        <f>(INDEX(Models!$BJ155:$BT155,,T155)*(1-R155)+INDEX(Models!$BJ155:$BT155,,T155+1)*R155-ERP_i)*Q155*Ramure*Pc/MaxiM</f>
        <v>1.0714673587813183E-4</v>
      </c>
      <c r="Q155" s="304">
        <f t="shared" si="53"/>
        <v>0.6</v>
      </c>
      <c r="R155" s="177">
        <f t="shared" si="54"/>
        <v>0.15135762079378276</v>
      </c>
      <c r="S155" s="799">
        <f t="shared" si="55"/>
        <v>0</v>
      </c>
      <c r="T155" s="176">
        <f t="shared" si="56"/>
        <v>6</v>
      </c>
      <c r="U155" s="250">
        <f t="shared" si="57"/>
        <v>0.15135762079378276</v>
      </c>
      <c r="V155" s="382">
        <f t="shared" si="58"/>
        <v>61.77841754436102</v>
      </c>
      <c r="W155" s="400">
        <f t="shared" si="59"/>
        <v>0</v>
      </c>
      <c r="X155" s="157">
        <f t="shared" si="60"/>
        <v>44702</v>
      </c>
      <c r="Y155" s="383">
        <f t="shared" si="61"/>
        <v>47.686192425854514</v>
      </c>
      <c r="Z155" s="383">
        <f t="shared" si="62"/>
        <v>48.815227333322511</v>
      </c>
      <c r="AA155" s="384">
        <f t="shared" si="63"/>
        <v>53.460225287426645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8.6886988020168227E-2</v>
      </c>
      <c r="AD155" s="230">
        <f>(INDEX(Models!$BJ155:$BT155,,AH155)*(1-AF155)+INDEX(Models!$BJ155:$BT155,,AH155+1)*AF155-ERP_i)*AE155*Ramure*Pc/MaxiM</f>
        <v>1.0714673587813183E-4</v>
      </c>
      <c r="AE155" s="304">
        <f t="shared" si="65"/>
        <v>0.6</v>
      </c>
      <c r="AF155" s="177">
        <f t="shared" si="66"/>
        <v>0.15135762079378276</v>
      </c>
      <c r="AG155" s="799">
        <f t="shared" si="74"/>
        <v>0</v>
      </c>
      <c r="AH155" s="176">
        <f t="shared" si="67"/>
        <v>6</v>
      </c>
      <c r="AI155" s="224">
        <f t="shared" si="68"/>
        <v>0.15135762079378276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3">
        <v>39.200000000000003</v>
      </c>
      <c r="C156" s="388"/>
      <c r="D156" s="391">
        <f t="shared" si="50"/>
        <v>40.128881919564343</v>
      </c>
      <c r="E156" s="383">
        <f t="shared" si="72"/>
        <v>40.612991257426273</v>
      </c>
      <c r="F156" s="383">
        <f t="shared" si="51"/>
        <v>40.615054295315637</v>
      </c>
      <c r="G156" s="110">
        <f t="shared" si="73"/>
        <v>0.6343851253009708</v>
      </c>
      <c r="H156" s="412" t="b">
        <f>Wh_hp&gt;='2021'!Maxi_hp</f>
        <v>0</v>
      </c>
      <c r="I156" s="379">
        <f>IF(H156,Wh_hp,'2021'!Maxi_hp)</f>
        <v>60.757180610940942</v>
      </c>
      <c r="J156" s="85">
        <f>IF(H156,An,'2021'!An_max)</f>
        <v>2018</v>
      </c>
      <c r="K156" s="197">
        <f t="shared" si="52"/>
        <v>44703</v>
      </c>
      <c r="L156" s="147">
        <f>IF(t&lt;Tvie,1-EXP((T0-t)*PertePVj)+'2021'!Pspv,1-EXP((T0-t)*PertePVj)+Pspv)</f>
        <v>2.3147465743656226E-2</v>
      </c>
      <c r="M156" s="832"/>
      <c r="N156" s="832"/>
      <c r="O156" s="48">
        <f>IF(t&lt;Tnet,'2021'!Resal+('2021'!Salim-'2021'!Resal)*(1-EXP(('2021'!Tnet-t)/('2021'!Tau_j))),Resal+(Salim-Resal)*(1-EXP((Tnet-t)/(Tau_j))))*Salcycl</f>
        <v>1.1920061115257374E-2</v>
      </c>
      <c r="P156" s="169">
        <f>(INDEX(Models!$BJ156:$BT156,,T156)*(1-R156)+INDEX(Models!$BJ156:$BT156,,T156+1)*R156-ERP_i)*Q156*Ramure*Pc/MaxiM</f>
        <v>1.0632257902034989E-4</v>
      </c>
      <c r="Q156" s="304">
        <f t="shared" si="53"/>
        <v>0.6</v>
      </c>
      <c r="R156" s="177">
        <f t="shared" si="54"/>
        <v>0.15575822103933834</v>
      </c>
      <c r="S156" s="799">
        <f t="shared" si="55"/>
        <v>0</v>
      </c>
      <c r="T156" s="176">
        <f t="shared" si="56"/>
        <v>6</v>
      </c>
      <c r="U156" s="250">
        <f t="shared" si="57"/>
        <v>0.15575822103933834</v>
      </c>
      <c r="V156" s="382">
        <f t="shared" si="58"/>
        <v>61.788685833505788</v>
      </c>
      <c r="W156" s="400">
        <f t="shared" si="59"/>
        <v>0</v>
      </c>
      <c r="X156" s="157">
        <f t="shared" si="60"/>
        <v>44703</v>
      </c>
      <c r="Y156" s="383">
        <f t="shared" si="61"/>
        <v>36.222877149650159</v>
      </c>
      <c r="Z156" s="383">
        <f t="shared" si="62"/>
        <v>37.081213263397871</v>
      </c>
      <c r="AA156" s="384">
        <f t="shared" si="63"/>
        <v>40.612991257426273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8.6961779585309457E-2</v>
      </c>
      <c r="AD156" s="230">
        <f>(INDEX(Models!$BJ156:$BT156,,AH156)*(1-AF156)+INDEX(Models!$BJ156:$BT156,,AH156+1)*AF156-ERP_i)*AE156*Ramure*Pc/MaxiM</f>
        <v>1.0632257902034989E-4</v>
      </c>
      <c r="AE156" s="304">
        <f t="shared" si="65"/>
        <v>0.6</v>
      </c>
      <c r="AF156" s="177">
        <f t="shared" si="66"/>
        <v>0.15575822103933834</v>
      </c>
      <c r="AG156" s="799">
        <f t="shared" si="74"/>
        <v>0</v>
      </c>
      <c r="AH156" s="176">
        <f t="shared" si="67"/>
        <v>6</v>
      </c>
      <c r="AI156" s="224">
        <f t="shared" si="68"/>
        <v>0.15575822103933834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3">
        <v>20.696999999999999</v>
      </c>
      <c r="C157" s="388"/>
      <c r="D157" s="391">
        <f t="shared" si="50"/>
        <v>21.18784149609812</v>
      </c>
      <c r="E157" s="383">
        <f t="shared" si="72"/>
        <v>21.445425486503751</v>
      </c>
      <c r="F157" s="383">
        <f t="shared" si="51"/>
        <v>21.445538374101854</v>
      </c>
      <c r="G157" s="110">
        <f t="shared" si="73"/>
        <v>0.33489533462215959</v>
      </c>
      <c r="H157" s="412" t="b">
        <f>Wh_hp&gt;='2021'!Maxi_hp</f>
        <v>0</v>
      </c>
      <c r="I157" s="379">
        <f>IF(H157,Wh_hp,'2021'!Maxi_hp)</f>
        <v>57.940082195716684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2.3166186899619357E-2</v>
      </c>
      <c r="M157" s="832"/>
      <c r="N157" s="832"/>
      <c r="O157" s="48">
        <f>IF(t&lt;Tnet,'2021'!Resal+('2021'!Salim-'2021'!Resal)*(1-EXP(('2021'!Tnet-t)/('2021'!Tau_j))),Resal+(Salim-Resal)*(1-EXP((Tnet-t)/(Tau_j))))*Salcycl</f>
        <v>1.2011139185265307E-2</v>
      </c>
      <c r="P157" s="169">
        <f>(INDEX(Models!$BJ157:$BT157,,T157)*(1-R157)+INDEX(Models!$BJ157:$BT157,,T157+1)*R157-ERP_i)*Q157*Ramure*Pc/MaxiM</f>
        <v>1.05492687630852E-4</v>
      </c>
      <c r="Q157" s="304">
        <f t="shared" si="53"/>
        <v>0.6</v>
      </c>
      <c r="R157" s="177">
        <f t="shared" si="54"/>
        <v>0.16022655237111069</v>
      </c>
      <c r="S157" s="799">
        <f t="shared" si="55"/>
        <v>0</v>
      </c>
      <c r="T157" s="176">
        <f t="shared" si="56"/>
        <v>6</v>
      </c>
      <c r="U157" s="250">
        <f t="shared" si="57"/>
        <v>0.16022655237111069</v>
      </c>
      <c r="V157" s="382">
        <f t="shared" si="58"/>
        <v>61.795204097498427</v>
      </c>
      <c r="W157" s="400">
        <f t="shared" si="59"/>
        <v>0</v>
      </c>
      <c r="X157" s="157">
        <f t="shared" si="60"/>
        <v>44704</v>
      </c>
      <c r="Y157" s="383">
        <f t="shared" si="61"/>
        <v>19.125316785794837</v>
      </c>
      <c r="Z157" s="383">
        <f t="shared" si="62"/>
        <v>19.578884892500639</v>
      </c>
      <c r="AA157" s="384">
        <f t="shared" si="63"/>
        <v>21.445425486503751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8.7036771323459175E-2</v>
      </c>
      <c r="AD157" s="230">
        <f>(INDEX(Models!$BJ157:$BT157,,AH157)*(1-AF157)+INDEX(Models!$BJ157:$BT157,,AH157+1)*AF157-ERP_i)*AE157*Ramure*Pc/MaxiM</f>
        <v>1.05492687630852E-4</v>
      </c>
      <c r="AE157" s="304">
        <f t="shared" si="65"/>
        <v>0.6</v>
      </c>
      <c r="AF157" s="177">
        <f t="shared" si="66"/>
        <v>0.16022655237111069</v>
      </c>
      <c r="AG157" s="799">
        <f t="shared" si="74"/>
        <v>0</v>
      </c>
      <c r="AH157" s="176">
        <f t="shared" si="67"/>
        <v>6</v>
      </c>
      <c r="AI157" s="224">
        <f t="shared" si="68"/>
        <v>0.16022655237111069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3">
        <v>17.11</v>
      </c>
      <c r="C158" s="388"/>
      <c r="D158" s="391">
        <f t="shared" si="50"/>
        <v>17.51610937916287</v>
      </c>
      <c r="E158" s="383">
        <f t="shared" si="72"/>
        <v>17.7306910663699</v>
      </c>
      <c r="F158" s="383">
        <f t="shared" si="51"/>
        <v>17.7306910663699</v>
      </c>
      <c r="G158" s="110">
        <f t="shared" si="73"/>
        <v>0.27683999204577903</v>
      </c>
      <c r="H158" s="412" t="b">
        <f>Wh_hp&gt;='2021'!Maxi_hp</f>
        <v>0</v>
      </c>
      <c r="I158" s="379">
        <f>IF(H158,Wh_hp,'2021'!Maxi_hp)</f>
        <v>27.39141049073487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2.318490769679582E-2</v>
      </c>
      <c r="M158" s="832"/>
      <c r="N158" s="832"/>
      <c r="O158" s="48">
        <f>IF(t&lt;Tnet,'2021'!Resal+('2021'!Salim-'2021'!Resal)*(1-EXP(('2021'!Tnet-t)/('2021'!Tau_j))),Resal+(Salim-Resal)*(1-EXP((Tnet-t)/(Tau_j))))*Salcycl</f>
        <v>1.210227432217967E-2</v>
      </c>
      <c r="P158" s="169">
        <f>(INDEX(Models!$BJ158:$BT158,,T158)*(1-R158)+INDEX(Models!$BJ158:$BT158,,T158+1)*R158-ERP_i)*Q158*Ramure*Pc/MaxiM</f>
        <v>1.0465542633538511E-4</v>
      </c>
      <c r="Q158" s="304">
        <f t="shared" si="53"/>
        <v>0.6</v>
      </c>
      <c r="R158" s="177">
        <f t="shared" si="54"/>
        <v>0.1647603319019402</v>
      </c>
      <c r="S158" s="799">
        <f t="shared" si="55"/>
        <v>0</v>
      </c>
      <c r="T158" s="176">
        <f t="shared" si="56"/>
        <v>6</v>
      </c>
      <c r="U158" s="250">
        <f t="shared" si="57"/>
        <v>0.1647603319019402</v>
      </c>
      <c r="V158" s="382">
        <f t="shared" si="58"/>
        <v>61.79818609020311</v>
      </c>
      <c r="W158" s="400">
        <f t="shared" si="59"/>
        <v>0</v>
      </c>
      <c r="X158" s="157">
        <f t="shared" si="60"/>
        <v>44705</v>
      </c>
      <c r="Y158" s="383">
        <f t="shared" si="61"/>
        <v>15.810862918389013</v>
      </c>
      <c r="Z158" s="383">
        <f t="shared" si="62"/>
        <v>16.186137010955711</v>
      </c>
      <c r="AA158" s="384">
        <f t="shared" si="63"/>
        <v>17.7306910663699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8.7111892572747388E-2</v>
      </c>
      <c r="AD158" s="230">
        <f>(INDEX(Models!$BJ158:$BT158,,AH158)*(1-AF158)+INDEX(Models!$BJ158:$BT158,,AH158+1)*AF158-ERP_i)*AE158*Ramure*Pc/MaxiM</f>
        <v>1.0465542633538511E-4</v>
      </c>
      <c r="AE158" s="304">
        <f t="shared" si="65"/>
        <v>0.6</v>
      </c>
      <c r="AF158" s="177">
        <f t="shared" si="66"/>
        <v>0.1647603319019402</v>
      </c>
      <c r="AG158" s="799">
        <f t="shared" si="74"/>
        <v>0</v>
      </c>
      <c r="AH158" s="176">
        <f t="shared" si="67"/>
        <v>6</v>
      </c>
      <c r="AI158" s="224">
        <f t="shared" si="68"/>
        <v>0.1647603319019402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3">
        <v>43.04</v>
      </c>
      <c r="C159" s="388"/>
      <c r="D159" s="391">
        <f t="shared" si="50"/>
        <v>44.062407723558692</v>
      </c>
      <c r="E159" s="383">
        <f t="shared" si="72"/>
        <v>44.606312868590166</v>
      </c>
      <c r="F159" s="383">
        <f t="shared" si="51"/>
        <v>44.608935678286976</v>
      </c>
      <c r="G159" s="110">
        <f t="shared" si="73"/>
        <v>0.69643305776439235</v>
      </c>
      <c r="H159" s="412" t="b">
        <f>Wh_hp&gt;='2021'!Maxi_hp</f>
        <v>0</v>
      </c>
      <c r="I159" s="379">
        <f>IF(H159,Wh_hp,'2021'!Maxi_hp)</f>
        <v>59.825577923222795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2.32036281351925E-2</v>
      </c>
      <c r="M159" s="832"/>
      <c r="N159" s="832"/>
      <c r="O159" s="48">
        <f>IF(t&lt;Tnet,'2021'!Resal+('2021'!Salim-'2021'!Resal)*(1-EXP(('2021'!Tnet-t)/('2021'!Tau_j))),Resal+(Salim-Resal)*(1-EXP((Tnet-t)/(Tau_j))))*Salcycl</f>
        <v>1.2193456711694903E-2</v>
      </c>
      <c r="P159" s="169">
        <f>(INDEX(Models!$BJ159:$BT159,,T159)*(1-R159)+INDEX(Models!$BJ159:$BT159,,T159+1)*R159-ERP_i)*Q159*Ramure*Pc/MaxiM</f>
        <v>1.038098948474411E-4</v>
      </c>
      <c r="Q159" s="304">
        <f t="shared" si="53"/>
        <v>0.6</v>
      </c>
      <c r="R159" s="177">
        <f t="shared" si="54"/>
        <v>0.16935709731965728</v>
      </c>
      <c r="S159" s="799">
        <f t="shared" si="55"/>
        <v>0</v>
      </c>
      <c r="T159" s="176">
        <f t="shared" si="56"/>
        <v>6</v>
      </c>
      <c r="U159" s="250">
        <f t="shared" si="57"/>
        <v>0.16935709731965728</v>
      </c>
      <c r="V159" s="382">
        <f t="shared" si="58"/>
        <v>61.797845451974851</v>
      </c>
      <c r="W159" s="400">
        <f t="shared" si="59"/>
        <v>0</v>
      </c>
      <c r="X159" s="157">
        <f t="shared" si="60"/>
        <v>44706</v>
      </c>
      <c r="Y159" s="383">
        <f t="shared" si="61"/>
        <v>39.772431875729303</v>
      </c>
      <c r="Z159" s="383">
        <f t="shared" si="62"/>
        <v>40.717219086102389</v>
      </c>
      <c r="AA159" s="384">
        <f t="shared" si="63"/>
        <v>44.606312868590166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8.7187071344475703E-2</v>
      </c>
      <c r="AD159" s="230">
        <f>(INDEX(Models!$BJ159:$BT159,,AH159)*(1-AF159)+INDEX(Models!$BJ159:$BT159,,AH159+1)*AF159-ERP_i)*AE159*Ramure*Pc/MaxiM</f>
        <v>1.038098948474411E-4</v>
      </c>
      <c r="AE159" s="304">
        <f t="shared" si="65"/>
        <v>0.6</v>
      </c>
      <c r="AF159" s="177">
        <f t="shared" si="66"/>
        <v>0.16935709731965728</v>
      </c>
      <c r="AG159" s="799">
        <f t="shared" si="74"/>
        <v>0</v>
      </c>
      <c r="AH159" s="176">
        <f t="shared" si="67"/>
        <v>6</v>
      </c>
      <c r="AI159" s="224">
        <f t="shared" si="68"/>
        <v>0.16935709731965728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3">
        <v>26.163</v>
      </c>
      <c r="C160" s="388"/>
      <c r="D160" s="391">
        <f t="shared" si="50"/>
        <v>26.78501084887009</v>
      </c>
      <c r="E160" s="383">
        <f t="shared" si="72"/>
        <v>27.118148520329317</v>
      </c>
      <c r="F160" s="383">
        <f t="shared" si="51"/>
        <v>27.11864066312717</v>
      </c>
      <c r="G160" s="110">
        <f t="shared" si="73"/>
        <v>0.42335200176723664</v>
      </c>
      <c r="H160" s="412" t="b">
        <f>Wh_hp&gt;='2021'!Maxi_hp</f>
        <v>0</v>
      </c>
      <c r="I160" s="379">
        <f>IF(H160,Wh_hp,'2021'!Maxi_hp)</f>
        <v>62.596709791929555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2.3222348214816169E-2</v>
      </c>
      <c r="M160" s="832"/>
      <c r="N160" s="832"/>
      <c r="O160" s="48">
        <f>IF(t&lt;Tnet,'2021'!Resal+('2021'!Salim-'2021'!Resal)*(1-EXP(('2021'!Tnet-t)/('2021'!Tau_j))),Resal+(Salim-Resal)*(1-EXP((Tnet-t)/(Tau_j))))*Salcycl</f>
        <v>1.2284676116788911E-2</v>
      </c>
      <c r="P160" s="169">
        <f>(INDEX(Models!$BJ160:$BT160,,T160)*(1-R160)+INDEX(Models!$BJ160:$BT160,,T160+1)*R160-ERP_i)*Q160*Ramure*Pc/MaxiM</f>
        <v>1.0295528693222045E-4</v>
      </c>
      <c r="Q160" s="304">
        <f t="shared" si="53"/>
        <v>0.6</v>
      </c>
      <c r="R160" s="177">
        <f t="shared" si="54"/>
        <v>0.17401420966048961</v>
      </c>
      <c r="S160" s="799">
        <f t="shared" si="55"/>
        <v>0</v>
      </c>
      <c r="T160" s="176">
        <f t="shared" si="56"/>
        <v>6</v>
      </c>
      <c r="U160" s="250">
        <f t="shared" si="57"/>
        <v>0.17401420966048961</v>
      </c>
      <c r="V160" s="382">
        <f t="shared" si="58"/>
        <v>61.794395754379764</v>
      </c>
      <c r="W160" s="400">
        <f t="shared" si="59"/>
        <v>0</v>
      </c>
      <c r="X160" s="157">
        <f t="shared" si="60"/>
        <v>44707</v>
      </c>
      <c r="Y160" s="383">
        <f t="shared" si="61"/>
        <v>24.17696433396215</v>
      </c>
      <c r="Z160" s="383">
        <f t="shared" si="62"/>
        <v>24.751758283756505</v>
      </c>
      <c r="AA160" s="384">
        <f t="shared" si="63"/>
        <v>27.118148520329317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8.7262234543734829E-2</v>
      </c>
      <c r="AD160" s="230">
        <f>(INDEX(Models!$BJ160:$BT160,,AH160)*(1-AF160)+INDEX(Models!$BJ160:$BT160,,AH160+1)*AF160-ERP_i)*AE160*Ramure*Pc/MaxiM</f>
        <v>1.0295528693222045E-4</v>
      </c>
      <c r="AE160" s="304">
        <f t="shared" si="65"/>
        <v>0.6</v>
      </c>
      <c r="AF160" s="177">
        <f t="shared" si="66"/>
        <v>0.17401420966048961</v>
      </c>
      <c r="AG160" s="799">
        <f t="shared" si="74"/>
        <v>0</v>
      </c>
      <c r="AH160" s="176">
        <f t="shared" si="67"/>
        <v>6</v>
      </c>
      <c r="AI160" s="224">
        <f t="shared" si="68"/>
        <v>0.17401420966048961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3">
        <v>48.169000000000004</v>
      </c>
      <c r="C161" s="388"/>
      <c r="D161" s="391">
        <f t="shared" si="50"/>
        <v>49.315136436170057</v>
      </c>
      <c r="E161" s="383">
        <f t="shared" si="72"/>
        <v>49.933104639735667</v>
      </c>
      <c r="F161" s="383">
        <f t="shared" si="51"/>
        <v>49.93659743363169</v>
      </c>
      <c r="G161" s="110">
        <f t="shared" si="73"/>
        <v>0.77955933309155867</v>
      </c>
      <c r="H161" s="412" t="b">
        <f>Wh_hp&gt;='2021'!Maxi_hp</f>
        <v>0</v>
      </c>
      <c r="I161" s="379">
        <f>IF(H161,Wh_hp,'2021'!Maxi_hp)</f>
        <v>62.270971233570506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2.324106793567382E-2</v>
      </c>
      <c r="M161" s="832"/>
      <c r="N161" s="832"/>
      <c r="O161" s="48">
        <f>IF(t&lt;Tnet,'2021'!Resal+('2021'!Salim-'2021'!Resal)*(1-EXP(('2021'!Tnet-t)/('2021'!Tau_j))),Resal+(Salim-Resal)*(1-EXP((Tnet-t)/(Tau_j))))*Salcycl</f>
        <v>1.2375921906402902E-2</v>
      </c>
      <c r="P161" s="169">
        <f>(INDEX(Models!$BJ161:$BT161,,T161)*(1-R161)+INDEX(Models!$BJ161:$BT161,,T161+1)*R161-ERP_i)*Q161*Ramure*Pc/MaxiM</f>
        <v>1.0209089433753382E-4</v>
      </c>
      <c r="Q161" s="304">
        <f t="shared" si="53"/>
        <v>0.6</v>
      </c>
      <c r="R161" s="177">
        <f t="shared" si="54"/>
        <v>0.17872885705146546</v>
      </c>
      <c r="S161" s="799">
        <f t="shared" si="55"/>
        <v>0</v>
      </c>
      <c r="T161" s="176">
        <f t="shared" si="56"/>
        <v>6</v>
      </c>
      <c r="U161" s="250">
        <f t="shared" si="57"/>
        <v>0.17872885705146546</v>
      </c>
      <c r="V161" s="382">
        <f t="shared" si="58"/>
        <v>61.788050493125418</v>
      </c>
      <c r="W161" s="400">
        <f t="shared" si="59"/>
        <v>0</v>
      </c>
      <c r="X161" s="157">
        <f t="shared" si="60"/>
        <v>44708</v>
      </c>
      <c r="Y161" s="383">
        <f t="shared" si="61"/>
        <v>44.512937843795854</v>
      </c>
      <c r="Z161" s="383">
        <f t="shared" si="62"/>
        <v>45.572081690330911</v>
      </c>
      <c r="AA161" s="384">
        <f t="shared" si="63"/>
        <v>49.933104639735667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8.733730820202891E-2</v>
      </c>
      <c r="AD161" s="230">
        <f>(INDEX(Models!$BJ161:$BT161,,AH161)*(1-AF161)+INDEX(Models!$BJ161:$BT161,,AH161+1)*AF161-ERP_i)*AE161*Ramure*Pc/MaxiM</f>
        <v>1.0209089433753382E-4</v>
      </c>
      <c r="AE161" s="304">
        <f t="shared" si="65"/>
        <v>0.6</v>
      </c>
      <c r="AF161" s="177">
        <f t="shared" si="66"/>
        <v>0.17872885705146546</v>
      </c>
      <c r="AG161" s="799">
        <f t="shared" si="74"/>
        <v>0</v>
      </c>
      <c r="AH161" s="176">
        <f t="shared" si="67"/>
        <v>6</v>
      </c>
      <c r="AI161" s="224">
        <f t="shared" si="68"/>
        <v>0.17872885705146546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3">
        <v>57.937000000000005</v>
      </c>
      <c r="C162" s="388"/>
      <c r="D162" s="391">
        <f t="shared" si="50"/>
        <v>59.316693678161151</v>
      </c>
      <c r="E162" s="383">
        <f t="shared" si="72"/>
        <v>60.065541784810961</v>
      </c>
      <c r="F162" s="383">
        <f t="shared" si="51"/>
        <v>60.071081769180793</v>
      </c>
      <c r="G162" s="110">
        <f t="shared" si="73"/>
        <v>0.93780179859059332</v>
      </c>
      <c r="H162" s="412" t="b">
        <f>Wh_hp&gt;='2021'!Maxi_hp</f>
        <v>0</v>
      </c>
      <c r="I162" s="379">
        <f>IF(H162,Wh_hp,'2021'!Maxi_hp)</f>
        <v>61.405954695216622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2.3259787297772339E-2</v>
      </c>
      <c r="M162" s="832"/>
      <c r="N162" s="832"/>
      <c r="O162" s="48">
        <f>IF(t&lt;Tnet,'2021'!Resal+('2021'!Salim-'2021'!Resal)*(1-EXP(('2021'!Tnet-t)/('2021'!Tau_j))),Resal+(Salim-Resal)*(1-EXP((Tnet-t)/(Tau_j))))*Salcycl</f>
        <v>1.2467183086978676E-2</v>
      </c>
      <c r="P162" s="169">
        <f>(INDEX(Models!$BJ162:$BT162,,T162)*(1-R162)+INDEX(Models!$BJ162:$BT162,,T162+1)*R162-ERP_i)*Q162*Ramure*Pc/MaxiM</f>
        <v>1.0121611046470345E-4</v>
      </c>
      <c r="Q162" s="304">
        <f t="shared" si="53"/>
        <v>0.6</v>
      </c>
      <c r="R162" s="177">
        <f t="shared" si="54"/>
        <v>0.18349805943300784</v>
      </c>
      <c r="S162" s="799">
        <f t="shared" si="55"/>
        <v>0</v>
      </c>
      <c r="T162" s="176">
        <f t="shared" si="56"/>
        <v>6</v>
      </c>
      <c r="U162" s="250">
        <f t="shared" si="57"/>
        <v>0.18349805943300784</v>
      </c>
      <c r="V162" s="382">
        <f t="shared" si="58"/>
        <v>61.779023086151248</v>
      </c>
      <c r="W162" s="400">
        <f t="shared" si="59"/>
        <v>0</v>
      </c>
      <c r="X162" s="157">
        <f t="shared" si="60"/>
        <v>44709</v>
      </c>
      <c r="Y162" s="383">
        <f t="shared" si="61"/>
        <v>53.540092477319078</v>
      </c>
      <c r="Z162" s="383">
        <f t="shared" si="62"/>
        <v>54.815079568799831</v>
      </c>
      <c r="AA162" s="384">
        <f t="shared" si="63"/>
        <v>60.065541784810961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8.7412217720790442E-2</v>
      </c>
      <c r="AD162" s="230">
        <f>(INDEX(Models!$BJ162:$BT162,,AH162)*(1-AF162)+INDEX(Models!$BJ162:$BT162,,AH162+1)*AF162-ERP_i)*AE162*Ramure*Pc/MaxiM</f>
        <v>1.0121611046470345E-4</v>
      </c>
      <c r="AE162" s="304">
        <f t="shared" si="65"/>
        <v>0.6</v>
      </c>
      <c r="AF162" s="177">
        <f t="shared" si="66"/>
        <v>0.18349805943300784</v>
      </c>
      <c r="AG162" s="799">
        <f t="shared" si="74"/>
        <v>0</v>
      </c>
      <c r="AH162" s="176">
        <f t="shared" si="67"/>
        <v>6</v>
      </c>
      <c r="AI162" s="224">
        <f t="shared" si="68"/>
        <v>0.18349805943300784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3">
        <v>62.643999999999998</v>
      </c>
      <c r="C163" s="388"/>
      <c r="D163" s="391">
        <f t="shared" si="50"/>
        <v>64.137013881781982</v>
      </c>
      <c r="E163" s="383">
        <f t="shared" si="72"/>
        <v>64.952719250824217</v>
      </c>
      <c r="F163" s="383">
        <f t="shared" si="51"/>
        <v>64.959236791876052</v>
      </c>
      <c r="G163" s="110">
        <f t="shared" si="73"/>
        <v>1.0142136258336651</v>
      </c>
      <c r="H163" s="412" t="b">
        <f>Wh_hp&gt;='2021'!Maxi_hp</f>
        <v>1</v>
      </c>
      <c r="I163" s="379">
        <f>IF(H163,Wh_hp,'2021'!Maxi_hp)</f>
        <v>64.959236791876052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2.3278506301118496E-2</v>
      </c>
      <c r="M163" s="832"/>
      <c r="N163" s="832"/>
      <c r="O163" s="48">
        <f>IF(t&lt;Tnet,'2021'!Resal+('2021'!Salim-'2021'!Resal)*(1-EXP(('2021'!Tnet-t)/('2021'!Tau_j))),Resal+(Salim-Resal)*(1-EXP((Tnet-t)/(Tau_j))))*Salcycl</f>
        <v>1.2558448336739669E-2</v>
      </c>
      <c r="P163" s="169">
        <f>(INDEX(Models!$BJ163:$BT163,,T163)*(1-R163)+INDEX(Models!$BJ163:$BT163,,T163+1)*R163-ERP_i)*Q163*Ramure*Pc/MaxiM</f>
        <v>1.0033278366122462E-4</v>
      </c>
      <c r="Q163" s="304">
        <f t="shared" si="53"/>
        <v>0.6</v>
      </c>
      <c r="R163" s="177">
        <f t="shared" si="54"/>
        <v>0.18831867426422982</v>
      </c>
      <c r="S163" s="799">
        <f t="shared" si="55"/>
        <v>0</v>
      </c>
      <c r="T163" s="176">
        <f t="shared" si="56"/>
        <v>6</v>
      </c>
      <c r="U163" s="250">
        <f t="shared" si="57"/>
        <v>0.18831867426422982</v>
      </c>
      <c r="V163" s="382">
        <f t="shared" si="58"/>
        <v>61.766080048971709</v>
      </c>
      <c r="W163" s="400">
        <f t="shared" si="59"/>
        <v>0</v>
      </c>
      <c r="X163" s="157">
        <f t="shared" si="60"/>
        <v>44710</v>
      </c>
      <c r="Y163" s="383">
        <f t="shared" si="61"/>
        <v>57.890486058682811</v>
      </c>
      <c r="Z163" s="383">
        <f t="shared" si="62"/>
        <v>59.270207968342476</v>
      </c>
      <c r="AA163" s="384">
        <f t="shared" si="63"/>
        <v>64.952719250824217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8.7486888124543555E-2</v>
      </c>
      <c r="AD163" s="230">
        <f>(INDEX(Models!$BJ163:$BT163,,AH163)*(1-AF163)+INDEX(Models!$BJ163:$BT163,,AH163+1)*AF163-ERP_i)*AE163*Ramure*Pc/MaxiM</f>
        <v>1.0033278366122462E-4</v>
      </c>
      <c r="AE163" s="304">
        <f t="shared" si="65"/>
        <v>0.6</v>
      </c>
      <c r="AF163" s="177">
        <f t="shared" si="66"/>
        <v>0.18831867426422982</v>
      </c>
      <c r="AG163" s="799">
        <f t="shared" si="74"/>
        <v>0</v>
      </c>
      <c r="AH163" s="176">
        <f t="shared" si="67"/>
        <v>6</v>
      </c>
      <c r="AI163" s="224">
        <f t="shared" si="68"/>
        <v>0.18831867426422982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3">
        <v>53.152999999999999</v>
      </c>
      <c r="C164" s="388"/>
      <c r="D164" s="391">
        <f t="shared" si="50"/>
        <v>54.420854898304142</v>
      </c>
      <c r="E164" s="383">
        <f t="shared" si="72"/>
        <v>55.11808243878523</v>
      </c>
      <c r="F164" s="383">
        <f t="shared" si="51"/>
        <v>55.122474474563816</v>
      </c>
      <c r="G164" s="110">
        <f t="shared" si="73"/>
        <v>0.86078638665562202</v>
      </c>
      <c r="H164" s="412" t="b">
        <f>Wh_hp&gt;='2021'!Maxi_hp</f>
        <v>0</v>
      </c>
      <c r="I164" s="379">
        <f>IF(H164,Wh_hp,'2021'!Maxi_hp)</f>
        <v>59.25879141798292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2.3297224945719286E-2</v>
      </c>
      <c r="M164" s="832"/>
      <c r="N164" s="832"/>
      <c r="O164" s="48">
        <f>IF(t&lt;Tnet,'2021'!Resal+('2021'!Salim-'2021'!Resal)*(1-EXP(('2021'!Tnet-t)/('2021'!Tau_j))),Resal+(Salim-Resal)*(1-EXP((Tnet-t)/(Tau_j))))*Salcycl</f>
        <v>1.2649706042575704E-2</v>
      </c>
      <c r="P164" s="169">
        <f>(INDEX(Models!$BJ164:$BT164,,T164)*(1-R164)+INDEX(Models!$BJ164:$BT164,,T164+1)*R164-ERP_i)*Q164*Ramure*Pc/MaxiM</f>
        <v>9.9454527196029331E-5</v>
      </c>
      <c r="Q164" s="304">
        <f t="shared" si="53"/>
        <v>0.6</v>
      </c>
      <c r="R164" s="177">
        <f t="shared" si="54"/>
        <v>0.19318740320431738</v>
      </c>
      <c r="S164" s="799">
        <f t="shared" si="55"/>
        <v>0</v>
      </c>
      <c r="T164" s="176">
        <f t="shared" si="56"/>
        <v>6</v>
      </c>
      <c r="U164" s="250">
        <f t="shared" si="57"/>
        <v>0.19318740320431738</v>
      </c>
      <c r="V164" s="382">
        <f t="shared" si="58"/>
        <v>61.74812885773931</v>
      </c>
      <c r="W164" s="400">
        <f t="shared" si="59"/>
        <v>0</v>
      </c>
      <c r="X164" s="157">
        <f t="shared" si="60"/>
        <v>44711</v>
      </c>
      <c r="Y164" s="383">
        <f t="shared" si="61"/>
        <v>49.120213441314966</v>
      </c>
      <c r="Z164" s="383">
        <f t="shared" si="62"/>
        <v>50.29187455578294</v>
      </c>
      <c r="AA164" s="384">
        <f t="shared" si="63"/>
        <v>55.11808243878523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8.7561244322357012E-2</v>
      </c>
      <c r="AD164" s="230">
        <f>(INDEX(Models!$BJ164:$BT164,,AH164)*(1-AF164)+INDEX(Models!$BJ164:$BT164,,AH164+1)*AF164-ERP_i)*AE164*Ramure*Pc/MaxiM</f>
        <v>9.9454527196029331E-5</v>
      </c>
      <c r="AE164" s="304">
        <f t="shared" si="65"/>
        <v>0.6</v>
      </c>
      <c r="AF164" s="177">
        <f t="shared" si="66"/>
        <v>0.19318740320431738</v>
      </c>
      <c r="AG164" s="799">
        <f t="shared" si="74"/>
        <v>0</v>
      </c>
      <c r="AH164" s="176">
        <f t="shared" si="67"/>
        <v>6</v>
      </c>
      <c r="AI164" s="224">
        <f t="shared" si="68"/>
        <v>0.19318740320431738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3">
        <v>57.620000000000005</v>
      </c>
      <c r="C165" s="388"/>
      <c r="D165" s="391">
        <f t="shared" si="50"/>
        <v>58.995536581859326</v>
      </c>
      <c r="E165" s="383">
        <f t="shared" si="72"/>
        <v>59.756895865981065</v>
      </c>
      <c r="F165" s="383">
        <f t="shared" si="51"/>
        <v>59.762228885522106</v>
      </c>
      <c r="G165" s="110">
        <f t="shared" si="73"/>
        <v>0.93347761686225605</v>
      </c>
      <c r="H165" s="412" t="b">
        <f>Wh_hp&gt;='2021'!Maxi_hp</f>
        <v>0</v>
      </c>
      <c r="I165" s="379">
        <f>IF(H165,Wh_hp,'2021'!Maxi_hp)</f>
        <v>62.682352866116169</v>
      </c>
      <c r="J165" s="85">
        <f>IF(H165,An,'2021'!An_max)</f>
        <v>2018</v>
      </c>
      <c r="K165" s="197">
        <f t="shared" si="52"/>
        <v>44712</v>
      </c>
      <c r="L165" s="147">
        <f>IF(t&lt;Tvie,1-EXP((T0-t)*PertePVj)+'2021'!Pspv,1-EXP((T0-t)*PertePVj)+Pspv)</f>
        <v>2.3315943231581482E-2</v>
      </c>
      <c r="M165" s="832"/>
      <c r="N165" s="832"/>
      <c r="O165" s="48">
        <f>IF(t&lt;Tnet,'2021'!Resal+('2021'!Salim-'2021'!Resal)*(1-EXP(('2021'!Tnet-t)/('2021'!Tau_j))),Resal+(Salim-Resal)*(1-EXP((Tnet-t)/(Tau_j))))*Salcycl</f>
        <v>1.2740944339365633E-2</v>
      </c>
      <c r="P165" s="169">
        <f>(INDEX(Models!$BJ165:$BT165,,T165)*(1-R165)+INDEX(Models!$BJ165:$BT165,,T165+1)*R165-ERP_i)*Q165*Ramure*Pc/MaxiM</f>
        <v>9.8606866359277623E-5</v>
      </c>
      <c r="Q165" s="304">
        <f t="shared" si="53"/>
        <v>0.6</v>
      </c>
      <c r="R165" s="177">
        <f t="shared" si="54"/>
        <v>0.19810079975394404</v>
      </c>
      <c r="S165" s="799">
        <f t="shared" si="55"/>
        <v>0</v>
      </c>
      <c r="T165" s="176">
        <f t="shared" si="56"/>
        <v>6</v>
      </c>
      <c r="U165" s="250">
        <f t="shared" si="57"/>
        <v>0.19810079975394404</v>
      </c>
      <c r="V165" s="382">
        <f t="shared" si="58"/>
        <v>61.725593668428949</v>
      </c>
      <c r="W165" s="400">
        <f t="shared" si="59"/>
        <v>0</v>
      </c>
      <c r="X165" s="157">
        <f t="shared" si="60"/>
        <v>44712</v>
      </c>
      <c r="Y165" s="383">
        <f t="shared" si="61"/>
        <v>53.248900396593349</v>
      </c>
      <c r="Z165" s="383">
        <f t="shared" si="62"/>
        <v>54.520087665584974</v>
      </c>
      <c r="AA165" s="384">
        <f t="shared" si="63"/>
        <v>59.756895865981065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8.7635211376120806E-2</v>
      </c>
      <c r="AD165" s="230">
        <f>(INDEX(Models!$BJ165:$BT165,,AH165)*(1-AF165)+INDEX(Models!$BJ165:$BT165,,AH165+1)*AF165-ERP_i)*AE165*Ramure*Pc/MaxiM</f>
        <v>9.8606866359277623E-5</v>
      </c>
      <c r="AE165" s="304">
        <f t="shared" si="65"/>
        <v>0.6</v>
      </c>
      <c r="AF165" s="177">
        <f t="shared" si="66"/>
        <v>0.19810079975394404</v>
      </c>
      <c r="AG165" s="799">
        <f t="shared" si="74"/>
        <v>0</v>
      </c>
      <c r="AH165" s="176">
        <f t="shared" si="67"/>
        <v>6</v>
      </c>
      <c r="AI165" s="224">
        <f t="shared" si="68"/>
        <v>0.19810079975394404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3">
        <v>58.713999999999999</v>
      </c>
      <c r="C166" s="388"/>
      <c r="D166" s="391">
        <f t="shared" si="50"/>
        <v>60.116805281180618</v>
      </c>
      <c r="E166" s="383">
        <f t="shared" si="72"/>
        <v>60.898260970824573</v>
      </c>
      <c r="F166" s="383">
        <f t="shared" si="51"/>
        <v>60.903805145536381</v>
      </c>
      <c r="G166" s="110">
        <f t="shared" si="73"/>
        <v>0.95161507144814705</v>
      </c>
      <c r="H166" s="412" t="b">
        <f>Wh_hp&gt;='2021'!Maxi_hp</f>
        <v>0</v>
      </c>
      <c r="I166" s="379">
        <f>IF(H166,Wh_hp,'2021'!Maxi_hp)</f>
        <v>63.124729427681508</v>
      </c>
      <c r="J166" s="85">
        <f>IF(H166,An,'2021'!An_max)</f>
        <v>2018</v>
      </c>
      <c r="K166" s="197">
        <f t="shared" si="52"/>
        <v>44713</v>
      </c>
      <c r="L166" s="147">
        <f>IF(t&lt;Tvie,1-EXP((T0-t)*PertePVj)+'2021'!Pspv,1-EXP((T0-t)*PertePVj)+Pspv)</f>
        <v>2.3334661158711967E-2</v>
      </c>
      <c r="M166" s="832"/>
      <c r="N166" s="832"/>
      <c r="O166" s="48">
        <f>IF(t&lt;Tnet,'2021'!Resal+('2021'!Salim-'2021'!Resal)*(1-EXP(('2021'!Tnet-t)/('2021'!Tau_j))),Resal+(Salim-Resal)*(1-EXP((Tnet-t)/(Tau_j))))*Salcycl</f>
        <v>1.2832151151546664E-2</v>
      </c>
      <c r="P166" s="169">
        <f>(INDEX(Models!$BJ166:$BT166,,T166)*(1-R166)+INDEX(Models!$BJ166:$BT166,,T166+1)*R166-ERP_i)*Q166*Ramure*Pc/MaxiM</f>
        <v>9.7790150087842678E-5</v>
      </c>
      <c r="Q166" s="304">
        <f t="shared" si="53"/>
        <v>0.6</v>
      </c>
      <c r="R166" s="177">
        <f t="shared" si="54"/>
        <v>0.20305527783102639</v>
      </c>
      <c r="S166" s="799">
        <f t="shared" si="55"/>
        <v>0</v>
      </c>
      <c r="T166" s="176">
        <f t="shared" si="56"/>
        <v>6</v>
      </c>
      <c r="U166" s="250">
        <f t="shared" si="57"/>
        <v>0.20305527783102639</v>
      </c>
      <c r="V166" s="382">
        <f t="shared" si="58"/>
        <v>61.698900015064375</v>
      </c>
      <c r="W166" s="400">
        <f t="shared" si="59"/>
        <v>0</v>
      </c>
      <c r="X166" s="157">
        <f t="shared" si="60"/>
        <v>44713</v>
      </c>
      <c r="Y166" s="383">
        <f t="shared" si="61"/>
        <v>54.260550101219415</v>
      </c>
      <c r="Z166" s="383">
        <f t="shared" si="62"/>
        <v>55.556952769096853</v>
      </c>
      <c r="AA166" s="384">
        <f t="shared" si="63"/>
        <v>60.898260970824573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8.7708714774082902E-2</v>
      </c>
      <c r="AD166" s="230">
        <f>(INDEX(Models!$BJ166:$BT166,,AH166)*(1-AF166)+INDEX(Models!$BJ166:$BT166,,AH166+1)*AF166-ERP_i)*AE166*Ramure*Pc/MaxiM</f>
        <v>9.7790150087842678E-5</v>
      </c>
      <c r="AE166" s="304">
        <f t="shared" si="65"/>
        <v>0.6</v>
      </c>
      <c r="AF166" s="177">
        <f t="shared" si="66"/>
        <v>0.20305527783102639</v>
      </c>
      <c r="AG166" s="799">
        <f t="shared" si="74"/>
        <v>0</v>
      </c>
      <c r="AH166" s="176">
        <f t="shared" si="67"/>
        <v>6</v>
      </c>
      <c r="AI166" s="224">
        <f t="shared" si="68"/>
        <v>0.20305527783102639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3">
        <v>46.826999999999998</v>
      </c>
      <c r="C167" s="388"/>
      <c r="D167" s="391">
        <f t="shared" si="50"/>
        <v>47.946717860928523</v>
      </c>
      <c r="E167" s="383">
        <f t="shared" si="72"/>
        <v>48.574460882795933</v>
      </c>
      <c r="F167" s="383">
        <f t="shared" si="51"/>
        <v>48.577553029555524</v>
      </c>
      <c r="G167" s="110">
        <f t="shared" si="73"/>
        <v>0.75930918516761392</v>
      </c>
      <c r="H167" s="412" t="b">
        <f>Wh_hp&gt;='2021'!Maxi_hp</f>
        <v>0</v>
      </c>
      <c r="I167" s="379">
        <f>IF(H167,Wh_hp,'2021'!Maxi_hp)</f>
        <v>62.353294055215706</v>
      </c>
      <c r="J167" s="85">
        <f>IF(H167,An,'2021'!An_max)</f>
        <v>2018</v>
      </c>
      <c r="K167" s="197">
        <f t="shared" si="52"/>
        <v>44714</v>
      </c>
      <c r="L167" s="147">
        <f>IF(t&lt;Tvie,1-EXP((T0-t)*PertePVj)+'2021'!Pspv,1-EXP((T0-t)*PertePVj)+Pspv)</f>
        <v>2.3353378727117735E-2</v>
      </c>
      <c r="M167" s="832"/>
      <c r="N167" s="832"/>
      <c r="O167" s="48">
        <f>IF(t&lt;Tnet,'2021'!Resal+('2021'!Salim-'2021'!Resal)*(1-EXP(('2021'!Tnet-t)/('2021'!Tau_j))),Resal+(Salim-Resal)*(1-EXP((Tnet-t)/(Tau_j))))*Salcycl</f>
        <v>1.2923314236715342E-2</v>
      </c>
      <c r="P167" s="169">
        <f>(INDEX(Models!$BJ167:$BT167,,T167)*(1-R167)+INDEX(Models!$BJ167:$BT167,,T167+1)*R167-ERP_i)*Q167*Ramure*Pc/MaxiM</f>
        <v>9.7004845219062852E-5</v>
      </c>
      <c r="Q167" s="304">
        <f t="shared" si="53"/>
        <v>0.6</v>
      </c>
      <c r="R167" s="177">
        <f t="shared" si="54"/>
        <v>0.20804712124543895</v>
      </c>
      <c r="S167" s="799">
        <f t="shared" si="55"/>
        <v>0</v>
      </c>
      <c r="T167" s="176">
        <f t="shared" si="56"/>
        <v>6</v>
      </c>
      <c r="U167" s="250">
        <f t="shared" si="57"/>
        <v>0.20804712124543895</v>
      </c>
      <c r="V167" s="382">
        <f t="shared" si="58"/>
        <v>61.668473247474708</v>
      </c>
      <c r="W167" s="400">
        <f t="shared" si="59"/>
        <v>0</v>
      </c>
      <c r="X167" s="157">
        <f t="shared" si="60"/>
        <v>44714</v>
      </c>
      <c r="Y167" s="383">
        <f t="shared" si="61"/>
        <v>43.275712873772129</v>
      </c>
      <c r="Z167" s="383">
        <f t="shared" si="62"/>
        <v>44.310513067019123</v>
      </c>
      <c r="AA167" s="384">
        <f t="shared" si="63"/>
        <v>48.574460882795933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8.778168070799966E-2</v>
      </c>
      <c r="AD167" s="230">
        <f>(INDEX(Models!$BJ167:$BT167,,AH167)*(1-AF167)+INDEX(Models!$BJ167:$BT167,,AH167+1)*AF167-ERP_i)*AE167*Ramure*Pc/MaxiM</f>
        <v>9.7004845219062852E-5</v>
      </c>
      <c r="AE167" s="304">
        <f t="shared" si="65"/>
        <v>0.6</v>
      </c>
      <c r="AF167" s="177">
        <f t="shared" si="66"/>
        <v>0.20804712124543895</v>
      </c>
      <c r="AG167" s="799">
        <f t="shared" si="74"/>
        <v>0</v>
      </c>
      <c r="AH167" s="176">
        <f t="shared" si="67"/>
        <v>6</v>
      </c>
      <c r="AI167" s="224">
        <f t="shared" si="68"/>
        <v>0.20804712124543895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3">
        <v>57.276000000000003</v>
      </c>
      <c r="C168" s="388"/>
      <c r="D168" s="391">
        <f t="shared" si="50"/>
        <v>58.646696210201526</v>
      </c>
      <c r="E168" s="383">
        <f t="shared" si="72"/>
        <v>59.420013292746269</v>
      </c>
      <c r="F168" s="383">
        <f t="shared" si="51"/>
        <v>59.425155204871523</v>
      </c>
      <c r="G168" s="110">
        <f t="shared" si="73"/>
        <v>0.92927210155106488</v>
      </c>
      <c r="H168" s="412" t="b">
        <f>Wh_hp&gt;='2021'!Maxi_hp</f>
        <v>1</v>
      </c>
      <c r="I168" s="379">
        <f>IF(H168,Wh_hp,'2021'!Maxi_hp)</f>
        <v>59.425155204871523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2.3372095936805559E-2</v>
      </c>
      <c r="M168" s="832"/>
      <c r="N168" s="832"/>
      <c r="O168" s="48">
        <f>IF(t&lt;Tnet,'2021'!Resal+('2021'!Salim-'2021'!Resal)*(1-EXP(('2021'!Tnet-t)/('2021'!Tau_j))),Resal+(Salim-Resal)*(1-EXP((Tnet-t)/(Tau_j))))*Salcycl</f>
        <v>1.3014421231022203E-2</v>
      </c>
      <c r="P168" s="169">
        <f>(INDEX(Models!$BJ168:$BT168,,T168)*(1-R168)+INDEX(Models!$BJ168:$BT168,,T168+1)*R168-ERP_i)*Q168*Ramure*Pc/MaxiM</f>
        <v>9.6251532002347026E-5</v>
      </c>
      <c r="Q168" s="304">
        <f t="shared" si="53"/>
        <v>0.6</v>
      </c>
      <c r="R168" s="177">
        <f t="shared" si="54"/>
        <v>0.21307249402771086</v>
      </c>
      <c r="S168" s="799">
        <f t="shared" si="55"/>
        <v>0</v>
      </c>
      <c r="T168" s="176">
        <f t="shared" si="56"/>
        <v>6</v>
      </c>
      <c r="U168" s="250">
        <f t="shared" si="57"/>
        <v>0.21307249402771086</v>
      </c>
      <c r="V168" s="382">
        <f t="shared" si="58"/>
        <v>61.634738527588809</v>
      </c>
      <c r="W168" s="400">
        <f t="shared" si="59"/>
        <v>0</v>
      </c>
      <c r="X168" s="157">
        <f t="shared" si="60"/>
        <v>44715</v>
      </c>
      <c r="Y168" s="383">
        <f t="shared" si="61"/>
        <v>52.932964105771624</v>
      </c>
      <c r="Z168" s="383">
        <f t="shared" si="62"/>
        <v>54.199725284878305</v>
      </c>
      <c r="AA168" s="384">
        <f t="shared" si="63"/>
        <v>59.420013292746269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8.785403635218024E-2</v>
      </c>
      <c r="AD168" s="230">
        <f>(INDEX(Models!$BJ168:$BT168,,AH168)*(1-AF168)+INDEX(Models!$BJ168:$BT168,,AH168+1)*AF168-ERP_i)*AE168*Ramure*Pc/MaxiM</f>
        <v>9.6251532002347026E-5</v>
      </c>
      <c r="AE168" s="304">
        <f t="shared" si="65"/>
        <v>0.6</v>
      </c>
      <c r="AF168" s="177">
        <f t="shared" si="66"/>
        <v>0.21307249402771086</v>
      </c>
      <c r="AG168" s="799">
        <f t="shared" si="74"/>
        <v>0</v>
      </c>
      <c r="AH168" s="176">
        <f t="shared" si="67"/>
        <v>6</v>
      </c>
      <c r="AI168" s="224">
        <f t="shared" si="68"/>
        <v>0.21307249402771086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3">
        <v>27.305</v>
      </c>
      <c r="C169" s="388"/>
      <c r="D169" s="391">
        <f t="shared" si="50"/>
        <v>27.958983345163443</v>
      </c>
      <c r="E169" s="383">
        <f t="shared" si="72"/>
        <v>28.330264484545534</v>
      </c>
      <c r="F169" s="383">
        <f t="shared" si="51"/>
        <v>28.330818446501109</v>
      </c>
      <c r="G169" s="110">
        <f t="shared" si="73"/>
        <v>0.44324282992307001</v>
      </c>
      <c r="H169" s="412" t="b">
        <f>Wh_hp&gt;='2021'!Maxi_hp</f>
        <v>0</v>
      </c>
      <c r="I169" s="379">
        <f>IF(H169,Wh_hp,'2021'!Maxi_hp)</f>
        <v>57.206955445857666</v>
      </c>
      <c r="J169" s="85">
        <f>IF(H169,An,'2021'!An_max)</f>
        <v>2018</v>
      </c>
      <c r="K169" s="197">
        <f t="shared" si="52"/>
        <v>44716</v>
      </c>
      <c r="L169" s="147">
        <f>IF(t&lt;Tvie,1-EXP((T0-t)*PertePVj)+'2021'!Pspv,1-EXP((T0-t)*PertePVj)+Pspv)</f>
        <v>2.3390812787782322E-2</v>
      </c>
      <c r="M169" s="832"/>
      <c r="N169" s="832"/>
      <c r="O169" s="48">
        <f>IF(t&lt;Tnet,'2021'!Resal+('2021'!Salim-'2021'!Resal)*(1-EXP(('2021'!Tnet-t)/('2021'!Tau_j))),Resal+(Salim-Resal)*(1-EXP((Tnet-t)/(Tau_j))))*Salcycl</f>
        <v>1.3105459696101027E-2</v>
      </c>
      <c r="P169" s="169">
        <f>(INDEX(Models!$BJ169:$BT169,,T169)*(1-R169)+INDEX(Models!$BJ169:$BT169,,T169+1)*R169-ERP_i)*Q169*Ramure*Pc/MaxiM</f>
        <v>9.5530899191025582E-5</v>
      </c>
      <c r="Q169" s="304">
        <f t="shared" si="53"/>
        <v>0.6</v>
      </c>
      <c r="R169" s="177">
        <f t="shared" si="54"/>
        <v>0.21812745155737065</v>
      </c>
      <c r="S169" s="799">
        <f t="shared" si="55"/>
        <v>0</v>
      </c>
      <c r="T169" s="176">
        <f t="shared" si="56"/>
        <v>6</v>
      </c>
      <c r="U169" s="250">
        <f t="shared" si="57"/>
        <v>0.21812745155737065</v>
      </c>
      <c r="V169" s="382">
        <f t="shared" si="58"/>
        <v>61.598120824099276</v>
      </c>
      <c r="W169" s="400">
        <f t="shared" si="59"/>
        <v>0</v>
      </c>
      <c r="X169" s="157">
        <f t="shared" si="60"/>
        <v>44716</v>
      </c>
      <c r="Y169" s="383">
        <f t="shared" si="61"/>
        <v>25.2349034952469</v>
      </c>
      <c r="Z169" s="383">
        <f t="shared" si="62"/>
        <v>25.839305861212775</v>
      </c>
      <c r="AA169" s="384">
        <f t="shared" si="63"/>
        <v>28.330264484545534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8.7925710142649771E-2</v>
      </c>
      <c r="AD169" s="230">
        <f>(INDEX(Models!$BJ169:$BT169,,AH169)*(1-AF169)+INDEX(Models!$BJ169:$BT169,,AH169+1)*AF169-ERP_i)*AE169*Ramure*Pc/MaxiM</f>
        <v>9.5530899191025582E-5</v>
      </c>
      <c r="AE169" s="304">
        <f t="shared" si="65"/>
        <v>0.6</v>
      </c>
      <c r="AF169" s="177">
        <f t="shared" si="66"/>
        <v>0.21812745155737065</v>
      </c>
      <c r="AG169" s="799">
        <f t="shared" si="74"/>
        <v>0</v>
      </c>
      <c r="AH169" s="176">
        <f t="shared" si="67"/>
        <v>6</v>
      </c>
      <c r="AI169" s="224">
        <f t="shared" si="68"/>
        <v>0.21812745155737065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3">
        <v>37.625</v>
      </c>
      <c r="C170" s="388"/>
      <c r="D170" s="391">
        <f t="shared" si="50"/>
        <v>38.52689651196652</v>
      </c>
      <c r="E170" s="383">
        <f t="shared" ref="E170:E232" si="75">Wh_pvt/(1-Psa)</f>
        <v>39.042112515816093</v>
      </c>
      <c r="F170" s="383">
        <f t="shared" si="51"/>
        <v>39.043760004262097</v>
      </c>
      <c r="G170" s="110">
        <f t="shared" ref="G170:G232" si="76">+Wh_hp/MaxiM</f>
        <v>0.61116963551609493</v>
      </c>
      <c r="H170" s="412" t="b">
        <f>Wh_hp&gt;='2021'!Maxi_hp</f>
        <v>0</v>
      </c>
      <c r="I170" s="379">
        <f>IF(H170,Wh_hp,'2021'!Maxi_hp)</f>
        <v>45.501902889660293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2.3409529280054797E-2</v>
      </c>
      <c r="M170" s="832"/>
      <c r="N170" s="832"/>
      <c r="O170" s="48">
        <f>IF(t&lt;Tnet,'2021'!Resal+('2021'!Salim-'2021'!Resal)*(1-EXP(('2021'!Tnet-t)/('2021'!Tau_j))),Resal+(Salim-Resal)*(1-EXP((Tnet-t)/(Tau_j))))*Salcycl</f>
        <v>1.3196417167253956E-2</v>
      </c>
      <c r="P170" s="169">
        <f>(INDEX(Models!$BJ170:$BT170,,T170)*(1-R170)+INDEX(Models!$BJ170:$BT170,,T170+1)*R170-ERP_i)*Q170*Ramure*Pc/MaxiM</f>
        <v>9.4913196980545906E-5</v>
      </c>
      <c r="Q170" s="304">
        <f t="shared" si="53"/>
        <v>0.6</v>
      </c>
      <c r="R170" s="177">
        <f t="shared" si="54"/>
        <v>0.2232079524276426</v>
      </c>
      <c r="S170" s="799">
        <f t="shared" si="55"/>
        <v>0</v>
      </c>
      <c r="T170" s="176">
        <f t="shared" si="56"/>
        <v>6</v>
      </c>
      <c r="U170" s="250">
        <f t="shared" si="57"/>
        <v>0.2232079524276426</v>
      </c>
      <c r="V170" s="382">
        <f t="shared" si="58"/>
        <v>61.559040638558663</v>
      </c>
      <c r="W170" s="400">
        <f t="shared" si="59"/>
        <v>0</v>
      </c>
      <c r="X170" s="157">
        <f t="shared" si="60"/>
        <v>44717</v>
      </c>
      <c r="Y170" s="383">
        <f t="shared" si="61"/>
        <v>34.773005809770297</v>
      </c>
      <c r="Z170" s="383">
        <f t="shared" si="62"/>
        <v>35.606538106127061</v>
      </c>
      <c r="AA170" s="384">
        <f t="shared" si="63"/>
        <v>39.042112515816093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8.7996632054611959E-2</v>
      </c>
      <c r="AD170" s="230">
        <f>(INDEX(Models!$BJ170:$BT170,,AH170)*(1-AF170)+INDEX(Models!$BJ170:$BT170,,AH170+1)*AF170-ERP_i)*AE170*Ramure*Pc/MaxiM</f>
        <v>9.4913196980545906E-5</v>
      </c>
      <c r="AE170" s="304">
        <f t="shared" si="65"/>
        <v>0.6</v>
      </c>
      <c r="AF170" s="177">
        <f t="shared" si="66"/>
        <v>0.2232079524276426</v>
      </c>
      <c r="AG170" s="799">
        <f t="shared" si="74"/>
        <v>0</v>
      </c>
      <c r="AH170" s="176">
        <f t="shared" si="67"/>
        <v>6</v>
      </c>
      <c r="AI170" s="224">
        <f t="shared" si="68"/>
        <v>0.2232079524276426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3">
        <v>49.078000000000003</v>
      </c>
      <c r="C171" s="388"/>
      <c r="D171" s="391">
        <f t="shared" si="50"/>
        <v>50.255395744869915</v>
      </c>
      <c r="E171" s="383">
        <f t="shared" si="75"/>
        <v>50.932145484169652</v>
      </c>
      <c r="F171" s="383">
        <f t="shared" si="51"/>
        <v>50.935562521512104</v>
      </c>
      <c r="G171" s="110">
        <f t="shared" si="76"/>
        <v>0.79776197508494151</v>
      </c>
      <c r="H171" s="412" t="b">
        <f>Wh_hp&gt;='2021'!Maxi_hp</f>
        <v>0</v>
      </c>
      <c r="I171" s="379">
        <f>IF(H171,Wh_hp,'2021'!Maxi_hp)</f>
        <v>58.87079114151684</v>
      </c>
      <c r="J171" s="85">
        <f>IF(H171,An,'2021'!An_max)</f>
        <v>2018</v>
      </c>
      <c r="K171" s="197">
        <f t="shared" si="52"/>
        <v>44718</v>
      </c>
      <c r="L171" s="147">
        <f>IF(t&lt;Tvie,1-EXP((T0-t)*PertePVj)+'2021'!Pspv,1-EXP((T0-t)*PertePVj)+Pspv)</f>
        <v>2.3428245413630089E-2</v>
      </c>
      <c r="M171" s="832"/>
      <c r="N171" s="832"/>
      <c r="O171" s="48">
        <f>IF(t&lt;Tnet,'2021'!Resal+('2021'!Salim-'2021'!Resal)*(1-EXP(('2021'!Tnet-t)/('2021'!Tau_j))),Resal+(Salim-Resal)*(1-EXP((Tnet-t)/(Tau_j))))*Salcycl</f>
        <v>1.3287281202596915E-2</v>
      </c>
      <c r="P171" s="169">
        <f>(INDEX(Models!$BJ171:$BT171,,T171)*(1-R171)+INDEX(Models!$BJ171:$BT171,,T171+1)*R171-ERP_i)*Q171*Ramure*Pc/MaxiM</f>
        <v>9.4337849284098168E-5</v>
      </c>
      <c r="Q171" s="304">
        <f t="shared" si="53"/>
        <v>0.6</v>
      </c>
      <c r="R171" s="177">
        <f t="shared" si="54"/>
        <v>0.22830987097478256</v>
      </c>
      <c r="S171" s="799">
        <f t="shared" si="55"/>
        <v>0</v>
      </c>
      <c r="T171" s="176">
        <f t="shared" si="56"/>
        <v>6</v>
      </c>
      <c r="U171" s="250">
        <f t="shared" si="57"/>
        <v>0.22830987097478256</v>
      </c>
      <c r="V171" s="382">
        <f t="shared" si="58"/>
        <v>61.517926338767076</v>
      </c>
      <c r="W171" s="400">
        <f t="shared" si="59"/>
        <v>0</v>
      </c>
      <c r="X171" s="157">
        <f t="shared" si="60"/>
        <v>44718</v>
      </c>
      <c r="Y171" s="383">
        <f t="shared" si="61"/>
        <v>45.358552679207129</v>
      </c>
      <c r="Z171" s="383">
        <f t="shared" si="62"/>
        <v>46.446717782062919</v>
      </c>
      <c r="AA171" s="384">
        <f t="shared" si="63"/>
        <v>50.932145484169652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8.8066733876366168E-2</v>
      </c>
      <c r="AD171" s="230">
        <f>(INDEX(Models!$BJ171:$BT171,,AH171)*(1-AF171)+INDEX(Models!$BJ171:$BT171,,AH171+1)*AF171-ERP_i)*AE171*Ramure*Pc/MaxiM</f>
        <v>9.4337849284098168E-5</v>
      </c>
      <c r="AE171" s="304">
        <f t="shared" si="65"/>
        <v>0.6</v>
      </c>
      <c r="AF171" s="177">
        <f t="shared" si="66"/>
        <v>0.22830987097478256</v>
      </c>
      <c r="AG171" s="799">
        <f t="shared" si="74"/>
        <v>0</v>
      </c>
      <c r="AH171" s="176">
        <f t="shared" si="67"/>
        <v>6</v>
      </c>
      <c r="AI171" s="224">
        <f t="shared" si="68"/>
        <v>0.22830987097478256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3">
        <v>29.771000000000001</v>
      </c>
      <c r="C172" s="388"/>
      <c r="D172" s="391">
        <f t="shared" si="50"/>
        <v>30.485799354260195</v>
      </c>
      <c r="E172" s="383">
        <f t="shared" si="75"/>
        <v>30.899169664473984</v>
      </c>
      <c r="F172" s="383">
        <f t="shared" si="51"/>
        <v>30.89993272703305</v>
      </c>
      <c r="G172" s="110">
        <f t="shared" si="76"/>
        <v>0.48424309840261892</v>
      </c>
      <c r="H172" s="412" t="b">
        <f>Wh_hp&gt;='2021'!Maxi_hp</f>
        <v>0</v>
      </c>
      <c r="I172" s="379">
        <f>IF(H172,Wh_hp,'2021'!Maxi_hp)</f>
        <v>52.613805955532094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2.344696118851497E-2</v>
      </c>
      <c r="M172" s="832"/>
      <c r="N172" s="832"/>
      <c r="O172" s="48">
        <f>IF(t&lt;Tnet,'2021'!Resal+('2021'!Salim-'2021'!Resal)*(1-EXP(('2021'!Tnet-t)/('2021'!Tau_j))),Resal+(Salim-Resal)*(1-EXP((Tnet-t)/(Tau_j))))*Salcycl</f>
        <v>1.3378039432854266E-2</v>
      </c>
      <c r="P172" s="169">
        <f>(INDEX(Models!$BJ172:$BT172,,T172)*(1-R172)+INDEX(Models!$BJ172:$BT172,,T172+1)*R172-ERP_i)*Q172*Ramure*Pc/MaxiM</f>
        <v>9.3805982167946108E-5</v>
      </c>
      <c r="Q172" s="304">
        <f t="shared" si="53"/>
        <v>0.6</v>
      </c>
      <c r="R172" s="177">
        <f t="shared" si="54"/>
        <v>0.23342901039260855</v>
      </c>
      <c r="S172" s="799">
        <f t="shared" si="55"/>
        <v>0</v>
      </c>
      <c r="T172" s="176">
        <f t="shared" si="56"/>
        <v>6</v>
      </c>
      <c r="U172" s="250">
        <f t="shared" si="57"/>
        <v>0.23342901039260855</v>
      </c>
      <c r="V172" s="382">
        <f t="shared" si="58"/>
        <v>61.475202297091833</v>
      </c>
      <c r="W172" s="400">
        <f t="shared" si="59"/>
        <v>0</v>
      </c>
      <c r="X172" s="157">
        <f t="shared" si="60"/>
        <v>44719</v>
      </c>
      <c r="Y172" s="383">
        <f t="shared" si="61"/>
        <v>27.515204134003486</v>
      </c>
      <c r="Z172" s="383">
        <f t="shared" si="62"/>
        <v>28.175842008019242</v>
      </c>
      <c r="AA172" s="384">
        <f t="shared" si="63"/>
        <v>30.899169664473984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8.8135949477822384E-2</v>
      </c>
      <c r="AD172" s="230">
        <f>(INDEX(Models!$BJ172:$BT172,,AH172)*(1-AF172)+INDEX(Models!$BJ172:$BT172,,AH172+1)*AF172-ERP_i)*AE172*Ramure*Pc/MaxiM</f>
        <v>9.3805982167946108E-5</v>
      </c>
      <c r="AE172" s="304">
        <f t="shared" si="65"/>
        <v>0.6</v>
      </c>
      <c r="AF172" s="177">
        <f t="shared" si="66"/>
        <v>0.23342901039260855</v>
      </c>
      <c r="AG172" s="799">
        <f t="shared" si="74"/>
        <v>0</v>
      </c>
      <c r="AH172" s="176">
        <f t="shared" si="67"/>
        <v>6</v>
      </c>
      <c r="AI172" s="224">
        <f t="shared" si="68"/>
        <v>0.23342901039260855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3">
        <v>22.195</v>
      </c>
      <c r="C173" s="388"/>
      <c r="D173" s="391">
        <f t="shared" si="50"/>
        <v>22.728335777109042</v>
      </c>
      <c r="E173" s="383">
        <f t="shared" si="75"/>
        <v>23.038635781130655</v>
      </c>
      <c r="F173" s="383">
        <f t="shared" si="51"/>
        <v>23.038824049489772</v>
      </c>
      <c r="G173" s="110">
        <f t="shared" si="76"/>
        <v>0.36126718448389389</v>
      </c>
      <c r="H173" s="412" t="b">
        <f>Wh_hp&gt;='2021'!Maxi_hp</f>
        <v>0</v>
      </c>
      <c r="I173" s="379">
        <f>IF(H173,Wh_hp,'2021'!Maxi_hp)</f>
        <v>63.747853574878313</v>
      </c>
      <c r="J173" s="85">
        <f>IF(H173,An,'2021'!An_max)</f>
        <v>2018</v>
      </c>
      <c r="K173" s="197">
        <f t="shared" si="52"/>
        <v>44720</v>
      </c>
      <c r="L173" s="147">
        <f>IF(t&lt;Tvie,1-EXP((T0-t)*PertePVj)+'2021'!Pspv,1-EXP((T0-t)*PertePVj)+Pspv)</f>
        <v>2.3465676604716212E-2</v>
      </c>
      <c r="M173" s="832"/>
      <c r="N173" s="832"/>
      <c r="O173" s="48">
        <f>IF(t&lt;Tnet,'2021'!Resal+('2021'!Salim-'2021'!Resal)*(1-EXP(('2021'!Tnet-t)/('2021'!Tau_j))),Resal+(Salim-Resal)*(1-EXP((Tnet-t)/(Tau_j))))*Salcycl</f>
        <v>1.3468679611479304E-2</v>
      </c>
      <c r="P173" s="169">
        <f>(INDEX(Models!$BJ173:$BT173,,T173)*(1-R173)+INDEX(Models!$BJ173:$BT173,,T173+1)*R173-ERP_i)*Q173*Ramure*Pc/MaxiM</f>
        <v>9.3318797064209709E-5</v>
      </c>
      <c r="Q173" s="304">
        <f t="shared" si="53"/>
        <v>0.6</v>
      </c>
      <c r="R173" s="177">
        <f t="shared" si="54"/>
        <v>0.23856111634587504</v>
      </c>
      <c r="S173" s="799">
        <f t="shared" si="55"/>
        <v>0</v>
      </c>
      <c r="T173" s="176">
        <f t="shared" si="56"/>
        <v>6</v>
      </c>
      <c r="U173" s="250">
        <f t="shared" si="57"/>
        <v>0.23856111634587504</v>
      </c>
      <c r="V173" s="382">
        <f t="shared" si="58"/>
        <v>61.431292682643182</v>
      </c>
      <c r="W173" s="400">
        <f t="shared" si="59"/>
        <v>0</v>
      </c>
      <c r="X173" s="157">
        <f t="shared" si="60"/>
        <v>44720</v>
      </c>
      <c r="Y173" s="383">
        <f t="shared" si="61"/>
        <v>20.513598532799001</v>
      </c>
      <c r="Z173" s="383">
        <f t="shared" si="62"/>
        <v>21.00653099573179</v>
      </c>
      <c r="AA173" s="384">
        <f t="shared" si="63"/>
        <v>23.038635781130655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8.8204215071763056E-2</v>
      </c>
      <c r="AD173" s="230">
        <f>(INDEX(Models!$BJ173:$BT173,,AH173)*(1-AF173)+INDEX(Models!$BJ173:$BT173,,AH173+1)*AF173-ERP_i)*AE173*Ramure*Pc/MaxiM</f>
        <v>9.3318797064209709E-5</v>
      </c>
      <c r="AE173" s="304">
        <f t="shared" si="65"/>
        <v>0.6</v>
      </c>
      <c r="AF173" s="177">
        <f t="shared" si="66"/>
        <v>0.23856111634587504</v>
      </c>
      <c r="AG173" s="799">
        <f t="shared" si="74"/>
        <v>0</v>
      </c>
      <c r="AH173" s="176">
        <f t="shared" si="67"/>
        <v>6</v>
      </c>
      <c r="AI173" s="224">
        <f t="shared" si="68"/>
        <v>0.23856111634587504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3">
        <v>48.356000000000002</v>
      </c>
      <c r="C174" s="388"/>
      <c r="D174" s="391">
        <f t="shared" si="50"/>
        <v>49.518921753142664</v>
      </c>
      <c r="E174" s="383">
        <f t="shared" si="75"/>
        <v>50.199587480889122</v>
      </c>
      <c r="F174" s="383">
        <f t="shared" si="51"/>
        <v>50.202836253272487</v>
      </c>
      <c r="G174" s="110">
        <f t="shared" si="76"/>
        <v>0.78770645510986492</v>
      </c>
      <c r="H174" s="412" t="b">
        <f>Wh_hp&gt;='2021'!Maxi_hp</f>
        <v>0</v>
      </c>
      <c r="I174" s="379">
        <f>IF(H174,Wh_hp,'2021'!Maxi_hp)</f>
        <v>60.451525350346095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2.3484391662240811E-2</v>
      </c>
      <c r="M174" s="832"/>
      <c r="N174" s="832"/>
      <c r="O174" s="48">
        <f>IF(t&lt;Tnet,'2021'!Resal+('2021'!Salim-'2021'!Resal)*(1-EXP(('2021'!Tnet-t)/('2021'!Tau_j))),Resal+(Salim-Resal)*(1-EXP((Tnet-t)/(Tau_j))))*Salcycl</f>
        <v>1.3559189664767343E-2</v>
      </c>
      <c r="P174" s="169">
        <f>(INDEX(Models!$BJ174:$BT174,,T174)*(1-R174)+INDEX(Models!$BJ174:$BT174,,T174+1)*R174-ERP_i)*Q174*Ramure*Pc/MaxiM</f>
        <v>9.287756269631764E-5</v>
      </c>
      <c r="Q174" s="304">
        <f t="shared" si="53"/>
        <v>0.6</v>
      </c>
      <c r="R174" s="177">
        <f t="shared" si="54"/>
        <v>0.24370189099018091</v>
      </c>
      <c r="S174" s="799">
        <f t="shared" si="55"/>
        <v>0</v>
      </c>
      <c r="T174" s="176">
        <f t="shared" si="56"/>
        <v>6</v>
      </c>
      <c r="U174" s="250">
        <f t="shared" si="57"/>
        <v>0.24370189099018091</v>
      </c>
      <c r="V174" s="382">
        <f t="shared" si="58"/>
        <v>61.386621461545722</v>
      </c>
      <c r="W174" s="400">
        <f t="shared" si="59"/>
        <v>0</v>
      </c>
      <c r="X174" s="157">
        <f t="shared" si="60"/>
        <v>44721</v>
      </c>
      <c r="Y174" s="383">
        <f t="shared" si="61"/>
        <v>44.693553186955285</v>
      </c>
      <c r="Z174" s="383">
        <f t="shared" si="62"/>
        <v>45.768396127362863</v>
      </c>
      <c r="AA174" s="384">
        <f t="shared" si="63"/>
        <v>50.199587480889122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8.8271469466023073E-2</v>
      </c>
      <c r="AD174" s="230">
        <f>(INDEX(Models!$BJ174:$BT174,,AH174)*(1-AF174)+INDEX(Models!$BJ174:$BT174,,AH174+1)*AF174-ERP_i)*AE174*Ramure*Pc/MaxiM</f>
        <v>9.287756269631764E-5</v>
      </c>
      <c r="AE174" s="304">
        <f t="shared" si="65"/>
        <v>0.6</v>
      </c>
      <c r="AF174" s="177">
        <f t="shared" si="66"/>
        <v>0.24370189099018091</v>
      </c>
      <c r="AG174" s="799">
        <f t="shared" si="74"/>
        <v>0</v>
      </c>
      <c r="AH174" s="176">
        <f t="shared" si="67"/>
        <v>6</v>
      </c>
      <c r="AI174" s="224">
        <f t="shared" si="68"/>
        <v>0.24370189099018091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3">
        <v>60.325000000000003</v>
      </c>
      <c r="C175" s="388"/>
      <c r="D175" s="391">
        <f t="shared" si="50"/>
        <v>61.776950231966005</v>
      </c>
      <c r="E175" s="383">
        <f t="shared" si="75"/>
        <v>62.631847247434251</v>
      </c>
      <c r="F175" s="383">
        <f t="shared" si="51"/>
        <v>62.637503037871667</v>
      </c>
      <c r="G175" s="110">
        <f t="shared" si="76"/>
        <v>0.9834248815216845</v>
      </c>
      <c r="H175" s="412" t="b">
        <f>Wh_hp&gt;='2021'!Maxi_hp</f>
        <v>1</v>
      </c>
      <c r="I175" s="379">
        <f>IF(H175,Wh_hp,'2021'!Maxi_hp)</f>
        <v>62.637503037871667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2.3503106361095538E-2</v>
      </c>
      <c r="M175" s="832"/>
      <c r="N175" s="832"/>
      <c r="O175" s="48">
        <f>IF(t&lt;Tnet,'2021'!Resal+('2021'!Salim-'2021'!Resal)*(1-EXP(('2021'!Tnet-t)/('2021'!Tau_j))),Resal+(Salim-Resal)*(1-EXP((Tnet-t)/(Tau_j))))*Salcycl</f>
        <v>1.3649557741621144E-2</v>
      </c>
      <c r="P175" s="169">
        <f>(INDEX(Models!$BJ175:$BT175,,T175)*(1-R175)+INDEX(Models!$BJ175:$BT175,,T175+1)*R175-ERP_i)*Q175*Ramure*Pc/MaxiM</f>
        <v>9.2483606636586141E-5</v>
      </c>
      <c r="Q175" s="304">
        <f t="shared" si="53"/>
        <v>0.6</v>
      </c>
      <c r="R175" s="177">
        <f t="shared" si="54"/>
        <v>0.24884700730119244</v>
      </c>
      <c r="S175" s="799">
        <f t="shared" si="55"/>
        <v>0</v>
      </c>
      <c r="T175" s="176">
        <f t="shared" si="56"/>
        <v>6</v>
      </c>
      <c r="U175" s="250">
        <f t="shared" si="57"/>
        <v>0.24884700730119244</v>
      </c>
      <c r="V175" s="382">
        <f t="shared" si="58"/>
        <v>61.341612392862174</v>
      </c>
      <c r="W175" s="400">
        <f t="shared" si="59"/>
        <v>0</v>
      </c>
      <c r="X175" s="157">
        <f t="shared" si="60"/>
        <v>44722</v>
      </c>
      <c r="Y175" s="383">
        <f t="shared" si="61"/>
        <v>55.757090632151417</v>
      </c>
      <c r="Z175" s="383">
        <f t="shared" si="62"/>
        <v>57.099096776819493</v>
      </c>
      <c r="AA175" s="384">
        <f t="shared" si="63"/>
        <v>62.631847247434251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8.8337654304797897E-2</v>
      </c>
      <c r="AD175" s="230">
        <f>(INDEX(Models!$BJ175:$BT175,,AH175)*(1-AF175)+INDEX(Models!$BJ175:$BT175,,AH175+1)*AF175-ERP_i)*AE175*Ramure*Pc/MaxiM</f>
        <v>9.2483606636586141E-5</v>
      </c>
      <c r="AE175" s="304">
        <f t="shared" si="65"/>
        <v>0.6</v>
      </c>
      <c r="AF175" s="177">
        <f t="shared" si="66"/>
        <v>0.24884700730119244</v>
      </c>
      <c r="AG175" s="799">
        <f t="shared" si="74"/>
        <v>0</v>
      </c>
      <c r="AH175" s="176">
        <f t="shared" si="67"/>
        <v>6</v>
      </c>
      <c r="AI175" s="224">
        <f t="shared" si="68"/>
        <v>0.24884700730119244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3">
        <v>58.295999999999999</v>
      </c>
      <c r="C176" s="388"/>
      <c r="D176" s="391">
        <f t="shared" si="50"/>
        <v>59.700258782912115</v>
      </c>
      <c r="E176" s="383">
        <f t="shared" si="75"/>
        <v>60.531954046117399</v>
      </c>
      <c r="F176" s="383">
        <f t="shared" si="51"/>
        <v>60.537141760881475</v>
      </c>
      <c r="G176" s="110">
        <f t="shared" si="76"/>
        <v>0.95104034588262987</v>
      </c>
      <c r="H176" s="412" t="b">
        <f>Wh_hp&gt;='2021'!Maxi_hp</f>
        <v>1</v>
      </c>
      <c r="I176" s="379">
        <f>IF(H176,Wh_hp,'2021'!Maxi_hp)</f>
        <v>60.537141760881475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2.3521820701287388E-2</v>
      </c>
      <c r="M176" s="832"/>
      <c r="N176" s="832"/>
      <c r="O176" s="48">
        <f>IF(t&lt;Tnet,'2021'!Resal+('2021'!Salim-'2021'!Resal)*(1-EXP(('2021'!Tnet-t)/('2021'!Tau_j))),Resal+(Salim-Resal)*(1-EXP((Tnet-t)/(Tau_j))))*Salcycl</f>
        <v>1.3739772262624139E-2</v>
      </c>
      <c r="P176" s="169">
        <f>(INDEX(Models!$BJ176:$BT176,,T176)*(1-R176)+INDEX(Models!$BJ176:$BT176,,T176+1)*R176-ERP_i)*Q176*Ramure*Pc/MaxiM</f>
        <v>9.2138306512904716E-5</v>
      </c>
      <c r="Q176" s="304">
        <f t="shared" si="53"/>
        <v>0.6</v>
      </c>
      <c r="R176" s="177">
        <f t="shared" si="54"/>
        <v>0.25399212361220397</v>
      </c>
      <c r="S176" s="799">
        <f t="shared" si="55"/>
        <v>0</v>
      </c>
      <c r="T176" s="176">
        <f t="shared" si="56"/>
        <v>6</v>
      </c>
      <c r="U176" s="250">
        <f t="shared" si="57"/>
        <v>0.25399212361220397</v>
      </c>
      <c r="V176" s="382">
        <f t="shared" si="58"/>
        <v>61.296689027095894</v>
      </c>
      <c r="W176" s="400">
        <f t="shared" si="59"/>
        <v>0</v>
      </c>
      <c r="X176" s="157">
        <f t="shared" si="60"/>
        <v>44723</v>
      </c>
      <c r="Y176" s="383">
        <f t="shared" si="61"/>
        <v>53.882812946070551</v>
      </c>
      <c r="Z176" s="383">
        <f t="shared" si="62"/>
        <v>55.18076500671846</v>
      </c>
      <c r="AA176" s="384">
        <f t="shared" si="63"/>
        <v>60.531954046117399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8.84027142973451E-2</v>
      </c>
      <c r="AD176" s="230">
        <f>(INDEX(Models!$BJ176:$BT176,,AH176)*(1-AF176)+INDEX(Models!$BJ176:$BT176,,AH176+1)*AF176-ERP_i)*AE176*Ramure*Pc/MaxiM</f>
        <v>9.2138306512904716E-5</v>
      </c>
      <c r="AE176" s="304">
        <f t="shared" si="65"/>
        <v>0.6</v>
      </c>
      <c r="AF176" s="177">
        <f t="shared" si="66"/>
        <v>0.25399212361220397</v>
      </c>
      <c r="AG176" s="799">
        <f t="shared" si="74"/>
        <v>0</v>
      </c>
      <c r="AH176" s="176">
        <f t="shared" si="67"/>
        <v>6</v>
      </c>
      <c r="AI176" s="224">
        <f t="shared" si="68"/>
        <v>0.25399212361220397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3">
        <v>45.252000000000002</v>
      </c>
      <c r="C177" s="388"/>
      <c r="D177" s="391">
        <f t="shared" si="50"/>
        <v>46.342937528186177</v>
      </c>
      <c r="E177" s="383">
        <f t="shared" si="75"/>
        <v>46.992840141112005</v>
      </c>
      <c r="F177" s="383">
        <f t="shared" si="51"/>
        <v>46.995545798218714</v>
      </c>
      <c r="G177" s="110">
        <f t="shared" si="76"/>
        <v>0.73876815404521834</v>
      </c>
      <c r="H177" s="412" t="b">
        <f>Wh_hp&gt;='2021'!Maxi_hp</f>
        <v>0</v>
      </c>
      <c r="I177" s="379">
        <f>IF(H177,Wh_hp,'2021'!Maxi_hp)</f>
        <v>56.41651381708197</v>
      </c>
      <c r="J177" s="85">
        <f>IF(H177,An,'2021'!An_max)</f>
        <v>2018</v>
      </c>
      <c r="K177" s="197">
        <f t="shared" si="52"/>
        <v>44724</v>
      </c>
      <c r="L177" s="147">
        <f>IF(t&lt;Tvie,1-EXP((T0-t)*PertePVj)+'2021'!Pspv,1-EXP((T0-t)*PertePVj)+Pspv)</f>
        <v>2.3540534682823244E-2</v>
      </c>
      <c r="M177" s="832"/>
      <c r="N177" s="832"/>
      <c r="O177" s="48">
        <f>IF(t&lt;Tnet,'2021'!Resal+('2021'!Salim-'2021'!Resal)*(1-EXP(('2021'!Tnet-t)/('2021'!Tau_j))),Resal+(Salim-Resal)*(1-EXP((Tnet-t)/(Tau_j))))*Salcycl</f>
        <v>1.382982196807594E-2</v>
      </c>
      <c r="P177" s="169">
        <f>(INDEX(Models!$BJ177:$BT177,,T177)*(1-R177)+INDEX(Models!$BJ177:$BT177,,T177+1)*R177-ERP_i)*Q177*Ramure*Pc/MaxiM</f>
        <v>9.1844665686355103E-5</v>
      </c>
      <c r="Q177" s="304">
        <f t="shared" si="53"/>
        <v>0.6</v>
      </c>
      <c r="R177" s="177">
        <f t="shared" si="54"/>
        <v>0.25913289825650987</v>
      </c>
      <c r="S177" s="799">
        <f t="shared" si="55"/>
        <v>0</v>
      </c>
      <c r="T177" s="176">
        <f t="shared" si="56"/>
        <v>6</v>
      </c>
      <c r="U177" s="250">
        <f t="shared" si="57"/>
        <v>0.25913289825650987</v>
      </c>
      <c r="V177" s="382">
        <f t="shared" si="58"/>
        <v>61.251217698966116</v>
      </c>
      <c r="W177" s="400">
        <f t="shared" si="59"/>
        <v>0</v>
      </c>
      <c r="X177" s="157">
        <f t="shared" si="60"/>
        <v>44724</v>
      </c>
      <c r="Y177" s="383">
        <f t="shared" si="61"/>
        <v>41.827171873425925</v>
      </c>
      <c r="Z177" s="383">
        <f t="shared" si="62"/>
        <v>42.835543470142397</v>
      </c>
      <c r="AA177" s="384">
        <f t="shared" si="63"/>
        <v>46.992840141112005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8.8466597432415417E-2</v>
      </c>
      <c r="AD177" s="230">
        <f>(INDEX(Models!$BJ177:$BT177,,AH177)*(1-AF177)+INDEX(Models!$BJ177:$BT177,,AH177+1)*AF177-ERP_i)*AE177*Ramure*Pc/MaxiM</f>
        <v>9.1844665686355103E-5</v>
      </c>
      <c r="AE177" s="304">
        <f t="shared" si="65"/>
        <v>0.6</v>
      </c>
      <c r="AF177" s="177">
        <f t="shared" si="66"/>
        <v>0.25913289825650987</v>
      </c>
      <c r="AG177" s="799">
        <f t="shared" si="74"/>
        <v>0</v>
      </c>
      <c r="AH177" s="176">
        <f t="shared" si="67"/>
        <v>6</v>
      </c>
      <c r="AI177" s="224">
        <f t="shared" si="68"/>
        <v>0.25913289825650987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3">
        <v>56.908000000000001</v>
      </c>
      <c r="C178" s="388"/>
      <c r="D178" s="391">
        <f t="shared" si="50"/>
        <v>58.281057914937463</v>
      </c>
      <c r="E178" s="383">
        <f t="shared" si="75"/>
        <v>59.103764344985812</v>
      </c>
      <c r="F178" s="383">
        <f t="shared" si="51"/>
        <v>59.108639074898896</v>
      </c>
      <c r="G178" s="110">
        <f t="shared" si="76"/>
        <v>0.92979571261186167</v>
      </c>
      <c r="H178" s="412" t="b">
        <f>Wh_hp&gt;='2021'!Maxi_hp</f>
        <v>0</v>
      </c>
      <c r="I178" s="379">
        <f>IF(H178,Wh_hp,'2021'!Maxi_hp)</f>
        <v>64.279104061315721</v>
      </c>
      <c r="J178" s="85">
        <f>IF(H178,An,'2021'!An_max)</f>
        <v>2018</v>
      </c>
      <c r="K178" s="197">
        <f t="shared" si="52"/>
        <v>44725</v>
      </c>
      <c r="L178" s="147">
        <f>IF(t&lt;Tvie,1-EXP((T0-t)*PertePVj)+'2021'!Pspv,1-EXP((T0-t)*PertePVj)+Pspv)</f>
        <v>2.3559248305709768E-2</v>
      </c>
      <c r="M178" s="832"/>
      <c r="N178" s="832"/>
      <c r="O178" s="48">
        <f>IF(t&lt;Tnet,'2021'!Resal+('2021'!Salim-'2021'!Resal)*(1-EXP(('2021'!Tnet-t)/('2021'!Tau_j))),Resal+(Salim-Resal)*(1-EXP((Tnet-t)/(Tau_j))))*Salcycl</f>
        <v>1.3919695964646987E-2</v>
      </c>
      <c r="P178" s="169">
        <f>(INDEX(Models!$BJ178:$BT178,,T178)*(1-R178)+INDEX(Models!$BJ178:$BT178,,T178+1)*R178-ERP_i)*Q178*Ramure*Pc/MaxiM</f>
        <v>9.1662573096335502E-5</v>
      </c>
      <c r="Q178" s="304">
        <f t="shared" si="53"/>
        <v>0.6</v>
      </c>
      <c r="R178" s="177">
        <f t="shared" si="54"/>
        <v>0.26426500420977639</v>
      </c>
      <c r="S178" s="799">
        <f t="shared" si="55"/>
        <v>0</v>
      </c>
      <c r="T178" s="176">
        <f t="shared" si="56"/>
        <v>6</v>
      </c>
      <c r="U178" s="250">
        <f t="shared" si="57"/>
        <v>0.26426500420977639</v>
      </c>
      <c r="V178" s="382">
        <f t="shared" si="58"/>
        <v>61.204279706767494</v>
      </c>
      <c r="W178" s="400">
        <f t="shared" si="59"/>
        <v>0</v>
      </c>
      <c r="X178" s="157">
        <f t="shared" si="60"/>
        <v>44725</v>
      </c>
      <c r="Y178" s="383">
        <f t="shared" si="61"/>
        <v>52.602183548467764</v>
      </c>
      <c r="Z178" s="383">
        <f t="shared" si="62"/>
        <v>53.871352109376893</v>
      </c>
      <c r="AA178" s="384">
        <f t="shared" si="63"/>
        <v>59.103764344985812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8.8529255176837476E-2</v>
      </c>
      <c r="AD178" s="230">
        <f>(INDEX(Models!$BJ178:$BT178,,AH178)*(1-AF178)+INDEX(Models!$BJ178:$BT178,,AH178+1)*AF178-ERP_i)*AE178*Ramure*Pc/MaxiM</f>
        <v>9.1662573096335502E-5</v>
      </c>
      <c r="AE178" s="304">
        <f t="shared" si="65"/>
        <v>0.6</v>
      </c>
      <c r="AF178" s="177">
        <f t="shared" si="66"/>
        <v>0.26426500420977639</v>
      </c>
      <c r="AG178" s="799">
        <f t="shared" si="74"/>
        <v>0</v>
      </c>
      <c r="AH178" s="176">
        <f t="shared" si="67"/>
        <v>6</v>
      </c>
      <c r="AI178" s="224">
        <f t="shared" si="68"/>
        <v>0.26426500420977639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3">
        <v>50.588999999999999</v>
      </c>
      <c r="C179" s="388"/>
      <c r="D179" s="391">
        <f t="shared" si="50"/>
        <v>51.810588054055231</v>
      </c>
      <c r="E179" s="383">
        <f t="shared" si="75"/>
        <v>52.546735436664619</v>
      </c>
      <c r="F179" s="383">
        <f t="shared" si="51"/>
        <v>52.550360144139717</v>
      </c>
      <c r="G179" s="110">
        <f t="shared" si="76"/>
        <v>0.82719534002380135</v>
      </c>
      <c r="H179" s="412" t="b">
        <f>Wh_hp&gt;='2021'!Maxi_hp</f>
        <v>0</v>
      </c>
      <c r="I179" s="379">
        <f>IF(H179,Wh_hp,'2021'!Maxi_hp)</f>
        <v>56.161235442538548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2.3577961569954065E-2</v>
      </c>
      <c r="M179" s="832"/>
      <c r="N179" s="832"/>
      <c r="O179" s="48">
        <f>IF(t&lt;Tnet,'2021'!Resal+('2021'!Salim-'2021'!Resal)*(1-EXP(('2021'!Tnet-t)/('2021'!Tau_j))),Resal+(Salim-Resal)*(1-EXP((Tnet-t)/(Tau_j))))*Salcycl</f>
        <v>1.4009383770313881E-2</v>
      </c>
      <c r="P179" s="169">
        <f>(INDEX(Models!$BJ179:$BT179,,T179)*(1-R179)+INDEX(Models!$BJ179:$BT179,,T179+1)*R179-ERP_i)*Q179*Ramure*Pc/MaxiM</f>
        <v>9.1581623588596128E-5</v>
      </c>
      <c r="Q179" s="304">
        <f t="shared" si="53"/>
        <v>0.6</v>
      </c>
      <c r="R179" s="177">
        <f t="shared" si="54"/>
        <v>0.26938414362760232</v>
      </c>
      <c r="S179" s="799">
        <f t="shared" si="55"/>
        <v>0</v>
      </c>
      <c r="T179" s="176">
        <f t="shared" si="56"/>
        <v>6</v>
      </c>
      <c r="U179" s="250">
        <f t="shared" si="57"/>
        <v>0.26938414362760232</v>
      </c>
      <c r="V179" s="382">
        <f t="shared" si="58"/>
        <v>61.15587681844319</v>
      </c>
      <c r="W179" s="400">
        <f t="shared" si="59"/>
        <v>0</v>
      </c>
      <c r="X179" s="157">
        <f t="shared" si="60"/>
        <v>44726</v>
      </c>
      <c r="Y179" s="383">
        <f t="shared" si="61"/>
        <v>46.762400391745118</v>
      </c>
      <c r="Z179" s="383">
        <f t="shared" si="62"/>
        <v>47.891586374814629</v>
      </c>
      <c r="AA179" s="384">
        <f t="shared" si="63"/>
        <v>52.546735436664619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8.8590642656781446E-2</v>
      </c>
      <c r="AD179" s="230">
        <f>(INDEX(Models!$BJ179:$BT179,,AH179)*(1-AF179)+INDEX(Models!$BJ179:$BT179,,AH179+1)*AF179-ERP_i)*AE179*Ramure*Pc/MaxiM</f>
        <v>9.1581623588596128E-5</v>
      </c>
      <c r="AE179" s="304">
        <f t="shared" si="65"/>
        <v>0.6</v>
      </c>
      <c r="AF179" s="177">
        <f t="shared" si="66"/>
        <v>0.26938414362760232</v>
      </c>
      <c r="AG179" s="799">
        <f t="shared" si="74"/>
        <v>0</v>
      </c>
      <c r="AH179" s="176">
        <f t="shared" si="67"/>
        <v>6</v>
      </c>
      <c r="AI179" s="224">
        <f t="shared" si="68"/>
        <v>0.26938414362760232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3">
        <v>57.03</v>
      </c>
      <c r="C180" s="388"/>
      <c r="D180" s="391">
        <f t="shared" si="50"/>
        <v>58.40824023143157</v>
      </c>
      <c r="E180" s="383">
        <f t="shared" si="75"/>
        <v>59.243507053099329</v>
      </c>
      <c r="F180" s="383">
        <f t="shared" si="51"/>
        <v>59.248417323391159</v>
      </c>
      <c r="G180" s="110">
        <f t="shared" si="76"/>
        <v>0.93328794007874105</v>
      </c>
      <c r="H180" s="412" t="b">
        <f>Wh_hp&gt;='2021'!Maxi_hp</f>
        <v>1</v>
      </c>
      <c r="I180" s="379">
        <f>IF(H180,Wh_hp,'2021'!Maxi_hp)</f>
        <v>59.248417323391159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2.3596674475562907E-2</v>
      </c>
      <c r="M180" s="832"/>
      <c r="N180" s="832"/>
      <c r="O180" s="48">
        <f>IF(t&lt;Tnet,'2021'!Resal+('2021'!Salim-'2021'!Resal)*(1-EXP(('2021'!Tnet-t)/('2021'!Tau_j))),Resal+(Salim-Resal)*(1-EXP((Tnet-t)/(Tau_j))))*Salcycl</f>
        <v>1.4098875357245725E-2</v>
      </c>
      <c r="P180" s="169">
        <f>(INDEX(Models!$BJ180:$BT180,,T180)*(1-R180)+INDEX(Models!$BJ180:$BT180,,T180+1)*R180-ERP_i)*Q180*Ramure*Pc/MaxiM</f>
        <v>9.160514790676236E-5</v>
      </c>
      <c r="Q180" s="304">
        <f t="shared" si="53"/>
        <v>0.6</v>
      </c>
      <c r="R180" s="177">
        <f t="shared" si="54"/>
        <v>0.27448606217474236</v>
      </c>
      <c r="S180" s="799">
        <f t="shared" si="55"/>
        <v>0</v>
      </c>
      <c r="T180" s="176">
        <f t="shared" si="56"/>
        <v>6</v>
      </c>
      <c r="U180" s="250">
        <f t="shared" si="57"/>
        <v>0.27448606217474236</v>
      </c>
      <c r="V180" s="382">
        <f t="shared" si="58"/>
        <v>61.106009929944747</v>
      </c>
      <c r="W180" s="400">
        <f t="shared" si="59"/>
        <v>0</v>
      </c>
      <c r="X180" s="157">
        <f t="shared" si="60"/>
        <v>44727</v>
      </c>
      <c r="Y180" s="383">
        <f t="shared" si="61"/>
        <v>52.717507066957538</v>
      </c>
      <c r="Z180" s="383">
        <f t="shared" si="62"/>
        <v>53.991527567403949</v>
      </c>
      <c r="AA180" s="384">
        <f t="shared" si="63"/>
        <v>59.243507053099329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8.8650718820344004E-2</v>
      </c>
      <c r="AD180" s="230">
        <f>(INDEX(Models!$BJ180:$BT180,,AH180)*(1-AF180)+INDEX(Models!$BJ180:$BT180,,AH180+1)*AF180-ERP_i)*AE180*Ramure*Pc/MaxiM</f>
        <v>9.160514790676236E-5</v>
      </c>
      <c r="AE180" s="304">
        <f t="shared" si="65"/>
        <v>0.6</v>
      </c>
      <c r="AF180" s="177">
        <f t="shared" si="66"/>
        <v>0.27448606217474236</v>
      </c>
      <c r="AG180" s="799">
        <f t="shared" si="74"/>
        <v>0</v>
      </c>
      <c r="AH180" s="176">
        <f t="shared" si="67"/>
        <v>6</v>
      </c>
      <c r="AI180" s="224">
        <f t="shared" si="68"/>
        <v>0.27448606217474236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3">
        <v>54.774999999999999</v>
      </c>
      <c r="C181" s="388"/>
      <c r="D181" s="391">
        <f t="shared" si="50"/>
        <v>56.099818936069887</v>
      </c>
      <c r="E181" s="383">
        <f t="shared" si="75"/>
        <v>56.907227857926408</v>
      </c>
      <c r="F181" s="383">
        <f t="shared" si="51"/>
        <v>56.911681613289026</v>
      </c>
      <c r="G181" s="110">
        <f t="shared" si="76"/>
        <v>0.89713453097506002</v>
      </c>
      <c r="H181" s="412" t="b">
        <f>Wh_hp&gt;='2021'!Maxi_hp</f>
        <v>0</v>
      </c>
      <c r="I181" s="379">
        <f>IF(H181,Wh_hp,'2021'!Maxi_hp)</f>
        <v>63.760579589282713</v>
      </c>
      <c r="J181" s="85">
        <f>IF(H181,An,'2021'!An_max)</f>
        <v>2018</v>
      </c>
      <c r="K181" s="197">
        <f t="shared" si="52"/>
        <v>44728</v>
      </c>
      <c r="L181" s="147">
        <f>IF(t&lt;Tvie,1-EXP((T0-t)*PertePVj)+'2021'!Pspv,1-EXP((T0-t)*PertePVj)+Pspv)</f>
        <v>2.3615387022543177E-2</v>
      </c>
      <c r="M181" s="832"/>
      <c r="N181" s="832"/>
      <c r="O181" s="48">
        <f>IF(t&lt;Tnet,'2021'!Resal+('2021'!Salim-'2021'!Resal)*(1-EXP(('2021'!Tnet-t)/('2021'!Tau_j))),Resal+(Salim-Resal)*(1-EXP((Tnet-t)/(Tau_j))))*Salcycl</f>
        <v>1.4188161192323157E-2</v>
      </c>
      <c r="P181" s="169">
        <f>(INDEX(Models!$BJ181:$BT181,,T181)*(1-R181)+INDEX(Models!$BJ181:$BT181,,T181+1)*R181-ERP_i)*Q181*Ramure*Pc/MaxiM</f>
        <v>9.173646443589048E-5</v>
      </c>
      <c r="Q181" s="304">
        <f t="shared" si="53"/>
        <v>0.6</v>
      </c>
      <c r="R181" s="177">
        <f t="shared" si="54"/>
        <v>0.27956656304501426</v>
      </c>
      <c r="S181" s="799">
        <f t="shared" si="55"/>
        <v>0</v>
      </c>
      <c r="T181" s="176">
        <f t="shared" si="56"/>
        <v>6</v>
      </c>
      <c r="U181" s="250">
        <f t="shared" si="57"/>
        <v>0.27956656304501426</v>
      </c>
      <c r="V181" s="382">
        <f t="shared" si="58"/>
        <v>61.054679906527305</v>
      </c>
      <c r="W181" s="400">
        <f t="shared" si="59"/>
        <v>0</v>
      </c>
      <c r="X181" s="157">
        <f t="shared" si="60"/>
        <v>44728</v>
      </c>
      <c r="Y181" s="383">
        <f t="shared" si="61"/>
        <v>50.634348359967575</v>
      </c>
      <c r="Z181" s="383">
        <f t="shared" si="62"/>
        <v>51.85901916823493</v>
      </c>
      <c r="AA181" s="384">
        <f t="shared" si="63"/>
        <v>56.907227857926408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8.8709446580226142E-2</v>
      </c>
      <c r="AD181" s="230">
        <f>(INDEX(Models!$BJ181:$BT181,,AH181)*(1-AF181)+INDEX(Models!$BJ181:$BT181,,AH181+1)*AF181-ERP_i)*AE181*Ramure*Pc/MaxiM</f>
        <v>9.173646443589048E-5</v>
      </c>
      <c r="AE181" s="304">
        <f t="shared" si="65"/>
        <v>0.6</v>
      </c>
      <c r="AF181" s="177">
        <f t="shared" si="66"/>
        <v>0.27956656304501426</v>
      </c>
      <c r="AG181" s="799">
        <f t="shared" si="74"/>
        <v>0</v>
      </c>
      <c r="AH181" s="176">
        <f t="shared" si="67"/>
        <v>6</v>
      </c>
      <c r="AI181" s="224">
        <f t="shared" si="68"/>
        <v>0.27956656304501426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3">
        <v>54.922000000000004</v>
      </c>
      <c r="C182" s="388"/>
      <c r="D182" s="391">
        <f t="shared" si="50"/>
        <v>56.251452406943017</v>
      </c>
      <c r="E182" s="383">
        <f t="shared" si="75"/>
        <v>57.066199796488256</v>
      </c>
      <c r="F182" s="383">
        <f t="shared" si="51"/>
        <v>57.070701691034301</v>
      </c>
      <c r="G182" s="110">
        <f t="shared" si="76"/>
        <v>0.90032100413940097</v>
      </c>
      <c r="H182" s="412" t="b">
        <f>Wh_hp&gt;='2021'!Maxi_hp</f>
        <v>0</v>
      </c>
      <c r="I182" s="379">
        <f>IF(H182,Wh_hp,'2021'!Maxi_hp)</f>
        <v>62.238525909161851</v>
      </c>
      <c r="J182" s="85">
        <f>IF(H182,An,'2021'!An_max)</f>
        <v>2018</v>
      </c>
      <c r="K182" s="197">
        <f t="shared" si="52"/>
        <v>44729</v>
      </c>
      <c r="L182" s="147">
        <f>IF(t&lt;Tvie,1-EXP((T0-t)*PertePVj)+'2021'!Pspv,1-EXP((T0-t)*PertePVj)+Pspv)</f>
        <v>2.363409921090176E-2</v>
      </c>
      <c r="M182" s="832"/>
      <c r="N182" s="832"/>
      <c r="O182" s="48">
        <f>IF(t&lt;Tnet,'2021'!Resal+('2021'!Salim-'2021'!Resal)*(1-EXP(('2021'!Tnet-t)/('2021'!Tau_j))),Resal+(Salim-Resal)*(1-EXP((Tnet-t)/(Tau_j))))*Salcycl</f>
        <v>1.4277232274986288E-2</v>
      </c>
      <c r="P182" s="169">
        <f>(INDEX(Models!$BJ182:$BT182,,T182)*(1-R182)+INDEX(Models!$BJ182:$BT182,,T182+1)*R182-ERP_i)*Q182*Ramure*Pc/MaxiM</f>
        <v>9.1978871343613791E-5</v>
      </c>
      <c r="Q182" s="304">
        <f t="shared" si="53"/>
        <v>0.6</v>
      </c>
      <c r="R182" s="177">
        <f t="shared" si="54"/>
        <v>0.28462152057467405</v>
      </c>
      <c r="S182" s="799">
        <f t="shared" si="55"/>
        <v>0</v>
      </c>
      <c r="T182" s="176">
        <f t="shared" si="56"/>
        <v>6</v>
      </c>
      <c r="U182" s="250">
        <f t="shared" si="57"/>
        <v>0.28462152057467405</v>
      </c>
      <c r="V182" s="382">
        <f t="shared" si="58"/>
        <v>61.001887578094831</v>
      </c>
      <c r="W182" s="400">
        <f t="shared" si="59"/>
        <v>0</v>
      </c>
      <c r="X182" s="157">
        <f t="shared" si="60"/>
        <v>44729</v>
      </c>
      <c r="Y182" s="383">
        <f t="shared" si="61"/>
        <v>50.771628531930716</v>
      </c>
      <c r="Z182" s="383">
        <f t="shared" si="62"/>
        <v>52.000616255542234</v>
      </c>
      <c r="AA182" s="384">
        <f t="shared" si="63"/>
        <v>57.066199796488256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8.8766792935417255E-2</v>
      </c>
      <c r="AD182" s="230">
        <f>(INDEX(Models!$BJ182:$BT182,,AH182)*(1-AF182)+INDEX(Models!$BJ182:$BT182,,AH182+1)*AF182-ERP_i)*AE182*Ramure*Pc/MaxiM</f>
        <v>9.1978871343613791E-5</v>
      </c>
      <c r="AE182" s="304">
        <f t="shared" si="65"/>
        <v>0.6</v>
      </c>
      <c r="AF182" s="177">
        <f t="shared" si="66"/>
        <v>0.28462152057467405</v>
      </c>
      <c r="AG182" s="799">
        <f t="shared" si="74"/>
        <v>0</v>
      </c>
      <c r="AH182" s="176">
        <f t="shared" si="67"/>
        <v>6</v>
      </c>
      <c r="AI182" s="224">
        <f t="shared" si="68"/>
        <v>0.28462152057467405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3">
        <v>57.428000000000004</v>
      </c>
      <c r="C183" s="388"/>
      <c r="D183" s="391">
        <f t="shared" si="50"/>
        <v>58.819240378220357</v>
      </c>
      <c r="E183" s="383">
        <f t="shared" si="75"/>
        <v>59.676558603514991</v>
      </c>
      <c r="F183" s="383">
        <f t="shared" si="51"/>
        <v>59.681614719407001</v>
      </c>
      <c r="G183" s="110">
        <f t="shared" si="76"/>
        <v>0.94224433306038879</v>
      </c>
      <c r="H183" s="412" t="b">
        <f>Wh_hp&gt;='2021'!Maxi_hp</f>
        <v>1</v>
      </c>
      <c r="I183" s="379">
        <f>IF(H183,Wh_hp,'2021'!Maxi_hp)</f>
        <v>59.681614719407001</v>
      </c>
      <c r="J183" s="85">
        <f>IF(H183,An,'2021'!An_max)</f>
        <v>2022</v>
      </c>
      <c r="K183" s="197">
        <f t="shared" si="52"/>
        <v>44730</v>
      </c>
      <c r="L183" s="147">
        <f>IF(t&lt;Tvie,1-EXP((T0-t)*PertePVj)+'2021'!Pspv,1-EXP((T0-t)*PertePVj)+Pspv)</f>
        <v>2.3652811040645538E-2</v>
      </c>
      <c r="M183" s="832"/>
      <c r="N183" s="832"/>
      <c r="O183" s="48">
        <f>IF(t&lt;Tnet,'2021'!Resal+('2021'!Salim-'2021'!Resal)*(1-EXP(('2021'!Tnet-t)/('2021'!Tau_j))),Resal+(Salim-Resal)*(1-EXP((Tnet-t)/(Tau_j))))*Salcycl</f>
        <v>1.4366080172125387E-2</v>
      </c>
      <c r="P183" s="169">
        <f>(INDEX(Models!$BJ183:$BT183,,T183)*(1-R183)+INDEX(Models!$BJ183:$BT183,,T183+1)*R183-ERP_i)*Q183*Ramure*Pc/MaxiM</f>
        <v>9.2335639284383815E-5</v>
      </c>
      <c r="Q183" s="304">
        <f t="shared" si="53"/>
        <v>0.6</v>
      </c>
      <c r="R183" s="177">
        <f t="shared" si="54"/>
        <v>0.28964689335694599</v>
      </c>
      <c r="S183" s="799">
        <f t="shared" si="55"/>
        <v>0</v>
      </c>
      <c r="T183" s="176">
        <f t="shared" si="56"/>
        <v>6</v>
      </c>
      <c r="U183" s="250">
        <f t="shared" si="57"/>
        <v>0.28964689335694599</v>
      </c>
      <c r="V183" s="382">
        <f t="shared" si="58"/>
        <v>60.947633740757894</v>
      </c>
      <c r="W183" s="400">
        <f t="shared" si="59"/>
        <v>0</v>
      </c>
      <c r="X183" s="157">
        <f t="shared" si="60"/>
        <v>44730</v>
      </c>
      <c r="Y183" s="383">
        <f t="shared" si="61"/>
        <v>53.089780355825688</v>
      </c>
      <c r="Z183" s="383">
        <f t="shared" si="62"/>
        <v>54.375923806788187</v>
      </c>
      <c r="AA183" s="384">
        <f t="shared" si="63"/>
        <v>59.676558603514991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8.8822729070951956E-2</v>
      </c>
      <c r="AD183" s="230">
        <f>(INDEX(Models!$BJ183:$BT183,,AH183)*(1-AF183)+INDEX(Models!$BJ183:$BT183,,AH183+1)*AF183-ERP_i)*AE183*Ramure*Pc/MaxiM</f>
        <v>9.2335639284383815E-5</v>
      </c>
      <c r="AE183" s="304">
        <f t="shared" si="65"/>
        <v>0.6</v>
      </c>
      <c r="AF183" s="177">
        <f t="shared" si="66"/>
        <v>0.28964689335694599</v>
      </c>
      <c r="AG183" s="799">
        <f t="shared" si="74"/>
        <v>0</v>
      </c>
      <c r="AH183" s="176">
        <f t="shared" si="67"/>
        <v>6</v>
      </c>
      <c r="AI183" s="224">
        <f t="shared" si="68"/>
        <v>0.28964689335694599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3">
        <v>58.823999999999998</v>
      </c>
      <c r="C184" s="388"/>
      <c r="D184" s="391">
        <f t="shared" si="50"/>
        <v>60.250214304242526</v>
      </c>
      <c r="E184" s="383">
        <f t="shared" si="75"/>
        <v>61.133886107398801</v>
      </c>
      <c r="F184" s="383">
        <f t="shared" si="51"/>
        <v>61.139288627331723</v>
      </c>
      <c r="G184" s="110">
        <f t="shared" si="76"/>
        <v>0.96603521898353628</v>
      </c>
      <c r="H184" s="412" t="b">
        <f>Wh_hp&gt;='2021'!Maxi_hp</f>
        <v>1</v>
      </c>
      <c r="I184" s="379">
        <f>IF(H184,Wh_hp,'2021'!Maxi_hp)</f>
        <v>61.139288627331723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2.3671522511781395E-2</v>
      </c>
      <c r="M184" s="832"/>
      <c r="N184" s="832"/>
      <c r="O184" s="48">
        <f>IF(t&lt;Tnet,'2021'!Resal+('2021'!Salim-'2021'!Resal)*(1-EXP(('2021'!Tnet-t)/('2021'!Tau_j))),Resal+(Salim-Resal)*(1-EXP((Tnet-t)/(Tau_j))))*Salcycl</f>
        <v>1.4454697049748418E-2</v>
      </c>
      <c r="P184" s="169">
        <f>(INDEX(Models!$BJ184:$BT184,,T184)*(1-R184)+INDEX(Models!$BJ184:$BT184,,T184+1)*R184-ERP_i)*Q184*Ramure*Pc/MaxiM</f>
        <v>9.2869691660707422E-5</v>
      </c>
      <c r="Q184" s="304">
        <f t="shared" si="53"/>
        <v>0.6</v>
      </c>
      <c r="R184" s="177">
        <f t="shared" si="54"/>
        <v>0.29463873677135849</v>
      </c>
      <c r="S184" s="799">
        <f t="shared" si="55"/>
        <v>0</v>
      </c>
      <c r="T184" s="176">
        <f t="shared" si="56"/>
        <v>6</v>
      </c>
      <c r="U184" s="250">
        <f t="shared" si="57"/>
        <v>0.29463873677135849</v>
      </c>
      <c r="V184" s="382">
        <f t="shared" si="58"/>
        <v>60.891915517534166</v>
      </c>
      <c r="W184" s="400">
        <f t="shared" si="59"/>
        <v>0</v>
      </c>
      <c r="X184" s="157">
        <f t="shared" si="60"/>
        <v>44731</v>
      </c>
      <c r="Y184" s="383">
        <f t="shared" si="61"/>
        <v>54.381960561785398</v>
      </c>
      <c r="Z184" s="383">
        <f t="shared" si="62"/>
        <v>55.700475624446412</v>
      </c>
      <c r="AA184" s="384">
        <f t="shared" si="63"/>
        <v>61.133886107398801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8.8877230434968285E-2</v>
      </c>
      <c r="AD184" s="230">
        <f>(INDEX(Models!$BJ184:$BT184,,AH184)*(1-AF184)+INDEX(Models!$BJ184:$BT184,,AH184+1)*AF184-ERP_i)*AE184*Ramure*Pc/MaxiM</f>
        <v>9.2869691660707422E-5</v>
      </c>
      <c r="AE184" s="304">
        <f t="shared" si="65"/>
        <v>0.6</v>
      </c>
      <c r="AF184" s="177">
        <f t="shared" si="66"/>
        <v>0.29463873677135849</v>
      </c>
      <c r="AG184" s="799">
        <f t="shared" si="74"/>
        <v>0</v>
      </c>
      <c r="AH184" s="176">
        <f t="shared" si="67"/>
        <v>6</v>
      </c>
      <c r="AI184" s="224">
        <f t="shared" si="68"/>
        <v>0.29463873677135849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3">
        <v>33.183999999999997</v>
      </c>
      <c r="C185" s="388"/>
      <c r="D185" s="391">
        <f t="shared" si="50"/>
        <v>33.989212382036953</v>
      </c>
      <c r="E185" s="383">
        <f t="shared" si="75"/>
        <v>34.490814914331551</v>
      </c>
      <c r="F185" s="383">
        <f t="shared" si="51"/>
        <v>34.491945926862336</v>
      </c>
      <c r="G185" s="110">
        <f t="shared" si="76"/>
        <v>0.54544469211000723</v>
      </c>
      <c r="H185" s="412" t="b">
        <f>Wh_hp&gt;='2021'!Maxi_hp</f>
        <v>0</v>
      </c>
      <c r="I185" s="379">
        <f>IF(H185,Wh_hp,'2021'!Maxi_hp)</f>
        <v>56.990075158502776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2.3690233624316104E-2</v>
      </c>
      <c r="M185" s="832"/>
      <c r="N185" s="832"/>
      <c r="O185" s="48">
        <f>IF(t&lt;Tnet,'2021'!Resal+('2021'!Salim-'2021'!Resal)*(1-EXP(('2021'!Tnet-t)/('2021'!Tau_j))),Resal+(Salim-Resal)*(1-EXP((Tnet-t)/(Tau_j))))*Salcycl</f>
        <v>1.4543075701182545E-2</v>
      </c>
      <c r="P185" s="169">
        <f>(INDEX(Models!$BJ185:$BT185,,T185)*(1-R185)+INDEX(Models!$BJ185:$BT185,,T185+1)*R185-ERP_i)*Q185*Ramure*Pc/MaxiM</f>
        <v>9.3505146944299021E-5</v>
      </c>
      <c r="Q185" s="304">
        <f t="shared" si="53"/>
        <v>0.6</v>
      </c>
      <c r="R185" s="177">
        <f t="shared" si="54"/>
        <v>0.29959321484844081</v>
      </c>
      <c r="S185" s="799">
        <f t="shared" si="55"/>
        <v>0</v>
      </c>
      <c r="T185" s="176">
        <f t="shared" si="56"/>
        <v>6</v>
      </c>
      <c r="U185" s="250">
        <f t="shared" si="57"/>
        <v>0.29959321484844081</v>
      </c>
      <c r="V185" s="382">
        <f t="shared" si="58"/>
        <v>60.83473844972039</v>
      </c>
      <c r="W185" s="400">
        <f t="shared" si="59"/>
        <v>0</v>
      </c>
      <c r="X185" s="157">
        <f t="shared" si="60"/>
        <v>44732</v>
      </c>
      <c r="Y185" s="383">
        <f t="shared" si="61"/>
        <v>30.679106259698223</v>
      </c>
      <c r="Z185" s="383">
        <f t="shared" si="62"/>
        <v>31.423537197202332</v>
      </c>
      <c r="AA185" s="384">
        <f t="shared" si="63"/>
        <v>34.490814914331551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8.8930276792465984E-2</v>
      </c>
      <c r="AD185" s="230">
        <f>(INDEX(Models!$BJ185:$BT185,,AH185)*(1-AF185)+INDEX(Models!$BJ185:$BT185,,AH185+1)*AF185-ERP_i)*AE185*Ramure*Pc/MaxiM</f>
        <v>9.3505146944299021E-5</v>
      </c>
      <c r="AE185" s="304">
        <f t="shared" si="65"/>
        <v>0.6</v>
      </c>
      <c r="AF185" s="177">
        <f t="shared" si="66"/>
        <v>0.29959321484844081</v>
      </c>
      <c r="AG185" s="799">
        <f t="shared" si="74"/>
        <v>0</v>
      </c>
      <c r="AH185" s="176">
        <f t="shared" si="67"/>
        <v>6</v>
      </c>
      <c r="AI185" s="224">
        <f t="shared" si="68"/>
        <v>0.29959321484844081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3">
        <v>23.881</v>
      </c>
      <c r="C186" s="388"/>
      <c r="D186" s="391">
        <f t="shared" si="50"/>
        <v>24.46094314035436</v>
      </c>
      <c r="E186" s="383">
        <f t="shared" si="75"/>
        <v>24.824150488589666</v>
      </c>
      <c r="F186" s="383">
        <f t="shared" si="51"/>
        <v>24.824461097018684</v>
      </c>
      <c r="G186" s="110">
        <f t="shared" si="76"/>
        <v>0.3929019276873576</v>
      </c>
      <c r="H186" s="412" t="b">
        <f>Wh_hp&gt;='2021'!Maxi_hp</f>
        <v>0</v>
      </c>
      <c r="I186" s="379">
        <f>IF(H186,Wh_hp,'2021'!Maxi_hp)</f>
        <v>52.195932812822107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2.3708944378256658E-2</v>
      </c>
      <c r="M186" s="832"/>
      <c r="N186" s="832"/>
      <c r="O186" s="48">
        <f>IF(t&lt;Tnet,'2021'!Resal+('2021'!Salim-'2021'!Resal)*(1-EXP(('2021'!Tnet-t)/('2021'!Tau_j))),Resal+(Salim-Resal)*(1-EXP((Tnet-t)/(Tau_j))))*Salcycl</f>
        <v>1.4631209571592443E-2</v>
      </c>
      <c r="P186" s="169">
        <f>(INDEX(Models!$BJ186:$BT186,,T186)*(1-R186)+INDEX(Models!$BJ186:$BT186,,T186+1)*R186-ERP_i)*Q186*Ramure*Pc/MaxiM</f>
        <v>9.4244630063449264E-5</v>
      </c>
      <c r="Q186" s="304">
        <f t="shared" si="53"/>
        <v>0.6</v>
      </c>
      <c r="R186" s="177">
        <f t="shared" si="54"/>
        <v>0.30450661139806751</v>
      </c>
      <c r="S186" s="799">
        <f t="shared" si="55"/>
        <v>0</v>
      </c>
      <c r="T186" s="176">
        <f t="shared" si="56"/>
        <v>6</v>
      </c>
      <c r="U186" s="250">
        <f t="shared" si="57"/>
        <v>0.30450661139806751</v>
      </c>
      <c r="V186" s="382">
        <f t="shared" si="58"/>
        <v>60.776103247400719</v>
      </c>
      <c r="W186" s="400">
        <f t="shared" si="59"/>
        <v>0</v>
      </c>
      <c r="X186" s="157">
        <f t="shared" si="60"/>
        <v>44733</v>
      </c>
      <c r="Y186" s="383">
        <f t="shared" si="61"/>
        <v>22.079067855225396</v>
      </c>
      <c r="Z186" s="383">
        <f t="shared" si="62"/>
        <v>22.61525159744961</v>
      </c>
      <c r="AA186" s="384">
        <f t="shared" si="63"/>
        <v>24.824150488589666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8.8981852255341734E-2</v>
      </c>
      <c r="AD186" s="230">
        <f>(INDEX(Models!$BJ186:$BT186,,AH186)*(1-AF186)+INDEX(Models!$BJ186:$BT186,,AH186+1)*AF186-ERP_i)*AE186*Ramure*Pc/MaxiM</f>
        <v>9.4244630063449264E-5</v>
      </c>
      <c r="AE186" s="304">
        <f t="shared" si="65"/>
        <v>0.6</v>
      </c>
      <c r="AF186" s="177">
        <f t="shared" si="66"/>
        <v>0.30450661139806751</v>
      </c>
      <c r="AG186" s="799">
        <f t="shared" si="74"/>
        <v>0</v>
      </c>
      <c r="AH186" s="176">
        <f t="shared" si="67"/>
        <v>6</v>
      </c>
      <c r="AI186" s="224">
        <f t="shared" si="68"/>
        <v>0.30450661139806751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3">
        <v>46.253999999999998</v>
      </c>
      <c r="C187" s="388"/>
      <c r="D187" s="391">
        <f t="shared" si="50"/>
        <v>47.378172931113852</v>
      </c>
      <c r="E187" s="383">
        <f t="shared" si="75"/>
        <v>48.085954557595883</v>
      </c>
      <c r="F187" s="383">
        <f t="shared" si="51"/>
        <v>48.088971367749373</v>
      </c>
      <c r="G187" s="110">
        <f t="shared" si="76"/>
        <v>0.76178429435906647</v>
      </c>
      <c r="H187" s="412" t="b">
        <f>Wh_hp&gt;='2021'!Maxi_hp</f>
        <v>0</v>
      </c>
      <c r="I187" s="379">
        <f>IF(H187,Wh_hp,'2021'!Maxi_hp)</f>
        <v>63.676809848065162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2.372765477360983E-2</v>
      </c>
      <c r="M187" s="832"/>
      <c r="N187" s="832"/>
      <c r="O187" s="48">
        <f>IF(t&lt;Tnet,'2021'!Resal+('2021'!Salim-'2021'!Resal)*(1-EXP(('2021'!Tnet-t)/('2021'!Tau_j))),Resal+(Salim-Resal)*(1-EXP((Tnet-t)/(Tau_j))))*Salcycl</f>
        <v>1.4719092778625762E-2</v>
      </c>
      <c r="P187" s="169">
        <f>(INDEX(Models!$BJ187:$BT187,,T187)*(1-R187)+INDEX(Models!$BJ187:$BT187,,T187+1)*R187-ERP_i)*Q187*Ramure*Pc/MaxiM</f>
        <v>9.5090732371272811E-5</v>
      </c>
      <c r="Q187" s="304">
        <f t="shared" si="53"/>
        <v>0.6</v>
      </c>
      <c r="R187" s="177">
        <f t="shared" si="54"/>
        <v>0.30937534033815511</v>
      </c>
      <c r="S187" s="799">
        <f t="shared" si="55"/>
        <v>0</v>
      </c>
      <c r="T187" s="176">
        <f t="shared" si="56"/>
        <v>6</v>
      </c>
      <c r="U187" s="250">
        <f t="shared" si="57"/>
        <v>0.30937534033815511</v>
      </c>
      <c r="V187" s="382">
        <f t="shared" si="58"/>
        <v>60.716010578129449</v>
      </c>
      <c r="W187" s="400">
        <f t="shared" si="59"/>
        <v>0</v>
      </c>
      <c r="X187" s="157">
        <f t="shared" si="60"/>
        <v>44734</v>
      </c>
      <c r="Y187" s="383">
        <f t="shared" si="61"/>
        <v>42.765384058295211</v>
      </c>
      <c r="Z187" s="383">
        <f t="shared" si="62"/>
        <v>43.804768482280672</v>
      </c>
      <c r="AA187" s="384">
        <f t="shared" si="63"/>
        <v>48.085954557595883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8.9031945288459174E-2</v>
      </c>
      <c r="AD187" s="230">
        <f>(INDEX(Models!$BJ187:$BT187,,AH187)*(1-AF187)+INDEX(Models!$BJ187:$BT187,,AH187+1)*AF187-ERP_i)*AE187*Ramure*Pc/MaxiM</f>
        <v>9.5090732371272811E-5</v>
      </c>
      <c r="AE187" s="304">
        <f t="shared" si="65"/>
        <v>0.6</v>
      </c>
      <c r="AF187" s="177">
        <f t="shared" si="66"/>
        <v>0.30937534033815511</v>
      </c>
      <c r="AG187" s="799">
        <f t="shared" si="74"/>
        <v>0</v>
      </c>
      <c r="AH187" s="176">
        <f t="shared" si="67"/>
        <v>6</v>
      </c>
      <c r="AI187" s="224">
        <f t="shared" si="68"/>
        <v>0.30937534033815511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3">
        <v>43.628999999999998</v>
      </c>
      <c r="C188" s="388"/>
      <c r="D188" s="391">
        <f t="shared" si="50"/>
        <v>44.69023051732448</v>
      </c>
      <c r="E188" s="383">
        <f t="shared" si="75"/>
        <v>45.361891347023146</v>
      </c>
      <c r="F188" s="383">
        <f t="shared" si="51"/>
        <v>45.364501236086156</v>
      </c>
      <c r="G188" s="110">
        <f t="shared" si="76"/>
        <v>0.7192763530760673</v>
      </c>
      <c r="H188" s="412" t="b">
        <f>Wh_hp&gt;='2021'!Maxi_hp</f>
        <v>0</v>
      </c>
      <c r="I188" s="379">
        <f>IF(H188,Wh_hp,'2021'!Maxi_hp)</f>
        <v>54.409239843799597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2.3746364810382614E-2</v>
      </c>
      <c r="M188" s="832"/>
      <c r="N188" s="832"/>
      <c r="O188" s="48">
        <f>IF(t&lt;Tnet,'2021'!Resal+('2021'!Salim-'2021'!Resal)*(1-EXP(('2021'!Tnet-t)/('2021'!Tau_j))),Resal+(Salim-Resal)*(1-EXP((Tnet-t)/(Tau_j))))*Salcycl</f>
        <v>1.480672012902612E-2</v>
      </c>
      <c r="P188" s="169">
        <f>(INDEX(Models!$BJ188:$BT188,,T188)*(1-R188)+INDEX(Models!$BJ188:$BT188,,T188+1)*R188-ERP_i)*Q188*Ramure*Pc/MaxiM</f>
        <v>9.60450267917221E-5</v>
      </c>
      <c r="Q188" s="304">
        <f t="shared" si="53"/>
        <v>0.6</v>
      </c>
      <c r="R188" s="177">
        <f t="shared" si="54"/>
        <v>0.31419595516937704</v>
      </c>
      <c r="S188" s="799">
        <f t="shared" si="55"/>
        <v>0</v>
      </c>
      <c r="T188" s="176">
        <f t="shared" si="56"/>
        <v>6</v>
      </c>
      <c r="U188" s="250">
        <f t="shared" si="57"/>
        <v>0.31419595516937704</v>
      </c>
      <c r="V188" s="382">
        <f t="shared" si="58"/>
        <v>60.65446112790756</v>
      </c>
      <c r="W188" s="400">
        <f t="shared" si="59"/>
        <v>0</v>
      </c>
      <c r="X188" s="157">
        <f t="shared" si="60"/>
        <v>44735</v>
      </c>
      <c r="Y188" s="383">
        <f t="shared" si="61"/>
        <v>40.339804942980152</v>
      </c>
      <c r="Z188" s="383">
        <f t="shared" si="62"/>
        <v>41.321029176137166</v>
      </c>
      <c r="AA188" s="384">
        <f t="shared" si="63"/>
        <v>45.361891347023146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8.9080548691697389E-2</v>
      </c>
      <c r="AD188" s="230">
        <f>(INDEX(Models!$BJ188:$BT188,,AH188)*(1-AF188)+INDEX(Models!$BJ188:$BT188,,AH188+1)*AF188-ERP_i)*AE188*Ramure*Pc/MaxiM</f>
        <v>9.60450267917221E-5</v>
      </c>
      <c r="AE188" s="304">
        <f t="shared" si="65"/>
        <v>0.6</v>
      </c>
      <c r="AF188" s="177">
        <f t="shared" si="66"/>
        <v>0.31419595516937704</v>
      </c>
      <c r="AG188" s="799">
        <f t="shared" si="74"/>
        <v>0</v>
      </c>
      <c r="AH188" s="176">
        <f t="shared" si="67"/>
        <v>6</v>
      </c>
      <c r="AI188" s="224">
        <f t="shared" si="68"/>
        <v>0.31419595516937704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3">
        <v>41.152000000000001</v>
      </c>
      <c r="C189" s="388"/>
      <c r="D189" s="391">
        <f t="shared" si="50"/>
        <v>42.153787909648678</v>
      </c>
      <c r="E189" s="383">
        <f t="shared" si="75"/>
        <v>42.791122618363552</v>
      </c>
      <c r="F189" s="383">
        <f t="shared" si="51"/>
        <v>42.79337360870867</v>
      </c>
      <c r="G189" s="110">
        <f t="shared" si="76"/>
        <v>0.67914143929861792</v>
      </c>
      <c r="H189" s="412" t="b">
        <f>Wh_hp&gt;='2021'!Maxi_hp</f>
        <v>0</v>
      </c>
      <c r="I189" s="379">
        <f>IF(H189,Wh_hp,'2021'!Maxi_hp)</f>
        <v>62.441537989908561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2.3765074488581783E-2</v>
      </c>
      <c r="M189" s="832"/>
      <c r="N189" s="832"/>
      <c r="O189" s="48">
        <f>IF(t&lt;Tnet,'2021'!Resal+('2021'!Salim-'2021'!Resal)*(1-EXP(('2021'!Tnet-t)/('2021'!Tau_j))),Resal+(Salim-Resal)*(1-EXP((Tnet-t)/(Tau_j))))*Salcycl</f>
        <v>1.4894087131085507E-2</v>
      </c>
      <c r="P189" s="169">
        <f>(INDEX(Models!$BJ189:$BT189,,T189)*(1-R189)+INDEX(Models!$BJ189:$BT189,,T189+1)*R189-ERP_i)*Q189*Ramure*Pc/MaxiM</f>
        <v>9.7108951830866653E-5</v>
      </c>
      <c r="Q189" s="304">
        <f t="shared" si="53"/>
        <v>0.6</v>
      </c>
      <c r="R189" s="177">
        <f t="shared" si="54"/>
        <v>0.31896515755091942</v>
      </c>
      <c r="S189" s="799">
        <f t="shared" si="55"/>
        <v>0</v>
      </c>
      <c r="T189" s="176">
        <f t="shared" si="56"/>
        <v>6</v>
      </c>
      <c r="U189" s="250">
        <f t="shared" si="57"/>
        <v>0.31896515755091942</v>
      </c>
      <c r="V189" s="382">
        <f t="shared" si="58"/>
        <v>60.591455544809556</v>
      </c>
      <c r="W189" s="400">
        <f t="shared" si="59"/>
        <v>0</v>
      </c>
      <c r="X189" s="157">
        <f t="shared" si="60"/>
        <v>44736</v>
      </c>
      <c r="Y189" s="383">
        <f t="shared" si="61"/>
        <v>38.050952759688343</v>
      </c>
      <c r="Z189" s="383">
        <f t="shared" si="62"/>
        <v>38.977250009524774</v>
      </c>
      <c r="AA189" s="384">
        <f t="shared" si="63"/>
        <v>42.791122618363552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8.912765955810846E-2</v>
      </c>
      <c r="AD189" s="230">
        <f>(INDEX(Models!$BJ189:$BT189,,AH189)*(1-AF189)+INDEX(Models!$BJ189:$BT189,,AH189+1)*AF189-ERP_i)*AE189*Ramure*Pc/MaxiM</f>
        <v>9.7108951830866653E-5</v>
      </c>
      <c r="AE189" s="304">
        <f t="shared" si="65"/>
        <v>0.6</v>
      </c>
      <c r="AF189" s="177">
        <f t="shared" si="66"/>
        <v>0.31896515755091942</v>
      </c>
      <c r="AG189" s="799">
        <f t="shared" si="74"/>
        <v>0</v>
      </c>
      <c r="AH189" s="176">
        <f t="shared" si="67"/>
        <v>6</v>
      </c>
      <c r="AI189" s="224">
        <f t="shared" si="68"/>
        <v>0.31896515755091942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3">
        <v>35.712000000000003</v>
      </c>
      <c r="C190" s="388"/>
      <c r="D190" s="391">
        <f t="shared" si="50"/>
        <v>36.582059801579945</v>
      </c>
      <c r="E190" s="383">
        <f t="shared" si="75"/>
        <v>37.138437794589372</v>
      </c>
      <c r="F190" s="383">
        <f t="shared" si="51"/>
        <v>37.139950151547318</v>
      </c>
      <c r="G190" s="110">
        <f t="shared" si="76"/>
        <v>0.5899837675087487</v>
      </c>
      <c r="H190" s="412" t="b">
        <f>Wh_hp&gt;='2021'!Maxi_hp</f>
        <v>0</v>
      </c>
      <c r="I190" s="379">
        <f>IF(H190,Wh_hp,'2021'!Maxi_hp)</f>
        <v>58.359170518097258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2.3783783808214221E-2</v>
      </c>
      <c r="M190" s="832"/>
      <c r="N190" s="832"/>
      <c r="O190" s="48">
        <f>IF(t&lt;Tnet,'2021'!Resal+('2021'!Salim-'2021'!Resal)*(1-EXP(('2021'!Tnet-t)/('2021'!Tau_j))),Resal+(Salim-Resal)*(1-EXP((Tnet-t)/(Tau_j))))*Salcycl</f>
        <v>1.4981190002840818E-2</v>
      </c>
      <c r="P190" s="169">
        <f>(INDEX(Models!$BJ190:$BT190,,T190)*(1-R190)+INDEX(Models!$BJ190:$BT190,,T190+1)*R190-ERP_i)*Q190*Ramure*Pc/MaxiM</f>
        <v>9.8284827324718793E-5</v>
      </c>
      <c r="Q190" s="304">
        <f t="shared" si="53"/>
        <v>0.6</v>
      </c>
      <c r="R190" s="177">
        <f t="shared" si="54"/>
        <v>0.3236798049418953</v>
      </c>
      <c r="S190" s="799">
        <f t="shared" si="55"/>
        <v>0</v>
      </c>
      <c r="T190" s="176">
        <f t="shared" si="56"/>
        <v>6</v>
      </c>
      <c r="U190" s="250">
        <f t="shared" si="57"/>
        <v>0.3236798049418953</v>
      </c>
      <c r="V190" s="382">
        <f t="shared" si="58"/>
        <v>60.526994377233422</v>
      </c>
      <c r="W190" s="400">
        <f t="shared" si="59"/>
        <v>0</v>
      </c>
      <c r="X190" s="157">
        <f t="shared" si="60"/>
        <v>44737</v>
      </c>
      <c r="Y190" s="383">
        <f t="shared" si="61"/>
        <v>33.022155031739793</v>
      </c>
      <c r="Z190" s="383">
        <f t="shared" si="62"/>
        <v>33.826681511764924</v>
      </c>
      <c r="AA190" s="384">
        <f t="shared" si="63"/>
        <v>37.138437794589372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8.9173279208500614E-2</v>
      </c>
      <c r="AD190" s="230">
        <f>(INDEX(Models!$BJ190:$BT190,,AH190)*(1-AF190)+INDEX(Models!$BJ190:$BT190,,AH190+1)*AF190-ERP_i)*AE190*Ramure*Pc/MaxiM</f>
        <v>9.8284827324718793E-5</v>
      </c>
      <c r="AE190" s="304">
        <f t="shared" si="65"/>
        <v>0.6</v>
      </c>
      <c r="AF190" s="177">
        <f t="shared" si="66"/>
        <v>0.3236798049418953</v>
      </c>
      <c r="AG190" s="799">
        <f t="shared" si="74"/>
        <v>0</v>
      </c>
      <c r="AH190" s="176">
        <f t="shared" si="67"/>
        <v>6</v>
      </c>
      <c r="AI190" s="224">
        <f t="shared" si="68"/>
        <v>0.3236798049418953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3">
        <v>12.679</v>
      </c>
      <c r="C191" s="388"/>
      <c r="D191" s="391">
        <f t="shared" si="50"/>
        <v>12.988150354909134</v>
      </c>
      <c r="E191" s="383">
        <f t="shared" si="75"/>
        <v>13.186850151578067</v>
      </c>
      <c r="F191" s="383">
        <f t="shared" si="51"/>
        <v>13.186850151578067</v>
      </c>
      <c r="G191" s="110">
        <f t="shared" si="76"/>
        <v>0.20968427757208952</v>
      </c>
      <c r="H191" s="412" t="b">
        <f>Wh_hp&gt;='2021'!Maxi_hp</f>
        <v>0</v>
      </c>
      <c r="I191" s="379">
        <f>IF(H191,Wh_hp,'2021'!Maxi_hp)</f>
        <v>60.460509614669505</v>
      </c>
      <c r="J191" s="85">
        <f>IF(H191,An,'2021'!An_max)</f>
        <v>2021</v>
      </c>
      <c r="K191" s="197">
        <f t="shared" si="52"/>
        <v>44738</v>
      </c>
      <c r="L191" s="147">
        <f>IF(t&lt;Tvie,1-EXP((T0-t)*PertePVj)+'2021'!Pspv,1-EXP((T0-t)*PertePVj)+Pspv)</f>
        <v>2.3802492769286809E-2</v>
      </c>
      <c r="M191" s="832"/>
      <c r="N191" s="832"/>
      <c r="O191" s="48">
        <f>IF(t&lt;Tnet,'2021'!Resal+('2021'!Salim-'2021'!Resal)*(1-EXP(('2021'!Tnet-t)/('2021'!Tau_j))),Resal+(Salim-Resal)*(1-EXP((Tnet-t)/(Tau_j))))*Salcycl</f>
        <v>1.5068025675953769E-2</v>
      </c>
      <c r="P191" s="169">
        <f>(INDEX(Models!$BJ191:$BT191,,T191)*(1-R191)+INDEX(Models!$BJ191:$BT191,,T191+1)*R191-ERP_i)*Q191*Ramure*Pc/MaxiM</f>
        <v>9.9574914346712485E-5</v>
      </c>
      <c r="Q191" s="304">
        <f t="shared" si="53"/>
        <v>0.6</v>
      </c>
      <c r="R191" s="177">
        <f t="shared" si="54"/>
        <v>0.32833691728272757</v>
      </c>
      <c r="S191" s="799">
        <f t="shared" si="55"/>
        <v>0</v>
      </c>
      <c r="T191" s="176">
        <f t="shared" si="56"/>
        <v>6</v>
      </c>
      <c r="U191" s="250">
        <f t="shared" si="57"/>
        <v>0.32833691728272757</v>
      </c>
      <c r="V191" s="382">
        <f t="shared" si="58"/>
        <v>60.46107813354002</v>
      </c>
      <c r="W191" s="400">
        <f t="shared" si="59"/>
        <v>0</v>
      </c>
      <c r="X191" s="157">
        <f t="shared" si="60"/>
        <v>44738</v>
      </c>
      <c r="Y191" s="383">
        <f t="shared" si="61"/>
        <v>11.724477141878664</v>
      </c>
      <c r="Z191" s="383">
        <f t="shared" si="62"/>
        <v>12.010353494078034</v>
      </c>
      <c r="AA191" s="384">
        <f t="shared" si="63"/>
        <v>13.186850151578067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8.9217413102949478E-2</v>
      </c>
      <c r="AD191" s="230">
        <f>(INDEX(Models!$BJ191:$BT191,,AH191)*(1-AF191)+INDEX(Models!$BJ191:$BT191,,AH191+1)*AF191-ERP_i)*AE191*Ramure*Pc/MaxiM</f>
        <v>9.9574914346712485E-5</v>
      </c>
      <c r="AE191" s="304">
        <f t="shared" si="65"/>
        <v>0.6</v>
      </c>
      <c r="AF191" s="177">
        <f t="shared" si="66"/>
        <v>0.32833691728272757</v>
      </c>
      <c r="AG191" s="799">
        <f t="shared" si="74"/>
        <v>0</v>
      </c>
      <c r="AH191" s="176">
        <f t="shared" si="67"/>
        <v>6</v>
      </c>
      <c r="AI191" s="224">
        <f t="shared" si="68"/>
        <v>0.32833691728272757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3">
        <v>15.406000000000001</v>
      </c>
      <c r="C192" s="388"/>
      <c r="D192" s="391">
        <f t="shared" si="50"/>
        <v>15.781944887196664</v>
      </c>
      <c r="E192" s="383">
        <f t="shared" si="75"/>
        <v>16.024794100390988</v>
      </c>
      <c r="F192" s="383">
        <f t="shared" si="51"/>
        <v>16.024794100390988</v>
      </c>
      <c r="G192" s="110">
        <f t="shared" si="76"/>
        <v>0.25506704215757087</v>
      </c>
      <c r="H192" s="412" t="b">
        <f>Wh_hp&gt;='2021'!Maxi_hp</f>
        <v>0</v>
      </c>
      <c r="I192" s="379">
        <f>IF(H192,Wh_hp,'2021'!Maxi_hp)</f>
        <v>59.284461981263078</v>
      </c>
      <c r="J192" s="85">
        <f>IF(H192,An,'2021'!An_max)</f>
        <v>2018</v>
      </c>
      <c r="K192" s="197">
        <f t="shared" si="52"/>
        <v>44739</v>
      </c>
      <c r="L192" s="147">
        <f>IF(t&lt;Tvie,1-EXP((T0-t)*PertePVj)+'2021'!Pspv,1-EXP((T0-t)*PertePVj)+Pspv)</f>
        <v>2.3821201371806433E-2</v>
      </c>
      <c r="M192" s="832"/>
      <c r="N192" s="832"/>
      <c r="O192" s="48">
        <f>IF(t&lt;Tnet,'2021'!Resal+('2021'!Salim-'2021'!Resal)*(1-EXP(('2021'!Tnet-t)/('2021'!Tau_j))),Resal+(Salim-Resal)*(1-EXP((Tnet-t)/(Tau_j))))*Salcycl</f>
        <v>1.5154591795247987E-2</v>
      </c>
      <c r="P192" s="169">
        <f>(INDEX(Models!$BJ192:$BT192,,T192)*(1-R192)+INDEX(Models!$BJ192:$BT192,,T192+1)*R192-ERP_i)*Q192*Ramure*Pc/MaxiM</f>
        <v>1.0106649313280951E-4</v>
      </c>
      <c r="Q192" s="304">
        <f t="shared" si="53"/>
        <v>0.6</v>
      </c>
      <c r="R192" s="177">
        <f t="shared" si="54"/>
        <v>0.33293368270044471</v>
      </c>
      <c r="S192" s="799">
        <f t="shared" si="55"/>
        <v>0</v>
      </c>
      <c r="T192" s="176">
        <f t="shared" si="56"/>
        <v>6</v>
      </c>
      <c r="U192" s="250">
        <f t="shared" si="57"/>
        <v>0.33293368270044471</v>
      </c>
      <c r="V192" s="382">
        <f t="shared" si="58"/>
        <v>60.393702139261528</v>
      </c>
      <c r="W192" s="400">
        <f t="shared" si="59"/>
        <v>0</v>
      </c>
      <c r="X192" s="157">
        <f t="shared" si="60"/>
        <v>44739</v>
      </c>
      <c r="Y192" s="383">
        <f t="shared" si="61"/>
        <v>14.246763231511983</v>
      </c>
      <c r="Z192" s="383">
        <f t="shared" si="62"/>
        <v>14.594419845557701</v>
      </c>
      <c r="AA192" s="384">
        <f t="shared" si="63"/>
        <v>16.024794100390988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8.9260070729918886E-2</v>
      </c>
      <c r="AD192" s="230">
        <f>(INDEX(Models!$BJ192:$BT192,,AH192)*(1-AF192)+INDEX(Models!$BJ192:$BT192,,AH192+1)*AF192-ERP_i)*AE192*Ramure*Pc/MaxiM</f>
        <v>1.0106649313280951E-4</v>
      </c>
      <c r="AE192" s="304">
        <f t="shared" si="65"/>
        <v>0.6</v>
      </c>
      <c r="AF192" s="177">
        <f t="shared" si="66"/>
        <v>0.33293368270044471</v>
      </c>
      <c r="AG192" s="799">
        <f t="shared" si="74"/>
        <v>0</v>
      </c>
      <c r="AH192" s="176">
        <f t="shared" si="67"/>
        <v>6</v>
      </c>
      <c r="AI192" s="224">
        <f t="shared" si="68"/>
        <v>0.33293368270044471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3">
        <v>61.117000000000004</v>
      </c>
      <c r="C193" s="388"/>
      <c r="D193" s="391">
        <f t="shared" si="50"/>
        <v>62.609607381043553</v>
      </c>
      <c r="E193" s="383">
        <f t="shared" si="75"/>
        <v>63.578601646161708</v>
      </c>
      <c r="F193" s="383">
        <f t="shared" si="51"/>
        <v>63.585131804859891</v>
      </c>
      <c r="G193" s="110">
        <f t="shared" si="76"/>
        <v>1.0131310585480506</v>
      </c>
      <c r="H193" s="412" t="b">
        <f>Wh_hp&gt;='2021'!Maxi_hp</f>
        <v>1</v>
      </c>
      <c r="I193" s="379">
        <f>IF(H193,Wh_hp,'2021'!Maxi_hp)</f>
        <v>63.585131804859891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2.3839909615779975E-2</v>
      </c>
      <c r="M193" s="832"/>
      <c r="N193" s="832"/>
      <c r="O193" s="48">
        <f>IF(t&lt;Tnet,'2021'!Resal+('2021'!Salim-'2021'!Resal)*(1-EXP(('2021'!Tnet-t)/('2021'!Tau_j))),Resal+(Salim-Resal)*(1-EXP((Tnet-t)/(Tau_j))))*Salcycl</f>
        <v>1.5240886713912943E-2</v>
      </c>
      <c r="P193" s="169">
        <f>(INDEX(Models!$BJ193:$BT193,,T193)*(1-R193)+INDEX(Models!$BJ193:$BT193,,T193+1)*R193-ERP_i)*Q193*Ramure*Pc/MaxiM</f>
        <v>1.0269945996528526E-4</v>
      </c>
      <c r="Q193" s="304">
        <f t="shared" si="53"/>
        <v>0.6</v>
      </c>
      <c r="R193" s="177">
        <f t="shared" si="54"/>
        <v>0.33746746223127422</v>
      </c>
      <c r="S193" s="799">
        <f t="shared" si="55"/>
        <v>0</v>
      </c>
      <c r="T193" s="176">
        <f t="shared" si="56"/>
        <v>6</v>
      </c>
      <c r="U193" s="250">
        <f t="shared" si="57"/>
        <v>0.33746746223127422</v>
      </c>
      <c r="V193" s="382">
        <f t="shared" si="58"/>
        <v>60.324870592348312</v>
      </c>
      <c r="W193" s="400">
        <f t="shared" si="59"/>
        <v>0</v>
      </c>
      <c r="X193" s="157">
        <f t="shared" si="60"/>
        <v>44740</v>
      </c>
      <c r="Y193" s="383">
        <f t="shared" si="61"/>
        <v>56.520598598273573</v>
      </c>
      <c r="Z193" s="383">
        <f t="shared" si="62"/>
        <v>57.900952062101688</v>
      </c>
      <c r="AA193" s="384">
        <f t="shared" si="63"/>
        <v>63.578601646161708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8.9301265473849645E-2</v>
      </c>
      <c r="AD193" s="230">
        <f>(INDEX(Models!$BJ193:$BT193,,AH193)*(1-AF193)+INDEX(Models!$BJ193:$BT193,,AH193+1)*AF193-ERP_i)*AE193*Ramure*Pc/MaxiM</f>
        <v>1.0269945996528526E-4</v>
      </c>
      <c r="AE193" s="304">
        <f t="shared" si="65"/>
        <v>0.6</v>
      </c>
      <c r="AF193" s="177">
        <f t="shared" si="66"/>
        <v>0.33746746223127422</v>
      </c>
      <c r="AG193" s="799">
        <f t="shared" si="74"/>
        <v>0</v>
      </c>
      <c r="AH193" s="176">
        <f t="shared" si="67"/>
        <v>6</v>
      </c>
      <c r="AI193" s="224">
        <f t="shared" si="68"/>
        <v>0.33746746223127422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3">
        <v>59.364000000000004</v>
      </c>
      <c r="C194" s="388"/>
      <c r="D194" s="391">
        <f t="shared" si="50"/>
        <v>60.81496089023134</v>
      </c>
      <c r="E194" s="383">
        <f t="shared" si="75"/>
        <v>61.761574959246921</v>
      </c>
      <c r="F194" s="383">
        <f t="shared" si="51"/>
        <v>61.767891978922982</v>
      </c>
      <c r="G194" s="110">
        <f t="shared" si="76"/>
        <v>0.98521747605428722</v>
      </c>
      <c r="H194" s="412" t="b">
        <f>Wh_hp&gt;='2021'!Maxi_hp</f>
        <v>1</v>
      </c>
      <c r="I194" s="379">
        <f>IF(H194,Wh_hp,'2021'!Maxi_hp)</f>
        <v>61.767891978922982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2.3858617501214319E-2</v>
      </c>
      <c r="M194" s="832"/>
      <c r="N194" s="832"/>
      <c r="O194" s="48">
        <f>IF(t&lt;Tnet,'2021'!Resal+('2021'!Salim-'2021'!Resal)*(1-EXP(('2021'!Tnet-t)/('2021'!Tau_j))),Resal+(Salim-Resal)*(1-EXP((Tnet-t)/(Tau_j))))*Salcycl</f>
        <v>1.5326909484419726E-2</v>
      </c>
      <c r="P194" s="169">
        <f>(INDEX(Models!$BJ194:$BT194,,T194)*(1-R194)+INDEX(Models!$BJ194:$BT194,,T194+1)*R194-ERP_i)*Q194*Ramure*Pc/MaxiM</f>
        <v>1.044762753225266E-4</v>
      </c>
      <c r="Q194" s="304">
        <f t="shared" si="53"/>
        <v>0.6</v>
      </c>
      <c r="R194" s="177">
        <f t="shared" si="54"/>
        <v>0.34193579356304654</v>
      </c>
      <c r="S194" s="799">
        <f t="shared" si="55"/>
        <v>0</v>
      </c>
      <c r="T194" s="176">
        <f t="shared" si="56"/>
        <v>6</v>
      </c>
      <c r="U194" s="250">
        <f t="shared" si="57"/>
        <v>0.34193579356304654</v>
      </c>
      <c r="V194" s="382">
        <f t="shared" si="58"/>
        <v>60.254583858695156</v>
      </c>
      <c r="W194" s="400">
        <f t="shared" si="59"/>
        <v>0</v>
      </c>
      <c r="X194" s="157">
        <f t="shared" si="60"/>
        <v>44741</v>
      </c>
      <c r="Y194" s="383">
        <f t="shared" si="61"/>
        <v>54.901835480400059</v>
      </c>
      <c r="Z194" s="383">
        <f t="shared" si="62"/>
        <v>56.243733197601998</v>
      </c>
      <c r="AA194" s="384">
        <f t="shared" si="63"/>
        <v>61.761574959246921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8.934101446224206E-2</v>
      </c>
      <c r="AD194" s="230">
        <f>(INDEX(Models!$BJ194:$BT194,,AH194)*(1-AF194)+INDEX(Models!$BJ194:$BT194,,AH194+1)*AF194-ERP_i)*AE194*Ramure*Pc/MaxiM</f>
        <v>1.044762753225266E-4</v>
      </c>
      <c r="AE194" s="304">
        <f t="shared" si="65"/>
        <v>0.6</v>
      </c>
      <c r="AF194" s="177">
        <f t="shared" si="66"/>
        <v>0.34193579356304654</v>
      </c>
      <c r="AG194" s="799">
        <f t="shared" si="74"/>
        <v>0</v>
      </c>
      <c r="AH194" s="176">
        <f t="shared" si="67"/>
        <v>6</v>
      </c>
      <c r="AI194" s="224">
        <f t="shared" si="68"/>
        <v>0.34193579356304654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3">
        <v>14.64</v>
      </c>
      <c r="C195" s="388"/>
      <c r="D195" s="391">
        <f t="shared" si="50"/>
        <v>14.998114863402483</v>
      </c>
      <c r="E195" s="383">
        <f t="shared" si="75"/>
        <v>15.232894281420348</v>
      </c>
      <c r="F195" s="383">
        <f t="shared" si="51"/>
        <v>15.232894281420348</v>
      </c>
      <c r="G195" s="110">
        <f t="shared" si="76"/>
        <v>0.24323281790658843</v>
      </c>
      <c r="H195" s="412" t="b">
        <f>Wh_hp&gt;='2021'!Maxi_hp</f>
        <v>0</v>
      </c>
      <c r="I195" s="379">
        <f>IF(H195,Wh_hp,'2021'!Maxi_hp)</f>
        <v>52.702185547178217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2.3877325028116236E-2</v>
      </c>
      <c r="M195" s="832"/>
      <c r="N195" s="832"/>
      <c r="O195" s="48">
        <f>IF(t&lt;Tnet,'2021'!Resal+('2021'!Salim-'2021'!Resal)*(1-EXP(('2021'!Tnet-t)/('2021'!Tau_j))),Resal+(Salim-Resal)*(1-EXP((Tnet-t)/(Tau_j))))*Salcycl</f>
        <v>1.5412659845229033E-2</v>
      </c>
      <c r="P195" s="169">
        <f>(INDEX(Models!$BJ195:$BT195,,T195)*(1-R195)+INDEX(Models!$BJ195:$BT195,,T195+1)*R195-ERP_i)*Q195*Ramure*Pc/MaxiM</f>
        <v>1.0639931949478747E-4</v>
      </c>
      <c r="Q195" s="304">
        <f t="shared" si="53"/>
        <v>0.6</v>
      </c>
      <c r="R195" s="177">
        <f t="shared" si="54"/>
        <v>0.34633639380860215</v>
      </c>
      <c r="S195" s="799">
        <f t="shared" si="55"/>
        <v>0</v>
      </c>
      <c r="T195" s="176">
        <f t="shared" si="56"/>
        <v>6</v>
      </c>
      <c r="U195" s="250">
        <f t="shared" si="57"/>
        <v>0.34633639380860215</v>
      </c>
      <c r="V195" s="382">
        <f t="shared" si="58"/>
        <v>60.182842265900035</v>
      </c>
      <c r="W195" s="400">
        <f t="shared" si="59"/>
        <v>0</v>
      </c>
      <c r="X195" s="157">
        <f t="shared" si="60"/>
        <v>44742</v>
      </c>
      <c r="Y195" s="383">
        <f t="shared" si="61"/>
        <v>13.540176622446461</v>
      </c>
      <c r="Z195" s="383">
        <f t="shared" si="62"/>
        <v>13.871388268730129</v>
      </c>
      <c r="AA195" s="384">
        <f t="shared" si="63"/>
        <v>15.232894281420348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8.9379338393417107E-2</v>
      </c>
      <c r="AD195" s="230">
        <f>(INDEX(Models!$BJ195:$BT195,,AH195)*(1-AF195)+INDEX(Models!$BJ195:$BT195,,AH195+1)*AF195-ERP_i)*AE195*Ramure*Pc/MaxiM</f>
        <v>1.0639931949478747E-4</v>
      </c>
      <c r="AE195" s="304">
        <f t="shared" si="65"/>
        <v>0.6</v>
      </c>
      <c r="AF195" s="177">
        <f t="shared" si="66"/>
        <v>0.34633639380860215</v>
      </c>
      <c r="AG195" s="799">
        <f t="shared" si="74"/>
        <v>0</v>
      </c>
      <c r="AH195" s="176">
        <f t="shared" si="67"/>
        <v>6</v>
      </c>
      <c r="AI195" s="224">
        <f t="shared" si="68"/>
        <v>0.34633639380860215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3">
        <v>52.805</v>
      </c>
      <c r="C196" s="388"/>
      <c r="D196" s="391">
        <f t="shared" si="50"/>
        <v>54.097720879903036</v>
      </c>
      <c r="E196" s="383">
        <f t="shared" si="75"/>
        <v>54.949333240651718</v>
      </c>
      <c r="F196" s="383">
        <f t="shared" si="51"/>
        <v>54.954259342275122</v>
      </c>
      <c r="G196" s="110">
        <f t="shared" si="76"/>
        <v>0.8784614278709747</v>
      </c>
      <c r="H196" s="412" t="b">
        <f>Wh_hp&gt;='2021'!Maxi_hp</f>
        <v>0</v>
      </c>
      <c r="I196" s="379">
        <f>IF(H196,Wh_hp,'2021'!Maxi_hp)</f>
        <v>60.959454139649438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2.3896032196492722E-2</v>
      </c>
      <c r="M196" s="832"/>
      <c r="N196" s="832"/>
      <c r="O196" s="48">
        <f>IF(t&lt;Tnet,'2021'!Resal+('2021'!Salim-'2021'!Resal)*(1-EXP(('2021'!Tnet-t)/('2021'!Tau_j))),Resal+(Salim-Resal)*(1-EXP((Tnet-t)/(Tau_j))))*Salcycl</f>
        <v>1.5498138203406979E-2</v>
      </c>
      <c r="P196" s="169">
        <f>(INDEX(Models!$BJ196:$BT196,,T196)*(1-R196)+INDEX(Models!$BJ196:$BT196,,T196+1)*R196-ERP_i)*Q196*Ramure*Pc/MaxiM</f>
        <v>1.0847089463189859E-4</v>
      </c>
      <c r="Q196" s="304">
        <f t="shared" si="53"/>
        <v>0.6</v>
      </c>
      <c r="R196" s="177">
        <f t="shared" si="54"/>
        <v>0.35066716132954501</v>
      </c>
      <c r="S196" s="799">
        <f t="shared" si="55"/>
        <v>0</v>
      </c>
      <c r="T196" s="176">
        <f t="shared" si="56"/>
        <v>6</v>
      </c>
      <c r="U196" s="250">
        <f t="shared" si="57"/>
        <v>0.35066716132954501</v>
      </c>
      <c r="V196" s="382">
        <f t="shared" si="58"/>
        <v>60.109646106131343</v>
      </c>
      <c r="W196" s="400">
        <f t="shared" si="59"/>
        <v>0</v>
      </c>
      <c r="X196" s="157">
        <f t="shared" si="60"/>
        <v>44743</v>
      </c>
      <c r="Y196" s="383">
        <f t="shared" si="61"/>
        <v>48.84030816545431</v>
      </c>
      <c r="Z196" s="383">
        <f t="shared" si="62"/>
        <v>50.035969298801184</v>
      </c>
      <c r="AA196" s="384">
        <f t="shared" si="63"/>
        <v>54.949333240651718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8.9416261346290812E-2</v>
      </c>
      <c r="AD196" s="230">
        <f>(INDEX(Models!$BJ196:$BT196,,AH196)*(1-AF196)+INDEX(Models!$BJ196:$BT196,,AH196+1)*AF196-ERP_i)*AE196*Ramure*Pc/MaxiM</f>
        <v>1.0847089463189859E-4</v>
      </c>
      <c r="AE196" s="304">
        <f t="shared" si="65"/>
        <v>0.6</v>
      </c>
      <c r="AF196" s="177">
        <f t="shared" si="66"/>
        <v>0.35066716132954501</v>
      </c>
      <c r="AG196" s="799">
        <f t="shared" si="74"/>
        <v>0</v>
      </c>
      <c r="AH196" s="176">
        <f t="shared" si="67"/>
        <v>6</v>
      </c>
      <c r="AI196" s="224">
        <f t="shared" si="68"/>
        <v>0.35066716132954501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3">
        <v>58.331000000000003</v>
      </c>
      <c r="C197" s="388"/>
      <c r="D197" s="391">
        <f t="shared" si="50"/>
        <v>59.760148350789933</v>
      </c>
      <c r="E197" s="383">
        <f t="shared" si="75"/>
        <v>60.706153318810784</v>
      </c>
      <c r="F197" s="383">
        <f t="shared" si="51"/>
        <v>60.712601293017094</v>
      </c>
      <c r="G197" s="110">
        <f t="shared" si="76"/>
        <v>0.97161226622881969</v>
      </c>
      <c r="H197" s="412" t="b">
        <f>Wh_hp&gt;='2021'!Maxi_hp</f>
        <v>1</v>
      </c>
      <c r="I197" s="379">
        <f>IF(H197,Wh_hp,'2021'!Maxi_hp)</f>
        <v>60.712601293017094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2.3914739006350549E-2</v>
      </c>
      <c r="M197" s="832"/>
      <c r="N197" s="832"/>
      <c r="O197" s="48">
        <f>IF(t&lt;Tnet,'2021'!Resal+('2021'!Salim-'2021'!Resal)*(1-EXP(('2021'!Tnet-t)/('2021'!Tau_j))),Resal+(Salim-Resal)*(1-EXP((Tnet-t)/(Tau_j))))*Salcycl</f>
        <v>1.5583345613297456E-2</v>
      </c>
      <c r="P197" s="169">
        <f>(INDEX(Models!$BJ197:$BT197,,T197)*(1-R197)+INDEX(Models!$BJ197:$BT197,,T197+1)*R197-ERP_i)*Q197*Ramure*Pc/MaxiM</f>
        <v>1.1069322758212187E-4</v>
      </c>
      <c r="Q197" s="304">
        <f t="shared" si="53"/>
        <v>0.6</v>
      </c>
      <c r="R197" s="177">
        <f t="shared" si="54"/>
        <v>0.35492617663720566</v>
      </c>
      <c r="S197" s="799">
        <f t="shared" si="55"/>
        <v>0</v>
      </c>
      <c r="T197" s="176">
        <f t="shared" si="56"/>
        <v>6</v>
      </c>
      <c r="U197" s="250">
        <f t="shared" si="57"/>
        <v>0.35492617663720566</v>
      </c>
      <c r="V197" s="382">
        <f t="shared" si="58"/>
        <v>60.034995635116765</v>
      </c>
      <c r="W197" s="400">
        <f t="shared" si="59"/>
        <v>0</v>
      </c>
      <c r="X197" s="157">
        <f t="shared" si="60"/>
        <v>44744</v>
      </c>
      <c r="Y197" s="383">
        <f t="shared" si="61"/>
        <v>53.953969795969428</v>
      </c>
      <c r="Z197" s="383">
        <f t="shared" si="62"/>
        <v>55.275877991482609</v>
      </c>
      <c r="AA197" s="384">
        <f t="shared" si="63"/>
        <v>60.706153318810784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8.9451810573632815E-2</v>
      </c>
      <c r="AD197" s="230">
        <f>(INDEX(Models!$BJ197:$BT197,,AH197)*(1-AF197)+INDEX(Models!$BJ197:$BT197,,AH197+1)*AF197-ERP_i)*AE197*Ramure*Pc/MaxiM</f>
        <v>1.1069322758212187E-4</v>
      </c>
      <c r="AE197" s="304">
        <f t="shared" si="65"/>
        <v>0.6</v>
      </c>
      <c r="AF197" s="177">
        <f t="shared" si="66"/>
        <v>0.35492617663720566</v>
      </c>
      <c r="AG197" s="799">
        <f t="shared" si="74"/>
        <v>0</v>
      </c>
      <c r="AH197" s="176">
        <f t="shared" si="67"/>
        <v>6</v>
      </c>
      <c r="AI197" s="224">
        <f t="shared" si="68"/>
        <v>0.35492617663720566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3">
        <v>48.051000000000002</v>
      </c>
      <c r="C198" s="388"/>
      <c r="D198" s="391">
        <f t="shared" si="50"/>
        <v>49.229224970762424</v>
      </c>
      <c r="E198" s="383">
        <f t="shared" si="75"/>
        <v>50.012840344495103</v>
      </c>
      <c r="F198" s="383">
        <f t="shared" si="51"/>
        <v>50.016891761523738</v>
      </c>
      <c r="G198" s="110">
        <f t="shared" si="76"/>
        <v>0.80137337662843111</v>
      </c>
      <c r="H198" s="412" t="b">
        <f>Wh_hp&gt;='2021'!Maxi_hp</f>
        <v>1</v>
      </c>
      <c r="I198" s="379">
        <f>IF(H198,Wh_hp,'2021'!Maxi_hp)</f>
        <v>50.016891761523738</v>
      </c>
      <c r="J198" s="85">
        <f>IF(H198,An,'2021'!An_max)</f>
        <v>2022</v>
      </c>
      <c r="K198" s="197">
        <f t="shared" si="52"/>
        <v>44745</v>
      </c>
      <c r="L198" s="147">
        <f>IF(t&lt;Tvie,1-EXP((T0-t)*PertePVj)+'2021'!Pspv,1-EXP((T0-t)*PertePVj)+Pspv)</f>
        <v>2.3933445457696712E-2</v>
      </c>
      <c r="M198" s="832"/>
      <c r="N198" s="832"/>
      <c r="O198" s="48">
        <f>IF(t&lt;Tnet,'2021'!Resal+('2021'!Salim-'2021'!Resal)*(1-EXP(('2021'!Tnet-t)/('2021'!Tau_j))),Resal+(Salim-Resal)*(1-EXP((Tnet-t)/(Tau_j))))*Salcycl</f>
        <v>1.566828375143331E-2</v>
      </c>
      <c r="P198" s="169">
        <f>(INDEX(Models!$BJ198:$BT198,,T198)*(1-R198)+INDEX(Models!$BJ198:$BT198,,T198+1)*R198-ERP_i)*Q198*Ramure*Pc/MaxiM</f>
        <v>1.1308493365220742E-4</v>
      </c>
      <c r="Q198" s="304">
        <f t="shared" si="53"/>
        <v>0.6</v>
      </c>
      <c r="R198" s="177">
        <f t="shared" si="54"/>
        <v>0.35911170240450213</v>
      </c>
      <c r="S198" s="799">
        <f t="shared" si="55"/>
        <v>0</v>
      </c>
      <c r="T198" s="176">
        <f t="shared" si="56"/>
        <v>6</v>
      </c>
      <c r="U198" s="250">
        <f t="shared" si="57"/>
        <v>0.35911170240450213</v>
      </c>
      <c r="V198" s="382">
        <f t="shared" si="58"/>
        <v>59.958890088163471</v>
      </c>
      <c r="W198" s="400">
        <f t="shared" si="59"/>
        <v>0</v>
      </c>
      <c r="X198" s="157">
        <f t="shared" si="60"/>
        <v>44745</v>
      </c>
      <c r="Y198" s="383">
        <f t="shared" si="61"/>
        <v>44.447523847399943</v>
      </c>
      <c r="Z198" s="383">
        <f t="shared" si="62"/>
        <v>45.537390499198345</v>
      </c>
      <c r="AA198" s="384">
        <f t="shared" si="63"/>
        <v>50.012840344495103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8.9486016280404437E-2</v>
      </c>
      <c r="AD198" s="230">
        <f>(INDEX(Models!$BJ198:$BT198,,AH198)*(1-AF198)+INDEX(Models!$BJ198:$BT198,,AH198+1)*AF198-ERP_i)*AE198*Ramure*Pc/MaxiM</f>
        <v>1.1308493365220742E-4</v>
      </c>
      <c r="AE198" s="304">
        <f t="shared" si="65"/>
        <v>0.6</v>
      </c>
      <c r="AF198" s="177">
        <f t="shared" si="66"/>
        <v>0.35911170240450213</v>
      </c>
      <c r="AG198" s="799">
        <f t="shared" si="74"/>
        <v>0</v>
      </c>
      <c r="AH198" s="176">
        <f t="shared" si="67"/>
        <v>6</v>
      </c>
      <c r="AI198" s="224">
        <f t="shared" si="68"/>
        <v>0.35911170240450213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3">
        <v>46.488</v>
      </c>
      <c r="C199" s="388"/>
      <c r="D199" s="391">
        <f t="shared" si="50"/>
        <v>47.628812536035277</v>
      </c>
      <c r="E199" s="383">
        <f t="shared" si="75"/>
        <v>48.391115597010071</v>
      </c>
      <c r="F199" s="383">
        <f t="shared" si="51"/>
        <v>48.39492191250617</v>
      </c>
      <c r="G199" s="110">
        <f t="shared" si="76"/>
        <v>0.77630674225397944</v>
      </c>
      <c r="H199" s="412" t="b">
        <f>Wh_hp&gt;='2021'!Maxi_hp</f>
        <v>0</v>
      </c>
      <c r="I199" s="379">
        <f>IF(H199,Wh_hp,'2021'!Maxi_hp)</f>
        <v>58.082093863284776</v>
      </c>
      <c r="J199" s="85">
        <f>IF(H199,An,'2021'!An_max)</f>
        <v>2018</v>
      </c>
      <c r="K199" s="197">
        <f t="shared" si="52"/>
        <v>44746</v>
      </c>
      <c r="L199" s="147">
        <f>IF(t&lt;Tvie,1-EXP((T0-t)*PertePVj)+'2021'!Pspv,1-EXP((T0-t)*PertePVj)+Pspv)</f>
        <v>2.3952151550537981E-2</v>
      </c>
      <c r="M199" s="832"/>
      <c r="N199" s="832"/>
      <c r="O199" s="48">
        <f>IF(t&lt;Tnet,'2021'!Resal+('2021'!Salim-'2021'!Resal)*(1-EXP(('2021'!Tnet-t)/('2021'!Tau_j))),Resal+(Salim-Resal)*(1-EXP((Tnet-t)/(Tau_j))))*Salcycl</f>
        <v>1.5752954887898758E-2</v>
      </c>
      <c r="P199" s="169">
        <f>(INDEX(Models!$BJ199:$BT199,,T199)*(1-R199)+INDEX(Models!$BJ199:$BT199,,T199+1)*R199-ERP_i)*Q199*Ramure*Pc/MaxiM</f>
        <v>1.1558198729738525E-4</v>
      </c>
      <c r="Q199" s="304">
        <f t="shared" si="53"/>
        <v>0.6</v>
      </c>
      <c r="R199" s="177">
        <f t="shared" si="54"/>
        <v>0.36322218262845923</v>
      </c>
      <c r="S199" s="799">
        <f t="shared" si="55"/>
        <v>0</v>
      </c>
      <c r="T199" s="176">
        <f t="shared" si="56"/>
        <v>6</v>
      </c>
      <c r="U199" s="250">
        <f t="shared" si="57"/>
        <v>0.36322218262845923</v>
      </c>
      <c r="V199" s="382">
        <f t="shared" si="58"/>
        <v>59.881333618829579</v>
      </c>
      <c r="W199" s="400">
        <f t="shared" si="59"/>
        <v>0</v>
      </c>
      <c r="X199" s="157">
        <f t="shared" si="60"/>
        <v>44746</v>
      </c>
      <c r="Y199" s="383">
        <f t="shared" si="61"/>
        <v>43.00388307747766</v>
      </c>
      <c r="Z199" s="383">
        <f t="shared" si="62"/>
        <v>44.059195607872212</v>
      </c>
      <c r="AA199" s="384">
        <f t="shared" si="63"/>
        <v>48.391115597010071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8.9518911388881364E-2</v>
      </c>
      <c r="AD199" s="230">
        <f>(INDEX(Models!$BJ199:$BT199,,AH199)*(1-AF199)+INDEX(Models!$BJ199:$BT199,,AH199+1)*AF199-ERP_i)*AE199*Ramure*Pc/MaxiM</f>
        <v>1.1558198729738525E-4</v>
      </c>
      <c r="AE199" s="304">
        <f t="shared" si="65"/>
        <v>0.6</v>
      </c>
      <c r="AF199" s="177">
        <f t="shared" si="66"/>
        <v>0.36322218262845923</v>
      </c>
      <c r="AG199" s="799">
        <f t="shared" si="74"/>
        <v>0</v>
      </c>
      <c r="AH199" s="176">
        <f t="shared" si="67"/>
        <v>6</v>
      </c>
      <c r="AI199" s="224">
        <f t="shared" si="68"/>
        <v>0.36322218262845923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3">
        <v>58.274999999999999</v>
      </c>
      <c r="C200" s="388"/>
      <c r="D200" s="391">
        <f t="shared" si="50"/>
        <v>59.706209015327708</v>
      </c>
      <c r="E200" s="383">
        <f t="shared" si="75"/>
        <v>60.667014476212721</v>
      </c>
      <c r="F200" s="383">
        <f t="shared" si="51"/>
        <v>60.673923632715685</v>
      </c>
      <c r="G200" s="110">
        <f t="shared" si="76"/>
        <v>0.97445621555279749</v>
      </c>
      <c r="H200" s="412" t="b">
        <f>Wh_hp&gt;='2021'!Maxi_hp</f>
        <v>0</v>
      </c>
      <c r="I200" s="379">
        <f>IF(H200,Wh_hp,'2021'!Maxi_hp)</f>
        <v>61.390169549077257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2.3970857284881242E-2</v>
      </c>
      <c r="M200" s="832"/>
      <c r="N200" s="832"/>
      <c r="O200" s="48">
        <f>IF(t&lt;Tnet,'2021'!Resal+('2021'!Salim-'2021'!Resal)*(1-EXP(('2021'!Tnet-t)/('2021'!Tau_j))),Resal+(Salim-Resal)*(1-EXP((Tnet-t)/(Tau_j))))*Salcycl</f>
        <v>1.5837361854385317E-2</v>
      </c>
      <c r="P200" s="169">
        <f>(INDEX(Models!$BJ200:$BT200,,T200)*(1-R200)+INDEX(Models!$BJ200:$BT200,,T200+1)*R200-ERP_i)*Q200*Ramure*Pc/MaxiM</f>
        <v>1.1818558856761846E-4</v>
      </c>
      <c r="Q200" s="304">
        <f t="shared" si="53"/>
        <v>0.6</v>
      </c>
      <c r="R200" s="177">
        <f t="shared" si="54"/>
        <v>0.36725624098843307</v>
      </c>
      <c r="S200" s="799">
        <f t="shared" si="55"/>
        <v>0</v>
      </c>
      <c r="T200" s="176">
        <f t="shared" si="56"/>
        <v>6</v>
      </c>
      <c r="U200" s="250">
        <f t="shared" si="57"/>
        <v>0.36725624098843307</v>
      </c>
      <c r="V200" s="382">
        <f t="shared" si="58"/>
        <v>59.802326424329145</v>
      </c>
      <c r="W200" s="400">
        <f t="shared" si="59"/>
        <v>0</v>
      </c>
      <c r="X200" s="157">
        <f t="shared" si="60"/>
        <v>44747</v>
      </c>
      <c r="Y200" s="383">
        <f t="shared" si="61"/>
        <v>53.91023874764042</v>
      </c>
      <c r="Z200" s="383">
        <f t="shared" si="62"/>
        <v>55.23425109794659</v>
      </c>
      <c r="AA200" s="384">
        <f t="shared" si="63"/>
        <v>60.667014476212721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8.955053129235982E-2</v>
      </c>
      <c r="AD200" s="230">
        <f>(INDEX(Models!$BJ200:$BT200,,AH200)*(1-AF200)+INDEX(Models!$BJ200:$BT200,,AH200+1)*AF200-ERP_i)*AE200*Ramure*Pc/MaxiM</f>
        <v>1.1818558856761846E-4</v>
      </c>
      <c r="AE200" s="304">
        <f t="shared" si="65"/>
        <v>0.6</v>
      </c>
      <c r="AF200" s="177">
        <f t="shared" si="66"/>
        <v>0.36725624098843307</v>
      </c>
      <c r="AG200" s="799">
        <f t="shared" si="74"/>
        <v>0</v>
      </c>
      <c r="AH200" s="176">
        <f t="shared" si="67"/>
        <v>6</v>
      </c>
      <c r="AI200" s="224">
        <f t="shared" si="68"/>
        <v>0.36725624098843307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3">
        <v>49.533999999999999</v>
      </c>
      <c r="C201" s="388"/>
      <c r="D201" s="391">
        <f t="shared" si="50"/>
        <v>50.751506443964082</v>
      </c>
      <c r="E201" s="383">
        <f t="shared" si="75"/>
        <v>51.57262033163007</v>
      </c>
      <c r="F201" s="383">
        <f t="shared" si="51"/>
        <v>51.577336284188995</v>
      </c>
      <c r="G201" s="110">
        <f t="shared" si="76"/>
        <v>0.82938698304134462</v>
      </c>
      <c r="H201" s="412" t="b">
        <f>Wh_hp&gt;='2021'!Maxi_hp</f>
        <v>0</v>
      </c>
      <c r="I201" s="379">
        <f>IF(H201,Wh_hp,'2021'!Maxi_hp)</f>
        <v>60.936475957669771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2.3989562660733266E-2</v>
      </c>
      <c r="M201" s="832"/>
      <c r="N201" s="832"/>
      <c r="O201" s="48">
        <f>IF(t&lt;Tnet,'2021'!Resal+('2021'!Salim-'2021'!Resal)*(1-EXP(('2021'!Tnet-t)/('2021'!Tau_j))),Resal+(Salim-Resal)*(1-EXP((Tnet-t)/(Tau_j))))*Salcycl</f>
        <v>1.5921508009209859E-2</v>
      </c>
      <c r="P201" s="169">
        <f>(INDEX(Models!$BJ201:$BT201,,T201)*(1-R201)+INDEX(Models!$BJ201:$BT201,,T201+1)*R201-ERP_i)*Q201*Ramure*Pc/MaxiM</f>
        <v>1.208969241514765E-4</v>
      </c>
      <c r="Q201" s="304">
        <f t="shared" si="53"/>
        <v>0.6</v>
      </c>
      <c r="R201" s="177">
        <f t="shared" si="54"/>
        <v>0.37121267844955919</v>
      </c>
      <c r="S201" s="799">
        <f t="shared" si="55"/>
        <v>0</v>
      </c>
      <c r="T201" s="176">
        <f t="shared" si="56"/>
        <v>6</v>
      </c>
      <c r="U201" s="250">
        <f t="shared" si="57"/>
        <v>0.37121267844955919</v>
      </c>
      <c r="V201" s="382">
        <f t="shared" si="58"/>
        <v>59.721868671749156</v>
      </c>
      <c r="W201" s="400">
        <f t="shared" si="59"/>
        <v>0</v>
      </c>
      <c r="X201" s="157">
        <f t="shared" si="60"/>
        <v>44748</v>
      </c>
      <c r="Y201" s="383">
        <f t="shared" si="61"/>
        <v>45.826323197594249</v>
      </c>
      <c r="Z201" s="383">
        <f t="shared" si="62"/>
        <v>46.952697885611606</v>
      </c>
      <c r="AA201" s="384">
        <f t="shared" si="63"/>
        <v>51.57262033163007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8.9580913599323422E-2</v>
      </c>
      <c r="AD201" s="230">
        <f>(INDEX(Models!$BJ201:$BT201,,AH201)*(1-AF201)+INDEX(Models!$BJ201:$BT201,,AH201+1)*AF201-ERP_i)*AE201*Ramure*Pc/MaxiM</f>
        <v>1.208969241514765E-4</v>
      </c>
      <c r="AE201" s="304">
        <f t="shared" si="65"/>
        <v>0.6</v>
      </c>
      <c r="AF201" s="177">
        <f t="shared" si="66"/>
        <v>0.37121267844955919</v>
      </c>
      <c r="AG201" s="799">
        <f t="shared" si="74"/>
        <v>0</v>
      </c>
      <c r="AH201" s="176">
        <f t="shared" si="67"/>
        <v>6</v>
      </c>
      <c r="AI201" s="224">
        <f t="shared" si="68"/>
        <v>0.37121267844955919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3">
        <v>57.695999999999998</v>
      </c>
      <c r="C202" s="388"/>
      <c r="D202" s="391">
        <f t="shared" si="50"/>
        <v>59.11525486260048</v>
      </c>
      <c r="E202" s="383">
        <f t="shared" si="75"/>
        <v>60.076808037727716</v>
      </c>
      <c r="F202" s="383">
        <f t="shared" si="51"/>
        <v>60.083895316609272</v>
      </c>
      <c r="G202" s="110">
        <f t="shared" si="76"/>
        <v>0.96739949364625599</v>
      </c>
      <c r="H202" s="412" t="b">
        <f>Wh_hp&gt;='2021'!Maxi_hp</f>
        <v>1</v>
      </c>
      <c r="I202" s="379">
        <f>IF(H202,Wh_hp,'2021'!Maxi_hp)</f>
        <v>60.083895316609272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2.4008267678101158E-2</v>
      </c>
      <c r="M202" s="832"/>
      <c r="N202" s="832"/>
      <c r="O202" s="48">
        <f>IF(t&lt;Tnet,'2021'!Resal+('2021'!Salim-'2021'!Resal)*(1-EXP(('2021'!Tnet-t)/('2021'!Tau_j))),Resal+(Salim-Resal)*(1-EXP((Tnet-t)/(Tau_j))))*Salcycl</f>
        <v>1.6005397199588045E-2</v>
      </c>
      <c r="P202" s="169">
        <f>(INDEX(Models!$BJ202:$BT202,,T202)*(1-R202)+INDEX(Models!$BJ202:$BT202,,T202+1)*R202-ERP_i)*Q202*Ramure*Pc/MaxiM</f>
        <v>1.2371717137716278E-4</v>
      </c>
      <c r="Q202" s="304">
        <f t="shared" si="53"/>
        <v>0.6</v>
      </c>
      <c r="R202" s="177">
        <f t="shared" si="54"/>
        <v>0.37509047016459879</v>
      </c>
      <c r="S202" s="799">
        <f t="shared" si="55"/>
        <v>0</v>
      </c>
      <c r="T202" s="176">
        <f t="shared" si="56"/>
        <v>6</v>
      </c>
      <c r="U202" s="250">
        <f t="shared" si="57"/>
        <v>0.37509047016459879</v>
      </c>
      <c r="V202" s="382">
        <f t="shared" si="58"/>
        <v>59.63996049739265</v>
      </c>
      <c r="W202" s="400">
        <f t="shared" si="59"/>
        <v>0</v>
      </c>
      <c r="X202" s="157">
        <f t="shared" si="60"/>
        <v>44749</v>
      </c>
      <c r="Y202" s="383">
        <f t="shared" si="61"/>
        <v>53.380227537636237</v>
      </c>
      <c r="Z202" s="383">
        <f t="shared" si="62"/>
        <v>54.69331938974922</v>
      </c>
      <c r="AA202" s="384">
        <f t="shared" si="63"/>
        <v>60.076808037727716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8.9610097870008482E-2</v>
      </c>
      <c r="AD202" s="230">
        <f>(INDEX(Models!$BJ202:$BT202,,AH202)*(1-AF202)+INDEX(Models!$BJ202:$BT202,,AH202+1)*AF202-ERP_i)*AE202*Ramure*Pc/MaxiM</f>
        <v>1.2371717137716278E-4</v>
      </c>
      <c r="AE202" s="304">
        <f t="shared" si="65"/>
        <v>0.6</v>
      </c>
      <c r="AF202" s="177">
        <f t="shared" si="66"/>
        <v>0.37509047016459879</v>
      </c>
      <c r="AG202" s="799">
        <f t="shared" si="74"/>
        <v>0</v>
      </c>
      <c r="AH202" s="176">
        <f t="shared" si="67"/>
        <v>6</v>
      </c>
      <c r="AI202" s="224">
        <f t="shared" si="68"/>
        <v>0.37509047016459879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3">
        <v>60.181000000000004</v>
      </c>
      <c r="C203" s="388"/>
      <c r="D203" s="391">
        <f t="shared" si="50"/>
        <v>61.662564737167891</v>
      </c>
      <c r="E203" s="383">
        <f t="shared" si="75"/>
        <v>62.670878616584766</v>
      </c>
      <c r="F203" s="383">
        <f t="shared" si="51"/>
        <v>62.678816732167263</v>
      </c>
      <c r="G203" s="110">
        <f t="shared" si="76"/>
        <v>1.0104841103494975</v>
      </c>
      <c r="H203" s="412" t="b">
        <f>Wh_hp&gt;='2021'!Maxi_hp</f>
        <v>0</v>
      </c>
      <c r="I203" s="379">
        <f>IF(H203,Wh_hp,'2021'!Maxi_hp)</f>
        <v>63.179240618782657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2.4026972336991581E-2</v>
      </c>
      <c r="M203" s="832"/>
      <c r="N203" s="832"/>
      <c r="O203" s="48">
        <f>IF(t&lt;Tnet,'2021'!Resal+('2021'!Salim-'2021'!Resal)*(1-EXP(('2021'!Tnet-t)/('2021'!Tau_j))),Resal+(Salim-Resal)*(1-EXP((Tnet-t)/(Tau_j))))*Salcycl</f>
        <v>1.6089033721477901E-2</v>
      </c>
      <c r="P203" s="169">
        <f>(INDEX(Models!$BJ203:$BT203,,T203)*(1-R203)+INDEX(Models!$BJ203:$BT203,,T203+1)*R203-ERP_i)*Q203*Ramure*Pc/MaxiM</f>
        <v>1.2664750224007079E-4</v>
      </c>
      <c r="Q203" s="304">
        <f t="shared" si="53"/>
        <v>0.6</v>
      </c>
      <c r="R203" s="177">
        <f t="shared" si="54"/>
        <v>0.3788887617302012</v>
      </c>
      <c r="S203" s="799">
        <f t="shared" si="55"/>
        <v>0</v>
      </c>
      <c r="T203" s="176">
        <f t="shared" si="56"/>
        <v>6</v>
      </c>
      <c r="U203" s="250">
        <f t="shared" si="57"/>
        <v>0.3788887617302012</v>
      </c>
      <c r="V203" s="382">
        <f t="shared" si="58"/>
        <v>59.556602012460274</v>
      </c>
      <c r="W203" s="400">
        <f t="shared" si="59"/>
        <v>0</v>
      </c>
      <c r="X203" s="157">
        <f t="shared" si="60"/>
        <v>44750</v>
      </c>
      <c r="Y203" s="383">
        <f t="shared" si="61"/>
        <v>55.682363400920195</v>
      </c>
      <c r="Z203" s="383">
        <f t="shared" si="62"/>
        <v>57.053178543522861</v>
      </c>
      <c r="AA203" s="384">
        <f t="shared" si="63"/>
        <v>62.670878616584766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8.9638125347348746E-2</v>
      </c>
      <c r="AD203" s="230">
        <f>(INDEX(Models!$BJ203:$BT203,,AH203)*(1-AF203)+INDEX(Models!$BJ203:$BT203,,AH203+1)*AF203-ERP_i)*AE203*Ramure*Pc/MaxiM</f>
        <v>1.2664750224007079E-4</v>
      </c>
      <c r="AE203" s="304">
        <f t="shared" si="65"/>
        <v>0.6</v>
      </c>
      <c r="AF203" s="177">
        <f t="shared" si="66"/>
        <v>0.3788887617302012</v>
      </c>
      <c r="AG203" s="799">
        <f t="shared" si="74"/>
        <v>0</v>
      </c>
      <c r="AH203" s="176">
        <f t="shared" si="67"/>
        <v>6</v>
      </c>
      <c r="AI203" s="224">
        <f t="shared" si="68"/>
        <v>0.3788887617302012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3">
        <v>59.477000000000004</v>
      </c>
      <c r="C204" s="388"/>
      <c r="D204" s="391">
        <f t="shared" si="50"/>
        <v>60.942401274555337</v>
      </c>
      <c r="E204" s="383">
        <f t="shared" si="75"/>
        <v>61.944188854334122</v>
      </c>
      <c r="F204" s="383">
        <f t="shared" si="51"/>
        <v>61.952223381648238</v>
      </c>
      <c r="G204" s="110">
        <f t="shared" si="76"/>
        <v>1.0000875490197065</v>
      </c>
      <c r="H204" s="412" t="b">
        <f>Wh_hp&gt;='2021'!Maxi_hp</f>
        <v>1</v>
      </c>
      <c r="I204" s="379">
        <f>IF(H204,Wh_hp,'2021'!Maxi_hp)</f>
        <v>61.952223381648238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2.4045676637411528E-2</v>
      </c>
      <c r="M204" s="832"/>
      <c r="N204" s="832"/>
      <c r="O204" s="48">
        <f>IF(t&lt;Tnet,'2021'!Resal+('2021'!Salim-'2021'!Resal)*(1-EXP(('2021'!Tnet-t)/('2021'!Tau_j))),Resal+(Salim-Resal)*(1-EXP((Tnet-t)/(Tau_j))))*Salcycl</f>
        <v>1.6172422277327032E-2</v>
      </c>
      <c r="P204" s="169">
        <f>(INDEX(Models!$BJ204:$BT204,,T204)*(1-R204)+INDEX(Models!$BJ204:$BT204,,T204+1)*R204-ERP_i)*Q204*Ramure*Pc/MaxiM</f>
        <v>1.2968908742187348E-4</v>
      </c>
      <c r="Q204" s="304">
        <f t="shared" si="53"/>
        <v>0.6</v>
      </c>
      <c r="R204" s="177">
        <f t="shared" si="54"/>
        <v>0.38260686485565326</v>
      </c>
      <c r="S204" s="799">
        <f t="shared" si="55"/>
        <v>0</v>
      </c>
      <c r="T204" s="176">
        <f t="shared" si="56"/>
        <v>6</v>
      </c>
      <c r="U204" s="250">
        <f t="shared" si="57"/>
        <v>0.38260686485565326</v>
      </c>
      <c r="V204" s="382">
        <f t="shared" si="58"/>
        <v>59.471793302796137</v>
      </c>
      <c r="W204" s="400">
        <f t="shared" si="59"/>
        <v>0</v>
      </c>
      <c r="X204" s="157">
        <f t="shared" si="60"/>
        <v>44751</v>
      </c>
      <c r="Y204" s="383">
        <f t="shared" si="61"/>
        <v>55.034026002304216</v>
      </c>
      <c r="Z204" s="383">
        <f t="shared" si="62"/>
        <v>56.389960764442321</v>
      </c>
      <c r="AA204" s="384">
        <f t="shared" si="63"/>
        <v>61.944188854334122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8.966503868430567E-2</v>
      </c>
      <c r="AD204" s="230">
        <f>(INDEX(Models!$BJ204:$BT204,,AH204)*(1-AF204)+INDEX(Models!$BJ204:$BT204,,AH204+1)*AF204-ERP_i)*AE204*Ramure*Pc/MaxiM</f>
        <v>1.2968908742187348E-4</v>
      </c>
      <c r="AE204" s="304">
        <f t="shared" si="65"/>
        <v>0.6</v>
      </c>
      <c r="AF204" s="177">
        <f t="shared" si="66"/>
        <v>0.38260686485565326</v>
      </c>
      <c r="AG204" s="799">
        <f t="shared" si="74"/>
        <v>0</v>
      </c>
      <c r="AH204" s="176">
        <f t="shared" si="67"/>
        <v>6</v>
      </c>
      <c r="AI204" s="224">
        <f t="shared" si="68"/>
        <v>0.38260686485565326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3">
        <v>58.911000000000001</v>
      </c>
      <c r="C205" s="388"/>
      <c r="D205" s="391">
        <f t="shared" si="50"/>
        <v>60.363612955302045</v>
      </c>
      <c r="E205" s="383">
        <f t="shared" si="75"/>
        <v>61.361072030071639</v>
      </c>
      <c r="F205" s="383">
        <f t="shared" si="51"/>
        <v>61.369131281717756</v>
      </c>
      <c r="G205" s="110">
        <f t="shared" si="76"/>
        <v>0.99200012460211706</v>
      </c>
      <c r="H205" s="412" t="b">
        <f>Wh_hp&gt;='2021'!Maxi_hp</f>
        <v>1</v>
      </c>
      <c r="I205" s="379">
        <f>IF(H205,Wh_hp,'2021'!Maxi_hp)</f>
        <v>61.369131281717756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2.4064380579367772E-2</v>
      </c>
      <c r="M205" s="832"/>
      <c r="N205" s="832"/>
      <c r="O205" s="48">
        <f>IF(t&lt;Tnet,'2021'!Resal+('2021'!Salim-'2021'!Resal)*(1-EXP(('2021'!Tnet-t)/('2021'!Tau_j))),Resal+(Salim-Resal)*(1-EXP((Tnet-t)/(Tau_j))))*Salcycl</f>
        <v>1.6255567932072099E-2</v>
      </c>
      <c r="P205" s="169">
        <f>(INDEX(Models!$BJ205:$BT205,,T205)*(1-R205)+INDEX(Models!$BJ205:$BT205,,T205+1)*R205-ERP_i)*Q205*Ramure*Pc/MaxiM</f>
        <v>1.3284207883959475E-4</v>
      </c>
      <c r="Q205" s="304">
        <f t="shared" si="53"/>
        <v>0.6</v>
      </c>
      <c r="R205" s="177">
        <f t="shared" si="54"/>
        <v>0.38624425250348199</v>
      </c>
      <c r="S205" s="799">
        <f t="shared" si="55"/>
        <v>0</v>
      </c>
      <c r="T205" s="176">
        <f t="shared" si="56"/>
        <v>6</v>
      </c>
      <c r="U205" s="250">
        <f t="shared" si="57"/>
        <v>0.38624425250348199</v>
      </c>
      <c r="V205" s="382">
        <f t="shared" si="58"/>
        <v>59.3859910972457</v>
      </c>
      <c r="W205" s="400">
        <f t="shared" si="59"/>
        <v>0</v>
      </c>
      <c r="X205" s="157">
        <f t="shared" si="60"/>
        <v>44752</v>
      </c>
      <c r="Y205" s="383">
        <f t="shared" si="61"/>
        <v>54.513366197389985</v>
      </c>
      <c r="Z205" s="383">
        <f t="shared" si="62"/>
        <v>55.857543379502886</v>
      </c>
      <c r="AA205" s="384">
        <f t="shared" si="63"/>
        <v>61.361072030071639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8.9690881669596698E-2</v>
      </c>
      <c r="AD205" s="230">
        <f>(INDEX(Models!$BJ205:$BT205,,AH205)*(1-AF205)+INDEX(Models!$BJ205:$BT205,,AH205+1)*AF205-ERP_i)*AE205*Ramure*Pc/MaxiM</f>
        <v>1.3284207883959475E-4</v>
      </c>
      <c r="AE205" s="304">
        <f t="shared" si="65"/>
        <v>0.6</v>
      </c>
      <c r="AF205" s="177">
        <f t="shared" si="66"/>
        <v>0.38624425250348199</v>
      </c>
      <c r="AG205" s="799">
        <f t="shared" si="74"/>
        <v>0</v>
      </c>
      <c r="AH205" s="176">
        <f t="shared" si="67"/>
        <v>6</v>
      </c>
      <c r="AI205" s="224">
        <f t="shared" si="68"/>
        <v>0.38624425250348199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3">
        <v>57.363</v>
      </c>
      <c r="C206" s="388"/>
      <c r="D206" s="391">
        <f t="shared" si="50"/>
        <v>58.778569229732568</v>
      </c>
      <c r="E206" s="383">
        <f t="shared" si="75"/>
        <v>59.754872788722651</v>
      </c>
      <c r="F206" s="383">
        <f t="shared" si="51"/>
        <v>59.762632226759955</v>
      </c>
      <c r="G206" s="110">
        <f t="shared" si="76"/>
        <v>0.96733748658030239</v>
      </c>
      <c r="H206" s="412" t="b">
        <f>Wh_hp&gt;='2021'!Maxi_hp</f>
        <v>0</v>
      </c>
      <c r="I206" s="379">
        <f>IF(H206,Wh_hp,'2021'!Maxi_hp)</f>
        <v>60.983970970198122</v>
      </c>
      <c r="J206" s="85">
        <f>IF(H206,An,'2021'!An_max)</f>
        <v>2018</v>
      </c>
      <c r="K206" s="197">
        <f t="shared" si="52"/>
        <v>44753</v>
      </c>
      <c r="L206" s="147">
        <f>IF(t&lt;Tvie,1-EXP((T0-t)*PertePVj)+'2021'!Pspv,1-EXP((T0-t)*PertePVj)+Pspv)</f>
        <v>2.4083084162867308E-2</v>
      </c>
      <c r="M206" s="832"/>
      <c r="N206" s="832"/>
      <c r="O206" s="48">
        <f>IF(t&lt;Tnet,'2021'!Resal+('2021'!Salim-'2021'!Resal)*(1-EXP(('2021'!Tnet-t)/('2021'!Tau_j))),Resal+(Salim-Resal)*(1-EXP((Tnet-t)/(Tau_j))))*Salcycl</f>
        <v>1.6338476067751569E-2</v>
      </c>
      <c r="P206" s="169">
        <f>(INDEX(Models!$BJ206:$BT206,,T206)*(1-R206)+INDEX(Models!$BJ206:$BT206,,T206+1)*R206-ERP_i)*Q206*Ramure*Pc/MaxiM</f>
        <v>1.3619120743664758E-4</v>
      </c>
      <c r="Q206" s="304">
        <f t="shared" si="53"/>
        <v>0.6</v>
      </c>
      <c r="R206" s="177">
        <f t="shared" si="54"/>
        <v>0.38980055356184629</v>
      </c>
      <c r="S206" s="799">
        <f t="shared" si="55"/>
        <v>0</v>
      </c>
      <c r="T206" s="176">
        <f t="shared" si="56"/>
        <v>6</v>
      </c>
      <c r="U206" s="250">
        <f t="shared" si="57"/>
        <v>0.38980055356184629</v>
      </c>
      <c r="V206" s="382">
        <f t="shared" si="58"/>
        <v>59.29950641603196</v>
      </c>
      <c r="W206" s="400">
        <f t="shared" si="59"/>
        <v>0</v>
      </c>
      <c r="X206" s="157">
        <f t="shared" si="60"/>
        <v>44753</v>
      </c>
      <c r="Y206" s="383">
        <f t="shared" si="61"/>
        <v>53.083949194406394</v>
      </c>
      <c r="Z206" s="383">
        <f t="shared" si="62"/>
        <v>54.393922610585619</v>
      </c>
      <c r="AA206" s="384">
        <f t="shared" si="63"/>
        <v>59.754872788722651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8.9715698953823003E-2</v>
      </c>
      <c r="AD206" s="230">
        <f>(INDEX(Models!$BJ206:$BT206,,AH206)*(1-AF206)+INDEX(Models!$BJ206:$BT206,,AH206+1)*AF206-ERP_i)*AE206*Ramure*Pc/MaxiM</f>
        <v>1.3619120743664758E-4</v>
      </c>
      <c r="AE206" s="304">
        <f t="shared" si="65"/>
        <v>0.6</v>
      </c>
      <c r="AF206" s="177">
        <f t="shared" si="66"/>
        <v>0.38980055356184629</v>
      </c>
      <c r="AG206" s="799">
        <f t="shared" si="74"/>
        <v>0</v>
      </c>
      <c r="AH206" s="176">
        <f t="shared" si="67"/>
        <v>6</v>
      </c>
      <c r="AI206" s="224">
        <f t="shared" si="68"/>
        <v>0.38980055356184629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3">
        <v>57.114000000000004</v>
      </c>
      <c r="C207" s="388"/>
      <c r="D207" s="391">
        <f t="shared" ref="D207:D270" si="77">Wh/(1-Ppv)</f>
        <v>58.524546168733139</v>
      </c>
      <c r="E207" s="383">
        <f t="shared" si="75"/>
        <v>59.501631524299718</v>
      </c>
      <c r="F207" s="383">
        <f t="shared" ref="F207:F270" si="78">Wh_sa/(1-Pvg*MEDIAN((-Sdif+Wh/Env_an)/Csdif,0,1))</f>
        <v>59.509521166103632</v>
      </c>
      <c r="G207" s="110">
        <f t="shared" si="76"/>
        <v>0.96455899475529039</v>
      </c>
      <c r="H207" s="412" t="b">
        <f>Wh_hp&gt;='2021'!Maxi_hp</f>
        <v>0</v>
      </c>
      <c r="I207" s="379">
        <f>IF(H207,Wh_hp,'2021'!Maxi_hp)</f>
        <v>61.397076269848142</v>
      </c>
      <c r="J207" s="85">
        <f>IF(H207,An,'2021'!An_max)</f>
        <v>2018</v>
      </c>
      <c r="K207" s="197">
        <f t="shared" ref="K207:K270" si="79">t</f>
        <v>44754</v>
      </c>
      <c r="L207" s="147">
        <f>IF(t&lt;Tvie,1-EXP((T0-t)*PertePVj)+'2021'!Pspv,1-EXP((T0-t)*PertePVj)+Pspv)</f>
        <v>2.4101787387916906E-2</v>
      </c>
      <c r="M207" s="832"/>
      <c r="N207" s="832"/>
      <c r="O207" s="48">
        <f>IF(t&lt;Tnet,'2021'!Resal+('2021'!Salim-'2021'!Resal)*(1-EXP(('2021'!Tnet-t)/('2021'!Tau_j))),Resal+(Salim-Resal)*(1-EXP((Tnet-t)/(Tau_j))))*Salcycl</f>
        <v>1.6421152337101098E-2</v>
      </c>
      <c r="P207" s="169">
        <f>(INDEX(Models!$BJ207:$BT207,,T207)*(1-R207)+INDEX(Models!$BJ207:$BT207,,T207+1)*R207-ERP_i)*Q207*Ramure*Pc/MaxiM</f>
        <v>1.3964676309463866E-4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0.39327554710856449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0.39327554710856449</v>
      </c>
      <c r="V207" s="382">
        <f t="shared" ref="V207:V270" si="85">MaxiM*(1-Ppv)*(1-Pvg)*(1-Psa)</f>
        <v>59.212133752990638</v>
      </c>
      <c r="W207" s="400">
        <f t="shared" ref="W207:W270" si="86">Wh*(A207&gt;Tmaj)</f>
        <v>0</v>
      </c>
      <c r="X207" s="157">
        <f t="shared" ref="X207:X270" si="87">t</f>
        <v>44754</v>
      </c>
      <c r="Y207" s="383">
        <f t="shared" ref="Y207:Y270" si="88">Wh_pvt_s*(1-Ppv)</f>
        <v>52.856582140931899</v>
      </c>
      <c r="Z207" s="383">
        <f t="shared" ref="Z207:Z270" si="89">Wh_sa_s*(1-Psa_s)</f>
        <v>54.161982733277377</v>
      </c>
      <c r="AA207" s="384">
        <f t="shared" ref="AA207:AA270" si="90">Wh_hp*(1-Pvg_s*MEDIAN((-Sdif+Wh/Env_an)/Csdif,0,1))</f>
        <v>59.501631524299718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8.9739535777967672E-2</v>
      </c>
      <c r="AD207" s="230">
        <f>(INDEX(Models!$BJ207:$BT207,,AH207)*(1-AF207)+INDEX(Models!$BJ207:$BT207,,AH207+1)*AF207-ERP_i)*AE207*Ramure*Pc/MaxiM</f>
        <v>1.3964676309463866E-4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0.39327554710856449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0.39327554710856449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3">
        <v>56.823</v>
      </c>
      <c r="C208" s="388"/>
      <c r="D208" s="391">
        <f t="shared" si="77"/>
        <v>58.227475249296155</v>
      </c>
      <c r="E208" s="383">
        <f t="shared" si="75"/>
        <v>59.2045638440621</v>
      </c>
      <c r="F208" s="383">
        <f t="shared" si="78"/>
        <v>59.212572300737307</v>
      </c>
      <c r="G208" s="110">
        <f t="shared" si="76"/>
        <v>0.96107963217001191</v>
      </c>
      <c r="H208" s="412" t="b">
        <f>Wh_hp&gt;='2021'!Maxi_hp</f>
        <v>1</v>
      </c>
      <c r="I208" s="379">
        <f>IF(H208,Wh_hp,'2021'!Maxi_hp)</f>
        <v>59.212572300737307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2.4120490254523452E-2</v>
      </c>
      <c r="M208" s="832"/>
      <c r="N208" s="832"/>
      <c r="O208" s="48">
        <f>IF(t&lt;Tnet,'2021'!Resal+('2021'!Salim-'2021'!Resal)*(1-EXP(('2021'!Tnet-t)/('2021'!Tau_j))),Resal+(Salim-Resal)*(1-EXP((Tnet-t)/(Tau_j))))*Salcycl</f>
        <v>1.6503602616505748E-2</v>
      </c>
      <c r="P208" s="169">
        <f>(INDEX(Models!$BJ208:$BT208,,T208)*(1-R208)+INDEX(Models!$BJ208:$BT208,,T208+1)*R208-ERP_i)*Q208*Ramure*Pc/MaxiM</f>
        <v>1.4321026176312052E-4</v>
      </c>
      <c r="Q208" s="304">
        <f t="shared" si="80"/>
        <v>0.6</v>
      </c>
      <c r="R208" s="177">
        <f t="shared" si="81"/>
        <v>0.39666915632590993</v>
      </c>
      <c r="S208" s="799">
        <f t="shared" si="82"/>
        <v>0</v>
      </c>
      <c r="T208" s="176">
        <f t="shared" si="83"/>
        <v>6</v>
      </c>
      <c r="U208" s="250">
        <f t="shared" si="84"/>
        <v>0.39666915632590993</v>
      </c>
      <c r="V208" s="382">
        <f t="shared" si="85"/>
        <v>59.123662253243594</v>
      </c>
      <c r="W208" s="400">
        <f t="shared" si="86"/>
        <v>0</v>
      </c>
      <c r="X208" s="157">
        <f t="shared" si="87"/>
        <v>44755</v>
      </c>
      <c r="Y208" s="383">
        <f t="shared" si="88"/>
        <v>52.590359395137838</v>
      </c>
      <c r="Z208" s="383">
        <f t="shared" si="89"/>
        <v>53.890217870087426</v>
      </c>
      <c r="AA208" s="384">
        <f t="shared" si="90"/>
        <v>59.2045638440621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8.9762437706188275E-2</v>
      </c>
      <c r="AD208" s="230">
        <f>(INDEX(Models!$BJ208:$BT208,,AH208)*(1-AF208)+INDEX(Models!$BJ208:$BT208,,AH208+1)*AF208-ERP_i)*AE208*Ramure*Pc/MaxiM</f>
        <v>1.4321026176312052E-4</v>
      </c>
      <c r="AE208" s="304">
        <f t="shared" si="92"/>
        <v>0.6</v>
      </c>
      <c r="AF208" s="177">
        <f t="shared" si="93"/>
        <v>0.39666915632590993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0.39666915632590993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3">
        <v>56.228000000000002</v>
      </c>
      <c r="C209" s="388"/>
      <c r="D209" s="391">
        <f t="shared" si="77"/>
        <v>57.618873084147424</v>
      </c>
      <c r="E209" s="383">
        <f t="shared" si="75"/>
        <v>58.590647781187336</v>
      </c>
      <c r="F209" s="383">
        <f t="shared" si="78"/>
        <v>58.598670519957373</v>
      </c>
      <c r="G209" s="110">
        <f t="shared" si="76"/>
        <v>0.95246048633829972</v>
      </c>
      <c r="H209" s="412" t="b">
        <f>Wh_hp&gt;='2021'!Maxi_hp</f>
        <v>0</v>
      </c>
      <c r="I209" s="379">
        <f>IF(H209,Wh_hp,'2021'!Maxi_hp)</f>
        <v>61.162094530225126</v>
      </c>
      <c r="J209" s="85">
        <f>IF(H209,An,'2021'!An_max)</f>
        <v>2018</v>
      </c>
      <c r="K209" s="197">
        <f t="shared" si="79"/>
        <v>44756</v>
      </c>
      <c r="L209" s="147">
        <f>IF(t&lt;Tvie,1-EXP((T0-t)*PertePVj)+'2021'!Pspv,1-EXP((T0-t)*PertePVj)+Pspv)</f>
        <v>2.4139192762693829E-2</v>
      </c>
      <c r="M209" s="832"/>
      <c r="N209" s="832"/>
      <c r="O209" s="48">
        <f>IF(t&lt;Tnet,'2021'!Resal+('2021'!Salim-'2021'!Resal)*(1-EXP(('2021'!Tnet-t)/('2021'!Tau_j))),Resal+(Salim-Resal)*(1-EXP((Tnet-t)/(Tau_j))))*Salcycl</f>
        <v>1.6585832958684835E-2</v>
      </c>
      <c r="P209" s="169">
        <f>(INDEX(Models!$BJ209:$BT209,,T209)*(1-R209)+INDEX(Models!$BJ209:$BT209,,T209+1)*R209-ERP_i)*Q209*Ramure*Pc/MaxiM</f>
        <v>1.4688328913980533E-4</v>
      </c>
      <c r="Q209" s="304">
        <f t="shared" si="80"/>
        <v>0.6</v>
      </c>
      <c r="R209" s="177">
        <f t="shared" si="81"/>
        <v>0.39998144212404285</v>
      </c>
      <c r="S209" s="799">
        <f t="shared" si="82"/>
        <v>0</v>
      </c>
      <c r="T209" s="176">
        <f t="shared" si="83"/>
        <v>6</v>
      </c>
      <c r="U209" s="250">
        <f t="shared" si="84"/>
        <v>0.39998144212404285</v>
      </c>
      <c r="V209" s="382">
        <f t="shared" si="85"/>
        <v>59.033881139022689</v>
      </c>
      <c r="W209" s="400">
        <f t="shared" si="86"/>
        <v>0</v>
      </c>
      <c r="X209" s="157">
        <f t="shared" si="87"/>
        <v>44756</v>
      </c>
      <c r="Y209" s="383">
        <f t="shared" si="88"/>
        <v>52.042772658917784</v>
      </c>
      <c r="Z209" s="383">
        <f t="shared" si="89"/>
        <v>53.330118673638069</v>
      </c>
      <c r="AA209" s="384">
        <f t="shared" si="90"/>
        <v>58.590647781187336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8.9784450364762028E-2</v>
      </c>
      <c r="AD209" s="230">
        <f>(INDEX(Models!$BJ209:$BT209,,AH209)*(1-AF209)+INDEX(Models!$BJ209:$BT209,,AH209+1)*AF209-ERP_i)*AE209*Ramure*Pc/MaxiM</f>
        <v>1.4688328913980533E-4</v>
      </c>
      <c r="AE209" s="304">
        <f t="shared" si="92"/>
        <v>0.6</v>
      </c>
      <c r="AF209" s="177">
        <f t="shared" si="93"/>
        <v>0.39998144212404285</v>
      </c>
      <c r="AG209" s="799">
        <f t="shared" si="99"/>
        <v>0</v>
      </c>
      <c r="AH209" s="176">
        <f t="shared" si="94"/>
        <v>6</v>
      </c>
      <c r="AI209" s="224">
        <f t="shared" si="95"/>
        <v>0.39998144212404285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3">
        <v>54.372</v>
      </c>
      <c r="C210" s="388"/>
      <c r="D210" s="391">
        <f t="shared" si="77"/>
        <v>55.718030321228092</v>
      </c>
      <c r="E210" s="383">
        <f t="shared" si="75"/>
        <v>56.662471877354982</v>
      </c>
      <c r="F210" s="383">
        <f t="shared" si="78"/>
        <v>56.670064375265056</v>
      </c>
      <c r="G210" s="110">
        <f t="shared" si="76"/>
        <v>0.92244168240194779</v>
      </c>
      <c r="H210" s="412" t="b">
        <f>Wh_hp&gt;='2021'!Maxi_hp</f>
        <v>0</v>
      </c>
      <c r="I210" s="379">
        <f>IF(H210,Wh_hp,'2021'!Maxi_hp)</f>
        <v>62.506291921724774</v>
      </c>
      <c r="J210" s="85">
        <f>IF(H210,An,'2021'!An_max)</f>
        <v>2018</v>
      </c>
      <c r="K210" s="197">
        <f t="shared" si="79"/>
        <v>44757</v>
      </c>
      <c r="L210" s="147">
        <f>IF(t&lt;Tvie,1-EXP((T0-t)*PertePVj)+'2021'!Pspv,1-EXP((T0-t)*PertePVj)+Pspv)</f>
        <v>2.4157894912434918E-2</v>
      </c>
      <c r="M210" s="832"/>
      <c r="N210" s="832"/>
      <c r="O210" s="48">
        <f>IF(t&lt;Tnet,'2021'!Resal+('2021'!Salim-'2021'!Resal)*(1-EXP(('2021'!Tnet-t)/('2021'!Tau_j))),Resal+(Salim-Resal)*(1-EXP((Tnet-t)/(Tau_j))))*Salcycl</f>
        <v>1.666784954548246E-2</v>
      </c>
      <c r="P210" s="169">
        <f>(INDEX(Models!$BJ210:$BT210,,T210)*(1-R210)+INDEX(Models!$BJ210:$BT210,,T210+1)*R210-ERP_i)*Q210*Ramure*Pc/MaxiM</f>
        <v>1.5066750744315927E-4</v>
      </c>
      <c r="Q210" s="304">
        <f t="shared" si="80"/>
        <v>0.6</v>
      </c>
      <c r="R210" s="177">
        <f t="shared" si="81"/>
        <v>0.40321259652919522</v>
      </c>
      <c r="S210" s="799">
        <f t="shared" si="82"/>
        <v>0</v>
      </c>
      <c r="T210" s="176">
        <f t="shared" si="83"/>
        <v>6</v>
      </c>
      <c r="U210" s="250">
        <f t="shared" si="84"/>
        <v>0.40321259652919522</v>
      </c>
      <c r="V210" s="382">
        <f t="shared" si="85"/>
        <v>58.942579711634743</v>
      </c>
      <c r="W210" s="400">
        <f t="shared" si="86"/>
        <v>0</v>
      </c>
      <c r="X210" s="157">
        <f t="shared" si="87"/>
        <v>44757</v>
      </c>
      <c r="Y210" s="383">
        <f t="shared" si="88"/>
        <v>50.327947530834749</v>
      </c>
      <c r="Z210" s="383">
        <f t="shared" si="89"/>
        <v>51.573863505632069</v>
      </c>
      <c r="AA210" s="384">
        <f t="shared" si="90"/>
        <v>56.662471877354982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8.9805619188960253E-2</v>
      </c>
      <c r="AD210" s="230">
        <f>(INDEX(Models!$BJ210:$BT210,,AH210)*(1-AF210)+INDEX(Models!$BJ210:$BT210,,AH210+1)*AF210-ERP_i)*AE210*Ramure*Pc/MaxiM</f>
        <v>1.5066750744315927E-4</v>
      </c>
      <c r="AE210" s="304">
        <f t="shared" si="92"/>
        <v>0.6</v>
      </c>
      <c r="AF210" s="177">
        <f t="shared" si="93"/>
        <v>0.40321259652919522</v>
      </c>
      <c r="AG210" s="799">
        <f t="shared" si="99"/>
        <v>0</v>
      </c>
      <c r="AH210" s="176">
        <f t="shared" si="94"/>
        <v>6</v>
      </c>
      <c r="AI210" s="224">
        <f t="shared" si="95"/>
        <v>0.40321259652919522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3">
        <v>55.953000000000003</v>
      </c>
      <c r="C211" s="388"/>
      <c r="D211" s="391">
        <f t="shared" si="77"/>
        <v>57.339268366587277</v>
      </c>
      <c r="E211" s="383">
        <f t="shared" si="75"/>
        <v>58.316042166172465</v>
      </c>
      <c r="F211" s="383">
        <f t="shared" si="78"/>
        <v>58.324423191033375</v>
      </c>
      <c r="G211" s="110">
        <f t="shared" si="76"/>
        <v>0.95077013046337921</v>
      </c>
      <c r="H211" s="412" t="b">
        <f>Wh_hp&gt;='2021'!Maxi_hp</f>
        <v>0</v>
      </c>
      <c r="I211" s="379">
        <f>IF(H211,Wh_hp,'2021'!Maxi_hp)</f>
        <v>60.8270261955942</v>
      </c>
      <c r="J211" s="85">
        <f>IF(H211,An,'2021'!An_max)</f>
        <v>2018</v>
      </c>
      <c r="K211" s="197">
        <f t="shared" si="79"/>
        <v>44758</v>
      </c>
      <c r="L211" s="147">
        <f>IF(t&lt;Tvie,1-EXP((T0-t)*PertePVj)+'2021'!Pspv,1-EXP((T0-t)*PertePVj)+Pspv)</f>
        <v>2.4176596703753495E-2</v>
      </c>
      <c r="M211" s="832"/>
      <c r="N211" s="832"/>
      <c r="O211" s="48">
        <f>IF(t&lt;Tnet,'2021'!Resal+('2021'!Salim-'2021'!Resal)*(1-EXP(('2021'!Tnet-t)/('2021'!Tau_j))),Resal+(Salim-Resal)*(1-EXP((Tnet-t)/(Tau_j))))*Salcycl</f>
        <v>1.6749658641130965E-2</v>
      </c>
      <c r="P211" s="169">
        <f>(INDEX(Models!$BJ211:$BT211,,T211)*(1-R211)+INDEX(Models!$BJ211:$BT211,,T211+1)*R211-ERP_i)*Q211*Ramure*Pc/MaxiM</f>
        <v>1.5456466201462998E-4</v>
      </c>
      <c r="Q211" s="304">
        <f t="shared" si="80"/>
        <v>0.6</v>
      </c>
      <c r="R211" s="177">
        <f t="shared" si="81"/>
        <v>0.40636293589053663</v>
      </c>
      <c r="S211" s="799">
        <f t="shared" si="82"/>
        <v>0</v>
      </c>
      <c r="T211" s="176">
        <f t="shared" si="83"/>
        <v>6</v>
      </c>
      <c r="U211" s="250">
        <f t="shared" si="84"/>
        <v>0.40636293589053663</v>
      </c>
      <c r="V211" s="382">
        <f t="shared" si="85"/>
        <v>58.849547353858647</v>
      </c>
      <c r="W211" s="400">
        <f t="shared" si="86"/>
        <v>0</v>
      </c>
      <c r="X211" s="157">
        <f t="shared" si="87"/>
        <v>44758</v>
      </c>
      <c r="Y211" s="383">
        <f t="shared" si="88"/>
        <v>51.794506734730163</v>
      </c>
      <c r="Z211" s="383">
        <f t="shared" si="89"/>
        <v>53.077745993560747</v>
      </c>
      <c r="AA211" s="384">
        <f t="shared" si="90"/>
        <v>58.316042166172465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8.9825989179531662E-2</v>
      </c>
      <c r="AD211" s="230">
        <f>(INDEX(Models!$BJ211:$BT211,,AH211)*(1-AF211)+INDEX(Models!$BJ211:$BT211,,AH211+1)*AF211-ERP_i)*AE211*Ramure*Pc/MaxiM</f>
        <v>1.5456466201462998E-4</v>
      </c>
      <c r="AE211" s="304">
        <f t="shared" si="92"/>
        <v>0.6</v>
      </c>
      <c r="AF211" s="177">
        <f t="shared" si="93"/>
        <v>0.40636293589053663</v>
      </c>
      <c r="AG211" s="799">
        <f t="shared" si="99"/>
        <v>0</v>
      </c>
      <c r="AH211" s="176">
        <f t="shared" si="94"/>
        <v>6</v>
      </c>
      <c r="AI211" s="224">
        <f t="shared" si="95"/>
        <v>0.40636293589053663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3">
        <v>55.46</v>
      </c>
      <c r="C212" s="388"/>
      <c r="D212" s="391">
        <f t="shared" si="77"/>
        <v>56.835143235215625</v>
      </c>
      <c r="E212" s="383">
        <f t="shared" si="75"/>
        <v>57.808127233223018</v>
      </c>
      <c r="F212" s="383">
        <f t="shared" si="78"/>
        <v>57.816559556675998</v>
      </c>
      <c r="G212" s="110">
        <f t="shared" si="76"/>
        <v>0.94391449945678652</v>
      </c>
      <c r="H212" s="412" t="b">
        <f>Wh_hp&gt;='2021'!Maxi_hp</f>
        <v>0</v>
      </c>
      <c r="I212" s="379">
        <f>IF(H212,Wh_hp,'2021'!Maxi_hp)</f>
        <v>61.26677577265081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2.4195298136656662E-2</v>
      </c>
      <c r="M212" s="832"/>
      <c r="N212" s="832"/>
      <c r="O212" s="48">
        <f>IF(t&lt;Tnet,'2021'!Resal+('2021'!Salim-'2021'!Resal)*(1-EXP(('2021'!Tnet-t)/('2021'!Tau_j))),Resal+(Salim-Resal)*(1-EXP((Tnet-t)/(Tau_j))))*Salcycl</f>
        <v>1.68312665463448E-2</v>
      </c>
      <c r="P212" s="169">
        <f>(INDEX(Models!$BJ212:$BT212,,T212)*(1-R212)+INDEX(Models!$BJ212:$BT212,,T212+1)*R212-ERP_i)*Q212*Ramure*Pc/MaxiM</f>
        <v>1.5854653720751097E-4</v>
      </c>
      <c r="Q212" s="304">
        <f t="shared" si="80"/>
        <v>0.6</v>
      </c>
      <c r="R212" s="177">
        <f t="shared" si="81"/>
        <v>0.40943289395711296</v>
      </c>
      <c r="S212" s="799">
        <f t="shared" si="82"/>
        <v>0</v>
      </c>
      <c r="T212" s="176">
        <f t="shared" si="83"/>
        <v>6</v>
      </c>
      <c r="U212" s="250">
        <f t="shared" si="84"/>
        <v>0.40943289395711296</v>
      </c>
      <c r="V212" s="382">
        <f t="shared" si="85"/>
        <v>58.754575299457223</v>
      </c>
      <c r="W212" s="400">
        <f t="shared" si="86"/>
        <v>0</v>
      </c>
      <c r="X212" s="157">
        <f t="shared" si="87"/>
        <v>44759</v>
      </c>
      <c r="Y212" s="383">
        <f t="shared" si="88"/>
        <v>51.341301902132955</v>
      </c>
      <c r="Z212" s="383">
        <f t="shared" si="89"/>
        <v>52.614321087092947</v>
      </c>
      <c r="AA212" s="384">
        <f t="shared" si="90"/>
        <v>57.808127233223018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8.9845604670360749E-2</v>
      </c>
      <c r="AD212" s="230">
        <f>(INDEX(Models!$BJ212:$BT212,,AH212)*(1-AF212)+INDEX(Models!$BJ212:$BT212,,AH212+1)*AF212-ERP_i)*AE212*Ramure*Pc/MaxiM</f>
        <v>1.5854653720751097E-4</v>
      </c>
      <c r="AE212" s="304">
        <f t="shared" si="92"/>
        <v>0.6</v>
      </c>
      <c r="AF212" s="177">
        <f t="shared" si="93"/>
        <v>0.40943289395711296</v>
      </c>
      <c r="AG212" s="799">
        <f t="shared" si="99"/>
        <v>0</v>
      </c>
      <c r="AH212" s="176">
        <f t="shared" si="94"/>
        <v>6</v>
      </c>
      <c r="AI212" s="224">
        <f t="shared" si="95"/>
        <v>0.40943289395711296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3">
        <v>56.459000000000003</v>
      </c>
      <c r="C213" s="388"/>
      <c r="D213" s="391">
        <f t="shared" si="77"/>
        <v>57.860022540144236</v>
      </c>
      <c r="E213" s="383">
        <f t="shared" si="75"/>
        <v>58.855425491471635</v>
      </c>
      <c r="F213" s="383">
        <f t="shared" si="78"/>
        <v>58.86448423611867</v>
      </c>
      <c r="G213" s="110">
        <f t="shared" si="76"/>
        <v>0.96251208373392871</v>
      </c>
      <c r="H213" s="412" t="b">
        <f>Wh_hp&gt;='2021'!Maxi_hp</f>
        <v>1</v>
      </c>
      <c r="I213" s="379">
        <f>IF(H213,Wh_hp,'2021'!Maxi_hp)</f>
        <v>58.86448423611867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2.4213999211150972E-2</v>
      </c>
      <c r="M213" s="832"/>
      <c r="N213" s="832"/>
      <c r="O213" s="48">
        <f>IF(t&lt;Tnet,'2021'!Resal+('2021'!Salim-'2021'!Resal)*(1-EXP(('2021'!Tnet-t)/('2021'!Tau_j))),Resal+(Salim-Resal)*(1-EXP((Tnet-t)/(Tau_j))))*Salcycl</f>
        <v>1.6912679553589084E-2</v>
      </c>
      <c r="P213" s="169">
        <f>(INDEX(Models!$BJ213:$BT213,,T213)*(1-R213)+INDEX(Models!$BJ213:$BT213,,T213+1)*R213-ERP_i)*Q213*Ramure*Pc/MaxiM</f>
        <v>1.6259733264713651E-4</v>
      </c>
      <c r="Q213" s="304">
        <f t="shared" si="80"/>
        <v>0.6</v>
      </c>
      <c r="R213" s="177">
        <f t="shared" si="81"/>
        <v>0.41242301487340338</v>
      </c>
      <c r="S213" s="799">
        <f t="shared" si="82"/>
        <v>0</v>
      </c>
      <c r="T213" s="176">
        <f t="shared" si="83"/>
        <v>6</v>
      </c>
      <c r="U213" s="250">
        <f t="shared" si="84"/>
        <v>0.41242301487340338</v>
      </c>
      <c r="V213" s="382">
        <f t="shared" si="85"/>
        <v>58.657454131437774</v>
      </c>
      <c r="W213" s="400">
        <f t="shared" si="86"/>
        <v>0</v>
      </c>
      <c r="X213" s="157">
        <f t="shared" si="87"/>
        <v>44760</v>
      </c>
      <c r="Y213" s="383">
        <f t="shared" si="88"/>
        <v>52.269354523762878</v>
      </c>
      <c r="Z213" s="383">
        <f t="shared" si="89"/>
        <v>53.566411571294388</v>
      </c>
      <c r="AA213" s="384">
        <f t="shared" si="90"/>
        <v>58.855425491471635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8.9864509108742108E-2</v>
      </c>
      <c r="AD213" s="230">
        <f>(INDEX(Models!$BJ213:$BT213,,AH213)*(1-AF213)+INDEX(Models!$BJ213:$BT213,,AH213+1)*AF213-ERP_i)*AE213*Ramure*Pc/MaxiM</f>
        <v>1.6259733264713651E-4</v>
      </c>
      <c r="AE213" s="304">
        <f t="shared" si="92"/>
        <v>0.6</v>
      </c>
      <c r="AF213" s="177">
        <f t="shared" si="93"/>
        <v>0.41242301487340338</v>
      </c>
      <c r="AG213" s="799">
        <f t="shared" si="99"/>
        <v>0</v>
      </c>
      <c r="AH213" s="176">
        <f t="shared" si="94"/>
        <v>6</v>
      </c>
      <c r="AI213" s="224">
        <f t="shared" si="95"/>
        <v>0.41242301487340338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3">
        <v>46.655000000000001</v>
      </c>
      <c r="C214" s="388"/>
      <c r="D214" s="391">
        <f t="shared" si="77"/>
        <v>47.813653928063843</v>
      </c>
      <c r="E214" s="383">
        <f t="shared" si="75"/>
        <v>48.64024151828567</v>
      </c>
      <c r="F214" s="383">
        <f t="shared" si="78"/>
        <v>48.645996654942195</v>
      </c>
      <c r="G214" s="110">
        <f t="shared" si="76"/>
        <v>0.79669323018067173</v>
      </c>
      <c r="H214" s="412" t="b">
        <f>Wh_hp&gt;='2021'!Maxi_hp</f>
        <v>0</v>
      </c>
      <c r="I214" s="379">
        <f>IF(H214,Wh_hp,'2021'!Maxi_hp)</f>
        <v>60.996282625351171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2.4232699927243528E-2</v>
      </c>
      <c r="M214" s="832"/>
      <c r="N214" s="832"/>
      <c r="O214" s="48">
        <f>IF(t&lt;Tnet,'2021'!Resal+('2021'!Salim-'2021'!Resal)*(1-EXP(('2021'!Tnet-t)/('2021'!Tau_j))),Resal+(Salim-Resal)*(1-EXP((Tnet-t)/(Tau_j))))*Salcycl</f>
        <v>1.6993903903850621E-2</v>
      </c>
      <c r="P214" s="169">
        <f>(INDEX(Models!$BJ214:$BT214,,T214)*(1-R214)+INDEX(Models!$BJ214:$BT214,,T214+1)*R214-ERP_i)*Q214*Ramure*Pc/MaxiM</f>
        <v>1.6671881146288443E-4</v>
      </c>
      <c r="Q214" s="304">
        <f t="shared" si="80"/>
        <v>0.6</v>
      </c>
      <c r="R214" s="177">
        <f t="shared" si="81"/>
        <v>0.41533394613896712</v>
      </c>
      <c r="S214" s="799">
        <f t="shared" si="82"/>
        <v>0</v>
      </c>
      <c r="T214" s="176">
        <f t="shared" si="83"/>
        <v>6</v>
      </c>
      <c r="U214" s="250">
        <f t="shared" si="84"/>
        <v>0.41533394613896712</v>
      </c>
      <c r="V214" s="382">
        <f t="shared" si="85"/>
        <v>58.557973493603257</v>
      </c>
      <c r="W214" s="400">
        <f t="shared" si="86"/>
        <v>0</v>
      </c>
      <c r="X214" s="157">
        <f t="shared" si="87"/>
        <v>44761</v>
      </c>
      <c r="Y214" s="383">
        <f t="shared" si="88"/>
        <v>43.195582110499899</v>
      </c>
      <c r="Z214" s="383">
        <f t="shared" si="89"/>
        <v>44.268323100475996</v>
      </c>
      <c r="AA214" s="384">
        <f t="shared" si="90"/>
        <v>48.64024151828567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8.988274484957294E-2</v>
      </c>
      <c r="AD214" s="230">
        <f>(INDEX(Models!$BJ214:$BT214,,AH214)*(1-AF214)+INDEX(Models!$BJ214:$BT214,,AH214+1)*AF214-ERP_i)*AE214*Ramure*Pc/MaxiM</f>
        <v>1.6671881146288443E-4</v>
      </c>
      <c r="AE214" s="304">
        <f t="shared" si="92"/>
        <v>0.6</v>
      </c>
      <c r="AF214" s="177">
        <f t="shared" si="93"/>
        <v>0.41533394613896712</v>
      </c>
      <c r="AG214" s="799">
        <f t="shared" si="99"/>
        <v>0</v>
      </c>
      <c r="AH214" s="176">
        <f t="shared" si="94"/>
        <v>6</v>
      </c>
      <c r="AI214" s="224">
        <f t="shared" si="95"/>
        <v>0.41533394613896712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3">
        <v>46.198999999999998</v>
      </c>
      <c r="C215" s="388"/>
      <c r="D215" s="391">
        <f t="shared" si="77"/>
        <v>47.347236791824429</v>
      </c>
      <c r="E215" s="383">
        <f t="shared" si="75"/>
        <v>48.169732358405952</v>
      </c>
      <c r="F215" s="383">
        <f t="shared" si="78"/>
        <v>48.175499813798076</v>
      </c>
      <c r="G215" s="110">
        <f t="shared" si="76"/>
        <v>0.79028149899999733</v>
      </c>
      <c r="H215" s="412" t="b">
        <f>Wh_hp&gt;='2021'!Maxi_hp</f>
        <v>0</v>
      </c>
      <c r="I215" s="379">
        <f>IF(H215,Wh_hp,'2021'!Maxi_hp)</f>
        <v>59.776097909915435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2.4251400284941216E-2</v>
      </c>
      <c r="M215" s="832"/>
      <c r="N215" s="832"/>
      <c r="O215" s="48">
        <f>IF(t&lt;Tnet,'2021'!Resal+('2021'!Salim-'2021'!Resal)*(1-EXP(('2021'!Tnet-t)/('2021'!Tau_j))),Resal+(Salim-Resal)*(1-EXP((Tnet-t)/(Tau_j))))*Salcycl</f>
        <v>1.7074945745219425E-2</v>
      </c>
      <c r="P215" s="169">
        <f>(INDEX(Models!$BJ215:$BT215,,T215)*(1-R215)+INDEX(Models!$BJ215:$BT215,,T215+1)*R215-ERP_i)*Q215*Ramure*Pc/MaxiM</f>
        <v>1.7091284626698691E-4</v>
      </c>
      <c r="Q215" s="304">
        <f t="shared" si="80"/>
        <v>0.6</v>
      </c>
      <c r="R215" s="177">
        <f t="shared" si="81"/>
        <v>0.41816643157440225</v>
      </c>
      <c r="S215" s="799">
        <f t="shared" si="82"/>
        <v>0</v>
      </c>
      <c r="T215" s="176">
        <f t="shared" si="83"/>
        <v>6</v>
      </c>
      <c r="U215" s="250">
        <f t="shared" si="84"/>
        <v>0.41816643157440225</v>
      </c>
      <c r="V215" s="382">
        <f t="shared" si="85"/>
        <v>58.455923118858202</v>
      </c>
      <c r="W215" s="400">
        <f t="shared" si="86"/>
        <v>0</v>
      </c>
      <c r="X215" s="157">
        <f t="shared" si="87"/>
        <v>44762</v>
      </c>
      <c r="Y215" s="383">
        <f t="shared" si="88"/>
        <v>42.776093061607071</v>
      </c>
      <c r="Z215" s="383">
        <f t="shared" si="89"/>
        <v>43.839256417174141</v>
      </c>
      <c r="AA215" s="384">
        <f t="shared" si="90"/>
        <v>48.169732358405952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8.9900352964616653E-2</v>
      </c>
      <c r="AD215" s="230">
        <f>(INDEX(Models!$BJ215:$BT215,,AH215)*(1-AF215)+INDEX(Models!$BJ215:$BT215,,AH215+1)*AF215-ERP_i)*AE215*Ramure*Pc/MaxiM</f>
        <v>1.7091284626698691E-4</v>
      </c>
      <c r="AE215" s="304">
        <f t="shared" si="92"/>
        <v>0.6</v>
      </c>
      <c r="AF215" s="177">
        <f t="shared" si="93"/>
        <v>0.41816643157440225</v>
      </c>
      <c r="AG215" s="799">
        <f t="shared" si="99"/>
        <v>0</v>
      </c>
      <c r="AH215" s="176">
        <f t="shared" si="94"/>
        <v>6</v>
      </c>
      <c r="AI215" s="224">
        <f t="shared" si="95"/>
        <v>0.41816643157440225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3">
        <v>54.633000000000003</v>
      </c>
      <c r="C216" s="388"/>
      <c r="D216" s="391">
        <f t="shared" si="77"/>
        <v>55.991929750144735</v>
      </c>
      <c r="E216" s="383">
        <f t="shared" si="75"/>
        <v>56.969284025013579</v>
      </c>
      <c r="F216" s="383">
        <f t="shared" si="78"/>
        <v>56.978356977824554</v>
      </c>
      <c r="G216" s="110">
        <f t="shared" si="76"/>
        <v>0.93626573239301503</v>
      </c>
      <c r="H216" s="412" t="b">
        <f>Wh_hp&gt;='2021'!Maxi_hp</f>
        <v>1</v>
      </c>
      <c r="I216" s="379">
        <f>IF(H216,Wh_hp,'2021'!Maxi_hp)</f>
        <v>56.978356977824554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2.4270100284250695E-2</v>
      </c>
      <c r="M216" s="832"/>
      <c r="N216" s="832"/>
      <c r="O216" s="48">
        <f>IF(t&lt;Tnet,'2021'!Resal+('2021'!Salim-'2021'!Resal)*(1-EXP(('2021'!Tnet-t)/('2021'!Tau_j))),Resal+(Salim-Resal)*(1-EXP((Tnet-t)/(Tau_j))))*Salcycl</f>
        <v>1.7155811093566068E-2</v>
      </c>
      <c r="P216" s="169">
        <f>(INDEX(Models!$BJ216:$BT216,,T216)*(1-R216)+INDEX(Models!$BJ216:$BT216,,T216+1)*R216-ERP_i)*Q216*Ramure*Pc/MaxiM</f>
        <v>1.7518142065052434E-4</v>
      </c>
      <c r="Q216" s="304">
        <f t="shared" si="80"/>
        <v>0.6</v>
      </c>
      <c r="R216" s="177">
        <f t="shared" si="81"/>
        <v>0.42092130433246222</v>
      </c>
      <c r="S216" s="799">
        <f t="shared" si="82"/>
        <v>0</v>
      </c>
      <c r="T216" s="176">
        <f t="shared" si="83"/>
        <v>6</v>
      </c>
      <c r="U216" s="250">
        <f t="shared" si="84"/>
        <v>0.42092130433246222</v>
      </c>
      <c r="V216" s="382">
        <f t="shared" si="85"/>
        <v>58.35109283000849</v>
      </c>
      <c r="W216" s="400">
        <f t="shared" si="86"/>
        <v>0</v>
      </c>
      <c r="X216" s="157">
        <f t="shared" si="87"/>
        <v>44763</v>
      </c>
      <c r="Y216" s="383">
        <f t="shared" si="88"/>
        <v>50.588429700649648</v>
      </c>
      <c r="Z216" s="383">
        <f t="shared" si="89"/>
        <v>51.846755659929173</v>
      </c>
      <c r="AA216" s="384">
        <f t="shared" si="90"/>
        <v>56.969284025013579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8.991737306783168E-2</v>
      </c>
      <c r="AD216" s="230">
        <f>(INDEX(Models!$BJ216:$BT216,,AH216)*(1-AF216)+INDEX(Models!$BJ216:$BT216,,AH216+1)*AF216-ERP_i)*AE216*Ramure*Pc/MaxiM</f>
        <v>1.7518142065052434E-4</v>
      </c>
      <c r="AE216" s="304">
        <f t="shared" si="92"/>
        <v>0.6</v>
      </c>
      <c r="AF216" s="177">
        <f t="shared" si="93"/>
        <v>0.42092130433246222</v>
      </c>
      <c r="AG216" s="799">
        <f t="shared" si="99"/>
        <v>0</v>
      </c>
      <c r="AH216" s="176">
        <f t="shared" si="94"/>
        <v>6</v>
      </c>
      <c r="AI216" s="224">
        <f t="shared" si="95"/>
        <v>0.42092130433246222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3">
        <v>44.112000000000002</v>
      </c>
      <c r="C217" s="388"/>
      <c r="D217" s="391">
        <f t="shared" si="77"/>
        <v>45.210099050433506</v>
      </c>
      <c r="E217" s="383">
        <f t="shared" si="75"/>
        <v>46.003030553177339</v>
      </c>
      <c r="F217" s="383">
        <f t="shared" si="78"/>
        <v>46.008427407253599</v>
      </c>
      <c r="G217" s="110">
        <f t="shared" si="76"/>
        <v>0.75732789164044723</v>
      </c>
      <c r="H217" s="412" t="b">
        <f>Wh_hp&gt;='2021'!Maxi_hp</f>
        <v>0</v>
      </c>
      <c r="I217" s="379">
        <f>IF(H217,Wh_hp,'2021'!Maxi_hp)</f>
        <v>55.348148280408218</v>
      </c>
      <c r="J217" s="85">
        <f>IF(H217,An,'2021'!An_max)</f>
        <v>2020</v>
      </c>
      <c r="K217" s="197">
        <f t="shared" si="79"/>
        <v>44764</v>
      </c>
      <c r="L217" s="147">
        <f>IF(t&lt;Tvie,1-EXP((T0-t)*PertePVj)+'2021'!Pspv,1-EXP((T0-t)*PertePVj)+Pspv)</f>
        <v>2.4288799925178961E-2</v>
      </c>
      <c r="M217" s="832"/>
      <c r="N217" s="832"/>
      <c r="O217" s="48">
        <f>IF(t&lt;Tnet,'2021'!Resal+('2021'!Salim-'2021'!Resal)*(1-EXP(('2021'!Tnet-t)/('2021'!Tau_j))),Resal+(Salim-Resal)*(1-EXP((Tnet-t)/(Tau_j))))*Salcycl</f>
        <v>1.7236505795574602E-2</v>
      </c>
      <c r="P217" s="169">
        <f>(INDEX(Models!$BJ217:$BT217,,T217)*(1-R217)+INDEX(Models!$BJ217:$BT217,,T217+1)*R217-ERP_i)*Q217*Ramure*Pc/MaxiM</f>
        <v>1.7952663066537328E-4</v>
      </c>
      <c r="Q217" s="304">
        <f t="shared" si="80"/>
        <v>0.6</v>
      </c>
      <c r="R217" s="177">
        <f t="shared" si="81"/>
        <v>0.42359947998974135</v>
      </c>
      <c r="S217" s="799">
        <f t="shared" si="82"/>
        <v>0</v>
      </c>
      <c r="T217" s="176">
        <f t="shared" si="83"/>
        <v>6</v>
      </c>
      <c r="U217" s="250">
        <f t="shared" si="84"/>
        <v>0.42359947998974135</v>
      </c>
      <c r="V217" s="382">
        <f t="shared" si="85"/>
        <v>58.243272546250743</v>
      </c>
      <c r="W217" s="400">
        <f t="shared" si="86"/>
        <v>0</v>
      </c>
      <c r="X217" s="157">
        <f t="shared" si="87"/>
        <v>44764</v>
      </c>
      <c r="Y217" s="383">
        <f t="shared" si="88"/>
        <v>40.848931149127182</v>
      </c>
      <c r="Z217" s="383">
        <f t="shared" si="89"/>
        <v>41.865801218633891</v>
      </c>
      <c r="AA217" s="384">
        <f t="shared" si="90"/>
        <v>46.003030553177339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8.993384315759384E-2</v>
      </c>
      <c r="AD217" s="230">
        <f>(INDEX(Models!$BJ217:$BT217,,AH217)*(1-AF217)+INDEX(Models!$BJ217:$BT217,,AH217+1)*AF217-ERP_i)*AE217*Ramure*Pc/MaxiM</f>
        <v>1.7952663066537328E-4</v>
      </c>
      <c r="AE217" s="304">
        <f t="shared" si="92"/>
        <v>0.6</v>
      </c>
      <c r="AF217" s="177">
        <f t="shared" si="93"/>
        <v>0.42359947998974135</v>
      </c>
      <c r="AG217" s="799">
        <f t="shared" si="99"/>
        <v>0</v>
      </c>
      <c r="AH217" s="176">
        <f t="shared" si="94"/>
        <v>6</v>
      </c>
      <c r="AI217" s="224">
        <f t="shared" si="95"/>
        <v>0.42359947998974135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3">
        <v>50.689</v>
      </c>
      <c r="C218" s="388"/>
      <c r="D218" s="391">
        <f t="shared" si="77"/>
        <v>51.951818794179808</v>
      </c>
      <c r="E218" s="383">
        <f t="shared" si="75"/>
        <v>52.867324122501145</v>
      </c>
      <c r="F218" s="383">
        <f t="shared" si="78"/>
        <v>52.87527146001154</v>
      </c>
      <c r="G218" s="110">
        <f t="shared" si="76"/>
        <v>0.87193067894378795</v>
      </c>
      <c r="H218" s="412" t="b">
        <f>Wh_hp&gt;='2021'!Maxi_hp</f>
        <v>0</v>
      </c>
      <c r="I218" s="379">
        <f>IF(H218,Wh_hp,'2021'!Maxi_hp)</f>
        <v>56.109961045476417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2.4307499207732897E-2</v>
      </c>
      <c r="M218" s="832"/>
      <c r="N218" s="832"/>
      <c r="O218" s="48">
        <f>IF(t&lt;Tnet,'2021'!Resal+('2021'!Salim-'2021'!Resal)*(1-EXP(('2021'!Tnet-t)/('2021'!Tau_j))),Resal+(Salim-Resal)*(1-EXP((Tnet-t)/(Tau_j))))*Salcycl</f>
        <v>1.7317035494362819E-2</v>
      </c>
      <c r="P218" s="169">
        <f>(INDEX(Models!$BJ218:$BT218,,T218)*(1-R218)+INDEX(Models!$BJ218:$BT218,,T218+1)*R218-ERP_i)*Q218*Ramure*Pc/MaxiM</f>
        <v>1.8395068638710148E-4</v>
      </c>
      <c r="Q218" s="304">
        <f t="shared" si="80"/>
        <v>0.6</v>
      </c>
      <c r="R218" s="177">
        <f t="shared" si="81"/>
        <v>0.42620194975087344</v>
      </c>
      <c r="S218" s="799">
        <f t="shared" si="82"/>
        <v>0</v>
      </c>
      <c r="T218" s="176">
        <f t="shared" si="83"/>
        <v>6</v>
      </c>
      <c r="U218" s="250">
        <f t="shared" si="84"/>
        <v>0.42620194975087344</v>
      </c>
      <c r="V218" s="382">
        <f t="shared" si="85"/>
        <v>58.132252281756394</v>
      </c>
      <c r="W218" s="400">
        <f t="shared" si="86"/>
        <v>0</v>
      </c>
      <c r="X218" s="157">
        <f t="shared" si="87"/>
        <v>44765</v>
      </c>
      <c r="Y218" s="383">
        <f t="shared" si="88"/>
        <v>46.942438487822933</v>
      </c>
      <c r="Z218" s="383">
        <f t="shared" si="89"/>
        <v>48.111918918824777</v>
      </c>
      <c r="AA218" s="384">
        <f t="shared" si="90"/>
        <v>52.867324122501145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8.9949799476467057E-2</v>
      </c>
      <c r="AD218" s="230">
        <f>(INDEX(Models!$BJ218:$BT218,,AH218)*(1-AF218)+INDEX(Models!$BJ218:$BT218,,AH218+1)*AF218-ERP_i)*AE218*Ramure*Pc/MaxiM</f>
        <v>1.8395068638710148E-4</v>
      </c>
      <c r="AE218" s="304">
        <f t="shared" si="92"/>
        <v>0.6</v>
      </c>
      <c r="AF218" s="177">
        <f t="shared" si="93"/>
        <v>0.42620194975087344</v>
      </c>
      <c r="AG218" s="799">
        <f t="shared" si="99"/>
        <v>0</v>
      </c>
      <c r="AH218" s="176">
        <f t="shared" si="94"/>
        <v>6</v>
      </c>
      <c r="AI218" s="224">
        <f t="shared" si="95"/>
        <v>0.42620194975087344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3">
        <v>54.873000000000005</v>
      </c>
      <c r="C219" s="388"/>
      <c r="D219" s="391">
        <f t="shared" si="77"/>
        <v>56.24113294313841</v>
      </c>
      <c r="E219" s="383">
        <f t="shared" si="75"/>
        <v>57.236906622824343</v>
      </c>
      <c r="F219" s="383">
        <f t="shared" si="78"/>
        <v>57.246859486598268</v>
      </c>
      <c r="G219" s="110">
        <f t="shared" si="76"/>
        <v>0.94577320027541045</v>
      </c>
      <c r="H219" s="412" t="b">
        <f>Wh_hp&gt;='2021'!Maxi_hp</f>
        <v>1</v>
      </c>
      <c r="I219" s="379">
        <f>IF(H219,Wh_hp,'2021'!Maxi_hp)</f>
        <v>57.246859486598268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2.4326198131919385E-2</v>
      </c>
      <c r="M219" s="832"/>
      <c r="N219" s="832"/>
      <c r="O219" s="48">
        <f>IF(t&lt;Tnet,'2021'!Resal+('2021'!Salim-'2021'!Resal)*(1-EXP(('2021'!Tnet-t)/('2021'!Tau_j))),Resal+(Salim-Resal)*(1-EXP((Tnet-t)/(Tau_j))))*Salcycl</f>
        <v>1.7397405597891699E-2</v>
      </c>
      <c r="P219" s="169">
        <f>(INDEX(Models!$BJ219:$BT219,,T219)*(1-R219)+INDEX(Models!$BJ219:$BT219,,T219+1)*R219-ERP_i)*Q219*Ramure*Pc/MaxiM</f>
        <v>1.8845390046805474E-4</v>
      </c>
      <c r="Q219" s="304">
        <f t="shared" si="80"/>
        <v>0.6</v>
      </c>
      <c r="R219" s="177">
        <f t="shared" si="81"/>
        <v>0.42872977379375071</v>
      </c>
      <c r="S219" s="799">
        <f t="shared" si="82"/>
        <v>0</v>
      </c>
      <c r="T219" s="176">
        <f t="shared" si="83"/>
        <v>6</v>
      </c>
      <c r="U219" s="250">
        <f t="shared" si="84"/>
        <v>0.42872977379375071</v>
      </c>
      <c r="V219" s="382">
        <f t="shared" si="85"/>
        <v>58.018348332939276</v>
      </c>
      <c r="W219" s="400">
        <f t="shared" si="86"/>
        <v>0</v>
      </c>
      <c r="X219" s="157">
        <f t="shared" si="87"/>
        <v>44766</v>
      </c>
      <c r="Y219" s="383">
        <f t="shared" si="88"/>
        <v>50.820479890032708</v>
      </c>
      <c r="Z219" s="383">
        <f t="shared" si="89"/>
        <v>52.087572498850456</v>
      </c>
      <c r="AA219" s="384">
        <f t="shared" si="90"/>
        <v>57.236906622824343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8.9965276389001994E-2</v>
      </c>
      <c r="AD219" s="230">
        <f>(INDEX(Models!$BJ219:$BT219,,AH219)*(1-AF219)+INDEX(Models!$BJ219:$BT219,,AH219+1)*AF219-ERP_i)*AE219*Ramure*Pc/MaxiM</f>
        <v>1.8845390046805474E-4</v>
      </c>
      <c r="AE219" s="304">
        <f t="shared" si="92"/>
        <v>0.6</v>
      </c>
      <c r="AF219" s="177">
        <f t="shared" si="93"/>
        <v>0.42872977379375071</v>
      </c>
      <c r="AG219" s="799">
        <f t="shared" si="99"/>
        <v>0</v>
      </c>
      <c r="AH219" s="176">
        <f t="shared" si="94"/>
        <v>6</v>
      </c>
      <c r="AI219" s="224">
        <f t="shared" si="95"/>
        <v>0.42872977379375071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3">
        <v>27.963000000000001</v>
      </c>
      <c r="C220" s="388"/>
      <c r="D220" s="391">
        <f t="shared" si="77"/>
        <v>28.660742823314227</v>
      </c>
      <c r="E220" s="383">
        <f t="shared" si="75"/>
        <v>29.170575086327474</v>
      </c>
      <c r="F220" s="383">
        <f t="shared" si="78"/>
        <v>29.172046545250673</v>
      </c>
      <c r="G220" s="110">
        <f t="shared" si="76"/>
        <v>0.48286767487177235</v>
      </c>
      <c r="H220" s="412" t="b">
        <f>Wh_hp&gt;='2021'!Maxi_hp</f>
        <v>0</v>
      </c>
      <c r="I220" s="379">
        <f>IF(H220,Wh_hp,'2021'!Maxi_hp)</f>
        <v>59.315557328001788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2.43448966977452E-2</v>
      </c>
      <c r="M220" s="832"/>
      <c r="N220" s="832"/>
      <c r="O220" s="48">
        <f>IF(t&lt;Tnet,'2021'!Resal+('2021'!Salim-'2021'!Resal)*(1-EXP(('2021'!Tnet-t)/('2021'!Tau_j))),Resal+(Salim-Resal)*(1-EXP((Tnet-t)/(Tau_j))))*Salcycl</f>
        <v>1.7477621250333579E-2</v>
      </c>
      <c r="P220" s="169">
        <f>(INDEX(Models!$BJ220:$BT220,,T220)*(1-R220)+INDEX(Models!$BJ220:$BT220,,T220+1)*R220-ERP_i)*Q220*Ramure*Pc/MaxiM</f>
        <v>1.9300957216216141E-4</v>
      </c>
      <c r="Q220" s="304">
        <f t="shared" si="80"/>
        <v>0.6</v>
      </c>
      <c r="R220" s="177">
        <f t="shared" si="81"/>
        <v>0.43118407478088572</v>
      </c>
      <c r="S220" s="799">
        <f t="shared" si="82"/>
        <v>0</v>
      </c>
      <c r="T220" s="176">
        <f t="shared" si="83"/>
        <v>6</v>
      </c>
      <c r="U220" s="250">
        <f t="shared" si="84"/>
        <v>0.43118407478088572</v>
      </c>
      <c r="V220" s="382">
        <f t="shared" si="85"/>
        <v>57.902018712285788</v>
      </c>
      <c r="W220" s="400">
        <f t="shared" si="86"/>
        <v>0</v>
      </c>
      <c r="X220" s="157">
        <f t="shared" si="87"/>
        <v>44767</v>
      </c>
      <c r="Y220" s="383">
        <f t="shared" si="88"/>
        <v>25.899543100417933</v>
      </c>
      <c r="Z220" s="383">
        <f t="shared" si="89"/>
        <v>26.545797805758351</v>
      </c>
      <c r="AA220" s="384">
        <f t="shared" si="90"/>
        <v>29.170575086327474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8.9980306277862271E-2</v>
      </c>
      <c r="AD220" s="230">
        <f>(INDEX(Models!$BJ220:$BT220,,AH220)*(1-AF220)+INDEX(Models!$BJ220:$BT220,,AH220+1)*AF220-ERP_i)*AE220*Ramure*Pc/MaxiM</f>
        <v>1.9300957216216141E-4</v>
      </c>
      <c r="AE220" s="304">
        <f t="shared" si="92"/>
        <v>0.6</v>
      </c>
      <c r="AF220" s="177">
        <f t="shared" si="93"/>
        <v>0.43118407478088572</v>
      </c>
      <c r="AG220" s="799">
        <f t="shared" si="99"/>
        <v>0</v>
      </c>
      <c r="AH220" s="176">
        <f t="shared" si="94"/>
        <v>6</v>
      </c>
      <c r="AI220" s="224">
        <f t="shared" si="95"/>
        <v>0.43118407478088572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3">
        <v>59.298000000000002</v>
      </c>
      <c r="C221" s="388"/>
      <c r="D221" s="391">
        <f t="shared" si="77"/>
        <v>60.77878981385409</v>
      </c>
      <c r="E221" s="383">
        <f t="shared" si="75"/>
        <v>61.864996070072451</v>
      </c>
      <c r="F221" s="383">
        <f t="shared" si="78"/>
        <v>61.877218642952464</v>
      </c>
      <c r="G221" s="110">
        <f t="shared" si="76"/>
        <v>1.026214007121929</v>
      </c>
      <c r="H221" s="412" t="b">
        <f>Wh_hp&gt;='2021'!Maxi_hp</f>
        <v>1</v>
      </c>
      <c r="I221" s="379">
        <f>IF(H221,Wh_hp,'2021'!Maxi_hp)</f>
        <v>61.877218642952464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2.4363594905217334E-2</v>
      </c>
      <c r="M221" s="832"/>
      <c r="N221" s="832"/>
      <c r="O221" s="48">
        <f>IF(t&lt;Tnet,'2021'!Resal+('2021'!Salim-'2021'!Resal)*(1-EXP(('2021'!Tnet-t)/('2021'!Tau_j))),Resal+(Salim-Resal)*(1-EXP((Tnet-t)/(Tau_j))))*Salcycl</f>
        <v>1.7557687306535199E-2</v>
      </c>
      <c r="P221" s="169">
        <f>(INDEX(Models!$BJ221:$BT221,,T221)*(1-R221)+INDEX(Models!$BJ221:$BT221,,T221+1)*R221-ERP_i)*Q221*Ramure*Pc/MaxiM</f>
        <v>1.9752944860921469E-4</v>
      </c>
      <c r="Q221" s="304">
        <f t="shared" si="80"/>
        <v>0.6</v>
      </c>
      <c r="R221" s="177">
        <f t="shared" si="81"/>
        <v>0.43356603155874462</v>
      </c>
      <c r="S221" s="799">
        <f t="shared" si="82"/>
        <v>0</v>
      </c>
      <c r="T221" s="176">
        <f t="shared" si="83"/>
        <v>6</v>
      </c>
      <c r="U221" s="250">
        <f t="shared" si="84"/>
        <v>0.43356603155874462</v>
      </c>
      <c r="V221" s="382">
        <f t="shared" si="85"/>
        <v>57.783268975546683</v>
      </c>
      <c r="W221" s="400">
        <f t="shared" si="86"/>
        <v>0</v>
      </c>
      <c r="X221" s="157">
        <f t="shared" si="87"/>
        <v>44768</v>
      </c>
      <c r="Y221" s="383">
        <f t="shared" si="88"/>
        <v>54.925852203998652</v>
      </c>
      <c r="Z221" s="383">
        <f t="shared" si="89"/>
        <v>56.297460731452134</v>
      </c>
      <c r="AA221" s="384">
        <f t="shared" si="90"/>
        <v>61.864996070072451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8.9994919458398631E-2</v>
      </c>
      <c r="AD221" s="230">
        <f>(INDEX(Models!$BJ221:$BT221,,AH221)*(1-AF221)+INDEX(Models!$BJ221:$BT221,,AH221+1)*AF221-ERP_i)*AE221*Ramure*Pc/MaxiM</f>
        <v>1.9752944860921469E-4</v>
      </c>
      <c r="AE221" s="304">
        <f t="shared" si="92"/>
        <v>0.6</v>
      </c>
      <c r="AF221" s="177">
        <f t="shared" si="93"/>
        <v>0.43356603155874462</v>
      </c>
      <c r="AG221" s="799">
        <f t="shared" si="99"/>
        <v>0</v>
      </c>
      <c r="AH221" s="176">
        <f t="shared" si="94"/>
        <v>6</v>
      </c>
      <c r="AI221" s="224">
        <f t="shared" si="95"/>
        <v>0.43356603155874462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3">
        <v>59.338000000000001</v>
      </c>
      <c r="C222" s="388"/>
      <c r="D222" s="391">
        <f t="shared" si="77"/>
        <v>60.820954313674498</v>
      </c>
      <c r="E222" s="383">
        <f t="shared" si="75"/>
        <v>61.912950687191547</v>
      </c>
      <c r="F222" s="383">
        <f t="shared" si="78"/>
        <v>61.925460480563899</v>
      </c>
      <c r="G222" s="110">
        <f t="shared" si="76"/>
        <v>1.0290641592934002</v>
      </c>
      <c r="H222" s="412" t="b">
        <f>Wh_hp&gt;='2021'!Maxi_hp</f>
        <v>1</v>
      </c>
      <c r="I222" s="379">
        <f>IF(H222,Wh_hp,'2021'!Maxi_hp)</f>
        <v>61.925460480563899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2.4382292754342449E-2</v>
      </c>
      <c r="M222" s="832"/>
      <c r="N222" s="832"/>
      <c r="O222" s="48">
        <f>IF(t&lt;Tnet,'2021'!Resal+('2021'!Salim-'2021'!Resal)*(1-EXP(('2021'!Tnet-t)/('2021'!Tau_j))),Resal+(Salim-Resal)*(1-EXP((Tnet-t)/(Tau_j))))*Salcycl</f>
        <v>1.7637608309677335E-2</v>
      </c>
      <c r="P222" s="169">
        <f>(INDEX(Models!$BJ222:$BT222,,T222)*(1-R222)+INDEX(Models!$BJ222:$BT222,,T222+1)*R222-ERP_i)*Q222*Ramure*Pc/MaxiM</f>
        <v>2.0201373191686039E-4</v>
      </c>
      <c r="Q222" s="304">
        <f t="shared" si="80"/>
        <v>0.6</v>
      </c>
      <c r="R222" s="177">
        <f t="shared" si="81"/>
        <v>0.43587687306371048</v>
      </c>
      <c r="S222" s="799">
        <f t="shared" si="82"/>
        <v>0</v>
      </c>
      <c r="T222" s="176">
        <f t="shared" si="83"/>
        <v>6</v>
      </c>
      <c r="U222" s="250">
        <f t="shared" si="84"/>
        <v>0.43587687306371048</v>
      </c>
      <c r="V222" s="382">
        <f t="shared" si="85"/>
        <v>57.662099553388416</v>
      </c>
      <c r="W222" s="400">
        <f t="shared" si="86"/>
        <v>0</v>
      </c>
      <c r="X222" s="157">
        <f t="shared" si="87"/>
        <v>44769</v>
      </c>
      <c r="Y222" s="383">
        <f t="shared" si="88"/>
        <v>54.966515273242415</v>
      </c>
      <c r="Z222" s="383">
        <f t="shared" si="89"/>
        <v>56.3402189864129</v>
      </c>
      <c r="AA222" s="384">
        <f t="shared" si="90"/>
        <v>61.912950687191547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9.0009144111613482E-2</v>
      </c>
      <c r="AD222" s="230">
        <f>(INDEX(Models!$BJ222:$BT222,,AH222)*(1-AF222)+INDEX(Models!$BJ222:$BT222,,AH222+1)*AF222-ERP_i)*AE222*Ramure*Pc/MaxiM</f>
        <v>2.0201373191686039E-4</v>
      </c>
      <c r="AE222" s="304">
        <f t="shared" si="92"/>
        <v>0.6</v>
      </c>
      <c r="AF222" s="177">
        <f t="shared" si="93"/>
        <v>0.43587687306371048</v>
      </c>
      <c r="AG222" s="799">
        <f t="shared" si="99"/>
        <v>0</v>
      </c>
      <c r="AH222" s="176">
        <f t="shared" si="94"/>
        <v>6</v>
      </c>
      <c r="AI222" s="224">
        <f t="shared" si="95"/>
        <v>0.43587687306371048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3">
        <v>46.264000000000003</v>
      </c>
      <c r="C223" s="388"/>
      <c r="D223" s="391">
        <f t="shared" si="77"/>
        <v>47.421122343722175</v>
      </c>
      <c r="E223" s="383">
        <f t="shared" si="75"/>
        <v>48.276455051937916</v>
      </c>
      <c r="F223" s="383">
        <f t="shared" si="78"/>
        <v>48.283633315551434</v>
      </c>
      <c r="G223" s="110">
        <f t="shared" si="76"/>
        <v>0.80400630994282707</v>
      </c>
      <c r="H223" s="412" t="b">
        <f>Wh_hp&gt;='2021'!Maxi_hp</f>
        <v>0</v>
      </c>
      <c r="I223" s="379">
        <f>IF(H223,Wh_hp,'2021'!Maxi_hp)</f>
        <v>56.218409152668862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2.4400990245127652E-2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1.7717388472196904E-2</v>
      </c>
      <c r="P223" s="169">
        <f>(INDEX(Models!$BJ223:$BT223,,T223)*(1-R223)+INDEX(Models!$BJ223:$BT223,,T223+1)*R223-ERP_i)*Q223*Ramure*Pc/MaxiM</f>
        <v>2.0646264199020788E-4</v>
      </c>
      <c r="Q223" s="304">
        <f t="shared" si="80"/>
        <v>0.6</v>
      </c>
      <c r="R223" s="177">
        <f t="shared" si="81"/>
        <v>0.43811787245029199</v>
      </c>
      <c r="S223" s="799">
        <f t="shared" si="82"/>
        <v>0</v>
      </c>
      <c r="T223" s="176">
        <f t="shared" si="83"/>
        <v>6</v>
      </c>
      <c r="U223" s="250">
        <f t="shared" si="84"/>
        <v>0.43811787245029199</v>
      </c>
      <c r="V223" s="382">
        <f t="shared" si="85"/>
        <v>57.53851089236602</v>
      </c>
      <c r="W223" s="400">
        <f t="shared" si="86"/>
        <v>0</v>
      </c>
      <c r="X223" s="157">
        <f t="shared" si="87"/>
        <v>44770</v>
      </c>
      <c r="Y223" s="383">
        <f t="shared" si="88"/>
        <v>42.858516627970751</v>
      </c>
      <c r="Z223" s="383">
        <f t="shared" si="89"/>
        <v>43.930463437779956</v>
      </c>
      <c r="AA223" s="384">
        <f t="shared" si="90"/>
        <v>48.276455051937916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9.0023006235282768E-2</v>
      </c>
      <c r="AD223" s="230">
        <f>(INDEX(Models!$BJ223:$BT223,,AH223)*(1-AF223)+INDEX(Models!$BJ223:$BT223,,AH223+1)*AF223-ERP_i)*AE223*Ramure*Pc/MaxiM</f>
        <v>2.0646264199020788E-4</v>
      </c>
      <c r="AE223" s="304">
        <f t="shared" si="92"/>
        <v>0.6</v>
      </c>
      <c r="AF223" s="177">
        <f t="shared" si="93"/>
        <v>0.43811787245029199</v>
      </c>
      <c r="AG223" s="799">
        <f t="shared" si="99"/>
        <v>0</v>
      </c>
      <c r="AH223" s="176">
        <f t="shared" si="94"/>
        <v>6</v>
      </c>
      <c r="AI223" s="224">
        <f t="shared" si="95"/>
        <v>0.43811787245029199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3">
        <v>33.042999999999999</v>
      </c>
      <c r="C224" s="388"/>
      <c r="D224" s="391">
        <f t="shared" si="77"/>
        <v>33.870097184698579</v>
      </c>
      <c r="E224" s="383">
        <f t="shared" si="75"/>
        <v>34.483806582199371</v>
      </c>
      <c r="F224" s="383">
        <f t="shared" si="78"/>
        <v>34.486669181659352</v>
      </c>
      <c r="G224" s="110">
        <f t="shared" si="76"/>
        <v>0.57546305134537157</v>
      </c>
      <c r="H224" s="412" t="b">
        <f>Wh_hp&gt;='2021'!Maxi_hp</f>
        <v>0</v>
      </c>
      <c r="I224" s="379">
        <f>IF(H224,Wh_hp,'2021'!Maxi_hp)</f>
        <v>59.204840320642759</v>
      </c>
      <c r="J224" s="85">
        <f>IF(H224,An,'2021'!An_max)</f>
        <v>2018</v>
      </c>
      <c r="K224" s="197">
        <f t="shared" si="79"/>
        <v>44771</v>
      </c>
      <c r="L224" s="147">
        <f>IF(t&lt;Tvie,1-EXP((T0-t)*PertePVj)+'2021'!Pspv,1-EXP((T0-t)*PertePVj)+Pspv)</f>
        <v>2.4419687377579713E-2</v>
      </c>
      <c r="M224" s="832"/>
      <c r="N224" s="832"/>
      <c r="O224" s="48">
        <f>IF(t&lt;Tnet,'2021'!Resal+('2021'!Salim-'2021'!Resal)*(1-EXP(('2021'!Tnet-t)/('2021'!Tau_j))),Resal+(Salim-Resal)*(1-EXP((Tnet-t)/(Tau_j))))*Salcycl</f>
        <v>1.7797031660002148E-2</v>
      </c>
      <c r="P224" s="169">
        <f>(INDEX(Models!$BJ224:$BT224,,T224)*(1-R224)+INDEX(Models!$BJ224:$BT224,,T224+1)*R224-ERP_i)*Q224*Ramure*Pc/MaxiM</f>
        <v>2.1087640909699207E-4</v>
      </c>
      <c r="Q224" s="304">
        <f t="shared" si="80"/>
        <v>0.6</v>
      </c>
      <c r="R224" s="177">
        <f t="shared" si="81"/>
        <v>0.44029034145432538</v>
      </c>
      <c r="S224" s="799">
        <f t="shared" si="82"/>
        <v>0</v>
      </c>
      <c r="T224" s="176">
        <f t="shared" si="83"/>
        <v>6</v>
      </c>
      <c r="U224" s="250">
        <f t="shared" si="84"/>
        <v>0.44029034145432538</v>
      </c>
      <c r="V224" s="382">
        <f t="shared" si="85"/>
        <v>57.412503459819106</v>
      </c>
      <c r="W224" s="400">
        <f t="shared" si="86"/>
        <v>0</v>
      </c>
      <c r="X224" s="157">
        <f t="shared" si="87"/>
        <v>44771</v>
      </c>
      <c r="Y224" s="383">
        <f t="shared" si="88"/>
        <v>30.61273883423544</v>
      </c>
      <c r="Z224" s="383">
        <f t="shared" si="89"/>
        <v>31.37900430969799</v>
      </c>
      <c r="AA224" s="384">
        <f t="shared" si="90"/>
        <v>34.483806582199371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9.0036529612832511E-2</v>
      </c>
      <c r="AD224" s="230">
        <f>(INDEX(Models!$BJ224:$BT224,,AH224)*(1-AF224)+INDEX(Models!$BJ224:$BT224,,AH224+1)*AF224-ERP_i)*AE224*Ramure*Pc/MaxiM</f>
        <v>2.1087640909699207E-4</v>
      </c>
      <c r="AE224" s="304">
        <f t="shared" si="92"/>
        <v>0.6</v>
      </c>
      <c r="AF224" s="177">
        <f t="shared" si="93"/>
        <v>0.44029034145432538</v>
      </c>
      <c r="AG224" s="799">
        <f t="shared" si="99"/>
        <v>0</v>
      </c>
      <c r="AH224" s="176">
        <f t="shared" si="94"/>
        <v>6</v>
      </c>
      <c r="AI224" s="224">
        <f t="shared" si="95"/>
        <v>0.44029034145432538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3">
        <v>51.105000000000004</v>
      </c>
      <c r="C225" s="388"/>
      <c r="D225" s="391">
        <f t="shared" si="77"/>
        <v>52.385209882988192</v>
      </c>
      <c r="E225" s="383">
        <f t="shared" si="75"/>
        <v>53.338721749498092</v>
      </c>
      <c r="F225" s="383">
        <f t="shared" si="78"/>
        <v>53.348435713615878</v>
      </c>
      <c r="G225" s="110">
        <f t="shared" si="76"/>
        <v>0.892103121013058</v>
      </c>
      <c r="H225" s="412" t="b">
        <f>Wh_hp&gt;='2021'!Maxi_hp</f>
        <v>1</v>
      </c>
      <c r="I225" s="379">
        <f>IF(H225,Wh_hp,'2021'!Maxi_hp)</f>
        <v>53.348435713615878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2.4438384151705517E-2</v>
      </c>
      <c r="M225" s="832"/>
      <c r="N225" s="832"/>
      <c r="O225" s="48">
        <f>IF(t&lt;Tnet,'2021'!Resal+('2021'!Salim-'2021'!Resal)*(1-EXP(('2021'!Tnet-t)/('2021'!Tau_j))),Resal+(Salim-Resal)*(1-EXP((Tnet-t)/(Tau_j))))*Salcycl</f>
        <v>1.7876541379975429E-2</v>
      </c>
      <c r="P225" s="169">
        <f>(INDEX(Models!$BJ225:$BT225,,T225)*(1-R225)+INDEX(Models!$BJ225:$BT225,,T225+1)*R225-ERP_i)*Q225*Ramure*Pc/MaxiM</f>
        <v>2.152552668738718E-4</v>
      </c>
      <c r="Q225" s="304">
        <f t="shared" si="80"/>
        <v>0.6</v>
      </c>
      <c r="R225" s="177">
        <f t="shared" si="81"/>
        <v>0.44239562500120783</v>
      </c>
      <c r="S225" s="799">
        <f t="shared" si="82"/>
        <v>0</v>
      </c>
      <c r="T225" s="176">
        <f t="shared" si="83"/>
        <v>6</v>
      </c>
      <c r="U225" s="250">
        <f t="shared" si="84"/>
        <v>0.44239562500120783</v>
      </c>
      <c r="V225" s="382">
        <f t="shared" si="85"/>
        <v>57.28407774245251</v>
      </c>
      <c r="W225" s="400">
        <f t="shared" si="86"/>
        <v>0</v>
      </c>
      <c r="X225" s="157">
        <f t="shared" si="87"/>
        <v>44772</v>
      </c>
      <c r="Y225" s="383">
        <f t="shared" si="88"/>
        <v>47.349452702527429</v>
      </c>
      <c r="Z225" s="383">
        <f t="shared" si="89"/>
        <v>48.535583948077907</v>
      </c>
      <c r="AA225" s="384">
        <f t="shared" si="90"/>
        <v>53.338721749498092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9.0049735799403272E-2</v>
      </c>
      <c r="AD225" s="230">
        <f>(INDEX(Models!$BJ225:$BT225,,AH225)*(1-AF225)+INDEX(Models!$BJ225:$BT225,,AH225+1)*AF225-ERP_i)*AE225*Ramure*Pc/MaxiM</f>
        <v>2.152552668738718E-4</v>
      </c>
      <c r="AE225" s="304">
        <f t="shared" si="92"/>
        <v>0.6</v>
      </c>
      <c r="AF225" s="177">
        <f t="shared" si="93"/>
        <v>0.44239562500120783</v>
      </c>
      <c r="AG225" s="799">
        <f t="shared" si="99"/>
        <v>0</v>
      </c>
      <c r="AH225" s="176">
        <f t="shared" si="94"/>
        <v>6</v>
      </c>
      <c r="AI225" s="224">
        <f t="shared" si="95"/>
        <v>0.44239562500120783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3">
        <v>56.743000000000002</v>
      </c>
      <c r="C226" s="388"/>
      <c r="D226" s="391">
        <f t="shared" si="77"/>
        <v>58.165559781838859</v>
      </c>
      <c r="E226" s="383">
        <f t="shared" si="75"/>
        <v>59.229072311589171</v>
      </c>
      <c r="F226" s="383">
        <f t="shared" si="78"/>
        <v>59.241957497118648</v>
      </c>
      <c r="G226" s="110">
        <f t="shared" si="76"/>
        <v>0.99282012030465649</v>
      </c>
      <c r="H226" s="412" t="b">
        <f>Wh_hp&gt;='2021'!Maxi_hp</f>
        <v>1</v>
      </c>
      <c r="I226" s="379">
        <f>IF(H226,Wh_hp,'2021'!Maxi_hp)</f>
        <v>59.241957497118648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2.4457080567511835E-2</v>
      </c>
      <c r="M226" s="832"/>
      <c r="N226" s="832"/>
      <c r="O226" s="48">
        <f>IF(t&lt;Tnet,'2021'!Resal+('2021'!Salim-'2021'!Resal)*(1-EXP(('2021'!Tnet-t)/('2021'!Tau_j))),Resal+(Salim-Resal)*(1-EXP((Tnet-t)/(Tau_j))))*Salcycl</f>
        <v>1.7955920770722909E-2</v>
      </c>
      <c r="P226" s="169">
        <f>(INDEX(Models!$BJ226:$BT226,,T226)*(1-R226)+INDEX(Models!$BJ226:$BT226,,T226+1)*R226-ERP_i)*Q226*Ramure*Pc/MaxiM</f>
        <v>2.1975432019820962E-4</v>
      </c>
      <c r="Q226" s="304">
        <f t="shared" si="80"/>
        <v>0.6</v>
      </c>
      <c r="R226" s="177">
        <f t="shared" si="81"/>
        <v>0.44443509606668091</v>
      </c>
      <c r="S226" s="799">
        <f t="shared" si="82"/>
        <v>0</v>
      </c>
      <c r="T226" s="176">
        <f t="shared" si="83"/>
        <v>6</v>
      </c>
      <c r="U226" s="250">
        <f t="shared" si="84"/>
        <v>0.44443509606668091</v>
      </c>
      <c r="V226" s="382">
        <f t="shared" si="85"/>
        <v>57.153225395083354</v>
      </c>
      <c r="W226" s="400">
        <f t="shared" si="86"/>
        <v>0</v>
      </c>
      <c r="X226" s="157">
        <f t="shared" si="87"/>
        <v>44773</v>
      </c>
      <c r="Y226" s="383">
        <f t="shared" si="88"/>
        <v>52.576637318532832</v>
      </c>
      <c r="Z226" s="383">
        <f t="shared" si="89"/>
        <v>53.894745450173261</v>
      </c>
      <c r="AA226" s="384">
        <f t="shared" si="90"/>
        <v>59.229072311589171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9.0062644124381433E-2</v>
      </c>
      <c r="AD226" s="230">
        <f>(INDEX(Models!$BJ226:$BT226,,AH226)*(1-AF226)+INDEX(Models!$BJ226:$BT226,,AH226+1)*AF226-ERP_i)*AE226*Ramure*Pc/MaxiM</f>
        <v>2.1975432019820962E-4</v>
      </c>
      <c r="AE226" s="304">
        <f t="shared" si="92"/>
        <v>0.6</v>
      </c>
      <c r="AF226" s="177">
        <f t="shared" si="93"/>
        <v>0.44443509606668091</v>
      </c>
      <c r="AG226" s="799">
        <f t="shared" si="99"/>
        <v>0</v>
      </c>
      <c r="AH226" s="176">
        <f t="shared" si="94"/>
        <v>6</v>
      </c>
      <c r="AI226" s="224">
        <f t="shared" si="95"/>
        <v>0.44443509606668091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3">
        <v>56.358000000000004</v>
      </c>
      <c r="C227" s="388"/>
      <c r="D227" s="391">
        <f t="shared" si="77"/>
        <v>57.77201493266849</v>
      </c>
      <c r="E227" s="383">
        <f t="shared" si="75"/>
        <v>58.833079679063822</v>
      </c>
      <c r="F227" s="383">
        <f t="shared" si="78"/>
        <v>58.846066079470248</v>
      </c>
      <c r="G227" s="110">
        <f t="shared" si="76"/>
        <v>0.98838730964507326</v>
      </c>
      <c r="H227" s="412" t="b">
        <f>Wh_hp&gt;='2021'!Maxi_hp</f>
        <v>1</v>
      </c>
      <c r="I227" s="379">
        <f>IF(H227,Wh_hp,'2021'!Maxi_hp)</f>
        <v>58.846066079470248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2.4475776625005663E-2</v>
      </c>
      <c r="M227" s="832"/>
      <c r="N227" s="832"/>
      <c r="O227" s="48">
        <f>IF(t&lt;Tnet,'2021'!Resal+('2021'!Salim-'2021'!Resal)*(1-EXP(('2021'!Tnet-t)/('2021'!Tau_j))),Resal+(Salim-Resal)*(1-EXP((Tnet-t)/(Tau_j))))*Salcycl</f>
        <v>1.8035172596496271E-2</v>
      </c>
      <c r="P227" s="169">
        <f>(INDEX(Models!$BJ227:$BT227,,T227)*(1-R227)+INDEX(Models!$BJ227:$BT227,,T227+1)*R227-ERP_i)*Q227*Ramure*Pc/MaxiM</f>
        <v>2.2440587228779303E-4</v>
      </c>
      <c r="Q227" s="304">
        <f t="shared" si="80"/>
        <v>0.6</v>
      </c>
      <c r="R227" s="177">
        <f t="shared" si="81"/>
        <v>0.44641015079535012</v>
      </c>
      <c r="S227" s="799">
        <f t="shared" si="82"/>
        <v>0</v>
      </c>
      <c r="T227" s="176">
        <f t="shared" si="83"/>
        <v>6</v>
      </c>
      <c r="U227" s="250">
        <f t="shared" si="84"/>
        <v>0.44641015079535012</v>
      </c>
      <c r="V227" s="382">
        <f t="shared" si="85"/>
        <v>57.019945178354376</v>
      </c>
      <c r="W227" s="400">
        <f t="shared" si="86"/>
        <v>0</v>
      </c>
      <c r="X227" s="157">
        <f t="shared" si="87"/>
        <v>44774</v>
      </c>
      <c r="Y227" s="383">
        <f t="shared" si="88"/>
        <v>52.223395793708939</v>
      </c>
      <c r="Z227" s="383">
        <f t="shared" si="89"/>
        <v>53.533674041463669</v>
      </c>
      <c r="AA227" s="384">
        <f t="shared" si="90"/>
        <v>58.833079679063822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9.0075271709530849E-2</v>
      </c>
      <c r="AD227" s="230">
        <f>(INDEX(Models!$BJ227:$BT227,,AH227)*(1-AF227)+INDEX(Models!$BJ227:$BT227,,AH227+1)*AF227-ERP_i)*AE227*Ramure*Pc/MaxiM</f>
        <v>2.2440587228779303E-4</v>
      </c>
      <c r="AE227" s="304">
        <f t="shared" si="92"/>
        <v>0.6</v>
      </c>
      <c r="AF227" s="177">
        <f t="shared" si="93"/>
        <v>0.44641015079535012</v>
      </c>
      <c r="AG227" s="799">
        <f t="shared" si="99"/>
        <v>0</v>
      </c>
      <c r="AH227" s="176">
        <f t="shared" si="94"/>
        <v>6</v>
      </c>
      <c r="AI227" s="224">
        <f t="shared" si="95"/>
        <v>0.44641015079535012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3">
        <v>56.346000000000004</v>
      </c>
      <c r="C228" s="388"/>
      <c r="D228" s="391">
        <f t="shared" si="77"/>
        <v>57.760820827173937</v>
      </c>
      <c r="E228" s="383">
        <f t="shared" si="75"/>
        <v>58.826420206253765</v>
      </c>
      <c r="F228" s="383">
        <f t="shared" si="78"/>
        <v>58.839724664908012</v>
      </c>
      <c r="G228" s="110">
        <f t="shared" si="76"/>
        <v>0.99053494847268275</v>
      </c>
      <c r="H228" s="412" t="b">
        <f>Wh_hp&gt;='2021'!Maxi_hp</f>
        <v>1</v>
      </c>
      <c r="I228" s="379">
        <f>IF(H228,Wh_hp,'2021'!Maxi_hp)</f>
        <v>58.839724664908012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2.4494472324193883E-2</v>
      </c>
      <c r="M228" s="832"/>
      <c r="N228" s="832"/>
      <c r="O228" s="48">
        <f>IF(t&lt;Tnet,'2021'!Resal+('2021'!Salim-'2021'!Resal)*(1-EXP(('2021'!Tnet-t)/('2021'!Tau_j))),Resal+(Salim-Resal)*(1-EXP((Tnet-t)/(Tau_j))))*Salcycl</f>
        <v>1.8114299244177724E-2</v>
      </c>
      <c r="P228" s="169">
        <f>(INDEX(Models!$BJ228:$BT228,,T228)*(1-R228)+INDEX(Models!$BJ228:$BT228,,T228+1)*R228-ERP_i)*Q228*Ramure*Pc/MaxiM</f>
        <v>2.2921182676787592E-4</v>
      </c>
      <c r="Q228" s="304">
        <f t="shared" si="80"/>
        <v>0.6</v>
      </c>
      <c r="R228" s="177">
        <f t="shared" si="81"/>
        <v>0.44832220387998695</v>
      </c>
      <c r="S228" s="799">
        <f t="shared" si="82"/>
        <v>0</v>
      </c>
      <c r="T228" s="176">
        <f t="shared" si="83"/>
        <v>6</v>
      </c>
      <c r="U228" s="250">
        <f t="shared" si="84"/>
        <v>0.44832220387998695</v>
      </c>
      <c r="V228" s="382">
        <f t="shared" si="85"/>
        <v>56.88423762487087</v>
      </c>
      <c r="W228" s="400">
        <f t="shared" si="86"/>
        <v>0</v>
      </c>
      <c r="X228" s="157">
        <f t="shared" si="87"/>
        <v>44775</v>
      </c>
      <c r="Y228" s="383">
        <f t="shared" si="88"/>
        <v>52.215774364822714</v>
      </c>
      <c r="Z228" s="383">
        <f t="shared" si="89"/>
        <v>53.526887222494352</v>
      </c>
      <c r="AA228" s="384">
        <f t="shared" si="90"/>
        <v>58.826420206253765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9.0087633501724246E-2</v>
      </c>
      <c r="AD228" s="230">
        <f>(INDEX(Models!$BJ228:$BT228,,AH228)*(1-AF228)+INDEX(Models!$BJ228:$BT228,,AH228+1)*AF228-ERP_i)*AE228*Ramure*Pc/MaxiM</f>
        <v>2.2921182676787592E-4</v>
      </c>
      <c r="AE228" s="304">
        <f t="shared" si="92"/>
        <v>0.6</v>
      </c>
      <c r="AF228" s="177">
        <f t="shared" si="93"/>
        <v>0.44832220387998695</v>
      </c>
      <c r="AG228" s="799">
        <f t="shared" si="99"/>
        <v>0</v>
      </c>
      <c r="AH228" s="176">
        <f t="shared" si="94"/>
        <v>6</v>
      </c>
      <c r="AI228" s="224">
        <f t="shared" si="95"/>
        <v>0.44832220387998695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3">
        <v>53.209000000000003</v>
      </c>
      <c r="C229" s="388"/>
      <c r="D229" s="391">
        <f t="shared" si="77"/>
        <v>54.546097636848053</v>
      </c>
      <c r="E229" s="383">
        <f t="shared" si="75"/>
        <v>55.556860416760109</v>
      </c>
      <c r="F229" s="383">
        <f t="shared" si="78"/>
        <v>55.568714437624145</v>
      </c>
      <c r="G229" s="110">
        <f t="shared" si="76"/>
        <v>0.93764835207262365</v>
      </c>
      <c r="H229" s="412" t="b">
        <f>Wh_hp&gt;='2021'!Maxi_hp</f>
        <v>0</v>
      </c>
      <c r="I229" s="379">
        <f>IF(H229,Wh_hp,'2021'!Maxi_hp)</f>
        <v>56.932913500318811</v>
      </c>
      <c r="J229" s="85">
        <f>IF(H229,An,'2021'!An_max)</f>
        <v>2018</v>
      </c>
      <c r="K229" s="197">
        <f t="shared" si="79"/>
        <v>44776</v>
      </c>
      <c r="L229" s="147">
        <f>IF(t&lt;Tvie,1-EXP((T0-t)*PertePVj)+'2021'!Pspv,1-EXP((T0-t)*PertePVj)+Pspv)</f>
        <v>2.4513167665083158E-2</v>
      </c>
      <c r="M229" s="832"/>
      <c r="N229" s="832"/>
      <c r="O229" s="48">
        <f>IF(t&lt;Tnet,'2021'!Resal+('2021'!Salim-'2021'!Resal)*(1-EXP(('2021'!Tnet-t)/('2021'!Tau_j))),Resal+(Salim-Resal)*(1-EXP((Tnet-t)/(Tau_j))))*Salcycl</f>
        <v>1.8193302723188629E-2</v>
      </c>
      <c r="P229" s="169">
        <f>(INDEX(Models!$BJ229:$BT229,,T229)*(1-R229)+INDEX(Models!$BJ229:$BT229,,T229+1)*R229-ERP_i)*Q229*Ramure*Pc/MaxiM</f>
        <v>2.3417407662597054E-4</v>
      </c>
      <c r="Q229" s="304">
        <f t="shared" si="80"/>
        <v>0.6</v>
      </c>
      <c r="R229" s="177">
        <f t="shared" si="81"/>
        <v>0.45017268420270989</v>
      </c>
      <c r="S229" s="799">
        <f t="shared" si="82"/>
        <v>0</v>
      </c>
      <c r="T229" s="176">
        <f t="shared" si="83"/>
        <v>6</v>
      </c>
      <c r="U229" s="250">
        <f t="shared" si="84"/>
        <v>0.45017268420270989</v>
      </c>
      <c r="V229" s="382">
        <f t="shared" si="85"/>
        <v>56.746103290669545</v>
      </c>
      <c r="W229" s="400">
        <f t="shared" si="86"/>
        <v>0</v>
      </c>
      <c r="X229" s="157">
        <f t="shared" si="87"/>
        <v>44776</v>
      </c>
      <c r="Y229" s="383">
        <f t="shared" si="88"/>
        <v>49.312031528432342</v>
      </c>
      <c r="Z229" s="383">
        <f t="shared" si="89"/>
        <v>50.551201609148826</v>
      </c>
      <c r="AA229" s="384">
        <f t="shared" si="90"/>
        <v>55.556860416760109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9.0099742319153908E-2</v>
      </c>
      <c r="AD229" s="230">
        <f>(INDEX(Models!$BJ229:$BT229,,AH229)*(1-AF229)+INDEX(Models!$BJ229:$BT229,,AH229+1)*AF229-ERP_i)*AE229*Ramure*Pc/MaxiM</f>
        <v>2.3417407662597054E-4</v>
      </c>
      <c r="AE229" s="304">
        <f t="shared" si="92"/>
        <v>0.6</v>
      </c>
      <c r="AF229" s="177">
        <f t="shared" si="93"/>
        <v>0.45017268420270989</v>
      </c>
      <c r="AG229" s="799">
        <f t="shared" si="99"/>
        <v>0</v>
      </c>
      <c r="AH229" s="176">
        <f t="shared" si="94"/>
        <v>6</v>
      </c>
      <c r="AI229" s="224">
        <f t="shared" si="95"/>
        <v>0.45017268420270989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3">
        <v>52.42</v>
      </c>
      <c r="C230" s="388"/>
      <c r="D230" s="391">
        <f t="shared" si="77"/>
        <v>53.738300609471324</v>
      </c>
      <c r="E230" s="383">
        <f t="shared" si="75"/>
        <v>54.738492452010696</v>
      </c>
      <c r="F230" s="383">
        <f t="shared" si="78"/>
        <v>54.750209948964994</v>
      </c>
      <c r="G230" s="110">
        <f t="shared" si="76"/>
        <v>0.92603430931517794</v>
      </c>
      <c r="H230" s="412" t="b">
        <f>Wh_hp&gt;='2021'!Maxi_hp</f>
        <v>1</v>
      </c>
      <c r="I230" s="379">
        <f>IF(H230,Wh_hp,'2021'!Maxi_hp)</f>
        <v>54.750209948964994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2.4531862647680591E-2</v>
      </c>
      <c r="M230" s="832"/>
      <c r="N230" s="832"/>
      <c r="O230" s="48">
        <f>IF(t&lt;Tnet,'2021'!Resal+('2021'!Salim-'2021'!Resal)*(1-EXP(('2021'!Tnet-t)/('2021'!Tau_j))),Resal+(Salim-Resal)*(1-EXP((Tnet-t)/(Tau_j))))*Salcycl</f>
        <v>1.8272184668151791E-2</v>
      </c>
      <c r="P230" s="169">
        <f>(INDEX(Models!$BJ230:$BT230,,T230)*(1-R230)+INDEX(Models!$BJ230:$BT230,,T230+1)*R230-ERP_i)*Q230*Ramure*Pc/MaxiM</f>
        <v>2.3929450369601185E-4</v>
      </c>
      <c r="Q230" s="304">
        <f t="shared" si="80"/>
        <v>0.6</v>
      </c>
      <c r="R230" s="177">
        <f t="shared" si="81"/>
        <v>0.4519630307373867</v>
      </c>
      <c r="S230" s="799">
        <f t="shared" si="82"/>
        <v>0</v>
      </c>
      <c r="T230" s="176">
        <f t="shared" si="83"/>
        <v>6</v>
      </c>
      <c r="U230" s="250">
        <f t="shared" si="84"/>
        <v>0.4519630307373867</v>
      </c>
      <c r="V230" s="382">
        <f t="shared" si="85"/>
        <v>56.605542756561469</v>
      </c>
      <c r="W230" s="400">
        <f t="shared" si="86"/>
        <v>0</v>
      </c>
      <c r="X230" s="157">
        <f t="shared" si="87"/>
        <v>44777</v>
      </c>
      <c r="Y230" s="383">
        <f t="shared" si="88"/>
        <v>48.584086868136765</v>
      </c>
      <c r="Z230" s="383">
        <f t="shared" si="89"/>
        <v>49.805918827863437</v>
      </c>
      <c r="AA230" s="384">
        <f t="shared" si="90"/>
        <v>54.738492452010696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9.0111608909793278E-2</v>
      </c>
      <c r="AD230" s="230">
        <f>(INDEX(Models!$BJ230:$BT230,,AH230)*(1-AF230)+INDEX(Models!$BJ230:$BT230,,AH230+1)*AF230-ERP_i)*AE230*Ramure*Pc/MaxiM</f>
        <v>2.3929450369601185E-4</v>
      </c>
      <c r="AE230" s="304">
        <f t="shared" si="92"/>
        <v>0.6</v>
      </c>
      <c r="AF230" s="177">
        <f t="shared" si="93"/>
        <v>0.4519630307373867</v>
      </c>
      <c r="AG230" s="799">
        <f t="shared" si="99"/>
        <v>0</v>
      </c>
      <c r="AH230" s="176">
        <f t="shared" si="94"/>
        <v>6</v>
      </c>
      <c r="AI230" s="224">
        <f t="shared" si="95"/>
        <v>0.4519630307373867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3">
        <v>47.603999999999999</v>
      </c>
      <c r="C231" s="388"/>
      <c r="D231" s="391">
        <f t="shared" si="77"/>
        <v>48.802119222978355</v>
      </c>
      <c r="E231" s="383">
        <f t="shared" si="75"/>
        <v>49.714425986790182</v>
      </c>
      <c r="F231" s="383">
        <f t="shared" si="78"/>
        <v>49.72386147901684</v>
      </c>
      <c r="G231" s="110">
        <f t="shared" si="76"/>
        <v>0.84306118658222307</v>
      </c>
      <c r="H231" s="412" t="b">
        <f>Wh_hp&gt;='2021'!Maxi_hp</f>
        <v>0</v>
      </c>
      <c r="I231" s="379">
        <f>IF(H231,Wh_hp,'2021'!Maxi_hp)</f>
        <v>57.498472641811972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2.4550557271992846E-2</v>
      </c>
      <c r="M231" s="832"/>
      <c r="N231" s="832"/>
      <c r="O231" s="48">
        <f>IF(t&lt;Tnet,'2021'!Resal+('2021'!Salim-'2021'!Resal)*(1-EXP(('2021'!Tnet-t)/('2021'!Tau_j))),Resal+(Salim-Resal)*(1-EXP((Tnet-t)/(Tau_j))))*Salcycl</f>
        <v>1.8350946344110282E-2</v>
      </c>
      <c r="P231" s="169">
        <f>(INDEX(Models!$BJ231:$BT231,,T231)*(1-R231)+INDEX(Models!$BJ231:$BT231,,T231+1)*R231-ERP_i)*Q231*Ramure*Pc/MaxiM</f>
        <v>2.4457497813468274E-4</v>
      </c>
      <c r="Q231" s="304">
        <f t="shared" si="80"/>
        <v>0.6</v>
      </c>
      <c r="R231" s="177">
        <f t="shared" si="81"/>
        <v>0.45369468871102903</v>
      </c>
      <c r="S231" s="799">
        <f t="shared" si="82"/>
        <v>0</v>
      </c>
      <c r="T231" s="176">
        <f t="shared" si="83"/>
        <v>6</v>
      </c>
      <c r="U231" s="250">
        <f t="shared" si="84"/>
        <v>0.45369468871102903</v>
      </c>
      <c r="V231" s="382">
        <f t="shared" si="85"/>
        <v>56.462556629314719</v>
      </c>
      <c r="W231" s="400">
        <f t="shared" si="86"/>
        <v>0</v>
      </c>
      <c r="X231" s="157">
        <f t="shared" si="87"/>
        <v>44778</v>
      </c>
      <c r="Y231" s="383">
        <f t="shared" si="88"/>
        <v>44.123480815808598</v>
      </c>
      <c r="Z231" s="383">
        <f t="shared" si="89"/>
        <v>45.234000741658043</v>
      </c>
      <c r="AA231" s="384">
        <f t="shared" si="90"/>
        <v>49.714425986790182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9.0123242020789876E-2</v>
      </c>
      <c r="AD231" s="230">
        <f>(INDEX(Models!$BJ231:$BT231,,AH231)*(1-AF231)+INDEX(Models!$BJ231:$BT231,,AH231+1)*AF231-ERP_i)*AE231*Ramure*Pc/MaxiM</f>
        <v>2.4457497813468274E-4</v>
      </c>
      <c r="AE231" s="304">
        <f t="shared" si="92"/>
        <v>0.6</v>
      </c>
      <c r="AF231" s="177">
        <f t="shared" si="93"/>
        <v>0.45369468871102903</v>
      </c>
      <c r="AG231" s="799">
        <f t="shared" si="99"/>
        <v>0</v>
      </c>
      <c r="AH231" s="176">
        <f t="shared" si="94"/>
        <v>6</v>
      </c>
      <c r="AI231" s="224">
        <f t="shared" si="95"/>
        <v>0.45369468871102903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3">
        <v>52.271999999999998</v>
      </c>
      <c r="C232" s="388"/>
      <c r="D232" s="391">
        <f t="shared" si="77"/>
        <v>53.588632593775372</v>
      </c>
      <c r="E232" s="383">
        <f t="shared" si="75"/>
        <v>54.594792155862976</v>
      </c>
      <c r="F232" s="383">
        <f t="shared" si="78"/>
        <v>54.607043941582731</v>
      </c>
      <c r="G232" s="110">
        <f t="shared" si="76"/>
        <v>0.92814822521996432</v>
      </c>
      <c r="H232" s="412" t="b">
        <f>Wh_hp&gt;='2021'!Maxi_hp</f>
        <v>0</v>
      </c>
      <c r="I232" s="379">
        <f>IF(H232,Wh_hp,'2021'!Maxi_hp)</f>
        <v>58.413322100606401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2.4569251538026915E-2</v>
      </c>
      <c r="M232" s="832"/>
      <c r="N232" s="832"/>
      <c r="O232" s="48">
        <f>IF(t&lt;Tnet,'2021'!Resal+('2021'!Salim-'2021'!Resal)*(1-EXP(('2021'!Tnet-t)/('2021'!Tau_j))),Resal+(Salim-Resal)*(1-EXP((Tnet-t)/(Tau_j))))*Salcycl</f>
        <v>1.8429588654081043E-2</v>
      </c>
      <c r="P232" s="169">
        <f>(INDEX(Models!$BJ232:$BT232,,T232)*(1-R232)+INDEX(Models!$BJ232:$BT232,,T232+1)*R232-ERP_i)*Q232*Ramure*Pc/MaxiM</f>
        <v>2.5001735792730385E-4</v>
      </c>
      <c r="Q232" s="304">
        <f t="shared" si="80"/>
        <v>0.6</v>
      </c>
      <c r="R232" s="177">
        <f t="shared" si="81"/>
        <v>0.45536910602056058</v>
      </c>
      <c r="S232" s="799">
        <f t="shared" si="82"/>
        <v>0</v>
      </c>
      <c r="T232" s="176">
        <f t="shared" si="83"/>
        <v>6</v>
      </c>
      <c r="U232" s="250">
        <f t="shared" si="84"/>
        <v>0.45536910602056058</v>
      </c>
      <c r="V232" s="382">
        <f t="shared" si="85"/>
        <v>56.317145538054163</v>
      </c>
      <c r="W232" s="400">
        <f t="shared" si="86"/>
        <v>0</v>
      </c>
      <c r="X232" s="157">
        <f t="shared" si="87"/>
        <v>44779</v>
      </c>
      <c r="Y232" s="383">
        <f t="shared" si="88"/>
        <v>48.4534589725206</v>
      </c>
      <c r="Z232" s="383">
        <f t="shared" si="89"/>
        <v>49.673909756197872</v>
      </c>
      <c r="AA232" s="384">
        <f t="shared" si="90"/>
        <v>54.594792155862976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9.0134648477394178E-2</v>
      </c>
      <c r="AD232" s="230">
        <f>(INDEX(Models!$BJ232:$BT232,,AH232)*(1-AF232)+INDEX(Models!$BJ232:$BT232,,AH232+1)*AF232-ERP_i)*AE232*Ramure*Pc/MaxiM</f>
        <v>2.5001735792730385E-4</v>
      </c>
      <c r="AE232" s="304">
        <f t="shared" si="92"/>
        <v>0.6</v>
      </c>
      <c r="AF232" s="177">
        <f t="shared" si="93"/>
        <v>0.45536910602056058</v>
      </c>
      <c r="AG232" s="799">
        <f t="shared" si="99"/>
        <v>0</v>
      </c>
      <c r="AH232" s="176">
        <f t="shared" si="94"/>
        <v>6</v>
      </c>
      <c r="AI232" s="224">
        <f t="shared" si="95"/>
        <v>0.45536910602056058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3">
        <v>55.006</v>
      </c>
      <c r="C233" s="388"/>
      <c r="D233" s="391">
        <f t="shared" si="77"/>
        <v>56.39257762212015</v>
      </c>
      <c r="E233" s="383">
        <f t="shared" ref="E233:E296" si="100">Wh_pvt/(1-Psa)</f>
        <v>57.455979331195252</v>
      </c>
      <c r="F233" s="383">
        <f t="shared" si="78"/>
        <v>57.470235138587057</v>
      </c>
      <c r="G233" s="110">
        <f t="shared" ref="G233:G296" si="101">+Wh_hp/MaxiM</f>
        <v>0.97927387141498012</v>
      </c>
      <c r="H233" s="412" t="b">
        <f>Wh_hp&gt;='2021'!Maxi_hp</f>
        <v>1</v>
      </c>
      <c r="I233" s="379">
        <f>IF(H233,Wh_hp,'2021'!Maxi_hp)</f>
        <v>57.470235138587057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2.4587945445789683E-2</v>
      </c>
      <c r="M233" s="832"/>
      <c r="N233" s="832"/>
      <c r="O233" s="48">
        <f>IF(t&lt;Tnet,'2021'!Resal+('2021'!Salim-'2021'!Resal)*(1-EXP(('2021'!Tnet-t)/('2021'!Tau_j))),Resal+(Salim-Resal)*(1-EXP((Tnet-t)/(Tau_j))))*Salcycl</f>
        <v>1.8508112148699171E-2</v>
      </c>
      <c r="P233" s="169">
        <f>(INDEX(Models!$BJ233:$BT233,,T233)*(1-R233)+INDEX(Models!$BJ233:$BT233,,T233+1)*R233-ERP_i)*Q233*Ramure*Pc/MaxiM</f>
        <v>2.5562141656479572E-4</v>
      </c>
      <c r="Q233" s="304">
        <f t="shared" si="80"/>
        <v>0.6</v>
      </c>
      <c r="R233" s="177">
        <f t="shared" si="81"/>
        <v>0.45698772990012415</v>
      </c>
      <c r="S233" s="799">
        <f t="shared" si="82"/>
        <v>0</v>
      </c>
      <c r="T233" s="176">
        <f t="shared" si="83"/>
        <v>6</v>
      </c>
      <c r="U233" s="250">
        <f t="shared" si="84"/>
        <v>0.45698772990012415</v>
      </c>
      <c r="V233" s="382">
        <f t="shared" si="85"/>
        <v>56.169765507944014</v>
      </c>
      <c r="W233" s="400">
        <f t="shared" si="86"/>
        <v>0</v>
      </c>
      <c r="X233" s="157">
        <f t="shared" si="87"/>
        <v>44780</v>
      </c>
      <c r="Y233" s="383">
        <f t="shared" si="88"/>
        <v>50.991188938623615</v>
      </c>
      <c r="Z233" s="383">
        <f t="shared" si="89"/>
        <v>52.276562198042519</v>
      </c>
      <c r="AA233" s="384">
        <f t="shared" si="90"/>
        <v>57.455979331195252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9.0145833269969347E-2</v>
      </c>
      <c r="AD233" s="230">
        <f>(INDEX(Models!$BJ233:$BT233,,AH233)*(1-AF233)+INDEX(Models!$BJ233:$BT233,,AH233+1)*AF233-ERP_i)*AE233*Ramure*Pc/MaxiM</f>
        <v>2.5562141656479572E-4</v>
      </c>
      <c r="AE233" s="304">
        <f t="shared" si="92"/>
        <v>0.6</v>
      </c>
      <c r="AF233" s="177">
        <f t="shared" si="93"/>
        <v>0.45698772990012415</v>
      </c>
      <c r="AG233" s="799">
        <f t="shared" si="99"/>
        <v>0</v>
      </c>
      <c r="AH233" s="176">
        <f t="shared" si="94"/>
        <v>6</v>
      </c>
      <c r="AI233" s="224">
        <f t="shared" si="95"/>
        <v>0.45698772990012415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3">
        <v>55.469000000000001</v>
      </c>
      <c r="C234" s="388"/>
      <c r="D234" s="391">
        <f t="shared" si="77"/>
        <v>56.868338680164584</v>
      </c>
      <c r="E234" s="383">
        <f t="shared" si="100"/>
        <v>57.94534074314177</v>
      </c>
      <c r="F234" s="383">
        <f t="shared" si="78"/>
        <v>57.960285399615913</v>
      </c>
      <c r="G234" s="110">
        <f t="shared" si="101"/>
        <v>0.99014777327393932</v>
      </c>
      <c r="H234" s="412" t="b">
        <f>Wh_hp&gt;='2021'!Maxi_hp</f>
        <v>1</v>
      </c>
      <c r="I234" s="379">
        <f>IF(H234,Wh_hp,'2021'!Maxi_hp)</f>
        <v>57.960285399615913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2.4606638995288033E-2</v>
      </c>
      <c r="M234" s="832"/>
      <c r="N234" s="832"/>
      <c r="O234" s="48">
        <f>IF(t&lt;Tnet,'2021'!Resal+('2021'!Salim-'2021'!Resal)*(1-EXP(('2021'!Tnet-t)/('2021'!Tau_j))),Resal+(Salim-Resal)*(1-EXP((Tnet-t)/(Tau_j))))*Salcycl</f>
        <v>1.858651703769058E-2</v>
      </c>
      <c r="P234" s="169">
        <f>(INDEX(Models!$BJ234:$BT234,,T234)*(1-R234)+INDEX(Models!$BJ234:$BT234,,T234+1)*R234-ERP_i)*Q234*Ramure*Pc/MaxiM</f>
        <v>2.6152251072736164E-4</v>
      </c>
      <c r="Q234" s="304">
        <f t="shared" si="80"/>
        <v>0.6</v>
      </c>
      <c r="R234" s="177">
        <f t="shared" si="81"/>
        <v>0.45855200383304567</v>
      </c>
      <c r="S234" s="799">
        <f t="shared" si="82"/>
        <v>0</v>
      </c>
      <c r="T234" s="176">
        <f t="shared" si="83"/>
        <v>6</v>
      </c>
      <c r="U234" s="250">
        <f t="shared" si="84"/>
        <v>0.45855200383304567</v>
      </c>
      <c r="V234" s="382">
        <f t="shared" si="85"/>
        <v>56.020724732497733</v>
      </c>
      <c r="W234" s="400">
        <f t="shared" si="86"/>
        <v>0</v>
      </c>
      <c r="X234" s="157">
        <f t="shared" si="87"/>
        <v>44781</v>
      </c>
      <c r="Y234" s="383">
        <f t="shared" si="88"/>
        <v>51.423883364649335</v>
      </c>
      <c r="Z234" s="383">
        <f t="shared" si="89"/>
        <v>52.721174267251257</v>
      </c>
      <c r="AA234" s="384">
        <f t="shared" si="90"/>
        <v>57.94534074314177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9.0156799647585564E-2</v>
      </c>
      <c r="AD234" s="230">
        <f>(INDEX(Models!$BJ234:$BT234,,AH234)*(1-AF234)+INDEX(Models!$BJ234:$BT234,,AH234+1)*AF234-ERP_i)*AE234*Ramure*Pc/MaxiM</f>
        <v>2.6152251072736164E-4</v>
      </c>
      <c r="AE234" s="304">
        <f t="shared" si="92"/>
        <v>0.6</v>
      </c>
      <c r="AF234" s="177">
        <f t="shared" si="93"/>
        <v>0.45855200383304567</v>
      </c>
      <c r="AG234" s="799">
        <f t="shared" si="99"/>
        <v>0</v>
      </c>
      <c r="AH234" s="176">
        <f t="shared" si="94"/>
        <v>6</v>
      </c>
      <c r="AI234" s="224">
        <f t="shared" si="95"/>
        <v>0.45855200383304567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3">
        <v>53.387</v>
      </c>
      <c r="C235" s="388"/>
      <c r="D235" s="391">
        <f t="shared" si="77"/>
        <v>54.73486421344051</v>
      </c>
      <c r="E235" s="383">
        <f t="shared" si="100"/>
        <v>55.775910608408715</v>
      </c>
      <c r="F235" s="383">
        <f t="shared" si="78"/>
        <v>55.789900138780723</v>
      </c>
      <c r="G235" s="110">
        <f t="shared" si="101"/>
        <v>0.95554451286654651</v>
      </c>
      <c r="H235" s="412" t="b">
        <f>Wh_hp&gt;='2021'!Maxi_hp</f>
        <v>0</v>
      </c>
      <c r="I235" s="379">
        <f>IF(H235,Wh_hp,'2021'!Maxi_hp)</f>
        <v>56.144783633335642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2.4625332186528626E-2</v>
      </c>
      <c r="M235" s="832"/>
      <c r="N235" s="832"/>
      <c r="O235" s="48">
        <f>IF(t&lt;Tnet,'2021'!Resal+('2021'!Salim-'2021'!Resal)*(1-EXP(('2021'!Tnet-t)/('2021'!Tau_j))),Resal+(Salim-Resal)*(1-EXP((Tnet-t)/(Tau_j))))*Salcycl</f>
        <v>1.8664803202894913E-2</v>
      </c>
      <c r="P235" s="169">
        <f>(INDEX(Models!$BJ235:$BT235,,T235)*(1-R235)+INDEX(Models!$BJ235:$BT235,,T235+1)*R235-ERP_i)*Q235*Ramure*Pc/MaxiM</f>
        <v>2.6775194950401365E-4</v>
      </c>
      <c r="Q235" s="304">
        <f t="shared" si="80"/>
        <v>0.6</v>
      </c>
      <c r="R235" s="177">
        <f t="shared" si="81"/>
        <v>0.46006336470167397</v>
      </c>
      <c r="S235" s="799">
        <f t="shared" si="82"/>
        <v>0</v>
      </c>
      <c r="T235" s="176">
        <f t="shared" si="83"/>
        <v>6</v>
      </c>
      <c r="U235" s="250">
        <f t="shared" si="84"/>
        <v>0.46006336470167397</v>
      </c>
      <c r="V235" s="382">
        <f t="shared" si="85"/>
        <v>55.869812001640199</v>
      </c>
      <c r="W235" s="400">
        <f t="shared" si="86"/>
        <v>0</v>
      </c>
      <c r="X235" s="157">
        <f t="shared" si="87"/>
        <v>44782</v>
      </c>
      <c r="Y235" s="383">
        <f t="shared" si="88"/>
        <v>49.497078275092093</v>
      </c>
      <c r="Z235" s="383">
        <f t="shared" si="89"/>
        <v>50.746733443519993</v>
      </c>
      <c r="AA235" s="384">
        <f t="shared" si="90"/>
        <v>55.775910608408715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9.0167549216677884E-2</v>
      </c>
      <c r="AD235" s="230">
        <f>(INDEX(Models!$BJ235:$BT235,,AH235)*(1-AF235)+INDEX(Models!$BJ235:$BT235,,AH235+1)*AF235-ERP_i)*AE235*Ramure*Pc/MaxiM</f>
        <v>2.6775194950401365E-4</v>
      </c>
      <c r="AE235" s="304">
        <f t="shared" si="92"/>
        <v>0.6</v>
      </c>
      <c r="AF235" s="177">
        <f t="shared" si="93"/>
        <v>0.46006336470167397</v>
      </c>
      <c r="AG235" s="799">
        <f t="shared" si="99"/>
        <v>0</v>
      </c>
      <c r="AH235" s="176">
        <f t="shared" si="94"/>
        <v>6</v>
      </c>
      <c r="AI235" s="224">
        <f t="shared" si="95"/>
        <v>0.46006336470167397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3">
        <v>50.448999999999998</v>
      </c>
      <c r="C236" s="388"/>
      <c r="D236" s="391">
        <f t="shared" si="77"/>
        <v>51.723679655532507</v>
      </c>
      <c r="E236" s="383">
        <f t="shared" si="100"/>
        <v>52.711652589878852</v>
      </c>
      <c r="F236" s="383">
        <f t="shared" si="78"/>
        <v>52.724162106713898</v>
      </c>
      <c r="G236" s="110">
        <f t="shared" si="101"/>
        <v>0.90542016646970602</v>
      </c>
      <c r="H236" s="412" t="b">
        <f>Wh_hp&gt;='2021'!Maxi_hp</f>
        <v>0</v>
      </c>
      <c r="I236" s="379">
        <f>IF(H236,Wh_hp,'2021'!Maxi_hp)</f>
        <v>53.37794367209424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2.4644025019518567E-2</v>
      </c>
      <c r="M236" s="832"/>
      <c r="N236" s="832"/>
      <c r="O236" s="48">
        <f>IF(t&lt;Tnet,'2021'!Resal+('2021'!Salim-'2021'!Resal)*(1-EXP(('2021'!Tnet-t)/('2021'!Tau_j))),Resal+(Salim-Resal)*(1-EXP((Tnet-t)/(Tau_j))))*Salcycl</f>
        <v>1.8742970212549222E-2</v>
      </c>
      <c r="P236" s="169">
        <f>(INDEX(Models!$BJ236:$BT236,,T236)*(1-R236)+INDEX(Models!$BJ236:$BT236,,T236+1)*R236-ERP_i)*Q236*Ramure*Pc/MaxiM</f>
        <v>2.743139766065647E-4</v>
      </c>
      <c r="Q236" s="304">
        <f t="shared" si="80"/>
        <v>0.6</v>
      </c>
      <c r="R236" s="177">
        <f t="shared" si="81"/>
        <v>0.46152324016757112</v>
      </c>
      <c r="S236" s="799">
        <f t="shared" si="82"/>
        <v>0</v>
      </c>
      <c r="T236" s="176">
        <f t="shared" si="83"/>
        <v>6</v>
      </c>
      <c r="U236" s="250">
        <f t="shared" si="84"/>
        <v>0.46152324016757112</v>
      </c>
      <c r="V236" s="382">
        <f t="shared" si="85"/>
        <v>55.716817741442668</v>
      </c>
      <c r="W236" s="400">
        <f t="shared" si="86"/>
        <v>0</v>
      </c>
      <c r="X236" s="157">
        <f t="shared" si="87"/>
        <v>44783</v>
      </c>
      <c r="Y236" s="383">
        <f t="shared" si="88"/>
        <v>46.776333361854057</v>
      </c>
      <c r="Z236" s="383">
        <f t="shared" si="89"/>
        <v>47.958216857993961</v>
      </c>
      <c r="AA236" s="384">
        <f t="shared" si="90"/>
        <v>52.711652589878852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9.0178082043240584E-2</v>
      </c>
      <c r="AD236" s="230">
        <f>(INDEX(Models!$BJ236:$BT236,,AH236)*(1-AF236)+INDEX(Models!$BJ236:$BT236,,AH236+1)*AF236-ERP_i)*AE236*Ramure*Pc/MaxiM</f>
        <v>2.743139766065647E-4</v>
      </c>
      <c r="AE236" s="304">
        <f t="shared" si="92"/>
        <v>0.6</v>
      </c>
      <c r="AF236" s="177">
        <f t="shared" si="93"/>
        <v>0.46152324016757112</v>
      </c>
      <c r="AG236" s="799">
        <f t="shared" si="99"/>
        <v>0</v>
      </c>
      <c r="AH236" s="176">
        <f t="shared" si="94"/>
        <v>6</v>
      </c>
      <c r="AI236" s="224">
        <f t="shared" si="95"/>
        <v>0.46152324016757112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3">
        <v>48.783000000000001</v>
      </c>
      <c r="C237" s="388"/>
      <c r="D237" s="391">
        <f t="shared" si="77"/>
        <v>50.016543892049093</v>
      </c>
      <c r="E237" s="383">
        <f t="shared" si="100"/>
        <v>50.975963382619931</v>
      </c>
      <c r="F237" s="383">
        <f t="shared" si="78"/>
        <v>50.987802818918063</v>
      </c>
      <c r="G237" s="110">
        <f t="shared" si="101"/>
        <v>0.87795649857464264</v>
      </c>
      <c r="H237" s="412" t="b">
        <f>Wh_hp&gt;='2021'!Maxi_hp</f>
        <v>0</v>
      </c>
      <c r="I237" s="379">
        <f>IF(H237,Wh_hp,'2021'!Maxi_hp)</f>
        <v>51.914944304147305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2.466271749426463E-2</v>
      </c>
      <c r="M237" s="832"/>
      <c r="N237" s="832"/>
      <c r="O237" s="48">
        <f>IF(t&lt;Tnet,'2021'!Resal+('2021'!Salim-'2021'!Resal)*(1-EXP(('2021'!Tnet-t)/('2021'!Tau_j))),Resal+(Salim-Resal)*(1-EXP((Tnet-t)/(Tau_j))))*Salcycl</f>
        <v>1.8821017336534525E-2</v>
      </c>
      <c r="P237" s="169">
        <f>(INDEX(Models!$BJ237:$BT237,,T237)*(1-R237)+INDEX(Models!$BJ237:$BT237,,T237+1)*R237-ERP_i)*Q237*Ramure*Pc/MaxiM</f>
        <v>2.8121292275580718E-4</v>
      </c>
      <c r="Q237" s="304">
        <f t="shared" si="80"/>
        <v>0.6</v>
      </c>
      <c r="R237" s="177">
        <f t="shared" si="81"/>
        <v>0.46293304627391363</v>
      </c>
      <c r="S237" s="799">
        <f t="shared" si="82"/>
        <v>0</v>
      </c>
      <c r="T237" s="176">
        <f t="shared" si="83"/>
        <v>6</v>
      </c>
      <c r="U237" s="250">
        <f t="shared" si="84"/>
        <v>0.46293304627391363</v>
      </c>
      <c r="V237" s="382">
        <f t="shared" si="85"/>
        <v>55.561532481392788</v>
      </c>
      <c r="W237" s="400">
        <f t="shared" si="86"/>
        <v>0</v>
      </c>
      <c r="X237" s="157">
        <f t="shared" si="87"/>
        <v>44784</v>
      </c>
      <c r="Y237" s="383">
        <f t="shared" si="88"/>
        <v>45.234702562136185</v>
      </c>
      <c r="Z237" s="383">
        <f t="shared" si="89"/>
        <v>46.378522971995778</v>
      </c>
      <c r="AA237" s="384">
        <f t="shared" si="90"/>
        <v>50.975963382619931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9.0188396757041642E-2</v>
      </c>
      <c r="AD237" s="230">
        <f>(INDEX(Models!$BJ237:$BT237,,AH237)*(1-AF237)+INDEX(Models!$BJ237:$BT237,,AH237+1)*AF237-ERP_i)*AE237*Ramure*Pc/MaxiM</f>
        <v>2.8121292275580718E-4</v>
      </c>
      <c r="AE237" s="304">
        <f t="shared" si="92"/>
        <v>0.6</v>
      </c>
      <c r="AF237" s="177">
        <f t="shared" si="93"/>
        <v>0.46293304627391363</v>
      </c>
      <c r="AG237" s="799">
        <f t="shared" si="99"/>
        <v>0</v>
      </c>
      <c r="AH237" s="176">
        <f t="shared" si="94"/>
        <v>6</v>
      </c>
      <c r="AI237" s="224">
        <f t="shared" si="95"/>
        <v>0.46293304627391363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3">
        <v>49.753</v>
      </c>
      <c r="C238" s="388"/>
      <c r="D238" s="391">
        <f t="shared" si="77"/>
        <v>51.012049283449798</v>
      </c>
      <c r="E238" s="383">
        <f t="shared" si="100"/>
        <v>51.994694072259627</v>
      </c>
      <c r="F238" s="383">
        <f t="shared" si="78"/>
        <v>52.007510007500251</v>
      </c>
      <c r="G238" s="110">
        <f t="shared" si="101"/>
        <v>0.89797010603721494</v>
      </c>
      <c r="H238" s="412" t="b">
        <f>Wh_hp&gt;='2021'!Maxi_hp</f>
        <v>1</v>
      </c>
      <c r="I238" s="379">
        <f>IF(H238,Wh_hp,'2021'!Maxi_hp)</f>
        <v>52.007510007500251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2.4681409610773697E-2</v>
      </c>
      <c r="M238" s="832"/>
      <c r="N238" s="832"/>
      <c r="O238" s="48">
        <f>IF(t&lt;Tnet,'2021'!Resal+('2021'!Salim-'2021'!Resal)*(1-EXP(('2021'!Tnet-t)/('2021'!Tau_j))),Resal+(Salim-Resal)*(1-EXP((Tnet-t)/(Tau_j))))*Salcycl</f>
        <v>1.8898943562283353E-2</v>
      </c>
      <c r="P238" s="169">
        <f>(INDEX(Models!$BJ238:$BT238,,T238)*(1-R238)+INDEX(Models!$BJ238:$BT238,,T238+1)*R238-ERP_i)*Q238*Ramure*Pc/MaxiM</f>
        <v>2.8845322088666994E-4</v>
      </c>
      <c r="Q238" s="304">
        <f t="shared" si="80"/>
        <v>0.6</v>
      </c>
      <c r="R238" s="177">
        <f t="shared" si="81"/>
        <v>0.4642941852614797</v>
      </c>
      <c r="S238" s="799">
        <f t="shared" si="82"/>
        <v>0</v>
      </c>
      <c r="T238" s="176">
        <f t="shared" si="83"/>
        <v>6</v>
      </c>
      <c r="U238" s="250">
        <f t="shared" si="84"/>
        <v>0.4642941852614797</v>
      </c>
      <c r="V238" s="382">
        <f t="shared" si="85"/>
        <v>55.403746856699307</v>
      </c>
      <c r="W238" s="400">
        <f t="shared" si="86"/>
        <v>0</v>
      </c>
      <c r="X238" s="157">
        <f t="shared" si="87"/>
        <v>44785</v>
      </c>
      <c r="Y238" s="383">
        <f t="shared" si="88"/>
        <v>46.137300737120519</v>
      </c>
      <c r="Z238" s="383">
        <f t="shared" si="89"/>
        <v>47.304851144802058</v>
      </c>
      <c r="AA238" s="384">
        <f t="shared" si="90"/>
        <v>51.994694072259627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9.0198490656370728E-2</v>
      </c>
      <c r="AD238" s="230">
        <f>(INDEX(Models!$BJ238:$BT238,,AH238)*(1-AF238)+INDEX(Models!$BJ238:$BT238,,AH238+1)*AF238-ERP_i)*AE238*Ramure*Pc/MaxiM</f>
        <v>2.8845322088666994E-4</v>
      </c>
      <c r="AE238" s="304">
        <f t="shared" si="92"/>
        <v>0.6</v>
      </c>
      <c r="AF238" s="177">
        <f t="shared" si="93"/>
        <v>0.4642941852614797</v>
      </c>
      <c r="AG238" s="799">
        <f t="shared" si="99"/>
        <v>0</v>
      </c>
      <c r="AH238" s="176">
        <f t="shared" si="94"/>
        <v>6</v>
      </c>
      <c r="AI238" s="224">
        <f t="shared" si="95"/>
        <v>0.4642941852614797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3">
        <v>37.442999999999998</v>
      </c>
      <c r="C239" s="388"/>
      <c r="D239" s="391">
        <f t="shared" si="77"/>
        <v>38.391268216637428</v>
      </c>
      <c r="E239" s="383">
        <f t="shared" si="100"/>
        <v>39.133902405624262</v>
      </c>
      <c r="F239" s="383">
        <f t="shared" si="78"/>
        <v>39.140155828293096</v>
      </c>
      <c r="G239" s="110">
        <f t="shared" si="101"/>
        <v>0.67769176797564512</v>
      </c>
      <c r="H239" s="412" t="b">
        <f>Wh_hp&gt;='2021'!Maxi_hp</f>
        <v>0</v>
      </c>
      <c r="I239" s="379">
        <f>IF(H239,Wh_hp,'2021'!Maxi_hp)</f>
        <v>49.870847104426645</v>
      </c>
      <c r="J239" s="85">
        <f>IF(H239,An,'2021'!An_max)</f>
        <v>2018</v>
      </c>
      <c r="K239" s="197">
        <f t="shared" si="79"/>
        <v>44786</v>
      </c>
      <c r="L239" s="147">
        <f>IF(t&lt;Tvie,1-EXP((T0-t)*PertePVj)+'2021'!Pspv,1-EXP((T0-t)*PertePVj)+Pspv)</f>
        <v>2.4700101369052541E-2</v>
      </c>
      <c r="M239" s="832"/>
      <c r="N239" s="832"/>
      <c r="O239" s="48">
        <f>IF(t&lt;Tnet,'2021'!Resal+('2021'!Salim-'2021'!Resal)*(1-EXP(('2021'!Tnet-t)/('2021'!Tau_j))),Resal+(Salim-Resal)*(1-EXP((Tnet-t)/(Tau_j))))*Salcycl</f>
        <v>1.8976747611045935E-2</v>
      </c>
      <c r="P239" s="169">
        <f>(INDEX(Models!$BJ239:$BT239,,T239)*(1-R239)+INDEX(Models!$BJ239:$BT239,,T239+1)*R239-ERP_i)*Q239*Ramure*Pc/MaxiM</f>
        <v>2.9603942166845119E-4</v>
      </c>
      <c r="Q239" s="304">
        <f t="shared" si="80"/>
        <v>0.6</v>
      </c>
      <c r="R239" s="177">
        <f t="shared" si="81"/>
        <v>0.46560804358922331</v>
      </c>
      <c r="S239" s="799">
        <f t="shared" si="82"/>
        <v>0</v>
      </c>
      <c r="T239" s="176">
        <f t="shared" si="83"/>
        <v>6</v>
      </c>
      <c r="U239" s="250">
        <f t="shared" si="84"/>
        <v>0.46560804358922331</v>
      </c>
      <c r="V239" s="382">
        <f t="shared" si="85"/>
        <v>55.243251604662817</v>
      </c>
      <c r="W239" s="400">
        <f t="shared" si="86"/>
        <v>0</v>
      </c>
      <c r="X239" s="157">
        <f t="shared" si="87"/>
        <v>44786</v>
      </c>
      <c r="Y239" s="383">
        <f t="shared" si="88"/>
        <v>34.724282325224287</v>
      </c>
      <c r="Z239" s="383">
        <f t="shared" si="89"/>
        <v>35.60369725657474</v>
      </c>
      <c r="AA239" s="384">
        <f t="shared" si="90"/>
        <v>39.133902405624262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9.0208359811879218E-2</v>
      </c>
      <c r="AD239" s="230">
        <f>(INDEX(Models!$BJ239:$BT239,,AH239)*(1-AF239)+INDEX(Models!$BJ239:$BT239,,AH239+1)*AF239-ERP_i)*AE239*Ramure*Pc/MaxiM</f>
        <v>2.9603942166845119E-4</v>
      </c>
      <c r="AE239" s="304">
        <f t="shared" si="92"/>
        <v>0.6</v>
      </c>
      <c r="AF239" s="177">
        <f t="shared" si="93"/>
        <v>0.46560804358922331</v>
      </c>
      <c r="AG239" s="799">
        <f t="shared" si="99"/>
        <v>0</v>
      </c>
      <c r="AH239" s="176">
        <f t="shared" si="94"/>
        <v>6</v>
      </c>
      <c r="AI239" s="224">
        <f t="shared" si="95"/>
        <v>0.46560804358922331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3">
        <v>35.541000000000004</v>
      </c>
      <c r="C240" s="388"/>
      <c r="D240" s="391">
        <f t="shared" si="77"/>
        <v>36.441797233960123</v>
      </c>
      <c r="E240" s="383">
        <f t="shared" si="100"/>
        <v>37.149662807448074</v>
      </c>
      <c r="F240" s="383">
        <f t="shared" si="78"/>
        <v>37.15523583911348</v>
      </c>
      <c r="G240" s="110">
        <f t="shared" si="101"/>
        <v>0.64516396633097017</v>
      </c>
      <c r="H240" s="412" t="b">
        <f>Wh_hp&gt;='2021'!Maxi_hp</f>
        <v>0</v>
      </c>
      <c r="I240" s="379">
        <f>IF(H240,Wh_hp,'2021'!Maxi_hp)</f>
        <v>56.99494858795164</v>
      </c>
      <c r="J240" s="85">
        <f>IF(H240,An,'2021'!An_max)</f>
        <v>2018</v>
      </c>
      <c r="K240" s="197">
        <f t="shared" si="79"/>
        <v>44787</v>
      </c>
      <c r="L240" s="147">
        <f>IF(t&lt;Tvie,1-EXP((T0-t)*PertePVj)+'2021'!Pspv,1-EXP((T0-t)*PertePVj)+Pspv)</f>
        <v>2.4718792769108155E-2</v>
      </c>
      <c r="M240" s="832"/>
      <c r="N240" s="832"/>
      <c r="O240" s="48">
        <f>IF(t&lt;Tnet,'2021'!Resal+('2021'!Salim-'2021'!Resal)*(1-EXP(('2021'!Tnet-t)/('2021'!Tau_j))),Resal+(Salim-Resal)*(1-EXP((Tnet-t)/(Tau_j))))*Salcycl</f>
        <v>1.9054427954216285E-2</v>
      </c>
      <c r="P240" s="169">
        <f>(INDEX(Models!$BJ240:$BT240,,T240)*(1-R240)+INDEX(Models!$BJ240:$BT240,,T240+1)*R240-ERP_i)*Q240*Ramure*Pc/MaxiM</f>
        <v>3.0410177698661104E-4</v>
      </c>
      <c r="Q240" s="304">
        <f t="shared" si="80"/>
        <v>0.6</v>
      </c>
      <c r="R240" s="177">
        <f t="shared" si="81"/>
        <v>0.46687599015017223</v>
      </c>
      <c r="S240" s="799">
        <f t="shared" si="82"/>
        <v>0</v>
      </c>
      <c r="T240" s="176">
        <f t="shared" si="83"/>
        <v>6</v>
      </c>
      <c r="U240" s="250">
        <f t="shared" si="84"/>
        <v>0.46687599015017223</v>
      </c>
      <c r="V240" s="382">
        <f t="shared" si="85"/>
        <v>55.079830645973459</v>
      </c>
      <c r="W240" s="400">
        <f t="shared" si="86"/>
        <v>0</v>
      </c>
      <c r="X240" s="157">
        <f t="shared" si="87"/>
        <v>44787</v>
      </c>
      <c r="Y240" s="383">
        <f t="shared" si="88"/>
        <v>32.962646463789937</v>
      </c>
      <c r="Z240" s="383">
        <f t="shared" si="89"/>
        <v>33.798094559189259</v>
      </c>
      <c r="AA240" s="384">
        <f t="shared" si="90"/>
        <v>37.149662807448074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9.0217999168134153E-2</v>
      </c>
      <c r="AD240" s="230">
        <f>(INDEX(Models!$BJ240:$BT240,,AH240)*(1-AF240)+INDEX(Models!$BJ240:$BT240,,AH240+1)*AF240-ERP_i)*AE240*Ramure*Pc/MaxiM</f>
        <v>3.0410177698661104E-4</v>
      </c>
      <c r="AE240" s="304">
        <f t="shared" si="92"/>
        <v>0.6</v>
      </c>
      <c r="AF240" s="177">
        <f t="shared" si="93"/>
        <v>0.46687599015017223</v>
      </c>
      <c r="AG240" s="799">
        <f t="shared" si="99"/>
        <v>0</v>
      </c>
      <c r="AH240" s="176">
        <f t="shared" si="94"/>
        <v>6</v>
      </c>
      <c r="AI240" s="224">
        <f t="shared" si="95"/>
        <v>0.46687599015017223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3">
        <v>40.261000000000003</v>
      </c>
      <c r="C241" s="388"/>
      <c r="D241" s="391">
        <f t="shared" si="77"/>
        <v>41.282218204514166</v>
      </c>
      <c r="E241" s="383">
        <f t="shared" si="100"/>
        <v>42.087434274386354</v>
      </c>
      <c r="F241" s="383">
        <f t="shared" si="78"/>
        <v>42.095574342249023</v>
      </c>
      <c r="G241" s="110">
        <f t="shared" si="101"/>
        <v>0.73308679904103169</v>
      </c>
      <c r="H241" s="412" t="b">
        <f>Wh_hp&gt;='2021'!Maxi_hp</f>
        <v>0</v>
      </c>
      <c r="I241" s="379">
        <f>IF(H241,Wh_hp,'2021'!Maxi_hp)</f>
        <v>50.673625731633024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2.4737483810947314E-2</v>
      </c>
      <c r="M241" s="832"/>
      <c r="N241" s="832"/>
      <c r="O241" s="48">
        <f>IF(t&lt;Tnet,'2021'!Resal+('2021'!Salim-'2021'!Resal)*(1-EXP(('2021'!Tnet-t)/('2021'!Tau_j))),Resal+(Salim-Resal)*(1-EXP((Tnet-t)/(Tau_j))))*Salcycl</f>
        <v>1.9131982829426727E-2</v>
      </c>
      <c r="P241" s="169">
        <f>(INDEX(Models!$BJ241:$BT241,,T241)*(1-R241)+INDEX(Models!$BJ241:$BT241,,T241+1)*R241-ERP_i)*Q241*Ramure*Pc/MaxiM</f>
        <v>3.1248350576878981E-4</v>
      </c>
      <c r="Q241" s="304">
        <f t="shared" si="80"/>
        <v>0.6</v>
      </c>
      <c r="R241" s="177">
        <f t="shared" si="81"/>
        <v>0.46809937467321244</v>
      </c>
      <c r="S241" s="799">
        <f t="shared" si="82"/>
        <v>0</v>
      </c>
      <c r="T241" s="176">
        <f t="shared" si="83"/>
        <v>6</v>
      </c>
      <c r="U241" s="250">
        <f t="shared" si="84"/>
        <v>0.46809937467321244</v>
      </c>
      <c r="V241" s="382">
        <f t="shared" si="85"/>
        <v>54.913283857950404</v>
      </c>
      <c r="W241" s="400">
        <f t="shared" si="86"/>
        <v>0</v>
      </c>
      <c r="X241" s="157">
        <f t="shared" si="87"/>
        <v>44788</v>
      </c>
      <c r="Y241" s="383">
        <f t="shared" si="88"/>
        <v>37.342796279468693</v>
      </c>
      <c r="Z241" s="383">
        <f t="shared" si="89"/>
        <v>38.289994395960015</v>
      </c>
      <c r="AA241" s="384">
        <f t="shared" si="90"/>
        <v>42.087434274386354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9.0227402641585908E-2</v>
      </c>
      <c r="AD241" s="230">
        <f>(INDEX(Models!$BJ241:$BT241,,AH241)*(1-AF241)+INDEX(Models!$BJ241:$BT241,,AH241+1)*AF241-ERP_i)*AE241*Ramure*Pc/MaxiM</f>
        <v>3.1248350576878981E-4</v>
      </c>
      <c r="AE241" s="304">
        <f t="shared" si="92"/>
        <v>0.6</v>
      </c>
      <c r="AF241" s="177">
        <f t="shared" si="93"/>
        <v>0.46809937467321244</v>
      </c>
      <c r="AG241" s="799">
        <f t="shared" si="99"/>
        <v>0</v>
      </c>
      <c r="AH241" s="176">
        <f t="shared" si="94"/>
        <v>6</v>
      </c>
      <c r="AI241" s="224">
        <f t="shared" si="95"/>
        <v>0.46809937467321244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3">
        <v>37.238</v>
      </c>
      <c r="C242" s="388"/>
      <c r="D242" s="391">
        <f t="shared" si="77"/>
        <v>38.183271737917742</v>
      </c>
      <c r="E242" s="383">
        <f t="shared" si="100"/>
        <v>38.931115507428771</v>
      </c>
      <c r="F242" s="383">
        <f t="shared" si="78"/>
        <v>38.937908790046109</v>
      </c>
      <c r="G242" s="110">
        <f t="shared" si="101"/>
        <v>0.68012826676608695</v>
      </c>
      <c r="H242" s="412" t="b">
        <f>Wh_hp&gt;='2021'!Maxi_hp</f>
        <v>0</v>
      </c>
      <c r="I242" s="379">
        <f>IF(H242,Wh_hp,'2021'!Maxi_hp)</f>
        <v>55.891220971481495</v>
      </c>
      <c r="J242" s="85">
        <f>IF(H242,An,'2021'!An_max)</f>
        <v>2018</v>
      </c>
      <c r="K242" s="197">
        <f t="shared" si="79"/>
        <v>44789</v>
      </c>
      <c r="L242" s="147">
        <f>IF(t&lt;Tvie,1-EXP((T0-t)*PertePVj)+'2021'!Pspv,1-EXP((T0-t)*PertePVj)+Pspv)</f>
        <v>2.475617449457701E-2</v>
      </c>
      <c r="M242" s="832"/>
      <c r="N242" s="832"/>
      <c r="O242" s="48">
        <f>IF(t&lt;Tnet,'2021'!Resal+('2021'!Salim-'2021'!Resal)*(1-EXP(('2021'!Tnet-t)/('2021'!Tau_j))),Resal+(Salim-Resal)*(1-EXP((Tnet-t)/(Tau_j))))*Salcycl</f>
        <v>1.9209410256131088E-2</v>
      </c>
      <c r="P242" s="169">
        <f>(INDEX(Models!$BJ242:$BT242,,T242)*(1-R242)+INDEX(Models!$BJ242:$BT242,,T242+1)*R242-ERP_i)*Q242*Ramure*Pc/MaxiM</f>
        <v>3.211891756649169E-4</v>
      </c>
      <c r="Q242" s="304">
        <f t="shared" si="80"/>
        <v>0.6</v>
      </c>
      <c r="R242" s="177">
        <f t="shared" si="81"/>
        <v>0.46927952630123121</v>
      </c>
      <c r="S242" s="799">
        <f t="shared" si="82"/>
        <v>0</v>
      </c>
      <c r="T242" s="176">
        <f t="shared" si="83"/>
        <v>6</v>
      </c>
      <c r="U242" s="250">
        <f t="shared" si="84"/>
        <v>0.46927952630123121</v>
      </c>
      <c r="V242" s="382">
        <f t="shared" si="85"/>
        <v>54.743402284992236</v>
      </c>
      <c r="W242" s="400">
        <f t="shared" si="86"/>
        <v>0</v>
      </c>
      <c r="X242" s="157">
        <f t="shared" si="87"/>
        <v>44789</v>
      </c>
      <c r="Y242" s="383">
        <f t="shared" si="88"/>
        <v>34.541288643372617</v>
      </c>
      <c r="Z242" s="383">
        <f t="shared" si="89"/>
        <v>35.418105441961131</v>
      </c>
      <c r="AA242" s="384">
        <f t="shared" si="90"/>
        <v>38.931115507428771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9.0236563213743362E-2</v>
      </c>
      <c r="AD242" s="230">
        <f>(INDEX(Models!$BJ242:$BT242,,AH242)*(1-AF242)+INDEX(Models!$BJ242:$BT242,,AH242+1)*AF242-ERP_i)*AE242*Ramure*Pc/MaxiM</f>
        <v>3.211891756649169E-4</v>
      </c>
      <c r="AE242" s="304">
        <f t="shared" si="92"/>
        <v>0.6</v>
      </c>
      <c r="AF242" s="177">
        <f t="shared" si="93"/>
        <v>0.46927952630123121</v>
      </c>
      <c r="AG242" s="799">
        <f t="shared" si="99"/>
        <v>0</v>
      </c>
      <c r="AH242" s="176">
        <f t="shared" si="94"/>
        <v>6</v>
      </c>
      <c r="AI242" s="224">
        <f t="shared" si="95"/>
        <v>0.46927952630123121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3">
        <v>29.876000000000001</v>
      </c>
      <c r="C243" s="388"/>
      <c r="D243" s="391">
        <f t="shared" si="77"/>
        <v>30.634977424454739</v>
      </c>
      <c r="E243" s="383">
        <f t="shared" si="100"/>
        <v>31.237444904569976</v>
      </c>
      <c r="F243" s="383">
        <f t="shared" si="78"/>
        <v>31.241092252829237</v>
      </c>
      <c r="G243" s="110">
        <f t="shared" si="101"/>
        <v>0.54736364349244138</v>
      </c>
      <c r="H243" s="412" t="b">
        <f>Wh_hp&gt;='2021'!Maxi_hp</f>
        <v>0</v>
      </c>
      <c r="I243" s="379">
        <f>IF(H243,Wh_hp,'2021'!Maxi_hp)</f>
        <v>54.973908818601828</v>
      </c>
      <c r="J243" s="85">
        <f>IF(H243,An,'2021'!An_max)</f>
        <v>2018</v>
      </c>
      <c r="K243" s="197">
        <f t="shared" si="79"/>
        <v>44790</v>
      </c>
      <c r="L243" s="147">
        <f>IF(t&lt;Tvie,1-EXP((T0-t)*PertePVj)+'2021'!Pspv,1-EXP((T0-t)*PertePVj)+Pspv)</f>
        <v>2.4774864820003906E-2</v>
      </c>
      <c r="M243" s="832"/>
      <c r="N243" s="832"/>
      <c r="O243" s="48">
        <f>IF(t&lt;Tnet,'2021'!Resal+('2021'!Salim-'2021'!Resal)*(1-EXP(('2021'!Tnet-t)/('2021'!Tau_j))),Resal+(Salim-Resal)*(1-EXP((Tnet-t)/(Tau_j))))*Salcycl</f>
        <v>1.928670805041088E-2</v>
      </c>
      <c r="P243" s="169">
        <f>(INDEX(Models!$BJ243:$BT243,,T243)*(1-R243)+INDEX(Models!$BJ243:$BT243,,T243+1)*R243-ERP_i)*Q243*Ramure*Pc/MaxiM</f>
        <v>3.3022353731242365E-4</v>
      </c>
      <c r="Q243" s="304">
        <f t="shared" si="80"/>
        <v>0.6</v>
      </c>
      <c r="R243" s="177">
        <f t="shared" si="81"/>
        <v>0.47041775233608385</v>
      </c>
      <c r="S243" s="799">
        <f t="shared" si="82"/>
        <v>0</v>
      </c>
      <c r="T243" s="176">
        <f t="shared" si="83"/>
        <v>6</v>
      </c>
      <c r="U243" s="250">
        <f t="shared" si="84"/>
        <v>0.47041775233608385</v>
      </c>
      <c r="V243" s="382">
        <f t="shared" si="85"/>
        <v>54.569977067210843</v>
      </c>
      <c r="W243" s="400">
        <f t="shared" si="86"/>
        <v>0</v>
      </c>
      <c r="X243" s="157">
        <f t="shared" si="87"/>
        <v>44790</v>
      </c>
      <c r="Y243" s="383">
        <f t="shared" si="88"/>
        <v>27.714344723592987</v>
      </c>
      <c r="Z243" s="383">
        <f t="shared" si="89"/>
        <v>28.418406913269092</v>
      </c>
      <c r="AA243" s="384">
        <f t="shared" si="90"/>
        <v>31.237444904569976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9.0245473018456313E-2</v>
      </c>
      <c r="AD243" s="230">
        <f>(INDEX(Models!$BJ243:$BT243,,AH243)*(1-AF243)+INDEX(Models!$BJ243:$BT243,,AH243+1)*AF243-ERP_i)*AE243*Ramure*Pc/MaxiM</f>
        <v>3.3022353731242365E-4</v>
      </c>
      <c r="AE243" s="304">
        <f t="shared" si="92"/>
        <v>0.6</v>
      </c>
      <c r="AF243" s="177">
        <f t="shared" si="93"/>
        <v>0.47041775233608385</v>
      </c>
      <c r="AG243" s="799">
        <f t="shared" si="99"/>
        <v>0</v>
      </c>
      <c r="AH243" s="176">
        <f t="shared" si="94"/>
        <v>6</v>
      </c>
      <c r="AI243" s="224">
        <f t="shared" si="95"/>
        <v>0.47041775233608385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3">
        <v>37.905000000000001</v>
      </c>
      <c r="C244" s="388"/>
      <c r="D244" s="391">
        <f t="shared" si="77"/>
        <v>38.868693071168231</v>
      </c>
      <c r="E244" s="383">
        <f t="shared" si="100"/>
        <v>39.63620351548952</v>
      </c>
      <c r="F244" s="383">
        <f t="shared" si="78"/>
        <v>39.643836398402165</v>
      </c>
      <c r="G244" s="110">
        <f t="shared" si="101"/>
        <v>0.69677283011248314</v>
      </c>
      <c r="H244" s="412" t="b">
        <f>Wh_hp&gt;='2021'!Maxi_hp</f>
        <v>0</v>
      </c>
      <c r="I244" s="379">
        <f>IF(H244,Wh_hp,'2021'!Maxi_hp)</f>
        <v>54.287330596628593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2.4793554787234995E-2</v>
      </c>
      <c r="M244" s="832"/>
      <c r="N244" s="832"/>
      <c r="O244" s="48">
        <f>IF(t&lt;Tnet,'2021'!Resal+('2021'!Salim-'2021'!Resal)*(1-EXP(('2021'!Tnet-t)/('2021'!Tau_j))),Resal+(Salim-Resal)*(1-EXP((Tnet-t)/(Tau_j))))*Salcycl</f>
        <v>1.9363873838758344E-2</v>
      </c>
      <c r="P244" s="169">
        <f>(INDEX(Models!$BJ244:$BT244,,T244)*(1-R244)+INDEX(Models!$BJ244:$BT244,,T244+1)*R244-ERP_i)*Q244*Ramure*Pc/MaxiM</f>
        <v>3.3959154014879254E-4</v>
      </c>
      <c r="Q244" s="304">
        <f t="shared" si="80"/>
        <v>0.6</v>
      </c>
      <c r="R244" s="177">
        <f t="shared" si="81"/>
        <v>0.47151533714089744</v>
      </c>
      <c r="S244" s="799">
        <f t="shared" si="82"/>
        <v>0</v>
      </c>
      <c r="T244" s="176">
        <f t="shared" si="83"/>
        <v>6</v>
      </c>
      <c r="U244" s="250">
        <f t="shared" si="84"/>
        <v>0.47151533714089744</v>
      </c>
      <c r="V244" s="382">
        <f t="shared" si="85"/>
        <v>54.392799438916121</v>
      </c>
      <c r="W244" s="400">
        <f t="shared" si="86"/>
        <v>0</v>
      </c>
      <c r="X244" s="157">
        <f t="shared" si="87"/>
        <v>44791</v>
      </c>
      <c r="Y244" s="383">
        <f t="shared" si="88"/>
        <v>35.164845075273824</v>
      </c>
      <c r="Z244" s="383">
        <f t="shared" si="89"/>
        <v>36.058872711410103</v>
      </c>
      <c r="AA244" s="384">
        <f t="shared" si="90"/>
        <v>39.63620351548952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9.0254123422325819E-2</v>
      </c>
      <c r="AD244" s="230">
        <f>(INDEX(Models!$BJ244:$BT244,,AH244)*(1-AF244)+INDEX(Models!$BJ244:$BT244,,AH244+1)*AF244-ERP_i)*AE244*Ramure*Pc/MaxiM</f>
        <v>3.3959154014879254E-4</v>
      </c>
      <c r="AE244" s="304">
        <f t="shared" si="92"/>
        <v>0.6</v>
      </c>
      <c r="AF244" s="177">
        <f t="shared" si="93"/>
        <v>0.47151533714089744</v>
      </c>
      <c r="AG244" s="799">
        <f t="shared" si="99"/>
        <v>0</v>
      </c>
      <c r="AH244" s="176">
        <f t="shared" si="94"/>
        <v>6</v>
      </c>
      <c r="AI244" s="224">
        <f t="shared" si="95"/>
        <v>0.47151533714089744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3">
        <v>43.177</v>
      </c>
      <c r="C245" s="388"/>
      <c r="D245" s="391">
        <f t="shared" si="77"/>
        <v>44.27557642299336</v>
      </c>
      <c r="E245" s="383">
        <f t="shared" si="100"/>
        <v>45.153399373835477</v>
      </c>
      <c r="F245" s="383">
        <f t="shared" si="78"/>
        <v>45.164587929878692</v>
      </c>
      <c r="G245" s="110">
        <f t="shared" si="101"/>
        <v>0.79637134981098201</v>
      </c>
      <c r="H245" s="412" t="b">
        <f>Wh_hp&gt;='2021'!Maxi_hp</f>
        <v>0</v>
      </c>
      <c r="I245" s="379">
        <f>IF(H245,Wh_hp,'2021'!Maxi_hp)</f>
        <v>46.197672752985881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2.4812244396277161E-2</v>
      </c>
      <c r="M245" s="832"/>
      <c r="N245" s="832"/>
      <c r="O245" s="48">
        <f>IF(t&lt;Tnet,'2021'!Resal+('2021'!Salim-'2021'!Resal)*(1-EXP(('2021'!Tnet-t)/('2021'!Tau_j))),Resal+(Salim-Resal)*(1-EXP((Tnet-t)/(Tau_j))))*Salcycl</f>
        <v>1.9440905070610855E-2</v>
      </c>
      <c r="P245" s="169">
        <f>(INDEX(Models!$BJ245:$BT245,,T245)*(1-R245)+INDEX(Models!$BJ245:$BT245,,T245+1)*R245-ERP_i)*Q245*Ramure*Pc/MaxiM</f>
        <v>3.4929834877400816E-4</v>
      </c>
      <c r="Q245" s="304">
        <f t="shared" si="80"/>
        <v>0.6</v>
      </c>
      <c r="R245" s="177">
        <f t="shared" si="81"/>
        <v>0.47257354119033679</v>
      </c>
      <c r="S245" s="799">
        <f t="shared" si="82"/>
        <v>0</v>
      </c>
      <c r="T245" s="176">
        <f t="shared" si="83"/>
        <v>6</v>
      </c>
      <c r="U245" s="250">
        <f t="shared" si="84"/>
        <v>0.47257354119033679</v>
      </c>
      <c r="V245" s="382">
        <f t="shared" si="85"/>
        <v>54.21166073165773</v>
      </c>
      <c r="W245" s="400">
        <f t="shared" si="86"/>
        <v>0</v>
      </c>
      <c r="X245" s="157">
        <f t="shared" si="87"/>
        <v>44792</v>
      </c>
      <c r="Y245" s="383">
        <f t="shared" si="88"/>
        <v>40.058509497827316</v>
      </c>
      <c r="Z245" s="383">
        <f t="shared" si="89"/>
        <v>41.077740432690057</v>
      </c>
      <c r="AA245" s="384">
        <f t="shared" si="90"/>
        <v>45.153399373835477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9.0262505097392448E-2</v>
      </c>
      <c r="AD245" s="230">
        <f>(INDEX(Models!$BJ245:$BT245,,AH245)*(1-AF245)+INDEX(Models!$BJ245:$BT245,,AH245+1)*AF245-ERP_i)*AE245*Ramure*Pc/MaxiM</f>
        <v>3.4929834877400816E-4</v>
      </c>
      <c r="AE245" s="304">
        <f t="shared" si="92"/>
        <v>0.6</v>
      </c>
      <c r="AF245" s="177">
        <f t="shared" si="93"/>
        <v>0.47257354119033679</v>
      </c>
      <c r="AG245" s="799">
        <f t="shared" si="99"/>
        <v>0</v>
      </c>
      <c r="AH245" s="176">
        <f t="shared" si="94"/>
        <v>6</v>
      </c>
      <c r="AI245" s="224">
        <f t="shared" si="95"/>
        <v>0.47257354119033679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3">
        <v>51.850999999999999</v>
      </c>
      <c r="C246" s="388"/>
      <c r="D246" s="391">
        <f t="shared" si="77"/>
        <v>53.171292844555666</v>
      </c>
      <c r="E246" s="383">
        <f t="shared" si="100"/>
        <v>54.229737971706463</v>
      </c>
      <c r="F246" s="383">
        <f t="shared" si="78"/>
        <v>54.248110681105196</v>
      </c>
      <c r="G246" s="110">
        <f t="shared" si="101"/>
        <v>0.95971550179647835</v>
      </c>
      <c r="H246" s="412" t="b">
        <f>Wh_hp&gt;='2021'!Maxi_hp</f>
        <v>1</v>
      </c>
      <c r="I246" s="379">
        <f>IF(H246,Wh_hp,'2021'!Maxi_hp)</f>
        <v>54.248110681105196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2.4830933647137288E-2</v>
      </c>
      <c r="M246" s="832"/>
      <c r="N246" s="832"/>
      <c r="O246" s="48">
        <f>IF(t&lt;Tnet,'2021'!Resal+('2021'!Salim-'2021'!Resal)*(1-EXP(('2021'!Tnet-t)/('2021'!Tau_j))),Resal+(Salim-Resal)*(1-EXP((Tnet-t)/(Tau_j))))*Salcycl</f>
        <v>1.9517799029437077E-2</v>
      </c>
      <c r="P246" s="169">
        <f>(INDEX(Models!$BJ246:$BT246,,T246)*(1-R246)+INDEX(Models!$BJ246:$BT246,,T246+1)*R246-ERP_i)*Q246*Ramure*Pc/MaxiM</f>
        <v>3.593493599907776E-4</v>
      </c>
      <c r="Q246" s="304">
        <f t="shared" si="80"/>
        <v>0.6</v>
      </c>
      <c r="R246" s="177">
        <f t="shared" si="81"/>
        <v>0.47359360025962205</v>
      </c>
      <c r="S246" s="799">
        <f t="shared" si="82"/>
        <v>0</v>
      </c>
      <c r="T246" s="176">
        <f t="shared" si="83"/>
        <v>6</v>
      </c>
      <c r="U246" s="250">
        <f t="shared" si="84"/>
        <v>0.47359360025962205</v>
      </c>
      <c r="V246" s="382">
        <f t="shared" si="85"/>
        <v>54.02635236580317</v>
      </c>
      <c r="W246" s="400">
        <f t="shared" si="86"/>
        <v>0</v>
      </c>
      <c r="X246" s="157">
        <f t="shared" si="87"/>
        <v>44793</v>
      </c>
      <c r="Y246" s="383">
        <f t="shared" si="88"/>
        <v>48.109367669776233</v>
      </c>
      <c r="Z246" s="383">
        <f t="shared" si="89"/>
        <v>49.334386548688954</v>
      </c>
      <c r="AA246" s="384">
        <f t="shared" si="90"/>
        <v>54.229737971706463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9.0270608085393722E-2</v>
      </c>
      <c r="AD246" s="230">
        <f>(INDEX(Models!$BJ246:$BT246,,AH246)*(1-AF246)+INDEX(Models!$BJ246:$BT246,,AH246+1)*AF246-ERP_i)*AE246*Ramure*Pc/MaxiM</f>
        <v>3.593493599907776E-4</v>
      </c>
      <c r="AE246" s="304">
        <f t="shared" si="92"/>
        <v>0.6</v>
      </c>
      <c r="AF246" s="177">
        <f t="shared" si="93"/>
        <v>0.47359360025962205</v>
      </c>
      <c r="AG246" s="799">
        <f t="shared" si="99"/>
        <v>0</v>
      </c>
      <c r="AH246" s="176">
        <f t="shared" si="94"/>
        <v>6</v>
      </c>
      <c r="AI246" s="224">
        <f t="shared" si="95"/>
        <v>0.47359360025962205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3">
        <v>35.024999999999999</v>
      </c>
      <c r="C247" s="388"/>
      <c r="D247" s="391">
        <f t="shared" si="77"/>
        <v>35.917537243049786</v>
      </c>
      <c r="E247" s="383">
        <f t="shared" si="100"/>
        <v>36.635391354847094</v>
      </c>
      <c r="F247" s="383">
        <f t="shared" si="78"/>
        <v>36.642176597435551</v>
      </c>
      <c r="G247" s="110">
        <f t="shared" si="101"/>
        <v>0.65045248162638991</v>
      </c>
      <c r="H247" s="412" t="b">
        <f>Wh_hp&gt;='2021'!Maxi_hp</f>
        <v>0</v>
      </c>
      <c r="I247" s="379">
        <f>IF(H247,Wh_hp,'2021'!Maxi_hp)</f>
        <v>54.553633144965026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2.4849622539822036E-2</v>
      </c>
      <c r="M247" s="832"/>
      <c r="N247" s="832"/>
      <c r="O247" s="48">
        <f>IF(t&lt;Tnet,'2021'!Resal+('2021'!Salim-'2021'!Resal)*(1-EXP(('2021'!Tnet-t)/('2021'!Tau_j))),Resal+(Salim-Resal)*(1-EXP((Tnet-t)/(Tau_j))))*Salcycl</f>
        <v>1.9594552842202181E-2</v>
      </c>
      <c r="P247" s="169">
        <f>(INDEX(Models!$BJ247:$BT247,,T247)*(1-R247)+INDEX(Models!$BJ247:$BT247,,T247+1)*R247-ERP_i)*Q247*Ramure*Pc/MaxiM</f>
        <v>3.6974661803951855E-4</v>
      </c>
      <c r="Q247" s="304">
        <f t="shared" si="80"/>
        <v>0.6</v>
      </c>
      <c r="R247" s="177">
        <f t="shared" si="81"/>
        <v>0.47457672474328627</v>
      </c>
      <c r="S247" s="799">
        <f t="shared" si="82"/>
        <v>0</v>
      </c>
      <c r="T247" s="176">
        <f t="shared" si="83"/>
        <v>6</v>
      </c>
      <c r="U247" s="250">
        <f t="shared" si="84"/>
        <v>0.47457672474328627</v>
      </c>
      <c r="V247" s="382">
        <f t="shared" si="85"/>
        <v>53.837190566990721</v>
      </c>
      <c r="W247" s="400">
        <f t="shared" si="86"/>
        <v>0</v>
      </c>
      <c r="X247" s="157">
        <f t="shared" si="87"/>
        <v>44794</v>
      </c>
      <c r="Y247" s="383">
        <f t="shared" si="88"/>
        <v>32.499817669280276</v>
      </c>
      <c r="Z247" s="383">
        <f t="shared" si="89"/>
        <v>33.328006039363366</v>
      </c>
      <c r="AA247" s="384">
        <f t="shared" si="90"/>
        <v>36.635391354847094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9.0278421853029853E-2</v>
      </c>
      <c r="AD247" s="230">
        <f>(INDEX(Models!$BJ247:$BT247,,AH247)*(1-AF247)+INDEX(Models!$BJ247:$BT247,,AH247+1)*AF247-ERP_i)*AE247*Ramure*Pc/MaxiM</f>
        <v>3.6974661803951855E-4</v>
      </c>
      <c r="AE247" s="304">
        <f t="shared" si="92"/>
        <v>0.6</v>
      </c>
      <c r="AF247" s="177">
        <f t="shared" si="93"/>
        <v>0.47457672474328627</v>
      </c>
      <c r="AG247" s="799">
        <f t="shared" si="99"/>
        <v>0</v>
      </c>
      <c r="AH247" s="176">
        <f t="shared" si="94"/>
        <v>6</v>
      </c>
      <c r="AI247" s="224">
        <f t="shared" si="95"/>
        <v>0.47457672474328627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3">
        <v>27.914000000000001</v>
      </c>
      <c r="C248" s="388"/>
      <c r="D248" s="391">
        <f t="shared" si="77"/>
        <v>28.62587721946959</v>
      </c>
      <c r="E248" s="383">
        <f t="shared" si="100"/>
        <v>29.200280715288365</v>
      </c>
      <c r="F248" s="383">
        <f t="shared" si="78"/>
        <v>29.203779054851665</v>
      </c>
      <c r="G248" s="110">
        <f t="shared" si="101"/>
        <v>0.52021462791076922</v>
      </c>
      <c r="H248" s="412" t="b">
        <f>Wh_hp&gt;='2021'!Maxi_hp</f>
        <v>0</v>
      </c>
      <c r="I248" s="379">
        <f>IF(H248,Wh_hp,'2021'!Maxi_hp)</f>
        <v>56.59830554422004</v>
      </c>
      <c r="J248" s="85">
        <f>IF(H248,An,'2021'!An_max)</f>
        <v>2018</v>
      </c>
      <c r="K248" s="197">
        <f t="shared" si="79"/>
        <v>44795</v>
      </c>
      <c r="L248" s="147">
        <f>IF(t&lt;Tvie,1-EXP((T0-t)*PertePVj)+'2021'!Pspv,1-EXP((T0-t)*PertePVj)+Pspv)</f>
        <v>2.4868311074338512E-2</v>
      </c>
      <c r="M248" s="832"/>
      <c r="N248" s="832"/>
      <c r="O248" s="48">
        <f>IF(t&lt;Tnet,'2021'!Resal+('2021'!Salim-'2021'!Resal)*(1-EXP(('2021'!Tnet-t)/('2021'!Tau_j))),Resal+(Salim-Resal)*(1-EXP((Tnet-t)/(Tau_j))))*Salcycl</f>
        <v>1.9671163487070029E-2</v>
      </c>
      <c r="P248" s="169">
        <f>(INDEX(Models!$BJ248:$BT248,,T248)*(1-R248)+INDEX(Models!$BJ248:$BT248,,T248+1)*R248-ERP_i)*Q248*Ramure*Pc/MaxiM</f>
        <v>3.8054607381012842E-4</v>
      </c>
      <c r="Q248" s="304">
        <f t="shared" si="80"/>
        <v>0.6</v>
      </c>
      <c r="R248" s="177">
        <f t="shared" si="81"/>
        <v>0.47552409909490467</v>
      </c>
      <c r="S248" s="799">
        <f t="shared" si="82"/>
        <v>0</v>
      </c>
      <c r="T248" s="176">
        <f t="shared" si="83"/>
        <v>6</v>
      </c>
      <c r="U248" s="250">
        <f t="shared" si="84"/>
        <v>0.47552409909490467</v>
      </c>
      <c r="V248" s="382">
        <f t="shared" si="85"/>
        <v>53.644628397015126</v>
      </c>
      <c r="W248" s="400">
        <f t="shared" si="86"/>
        <v>0</v>
      </c>
      <c r="X248" s="157">
        <f t="shared" si="87"/>
        <v>44795</v>
      </c>
      <c r="Y248" s="383">
        <f t="shared" si="88"/>
        <v>25.903306579562056</v>
      </c>
      <c r="Z248" s="383">
        <f t="shared" si="89"/>
        <v>26.563906058781335</v>
      </c>
      <c r="AA248" s="384">
        <f t="shared" si="90"/>
        <v>29.200280715288365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9.0285935337830692E-2</v>
      </c>
      <c r="AD248" s="230">
        <f>(INDEX(Models!$BJ248:$BT248,,AH248)*(1-AF248)+INDEX(Models!$BJ248:$BT248,,AH248+1)*AF248-ERP_i)*AE248*Ramure*Pc/MaxiM</f>
        <v>3.8054607381012842E-4</v>
      </c>
      <c r="AE248" s="304">
        <f t="shared" si="92"/>
        <v>0.6</v>
      </c>
      <c r="AF248" s="177">
        <f t="shared" si="93"/>
        <v>0.47552409909490467</v>
      </c>
      <c r="AG248" s="799">
        <f t="shared" si="99"/>
        <v>0</v>
      </c>
      <c r="AH248" s="176">
        <f t="shared" si="94"/>
        <v>6</v>
      </c>
      <c r="AI248" s="224">
        <f t="shared" si="95"/>
        <v>0.47552409909490467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3">
        <v>50.622999999999998</v>
      </c>
      <c r="C249" s="388"/>
      <c r="D249" s="391">
        <f t="shared" si="77"/>
        <v>51.915008784725202</v>
      </c>
      <c r="E249" s="383">
        <f t="shared" si="100"/>
        <v>52.960860138670874</v>
      </c>
      <c r="F249" s="383">
        <f t="shared" si="78"/>
        <v>52.980040696951633</v>
      </c>
      <c r="G249" s="110">
        <f t="shared" si="101"/>
        <v>0.94710491039050104</v>
      </c>
      <c r="H249" s="412" t="b">
        <f>Wh_hp&gt;='2021'!Maxi_hp</f>
        <v>0</v>
      </c>
      <c r="I249" s="379">
        <f>IF(H249,Wh_hp,'2021'!Maxi_hp)</f>
        <v>53.920594526150673</v>
      </c>
      <c r="J249" s="85">
        <f>IF(H249,An,'2021'!An_max)</f>
        <v>2018</v>
      </c>
      <c r="K249" s="197">
        <f t="shared" si="79"/>
        <v>44796</v>
      </c>
      <c r="L249" s="147">
        <f>IF(t&lt;Tvie,1-EXP((T0-t)*PertePVj)+'2021'!Pspv,1-EXP((T0-t)*PertePVj)+Pspv)</f>
        <v>2.4886999250693487E-2</v>
      </c>
      <c r="M249" s="832"/>
      <c r="N249" s="832"/>
      <c r="O249" s="48">
        <f>IF(t&lt;Tnet,'2021'!Resal+('2021'!Salim-'2021'!Resal)*(1-EXP(('2021'!Tnet-t)/('2021'!Tau_j))),Resal+(Salim-Resal)*(1-EXP((Tnet-t)/(Tau_j))))*Salcycl</f>
        <v>1.9747627799232285E-2</v>
      </c>
      <c r="P249" s="169">
        <f>(INDEX(Models!$BJ249:$BT249,,T249)*(1-R249)+INDEX(Models!$BJ249:$BT249,,T249+1)*R249-ERP_i)*Q249*Ramure*Pc/MaxiM</f>
        <v>3.9160974854518331E-4</v>
      </c>
      <c r="Q249" s="304">
        <f t="shared" si="80"/>
        <v>0.6</v>
      </c>
      <c r="R249" s="177">
        <f t="shared" si="81"/>
        <v>0.47643688137929097</v>
      </c>
      <c r="S249" s="799">
        <f t="shared" si="82"/>
        <v>0</v>
      </c>
      <c r="T249" s="176">
        <f t="shared" si="83"/>
        <v>6</v>
      </c>
      <c r="U249" s="250">
        <f t="shared" si="84"/>
        <v>0.47643688137929097</v>
      </c>
      <c r="V249" s="382">
        <f t="shared" si="85"/>
        <v>53.448674663489406</v>
      </c>
      <c r="W249" s="400">
        <f t="shared" si="86"/>
        <v>0</v>
      </c>
      <c r="X249" s="157">
        <f t="shared" si="87"/>
        <v>44796</v>
      </c>
      <c r="Y249" s="383">
        <f t="shared" si="88"/>
        <v>46.979830737923329</v>
      </c>
      <c r="Z249" s="383">
        <f t="shared" si="89"/>
        <v>48.178857939359439</v>
      </c>
      <c r="AA249" s="384">
        <f t="shared" si="90"/>
        <v>52.960860138670874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9.0293136984376896E-2</v>
      </c>
      <c r="AD249" s="230">
        <f>(INDEX(Models!$BJ249:$BT249,,AH249)*(1-AF249)+INDEX(Models!$BJ249:$BT249,,AH249+1)*AF249-ERP_i)*AE249*Ramure*Pc/MaxiM</f>
        <v>3.9160974854518331E-4</v>
      </c>
      <c r="AE249" s="304">
        <f t="shared" si="92"/>
        <v>0.6</v>
      </c>
      <c r="AF249" s="177">
        <f t="shared" si="93"/>
        <v>0.47643688137929097</v>
      </c>
      <c r="AG249" s="799">
        <f t="shared" si="99"/>
        <v>0</v>
      </c>
      <c r="AH249" s="176">
        <f t="shared" si="94"/>
        <v>6</v>
      </c>
      <c r="AI249" s="224">
        <f t="shared" si="95"/>
        <v>0.47643688137929097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3">
        <v>48.261000000000003</v>
      </c>
      <c r="C250" s="388"/>
      <c r="D250" s="391">
        <f t="shared" si="77"/>
        <v>49.493673955423645</v>
      </c>
      <c r="E250" s="383">
        <f t="shared" si="100"/>
        <v>50.494677538224408</v>
      </c>
      <c r="F250" s="383">
        <f t="shared" si="78"/>
        <v>50.512307174309534</v>
      </c>
      <c r="G250" s="110">
        <f t="shared" si="101"/>
        <v>0.90627236350407214</v>
      </c>
      <c r="H250" s="412" t="b">
        <f>Wh_hp&gt;='2021'!Maxi_hp</f>
        <v>0</v>
      </c>
      <c r="I250" s="379">
        <f>IF(H250,Wh_hp,'2021'!Maxi_hp)</f>
        <v>53.710943273979339</v>
      </c>
      <c r="J250" s="85">
        <f>IF(H250,An,'2021'!An_max)</f>
        <v>2018</v>
      </c>
      <c r="K250" s="197">
        <f t="shared" si="79"/>
        <v>44797</v>
      </c>
      <c r="L250" s="147">
        <f>IF(t&lt;Tvie,1-EXP((T0-t)*PertePVj)+'2021'!Pspv,1-EXP((T0-t)*PertePVj)+Pspv)</f>
        <v>2.4905687068893845E-2</v>
      </c>
      <c r="M250" s="832"/>
      <c r="N250" s="832"/>
      <c r="O250" s="48">
        <f>IF(t&lt;Tnet,'2021'!Resal+('2021'!Salim-'2021'!Resal)*(1-EXP(('2021'!Tnet-t)/('2021'!Tau_j))),Resal+(Salim-Resal)*(1-EXP((Tnet-t)/(Tau_j))))*Salcycl</f>
        <v>1.9823942474788674E-2</v>
      </c>
      <c r="P250" s="169">
        <f>(INDEX(Models!$BJ250:$BT250,,T250)*(1-R250)+INDEX(Models!$BJ250:$BT250,,T250+1)*R250-ERP_i)*Q250*Ramure*Pc/MaxiM</f>
        <v>4.0294093537423994E-4</v>
      </c>
      <c r="Q250" s="304">
        <f t="shared" si="80"/>
        <v>0.6</v>
      </c>
      <c r="R250" s="177">
        <f t="shared" si="81"/>
        <v>0.47731620292895521</v>
      </c>
      <c r="S250" s="799">
        <f t="shared" si="82"/>
        <v>0</v>
      </c>
      <c r="T250" s="176">
        <f t="shared" si="83"/>
        <v>6</v>
      </c>
      <c r="U250" s="250">
        <f t="shared" si="84"/>
        <v>0.47731620292895521</v>
      </c>
      <c r="V250" s="382">
        <f t="shared" si="85"/>
        <v>53.249330548622304</v>
      </c>
      <c r="W250" s="400">
        <f t="shared" si="86"/>
        <v>0</v>
      </c>
      <c r="X250" s="157">
        <f t="shared" si="87"/>
        <v>44797</v>
      </c>
      <c r="Y250" s="383">
        <f t="shared" si="88"/>
        <v>44.790964490598917</v>
      </c>
      <c r="Z250" s="383">
        <f t="shared" si="89"/>
        <v>45.935007410676548</v>
      </c>
      <c r="AA250" s="384">
        <f t="shared" si="90"/>
        <v>50.494677538224408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9.0300014770788417E-2</v>
      </c>
      <c r="AD250" s="230">
        <f>(INDEX(Models!$BJ250:$BT250,,AH250)*(1-AF250)+INDEX(Models!$BJ250:$BT250,,AH250+1)*AF250-ERP_i)*AE250*Ramure*Pc/MaxiM</f>
        <v>4.0294093537423994E-4</v>
      </c>
      <c r="AE250" s="304">
        <f t="shared" si="92"/>
        <v>0.6</v>
      </c>
      <c r="AF250" s="177">
        <f t="shared" si="93"/>
        <v>0.47731620292895521</v>
      </c>
      <c r="AG250" s="799">
        <f t="shared" si="99"/>
        <v>0</v>
      </c>
      <c r="AH250" s="176">
        <f t="shared" si="94"/>
        <v>6</v>
      </c>
      <c r="AI250" s="224">
        <f t="shared" si="95"/>
        <v>0.47731620292895521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3">
        <v>33.835999999999999</v>
      </c>
      <c r="C251" s="388"/>
      <c r="D251" s="391">
        <f t="shared" si="77"/>
        <v>34.700898182798916</v>
      </c>
      <c r="E251" s="383">
        <f t="shared" si="100"/>
        <v>35.405470735169523</v>
      </c>
      <c r="F251" s="383">
        <f t="shared" si="78"/>
        <v>35.412556037544391</v>
      </c>
      <c r="G251" s="110">
        <f t="shared" si="101"/>
        <v>0.63771747289431435</v>
      </c>
      <c r="H251" s="412" t="b">
        <f>Wh_hp&gt;='2021'!Maxi_hp</f>
        <v>0</v>
      </c>
      <c r="I251" s="379">
        <f>IF(H251,Wh_hp,'2021'!Maxi_hp)</f>
        <v>50.59926404911738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2.4924374528946469E-2</v>
      </c>
      <c r="M251" s="832"/>
      <c r="N251" s="832"/>
      <c r="O251" s="48">
        <f>IF(t&lt;Tnet,'2021'!Resal+('2021'!Salim-'2021'!Resal)*(1-EXP(('2021'!Tnet-t)/('2021'!Tau_j))),Resal+(Salim-Resal)*(1-EXP((Tnet-t)/(Tau_j))))*Salcycl</f>
        <v>1.990010407263788E-2</v>
      </c>
      <c r="P251" s="169">
        <f>(INDEX(Models!$BJ251:$BT251,,T251)*(1-R251)+INDEX(Models!$BJ251:$BT251,,T251+1)*R251-ERP_i)*Q251*Ramure*Pc/MaxiM</f>
        <v>4.1454311562181097E-4</v>
      </c>
      <c r="Q251" s="304">
        <f t="shared" si="80"/>
        <v>0.6</v>
      </c>
      <c r="R251" s="177">
        <f t="shared" si="81"/>
        <v>0.47816316809691983</v>
      </c>
      <c r="S251" s="799">
        <f t="shared" si="82"/>
        <v>0</v>
      </c>
      <c r="T251" s="176">
        <f t="shared" si="83"/>
        <v>6</v>
      </c>
      <c r="U251" s="250">
        <f t="shared" si="84"/>
        <v>0.47816316809691983</v>
      </c>
      <c r="V251" s="382">
        <f t="shared" si="85"/>
        <v>53.046597234236735</v>
      </c>
      <c r="W251" s="400">
        <f t="shared" si="86"/>
        <v>0</v>
      </c>
      <c r="X251" s="157">
        <f t="shared" si="87"/>
        <v>44798</v>
      </c>
      <c r="Y251" s="383">
        <f t="shared" si="88"/>
        <v>31.405357241088094</v>
      </c>
      <c r="Z251" s="383">
        <f t="shared" si="89"/>
        <v>32.208124601531644</v>
      </c>
      <c r="AA251" s="384">
        <f t="shared" si="90"/>
        <v>35.405470735169523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9.0306556225556528E-2</v>
      </c>
      <c r="AD251" s="230">
        <f>(INDEX(Models!$BJ251:$BT251,,AH251)*(1-AF251)+INDEX(Models!$BJ251:$BT251,,AH251+1)*AF251-ERP_i)*AE251*Ramure*Pc/MaxiM</f>
        <v>4.1454311562181097E-4</v>
      </c>
      <c r="AE251" s="304">
        <f t="shared" si="92"/>
        <v>0.6</v>
      </c>
      <c r="AF251" s="177">
        <f t="shared" si="93"/>
        <v>0.47816316809691983</v>
      </c>
      <c r="AG251" s="799">
        <f t="shared" si="99"/>
        <v>0</v>
      </c>
      <c r="AH251" s="176">
        <f t="shared" si="94"/>
        <v>6</v>
      </c>
      <c r="AI251" s="224">
        <f t="shared" si="95"/>
        <v>0.47816316809691983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3">
        <v>44.933999999999997</v>
      </c>
      <c r="C252" s="388"/>
      <c r="D252" s="391">
        <f t="shared" si="77"/>
        <v>46.083462649017797</v>
      </c>
      <c r="E252" s="383">
        <f t="shared" si="100"/>
        <v>47.022795130709476</v>
      </c>
      <c r="F252" s="383">
        <f t="shared" si="78"/>
        <v>47.038565743553455</v>
      </c>
      <c r="G252" s="110">
        <f t="shared" si="101"/>
        <v>0.85029330488419841</v>
      </c>
      <c r="H252" s="412" t="b">
        <f>Wh_hp&gt;='2021'!Maxi_hp</f>
        <v>0</v>
      </c>
      <c r="I252" s="379">
        <f>IF(H252,Wh_hp,'2021'!Maxi_hp)</f>
        <v>53.844483293966427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2.4943061630858132E-2</v>
      </c>
      <c r="M252" s="832"/>
      <c r="N252" s="832"/>
      <c r="O252" s="48">
        <f>IF(t&lt;Tnet,'2021'!Resal+('2021'!Salim-'2021'!Resal)*(1-EXP(('2021'!Tnet-t)/('2021'!Tau_j))),Resal+(Salim-Resal)*(1-EXP((Tnet-t)/(Tau_j))))*Salcycl</f>
        <v>1.9976109014375042E-2</v>
      </c>
      <c r="P252" s="169">
        <f>(INDEX(Models!$BJ252:$BT252,,T252)*(1-R252)+INDEX(Models!$BJ252:$BT252,,T252+1)*R252-ERP_i)*Q252*Ramure*Pc/MaxiM</f>
        <v>4.264195639817988E-4</v>
      </c>
      <c r="Q252" s="304">
        <f t="shared" si="80"/>
        <v>0.6</v>
      </c>
      <c r="R252" s="177">
        <f t="shared" si="81"/>
        <v>0.47897885409832347</v>
      </c>
      <c r="S252" s="799">
        <f t="shared" si="82"/>
        <v>0</v>
      </c>
      <c r="T252" s="176">
        <f t="shared" si="83"/>
        <v>6</v>
      </c>
      <c r="U252" s="250">
        <f t="shared" si="84"/>
        <v>0.47897885409832347</v>
      </c>
      <c r="V252" s="382">
        <f t="shared" si="85"/>
        <v>52.840475924014406</v>
      </c>
      <c r="W252" s="400">
        <f t="shared" si="86"/>
        <v>0</v>
      </c>
      <c r="X252" s="157">
        <f t="shared" si="87"/>
        <v>44799</v>
      </c>
      <c r="Y252" s="383">
        <f t="shared" si="88"/>
        <v>41.709071929577327</v>
      </c>
      <c r="Z252" s="383">
        <f t="shared" si="89"/>
        <v>42.776037263361232</v>
      </c>
      <c r="AA252" s="384">
        <f t="shared" si="90"/>
        <v>47.022795130709476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9.0312748434956028E-2</v>
      </c>
      <c r="AD252" s="230">
        <f>(INDEX(Models!$BJ252:$BT252,,AH252)*(1-AF252)+INDEX(Models!$BJ252:$BT252,,AH252+1)*AF252-ERP_i)*AE252*Ramure*Pc/MaxiM</f>
        <v>4.264195639817988E-4</v>
      </c>
      <c r="AE252" s="304">
        <f t="shared" si="92"/>
        <v>0.6</v>
      </c>
      <c r="AF252" s="177">
        <f t="shared" si="93"/>
        <v>0.47897885409832347</v>
      </c>
      <c r="AG252" s="799">
        <f t="shared" si="99"/>
        <v>0</v>
      </c>
      <c r="AH252" s="176">
        <f t="shared" si="94"/>
        <v>6</v>
      </c>
      <c r="AI252" s="224">
        <f t="shared" si="95"/>
        <v>0.47897885409832347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3">
        <v>51.1</v>
      </c>
      <c r="C253" s="388"/>
      <c r="D253" s="391">
        <f t="shared" si="77"/>
        <v>52.40820030887771</v>
      </c>
      <c r="E253" s="383">
        <f t="shared" si="100"/>
        <v>53.480590629735332</v>
      </c>
      <c r="F253" s="383">
        <f t="shared" si="78"/>
        <v>53.503080570691075</v>
      </c>
      <c r="G253" s="110">
        <f t="shared" si="101"/>
        <v>0.97089357115947528</v>
      </c>
      <c r="H253" s="412" t="b">
        <f>Wh_hp&gt;='2021'!Maxi_hp</f>
        <v>1</v>
      </c>
      <c r="I253" s="379">
        <f>IF(H253,Wh_hp,'2021'!Maxi_hp)</f>
        <v>53.503080570691075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2.4961748374635717E-2</v>
      </c>
      <c r="M253" s="832"/>
      <c r="N253" s="832"/>
      <c r="O253" s="48">
        <f>IF(t&lt;Tnet,'2021'!Resal+('2021'!Salim-'2021'!Resal)*(1-EXP(('2021'!Tnet-t)/('2021'!Tau_j))),Resal+(Salim-Resal)*(1-EXP((Tnet-t)/(Tau_j))))*Salcycl</f>
        <v>2.0051953582228582E-2</v>
      </c>
      <c r="P253" s="169">
        <f>(INDEX(Models!$BJ253:$BT253,,T253)*(1-R253)+INDEX(Models!$BJ253:$BT253,,T253+1)*R253-ERP_i)*Q253*Ramure*Pc/MaxiM</f>
        <v>4.3857359165299249E-4</v>
      </c>
      <c r="Q253" s="304">
        <f t="shared" si="80"/>
        <v>0.6</v>
      </c>
      <c r="R253" s="177">
        <f t="shared" si="81"/>
        <v>0.47976431093357069</v>
      </c>
      <c r="S253" s="799">
        <f t="shared" si="82"/>
        <v>0</v>
      </c>
      <c r="T253" s="176">
        <f t="shared" si="83"/>
        <v>6</v>
      </c>
      <c r="U253" s="250">
        <f t="shared" si="84"/>
        <v>0.47976431093357069</v>
      </c>
      <c r="V253" s="382">
        <f t="shared" si="85"/>
        <v>52.630967827288266</v>
      </c>
      <c r="W253" s="400">
        <f t="shared" si="86"/>
        <v>0</v>
      </c>
      <c r="X253" s="157">
        <f t="shared" si="87"/>
        <v>44800</v>
      </c>
      <c r="Y253" s="383">
        <f t="shared" si="88"/>
        <v>47.435903190999824</v>
      </c>
      <c r="Z253" s="383">
        <f t="shared" si="89"/>
        <v>48.650299731241688</v>
      </c>
      <c r="AA253" s="384">
        <f t="shared" si="90"/>
        <v>53.480590629735332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9.0318578041432257E-2</v>
      </c>
      <c r="AD253" s="230">
        <f>(INDEX(Models!$BJ253:$BT253,,AH253)*(1-AF253)+INDEX(Models!$BJ253:$BT253,,AH253+1)*AF253-ERP_i)*AE253*Ramure*Pc/MaxiM</f>
        <v>4.3857359165299249E-4</v>
      </c>
      <c r="AE253" s="304">
        <f t="shared" si="92"/>
        <v>0.6</v>
      </c>
      <c r="AF253" s="177">
        <f t="shared" si="93"/>
        <v>0.47976431093357069</v>
      </c>
      <c r="AG253" s="799">
        <f t="shared" si="99"/>
        <v>0</v>
      </c>
      <c r="AH253" s="176">
        <f t="shared" si="94"/>
        <v>6</v>
      </c>
      <c r="AI253" s="224">
        <f t="shared" si="95"/>
        <v>0.47976431093357069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3">
        <v>49.988</v>
      </c>
      <c r="C254" s="388"/>
      <c r="D254" s="391">
        <f t="shared" si="77"/>
        <v>51.268714784928626</v>
      </c>
      <c r="E254" s="383">
        <f t="shared" si="100"/>
        <v>52.321829413124632</v>
      </c>
      <c r="F254" s="383">
        <f t="shared" si="78"/>
        <v>52.343877675915977</v>
      </c>
      <c r="G254" s="110">
        <f t="shared" si="101"/>
        <v>0.95361210953373332</v>
      </c>
      <c r="H254" s="412" t="b">
        <f>Wh_hp&gt;='2021'!Maxi_hp</f>
        <v>0</v>
      </c>
      <c r="I254" s="379">
        <f>IF(H254,Wh_hp,'2021'!Maxi_hp)</f>
        <v>54.734917062438733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2.4980434760286108E-2</v>
      </c>
      <c r="M254" s="832"/>
      <c r="N254" s="832"/>
      <c r="O254" s="48">
        <f>IF(t&lt;Tnet,'2021'!Resal+('2021'!Salim-'2021'!Resal)*(1-EXP(('2021'!Tnet-t)/('2021'!Tau_j))),Resal+(Salim-Resal)*(1-EXP((Tnet-t)/(Tau_j))))*Salcycl</f>
        <v>2.0127633915106156E-2</v>
      </c>
      <c r="P254" s="169">
        <f>(INDEX(Models!$BJ254:$BT254,,T254)*(1-R254)+INDEX(Models!$BJ254:$BT254,,T254+1)*R254-ERP_i)*Q254*Ramure*Pc/MaxiM</f>
        <v>4.5109446326478892E-4</v>
      </c>
      <c r="Q254" s="304">
        <f t="shared" si="80"/>
        <v>0.6</v>
      </c>
      <c r="R254" s="177">
        <f t="shared" si="81"/>
        <v>0.48052056138613053</v>
      </c>
      <c r="S254" s="799">
        <f t="shared" si="82"/>
        <v>0</v>
      </c>
      <c r="T254" s="176">
        <f t="shared" si="83"/>
        <v>6</v>
      </c>
      <c r="U254" s="250">
        <f t="shared" si="84"/>
        <v>0.48052056138613053</v>
      </c>
      <c r="V254" s="382">
        <f t="shared" si="85"/>
        <v>52.418069655428077</v>
      </c>
      <c r="W254" s="400">
        <f t="shared" si="86"/>
        <v>0</v>
      </c>
      <c r="X254" s="157">
        <f t="shared" si="87"/>
        <v>44801</v>
      </c>
      <c r="Y254" s="383">
        <f t="shared" si="88"/>
        <v>46.406944312949044</v>
      </c>
      <c r="Z254" s="383">
        <f t="shared" si="89"/>
        <v>47.595910859019163</v>
      </c>
      <c r="AA254" s="384">
        <f t="shared" si="90"/>
        <v>52.321829413124632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9.0324031233510266E-2</v>
      </c>
      <c r="AD254" s="230">
        <f>(INDEX(Models!$BJ254:$BT254,,AH254)*(1-AF254)+INDEX(Models!$BJ254:$BT254,,AH254+1)*AF254-ERP_i)*AE254*Ramure*Pc/MaxiM</f>
        <v>4.5109446326478892E-4</v>
      </c>
      <c r="AE254" s="304">
        <f t="shared" si="92"/>
        <v>0.6</v>
      </c>
      <c r="AF254" s="177">
        <f t="shared" si="93"/>
        <v>0.48052056138613053</v>
      </c>
      <c r="AG254" s="799">
        <f t="shared" si="99"/>
        <v>0</v>
      </c>
      <c r="AH254" s="176">
        <f t="shared" si="94"/>
        <v>6</v>
      </c>
      <c r="AI254" s="224">
        <f t="shared" si="95"/>
        <v>0.48052056138613053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3">
        <v>34.204999999999998</v>
      </c>
      <c r="C255" s="388"/>
      <c r="D255" s="391">
        <f t="shared" si="77"/>
        <v>35.082019646626556</v>
      </c>
      <c r="E255" s="383">
        <f t="shared" si="100"/>
        <v>35.805401398776915</v>
      </c>
      <c r="F255" s="383">
        <f t="shared" si="78"/>
        <v>35.813832097512929</v>
      </c>
      <c r="G255" s="110">
        <f t="shared" si="101"/>
        <v>0.65509600905808085</v>
      </c>
      <c r="H255" s="412" t="b">
        <f>Wh_hp&gt;='2021'!Maxi_hp</f>
        <v>0</v>
      </c>
      <c r="I255" s="379">
        <f>IF(H255,Wh_hp,'2021'!Maxi_hp)</f>
        <v>54.247939934538053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2.4999120787816187E-2</v>
      </c>
      <c r="M255" s="832"/>
      <c r="N255" s="832"/>
      <c r="O255" s="48">
        <f>IF(t&lt;Tnet,'2021'!Resal+('2021'!Salim-'2021'!Resal)*(1-EXP(('2021'!Tnet-t)/('2021'!Tau_j))),Resal+(Salim-Resal)*(1-EXP((Tnet-t)/(Tau_j))))*Salcycl</f>
        <v>2.0203146002856116E-2</v>
      </c>
      <c r="P255" s="169">
        <f>(INDEX(Models!$BJ255:$BT255,,T255)*(1-R255)+INDEX(Models!$BJ255:$BT255,,T255+1)*R255-ERP_i)*Q255*Ramure*Pc/MaxiM</f>
        <v>4.6385468072561236E-4</v>
      </c>
      <c r="Q255" s="304">
        <f t="shared" si="80"/>
        <v>0.6</v>
      </c>
      <c r="R255" s="177">
        <f t="shared" si="81"/>
        <v>0.48124860108842515</v>
      </c>
      <c r="S255" s="799">
        <f t="shared" si="82"/>
        <v>0</v>
      </c>
      <c r="T255" s="176">
        <f t="shared" si="83"/>
        <v>6</v>
      </c>
      <c r="U255" s="250">
        <f t="shared" si="84"/>
        <v>0.48124860108842515</v>
      </c>
      <c r="V255" s="382">
        <f t="shared" si="85"/>
        <v>52.20178952707866</v>
      </c>
      <c r="W255" s="400">
        <f t="shared" si="86"/>
        <v>0</v>
      </c>
      <c r="X255" s="157">
        <f t="shared" si="87"/>
        <v>44802</v>
      </c>
      <c r="Y255" s="383">
        <f t="shared" si="88"/>
        <v>31.756882278300509</v>
      </c>
      <c r="Z255" s="383">
        <f t="shared" si="89"/>
        <v>32.57113193986099</v>
      </c>
      <c r="AA255" s="384">
        <f t="shared" si="90"/>
        <v>35.805401398776915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9.0329093727920196E-2</v>
      </c>
      <c r="AD255" s="230">
        <f>(INDEX(Models!$BJ255:$BT255,,AH255)*(1-AF255)+INDEX(Models!$BJ255:$BT255,,AH255+1)*AF255-ERP_i)*AE255*Ramure*Pc/MaxiM</f>
        <v>4.6385468072561236E-4</v>
      </c>
      <c r="AE255" s="304">
        <f t="shared" si="92"/>
        <v>0.6</v>
      </c>
      <c r="AF255" s="177">
        <f t="shared" si="93"/>
        <v>0.48124860108842515</v>
      </c>
      <c r="AG255" s="799">
        <f t="shared" si="99"/>
        <v>0</v>
      </c>
      <c r="AH255" s="176">
        <f t="shared" si="94"/>
        <v>6</v>
      </c>
      <c r="AI255" s="224">
        <f t="shared" si="95"/>
        <v>0.48124860108842515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3">
        <v>49.657000000000004</v>
      </c>
      <c r="C256" s="388"/>
      <c r="D256" s="391">
        <f t="shared" si="77"/>
        <v>50.931186568200459</v>
      </c>
      <c r="E256" s="383">
        <f t="shared" si="100"/>
        <v>51.985371173044634</v>
      </c>
      <c r="F256" s="383">
        <f t="shared" si="78"/>
        <v>52.008587108737885</v>
      </c>
      <c r="G256" s="110">
        <f t="shared" si="101"/>
        <v>0.95524149388367097</v>
      </c>
      <c r="H256" s="412" t="b">
        <f>Wh_hp&gt;='2021'!Maxi_hp</f>
        <v>0</v>
      </c>
      <c r="I256" s="379">
        <f>IF(H256,Wh_hp,'2021'!Maxi_hp)</f>
        <v>52.905760781813107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2.5017806457232838E-2</v>
      </c>
      <c r="M256" s="832"/>
      <c r="N256" s="832"/>
      <c r="O256" s="48">
        <f>IF(t&lt;Tnet,'2021'!Resal+('2021'!Salim-'2021'!Resal)*(1-EXP(('2021'!Tnet-t)/('2021'!Tau_j))),Resal+(Salim-Resal)*(1-EXP((Tnet-t)/(Tau_j))))*Salcycl</f>
        <v>2.0278485678886224E-2</v>
      </c>
      <c r="P256" s="169">
        <f>(INDEX(Models!$BJ256:$BT256,,T256)*(1-R256)+INDEX(Models!$BJ256:$BT256,,T256+1)*R256-ERP_i)*Q256*Ramure*Pc/MaxiM</f>
        <v>4.7685735308903324E-4</v>
      </c>
      <c r="Q256" s="304">
        <f t="shared" si="80"/>
        <v>0.6</v>
      </c>
      <c r="R256" s="177">
        <f t="shared" si="81"/>
        <v>0.48194939864959985</v>
      </c>
      <c r="S256" s="799">
        <f t="shared" si="82"/>
        <v>0</v>
      </c>
      <c r="T256" s="176">
        <f t="shared" si="83"/>
        <v>6</v>
      </c>
      <c r="U256" s="250">
        <f t="shared" si="84"/>
        <v>0.48194939864959985</v>
      </c>
      <c r="V256" s="382">
        <f t="shared" si="85"/>
        <v>51.98212866106001</v>
      </c>
      <c r="W256" s="400">
        <f t="shared" si="86"/>
        <v>0</v>
      </c>
      <c r="X256" s="157">
        <f t="shared" si="87"/>
        <v>44803</v>
      </c>
      <c r="Y256" s="383">
        <f t="shared" si="88"/>
        <v>46.106262115278632</v>
      </c>
      <c r="Z256" s="383">
        <f t="shared" si="89"/>
        <v>47.289337611124488</v>
      </c>
      <c r="AA256" s="384">
        <f t="shared" si="90"/>
        <v>51.985371173044634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9.0333750744769653E-2</v>
      </c>
      <c r="AD256" s="230">
        <f>(INDEX(Models!$BJ256:$BT256,,AH256)*(1-AF256)+INDEX(Models!$BJ256:$BT256,,AH256+1)*AF256-ERP_i)*AE256*Ramure*Pc/MaxiM</f>
        <v>4.7685735308903324E-4</v>
      </c>
      <c r="AE256" s="304">
        <f t="shared" si="92"/>
        <v>0.6</v>
      </c>
      <c r="AF256" s="177">
        <f t="shared" si="93"/>
        <v>0.48194939864959985</v>
      </c>
      <c r="AG256" s="799">
        <f t="shared" si="99"/>
        <v>0</v>
      </c>
      <c r="AH256" s="176">
        <f t="shared" si="94"/>
        <v>6</v>
      </c>
      <c r="AI256" s="224">
        <f t="shared" si="95"/>
        <v>0.48194939864959985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3">
        <v>25.649000000000001</v>
      </c>
      <c r="C257" s="388"/>
      <c r="D257" s="391">
        <f t="shared" si="77"/>
        <v>26.307651295099458</v>
      </c>
      <c r="E257" s="383">
        <f t="shared" si="100"/>
        <v>26.854232915589815</v>
      </c>
      <c r="F257" s="383">
        <f t="shared" si="78"/>
        <v>26.857910074274546</v>
      </c>
      <c r="G257" s="110">
        <f t="shared" si="101"/>
        <v>0.49537077514340216</v>
      </c>
      <c r="H257" s="412" t="b">
        <f>Wh_hp&gt;='2021'!Maxi_hp</f>
        <v>0</v>
      </c>
      <c r="I257" s="379">
        <f>IF(H257,Wh_hp,'2021'!Maxi_hp)</f>
        <v>52.429420207764473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2.5036491768542946E-2</v>
      </c>
      <c r="M257" s="832"/>
      <c r="N257" s="832"/>
      <c r="O257" s="48">
        <f>IF(t&lt;Tnet,'2021'!Resal+('2021'!Salim-'2021'!Resal)*(1-EXP(('2021'!Tnet-t)/('2021'!Tau_j))),Resal+(Salim-Resal)*(1-EXP((Tnet-t)/(Tau_j))))*Salcycl</f>
        <v>2.0353648611316225E-2</v>
      </c>
      <c r="P257" s="169">
        <f>(INDEX(Models!$BJ257:$BT257,,T257)*(1-R257)+INDEX(Models!$BJ257:$BT257,,T257+1)*R257-ERP_i)*Q257*Ramure*Pc/MaxiM</f>
        <v>4.9010558679370088E-4</v>
      </c>
      <c r="Q257" s="304">
        <f t="shared" si="80"/>
        <v>0.6</v>
      </c>
      <c r="R257" s="177">
        <f t="shared" si="81"/>
        <v>0.48262389583930004</v>
      </c>
      <c r="S257" s="799">
        <f t="shared" si="82"/>
        <v>0</v>
      </c>
      <c r="T257" s="176">
        <f t="shared" si="83"/>
        <v>6</v>
      </c>
      <c r="U257" s="250">
        <f t="shared" si="84"/>
        <v>0.48262389583930004</v>
      </c>
      <c r="V257" s="382">
        <f t="shared" si="85"/>
        <v>51.759088288618578</v>
      </c>
      <c r="W257" s="400">
        <f t="shared" si="86"/>
        <v>0</v>
      </c>
      <c r="X257" s="157">
        <f t="shared" si="87"/>
        <v>44804</v>
      </c>
      <c r="Y257" s="383">
        <f t="shared" si="88"/>
        <v>23.816677251908526</v>
      </c>
      <c r="Z257" s="383">
        <f t="shared" si="89"/>
        <v>24.428275572191396</v>
      </c>
      <c r="AA257" s="384">
        <f t="shared" si="90"/>
        <v>26.854232915589815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9.033798697672224E-2</v>
      </c>
      <c r="AD257" s="230">
        <f>(INDEX(Models!$BJ257:$BT257,,AH257)*(1-AF257)+INDEX(Models!$BJ257:$BT257,,AH257+1)*AF257-ERP_i)*AE257*Ramure*Pc/MaxiM</f>
        <v>4.9010558679370088E-4</v>
      </c>
      <c r="AE257" s="304">
        <f t="shared" si="92"/>
        <v>0.6</v>
      </c>
      <c r="AF257" s="177">
        <f t="shared" si="93"/>
        <v>0.48262389583930004</v>
      </c>
      <c r="AG257" s="799">
        <f t="shared" si="99"/>
        <v>0</v>
      </c>
      <c r="AH257" s="176">
        <f t="shared" si="94"/>
        <v>6</v>
      </c>
      <c r="AI257" s="224">
        <f t="shared" si="95"/>
        <v>0.48262389583930004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3">
        <v>41.984999999999999</v>
      </c>
      <c r="C258" s="388"/>
      <c r="D258" s="391">
        <f t="shared" si="77"/>
        <v>43.06397551691763</v>
      </c>
      <c r="E258" s="383">
        <f t="shared" si="100"/>
        <v>43.962060191482465</v>
      </c>
      <c r="F258" s="383">
        <f t="shared" si="78"/>
        <v>43.978345827391962</v>
      </c>
      <c r="G258" s="110">
        <f t="shared" si="101"/>
        <v>0.81461725042018174</v>
      </c>
      <c r="H258" s="412" t="b">
        <f>Wh_hp&gt;='2021'!Maxi_hp</f>
        <v>0</v>
      </c>
      <c r="I258" s="379">
        <f>IF(H258,Wh_hp,'2021'!Maxi_hp)</f>
        <v>47.872949450269061</v>
      </c>
      <c r="J258" s="85">
        <f>IF(H258,An,'2021'!An_max)</f>
        <v>2020</v>
      </c>
      <c r="K258" s="197">
        <f t="shared" si="79"/>
        <v>44805</v>
      </c>
      <c r="L258" s="147">
        <f>IF(t&lt;Tvie,1-EXP((T0-t)*PertePVj)+'2021'!Pspv,1-EXP((T0-t)*PertePVj)+Pspv)</f>
        <v>2.5055176721753281E-2</v>
      </c>
      <c r="M258" s="832"/>
      <c r="N258" s="832"/>
      <c r="O258" s="48">
        <f>IF(t&lt;Tnet,'2021'!Resal+('2021'!Salim-'2021'!Resal)*(1-EXP(('2021'!Tnet-t)/('2021'!Tau_j))),Resal+(Salim-Resal)*(1-EXP((Tnet-t)/(Tau_j))))*Salcycl</f>
        <v>2.0428630292873281E-2</v>
      </c>
      <c r="P258" s="169">
        <f>(INDEX(Models!$BJ258:$BT258,,T258)*(1-R258)+INDEX(Models!$BJ258:$BT258,,T258+1)*R258-ERP_i)*Q258*Ramure*Pc/MaxiM</f>
        <v>5.0360248023287833E-4</v>
      </c>
      <c r="Q258" s="304">
        <f t="shared" si="80"/>
        <v>0.6</v>
      </c>
      <c r="R258" s="177">
        <f t="shared" si="81"/>
        <v>0.48327300782192151</v>
      </c>
      <c r="S258" s="799">
        <f t="shared" si="82"/>
        <v>0</v>
      </c>
      <c r="T258" s="176">
        <f t="shared" si="83"/>
        <v>6</v>
      </c>
      <c r="U258" s="250">
        <f t="shared" si="84"/>
        <v>0.48327300782192151</v>
      </c>
      <c r="V258" s="382">
        <f t="shared" si="85"/>
        <v>51.532669648772043</v>
      </c>
      <c r="W258" s="400">
        <f t="shared" si="86"/>
        <v>0</v>
      </c>
      <c r="X258" s="157">
        <f t="shared" si="87"/>
        <v>44805</v>
      </c>
      <c r="Y258" s="383">
        <f t="shared" si="88"/>
        <v>38.988481363006962</v>
      </c>
      <c r="Z258" s="383">
        <f t="shared" si="89"/>
        <v>39.990449133222128</v>
      </c>
      <c r="AA258" s="384">
        <f t="shared" si="90"/>
        <v>43.962060191482465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9.0341786553256753E-2</v>
      </c>
      <c r="AD258" s="230">
        <f>(INDEX(Models!$BJ258:$BT258,,AH258)*(1-AF258)+INDEX(Models!$BJ258:$BT258,,AH258+1)*AF258-ERP_i)*AE258*Ramure*Pc/MaxiM</f>
        <v>5.0360248023287833E-4</v>
      </c>
      <c r="AE258" s="304">
        <f t="shared" si="92"/>
        <v>0.6</v>
      </c>
      <c r="AF258" s="177">
        <f t="shared" si="93"/>
        <v>0.48327300782192151</v>
      </c>
      <c r="AG258" s="799">
        <f t="shared" si="99"/>
        <v>0</v>
      </c>
      <c r="AH258" s="176">
        <f t="shared" si="94"/>
        <v>6</v>
      </c>
      <c r="AI258" s="224">
        <f t="shared" si="95"/>
        <v>0.48327300782192151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3">
        <v>40.407000000000004</v>
      </c>
      <c r="C259" s="388"/>
      <c r="D259" s="391">
        <f t="shared" si="77"/>
        <v>41.446216689378453</v>
      </c>
      <c r="E259" s="383">
        <f t="shared" si="100"/>
        <v>42.3137944437957</v>
      </c>
      <c r="F259" s="383">
        <f t="shared" si="78"/>
        <v>42.329049170450361</v>
      </c>
      <c r="G259" s="110">
        <f t="shared" si="101"/>
        <v>0.78749301965919249</v>
      </c>
      <c r="H259" s="412" t="b">
        <f>Wh_hp&gt;='2021'!Maxi_hp</f>
        <v>0</v>
      </c>
      <c r="I259" s="379">
        <f>IF(H259,Wh_hp,'2021'!Maxi_hp)</f>
        <v>52.448101483562709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2.5073861316870727E-2</v>
      </c>
      <c r="M259" s="832"/>
      <c r="N259" s="832"/>
      <c r="O259" s="48">
        <f>IF(t&lt;Tnet,'2021'!Resal+('2021'!Salim-'2021'!Resal)*(1-EXP(('2021'!Tnet-t)/('2021'!Tau_j))),Resal+(Salim-Resal)*(1-EXP((Tnet-t)/(Tau_j))))*Salcycl</f>
        <v>2.0503426029769699E-2</v>
      </c>
      <c r="P259" s="169">
        <f>(INDEX(Models!$BJ259:$BT259,,T259)*(1-R259)+INDEX(Models!$BJ259:$BT259,,T259+1)*R259-ERP_i)*Q259*Ramure*Pc/MaxiM</f>
        <v>5.1735111734656279E-4</v>
      </c>
      <c r="Q259" s="304">
        <f t="shared" si="80"/>
        <v>0.6</v>
      </c>
      <c r="R259" s="177">
        <f t="shared" si="81"/>
        <v>0.48389762343612813</v>
      </c>
      <c r="S259" s="799">
        <f t="shared" si="82"/>
        <v>0</v>
      </c>
      <c r="T259" s="176">
        <f t="shared" si="83"/>
        <v>6</v>
      </c>
      <c r="U259" s="250">
        <f t="shared" si="84"/>
        <v>0.48389762343612813</v>
      </c>
      <c r="V259" s="382">
        <f t="shared" si="85"/>
        <v>51.302873991857425</v>
      </c>
      <c r="W259" s="400">
        <f t="shared" si="86"/>
        <v>0</v>
      </c>
      <c r="X259" s="157">
        <f t="shared" si="87"/>
        <v>44806</v>
      </c>
      <c r="Y259" s="383">
        <f t="shared" si="88"/>
        <v>37.525832338376617</v>
      </c>
      <c r="Z259" s="383">
        <f t="shared" si="89"/>
        <v>38.490949056986224</v>
      </c>
      <c r="AA259" s="384">
        <f t="shared" si="90"/>
        <v>42.3137944437957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9.0345133001183894E-2</v>
      </c>
      <c r="AD259" s="230">
        <f>(INDEX(Models!$BJ259:$BT259,,AH259)*(1-AF259)+INDEX(Models!$BJ259:$BT259,,AH259+1)*AF259-ERP_i)*AE259*Ramure*Pc/MaxiM</f>
        <v>5.1735111734656279E-4</v>
      </c>
      <c r="AE259" s="304">
        <f t="shared" si="92"/>
        <v>0.6</v>
      </c>
      <c r="AF259" s="177">
        <f t="shared" si="93"/>
        <v>0.48389762343612813</v>
      </c>
      <c r="AG259" s="799">
        <f t="shared" si="99"/>
        <v>0</v>
      </c>
      <c r="AH259" s="176">
        <f t="shared" si="94"/>
        <v>6</v>
      </c>
      <c r="AI259" s="224">
        <f t="shared" si="95"/>
        <v>0.48389762343612813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3">
        <v>39.450000000000003</v>
      </c>
      <c r="C260" s="388"/>
      <c r="D260" s="391">
        <f t="shared" si="77"/>
        <v>40.465379375331445</v>
      </c>
      <c r="E260" s="383">
        <f t="shared" si="100"/>
        <v>41.315572504206663</v>
      </c>
      <c r="F260" s="383">
        <f t="shared" si="78"/>
        <v>41.330395416309621</v>
      </c>
      <c r="G260" s="110">
        <f t="shared" si="101"/>
        <v>0.77234019675407761</v>
      </c>
      <c r="H260" s="412" t="b">
        <f>Wh_hp&gt;='2021'!Maxi_hp</f>
        <v>0</v>
      </c>
      <c r="I260" s="379">
        <f>IF(H260,Wh_hp,'2021'!Maxi_hp)</f>
        <v>55.043508007448153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2.5092545553902279E-2</v>
      </c>
      <c r="M260" s="832"/>
      <c r="N260" s="832"/>
      <c r="O260" s="48">
        <f>IF(t&lt;Tnet,'2021'!Resal+('2021'!Salim-'2021'!Resal)*(1-EXP(('2021'!Tnet-t)/('2021'!Tau_j))),Resal+(Salim-Resal)*(1-EXP((Tnet-t)/(Tau_j))))*Salcycl</f>
        <v>2.0578030929830588E-2</v>
      </c>
      <c r="P260" s="169">
        <f>(INDEX(Models!$BJ260:$BT260,,T260)*(1-R260)+INDEX(Models!$BJ260:$BT260,,T260+1)*R260-ERP_i)*Q260*Ramure*Pc/MaxiM</f>
        <v>5.3135456034887868E-4</v>
      </c>
      <c r="Q260" s="304">
        <f t="shared" si="80"/>
        <v>0.6</v>
      </c>
      <c r="R260" s="177">
        <f t="shared" si="81"/>
        <v>0.4844986055147536</v>
      </c>
      <c r="S260" s="799">
        <f t="shared" si="82"/>
        <v>0</v>
      </c>
      <c r="T260" s="176">
        <f t="shared" si="83"/>
        <v>6</v>
      </c>
      <c r="U260" s="250">
        <f t="shared" si="84"/>
        <v>0.4844986055147536</v>
      </c>
      <c r="V260" s="382">
        <f t="shared" si="85"/>
        <v>51.069702577743236</v>
      </c>
      <c r="W260" s="400">
        <f t="shared" si="86"/>
        <v>0</v>
      </c>
      <c r="X260" s="157">
        <f t="shared" si="87"/>
        <v>44807</v>
      </c>
      <c r="Y260" s="383">
        <f t="shared" si="88"/>
        <v>36.639744839522834</v>
      </c>
      <c r="Z260" s="383">
        <f t="shared" si="89"/>
        <v>37.582792779382352</v>
      </c>
      <c r="AA260" s="384">
        <f t="shared" si="90"/>
        <v>41.315572504206663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9.034800920268618E-2</v>
      </c>
      <c r="AD260" s="230">
        <f>(INDEX(Models!$BJ260:$BT260,,AH260)*(1-AF260)+INDEX(Models!$BJ260:$BT260,,AH260+1)*AF260-ERP_i)*AE260*Ramure*Pc/MaxiM</f>
        <v>5.3135456034887868E-4</v>
      </c>
      <c r="AE260" s="304">
        <f t="shared" si="92"/>
        <v>0.6</v>
      </c>
      <c r="AF260" s="177">
        <f t="shared" si="93"/>
        <v>0.4844986055147536</v>
      </c>
      <c r="AG260" s="799">
        <f t="shared" si="99"/>
        <v>0</v>
      </c>
      <c r="AH260" s="176">
        <f t="shared" si="94"/>
        <v>6</v>
      </c>
      <c r="AI260" s="224">
        <f t="shared" si="95"/>
        <v>0.4844986055147536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3">
        <v>47.679000000000002</v>
      </c>
      <c r="C261" s="388"/>
      <c r="D261" s="391">
        <f t="shared" si="77"/>
        <v>48.907117857417269</v>
      </c>
      <c r="E261" s="383">
        <f t="shared" si="100"/>
        <v>49.938469088473774</v>
      </c>
      <c r="F261" s="383">
        <f t="shared" si="78"/>
        <v>49.96331342193281</v>
      </c>
      <c r="G261" s="110">
        <f t="shared" si="101"/>
        <v>0.93790541454775556</v>
      </c>
      <c r="H261" s="412" t="b">
        <f>Wh_hp&gt;='2021'!Maxi_hp</f>
        <v>0</v>
      </c>
      <c r="I261" s="379">
        <f>IF(H261,Wh_hp,'2021'!Maxi_hp)</f>
        <v>53.392231312994895</v>
      </c>
      <c r="J261" s="85">
        <f>IF(H261,An,'2021'!An_max)</f>
        <v>2018</v>
      </c>
      <c r="K261" s="197">
        <f t="shared" si="79"/>
        <v>44808</v>
      </c>
      <c r="L261" s="147">
        <f>IF(t&lt;Tvie,1-EXP((T0-t)*PertePVj)+'2021'!Pspv,1-EXP((T0-t)*PertePVj)+Pspv)</f>
        <v>2.5111229432854598E-2</v>
      </c>
      <c r="M261" s="832"/>
      <c r="N261" s="832"/>
      <c r="O261" s="48">
        <f>IF(t&lt;Tnet,'2021'!Resal+('2021'!Salim-'2021'!Resal)*(1-EXP(('2021'!Tnet-t)/('2021'!Tau_j))),Resal+(Salim-Resal)*(1-EXP((Tnet-t)/(Tau_j))))*Salcycl</f>
        <v>2.065243989016375E-2</v>
      </c>
      <c r="P261" s="169">
        <f>(INDEX(Models!$BJ261:$BT261,,T261)*(1-R261)+INDEX(Models!$BJ261:$BT261,,T261+1)*R261-ERP_i)*Q261*Ramure*Pc/MaxiM</f>
        <v>5.4561584147599614E-4</v>
      </c>
      <c r="Q261" s="304">
        <f t="shared" si="80"/>
        <v>0.6</v>
      </c>
      <c r="R261" s="177">
        <f t="shared" si="81"/>
        <v>0.48507679124051784</v>
      </c>
      <c r="S261" s="799">
        <f t="shared" si="82"/>
        <v>0</v>
      </c>
      <c r="T261" s="176">
        <f t="shared" si="83"/>
        <v>6</v>
      </c>
      <c r="U261" s="250">
        <f t="shared" si="84"/>
        <v>0.48507679124051784</v>
      </c>
      <c r="V261" s="382">
        <f t="shared" si="85"/>
        <v>50.833156681594723</v>
      </c>
      <c r="W261" s="400">
        <f t="shared" si="86"/>
        <v>0</v>
      </c>
      <c r="X261" s="157">
        <f t="shared" si="87"/>
        <v>44808</v>
      </c>
      <c r="Y261" s="383">
        <f t="shared" si="88"/>
        <v>44.285793084305404</v>
      </c>
      <c r="Z261" s="383">
        <f t="shared" si="89"/>
        <v>45.426508563168667</v>
      </c>
      <c r="AA261" s="384">
        <f t="shared" si="90"/>
        <v>49.938469088473774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9.0350397352218836E-2</v>
      </c>
      <c r="AD261" s="230">
        <f>(INDEX(Models!$BJ261:$BT261,,AH261)*(1-AF261)+INDEX(Models!$BJ261:$BT261,,AH261+1)*AF261-ERP_i)*AE261*Ramure*Pc/MaxiM</f>
        <v>5.4561584147599614E-4</v>
      </c>
      <c r="AE261" s="304">
        <f t="shared" si="92"/>
        <v>0.6</v>
      </c>
      <c r="AF261" s="177">
        <f t="shared" si="93"/>
        <v>0.48507679124051784</v>
      </c>
      <c r="AG261" s="799">
        <f t="shared" si="99"/>
        <v>0</v>
      </c>
      <c r="AH261" s="176">
        <f t="shared" si="94"/>
        <v>6</v>
      </c>
      <c r="AI261" s="224">
        <f t="shared" si="95"/>
        <v>0.48507679124051784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3">
        <v>41.675000000000004</v>
      </c>
      <c r="C262" s="388"/>
      <c r="D262" s="391">
        <f t="shared" si="77"/>
        <v>42.749285831787134</v>
      </c>
      <c r="E262" s="383">
        <f t="shared" si="100"/>
        <v>43.654088744831867</v>
      </c>
      <c r="F262" s="383">
        <f t="shared" si="78"/>
        <v>43.67240136807775</v>
      </c>
      <c r="G262" s="110">
        <f t="shared" si="101"/>
        <v>0.8236106415071679</v>
      </c>
      <c r="H262" s="412" t="b">
        <f>Wh_hp&gt;='2021'!Maxi_hp</f>
        <v>0</v>
      </c>
      <c r="I262" s="379">
        <f>IF(H262,Wh_hp,'2021'!Maxi_hp)</f>
        <v>53.427461866974461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2.5129912953734568E-2</v>
      </c>
      <c r="M262" s="832"/>
      <c r="N262" s="832"/>
      <c r="O262" s="48">
        <f>IF(t&lt;Tnet,'2021'!Resal+('2021'!Salim-'2021'!Resal)*(1-EXP(('2021'!Tnet-t)/('2021'!Tau_j))),Resal+(Salim-Resal)*(1-EXP((Tnet-t)/(Tau_j))))*Salcycl</f>
        <v>2.0726647584685946E-2</v>
      </c>
      <c r="P262" s="169">
        <f>(INDEX(Models!$BJ262:$BT262,,T262)*(1-R262)+INDEX(Models!$BJ262:$BT262,,T262+1)*R262-ERP_i)*Q262*Ramure*Pc/MaxiM</f>
        <v>5.6044966024940785E-4</v>
      </c>
      <c r="Q262" s="304">
        <f t="shared" si="80"/>
        <v>0.6</v>
      </c>
      <c r="R262" s="177">
        <f t="shared" si="81"/>
        <v>0.48563299253328973</v>
      </c>
      <c r="S262" s="799">
        <f t="shared" si="82"/>
        <v>0</v>
      </c>
      <c r="T262" s="176">
        <f t="shared" si="83"/>
        <v>6</v>
      </c>
      <c r="U262" s="250">
        <f t="shared" si="84"/>
        <v>0.48563299253328973</v>
      </c>
      <c r="V262" s="382">
        <f t="shared" si="85"/>
        <v>50.593221808995196</v>
      </c>
      <c r="W262" s="400">
        <f t="shared" si="86"/>
        <v>0</v>
      </c>
      <c r="X262" s="157">
        <f t="shared" si="87"/>
        <v>44809</v>
      </c>
      <c r="Y262" s="383">
        <f t="shared" si="88"/>
        <v>38.7119374613549</v>
      </c>
      <c r="Z262" s="383">
        <f t="shared" si="89"/>
        <v>39.709842342836914</v>
      </c>
      <c r="AA262" s="384">
        <f t="shared" si="90"/>
        <v>43.654088744831867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9.0352278913665485E-2</v>
      </c>
      <c r="AD262" s="230">
        <f>(INDEX(Models!$BJ262:$BT262,,AH262)*(1-AF262)+INDEX(Models!$BJ262:$BT262,,AH262+1)*AF262-ERP_i)*AE262*Ramure*Pc/MaxiM</f>
        <v>5.6044966024940785E-4</v>
      </c>
      <c r="AE262" s="304">
        <f t="shared" si="92"/>
        <v>0.6</v>
      </c>
      <c r="AF262" s="177">
        <f t="shared" si="93"/>
        <v>0.48563299253328973</v>
      </c>
      <c r="AG262" s="799">
        <f t="shared" si="99"/>
        <v>0</v>
      </c>
      <c r="AH262" s="176">
        <f t="shared" si="94"/>
        <v>6</v>
      </c>
      <c r="AI262" s="224">
        <f t="shared" si="95"/>
        <v>0.48563299253328973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3">
        <v>47.161000000000001</v>
      </c>
      <c r="C263" s="388"/>
      <c r="D263" s="391">
        <f t="shared" si="77"/>
        <v>48.377629464478233</v>
      </c>
      <c r="E263" s="383">
        <f t="shared" si="100"/>
        <v>49.405291566003207</v>
      </c>
      <c r="F263" s="383">
        <f t="shared" si="78"/>
        <v>49.431178979919885</v>
      </c>
      <c r="G263" s="110">
        <f t="shared" si="101"/>
        <v>0.936616351078844</v>
      </c>
      <c r="H263" s="412" t="b">
        <f>Wh_hp&gt;='2021'!Maxi_hp</f>
        <v>0</v>
      </c>
      <c r="I263" s="379">
        <f>IF(H263,Wh_hp,'2021'!Maxi_hp)</f>
        <v>54.427802265876565</v>
      </c>
      <c r="J263" s="85">
        <f>IF(H263,An,'2021'!An_max)</f>
        <v>2018</v>
      </c>
      <c r="K263" s="197">
        <f t="shared" si="79"/>
        <v>44810</v>
      </c>
      <c r="L263" s="147">
        <f>IF(t&lt;Tvie,1-EXP((T0-t)*PertePVj)+'2021'!Pspv,1-EXP((T0-t)*PertePVj)+Pspv)</f>
        <v>2.5148596116549182E-2</v>
      </c>
      <c r="M263" s="832"/>
      <c r="N263" s="832"/>
      <c r="O263" s="48">
        <f>IF(t&lt;Tnet,'2021'!Resal+('2021'!Salim-'2021'!Resal)*(1-EXP(('2021'!Tnet-t)/('2021'!Tau_j))),Resal+(Salim-Resal)*(1-EXP((Tnet-t)/(Tau_j))))*Salcycl</f>
        <v>2.0800648451837711E-2</v>
      </c>
      <c r="P263" s="169">
        <f>(INDEX(Models!$BJ263:$BT263,,T263)*(1-R263)+INDEX(Models!$BJ263:$BT263,,T263+1)*R263-ERP_i)*Q263*Ramure*Pc/MaxiM</f>
        <v>5.7580395551947198E-4</v>
      </c>
      <c r="Q263" s="304">
        <f t="shared" si="80"/>
        <v>0.6</v>
      </c>
      <c r="R263" s="177">
        <f t="shared" si="81"/>
        <v>0.48616799646492137</v>
      </c>
      <c r="S263" s="799">
        <f t="shared" si="82"/>
        <v>0</v>
      </c>
      <c r="T263" s="176">
        <f t="shared" si="83"/>
        <v>6</v>
      </c>
      <c r="U263" s="250">
        <f t="shared" si="84"/>
        <v>0.48616799646492137</v>
      </c>
      <c r="V263" s="382">
        <f t="shared" si="85"/>
        <v>50.349902257287866</v>
      </c>
      <c r="W263" s="400">
        <f t="shared" si="86"/>
        <v>0</v>
      </c>
      <c r="X263" s="157">
        <f t="shared" si="87"/>
        <v>44810</v>
      </c>
      <c r="Y263" s="383">
        <f t="shared" si="88"/>
        <v>43.811132198754507</v>
      </c>
      <c r="Z263" s="383">
        <f t="shared" si="89"/>
        <v>44.941343905570641</v>
      </c>
      <c r="AA263" s="384">
        <f t="shared" si="90"/>
        <v>49.405291566003207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9.0353634579181386E-2</v>
      </c>
      <c r="AD263" s="230">
        <f>(INDEX(Models!$BJ263:$BT263,,AH263)*(1-AF263)+INDEX(Models!$BJ263:$BT263,,AH263+1)*AF263-ERP_i)*AE263*Ramure*Pc/MaxiM</f>
        <v>5.7580395551947198E-4</v>
      </c>
      <c r="AE263" s="304">
        <f t="shared" si="92"/>
        <v>0.6</v>
      </c>
      <c r="AF263" s="177">
        <f t="shared" si="93"/>
        <v>0.48616799646492137</v>
      </c>
      <c r="AG263" s="799">
        <f t="shared" si="99"/>
        <v>0</v>
      </c>
      <c r="AH263" s="176">
        <f t="shared" si="94"/>
        <v>6</v>
      </c>
      <c r="AI263" s="224">
        <f t="shared" si="95"/>
        <v>0.48616799646492137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3">
        <v>37.542999999999999</v>
      </c>
      <c r="C264" s="388"/>
      <c r="D264" s="391">
        <f t="shared" si="77"/>
        <v>38.512248499883185</v>
      </c>
      <c r="E264" s="383">
        <f t="shared" si="100"/>
        <v>39.333309171714426</v>
      </c>
      <c r="F264" s="383">
        <f t="shared" si="78"/>
        <v>39.348253177262727</v>
      </c>
      <c r="G264" s="110">
        <f t="shared" si="101"/>
        <v>0.74915458929538725</v>
      </c>
      <c r="H264" s="412" t="b">
        <f>Wh_hp&gt;='2021'!Maxi_hp</f>
        <v>0</v>
      </c>
      <c r="I264" s="379">
        <f>IF(H264,Wh_hp,'2021'!Maxi_hp)</f>
        <v>49.351657913110358</v>
      </c>
      <c r="J264" s="85">
        <f>IF(H264,An,'2021'!An_max)</f>
        <v>2018</v>
      </c>
      <c r="K264" s="197">
        <f t="shared" si="79"/>
        <v>44811</v>
      </c>
      <c r="L264" s="147">
        <f>IF(t&lt;Tvie,1-EXP((T0-t)*PertePVj)+'2021'!Pspv,1-EXP((T0-t)*PertePVj)+Pspv)</f>
        <v>2.5167278921305325E-2</v>
      </c>
      <c r="M264" s="832"/>
      <c r="N264" s="832"/>
      <c r="O264" s="48">
        <f>IF(t&lt;Tnet,'2021'!Resal+('2021'!Salim-'2021'!Resal)*(1-EXP(('2021'!Tnet-t)/('2021'!Tau_j))),Resal+(Salim-Resal)*(1-EXP((Tnet-t)/(Tau_j))))*Salcycl</f>
        <v>2.0874436682832797E-2</v>
      </c>
      <c r="P264" s="169">
        <f>(INDEX(Models!$BJ264:$BT264,,T264)*(1-R264)+INDEX(Models!$BJ264:$BT264,,T264+1)*R264-ERP_i)*Q264*Ramure*Pc/MaxiM</f>
        <v>5.9168451943346031E-4</v>
      </c>
      <c r="Q264" s="304">
        <f t="shared" si="80"/>
        <v>0.6</v>
      </c>
      <c r="R264" s="177">
        <f t="shared" si="81"/>
        <v>0.48668256569795898</v>
      </c>
      <c r="S264" s="799">
        <f t="shared" si="82"/>
        <v>0</v>
      </c>
      <c r="T264" s="176">
        <f t="shared" si="83"/>
        <v>6</v>
      </c>
      <c r="U264" s="250">
        <f t="shared" si="84"/>
        <v>0.48668256569795898</v>
      </c>
      <c r="V264" s="382">
        <f t="shared" si="85"/>
        <v>50.103199384368722</v>
      </c>
      <c r="W264" s="400">
        <f t="shared" si="86"/>
        <v>0</v>
      </c>
      <c r="X264" s="157">
        <f t="shared" si="87"/>
        <v>44811</v>
      </c>
      <c r="Y264" s="383">
        <f t="shared" si="88"/>
        <v>34.878900500289021</v>
      </c>
      <c r="Z264" s="383">
        <f t="shared" si="89"/>
        <v>35.7793698817311</v>
      </c>
      <c r="AA264" s="384">
        <f t="shared" si="90"/>
        <v>39.333309171714426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9.0354444231177375E-2</v>
      </c>
      <c r="AD264" s="230">
        <f>(INDEX(Models!$BJ264:$BT264,,AH264)*(1-AF264)+INDEX(Models!$BJ264:$BT264,,AH264+1)*AF264-ERP_i)*AE264*Ramure*Pc/MaxiM</f>
        <v>5.9168451943346031E-4</v>
      </c>
      <c r="AE264" s="304">
        <f t="shared" si="92"/>
        <v>0.6</v>
      </c>
      <c r="AF264" s="177">
        <f t="shared" si="93"/>
        <v>0.48668256569795898</v>
      </c>
      <c r="AG264" s="799">
        <f t="shared" si="99"/>
        <v>0</v>
      </c>
      <c r="AH264" s="176">
        <f t="shared" si="94"/>
        <v>6</v>
      </c>
      <c r="AI264" s="224">
        <f t="shared" si="95"/>
        <v>0.48668256569795898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3">
        <v>36.487000000000002</v>
      </c>
      <c r="C265" s="388"/>
      <c r="D265" s="391">
        <f t="shared" si="77"/>
        <v>37.429703055163422</v>
      </c>
      <c r="E265" s="383">
        <f t="shared" si="100"/>
        <v>38.230557000655438</v>
      </c>
      <c r="F265" s="383">
        <f t="shared" si="78"/>
        <v>38.244906004095483</v>
      </c>
      <c r="G265" s="110">
        <f t="shared" si="101"/>
        <v>0.73171955140331457</v>
      </c>
      <c r="H265" s="412" t="b">
        <f>Wh_hp&gt;='2021'!Maxi_hp</f>
        <v>0</v>
      </c>
      <c r="I265" s="379">
        <f>IF(H265,Wh_hp,'2021'!Maxi_hp)</f>
        <v>48.219770599083176</v>
      </c>
      <c r="J265" s="85">
        <f>IF(H265,An,'2021'!An_max)</f>
        <v>2020</v>
      </c>
      <c r="K265" s="197">
        <f t="shared" si="79"/>
        <v>44812</v>
      </c>
      <c r="L265" s="147">
        <f>IF(t&lt;Tvie,1-EXP((T0-t)*PertePVj)+'2021'!Pspv,1-EXP((T0-t)*PertePVj)+Pspv)</f>
        <v>2.5185961368009657E-2</v>
      </c>
      <c r="M265" s="832"/>
      <c r="N265" s="832"/>
      <c r="O265" s="48">
        <f>IF(t&lt;Tnet,'2021'!Resal+('2021'!Salim-'2021'!Resal)*(1-EXP(('2021'!Tnet-t)/('2021'!Tau_j))),Resal+(Salim-Resal)*(1-EXP((Tnet-t)/(Tau_j))))*Salcycl</f>
        <v>2.0948006210798547E-2</v>
      </c>
      <c r="P265" s="169">
        <f>(INDEX(Models!$BJ265:$BT265,,T265)*(1-R265)+INDEX(Models!$BJ265:$BT265,,T265+1)*R265-ERP_i)*Q265*Ramure*Pc/MaxiM</f>
        <v>6.0809712921451467E-4</v>
      </c>
      <c r="Q265" s="304">
        <f t="shared" si="80"/>
        <v>0.6</v>
      </c>
      <c r="R265" s="177">
        <f t="shared" si="81"/>
        <v>0.48717743894480481</v>
      </c>
      <c r="S265" s="799">
        <f t="shared" si="82"/>
        <v>0</v>
      </c>
      <c r="T265" s="176">
        <f t="shared" si="83"/>
        <v>6</v>
      </c>
      <c r="U265" s="250">
        <f t="shared" si="84"/>
        <v>0.48717743894480481</v>
      </c>
      <c r="V265" s="382">
        <f t="shared" si="85"/>
        <v>49.853114570868122</v>
      </c>
      <c r="W265" s="400">
        <f t="shared" si="86"/>
        <v>0</v>
      </c>
      <c r="X265" s="157">
        <f t="shared" si="87"/>
        <v>44812</v>
      </c>
      <c r="Y265" s="383">
        <f t="shared" si="88"/>
        <v>33.900373779230669</v>
      </c>
      <c r="Z265" s="383">
        <f t="shared" si="89"/>
        <v>34.776246992508348</v>
      </c>
      <c r="AA265" s="384">
        <f t="shared" si="90"/>
        <v>38.230557000655438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9.035468690890025E-2</v>
      </c>
      <c r="AD265" s="230">
        <f>(INDEX(Models!$BJ265:$BT265,,AH265)*(1-AF265)+INDEX(Models!$BJ265:$BT265,,AH265+1)*AF265-ERP_i)*AE265*Ramure*Pc/MaxiM</f>
        <v>6.0809712921451467E-4</v>
      </c>
      <c r="AE265" s="304">
        <f t="shared" si="92"/>
        <v>0.6</v>
      </c>
      <c r="AF265" s="177">
        <f t="shared" si="93"/>
        <v>0.48717743894480481</v>
      </c>
      <c r="AG265" s="799">
        <f t="shared" si="99"/>
        <v>0</v>
      </c>
      <c r="AH265" s="176">
        <f t="shared" si="94"/>
        <v>6</v>
      </c>
      <c r="AI265" s="224">
        <f t="shared" si="95"/>
        <v>0.48717743894480481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3">
        <v>24.437000000000001</v>
      </c>
      <c r="C266" s="388"/>
      <c r="D266" s="391">
        <f t="shared" si="77"/>
        <v>25.068851462992939</v>
      </c>
      <c r="E266" s="383">
        <f t="shared" si="100"/>
        <v>25.607148308032944</v>
      </c>
      <c r="F266" s="383">
        <f t="shared" si="78"/>
        <v>25.61155485814599</v>
      </c>
      <c r="G266" s="110">
        <f t="shared" si="101"/>
        <v>0.49246171411455769</v>
      </c>
      <c r="H266" s="412" t="b">
        <f>Wh_hp&gt;='2021'!Maxi_hp</f>
        <v>0</v>
      </c>
      <c r="I266" s="379">
        <f>IF(H266,Wh_hp,'2021'!Maxi_hp)</f>
        <v>50.375328728188094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2.5204643456669285E-2</v>
      </c>
      <c r="M266" s="832"/>
      <c r="N266" s="832"/>
      <c r="O266" s="48">
        <f>IF(t&lt;Tnet,'2021'!Resal+('2021'!Salim-'2021'!Resal)*(1-EXP(('2021'!Tnet-t)/('2021'!Tau_j))),Resal+(Salim-Resal)*(1-EXP((Tnet-t)/(Tau_j))))*Salcycl</f>
        <v>2.1021350701168898E-2</v>
      </c>
      <c r="P266" s="169">
        <f>(INDEX(Models!$BJ266:$BT266,,T266)*(1-R266)+INDEX(Models!$BJ266:$BT266,,T266+1)*R266-ERP_i)*Q266*Ramure*Pc/MaxiM</f>
        <v>6.2504753303469136E-4</v>
      </c>
      <c r="Q266" s="304">
        <f t="shared" si="80"/>
        <v>0.6</v>
      </c>
      <c r="R266" s="177">
        <f t="shared" si="81"/>
        <v>0.48765333144416001</v>
      </c>
      <c r="S266" s="799">
        <f t="shared" si="82"/>
        <v>0</v>
      </c>
      <c r="T266" s="176">
        <f t="shared" si="83"/>
        <v>6</v>
      </c>
      <c r="U266" s="250">
        <f t="shared" si="84"/>
        <v>0.48765333144416001</v>
      </c>
      <c r="V266" s="382">
        <f t="shared" si="85"/>
        <v>49.599649216612228</v>
      </c>
      <c r="W266" s="400">
        <f t="shared" si="86"/>
        <v>0</v>
      </c>
      <c r="X266" s="157">
        <f t="shared" si="87"/>
        <v>44813</v>
      </c>
      <c r="Y266" s="383">
        <f t="shared" si="88"/>
        <v>22.706328672494021</v>
      </c>
      <c r="Z266" s="383">
        <f t="shared" si="89"/>
        <v>23.293431303378085</v>
      </c>
      <c r="AA266" s="384">
        <f t="shared" si="90"/>
        <v>25.607148308032944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9.0354340781048523E-2</v>
      </c>
      <c r="AD266" s="230">
        <f>(INDEX(Models!$BJ266:$BT266,,AH266)*(1-AF266)+INDEX(Models!$BJ266:$BT266,,AH266+1)*AF266-ERP_i)*AE266*Ramure*Pc/MaxiM</f>
        <v>6.2504753303469136E-4</v>
      </c>
      <c r="AE266" s="304">
        <f t="shared" si="92"/>
        <v>0.6</v>
      </c>
      <c r="AF266" s="177">
        <f t="shared" si="93"/>
        <v>0.48765333144416001</v>
      </c>
      <c r="AG266" s="799">
        <f t="shared" si="99"/>
        <v>0</v>
      </c>
      <c r="AH266" s="176">
        <f t="shared" si="94"/>
        <v>6</v>
      </c>
      <c r="AI266" s="224">
        <f t="shared" si="95"/>
        <v>0.48765333144416001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3">
        <v>48.338000000000001</v>
      </c>
      <c r="C267" s="388"/>
      <c r="D267" s="391">
        <f t="shared" si="77"/>
        <v>49.588794283867664</v>
      </c>
      <c r="E267" s="383">
        <f t="shared" si="100"/>
        <v>50.657384637318394</v>
      </c>
      <c r="F267" s="383">
        <f t="shared" si="78"/>
        <v>50.689006934365501</v>
      </c>
      <c r="G267" s="110">
        <f t="shared" si="101"/>
        <v>0.9796179228741877</v>
      </c>
      <c r="H267" s="412" t="b">
        <f>Wh_hp&gt;='2021'!Maxi_hp</f>
        <v>1</v>
      </c>
      <c r="I267" s="379">
        <f>IF(H267,Wh_hp,'2021'!Maxi_hp)</f>
        <v>50.689006934365501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2.5223325187290868E-2</v>
      </c>
      <c r="M267" s="832"/>
      <c r="N267" s="832"/>
      <c r="O267" s="48">
        <f>IF(t&lt;Tnet,'2021'!Resal+('2021'!Salim-'2021'!Resal)*(1-EXP(('2021'!Tnet-t)/('2021'!Tau_j))),Resal+(Salim-Resal)*(1-EXP((Tnet-t)/(Tau_j))))*Salcycl</f>
        <v>2.1094463543692744E-2</v>
      </c>
      <c r="P267" s="169">
        <f>(INDEX(Models!$BJ267:$BT267,,T267)*(1-R267)+INDEX(Models!$BJ267:$BT267,,T267+1)*R267-ERP_i)*Q267*Ramure*Pc/MaxiM</f>
        <v>6.4254143483191272E-4</v>
      </c>
      <c r="Q267" s="304">
        <f t="shared" si="80"/>
        <v>0.6</v>
      </c>
      <c r="R267" s="177">
        <f t="shared" si="81"/>
        <v>0.48811093545182488</v>
      </c>
      <c r="S267" s="799">
        <f t="shared" si="82"/>
        <v>0</v>
      </c>
      <c r="T267" s="176">
        <f t="shared" si="83"/>
        <v>6</v>
      </c>
      <c r="U267" s="250">
        <f t="shared" si="84"/>
        <v>0.48811093545182488</v>
      </c>
      <c r="V267" s="382">
        <f t="shared" si="85"/>
        <v>49.342804743198421</v>
      </c>
      <c r="W267" s="400">
        <f t="shared" si="86"/>
        <v>0</v>
      </c>
      <c r="X267" s="157">
        <f t="shared" si="87"/>
        <v>44814</v>
      </c>
      <c r="Y267" s="383">
        <f t="shared" si="88"/>
        <v>44.918019695382831</v>
      </c>
      <c r="Z267" s="383">
        <f t="shared" si="89"/>
        <v>46.080318555030317</v>
      </c>
      <c r="AA267" s="384">
        <f t="shared" si="90"/>
        <v>50.657384637318394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9.0353383125828315E-2</v>
      </c>
      <c r="AD267" s="230">
        <f>(INDEX(Models!$BJ267:$BT267,,AH267)*(1-AF267)+INDEX(Models!$BJ267:$BT267,,AH267+1)*AF267-ERP_i)*AE267*Ramure*Pc/MaxiM</f>
        <v>6.4254143483191272E-4</v>
      </c>
      <c r="AE267" s="304">
        <f t="shared" si="92"/>
        <v>0.6</v>
      </c>
      <c r="AF267" s="177">
        <f t="shared" si="93"/>
        <v>0.48811093545182488</v>
      </c>
      <c r="AG267" s="799">
        <f t="shared" si="99"/>
        <v>0</v>
      </c>
      <c r="AH267" s="176">
        <f t="shared" si="94"/>
        <v>6</v>
      </c>
      <c r="AI267" s="224">
        <f t="shared" si="95"/>
        <v>0.48811093545182488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3">
        <v>47.743000000000002</v>
      </c>
      <c r="C268" s="388"/>
      <c r="D268" s="391">
        <f t="shared" si="77"/>
        <v>48.979336739271332</v>
      </c>
      <c r="E268" s="383">
        <f t="shared" si="100"/>
        <v>50.038518975765712</v>
      </c>
      <c r="F268" s="383">
        <f t="shared" si="78"/>
        <v>50.070320857235181</v>
      </c>
      <c r="G268" s="110">
        <f t="shared" si="101"/>
        <v>0.97268281569443082</v>
      </c>
      <c r="H268" s="412" t="b">
        <f>Wh_hp&gt;='2021'!Maxi_hp</f>
        <v>1</v>
      </c>
      <c r="I268" s="379">
        <f>IF(H268,Wh_hp,'2021'!Maxi_hp)</f>
        <v>50.070320857235181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2.5242006559881403E-2</v>
      </c>
      <c r="M268" s="832"/>
      <c r="N268" s="832"/>
      <c r="O268" s="48">
        <f>IF(t&lt;Tnet,'2021'!Resal+('2021'!Salim-'2021'!Resal)*(1-EXP(('2021'!Tnet-t)/('2021'!Tau_j))),Resal+(Salim-Resal)*(1-EXP((Tnet-t)/(Tau_j))))*Salcycl</f>
        <v>2.1167337846416959E-2</v>
      </c>
      <c r="P268" s="169">
        <f>(INDEX(Models!$BJ268:$BT268,,T268)*(1-R268)+INDEX(Models!$BJ268:$BT268,,T268+1)*R268-ERP_i)*Q268*Ramure*Pc/MaxiM</f>
        <v>6.6091248275709335E-4</v>
      </c>
      <c r="Q268" s="304">
        <f t="shared" si="80"/>
        <v>0.6</v>
      </c>
      <c r="R268" s="177">
        <f t="shared" si="81"/>
        <v>0.48855092074316159</v>
      </c>
      <c r="S268" s="799">
        <f t="shared" si="82"/>
        <v>0</v>
      </c>
      <c r="T268" s="176">
        <f t="shared" si="83"/>
        <v>6</v>
      </c>
      <c r="U268" s="250">
        <f t="shared" si="84"/>
        <v>0.48855092074316159</v>
      </c>
      <c r="V268" s="382">
        <f t="shared" si="85"/>
        <v>49.082566485090595</v>
      </c>
      <c r="W268" s="400">
        <f t="shared" si="86"/>
        <v>0</v>
      </c>
      <c r="X268" s="157">
        <f t="shared" si="87"/>
        <v>44815</v>
      </c>
      <c r="Y268" s="383">
        <f t="shared" si="88"/>
        <v>44.36849745002435</v>
      </c>
      <c r="Z268" s="383">
        <f t="shared" si="89"/>
        <v>45.517449201353998</v>
      </c>
      <c r="AA268" s="384">
        <f t="shared" si="90"/>
        <v>50.038518975765712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9.0351790319799896E-2</v>
      </c>
      <c r="AD268" s="230">
        <f>(INDEX(Models!$BJ268:$BT268,,AH268)*(1-AF268)+INDEX(Models!$BJ268:$BT268,,AH268+1)*AF268-ERP_i)*AE268*Ramure*Pc/MaxiM</f>
        <v>6.6091248275709335E-4</v>
      </c>
      <c r="AE268" s="304">
        <f t="shared" si="92"/>
        <v>0.6</v>
      </c>
      <c r="AF268" s="177">
        <f t="shared" si="93"/>
        <v>0.48855092074316159</v>
      </c>
      <c r="AG268" s="799">
        <f t="shared" si="99"/>
        <v>0</v>
      </c>
      <c r="AH268" s="176">
        <f t="shared" si="94"/>
        <v>6</v>
      </c>
      <c r="AI268" s="224">
        <f t="shared" si="95"/>
        <v>0.48855092074316159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3">
        <v>34.654000000000003</v>
      </c>
      <c r="C269" s="388"/>
      <c r="D269" s="391">
        <f t="shared" si="77"/>
        <v>35.552069725972778</v>
      </c>
      <c r="E269" s="383">
        <f t="shared" si="100"/>
        <v>36.323581375069089</v>
      </c>
      <c r="F269" s="383">
        <f t="shared" si="78"/>
        <v>36.338050586254901</v>
      </c>
      <c r="G269" s="110">
        <f t="shared" si="101"/>
        <v>0.70964725979247345</v>
      </c>
      <c r="H269" s="412" t="b">
        <f>Wh_hp&gt;='2021'!Maxi_hp</f>
        <v>0</v>
      </c>
      <c r="I269" s="379">
        <f>IF(H269,Wh_hp,'2021'!Maxi_hp)</f>
        <v>50.716513586551613</v>
      </c>
      <c r="J269" s="85">
        <f>IF(H269,An,'2021'!An_max)</f>
        <v>2018</v>
      </c>
      <c r="K269" s="197">
        <f t="shared" si="79"/>
        <v>44816</v>
      </c>
      <c r="L269" s="147">
        <f>IF(t&lt;Tvie,1-EXP((T0-t)*PertePVj)+'2021'!Pspv,1-EXP((T0-t)*PertePVj)+Pspv)</f>
        <v>2.5260687574447549E-2</v>
      </c>
      <c r="M269" s="832"/>
      <c r="N269" s="832"/>
      <c r="O269" s="48">
        <f>IF(t&lt;Tnet,'2021'!Resal+('2021'!Salim-'2021'!Resal)*(1-EXP(('2021'!Tnet-t)/('2021'!Tau_j))),Resal+(Salim-Resal)*(1-EXP((Tnet-t)/(Tau_j))))*Salcycl</f>
        <v>2.1239966431995147E-2</v>
      </c>
      <c r="P269" s="169">
        <f>(INDEX(Models!$BJ269:$BT269,,T269)*(1-R269)+INDEX(Models!$BJ269:$BT269,,T269+1)*R269-ERP_i)*Q269*Ramure*Pc/MaxiM</f>
        <v>6.800784940651811E-4</v>
      </c>
      <c r="Q269" s="304">
        <f t="shared" si="80"/>
        <v>0.6</v>
      </c>
      <c r="R269" s="177">
        <f t="shared" si="81"/>
        <v>0.48897393512474857</v>
      </c>
      <c r="S269" s="799">
        <f t="shared" si="82"/>
        <v>0</v>
      </c>
      <c r="T269" s="176">
        <f t="shared" si="83"/>
        <v>6</v>
      </c>
      <c r="U269" s="250">
        <f t="shared" si="84"/>
        <v>0.48897393512474857</v>
      </c>
      <c r="V269" s="382">
        <f t="shared" si="85"/>
        <v>48.818940453250384</v>
      </c>
      <c r="W269" s="400">
        <f t="shared" si="86"/>
        <v>0</v>
      </c>
      <c r="X269" s="157">
        <f t="shared" si="87"/>
        <v>44816</v>
      </c>
      <c r="Y269" s="383">
        <f t="shared" si="88"/>
        <v>32.207104943679205</v>
      </c>
      <c r="Z269" s="383">
        <f t="shared" si="89"/>
        <v>33.041762585254389</v>
      </c>
      <c r="AA269" s="384">
        <f t="shared" si="90"/>
        <v>36.323581375069089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9.0349537836794877E-2</v>
      </c>
      <c r="AD269" s="230">
        <f>(INDEX(Models!$BJ269:$BT269,,AH269)*(1-AF269)+INDEX(Models!$BJ269:$BT269,,AH269+1)*AF269-ERP_i)*AE269*Ramure*Pc/MaxiM</f>
        <v>6.800784940651811E-4</v>
      </c>
      <c r="AE269" s="304">
        <f t="shared" si="92"/>
        <v>0.6</v>
      </c>
      <c r="AF269" s="177">
        <f t="shared" si="93"/>
        <v>0.48897393512474857</v>
      </c>
      <c r="AG269" s="799">
        <f t="shared" si="99"/>
        <v>0</v>
      </c>
      <c r="AH269" s="176">
        <f t="shared" si="94"/>
        <v>6</v>
      </c>
      <c r="AI269" s="224">
        <f t="shared" si="95"/>
        <v>0.48897393512474857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3">
        <v>14.71</v>
      </c>
      <c r="C270" s="388"/>
      <c r="D270" s="391">
        <f t="shared" si="77"/>
        <v>15.091503678652083</v>
      </c>
      <c r="E270" s="383">
        <f t="shared" si="100"/>
        <v>15.420143038253535</v>
      </c>
      <c r="F270" s="383">
        <f t="shared" si="78"/>
        <v>15.420188909948552</v>
      </c>
      <c r="G270" s="110">
        <f t="shared" si="101"/>
        <v>0.30276338288259985</v>
      </c>
      <c r="H270" s="412" t="b">
        <f>Wh_hp&gt;='2021'!Maxi_hp</f>
        <v>0</v>
      </c>
      <c r="I270" s="379">
        <f>IF(H270,Wh_hp,'2021'!Maxi_hp)</f>
        <v>48.946025733501244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2.5279368230996413E-2</v>
      </c>
      <c r="M270" s="832"/>
      <c r="N270" s="832"/>
      <c r="O270" s="48">
        <f>IF(t&lt;Tnet,'2021'!Resal+('2021'!Salim-'2021'!Resal)*(1-EXP(('2021'!Tnet-t)/('2021'!Tau_j))),Resal+(Salim-Resal)*(1-EXP((Tnet-t)/(Tau_j))))*Salcycl</f>
        <v>2.1312341836659979E-2</v>
      </c>
      <c r="P270" s="169">
        <f>(INDEX(Models!$BJ270:$BT270,,T270)*(1-R270)+INDEX(Models!$BJ270:$BT270,,T270+1)*R270-ERP_i)*Q270*Ramure*Pc/MaxiM</f>
        <v>7.0004771523360973E-4</v>
      </c>
      <c r="Q270" s="304">
        <f t="shared" si="80"/>
        <v>0.6</v>
      </c>
      <c r="R270" s="177">
        <f t="shared" si="81"/>
        <v>0.48938060495295865</v>
      </c>
      <c r="S270" s="799">
        <f t="shared" si="82"/>
        <v>0</v>
      </c>
      <c r="T270" s="176">
        <f t="shared" si="83"/>
        <v>6</v>
      </c>
      <c r="U270" s="250">
        <f t="shared" si="84"/>
        <v>0.48938060495295865</v>
      </c>
      <c r="V270" s="382">
        <f t="shared" si="85"/>
        <v>48.551928197815343</v>
      </c>
      <c r="W270" s="400">
        <f t="shared" si="86"/>
        <v>0</v>
      </c>
      <c r="X270" s="157">
        <f t="shared" si="87"/>
        <v>44817</v>
      </c>
      <c r="Y270" s="383">
        <f t="shared" si="88"/>
        <v>13.67239220663615</v>
      </c>
      <c r="Z270" s="383">
        <f t="shared" si="89"/>
        <v>14.026985539253809</v>
      </c>
      <c r="AA270" s="384">
        <f t="shared" si="90"/>
        <v>15.420143038253535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9.0346600258094156E-2</v>
      </c>
      <c r="AD270" s="230">
        <f>(INDEX(Models!$BJ270:$BT270,,AH270)*(1-AF270)+INDEX(Models!$BJ270:$BT270,,AH270+1)*AF270-ERP_i)*AE270*Ramure*Pc/MaxiM</f>
        <v>7.0004771523360973E-4</v>
      </c>
      <c r="AE270" s="304">
        <f t="shared" si="92"/>
        <v>0.6</v>
      </c>
      <c r="AF270" s="177">
        <f t="shared" si="93"/>
        <v>0.48938060495295865</v>
      </c>
      <c r="AG270" s="799">
        <f t="shared" si="99"/>
        <v>0</v>
      </c>
      <c r="AH270" s="176">
        <f t="shared" si="94"/>
        <v>6</v>
      </c>
      <c r="AI270" s="224">
        <f t="shared" si="95"/>
        <v>0.48938060495295865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3">
        <v>36.887</v>
      </c>
      <c r="C271" s="388"/>
      <c r="D271" s="391">
        <f t="shared" ref="D271:D334" si="102">Wh/(1-Ppv)</f>
        <v>37.844389194410809</v>
      </c>
      <c r="E271" s="383">
        <f t="shared" si="100"/>
        <v>38.671355098037594</v>
      </c>
      <c r="F271" s="383">
        <f t="shared" ref="F271:F334" si="103">Wh_sa/(1-Pvg*MEDIAN((-Sdif+Wh/Env_an)/Csdif,0,1))</f>
        <v>38.689841269990453</v>
      </c>
      <c r="G271" s="110">
        <f t="shared" si="101"/>
        <v>0.76381237910127864</v>
      </c>
      <c r="H271" s="412" t="b">
        <f>Wh_hp&gt;='2021'!Maxi_hp</f>
        <v>0</v>
      </c>
      <c r="I271" s="379">
        <f>IF(H271,Wh_hp,'2021'!Maxi_hp)</f>
        <v>48.424336454195235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2.5298048529534767E-2</v>
      </c>
      <c r="M271" s="832"/>
      <c r="N271" s="832"/>
      <c r="O271" s="48">
        <f>IF(t&lt;Tnet,'2021'!Resal+('2021'!Salim-'2021'!Resal)*(1-EXP(('2021'!Tnet-t)/('2021'!Tau_j))),Resal+(Salim-Resal)*(1-EXP((Tnet-t)/(Tau_j))))*Salcycl</f>
        <v>2.1384456312179952E-2</v>
      </c>
      <c r="P271" s="169">
        <f>(INDEX(Models!$BJ271:$BT271,,T271)*(1-R271)+INDEX(Models!$BJ271:$BT271,,T271+1)*R271-ERP_i)*Q271*Ramure*Pc/MaxiM</f>
        <v>7.2082832326379319E-4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0.48977153565739423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0.48977153565739423</v>
      </c>
      <c r="V271" s="382">
        <f t="shared" ref="V271:V334" si="110">MaxiM*(1-Ppv)*(1-Pvg)*(1-Psa)</f>
        <v>48.281531297529405</v>
      </c>
      <c r="W271" s="400">
        <f t="shared" ref="W271:W334" si="111">Wh*(A271&gt;Tmaj)</f>
        <v>0</v>
      </c>
      <c r="X271" s="157">
        <f t="shared" ref="X271:X334" si="112">t</f>
        <v>44818</v>
      </c>
      <c r="Y271" s="383">
        <f t="shared" ref="Y271:Y334" si="113">Wh_pvt_s*(1-Ppv)</f>
        <v>34.287744326169253</v>
      </c>
      <c r="Z271" s="383">
        <f t="shared" ref="Z271:Z334" si="114">Wh_sa_s*(1-Psa_s)</f>
        <v>35.177670747905772</v>
      </c>
      <c r="AA271" s="384">
        <f t="shared" ref="AA271:AA334" si="115">Wh_hp*(1-Pvg_s*MEDIAN((-Sdif+Wh/Env_an)/Csdif,0,1))</f>
        <v>38.671355098037594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9.0342951294952525E-2</v>
      </c>
      <c r="AD271" s="230">
        <f>(INDEX(Models!$BJ271:$BT271,,AH271)*(1-AF271)+INDEX(Models!$BJ271:$BT271,,AH271+1)*AF271-ERP_i)*AE271*Ramure*Pc/MaxiM</f>
        <v>7.2082832326379319E-4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0.48977153565739423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0.48977153565739423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3">
        <v>42.246000000000002</v>
      </c>
      <c r="C272" s="388"/>
      <c r="D272" s="391">
        <f t="shared" si="102"/>
        <v>43.343310831310099</v>
      </c>
      <c r="E272" s="383">
        <f t="shared" si="100"/>
        <v>44.293689604681134</v>
      </c>
      <c r="F272" s="383">
        <f t="shared" si="103"/>
        <v>44.3209530548461</v>
      </c>
      <c r="G272" s="110">
        <f t="shared" si="101"/>
        <v>0.87987081112873666</v>
      </c>
      <c r="H272" s="412" t="b">
        <f>Wh_hp&gt;='2021'!Maxi_hp</f>
        <v>0</v>
      </c>
      <c r="I272" s="379">
        <f>IF(H272,Wh_hp,'2021'!Maxi_hp)</f>
        <v>49.537413864977964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2.5316728470069494E-2</v>
      </c>
      <c r="M272" s="832"/>
      <c r="N272" s="832"/>
      <c r="O272" s="48">
        <f>IF(t&lt;Tnet,'2021'!Resal+('2021'!Salim-'2021'!Resal)*(1-EXP(('2021'!Tnet-t)/('2021'!Tau_j))),Resal+(Salim-Resal)*(1-EXP((Tnet-t)/(Tau_j))))*Salcycl</f>
        <v>2.1456301831098631E-2</v>
      </c>
      <c r="P272" s="169">
        <f>(INDEX(Models!$BJ272:$BT272,,T272)*(1-R272)+INDEX(Models!$BJ272:$BT272,,T272+1)*R272-ERP_i)*Q272*Ramure*Pc/MaxiM</f>
        <v>7.4242840396851798E-4</v>
      </c>
      <c r="Q272" s="304">
        <f t="shared" si="105"/>
        <v>0.6</v>
      </c>
      <c r="R272" s="177">
        <f t="shared" si="106"/>
        <v>0.4901473122672923</v>
      </c>
      <c r="S272" s="799">
        <f t="shared" si="107"/>
        <v>0</v>
      </c>
      <c r="T272" s="176">
        <f t="shared" si="108"/>
        <v>6</v>
      </c>
      <c r="U272" s="250">
        <f t="shared" si="109"/>
        <v>0.4901473122672923</v>
      </c>
      <c r="V272" s="382">
        <f t="shared" si="110"/>
        <v>48.007751360254339</v>
      </c>
      <c r="W272" s="400">
        <f t="shared" si="111"/>
        <v>0</v>
      </c>
      <c r="X272" s="157">
        <f t="shared" si="112"/>
        <v>44819</v>
      </c>
      <c r="Y272" s="383">
        <f t="shared" si="113"/>
        <v>39.272193060549313</v>
      </c>
      <c r="Z272" s="383">
        <f t="shared" si="114"/>
        <v>40.292261299309011</v>
      </c>
      <c r="AA272" s="384">
        <f t="shared" si="115"/>
        <v>44.293689604681134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9.0338563824433282E-2</v>
      </c>
      <c r="AD272" s="230">
        <f>(INDEX(Models!$BJ272:$BT272,,AH272)*(1-AF272)+INDEX(Models!$BJ272:$BT272,,AH272+1)*AF272-ERP_i)*AE272*Ramure*Pc/MaxiM</f>
        <v>7.4242840396851798E-4</v>
      </c>
      <c r="AE272" s="304">
        <f t="shared" si="117"/>
        <v>0.6</v>
      </c>
      <c r="AF272" s="177">
        <f t="shared" si="118"/>
        <v>0.4901473122672923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0.4901473122672923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3">
        <v>33.753999999999998</v>
      </c>
      <c r="C273" s="388"/>
      <c r="D273" s="391">
        <f t="shared" si="102"/>
        <v>34.631400667340408</v>
      </c>
      <c r="E273" s="383">
        <f t="shared" si="100"/>
        <v>35.39334397876155</v>
      </c>
      <c r="F273" s="383">
        <f t="shared" si="103"/>
        <v>35.409097594342221</v>
      </c>
      <c r="G273" s="110">
        <f t="shared" si="101"/>
        <v>0.70695114994692854</v>
      </c>
      <c r="H273" s="412" t="b">
        <f>Wh_hp&gt;='2021'!Maxi_hp</f>
        <v>0</v>
      </c>
      <c r="I273" s="379">
        <f>IF(H273,Wh_hp,'2021'!Maxi_hp)</f>
        <v>43.865326468567289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2.5335408052607367E-2</v>
      </c>
      <c r="M273" s="832"/>
      <c r="N273" s="832"/>
      <c r="O273" s="48">
        <f>IF(t&lt;Tnet,'2021'!Resal+('2021'!Salim-'2021'!Resal)*(1-EXP(('2021'!Tnet-t)/('2021'!Tau_j))),Resal+(Salim-Resal)*(1-EXP((Tnet-t)/(Tau_j))))*Salcycl</f>
        <v>2.1527870095528704E-2</v>
      </c>
      <c r="P273" s="169">
        <f>(INDEX(Models!$BJ273:$BT273,,T273)*(1-R273)+INDEX(Models!$BJ273:$BT273,,T273+1)*R273-ERP_i)*Q273*Ramure*Pc/MaxiM</f>
        <v>7.6485592999541883E-4</v>
      </c>
      <c r="Q273" s="304">
        <f t="shared" si="105"/>
        <v>0.6</v>
      </c>
      <c r="R273" s="177">
        <f t="shared" si="106"/>
        <v>0.49050849993918794</v>
      </c>
      <c r="S273" s="799">
        <f t="shared" si="107"/>
        <v>0</v>
      </c>
      <c r="T273" s="176">
        <f t="shared" si="108"/>
        <v>6</v>
      </c>
      <c r="U273" s="250">
        <f t="shared" si="109"/>
        <v>0.49050849993918794</v>
      </c>
      <c r="V273" s="382">
        <f t="shared" si="110"/>
        <v>47.730590021854539</v>
      </c>
      <c r="W273" s="400">
        <f t="shared" si="111"/>
        <v>0</v>
      </c>
      <c r="X273" s="157">
        <f t="shared" si="112"/>
        <v>44820</v>
      </c>
      <c r="Y273" s="383">
        <f t="shared" si="113"/>
        <v>31.380440119335688</v>
      </c>
      <c r="Z273" s="383">
        <f t="shared" si="114"/>
        <v>32.19614252800254</v>
      </c>
      <c r="AA273" s="384">
        <f t="shared" si="115"/>
        <v>35.39334397876155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9.0333409939381673E-2</v>
      </c>
      <c r="AD273" s="230">
        <f>(INDEX(Models!$BJ273:$BT273,,AH273)*(1-AF273)+INDEX(Models!$BJ273:$BT273,,AH273+1)*AF273-ERP_i)*AE273*Ramure*Pc/MaxiM</f>
        <v>7.6485592999541883E-4</v>
      </c>
      <c r="AE273" s="304">
        <f t="shared" si="117"/>
        <v>0.6</v>
      </c>
      <c r="AF273" s="177">
        <f t="shared" si="118"/>
        <v>0.49050849993918794</v>
      </c>
      <c r="AG273" s="799">
        <f t="shared" si="124"/>
        <v>0</v>
      </c>
      <c r="AH273" s="176">
        <f t="shared" si="119"/>
        <v>6</v>
      </c>
      <c r="AI273" s="224">
        <f t="shared" si="120"/>
        <v>0.49050849993918794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99">
        <f>49.65*0.95</f>
        <v>47.167499999999997</v>
      </c>
      <c r="C274" s="388"/>
      <c r="D274" s="391">
        <f t="shared" si="102"/>
        <v>48.39449833450724</v>
      </c>
      <c r="E274" s="383">
        <f t="shared" si="100"/>
        <v>49.462854065002865</v>
      </c>
      <c r="F274" s="383">
        <f t="shared" si="103"/>
        <v>49.501535281548286</v>
      </c>
      <c r="G274" s="110">
        <f t="shared" si="101"/>
        <v>0.99403866956668496</v>
      </c>
      <c r="H274" s="412" t="b">
        <f>Wh_hp&gt;='2021'!Maxi_hp</f>
        <v>1</v>
      </c>
      <c r="I274" s="379">
        <f>IF(H274,Wh_hp,'2021'!Maxi_hp)</f>
        <v>49.501535281548286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2.5354087277155268E-2</v>
      </c>
      <c r="M274" s="832"/>
      <c r="N274" s="832"/>
      <c r="O274" s="48">
        <f>IF(t&lt;Tnet,'2021'!Resal+('2021'!Salim-'2021'!Resal)*(1-EXP(('2021'!Tnet-t)/('2021'!Tau_j))),Resal+(Salim-Resal)*(1-EXP((Tnet-t)/(Tau_j))))*Salcycl</f>
        <v>2.1599152549742071E-2</v>
      </c>
      <c r="P274" s="169">
        <f>(INDEX(Models!$BJ274:$BT274,,T274)*(1-R274)+INDEX(Models!$BJ274:$BT274,,T274+1)*R274-ERP_i)*Q274*Ramure*Pc/MaxiM</f>
        <v>7.8811873879940238E-4</v>
      </c>
      <c r="Q274" s="304">
        <f t="shared" si="105"/>
        <v>0.6</v>
      </c>
      <c r="R274" s="177">
        <f t="shared" si="106"/>
        <v>0.49085564448428626</v>
      </c>
      <c r="S274" s="799">
        <f t="shared" si="107"/>
        <v>0</v>
      </c>
      <c r="T274" s="176">
        <f t="shared" si="108"/>
        <v>6</v>
      </c>
      <c r="U274" s="250">
        <f t="shared" si="109"/>
        <v>0.49085564448428626</v>
      </c>
      <c r="V274" s="382">
        <f t="shared" si="110"/>
        <v>47.450048950539461</v>
      </c>
      <c r="W274" s="400">
        <f t="shared" si="111"/>
        <v>0</v>
      </c>
      <c r="X274" s="157">
        <f t="shared" si="112"/>
        <v>44821</v>
      </c>
      <c r="Y274" s="383">
        <f t="shared" si="113"/>
        <v>43.854192884722046</v>
      </c>
      <c r="Z274" s="383">
        <f t="shared" si="114"/>
        <v>44.995000042843913</v>
      </c>
      <c r="AA274" s="384">
        <f t="shared" si="115"/>
        <v>49.462854065002865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9.0327461013216273E-2</v>
      </c>
      <c r="AD274" s="230">
        <f>(INDEX(Models!$BJ274:$BT274,,AH274)*(1-AF274)+INDEX(Models!$BJ274:$BT274,,AH274+1)*AF274-ERP_i)*AE274*Ramure*Pc/MaxiM</f>
        <v>7.8811873879940238E-4</v>
      </c>
      <c r="AE274" s="304">
        <f t="shared" si="117"/>
        <v>0.6</v>
      </c>
      <c r="AF274" s="177">
        <f t="shared" si="118"/>
        <v>0.49085564448428626</v>
      </c>
      <c r="AG274" s="799">
        <f t="shared" si="124"/>
        <v>0</v>
      </c>
      <c r="AH274" s="176">
        <f t="shared" si="119"/>
        <v>6</v>
      </c>
      <c r="AI274" s="224">
        <f t="shared" si="120"/>
        <v>0.49085564448428626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3">
        <v>47.160000000000004</v>
      </c>
      <c r="C275" s="388"/>
      <c r="D275" s="391">
        <f t="shared" si="102"/>
        <v>48.387730572029447</v>
      </c>
      <c r="E275" s="383">
        <f t="shared" si="100"/>
        <v>49.459525432100314</v>
      </c>
      <c r="F275" s="383">
        <f t="shared" si="103"/>
        <v>49.499723325417328</v>
      </c>
      <c r="G275" s="110">
        <f t="shared" si="101"/>
        <v>0.99987469921560468</v>
      </c>
      <c r="H275" s="412" t="b">
        <f>Wh_hp&gt;='2021'!Maxi_hp</f>
        <v>1</v>
      </c>
      <c r="I275" s="379">
        <f>IF(H275,Wh_hp,'2021'!Maxi_hp)</f>
        <v>49.499723325417328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2.5372766143720193E-2</v>
      </c>
      <c r="M275" s="832"/>
      <c r="N275" s="832"/>
      <c r="O275" s="48">
        <f>IF(t&lt;Tnet,'2021'!Resal+('2021'!Salim-'2021'!Resal)*(1-EXP(('2021'!Tnet-t)/('2021'!Tau_j))),Resal+(Salim-Resal)*(1-EXP((Tnet-t)/(Tau_j))))*Salcycl</f>
        <v>2.1670140396762606E-2</v>
      </c>
      <c r="P275" s="169">
        <f>(INDEX(Models!$BJ275:$BT275,,T275)*(1-R275)+INDEX(Models!$BJ275:$BT275,,T275+1)*R275-ERP_i)*Q275*Ramure*Pc/MaxiM</f>
        <v>8.1222841309133991E-4</v>
      </c>
      <c r="Q275" s="304">
        <f t="shared" si="105"/>
        <v>0.6</v>
      </c>
      <c r="R275" s="177">
        <f t="shared" si="106"/>
        <v>0.4911892728941441</v>
      </c>
      <c r="S275" s="799">
        <f t="shared" si="107"/>
        <v>0</v>
      </c>
      <c r="T275" s="176">
        <f t="shared" si="108"/>
        <v>6</v>
      </c>
      <c r="U275" s="250">
        <f t="shared" si="109"/>
        <v>0.4911892728941441</v>
      </c>
      <c r="V275" s="382">
        <f t="shared" si="110"/>
        <v>47.165903070454597</v>
      </c>
      <c r="W275" s="400">
        <f t="shared" si="111"/>
        <v>0</v>
      </c>
      <c r="X275" s="157">
        <f t="shared" si="112"/>
        <v>44822</v>
      </c>
      <c r="Y275" s="383">
        <f t="shared" si="113"/>
        <v>43.850727792046357</v>
      </c>
      <c r="Z275" s="383">
        <f t="shared" si="114"/>
        <v>44.992307077797768</v>
      </c>
      <c r="AA275" s="384">
        <f t="shared" si="115"/>
        <v>49.459525432100314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9.0320687780057404E-2</v>
      </c>
      <c r="AD275" s="230">
        <f>(INDEX(Models!$BJ275:$BT275,,AH275)*(1-AF275)+INDEX(Models!$BJ275:$BT275,,AH275+1)*AF275-ERP_i)*AE275*Ramure*Pc/MaxiM</f>
        <v>8.1222841309133991E-4</v>
      </c>
      <c r="AE275" s="304">
        <f t="shared" si="117"/>
        <v>0.6</v>
      </c>
      <c r="AF275" s="177">
        <f t="shared" si="118"/>
        <v>0.4911892728941441</v>
      </c>
      <c r="AG275" s="799">
        <f t="shared" si="124"/>
        <v>0</v>
      </c>
      <c r="AH275" s="176">
        <f t="shared" si="119"/>
        <v>6</v>
      </c>
      <c r="AI275" s="224">
        <f t="shared" si="120"/>
        <v>0.4911892728941441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3">
        <v>46.52</v>
      </c>
      <c r="C276" s="388"/>
      <c r="D276" s="391">
        <f t="shared" si="102"/>
        <v>47.731984030659376</v>
      </c>
      <c r="E276" s="383">
        <f t="shared" si="100"/>
        <v>48.792779287836176</v>
      </c>
      <c r="F276" s="383">
        <f t="shared" si="103"/>
        <v>48.833226198141027</v>
      </c>
      <c r="G276" s="110">
        <f t="shared" si="101"/>
        <v>0.99235434633398478</v>
      </c>
      <c r="H276" s="412" t="b">
        <f>Wh_hp&gt;='2021'!Maxi_hp</f>
        <v>1</v>
      </c>
      <c r="I276" s="379">
        <f>IF(H276,Wh_hp,'2021'!Maxi_hp)</f>
        <v>48.833226198141027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2.5391444652308803E-2</v>
      </c>
      <c r="M276" s="832"/>
      <c r="N276" s="832"/>
      <c r="O276" s="48">
        <f>IF(t&lt;Tnet,'2021'!Resal+('2021'!Salim-'2021'!Resal)*(1-EXP(('2021'!Tnet-t)/('2021'!Tau_j))),Resal+(Salim-Resal)*(1-EXP((Tnet-t)/(Tau_j))))*Salcycl</f>
        <v>2.1740824619130697E-2</v>
      </c>
      <c r="P276" s="169">
        <f>(INDEX(Models!$BJ276:$BT276,,T276)*(1-R276)+INDEX(Models!$BJ276:$BT276,,T276+1)*R276-ERP_i)*Q276*Ramure*Pc/MaxiM</f>
        <v>8.3740174298281426E-4</v>
      </c>
      <c r="Q276" s="304">
        <f t="shared" si="105"/>
        <v>0.6</v>
      </c>
      <c r="R276" s="177">
        <f t="shared" si="106"/>
        <v>0.49150989386340571</v>
      </c>
      <c r="S276" s="799">
        <f t="shared" si="107"/>
        <v>0</v>
      </c>
      <c r="T276" s="176">
        <f t="shared" si="108"/>
        <v>6</v>
      </c>
      <c r="U276" s="250">
        <f t="shared" si="109"/>
        <v>0.49150989386340571</v>
      </c>
      <c r="V276" s="382">
        <f t="shared" si="110"/>
        <v>46.877987519003874</v>
      </c>
      <c r="W276" s="400">
        <f t="shared" si="111"/>
        <v>0</v>
      </c>
      <c r="X276" s="157">
        <f t="shared" si="112"/>
        <v>44823</v>
      </c>
      <c r="Y276" s="383">
        <f t="shared" si="113"/>
        <v>43.259125489209097</v>
      </c>
      <c r="Z276" s="383">
        <f t="shared" si="114"/>
        <v>44.386154063439783</v>
      </c>
      <c r="AA276" s="384">
        <f t="shared" si="115"/>
        <v>48.792779287836176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9.0313060430540881E-2</v>
      </c>
      <c r="AD276" s="230">
        <f>(INDEX(Models!$BJ276:$BT276,,AH276)*(1-AF276)+INDEX(Models!$BJ276:$BT276,,AH276+1)*AF276-ERP_i)*AE276*Ramure*Pc/MaxiM</f>
        <v>8.3740174298281426E-4</v>
      </c>
      <c r="AE276" s="304">
        <f t="shared" si="117"/>
        <v>0.6</v>
      </c>
      <c r="AF276" s="177">
        <f t="shared" si="118"/>
        <v>0.49150989386340571</v>
      </c>
      <c r="AG276" s="799">
        <f t="shared" si="124"/>
        <v>0</v>
      </c>
      <c r="AH276" s="176">
        <f t="shared" si="119"/>
        <v>6</v>
      </c>
      <c r="AI276" s="224">
        <f t="shared" si="120"/>
        <v>0.49150989386340571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3">
        <v>48.291000000000004</v>
      </c>
      <c r="C277" s="388"/>
      <c r="D277" s="391">
        <f t="shared" si="102"/>
        <v>49.550073451291425</v>
      </c>
      <c r="E277" s="383">
        <f t="shared" si="100"/>
        <v>50.654917791813475</v>
      </c>
      <c r="F277" s="383">
        <f t="shared" si="103"/>
        <v>50.698686823362124</v>
      </c>
      <c r="G277" s="110">
        <f t="shared" si="101"/>
        <v>1.0365895377792054</v>
      </c>
      <c r="H277" s="412" t="b">
        <f>Wh_hp&gt;='2021'!Maxi_hp</f>
        <v>1</v>
      </c>
      <c r="I277" s="379">
        <f>IF(H277,Wh_hp,'2021'!Maxi_hp)</f>
        <v>50.698686823362124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2.5410122802928092E-2</v>
      </c>
      <c r="M277" s="832"/>
      <c r="N277" s="832"/>
      <c r="O277" s="48">
        <f>IF(t&lt;Tnet,'2021'!Resal+('2021'!Salim-'2021'!Resal)*(1-EXP(('2021'!Tnet-t)/('2021'!Tau_j))),Resal+(Salim-Resal)*(1-EXP((Tnet-t)/(Tau_j))))*Salcycl</f>
        <v>2.1811196003966443E-2</v>
      </c>
      <c r="P277" s="169">
        <f>(INDEX(Models!$BJ277:$BT277,,T277)*(1-R277)+INDEX(Models!$BJ277:$BT277,,T277+1)*R277-ERP_i)*Q277*Ramure*Pc/MaxiM</f>
        <v>8.6331686856394314E-4</v>
      </c>
      <c r="Q277" s="304">
        <f t="shared" si="105"/>
        <v>0.6</v>
      </c>
      <c r="R277" s="177">
        <f t="shared" si="106"/>
        <v>0.49181799830846445</v>
      </c>
      <c r="S277" s="799">
        <f t="shared" si="107"/>
        <v>0</v>
      </c>
      <c r="T277" s="176">
        <f t="shared" si="108"/>
        <v>6</v>
      </c>
      <c r="U277" s="250">
        <f t="shared" si="109"/>
        <v>0.49181799830846445</v>
      </c>
      <c r="V277" s="382">
        <f t="shared" si="110"/>
        <v>46.586424269203881</v>
      </c>
      <c r="W277" s="400">
        <f t="shared" si="111"/>
        <v>0</v>
      </c>
      <c r="X277" s="157">
        <f t="shared" si="112"/>
        <v>44824</v>
      </c>
      <c r="Y277" s="383">
        <f t="shared" si="113"/>
        <v>44.909635908869248</v>
      </c>
      <c r="Z277" s="383">
        <f t="shared" si="114"/>
        <v>46.080548299998469</v>
      </c>
      <c r="AA277" s="384">
        <f t="shared" si="115"/>
        <v>50.654917791813475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9.0304548723486089E-2</v>
      </c>
      <c r="AD277" s="230">
        <f>(INDEX(Models!$BJ277:$BT277,,AH277)*(1-AF277)+INDEX(Models!$BJ277:$BT277,,AH277+1)*AF277-ERP_i)*AE277*Ramure*Pc/MaxiM</f>
        <v>8.6331686856394314E-4</v>
      </c>
      <c r="AE277" s="304">
        <f t="shared" si="117"/>
        <v>0.6</v>
      </c>
      <c r="AF277" s="177">
        <f t="shared" si="118"/>
        <v>0.49181799830846445</v>
      </c>
      <c r="AG277" s="799">
        <f t="shared" si="124"/>
        <v>0</v>
      </c>
      <c r="AH277" s="176">
        <f t="shared" si="119"/>
        <v>6</v>
      </c>
      <c r="AI277" s="224">
        <f t="shared" si="120"/>
        <v>0.49181799830846445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3">
        <v>47.048000000000002</v>
      </c>
      <c r="C278" s="388"/>
      <c r="D278" s="391">
        <f t="shared" si="102"/>
        <v>48.275590360922031</v>
      </c>
      <c r="E278" s="383">
        <f t="shared" si="100"/>
        <v>49.355551279079243</v>
      </c>
      <c r="F278" s="383">
        <f t="shared" si="103"/>
        <v>49.399515767454261</v>
      </c>
      <c r="G278" s="110">
        <f t="shared" si="101"/>
        <v>1.0163460501370338</v>
      </c>
      <c r="H278" s="412" t="b">
        <f>Wh_hp&gt;='2021'!Maxi_hp</f>
        <v>1</v>
      </c>
      <c r="I278" s="379">
        <f>IF(H278,Wh_hp,'2021'!Maxi_hp)</f>
        <v>49.399515767454261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2.5428800595584944E-2</v>
      </c>
      <c r="M278" s="832"/>
      <c r="N278" s="832"/>
      <c r="O278" s="48">
        <f>IF(t&lt;Tnet,'2021'!Resal+('2021'!Salim-'2021'!Resal)*(1-EXP(('2021'!Tnet-t)/('2021'!Tau_j))),Resal+(Salim-Resal)*(1-EXP((Tnet-t)/(Tau_j))))*Salcycl</f>
        <v>2.188124517241468E-2</v>
      </c>
      <c r="P278" s="169">
        <f>(INDEX(Models!$BJ278:$BT278,,T278)*(1-R278)+INDEX(Models!$BJ278:$BT278,,T278+1)*R278-ERP_i)*Q278*Ramure*Pc/MaxiM</f>
        <v>8.8997812411719442E-4</v>
      </c>
      <c r="Q278" s="304">
        <f t="shared" si="105"/>
        <v>0.6</v>
      </c>
      <c r="R278" s="177">
        <f t="shared" si="106"/>
        <v>0.49211405988105211</v>
      </c>
      <c r="S278" s="799">
        <f t="shared" si="107"/>
        <v>0</v>
      </c>
      <c r="T278" s="176">
        <f t="shared" si="108"/>
        <v>6</v>
      </c>
      <c r="U278" s="250">
        <f t="shared" si="109"/>
        <v>0.49211405988105211</v>
      </c>
      <c r="V278" s="382">
        <f t="shared" si="110"/>
        <v>46.291319766192359</v>
      </c>
      <c r="W278" s="400">
        <f t="shared" si="111"/>
        <v>0</v>
      </c>
      <c r="X278" s="157">
        <f t="shared" si="112"/>
        <v>44825</v>
      </c>
      <c r="Y278" s="383">
        <f t="shared" si="113"/>
        <v>43.757258393796008</v>
      </c>
      <c r="Z278" s="383">
        <f t="shared" si="114"/>
        <v>44.898985749360506</v>
      </c>
      <c r="AA278" s="384">
        <f t="shared" si="115"/>
        <v>49.355551279079243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9.0295122113402085E-2</v>
      </c>
      <c r="AD278" s="230">
        <f>(INDEX(Models!$BJ278:$BT278,,AH278)*(1-AF278)+INDEX(Models!$BJ278:$BT278,,AH278+1)*AF278-ERP_i)*AE278*Ramure*Pc/MaxiM</f>
        <v>8.8997812411719442E-4</v>
      </c>
      <c r="AE278" s="304">
        <f t="shared" si="117"/>
        <v>0.6</v>
      </c>
      <c r="AF278" s="177">
        <f t="shared" si="118"/>
        <v>0.49211405988105211</v>
      </c>
      <c r="AG278" s="799">
        <f t="shared" si="124"/>
        <v>0</v>
      </c>
      <c r="AH278" s="176">
        <f t="shared" si="119"/>
        <v>6</v>
      </c>
      <c r="AI278" s="224">
        <f t="shared" si="120"/>
        <v>0.49211405988105211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3">
        <v>45.527000000000001</v>
      </c>
      <c r="C279" s="388"/>
      <c r="D279" s="391">
        <f t="shared" si="102"/>
        <v>46.715799275736565</v>
      </c>
      <c r="E279" s="383">
        <f t="shared" si="100"/>
        <v>47.764271002780063</v>
      </c>
      <c r="F279" s="383">
        <f t="shared" si="103"/>
        <v>47.807494573948958</v>
      </c>
      <c r="G279" s="110">
        <f t="shared" si="101"/>
        <v>0.98985959908026422</v>
      </c>
      <c r="H279" s="412" t="b">
        <f>Wh_hp&gt;='2021'!Maxi_hp</f>
        <v>1</v>
      </c>
      <c r="I279" s="379">
        <f>IF(H279,Wh_hp,'2021'!Maxi_hp)</f>
        <v>47.807494573948958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2.544747803028613E-2</v>
      </c>
      <c r="M279" s="832"/>
      <c r="N279" s="832"/>
      <c r="O279" s="48">
        <f>IF(t&lt;Tnet,'2021'!Resal+('2021'!Salim-'2021'!Resal)*(1-EXP(('2021'!Tnet-t)/('2021'!Tau_j))),Resal+(Salim-Resal)*(1-EXP((Tnet-t)/(Tau_j))))*Salcycl</f>
        <v>2.1950962613508134E-2</v>
      </c>
      <c r="P279" s="169">
        <f>(INDEX(Models!$BJ279:$BT279,,T279)*(1-R279)+INDEX(Models!$BJ279:$BT279,,T279+1)*R279-ERP_i)*Q279*Ramure*Pc/MaxiM</f>
        <v>9.1738938673383442E-4</v>
      </c>
      <c r="Q279" s="304">
        <f t="shared" si="105"/>
        <v>0.6</v>
      </c>
      <c r="R279" s="177">
        <f t="shared" si="106"/>
        <v>0.49239853547586226</v>
      </c>
      <c r="S279" s="799">
        <f t="shared" si="107"/>
        <v>0</v>
      </c>
      <c r="T279" s="176">
        <f t="shared" si="108"/>
        <v>6</v>
      </c>
      <c r="U279" s="250">
        <f t="shared" si="109"/>
        <v>0.49239853547586226</v>
      </c>
      <c r="V279" s="382">
        <f t="shared" si="110"/>
        <v>45.992780436757933</v>
      </c>
      <c r="W279" s="400">
        <f t="shared" si="111"/>
        <v>0</v>
      </c>
      <c r="X279" s="157">
        <f t="shared" si="112"/>
        <v>44826</v>
      </c>
      <c r="Y279" s="383">
        <f t="shared" si="113"/>
        <v>42.346144833662805</v>
      </c>
      <c r="Z279" s="383">
        <f t="shared" si="114"/>
        <v>43.451885741442673</v>
      </c>
      <c r="AA279" s="384">
        <f t="shared" si="115"/>
        <v>47.764271002780063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9.0284749893626351E-2</v>
      </c>
      <c r="AD279" s="230">
        <f>(INDEX(Models!$BJ279:$BT279,,AH279)*(1-AF279)+INDEX(Models!$BJ279:$BT279,,AH279+1)*AF279-ERP_i)*AE279*Ramure*Pc/MaxiM</f>
        <v>9.1738938673383442E-4</v>
      </c>
      <c r="AE279" s="304">
        <f t="shared" si="117"/>
        <v>0.6</v>
      </c>
      <c r="AF279" s="177">
        <f t="shared" si="118"/>
        <v>0.49239853547586226</v>
      </c>
      <c r="AG279" s="799">
        <f t="shared" si="124"/>
        <v>0</v>
      </c>
      <c r="AH279" s="176">
        <f t="shared" si="119"/>
        <v>6</v>
      </c>
      <c r="AI279" s="224">
        <f t="shared" si="120"/>
        <v>0.49239853547586226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3">
        <v>28.896000000000001</v>
      </c>
      <c r="C280" s="388"/>
      <c r="D280" s="391">
        <f t="shared" si="102"/>
        <v>29.651099498934087</v>
      </c>
      <c r="E280" s="383">
        <f t="shared" si="100"/>
        <v>30.318728162710439</v>
      </c>
      <c r="F280" s="383">
        <f t="shared" si="103"/>
        <v>30.332348510137358</v>
      </c>
      <c r="G280" s="110">
        <f t="shared" si="101"/>
        <v>0.63210919856087255</v>
      </c>
      <c r="H280" s="412" t="b">
        <f>Wh_hp&gt;='2021'!Maxi_hp</f>
        <v>0</v>
      </c>
      <c r="I280" s="379">
        <f>IF(H280,Wh_hp,'2021'!Maxi_hp)</f>
        <v>41.863369362780062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2.5466155107038535E-2</v>
      </c>
      <c r="M280" s="832"/>
      <c r="N280" s="832"/>
      <c r="O280" s="48">
        <f>IF(t&lt;Tnet,'2021'!Resal+('2021'!Salim-'2021'!Resal)*(1-EXP(('2021'!Tnet-t)/('2021'!Tau_j))),Resal+(Salim-Resal)*(1-EXP((Tnet-t)/(Tau_j))))*Salcycl</f>
        <v>2.2020338722436254E-2</v>
      </c>
      <c r="P280" s="169">
        <f>(INDEX(Models!$BJ280:$BT280,,T280)*(1-R280)+INDEX(Models!$BJ280:$BT280,,T280+1)*R280-ERP_i)*Q280*Ramure*Pc/MaxiM</f>
        <v>9.4555906890445853E-4</v>
      </c>
      <c r="Q280" s="304">
        <f t="shared" si="105"/>
        <v>0.6</v>
      </c>
      <c r="R280" s="177">
        <f t="shared" si="106"/>
        <v>0.49267186573142752</v>
      </c>
      <c r="S280" s="799">
        <f t="shared" si="107"/>
        <v>0</v>
      </c>
      <c r="T280" s="176">
        <f t="shared" si="108"/>
        <v>6</v>
      </c>
      <c r="U280" s="250">
        <f t="shared" si="109"/>
        <v>0.49267186573142752</v>
      </c>
      <c r="V280" s="382">
        <f t="shared" si="110"/>
        <v>45.690912455026478</v>
      </c>
      <c r="W280" s="400">
        <f t="shared" si="111"/>
        <v>0</v>
      </c>
      <c r="X280" s="157">
        <f t="shared" si="112"/>
        <v>44827</v>
      </c>
      <c r="Y280" s="383">
        <f t="shared" si="113"/>
        <v>26.879352235316031</v>
      </c>
      <c r="Z280" s="383">
        <f t="shared" si="114"/>
        <v>27.581753446714149</v>
      </c>
      <c r="AA280" s="384">
        <f t="shared" si="115"/>
        <v>30.318728162710439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9.0273401354696137E-2</v>
      </c>
      <c r="AD280" s="230">
        <f>(INDEX(Models!$BJ280:$BT280,,AH280)*(1-AF280)+INDEX(Models!$BJ280:$BT280,,AH280+1)*AF280-ERP_i)*AE280*Ramure*Pc/MaxiM</f>
        <v>9.4555906890445853E-4</v>
      </c>
      <c r="AE280" s="304">
        <f t="shared" si="117"/>
        <v>0.6</v>
      </c>
      <c r="AF280" s="177">
        <f t="shared" si="118"/>
        <v>0.49267186573142752</v>
      </c>
      <c r="AG280" s="799">
        <f t="shared" si="124"/>
        <v>0</v>
      </c>
      <c r="AH280" s="176">
        <f t="shared" si="119"/>
        <v>6</v>
      </c>
      <c r="AI280" s="224">
        <f t="shared" si="120"/>
        <v>0.49267186573142752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3">
        <v>17.504000000000001</v>
      </c>
      <c r="C281" s="388"/>
      <c r="D281" s="391">
        <f t="shared" si="102"/>
        <v>17.961752235006713</v>
      </c>
      <c r="E281" s="383">
        <f t="shared" si="100"/>
        <v>18.367478142579387</v>
      </c>
      <c r="F281" s="383">
        <f t="shared" si="103"/>
        <v>18.369669011529624</v>
      </c>
      <c r="G281" s="110">
        <f t="shared" si="101"/>
        <v>0.38534122584117475</v>
      </c>
      <c r="H281" s="412" t="b">
        <f>Wh_hp&gt;='2021'!Maxi_hp</f>
        <v>0</v>
      </c>
      <c r="I281" s="379">
        <f>IF(H281,Wh_hp,'2021'!Maxi_hp)</f>
        <v>40.4343470381435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2.548483182584893E-2</v>
      </c>
      <c r="M281" s="832"/>
      <c r="N281" s="832"/>
      <c r="O281" s="48">
        <f>IF(t&lt;Tnet,'2021'!Resal+('2021'!Salim-'2021'!Resal)*(1-EXP(('2021'!Tnet-t)/('2021'!Tau_j))),Resal+(Salim-Resal)*(1-EXP((Tnet-t)/(Tau_j))))*Salcycl</f>
        <v>2.208936384315718E-2</v>
      </c>
      <c r="P281" s="169">
        <f>(INDEX(Models!$BJ281:$BT281,,T281)*(1-R281)+INDEX(Models!$BJ281:$BT281,,T281+1)*R281-ERP_i)*Q281*Ramure*Pc/MaxiM</f>
        <v>9.744930752433479E-4</v>
      </c>
      <c r="Q281" s="304">
        <f t="shared" si="105"/>
        <v>0.6</v>
      </c>
      <c r="R281" s="177">
        <f t="shared" si="106"/>
        <v>0.49293447552356356</v>
      </c>
      <c r="S281" s="799">
        <f t="shared" si="107"/>
        <v>0</v>
      </c>
      <c r="T281" s="176">
        <f t="shared" si="108"/>
        <v>6</v>
      </c>
      <c r="U281" s="250">
        <f t="shared" si="109"/>
        <v>0.49293447552356356</v>
      </c>
      <c r="V281" s="382">
        <f t="shared" si="110"/>
        <v>45.385822069448558</v>
      </c>
      <c r="W281" s="400">
        <f t="shared" si="111"/>
        <v>0</v>
      </c>
      <c r="X281" s="157">
        <f t="shared" si="112"/>
        <v>44828</v>
      </c>
      <c r="Y281" s="383">
        <f t="shared" si="113"/>
        <v>16.283768744088334</v>
      </c>
      <c r="Z281" s="383">
        <f t="shared" si="114"/>
        <v>16.709610353831184</v>
      </c>
      <c r="AA281" s="384">
        <f t="shared" si="115"/>
        <v>18.367478142579387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9.0261045957362104E-2</v>
      </c>
      <c r="AD281" s="230">
        <f>(INDEX(Models!$BJ281:$BT281,,AH281)*(1-AF281)+INDEX(Models!$BJ281:$BT281,,AH281+1)*AF281-ERP_i)*AE281*Ramure*Pc/MaxiM</f>
        <v>9.744930752433479E-4</v>
      </c>
      <c r="AE281" s="304">
        <f t="shared" si="117"/>
        <v>0.6</v>
      </c>
      <c r="AF281" s="177">
        <f t="shared" si="118"/>
        <v>0.49293447552356356</v>
      </c>
      <c r="AG281" s="799">
        <f t="shared" si="124"/>
        <v>0</v>
      </c>
      <c r="AH281" s="176">
        <f t="shared" si="119"/>
        <v>6</v>
      </c>
      <c r="AI281" s="224">
        <f t="shared" si="120"/>
        <v>0.49293447552356356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3">
        <v>36.862000000000002</v>
      </c>
      <c r="C282" s="388"/>
      <c r="D282" s="391">
        <f t="shared" si="102"/>
        <v>37.826713907825102</v>
      </c>
      <c r="E282" s="383">
        <f t="shared" si="100"/>
        <v>38.683872244358689</v>
      </c>
      <c r="F282" s="383">
        <f t="shared" si="103"/>
        <v>38.712672418777252</v>
      </c>
      <c r="G282" s="110">
        <f t="shared" si="101"/>
        <v>0.8175321412476696</v>
      </c>
      <c r="H282" s="412" t="b">
        <f>Wh_hp&gt;='2021'!Maxi_hp</f>
        <v>1</v>
      </c>
      <c r="I282" s="379">
        <f>IF(H282,Wh_hp,'2021'!Maxi_hp)</f>
        <v>38.712672418777252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2.5503508186724422E-2</v>
      </c>
      <c r="M282" s="832"/>
      <c r="N282" s="832"/>
      <c r="O282" s="48">
        <f>IF(t&lt;Tnet,'2021'!Resal+('2021'!Salim-'2021'!Resal)*(1-EXP(('2021'!Tnet-t)/('2021'!Tau_j))),Resal+(Salim-Resal)*(1-EXP((Tnet-t)/(Tau_j))))*Salcycl</f>
        <v>2.2158028315239015E-2</v>
      </c>
      <c r="P282" s="169">
        <f>(INDEX(Models!$BJ282:$BT282,,T282)*(1-R282)+INDEX(Models!$BJ282:$BT282,,T282+1)*R282-ERP_i)*Q282*Ramure*Pc/MaxiM</f>
        <v>1.0058260386533856E-3</v>
      </c>
      <c r="Q282" s="304">
        <f t="shared" si="105"/>
        <v>0.6</v>
      </c>
      <c r="R282" s="177">
        <f t="shared" si="106"/>
        <v>0.49318677445078185</v>
      </c>
      <c r="S282" s="799">
        <f t="shared" si="107"/>
        <v>0</v>
      </c>
      <c r="T282" s="176">
        <f t="shared" si="108"/>
        <v>6</v>
      </c>
      <c r="U282" s="250">
        <f t="shared" si="109"/>
        <v>0.49318677445078185</v>
      </c>
      <c r="V282" s="382">
        <f t="shared" si="110"/>
        <v>45.077541990815448</v>
      </c>
      <c r="W282" s="400">
        <f t="shared" si="111"/>
        <v>0</v>
      </c>
      <c r="X282" s="157">
        <f t="shared" si="112"/>
        <v>44829</v>
      </c>
      <c r="Y282" s="383">
        <f t="shared" si="113"/>
        <v>34.295205122138952</v>
      </c>
      <c r="Z282" s="383">
        <f t="shared" si="114"/>
        <v>35.19274354525875</v>
      </c>
      <c r="AA282" s="384">
        <f t="shared" si="115"/>
        <v>38.683872244358689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9.0247653519460097E-2</v>
      </c>
      <c r="AD282" s="230">
        <f>(INDEX(Models!$BJ282:$BT282,,AH282)*(1-AF282)+INDEX(Models!$BJ282:$BT282,,AH282+1)*AF282-ERP_i)*AE282*Ramure*Pc/MaxiM</f>
        <v>1.0058260386533856E-3</v>
      </c>
      <c r="AE282" s="304">
        <f t="shared" si="117"/>
        <v>0.6</v>
      </c>
      <c r="AF282" s="177">
        <f t="shared" si="118"/>
        <v>0.49318677445078185</v>
      </c>
      <c r="AG282" s="799">
        <f t="shared" si="124"/>
        <v>0</v>
      </c>
      <c r="AH282" s="176">
        <f t="shared" si="119"/>
        <v>6</v>
      </c>
      <c r="AI282" s="224">
        <f t="shared" si="120"/>
        <v>0.49318677445078185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3">
        <v>33.750999999999998</v>
      </c>
      <c r="C283" s="388"/>
      <c r="D283" s="391">
        <f t="shared" si="102"/>
        <v>34.634959824030787</v>
      </c>
      <c r="E283" s="383">
        <f t="shared" si="100"/>
        <v>35.422266544814022</v>
      </c>
      <c r="F283" s="383">
        <f t="shared" si="103"/>
        <v>35.446154603332609</v>
      </c>
      <c r="G283" s="110">
        <f t="shared" si="101"/>
        <v>0.75366383942832615</v>
      </c>
      <c r="H283" s="412" t="b">
        <f>Wh_hp&gt;='2021'!Maxi_hp</f>
        <v>0</v>
      </c>
      <c r="I283" s="379">
        <f>IF(H283,Wh_hp,'2021'!Maxi_hp)</f>
        <v>39.693686966189702</v>
      </c>
      <c r="J283" s="85">
        <f>IF(H283,An,'2021'!An_max)</f>
        <v>2021</v>
      </c>
      <c r="K283" s="197">
        <f t="shared" si="104"/>
        <v>44830</v>
      </c>
      <c r="L283" s="147">
        <f>IF(t&lt;Tvie,1-EXP((T0-t)*PertePVj)+'2021'!Pspv,1-EXP((T0-t)*PertePVj)+Pspv)</f>
        <v>2.552218418967156E-2</v>
      </c>
      <c r="M283" s="832"/>
      <c r="N283" s="832"/>
      <c r="O283" s="48">
        <f>IF(t&lt;Tnet,'2021'!Resal+('2021'!Salim-'2021'!Resal)*(1-EXP(('2021'!Tnet-t)/('2021'!Tau_j))),Resal+(Salim-Resal)*(1-EXP((Tnet-t)/(Tau_j))))*Salcycl</f>
        <v>2.2226322524765182E-2</v>
      </c>
      <c r="P283" s="169">
        <f>(INDEX(Models!$BJ283:$BT283,,T283)*(1-R283)+INDEX(Models!$BJ283:$BT283,,T283+1)*R283-ERP_i)*Q283*Ramure*Pc/MaxiM</f>
        <v>1.0392304094203289E-3</v>
      </c>
      <c r="Q283" s="304">
        <f t="shared" si="105"/>
        <v>0.6</v>
      </c>
      <c r="R283" s="177">
        <f t="shared" si="106"/>
        <v>0.49342915731115977</v>
      </c>
      <c r="S283" s="799">
        <f t="shared" si="107"/>
        <v>0</v>
      </c>
      <c r="T283" s="176">
        <f t="shared" si="108"/>
        <v>6</v>
      </c>
      <c r="U283" s="250">
        <f t="shared" si="109"/>
        <v>0.49342915731115977</v>
      </c>
      <c r="V283" s="382">
        <f t="shared" si="110"/>
        <v>44.766194828146268</v>
      </c>
      <c r="W283" s="400">
        <f t="shared" si="111"/>
        <v>0</v>
      </c>
      <c r="X283" s="157">
        <f t="shared" si="112"/>
        <v>44830</v>
      </c>
      <c r="Y283" s="383">
        <f t="shared" si="113"/>
        <v>31.403524315118833</v>
      </c>
      <c r="Z283" s="383">
        <f t="shared" si="114"/>
        <v>32.226002281032109</v>
      </c>
      <c r="AA283" s="384">
        <f t="shared" si="115"/>
        <v>35.422266544814022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9.0233194415670834E-2</v>
      </c>
      <c r="AD283" s="230">
        <f>(INDEX(Models!$BJ283:$BT283,,AH283)*(1-AF283)+INDEX(Models!$BJ283:$BT283,,AH283+1)*AF283-ERP_i)*AE283*Ramure*Pc/MaxiM</f>
        <v>1.0392304094203289E-3</v>
      </c>
      <c r="AE283" s="304">
        <f t="shared" si="117"/>
        <v>0.6</v>
      </c>
      <c r="AF283" s="177">
        <f t="shared" si="118"/>
        <v>0.49342915731115977</v>
      </c>
      <c r="AG283" s="799">
        <f t="shared" si="124"/>
        <v>0</v>
      </c>
      <c r="AH283" s="176">
        <f t="shared" si="119"/>
        <v>6</v>
      </c>
      <c r="AI283" s="224">
        <f t="shared" si="120"/>
        <v>0.49342915731115977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3">
        <v>17.897000000000002</v>
      </c>
      <c r="C284" s="388"/>
      <c r="D284" s="391">
        <f t="shared" si="102"/>
        <v>18.366085618494012</v>
      </c>
      <c r="E284" s="383">
        <f t="shared" si="100"/>
        <v>18.784880188668239</v>
      </c>
      <c r="F284" s="383">
        <f t="shared" si="103"/>
        <v>18.787840150392764</v>
      </c>
      <c r="G284" s="110">
        <f t="shared" si="101"/>
        <v>0.40224574800479951</v>
      </c>
      <c r="H284" s="412" t="b">
        <f>Wh_hp&gt;='2021'!Maxi_hp</f>
        <v>0</v>
      </c>
      <c r="I284" s="379">
        <f>IF(H284,Wh_hp,'2021'!Maxi_hp)</f>
        <v>37.960845399345402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2.5540859834697449E-2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2.2294236959086958E-2</v>
      </c>
      <c r="P284" s="169">
        <f>(INDEX(Models!$BJ284:$BT284,,T284)*(1-R284)+INDEX(Models!$BJ284:$BT284,,T284+1)*R284-ERP_i)*Q284*Ramure*Pc/MaxiM</f>
        <v>1.0747219347118583E-3</v>
      </c>
      <c r="Q284" s="304">
        <f t="shared" si="105"/>
        <v>0.6</v>
      </c>
      <c r="R284" s="177">
        <f t="shared" si="106"/>
        <v>0.49366200457022902</v>
      </c>
      <c r="S284" s="799">
        <f t="shared" si="107"/>
        <v>0</v>
      </c>
      <c r="T284" s="176">
        <f t="shared" si="108"/>
        <v>6</v>
      </c>
      <c r="U284" s="250">
        <f t="shared" si="109"/>
        <v>0.49366200457022902</v>
      </c>
      <c r="V284" s="382">
        <f t="shared" si="110"/>
        <v>44.45188747565431</v>
      </c>
      <c r="W284" s="400">
        <f t="shared" si="111"/>
        <v>0</v>
      </c>
      <c r="X284" s="157">
        <f t="shared" si="112"/>
        <v>44831</v>
      </c>
      <c r="Y284" s="383">
        <f t="shared" si="113"/>
        <v>16.653655441340224</v>
      </c>
      <c r="Z284" s="383">
        <f t="shared" si="114"/>
        <v>17.090152634327158</v>
      </c>
      <c r="AA284" s="384">
        <f t="shared" si="115"/>
        <v>18.784880188668239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9.0217639789015272E-2</v>
      </c>
      <c r="AD284" s="230">
        <f>(INDEX(Models!$BJ284:$BT284,,AH284)*(1-AF284)+INDEX(Models!$BJ284:$BT284,,AH284+1)*AF284-ERP_i)*AE284*Ramure*Pc/MaxiM</f>
        <v>1.0747219347118583E-3</v>
      </c>
      <c r="AE284" s="304">
        <f t="shared" si="117"/>
        <v>0.6</v>
      </c>
      <c r="AF284" s="177">
        <f t="shared" si="118"/>
        <v>0.49366200457022902</v>
      </c>
      <c r="AG284" s="799">
        <f t="shared" si="124"/>
        <v>0</v>
      </c>
      <c r="AH284" s="176">
        <f t="shared" si="119"/>
        <v>6</v>
      </c>
      <c r="AI284" s="224">
        <f t="shared" si="120"/>
        <v>0.49366200457022902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3">
        <v>20.285</v>
      </c>
      <c r="C285" s="388"/>
      <c r="D285" s="391">
        <f t="shared" si="102"/>
        <v>20.817074753290036</v>
      </c>
      <c r="E285" s="383">
        <f t="shared" si="100"/>
        <v>21.293228875256059</v>
      </c>
      <c r="F285" s="383">
        <f t="shared" si="103"/>
        <v>21.298630897595604</v>
      </c>
      <c r="G285" s="110">
        <f t="shared" si="101"/>
        <v>0.4592206329243616</v>
      </c>
      <c r="H285" s="412" t="b">
        <f>Wh_hp&gt;='2021'!Maxi_hp</f>
        <v>0</v>
      </c>
      <c r="I285" s="379">
        <f>IF(H285,Wh_hp,'2021'!Maxi_hp)</f>
        <v>38.326040675068562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2.5559535121808863E-2</v>
      </c>
      <c r="M285" s="832"/>
      <c r="N285" s="832"/>
      <c r="O285" s="48">
        <f>IF(t&lt;Tnet,'2021'!Resal+('2021'!Salim-'2021'!Resal)*(1-EXP(('2021'!Tnet-t)/('2021'!Tau_j))),Resal+(Salim-Resal)*(1-EXP((Tnet-t)/(Tau_j))))*Salcycl</f>
        <v>2.2361762265155669E-2</v>
      </c>
      <c r="P285" s="169">
        <f>(INDEX(Models!$BJ285:$BT285,,T285)*(1-R285)+INDEX(Models!$BJ285:$BT285,,T285+1)*R285-ERP_i)*Q285*Ramure*Pc/MaxiM</f>
        <v>1.1123153898621092E-3</v>
      </c>
      <c r="Q285" s="304">
        <f t="shared" si="105"/>
        <v>0.6</v>
      </c>
      <c r="R285" s="177">
        <f t="shared" si="106"/>
        <v>0.49388568281951567</v>
      </c>
      <c r="S285" s="799">
        <f t="shared" si="107"/>
        <v>0</v>
      </c>
      <c r="T285" s="176">
        <f t="shared" si="108"/>
        <v>6</v>
      </c>
      <c r="U285" s="250">
        <f t="shared" si="109"/>
        <v>0.49388568281951567</v>
      </c>
      <c r="V285" s="382">
        <f t="shared" si="110"/>
        <v>44.134726845767318</v>
      </c>
      <c r="W285" s="400">
        <f t="shared" si="111"/>
        <v>0</v>
      </c>
      <c r="X285" s="157">
        <f t="shared" si="112"/>
        <v>44832</v>
      </c>
      <c r="Y285" s="383">
        <f t="shared" si="113"/>
        <v>18.877405545429422</v>
      </c>
      <c r="Z285" s="383">
        <f t="shared" si="114"/>
        <v>19.372559151460496</v>
      </c>
      <c r="AA285" s="384">
        <f t="shared" si="115"/>
        <v>21.293228875256059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9.0200961772758118E-2</v>
      </c>
      <c r="AD285" s="230">
        <f>(INDEX(Models!$BJ285:$BT285,,AH285)*(1-AF285)+INDEX(Models!$BJ285:$BT285,,AH285+1)*AF285-ERP_i)*AE285*Ramure*Pc/MaxiM</f>
        <v>1.1123153898621092E-3</v>
      </c>
      <c r="AE285" s="304">
        <f t="shared" si="117"/>
        <v>0.6</v>
      </c>
      <c r="AF285" s="177">
        <f t="shared" si="118"/>
        <v>0.49388568281951567</v>
      </c>
      <c r="AG285" s="799">
        <f t="shared" si="124"/>
        <v>0</v>
      </c>
      <c r="AH285" s="176">
        <f t="shared" si="119"/>
        <v>6</v>
      </c>
      <c r="AI285" s="224">
        <f t="shared" si="120"/>
        <v>0.49388568281951567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3">
        <v>24.373000000000001</v>
      </c>
      <c r="C286" s="388"/>
      <c r="D286" s="391">
        <f t="shared" si="102"/>
        <v>25.012782196994969</v>
      </c>
      <c r="E286" s="383">
        <f t="shared" si="100"/>
        <v>25.586662620756822</v>
      </c>
      <c r="F286" s="383">
        <f t="shared" si="103"/>
        <v>25.59745863173066</v>
      </c>
      <c r="G286" s="110">
        <f t="shared" si="101"/>
        <v>0.55586657322403688</v>
      </c>
      <c r="H286" s="412" t="b">
        <f>Wh_hp&gt;='2021'!Maxi_hp</f>
        <v>0</v>
      </c>
      <c r="I286" s="379">
        <f>IF(H286,Wh_hp,'2021'!Maxi_hp)</f>
        <v>44.025423023353014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2.5578210051012684E-2</v>
      </c>
      <c r="M286" s="832"/>
      <c r="N286" s="832"/>
      <c r="O286" s="48">
        <f>IF(t&lt;Tnet,'2021'!Resal+('2021'!Salim-'2021'!Resal)*(1-EXP(('2021'!Tnet-t)/('2021'!Tau_j))),Resal+(Salim-Resal)*(1-EXP((Tnet-t)/(Tau_j))))*Salcycl</f>
        <v>2.2428889311117212E-2</v>
      </c>
      <c r="P286" s="169">
        <f>(INDEX(Models!$BJ286:$BT286,,T286)*(1-R286)+INDEX(Models!$BJ286:$BT286,,T286+1)*R286-ERP_i)*Q286*Ramure*Pc/MaxiM</f>
        <v>1.1520244720774338E-3</v>
      </c>
      <c r="Q286" s="304">
        <f t="shared" si="105"/>
        <v>0.6</v>
      </c>
      <c r="R286" s="177">
        <f t="shared" si="106"/>
        <v>0.4941005452254259</v>
      </c>
      <c r="S286" s="799">
        <f t="shared" si="107"/>
        <v>0</v>
      </c>
      <c r="T286" s="176">
        <f t="shared" si="108"/>
        <v>6</v>
      </c>
      <c r="U286" s="250">
        <f t="shared" si="109"/>
        <v>0.4941005452254259</v>
      </c>
      <c r="V286" s="382">
        <f t="shared" si="110"/>
        <v>43.814819873642698</v>
      </c>
      <c r="W286" s="400">
        <f t="shared" si="111"/>
        <v>0</v>
      </c>
      <c r="X286" s="157">
        <f t="shared" si="112"/>
        <v>44833</v>
      </c>
      <c r="Y286" s="383">
        <f t="shared" si="113"/>
        <v>22.683737519806655</v>
      </c>
      <c r="Z286" s="383">
        <f t="shared" si="114"/>
        <v>23.279177204149128</v>
      </c>
      <c r="AA286" s="384">
        <f t="shared" si="115"/>
        <v>25.586662620756822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9.0183133721229394E-2</v>
      </c>
      <c r="AD286" s="230">
        <f>(INDEX(Models!$BJ286:$BT286,,AH286)*(1-AF286)+INDEX(Models!$BJ286:$BT286,,AH286+1)*AF286-ERP_i)*AE286*Ramure*Pc/MaxiM</f>
        <v>1.1520244720774338E-3</v>
      </c>
      <c r="AE286" s="304">
        <f t="shared" si="117"/>
        <v>0.6</v>
      </c>
      <c r="AF286" s="177">
        <f t="shared" si="118"/>
        <v>0.4941005452254259</v>
      </c>
      <c r="AG286" s="799">
        <f t="shared" si="124"/>
        <v>0</v>
      </c>
      <c r="AH286" s="176">
        <f t="shared" si="119"/>
        <v>6</v>
      </c>
      <c r="AI286" s="224">
        <f t="shared" si="120"/>
        <v>0.4941005452254259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3">
        <v>28.923000000000002</v>
      </c>
      <c r="C287" s="388"/>
      <c r="D287" s="391">
        <f t="shared" si="102"/>
        <v>29.682786870800673</v>
      </c>
      <c r="E287" s="383">
        <f t="shared" si="100"/>
        <v>30.365885976277486</v>
      </c>
      <c r="F287" s="383">
        <f t="shared" si="103"/>
        <v>30.38480168889858</v>
      </c>
      <c r="G287" s="110">
        <f t="shared" si="101"/>
        <v>0.66463449702786437</v>
      </c>
      <c r="H287" s="412" t="b">
        <f>Wh_hp&gt;='2021'!Maxi_hp</f>
        <v>0</v>
      </c>
      <c r="I287" s="379">
        <f>IF(H287,Wh_hp,'2021'!Maxi_hp)</f>
        <v>36.159220038545989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2.5596884622315685E-2</v>
      </c>
      <c r="M287" s="832"/>
      <c r="N287" s="832"/>
      <c r="O287" s="48">
        <f>IF(t&lt;Tnet,'2021'!Resal+('2021'!Salim-'2021'!Resal)*(1-EXP(('2021'!Tnet-t)/('2021'!Tau_j))),Resal+(Salim-Resal)*(1-EXP((Tnet-t)/(Tau_j))))*Salcycl</f>
        <v>2.2495609250804176E-2</v>
      </c>
      <c r="P287" s="169">
        <f>(INDEX(Models!$BJ287:$BT287,,T287)*(1-R287)+INDEX(Models!$BJ287:$BT287,,T287+1)*R287-ERP_i)*Q287*Ramure*Pc/MaxiM</f>
        <v>1.1938616993156497E-3</v>
      </c>
      <c r="Q287" s="304">
        <f t="shared" si="105"/>
        <v>0.6</v>
      </c>
      <c r="R287" s="177">
        <f t="shared" si="106"/>
        <v>0.49430693196823489</v>
      </c>
      <c r="S287" s="799">
        <f t="shared" si="107"/>
        <v>0</v>
      </c>
      <c r="T287" s="176">
        <f t="shared" si="108"/>
        <v>6</v>
      </c>
      <c r="U287" s="250">
        <f t="shared" si="109"/>
        <v>0.49430693196823489</v>
      </c>
      <c r="V287" s="382">
        <f t="shared" si="110"/>
        <v>43.492273510439468</v>
      </c>
      <c r="W287" s="400">
        <f t="shared" si="111"/>
        <v>0</v>
      </c>
      <c r="X287" s="157">
        <f t="shared" si="112"/>
        <v>44834</v>
      </c>
      <c r="Y287" s="383">
        <f t="shared" si="113"/>
        <v>26.920782253352204</v>
      </c>
      <c r="Z287" s="383">
        <f t="shared" si="114"/>
        <v>27.627972271945737</v>
      </c>
      <c r="AA287" s="384">
        <f t="shared" si="115"/>
        <v>30.365885976277486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9.0164130447920071E-2</v>
      </c>
      <c r="AD287" s="230">
        <f>(INDEX(Models!$BJ287:$BT287,,AH287)*(1-AF287)+INDEX(Models!$BJ287:$BT287,,AH287+1)*AF287-ERP_i)*AE287*Ramure*Pc/MaxiM</f>
        <v>1.1938616993156497E-3</v>
      </c>
      <c r="AE287" s="304">
        <f t="shared" si="117"/>
        <v>0.6</v>
      </c>
      <c r="AF287" s="177">
        <f t="shared" si="118"/>
        <v>0.49430693196823489</v>
      </c>
      <c r="AG287" s="799">
        <f t="shared" si="124"/>
        <v>0</v>
      </c>
      <c r="AH287" s="176">
        <f t="shared" si="119"/>
        <v>6</v>
      </c>
      <c r="AI287" s="224">
        <f t="shared" si="120"/>
        <v>0.49430693196823489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1153">
        <v>37.792000000000002</v>
      </c>
      <c r="C288" s="388"/>
      <c r="D288" s="391">
        <f t="shared" si="102"/>
        <v>38.785512579452721</v>
      </c>
      <c r="E288" s="383">
        <f t="shared" si="100"/>
        <v>39.680787068503861</v>
      </c>
      <c r="F288" s="383">
        <f t="shared" si="103"/>
        <v>39.721209115523891</v>
      </c>
      <c r="G288" s="110">
        <f t="shared" si="101"/>
        <v>0.87528666563105917</v>
      </c>
      <c r="H288" s="412" t="b">
        <f>Wh_hp&gt;='2021'!Maxi_hp</f>
        <v>0</v>
      </c>
      <c r="I288" s="379">
        <f>IF(H288,Wh_hp,'2021'!Maxi_hp)</f>
        <v>44.503895100671492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2.5615558835724861E-2</v>
      </c>
      <c r="M288" s="832"/>
      <c r="N288" s="832"/>
      <c r="O288" s="48">
        <f>IF(t&lt;Tnet,'2021'!Resal+('2021'!Salim-'2021'!Resal)*(1-EXP(('2021'!Tnet-t)/('2021'!Tau_j))),Resal+(Salim-Resal)*(1-EXP((Tnet-t)/(Tau_j))))*Salcycl</f>
        <v>2.2561913590714786E-2</v>
      </c>
      <c r="P288" s="169">
        <f>(INDEX(Models!$BJ288:$BT288,,T288)*(1-R288)+INDEX(Models!$BJ288:$BT288,,T288+1)*R288-ERP_i)*Q288*Ramure*Pc/MaxiM</f>
        <v>1.2378383152458672E-3</v>
      </c>
      <c r="Q288" s="304">
        <f t="shared" si="105"/>
        <v>0.6</v>
      </c>
      <c r="R288" s="177">
        <f t="shared" si="106"/>
        <v>0.49450517067098315</v>
      </c>
      <c r="S288" s="799">
        <f t="shared" si="107"/>
        <v>0</v>
      </c>
      <c r="T288" s="176">
        <f t="shared" si="108"/>
        <v>6</v>
      </c>
      <c r="U288" s="250">
        <f t="shared" si="109"/>
        <v>0.49450517067098315</v>
      </c>
      <c r="V288" s="382">
        <f t="shared" si="110"/>
        <v>43.167194726084979</v>
      </c>
      <c r="W288" s="400">
        <f t="shared" si="111"/>
        <v>0</v>
      </c>
      <c r="X288" s="157">
        <f t="shared" si="112"/>
        <v>44835</v>
      </c>
      <c r="Y288" s="383">
        <f t="shared" si="113"/>
        <v>35.178985895275112</v>
      </c>
      <c r="Z288" s="383">
        <f t="shared" si="114"/>
        <v>36.103805037404278</v>
      </c>
      <c r="AA288" s="384">
        <f t="shared" si="115"/>
        <v>39.680787068503861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9.0143928469069268E-2</v>
      </c>
      <c r="AD288" s="230">
        <f>(INDEX(Models!$BJ288:$BT288,,AH288)*(1-AF288)+INDEX(Models!$BJ288:$BT288,,AH288+1)*AF288-ERP_i)*AE288*Ramure*Pc/MaxiM</f>
        <v>1.2378383152458672E-3</v>
      </c>
      <c r="AE288" s="304">
        <f t="shared" si="117"/>
        <v>0.6</v>
      </c>
      <c r="AF288" s="177">
        <f t="shared" si="118"/>
        <v>0.49450517067098315</v>
      </c>
      <c r="AG288" s="799">
        <f t="shared" si="124"/>
        <v>0</v>
      </c>
      <c r="AH288" s="176">
        <f t="shared" si="119"/>
        <v>6</v>
      </c>
      <c r="AI288" s="224">
        <f t="shared" si="120"/>
        <v>0.49450517067098315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1153">
        <v>40.298000000000002</v>
      </c>
      <c r="C289" s="388"/>
      <c r="D289" s="391">
        <f t="shared" si="102"/>
        <v>41.358185346869369</v>
      </c>
      <c r="E289" s="383">
        <f t="shared" si="100"/>
        <v>42.315696214744044</v>
      </c>
      <c r="F289" s="383">
        <f t="shared" si="103"/>
        <v>42.365486176879408</v>
      </c>
      <c r="G289" s="110">
        <f t="shared" si="101"/>
        <v>0.94060287083282934</v>
      </c>
      <c r="H289" s="412" t="b">
        <f>Wh_hp&gt;='2021'!Maxi_hp</f>
        <v>1</v>
      </c>
      <c r="I289" s="379">
        <f>IF(H289,Wh_hp,'2021'!Maxi_hp)</f>
        <v>42.365486176879408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2.5634232691246983E-2</v>
      </c>
      <c r="M289" s="832"/>
      <c r="N289" s="832"/>
      <c r="O289" s="48">
        <f>IF(t&lt;Tnet,'2021'!Resal+('2021'!Salim-'2021'!Resal)*(1-EXP(('2021'!Tnet-t)/('2021'!Tau_j))),Resal+(Salim-Resal)*(1-EXP((Tnet-t)/(Tau_j))))*Salcycl</f>
        <v>2.2627794259025981E-2</v>
      </c>
      <c r="P289" s="169">
        <f>(INDEX(Models!$BJ289:$BT289,,T289)*(1-R289)+INDEX(Models!$BJ289:$BT289,,T289+1)*R289-ERP_i)*Q289*Ramure*Pc/MaxiM</f>
        <v>1.2840127032079866E-3</v>
      </c>
      <c r="Q289" s="304">
        <f t="shared" si="105"/>
        <v>0.6</v>
      </c>
      <c r="R289" s="177">
        <f t="shared" si="106"/>
        <v>0.49469557681813953</v>
      </c>
      <c r="S289" s="799">
        <f t="shared" si="107"/>
        <v>0</v>
      </c>
      <c r="T289" s="176">
        <f t="shared" si="108"/>
        <v>6</v>
      </c>
      <c r="U289" s="250">
        <f t="shared" si="109"/>
        <v>0.49469557681813953</v>
      </c>
      <c r="V289" s="382">
        <f t="shared" si="110"/>
        <v>42.838070243115396</v>
      </c>
      <c r="W289" s="400">
        <f t="shared" si="111"/>
        <v>0</v>
      </c>
      <c r="X289" s="157">
        <f t="shared" si="112"/>
        <v>44836</v>
      </c>
      <c r="Y289" s="383">
        <f t="shared" si="113"/>
        <v>37.515127837409771</v>
      </c>
      <c r="Z289" s="383">
        <f t="shared" si="114"/>
        <v>38.502099618122287</v>
      </c>
      <c r="AA289" s="384">
        <f t="shared" si="115"/>
        <v>42.315696214744044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9.0122506250836135E-2</v>
      </c>
      <c r="AD289" s="230">
        <f>(INDEX(Models!$BJ289:$BT289,,AH289)*(1-AF289)+INDEX(Models!$BJ289:$BT289,,AH289+1)*AF289-ERP_i)*AE289*Ramure*Pc/MaxiM</f>
        <v>1.2840127032079866E-3</v>
      </c>
      <c r="AE289" s="304">
        <f t="shared" si="117"/>
        <v>0.6</v>
      </c>
      <c r="AF289" s="177">
        <f t="shared" si="118"/>
        <v>0.49469557681813953</v>
      </c>
      <c r="AG289" s="799">
        <f t="shared" si="124"/>
        <v>0</v>
      </c>
      <c r="AH289" s="176">
        <f t="shared" si="119"/>
        <v>6</v>
      </c>
      <c r="AI289" s="224">
        <f t="shared" si="120"/>
        <v>0.49469557681813953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1153">
        <v>38.902000000000001</v>
      </c>
      <c r="C290" s="388"/>
      <c r="D290" s="391">
        <f t="shared" si="102"/>
        <v>39.926223670290561</v>
      </c>
      <c r="E290" s="383">
        <f t="shared" si="100"/>
        <v>40.853317969962077</v>
      </c>
      <c r="F290" s="383">
        <f t="shared" si="103"/>
        <v>40.901284481395429</v>
      </c>
      <c r="G290" s="110">
        <f t="shared" si="101"/>
        <v>0.91511438476439344</v>
      </c>
      <c r="H290" s="412" t="b">
        <f>Wh_hp&gt;='2021'!Maxi_hp</f>
        <v>1</v>
      </c>
      <c r="I290" s="379">
        <f>IF(H290,Wh_hp,'2021'!Maxi_hp)</f>
        <v>40.901284481395429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2.5652906188888935E-2</v>
      </c>
      <c r="M290" s="832"/>
      <c r="N290" s="832"/>
      <c r="O290" s="48">
        <f>IF(t&lt;Tnet,'2021'!Resal+('2021'!Salim-'2021'!Resal)*(1-EXP(('2021'!Tnet-t)/('2021'!Tau_j))),Resal+(Salim-Resal)*(1-EXP((Tnet-t)/(Tau_j))))*Salcycl</f>
        <v>2.2693243676148257E-2</v>
      </c>
      <c r="P290" s="169">
        <f>(INDEX(Models!$BJ290:$BT290,,T290)*(1-R290)+INDEX(Models!$BJ290:$BT290,,T290+1)*R290-ERP_i)*Q290*Ramure*Pc/MaxiM</f>
        <v>1.3342550637942066E-3</v>
      </c>
      <c r="Q290" s="304">
        <f t="shared" si="105"/>
        <v>0.6</v>
      </c>
      <c r="R290" s="177">
        <f t="shared" si="106"/>
        <v>0.49487845416392762</v>
      </c>
      <c r="S290" s="799">
        <f t="shared" si="107"/>
        <v>0</v>
      </c>
      <c r="T290" s="176">
        <f t="shared" si="108"/>
        <v>6</v>
      </c>
      <c r="U290" s="250">
        <f t="shared" si="109"/>
        <v>0.49487845416392762</v>
      </c>
      <c r="V290" s="382">
        <f t="shared" si="110"/>
        <v>42.503658507905399</v>
      </c>
      <c r="W290" s="400">
        <f t="shared" si="111"/>
        <v>0</v>
      </c>
      <c r="X290" s="157">
        <f t="shared" si="112"/>
        <v>44837</v>
      </c>
      <c r="Y290" s="383">
        <f t="shared" si="113"/>
        <v>36.21885924951458</v>
      </c>
      <c r="Z290" s="383">
        <f t="shared" si="114"/>
        <v>37.172440375273538</v>
      </c>
      <c r="AA290" s="384">
        <f t="shared" si="115"/>
        <v>40.853317969962077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9.0099844458042658E-2</v>
      </c>
      <c r="AD290" s="230">
        <f>(INDEX(Models!$BJ290:$BT290,,AH290)*(1-AF290)+INDEX(Models!$BJ290:$BT290,,AH290+1)*AF290-ERP_i)*AE290*Ramure*Pc/MaxiM</f>
        <v>1.3342550637942066E-3</v>
      </c>
      <c r="AE290" s="304">
        <f t="shared" si="117"/>
        <v>0.6</v>
      </c>
      <c r="AF290" s="177">
        <f t="shared" si="118"/>
        <v>0.49487845416392762</v>
      </c>
      <c r="AG290" s="799">
        <f t="shared" si="124"/>
        <v>0</v>
      </c>
      <c r="AH290" s="176">
        <f t="shared" si="119"/>
        <v>6</v>
      </c>
      <c r="AI290" s="224">
        <f t="shared" si="120"/>
        <v>0.49487845416392762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1153">
        <v>42.853000000000002</v>
      </c>
      <c r="C291" s="388"/>
      <c r="D291" s="391">
        <f t="shared" si="102"/>
        <v>43.982089704899458</v>
      </c>
      <c r="E291" s="383">
        <f t="shared" si="100"/>
        <v>45.006355819441183</v>
      </c>
      <c r="F291" s="383">
        <f t="shared" si="103"/>
        <v>45.068928153940959</v>
      </c>
      <c r="G291" s="110">
        <f t="shared" si="101"/>
        <v>1.0163264907080045</v>
      </c>
      <c r="H291" s="412" t="b">
        <f>Wh_hp&gt;='2021'!Maxi_hp</f>
        <v>1</v>
      </c>
      <c r="I291" s="379">
        <f>IF(H291,Wh_hp,'2021'!Maxi_hp)</f>
        <v>45.068928153940959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2.567157932865749E-2</v>
      </c>
      <c r="M291" s="832"/>
      <c r="N291" s="832"/>
      <c r="O291" s="48">
        <f>IF(t&lt;Tnet,'2021'!Resal+('2021'!Salim-'2021'!Resal)*(1-EXP(('2021'!Tnet-t)/('2021'!Tau_j))),Resal+(Salim-Resal)*(1-EXP((Tnet-t)/(Tau_j))))*Salcycl</f>
        <v>2.2758254826294472E-2</v>
      </c>
      <c r="P291" s="169">
        <f>(INDEX(Models!$BJ291:$BT291,,T291)*(1-R291)+INDEX(Models!$BJ291:$BT291,,T291+1)*R291-ERP_i)*Q291*Ramure*Pc/MaxiM</f>
        <v>1.3883697053110624E-3</v>
      </c>
      <c r="Q291" s="304">
        <f t="shared" si="105"/>
        <v>0.6</v>
      </c>
      <c r="R291" s="177">
        <f t="shared" si="106"/>
        <v>0.49505409513025805</v>
      </c>
      <c r="S291" s="799">
        <f t="shared" si="107"/>
        <v>0</v>
      </c>
      <c r="T291" s="176">
        <f t="shared" si="108"/>
        <v>6</v>
      </c>
      <c r="U291" s="250">
        <f t="shared" si="109"/>
        <v>0.49505409513025805</v>
      </c>
      <c r="V291" s="382">
        <f t="shared" si="110"/>
        <v>42.164600049091781</v>
      </c>
      <c r="W291" s="400">
        <f t="shared" si="111"/>
        <v>0</v>
      </c>
      <c r="X291" s="157">
        <f t="shared" si="112"/>
        <v>44838</v>
      </c>
      <c r="Y291" s="383">
        <f t="shared" si="113"/>
        <v>39.901054705269722</v>
      </c>
      <c r="Z291" s="383">
        <f t="shared" si="114"/>
        <v>40.952366634011</v>
      </c>
      <c r="AA291" s="384">
        <f t="shared" si="115"/>
        <v>45.006355819441183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9.0075926202383291E-2</v>
      </c>
      <c r="AD291" s="230">
        <f>(INDEX(Models!$BJ291:$BT291,,AH291)*(1-AF291)+INDEX(Models!$BJ291:$BT291,,AH291+1)*AF291-ERP_i)*AE291*Ramure*Pc/MaxiM</f>
        <v>1.3883697053110624E-3</v>
      </c>
      <c r="AE291" s="304">
        <f t="shared" si="117"/>
        <v>0.6</v>
      </c>
      <c r="AF291" s="177">
        <f t="shared" si="118"/>
        <v>0.49505409513025805</v>
      </c>
      <c r="AG291" s="799">
        <f t="shared" si="124"/>
        <v>0</v>
      </c>
      <c r="AH291" s="176">
        <f t="shared" si="119"/>
        <v>6</v>
      </c>
      <c r="AI291" s="224">
        <f t="shared" si="120"/>
        <v>0.49505409513025805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1153">
        <v>43.69</v>
      </c>
      <c r="C292" s="388"/>
      <c r="D292" s="391">
        <f t="shared" si="102"/>
        <v>44.842002345395514</v>
      </c>
      <c r="E292" s="383">
        <f t="shared" si="100"/>
        <v>45.889326239081413</v>
      </c>
      <c r="F292" s="383">
        <f t="shared" si="103"/>
        <v>45.955795501616812</v>
      </c>
      <c r="G292" s="110">
        <f t="shared" si="101"/>
        <v>1.0446773289765237</v>
      </c>
      <c r="H292" s="412" t="b">
        <f>Wh_hp&gt;='2021'!Maxi_hp</f>
        <v>1</v>
      </c>
      <c r="I292" s="379">
        <f>IF(H292,Wh_hp,'2021'!Maxi_hp)</f>
        <v>45.955795501616812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2.5690252110559642E-2</v>
      </c>
      <c r="M292" s="832"/>
      <c r="N292" s="832"/>
      <c r="O292" s="48">
        <f>IF(t&lt;Tnet,'2021'!Resal+('2021'!Salim-'2021'!Resal)*(1-EXP(('2021'!Tnet-t)/('2021'!Tau_j))),Resal+(Salim-Resal)*(1-EXP((Tnet-t)/(Tau_j))))*Salcycl</f>
        <v>2.2822821329504504E-2</v>
      </c>
      <c r="P292" s="169">
        <f>(INDEX(Models!$BJ292:$BT292,,T292)*(1-R292)+INDEX(Models!$BJ292:$BT292,,T292+1)*R292-ERP_i)*Q292*Ramure*Pc/MaxiM</f>
        <v>1.4463738862503712E-3</v>
      </c>
      <c r="Q292" s="304">
        <f t="shared" si="105"/>
        <v>0.6</v>
      </c>
      <c r="R292" s="177">
        <f t="shared" si="106"/>
        <v>0.49522278119423974</v>
      </c>
      <c r="S292" s="799">
        <f t="shared" si="107"/>
        <v>0</v>
      </c>
      <c r="T292" s="176">
        <f t="shared" si="108"/>
        <v>6</v>
      </c>
      <c r="U292" s="250">
        <f t="shared" si="109"/>
        <v>0.49522278119423974</v>
      </c>
      <c r="V292" s="382">
        <f t="shared" si="110"/>
        <v>41.821525927822464</v>
      </c>
      <c r="W292" s="400">
        <f t="shared" si="111"/>
        <v>0</v>
      </c>
      <c r="X292" s="157">
        <f t="shared" si="112"/>
        <v>44839</v>
      </c>
      <c r="Y292" s="383">
        <f t="shared" si="113"/>
        <v>40.684211784376949</v>
      </c>
      <c r="Z292" s="383">
        <f t="shared" si="114"/>
        <v>41.756958577605836</v>
      </c>
      <c r="AA292" s="384">
        <f t="shared" si="115"/>
        <v>45.889326239081413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9.0050737287928798E-2</v>
      </c>
      <c r="AD292" s="230">
        <f>(INDEX(Models!$BJ292:$BT292,,AH292)*(1-AF292)+INDEX(Models!$BJ292:$BT292,,AH292+1)*AF292-ERP_i)*AE292*Ramure*Pc/MaxiM</f>
        <v>1.4463738862503712E-3</v>
      </c>
      <c r="AE292" s="304">
        <f t="shared" si="117"/>
        <v>0.6</v>
      </c>
      <c r="AF292" s="177">
        <f t="shared" si="118"/>
        <v>0.49522278119423974</v>
      </c>
      <c r="AG292" s="799">
        <f t="shared" si="124"/>
        <v>0</v>
      </c>
      <c r="AH292" s="176">
        <f t="shared" si="119"/>
        <v>6</v>
      </c>
      <c r="AI292" s="224">
        <f t="shared" si="120"/>
        <v>0.49522278119423974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1153">
        <v>12.069000000000001</v>
      </c>
      <c r="C293" s="388"/>
      <c r="D293" s="391">
        <f t="shared" si="102"/>
        <v>12.387468492652362</v>
      </c>
      <c r="E293" s="383">
        <f t="shared" si="100"/>
        <v>12.677620398533991</v>
      </c>
      <c r="F293" s="383">
        <f t="shared" si="103"/>
        <v>12.677620398533991</v>
      </c>
      <c r="G293" s="110">
        <f t="shared" si="101"/>
        <v>0.29055520357570419</v>
      </c>
      <c r="H293" s="412" t="b">
        <f>Wh_hp&gt;='2021'!Maxi_hp</f>
        <v>0</v>
      </c>
      <c r="I293" s="379">
        <f>IF(H293,Wh_hp,'2021'!Maxi_hp)</f>
        <v>29.938480404074163</v>
      </c>
      <c r="J293" s="85">
        <f>IF(H293,An,'2021'!An_max)</f>
        <v>2020</v>
      </c>
      <c r="K293" s="197">
        <f t="shared" si="104"/>
        <v>44840</v>
      </c>
      <c r="L293" s="147">
        <f>IF(t&lt;Tvie,1-EXP((T0-t)*PertePVj)+'2021'!Pspv,1-EXP((T0-t)*PertePVj)+Pspv)</f>
        <v>2.5708924534602162E-2</v>
      </c>
      <c r="M293" s="832"/>
      <c r="N293" s="832"/>
      <c r="O293" s="48">
        <f>IF(t&lt;Tnet,'2021'!Resal+('2021'!Salim-'2021'!Resal)*(1-EXP(('2021'!Tnet-t)/('2021'!Tau_j))),Resal+(Salim-Resal)*(1-EXP((Tnet-t)/(Tau_j))))*Salcycl</f>
        <v>2.2886937513540057E-2</v>
      </c>
      <c r="P293" s="169">
        <f>(INDEX(Models!$BJ293:$BT293,,T293)*(1-R293)+INDEX(Models!$BJ293:$BT293,,T293+1)*R293-ERP_i)*Q293*Ramure*Pc/MaxiM</f>
        <v>1.5082807405081495E-3</v>
      </c>
      <c r="Q293" s="304">
        <f t="shared" si="105"/>
        <v>0.6</v>
      </c>
      <c r="R293" s="177">
        <f t="shared" si="106"/>
        <v>0.49538478326527891</v>
      </c>
      <c r="S293" s="799">
        <f t="shared" si="107"/>
        <v>0</v>
      </c>
      <c r="T293" s="176">
        <f t="shared" si="108"/>
        <v>6</v>
      </c>
      <c r="U293" s="250">
        <f t="shared" si="109"/>
        <v>0.49538478326527891</v>
      </c>
      <c r="V293" s="382">
        <f t="shared" si="110"/>
        <v>41.475067083432812</v>
      </c>
      <c r="W293" s="400">
        <f t="shared" si="111"/>
        <v>0</v>
      </c>
      <c r="X293" s="157">
        <f t="shared" si="112"/>
        <v>44840</v>
      </c>
      <c r="Y293" s="383">
        <f t="shared" si="113"/>
        <v>11.239740363563735</v>
      </c>
      <c r="Z293" s="383">
        <f t="shared" si="114"/>
        <v>11.536326921802864</v>
      </c>
      <c r="AA293" s="384">
        <f t="shared" si="115"/>
        <v>12.677620398533991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9.0024266451699655E-2</v>
      </c>
      <c r="AD293" s="230">
        <f>(INDEX(Models!$BJ293:$BT293,,AH293)*(1-AF293)+INDEX(Models!$BJ293:$BT293,,AH293+1)*AF293-ERP_i)*AE293*Ramure*Pc/MaxiM</f>
        <v>1.5082807405081495E-3</v>
      </c>
      <c r="AE293" s="304">
        <f t="shared" si="117"/>
        <v>0.6</v>
      </c>
      <c r="AF293" s="177">
        <f t="shared" si="118"/>
        <v>0.49538478326527891</v>
      </c>
      <c r="AG293" s="799">
        <f t="shared" si="124"/>
        <v>0</v>
      </c>
      <c r="AH293" s="176">
        <f t="shared" si="119"/>
        <v>6</v>
      </c>
      <c r="AI293" s="224">
        <f t="shared" si="120"/>
        <v>0.49538478326527891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1153">
        <v>30.315999999999999</v>
      </c>
      <c r="C294" s="388"/>
      <c r="D294" s="391">
        <f t="shared" si="102"/>
        <v>31.116554152851254</v>
      </c>
      <c r="E294" s="383">
        <f t="shared" si="100"/>
        <v>31.847472711823723</v>
      </c>
      <c r="F294" s="383">
        <f t="shared" si="103"/>
        <v>31.878810499035797</v>
      </c>
      <c r="G294" s="110">
        <f t="shared" si="101"/>
        <v>0.7367157225901767</v>
      </c>
      <c r="H294" s="412" t="b">
        <f>Wh_hp&gt;='2021'!Maxi_hp</f>
        <v>0</v>
      </c>
      <c r="I294" s="379">
        <f>IF(H294,Wh_hp,'2021'!Maxi_hp)</f>
        <v>43.826307821277801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2.5727596600791935E-2</v>
      </c>
      <c r="M294" s="832"/>
      <c r="N294" s="832"/>
      <c r="O294" s="48">
        <f>IF(t&lt;Tnet,'2021'!Resal+('2021'!Salim-'2021'!Resal)*(1-EXP(('2021'!Tnet-t)/('2021'!Tau_j))),Resal+(Salim-Resal)*(1-EXP((Tnet-t)/(Tau_j))))*Salcycl</f>
        <v>2.2950598485044164E-2</v>
      </c>
      <c r="P294" s="169">
        <f>(INDEX(Models!$BJ294:$BT294,,T294)*(1-R294)+INDEX(Models!$BJ294:$BT294,,T294+1)*R294-ERP_i)*Q294*Ramure*Pc/MaxiM</f>
        <v>1.5740985870827801E-3</v>
      </c>
      <c r="Q294" s="304">
        <f t="shared" si="105"/>
        <v>0.6</v>
      </c>
      <c r="R294" s="177">
        <f t="shared" si="106"/>
        <v>0.49554036205180174</v>
      </c>
      <c r="S294" s="799">
        <f t="shared" si="107"/>
        <v>0</v>
      </c>
      <c r="T294" s="176">
        <f t="shared" si="108"/>
        <v>6</v>
      </c>
      <c r="U294" s="250">
        <f t="shared" si="109"/>
        <v>0.49554036205180174</v>
      </c>
      <c r="V294" s="382">
        <f t="shared" si="110"/>
        <v>41.125854336557808</v>
      </c>
      <c r="W294" s="400">
        <f t="shared" si="111"/>
        <v>0</v>
      </c>
      <c r="X294" s="157">
        <f t="shared" si="112"/>
        <v>44841</v>
      </c>
      <c r="Y294" s="383">
        <f t="shared" si="113"/>
        <v>28.235691965568748</v>
      </c>
      <c r="Z294" s="383">
        <f t="shared" si="114"/>
        <v>28.981311455661928</v>
      </c>
      <c r="AA294" s="384">
        <f t="shared" si="115"/>
        <v>31.847472711823723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8.9996505597057935E-2</v>
      </c>
      <c r="AD294" s="230">
        <f>(INDEX(Models!$BJ294:$BT294,,AH294)*(1-AF294)+INDEX(Models!$BJ294:$BT294,,AH294+1)*AF294-ERP_i)*AE294*Ramure*Pc/MaxiM</f>
        <v>1.5740985870827801E-3</v>
      </c>
      <c r="AE294" s="304">
        <f t="shared" si="117"/>
        <v>0.6</v>
      </c>
      <c r="AF294" s="177">
        <f t="shared" si="118"/>
        <v>0.49554036205180174</v>
      </c>
      <c r="AG294" s="799">
        <f t="shared" si="124"/>
        <v>0</v>
      </c>
      <c r="AH294" s="176">
        <f t="shared" si="119"/>
        <v>6</v>
      </c>
      <c r="AI294" s="224">
        <f t="shared" si="120"/>
        <v>0.49554036205180174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1153">
        <v>17.495999999999999</v>
      </c>
      <c r="C295" s="388"/>
      <c r="D295" s="391">
        <f t="shared" si="102"/>
        <v>17.958360774902911</v>
      </c>
      <c r="E295" s="383">
        <f t="shared" si="100"/>
        <v>18.381386327224583</v>
      </c>
      <c r="F295" s="383">
        <f t="shared" si="103"/>
        <v>18.386960322161926</v>
      </c>
      <c r="G295" s="110">
        <f t="shared" si="101"/>
        <v>0.42851606903207462</v>
      </c>
      <c r="H295" s="412" t="b">
        <f>Wh_hp&gt;='2021'!Maxi_hp</f>
        <v>0</v>
      </c>
      <c r="I295" s="379">
        <f>IF(H295,Wh_hp,'2021'!Maxi_hp)</f>
        <v>40.63677888339361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2.5746268309135845E-2</v>
      </c>
      <c r="M295" s="832"/>
      <c r="N295" s="832"/>
      <c r="O295" s="48">
        <f>IF(t&lt;Tnet,'2021'!Resal+('2021'!Salim-'2021'!Resal)*(1-EXP(('2021'!Tnet-t)/('2021'!Tau_j))),Resal+(Salim-Resal)*(1-EXP((Tnet-t)/(Tau_j))))*Salcycl</f>
        <v>2.301380019934253E-2</v>
      </c>
      <c r="P295" s="169">
        <f>(INDEX(Models!$BJ295:$BT295,,T295)*(1-R295)+INDEX(Models!$BJ295:$BT295,,T295+1)*R295-ERP_i)*Q295*Ramure*Pc/MaxiM</f>
        <v>1.6438302281872753E-3</v>
      </c>
      <c r="Q295" s="304">
        <f t="shared" si="105"/>
        <v>0.6</v>
      </c>
      <c r="R295" s="177">
        <f t="shared" si="106"/>
        <v>0.49568976841766293</v>
      </c>
      <c r="S295" s="799">
        <f t="shared" si="107"/>
        <v>0</v>
      </c>
      <c r="T295" s="176">
        <f t="shared" si="108"/>
        <v>6</v>
      </c>
      <c r="U295" s="250">
        <f t="shared" si="109"/>
        <v>0.49568976841766293</v>
      </c>
      <c r="V295" s="382">
        <f t="shared" si="110"/>
        <v>40.774518383174545</v>
      </c>
      <c r="W295" s="400">
        <f t="shared" si="111"/>
        <v>0</v>
      </c>
      <c r="X295" s="157">
        <f t="shared" si="112"/>
        <v>44842</v>
      </c>
      <c r="Y295" s="383">
        <f t="shared" si="113"/>
        <v>16.296985052337234</v>
      </c>
      <c r="Z295" s="383">
        <f t="shared" si="114"/>
        <v>16.727659871574762</v>
      </c>
      <c r="AA295" s="384">
        <f t="shared" si="115"/>
        <v>18.381386327224583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8.9967450017656894E-2</v>
      </c>
      <c r="AD295" s="230">
        <f>(INDEX(Models!$BJ295:$BT295,,AH295)*(1-AF295)+INDEX(Models!$BJ295:$BT295,,AH295+1)*AF295-ERP_i)*AE295*Ramure*Pc/MaxiM</f>
        <v>1.6438302281872753E-3</v>
      </c>
      <c r="AE295" s="304">
        <f t="shared" si="117"/>
        <v>0.6</v>
      </c>
      <c r="AF295" s="177">
        <f t="shared" si="118"/>
        <v>0.49568976841766293</v>
      </c>
      <c r="AG295" s="799">
        <f t="shared" si="124"/>
        <v>0</v>
      </c>
      <c r="AH295" s="176">
        <f t="shared" si="119"/>
        <v>6</v>
      </c>
      <c r="AI295" s="224">
        <f t="shared" si="120"/>
        <v>0.49568976841766293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1153">
        <v>39.948</v>
      </c>
      <c r="C296" s="388"/>
      <c r="D296" s="391">
        <f t="shared" si="102"/>
        <v>41.004477898838644</v>
      </c>
      <c r="E296" s="383">
        <f t="shared" si="100"/>
        <v>41.973071133984305</v>
      </c>
      <c r="F296" s="383">
        <f t="shared" si="103"/>
        <v>42.044091992831149</v>
      </c>
      <c r="G296" s="110">
        <f t="shared" si="101"/>
        <v>0.98825330787874621</v>
      </c>
      <c r="H296" s="412" t="b">
        <f>Wh_hp&gt;='2021'!Maxi_hp</f>
        <v>1</v>
      </c>
      <c r="I296" s="379">
        <f>IF(H296,Wh_hp,'2021'!Maxi_hp)</f>
        <v>42.044091992831149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2.5764939659640662E-2</v>
      </c>
      <c r="M296" s="832"/>
      <c r="N296" s="832"/>
      <c r="O296" s="48">
        <f>IF(t&lt;Tnet,'2021'!Resal+('2021'!Salim-'2021'!Resal)*(1-EXP(('2021'!Tnet-t)/('2021'!Tau_j))),Resal+(Salim-Resal)*(1-EXP((Tnet-t)/(Tau_j))))*Salcycl</f>
        <v>2.3076539528255394E-2</v>
      </c>
      <c r="P296" s="169">
        <f>(INDEX(Models!$BJ296:$BT296,,T296)*(1-R296)+INDEX(Models!$BJ296:$BT296,,T296+1)*R296-ERP_i)*Q296*Ramure*Pc/MaxiM</f>
        <v>1.7179586648117867E-3</v>
      </c>
      <c r="Q296" s="304">
        <f t="shared" si="105"/>
        <v>0.6</v>
      </c>
      <c r="R296" s="177">
        <f t="shared" si="106"/>
        <v>0.49583324372832549</v>
      </c>
      <c r="S296" s="799">
        <f t="shared" si="107"/>
        <v>0</v>
      </c>
      <c r="T296" s="176">
        <f t="shared" si="108"/>
        <v>6</v>
      </c>
      <c r="U296" s="250">
        <f t="shared" si="109"/>
        <v>0.49583324372832549</v>
      </c>
      <c r="V296" s="382">
        <f t="shared" si="110"/>
        <v>40.421670098289653</v>
      </c>
      <c r="W296" s="400">
        <f t="shared" si="111"/>
        <v>0</v>
      </c>
      <c r="X296" s="157">
        <f t="shared" si="112"/>
        <v>44843</v>
      </c>
      <c r="Y296" s="383">
        <f t="shared" si="113"/>
        <v>37.213962255737016</v>
      </c>
      <c r="Z296" s="383">
        <f t="shared" si="114"/>
        <v>38.198134896454995</v>
      </c>
      <c r="AA296" s="384">
        <f t="shared" si="115"/>
        <v>41.973071133984305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8.9937098609705057E-2</v>
      </c>
      <c r="AD296" s="230">
        <f>(INDEX(Models!$BJ296:$BT296,,AH296)*(1-AF296)+INDEX(Models!$BJ296:$BT296,,AH296+1)*AF296-ERP_i)*AE296*Ramure*Pc/MaxiM</f>
        <v>1.7179586648117867E-3</v>
      </c>
      <c r="AE296" s="304">
        <f t="shared" si="117"/>
        <v>0.6</v>
      </c>
      <c r="AF296" s="177">
        <f t="shared" si="118"/>
        <v>0.49583324372832549</v>
      </c>
      <c r="AG296" s="799">
        <f t="shared" si="124"/>
        <v>0</v>
      </c>
      <c r="AH296" s="176">
        <f t="shared" si="119"/>
        <v>6</v>
      </c>
      <c r="AI296" s="224">
        <f t="shared" si="120"/>
        <v>0.49583324372832549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1153">
        <v>32.070999999999998</v>
      </c>
      <c r="C297" s="388"/>
      <c r="D297" s="391">
        <f t="shared" si="102"/>
        <v>32.91979107585535</v>
      </c>
      <c r="E297" s="383">
        <f t="shared" ref="E297:E360" si="125">Wh_pvt/(1-Psa)</f>
        <v>33.699558912372666</v>
      </c>
      <c r="F297" s="383">
        <f t="shared" si="103"/>
        <v>33.742851830860907</v>
      </c>
      <c r="G297" s="110">
        <f t="shared" ref="G297:G360" si="126">+Wh_hp/MaxiM</f>
        <v>0.80000398543820028</v>
      </c>
      <c r="H297" s="412" t="b">
        <f>Wh_hp&gt;='2021'!Maxi_hp</f>
        <v>1</v>
      </c>
      <c r="I297" s="379">
        <f>IF(H297,Wh_hp,'2021'!Maxi_hp)</f>
        <v>33.742851830860907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2.5783610652313382E-2</v>
      </c>
      <c r="M297" s="832"/>
      <c r="N297" s="832"/>
      <c r="O297" s="48">
        <f>IF(t&lt;Tnet,'2021'!Resal+('2021'!Salim-'2021'!Resal)*(1-EXP(('2021'!Tnet-t)/('2021'!Tau_j))),Resal+(Salim-Resal)*(1-EXP((Tnet-t)/(Tau_j))))*Salcycl</f>
        <v>2.313881432528259E-2</v>
      </c>
      <c r="P297" s="169">
        <f>(INDEX(Models!$BJ297:$BT297,,T297)*(1-R297)+INDEX(Models!$BJ297:$BT297,,T297+1)*R297-ERP_i)*Q297*Ramure*Pc/MaxiM</f>
        <v>1.794748415669938E-3</v>
      </c>
      <c r="Q297" s="304">
        <f t="shared" si="105"/>
        <v>0.6</v>
      </c>
      <c r="R297" s="177">
        <f t="shared" si="106"/>
        <v>0.49597102018691658</v>
      </c>
      <c r="S297" s="799">
        <f t="shared" si="107"/>
        <v>0</v>
      </c>
      <c r="T297" s="176">
        <f t="shared" si="108"/>
        <v>6</v>
      </c>
      <c r="U297" s="250">
        <f t="shared" si="109"/>
        <v>0.49597102018691658</v>
      </c>
      <c r="V297" s="382">
        <f t="shared" si="110"/>
        <v>40.068009678225259</v>
      </c>
      <c r="W297" s="400">
        <f t="shared" si="111"/>
        <v>0</v>
      </c>
      <c r="X297" s="157">
        <f t="shared" si="112"/>
        <v>44844</v>
      </c>
      <c r="Y297" s="383">
        <f t="shared" si="113"/>
        <v>29.879006977179028</v>
      </c>
      <c r="Z297" s="383">
        <f t="shared" si="114"/>
        <v>30.669784766385771</v>
      </c>
      <c r="AA297" s="384">
        <f t="shared" si="115"/>
        <v>33.699558912372666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8.9905454070335816E-2</v>
      </c>
      <c r="AD297" s="230">
        <f>(INDEX(Models!$BJ297:$BT297,,AH297)*(1-AF297)+INDEX(Models!$BJ297:$BT297,,AH297+1)*AF297-ERP_i)*AE297*Ramure*Pc/MaxiM</f>
        <v>1.794748415669938E-3</v>
      </c>
      <c r="AE297" s="304">
        <f t="shared" si="117"/>
        <v>0.6</v>
      </c>
      <c r="AF297" s="177">
        <f t="shared" si="118"/>
        <v>0.49597102018691658</v>
      </c>
      <c r="AG297" s="799">
        <f t="shared" si="124"/>
        <v>0</v>
      </c>
      <c r="AH297" s="176">
        <f t="shared" si="119"/>
        <v>6</v>
      </c>
      <c r="AI297" s="224">
        <f t="shared" si="120"/>
        <v>0.49597102018691658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1153">
        <v>23.327000000000002</v>
      </c>
      <c r="C298" s="388"/>
      <c r="D298" s="391">
        <f t="shared" si="102"/>
        <v>23.944831271849875</v>
      </c>
      <c r="E298" s="383">
        <f t="shared" si="125"/>
        <v>24.513561175009759</v>
      </c>
      <c r="F298" s="383">
        <f t="shared" si="103"/>
        <v>24.532436572539261</v>
      </c>
      <c r="G298" s="110">
        <f t="shared" si="126"/>
        <v>0.58672285811478175</v>
      </c>
      <c r="H298" s="412" t="b">
        <f>Wh_hp&gt;='2021'!Maxi_hp</f>
        <v>0</v>
      </c>
      <c r="I298" s="379">
        <f>IF(H298,Wh_hp,'2021'!Maxi_hp)</f>
        <v>42.372842429013986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2.5802281287160778E-2</v>
      </c>
      <c r="M298" s="832"/>
      <c r="N298" s="832"/>
      <c r="O298" s="48">
        <f>IF(t&lt;Tnet,'2021'!Resal+('2021'!Salim-'2021'!Resal)*(1-EXP(('2021'!Tnet-t)/('2021'!Tau_j))),Resal+(Salim-Resal)*(1-EXP((Tnet-t)/(Tau_j))))*Salcycl</f>
        <v>2.320062348752789E-2</v>
      </c>
      <c r="P298" s="169">
        <f>(INDEX(Models!$BJ298:$BT298,,T298)*(1-R298)+INDEX(Models!$BJ298:$BT298,,T298+1)*R298-ERP_i)*Q298*Ramure*Pc/MaxiM</f>
        <v>1.8741684029175084E-3</v>
      </c>
      <c r="Q298" s="304">
        <f t="shared" si="105"/>
        <v>0.6</v>
      </c>
      <c r="R298" s="177">
        <f t="shared" si="106"/>
        <v>0.49610332116028288</v>
      </c>
      <c r="S298" s="799">
        <f t="shared" si="107"/>
        <v>0</v>
      </c>
      <c r="T298" s="176">
        <f t="shared" si="108"/>
        <v>6</v>
      </c>
      <c r="U298" s="250">
        <f t="shared" si="109"/>
        <v>0.49610332116028288</v>
      </c>
      <c r="V298" s="382">
        <f t="shared" si="110"/>
        <v>39.714166638705052</v>
      </c>
      <c r="W298" s="400">
        <f t="shared" si="111"/>
        <v>0</v>
      </c>
      <c r="X298" s="157">
        <f t="shared" si="112"/>
        <v>44845</v>
      </c>
      <c r="Y298" s="383">
        <f t="shared" si="113"/>
        <v>21.73480467392913</v>
      </c>
      <c r="Z298" s="383">
        <f t="shared" si="114"/>
        <v>22.310465582537276</v>
      </c>
      <c r="AA298" s="384">
        <f t="shared" si="115"/>
        <v>24.513561175009759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8.9872523079935804E-2</v>
      </c>
      <c r="AD298" s="230">
        <f>(INDEX(Models!$BJ298:$BT298,,AH298)*(1-AF298)+INDEX(Models!$BJ298:$BT298,,AH298+1)*AF298-ERP_i)*AE298*Ramure*Pc/MaxiM</f>
        <v>1.8741684029175084E-3</v>
      </c>
      <c r="AE298" s="304">
        <f t="shared" si="117"/>
        <v>0.6</v>
      </c>
      <c r="AF298" s="177">
        <f t="shared" si="118"/>
        <v>0.49610332116028288</v>
      </c>
      <c r="AG298" s="799">
        <f t="shared" si="124"/>
        <v>0</v>
      </c>
      <c r="AH298" s="176">
        <f t="shared" si="119"/>
        <v>6</v>
      </c>
      <c r="AI298" s="224">
        <f t="shared" si="120"/>
        <v>0.49610332116028288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1153">
        <v>28.952999999999999</v>
      </c>
      <c r="C299" s="388"/>
      <c r="D299" s="391">
        <f t="shared" si="102"/>
        <v>29.720409247651503</v>
      </c>
      <c r="E299" s="383">
        <f t="shared" si="125"/>
        <v>30.428229723772265</v>
      </c>
      <c r="F299" s="383">
        <f t="shared" si="103"/>
        <v>30.465313547348234</v>
      </c>
      <c r="G299" s="110">
        <f t="shared" si="126"/>
        <v>0.73503590984050216</v>
      </c>
      <c r="H299" s="412" t="b">
        <f>Wh_hp&gt;='2021'!Maxi_hp</f>
        <v>0</v>
      </c>
      <c r="I299" s="379">
        <f>IF(H299,Wh_hp,'2021'!Maxi_hp)</f>
        <v>40.061070375868503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2.582095156418962E-2</v>
      </c>
      <c r="M299" s="832"/>
      <c r="N299" s="832"/>
      <c r="O299" s="48">
        <f>IF(t&lt;Tnet,'2021'!Resal+('2021'!Salim-'2021'!Resal)*(1-EXP(('2021'!Tnet-t)/('2021'!Tau_j))),Resal+(Salim-Resal)*(1-EXP((Tnet-t)/(Tau_j))))*Salcycl</f>
        <v>2.3261967013735729E-2</v>
      </c>
      <c r="P299" s="169">
        <f>(INDEX(Models!$BJ299:$BT299,,T299)*(1-R299)+INDEX(Models!$BJ299:$BT299,,T299+1)*R299-ERP_i)*Q299*Ramure*Pc/MaxiM</f>
        <v>1.9561801485258922E-3</v>
      </c>
      <c r="Q299" s="304">
        <f t="shared" si="105"/>
        <v>0.6</v>
      </c>
      <c r="R299" s="177">
        <f t="shared" si="106"/>
        <v>0.49623036149518435</v>
      </c>
      <c r="S299" s="799">
        <f t="shared" si="107"/>
        <v>0</v>
      </c>
      <c r="T299" s="176">
        <f t="shared" si="108"/>
        <v>6</v>
      </c>
      <c r="U299" s="250">
        <f t="shared" si="109"/>
        <v>0.49623036149518435</v>
      </c>
      <c r="V299" s="382">
        <f t="shared" si="110"/>
        <v>39.360770295383112</v>
      </c>
      <c r="W299" s="400">
        <f t="shared" si="111"/>
        <v>0</v>
      </c>
      <c r="X299" s="157">
        <f t="shared" si="112"/>
        <v>44846</v>
      </c>
      <c r="Y299" s="383">
        <f t="shared" si="113"/>
        <v>26.979507640120676</v>
      </c>
      <c r="Z299" s="383">
        <f t="shared" si="114"/>
        <v>27.694608792336783</v>
      </c>
      <c r="AA299" s="384">
        <f t="shared" si="115"/>
        <v>30.428229723772265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8.9838316466364157E-2</v>
      </c>
      <c r="AD299" s="230">
        <f>(INDEX(Models!$BJ299:$BT299,,AH299)*(1-AF299)+INDEX(Models!$BJ299:$BT299,,AH299+1)*AF299-ERP_i)*AE299*Ramure*Pc/MaxiM</f>
        <v>1.9561801485258922E-3</v>
      </c>
      <c r="AE299" s="304">
        <f t="shared" si="117"/>
        <v>0.6</v>
      </c>
      <c r="AF299" s="177">
        <f t="shared" si="118"/>
        <v>0.49623036149518435</v>
      </c>
      <c r="AG299" s="799">
        <f t="shared" si="124"/>
        <v>0</v>
      </c>
      <c r="AH299" s="176">
        <f t="shared" si="119"/>
        <v>6</v>
      </c>
      <c r="AI299" s="224">
        <f t="shared" si="120"/>
        <v>0.49623036149518435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1153">
        <v>24.242000000000001</v>
      </c>
      <c r="C300" s="388"/>
      <c r="D300" s="391">
        <f t="shared" si="102"/>
        <v>24.885019484075727</v>
      </c>
      <c r="E300" s="383">
        <f t="shared" si="125"/>
        <v>25.479268541945576</v>
      </c>
      <c r="F300" s="383">
        <f t="shared" si="103"/>
        <v>25.503168851493246</v>
      </c>
      <c r="G300" s="110">
        <f t="shared" si="126"/>
        <v>0.62076862591689985</v>
      </c>
      <c r="H300" s="412" t="b">
        <f>Wh_hp&gt;='2021'!Maxi_hp</f>
        <v>0</v>
      </c>
      <c r="I300" s="379">
        <f>IF(H300,Wh_hp,'2021'!Maxi_hp)</f>
        <v>39.39832701671196</v>
      </c>
      <c r="J300" s="85">
        <f>IF(H300,An,'2021'!An_max)</f>
        <v>2018</v>
      </c>
      <c r="K300" s="197">
        <f t="shared" si="104"/>
        <v>44847</v>
      </c>
      <c r="L300" s="147">
        <f>IF(t&lt;Tvie,1-EXP((T0-t)*PertePVj)+'2021'!Pspv,1-EXP((T0-t)*PertePVj)+Pspv)</f>
        <v>2.5839621483407016E-2</v>
      </c>
      <c r="M300" s="832"/>
      <c r="N300" s="832"/>
      <c r="O300" s="48">
        <f>IF(t&lt;Tnet,'2021'!Resal+('2021'!Salim-'2021'!Resal)*(1-EXP(('2021'!Tnet-t)/('2021'!Tau_j))),Resal+(Salim-Resal)*(1-EXP((Tnet-t)/(Tau_j))))*Salcycl</f>
        <v>2.3322846057827775E-2</v>
      </c>
      <c r="P300" s="169">
        <f>(INDEX(Models!$BJ300:$BT300,,T300)*(1-R300)+INDEX(Models!$BJ300:$BT300,,T300+1)*R300-ERP_i)*Q300*Ramure*Pc/MaxiM</f>
        <v>2.0407372918064934E-3</v>
      </c>
      <c r="Q300" s="304">
        <f t="shared" si="105"/>
        <v>0.6</v>
      </c>
      <c r="R300" s="177">
        <f t="shared" si="106"/>
        <v>0.49635234782477849</v>
      </c>
      <c r="S300" s="799">
        <f t="shared" si="107"/>
        <v>0</v>
      </c>
      <c r="T300" s="176">
        <f t="shared" si="108"/>
        <v>6</v>
      </c>
      <c r="U300" s="250">
        <f t="shared" si="109"/>
        <v>0.49635234782477849</v>
      </c>
      <c r="V300" s="382">
        <f t="shared" si="110"/>
        <v>39.008449758525892</v>
      </c>
      <c r="W300" s="400">
        <f t="shared" si="111"/>
        <v>0</v>
      </c>
      <c r="X300" s="157">
        <f t="shared" si="112"/>
        <v>44847</v>
      </c>
      <c r="Y300" s="383">
        <f t="shared" si="113"/>
        <v>22.591906892690133</v>
      </c>
      <c r="Z300" s="383">
        <f t="shared" si="114"/>
        <v>23.191157627548002</v>
      </c>
      <c r="AA300" s="384">
        <f t="shared" si="115"/>
        <v>25.479268541945576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8.9802849349098962E-2</v>
      </c>
      <c r="AD300" s="230">
        <f>(INDEX(Models!$BJ300:$BT300,,AH300)*(1-AF300)+INDEX(Models!$BJ300:$BT300,,AH300+1)*AF300-ERP_i)*AE300*Ramure*Pc/MaxiM</f>
        <v>2.0407372918064934E-3</v>
      </c>
      <c r="AE300" s="304">
        <f t="shared" si="117"/>
        <v>0.6</v>
      </c>
      <c r="AF300" s="177">
        <f t="shared" si="118"/>
        <v>0.49635234782477849</v>
      </c>
      <c r="AG300" s="799">
        <f t="shared" si="124"/>
        <v>0</v>
      </c>
      <c r="AH300" s="176">
        <f t="shared" si="119"/>
        <v>6</v>
      </c>
      <c r="AI300" s="224">
        <f t="shared" si="120"/>
        <v>0.49635234782477849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1153">
        <v>18.844000000000001</v>
      </c>
      <c r="C301" s="388"/>
      <c r="D301" s="391">
        <f t="shared" si="102"/>
        <v>19.34420816475583</v>
      </c>
      <c r="E301" s="383">
        <f t="shared" si="125"/>
        <v>19.807369084958811</v>
      </c>
      <c r="F301" s="383">
        <f t="shared" si="103"/>
        <v>19.818661941657137</v>
      </c>
      <c r="G301" s="110">
        <f t="shared" si="126"/>
        <v>0.48669630071326364</v>
      </c>
      <c r="H301" s="412" t="b">
        <f>Wh_hp&gt;='2021'!Maxi_hp</f>
        <v>0</v>
      </c>
      <c r="I301" s="379">
        <f>IF(H301,Wh_hp,'2021'!Maxi_hp)</f>
        <v>42.332847154201126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2.5858291044819515E-2</v>
      </c>
      <c r="M301" s="832"/>
      <c r="N301" s="832"/>
      <c r="O301" s="48">
        <f>IF(t&lt;Tnet,'2021'!Resal+('2021'!Salim-'2021'!Resal)*(1-EXP(('2021'!Tnet-t)/('2021'!Tau_j))),Resal+(Salim-Resal)*(1-EXP((Tnet-t)/(Tau_j))))*Salcycl</f>
        <v>2.338326297734768E-2</v>
      </c>
      <c r="P301" s="169">
        <f>(INDEX(Models!$BJ301:$BT301,,T301)*(1-R301)+INDEX(Models!$BJ301:$BT301,,T301+1)*R301-ERP_i)*Q301*Ramure*Pc/MaxiM</f>
        <v>2.1277851219222012E-3</v>
      </c>
      <c r="Q301" s="304">
        <f t="shared" si="105"/>
        <v>0.6</v>
      </c>
      <c r="R301" s="177">
        <f t="shared" si="106"/>
        <v>0.49646947886555931</v>
      </c>
      <c r="S301" s="799">
        <f t="shared" si="107"/>
        <v>0</v>
      </c>
      <c r="T301" s="176">
        <f t="shared" si="108"/>
        <v>6</v>
      </c>
      <c r="U301" s="250">
        <f t="shared" si="109"/>
        <v>0.49646947886555931</v>
      </c>
      <c r="V301" s="382">
        <f t="shared" si="110"/>
        <v>38.657833923591781</v>
      </c>
      <c r="W301" s="400">
        <f t="shared" si="111"/>
        <v>0</v>
      </c>
      <c r="X301" s="157">
        <f t="shared" si="112"/>
        <v>44848</v>
      </c>
      <c r="Y301" s="383">
        <f t="shared" si="113"/>
        <v>17.563130124474831</v>
      </c>
      <c r="Z301" s="383">
        <f t="shared" si="114"/>
        <v>18.029337993660324</v>
      </c>
      <c r="AA301" s="384">
        <f t="shared" si="115"/>
        <v>19.807369084958811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8.9766141261470089E-2</v>
      </c>
      <c r="AD301" s="230">
        <f>(INDEX(Models!$BJ301:$BT301,,AH301)*(1-AF301)+INDEX(Models!$BJ301:$BT301,,AH301+1)*AF301-ERP_i)*AE301*Ramure*Pc/MaxiM</f>
        <v>2.1277851219222012E-3</v>
      </c>
      <c r="AE301" s="304">
        <f t="shared" si="117"/>
        <v>0.6</v>
      </c>
      <c r="AF301" s="177">
        <f t="shared" si="118"/>
        <v>0.49646947886555931</v>
      </c>
      <c r="AG301" s="799">
        <f t="shared" si="124"/>
        <v>0</v>
      </c>
      <c r="AH301" s="176">
        <f t="shared" si="119"/>
        <v>6</v>
      </c>
      <c r="AI301" s="224">
        <f t="shared" si="120"/>
        <v>0.49646947886555931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1153">
        <v>38.721000000000004</v>
      </c>
      <c r="C302" s="388"/>
      <c r="D302" s="391">
        <f t="shared" si="102"/>
        <v>39.749598787721069</v>
      </c>
      <c r="E302" s="383">
        <f t="shared" si="125"/>
        <v>40.70382762970489</v>
      </c>
      <c r="F302" s="383">
        <f t="shared" si="103"/>
        <v>40.794279158401721</v>
      </c>
      <c r="G302" s="110">
        <f t="shared" si="126"/>
        <v>1.0107401032289725</v>
      </c>
      <c r="H302" s="412" t="b">
        <f>Wh_hp&gt;='2021'!Maxi_hp</f>
        <v>1</v>
      </c>
      <c r="I302" s="379">
        <f>IF(H302,Wh_hp,'2021'!Maxi_hp)</f>
        <v>40.794279158401721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2.5876960248434222E-2</v>
      </c>
      <c r="M302" s="832"/>
      <c r="N302" s="832"/>
      <c r="O302" s="48">
        <f>IF(t&lt;Tnet,'2021'!Resal+('2021'!Salim-'2021'!Resal)*(1-EXP(('2021'!Tnet-t)/('2021'!Tau_j))),Resal+(Salim-Resal)*(1-EXP((Tnet-t)/(Tau_j))))*Salcycl</f>
        <v>2.3443221376248161E-2</v>
      </c>
      <c r="P302" s="169">
        <f>(INDEX(Models!$BJ302:$BT302,,T302)*(1-R302)+INDEX(Models!$BJ302:$BT302,,T302+1)*R302-ERP_i)*Q302*Ramure*Pc/MaxiM</f>
        <v>2.217260129676899E-3</v>
      </c>
      <c r="Q302" s="304">
        <f t="shared" si="105"/>
        <v>0.6</v>
      </c>
      <c r="R302" s="177">
        <f t="shared" si="106"/>
        <v>0.49658194570492531</v>
      </c>
      <c r="S302" s="799">
        <f t="shared" si="107"/>
        <v>0</v>
      </c>
      <c r="T302" s="176">
        <f t="shared" si="108"/>
        <v>6</v>
      </c>
      <c r="U302" s="250">
        <f t="shared" si="109"/>
        <v>0.49658194570492531</v>
      </c>
      <c r="V302" s="382">
        <f t="shared" si="110"/>
        <v>38.30955146263566</v>
      </c>
      <c r="W302" s="400">
        <f t="shared" si="111"/>
        <v>0</v>
      </c>
      <c r="X302" s="157">
        <f t="shared" si="112"/>
        <v>44849</v>
      </c>
      <c r="Y302" s="383">
        <f t="shared" si="113"/>
        <v>36.092764404630117</v>
      </c>
      <c r="Z302" s="383">
        <f t="shared" si="114"/>
        <v>37.051545781973282</v>
      </c>
      <c r="AA302" s="384">
        <f t="shared" si="115"/>
        <v>40.70382762970489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8.9728216249280679E-2</v>
      </c>
      <c r="AD302" s="230">
        <f>(INDEX(Models!$BJ302:$BT302,,AH302)*(1-AF302)+INDEX(Models!$BJ302:$BT302,,AH302+1)*AF302-ERP_i)*AE302*Ramure*Pc/MaxiM</f>
        <v>2.217260129676899E-3</v>
      </c>
      <c r="AE302" s="304">
        <f t="shared" si="117"/>
        <v>0.6</v>
      </c>
      <c r="AF302" s="177">
        <f t="shared" si="118"/>
        <v>0.49658194570492531</v>
      </c>
      <c r="AG302" s="799">
        <f t="shared" si="124"/>
        <v>0</v>
      </c>
      <c r="AH302" s="176">
        <f t="shared" si="119"/>
        <v>6</v>
      </c>
      <c r="AI302" s="224">
        <f t="shared" si="120"/>
        <v>0.49658194570492531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1153">
        <v>34.176000000000002</v>
      </c>
      <c r="C303" s="388"/>
      <c r="D303" s="391">
        <f t="shared" si="102"/>
        <v>35.084536134687973</v>
      </c>
      <c r="E303" s="383">
        <f t="shared" si="125"/>
        <v>35.928964753844745</v>
      </c>
      <c r="F303" s="383">
        <f t="shared" si="103"/>
        <v>36.000255441670085</v>
      </c>
      <c r="G303" s="110">
        <f t="shared" si="126"/>
        <v>0.8999829992755829</v>
      </c>
      <c r="H303" s="412" t="b">
        <f>Wh_hp&gt;='2021'!Maxi_hp</f>
        <v>0</v>
      </c>
      <c r="I303" s="379">
        <f>IF(H303,Wh_hp,'2021'!Maxi_hp)</f>
        <v>38.803370286376357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2.589562909425791E-2</v>
      </c>
      <c r="M303" s="832"/>
      <c r="N303" s="832"/>
      <c r="O303" s="48">
        <f>IF(t&lt;Tnet,'2021'!Resal+('2021'!Salim-'2021'!Resal)*(1-EXP(('2021'!Tnet-t)/('2021'!Tau_j))),Resal+(Salim-Resal)*(1-EXP((Tnet-t)/(Tau_j))))*Salcycl</f>
        <v>2.3502726141487462E-2</v>
      </c>
      <c r="P303" s="169">
        <f>(INDEX(Models!$BJ303:$BT303,,T303)*(1-R303)+INDEX(Models!$BJ303:$BT303,,T303+1)*R303-ERP_i)*Q303*Ramure*Pc/MaxiM</f>
        <v>2.3092532731172032E-3</v>
      </c>
      <c r="Q303" s="304">
        <f t="shared" si="105"/>
        <v>0.6</v>
      </c>
      <c r="R303" s="177">
        <f t="shared" si="106"/>
        <v>0.49668993207955831</v>
      </c>
      <c r="S303" s="799">
        <f t="shared" si="107"/>
        <v>0</v>
      </c>
      <c r="T303" s="176">
        <f t="shared" si="108"/>
        <v>6</v>
      </c>
      <c r="U303" s="250">
        <f t="shared" si="109"/>
        <v>0.49668993207955831</v>
      </c>
      <c r="V303" s="382">
        <f t="shared" si="110"/>
        <v>37.96153352390364</v>
      </c>
      <c r="W303" s="400">
        <f t="shared" si="111"/>
        <v>0</v>
      </c>
      <c r="X303" s="157">
        <f t="shared" si="112"/>
        <v>44850</v>
      </c>
      <c r="Y303" s="383">
        <f t="shared" si="113"/>
        <v>31.859572013801607</v>
      </c>
      <c r="Z303" s="383">
        <f t="shared" si="114"/>
        <v>32.70652813535569</v>
      </c>
      <c r="AA303" s="384">
        <f t="shared" si="115"/>
        <v>35.928964753844745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8.9689102944281743E-2</v>
      </c>
      <c r="AD303" s="230">
        <f>(INDEX(Models!$BJ303:$BT303,,AH303)*(1-AF303)+INDEX(Models!$BJ303:$BT303,,AH303+1)*AF303-ERP_i)*AE303*Ramure*Pc/MaxiM</f>
        <v>2.3092532731172032E-3</v>
      </c>
      <c r="AE303" s="304">
        <f t="shared" si="117"/>
        <v>0.6</v>
      </c>
      <c r="AF303" s="177">
        <f t="shared" si="118"/>
        <v>0.49668993207955831</v>
      </c>
      <c r="AG303" s="799">
        <f t="shared" si="124"/>
        <v>0</v>
      </c>
      <c r="AH303" s="176">
        <f t="shared" si="119"/>
        <v>6</v>
      </c>
      <c r="AI303" s="224">
        <f t="shared" si="120"/>
        <v>0.49668993207955831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1153">
        <v>20.289000000000001</v>
      </c>
      <c r="C304" s="388"/>
      <c r="D304" s="391">
        <f t="shared" si="102"/>
        <v>20.82876275633884</v>
      </c>
      <c r="E304" s="383">
        <f t="shared" si="125"/>
        <v>21.33136782624241</v>
      </c>
      <c r="F304" s="383">
        <f t="shared" si="103"/>
        <v>21.348912643022334</v>
      </c>
      <c r="G304" s="110">
        <f t="shared" si="126"/>
        <v>0.53857991186358212</v>
      </c>
      <c r="H304" s="412" t="b">
        <f>Wh_hp&gt;='2021'!Maxi_hp</f>
        <v>0</v>
      </c>
      <c r="I304" s="379">
        <f>IF(H304,Wh_hp,'2021'!Maxi_hp)</f>
        <v>35.6425652403491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2.5914297582297352E-2</v>
      </c>
      <c r="M304" s="832"/>
      <c r="N304" s="832"/>
      <c r="O304" s="48">
        <f>IF(t&lt;Tnet,'2021'!Resal+('2021'!Salim-'2021'!Resal)*(1-EXP(('2021'!Tnet-t)/('2021'!Tau_j))),Resal+(Salim-Resal)*(1-EXP((Tnet-t)/(Tau_j))))*Salcycl</f>
        <v>2.3561783472940374E-2</v>
      </c>
      <c r="P304" s="169">
        <f>(INDEX(Models!$BJ304:$BT304,,T304)*(1-R304)+INDEX(Models!$BJ304:$BT304,,T304+1)*R304-ERP_i)*Q304*Ramure*Pc/MaxiM</f>
        <v>2.4026276013880458E-3</v>
      </c>
      <c r="Q304" s="304">
        <f t="shared" si="105"/>
        <v>0.6</v>
      </c>
      <c r="R304" s="177">
        <f t="shared" si="106"/>
        <v>0.49679361464480315</v>
      </c>
      <c r="S304" s="799">
        <f t="shared" si="107"/>
        <v>0</v>
      </c>
      <c r="T304" s="176">
        <f t="shared" si="108"/>
        <v>6</v>
      </c>
      <c r="U304" s="250">
        <f t="shared" si="109"/>
        <v>0.49679361464480315</v>
      </c>
      <c r="V304" s="382">
        <f t="shared" si="110"/>
        <v>37.611689610446952</v>
      </c>
      <c r="W304" s="400">
        <f t="shared" si="111"/>
        <v>0</v>
      </c>
      <c r="X304" s="157">
        <f t="shared" si="112"/>
        <v>44851</v>
      </c>
      <c r="Y304" s="383">
        <f t="shared" si="113"/>
        <v>18.915804893696166</v>
      </c>
      <c r="Z304" s="383">
        <f t="shared" si="114"/>
        <v>19.419035559958136</v>
      </c>
      <c r="AA304" s="384">
        <f t="shared" si="115"/>
        <v>21.33136782624241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8.9648834611143591E-2</v>
      </c>
      <c r="AD304" s="230">
        <f>(INDEX(Models!$BJ304:$BT304,,AH304)*(1-AF304)+INDEX(Models!$BJ304:$BT304,,AH304+1)*AF304-ERP_i)*AE304*Ramure*Pc/MaxiM</f>
        <v>2.4026276013880458E-3</v>
      </c>
      <c r="AE304" s="304">
        <f t="shared" si="117"/>
        <v>0.6</v>
      </c>
      <c r="AF304" s="177">
        <f t="shared" si="118"/>
        <v>0.49679361464480315</v>
      </c>
      <c r="AG304" s="799">
        <f t="shared" si="124"/>
        <v>0</v>
      </c>
      <c r="AH304" s="176">
        <f t="shared" si="119"/>
        <v>6</v>
      </c>
      <c r="AI304" s="224">
        <f t="shared" si="120"/>
        <v>0.49679361464480315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1153">
        <v>35.789000000000001</v>
      </c>
      <c r="C305" s="388"/>
      <c r="D305" s="391">
        <f t="shared" si="102"/>
        <v>36.741824474309141</v>
      </c>
      <c r="E305" s="383">
        <f t="shared" si="125"/>
        <v>37.630676130891125</v>
      </c>
      <c r="F305" s="383">
        <f t="shared" si="103"/>
        <v>37.71949203927565</v>
      </c>
      <c r="G305" s="110">
        <f t="shared" si="126"/>
        <v>0.96036926545901236</v>
      </c>
      <c r="H305" s="412" t="b">
        <f>Wh_hp&gt;='2021'!Maxi_hp</f>
        <v>0</v>
      </c>
      <c r="I305" s="379">
        <f>IF(H305,Wh_hp,'2021'!Maxi_hp)</f>
        <v>38.775386152374139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2.5932965712559541E-2</v>
      </c>
      <c r="M305" s="832"/>
      <c r="N305" s="832"/>
      <c r="O305" s="48">
        <f>IF(t&lt;Tnet,'2021'!Resal+('2021'!Salim-'2021'!Resal)*(1-EXP(('2021'!Tnet-t)/('2021'!Tau_j))),Resal+(Salim-Resal)*(1-EXP((Tnet-t)/(Tau_j))))*Salcycl</f>
        <v>2.3620400906172425E-2</v>
      </c>
      <c r="P305" s="169">
        <f>(INDEX(Models!$BJ305:$BT305,,T305)*(1-R305)+INDEX(Models!$BJ305:$BT305,,T305+1)*R305-ERP_i)*Q305*Ramure*Pc/MaxiM</f>
        <v>2.4954390954492786E-3</v>
      </c>
      <c r="Q305" s="304">
        <f t="shared" si="105"/>
        <v>0.6</v>
      </c>
      <c r="R305" s="177">
        <f t="shared" si="106"/>
        <v>0.49689316323524363</v>
      </c>
      <c r="S305" s="799">
        <f t="shared" si="107"/>
        <v>0</v>
      </c>
      <c r="T305" s="176">
        <f t="shared" si="108"/>
        <v>6</v>
      </c>
      <c r="U305" s="250">
        <f t="shared" si="109"/>
        <v>0.49689316323524363</v>
      </c>
      <c r="V305" s="382">
        <f t="shared" si="110"/>
        <v>37.260614655801533</v>
      </c>
      <c r="W305" s="400">
        <f t="shared" si="111"/>
        <v>0</v>
      </c>
      <c r="X305" s="157">
        <f t="shared" si="112"/>
        <v>44852</v>
      </c>
      <c r="Y305" s="383">
        <f t="shared" si="113"/>
        <v>33.370257871026759</v>
      </c>
      <c r="Z305" s="383">
        <f t="shared" si="114"/>
        <v>34.258687232381405</v>
      </c>
      <c r="AA305" s="384">
        <f t="shared" si="115"/>
        <v>37.630676130891125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8.960744916676236E-2</v>
      </c>
      <c r="AD305" s="230">
        <f>(INDEX(Models!$BJ305:$BT305,,AH305)*(1-AF305)+INDEX(Models!$BJ305:$BT305,,AH305+1)*AF305-ERP_i)*AE305*Ramure*Pc/MaxiM</f>
        <v>2.4954390954492786E-3</v>
      </c>
      <c r="AE305" s="304">
        <f t="shared" si="117"/>
        <v>0.6</v>
      </c>
      <c r="AF305" s="177">
        <f t="shared" si="118"/>
        <v>0.49689316323524363</v>
      </c>
      <c r="AG305" s="799">
        <f t="shared" si="124"/>
        <v>0</v>
      </c>
      <c r="AH305" s="176">
        <f t="shared" si="119"/>
        <v>6</v>
      </c>
      <c r="AI305" s="224">
        <f t="shared" si="120"/>
        <v>0.49689316323524363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1153">
        <v>16.635000000000002</v>
      </c>
      <c r="C306" s="388"/>
      <c r="D306" s="391">
        <f t="shared" si="102"/>
        <v>17.078207378467692</v>
      </c>
      <c r="E306" s="383">
        <f t="shared" si="125"/>
        <v>17.492402764907414</v>
      </c>
      <c r="F306" s="383">
        <f t="shared" si="103"/>
        <v>17.502153193182522</v>
      </c>
      <c r="G306" s="110">
        <f t="shared" si="126"/>
        <v>0.4497894671286049</v>
      </c>
      <c r="H306" s="412" t="b">
        <f>Wh_hp&gt;='2021'!Maxi_hp</f>
        <v>0</v>
      </c>
      <c r="I306" s="379">
        <f>IF(H306,Wh_hp,'2021'!Maxi_hp)</f>
        <v>38.555741543850147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2.5951633485051251E-2</v>
      </c>
      <c r="M306" s="832"/>
      <c r="N306" s="832"/>
      <c r="O306" s="48">
        <f>IF(t&lt;Tnet,'2021'!Resal+('2021'!Salim-'2021'!Resal)*(1-EXP(('2021'!Tnet-t)/('2021'!Tau_j))),Resal+(Salim-Resal)*(1-EXP((Tnet-t)/(Tau_j))))*Salcycl</f>
        <v>2.3678587327674923E-2</v>
      </c>
      <c r="P306" s="169">
        <f>(INDEX(Models!$BJ306:$BT306,,T306)*(1-R306)+INDEX(Models!$BJ306:$BT306,,T306+1)*R306-ERP_i)*Q306*Ramure*Pc/MaxiM</f>
        <v>2.5876299137986081E-3</v>
      </c>
      <c r="Q306" s="304">
        <f t="shared" si="105"/>
        <v>0.6</v>
      </c>
      <c r="R306" s="177">
        <f t="shared" si="106"/>
        <v>0.49698874111667374</v>
      </c>
      <c r="S306" s="799">
        <f t="shared" si="107"/>
        <v>0</v>
      </c>
      <c r="T306" s="176">
        <f t="shared" si="108"/>
        <v>6</v>
      </c>
      <c r="U306" s="250">
        <f t="shared" si="109"/>
        <v>0.49698874111667374</v>
      </c>
      <c r="V306" s="382">
        <f t="shared" si="110"/>
        <v>36.908830685922389</v>
      </c>
      <c r="W306" s="400">
        <f t="shared" si="111"/>
        <v>0</v>
      </c>
      <c r="X306" s="157">
        <f t="shared" si="112"/>
        <v>44853</v>
      </c>
      <c r="Y306" s="383">
        <f t="shared" si="113"/>
        <v>15.512398077685376</v>
      </c>
      <c r="Z306" s="383">
        <f t="shared" si="114"/>
        <v>15.925695900694585</v>
      </c>
      <c r="AA306" s="384">
        <f t="shared" si="115"/>
        <v>17.492402764907414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8.956498917094996E-2</v>
      </c>
      <c r="AD306" s="230">
        <f>(INDEX(Models!$BJ306:$BT306,,AH306)*(1-AF306)+INDEX(Models!$BJ306:$BT306,,AH306+1)*AF306-ERP_i)*AE306*Ramure*Pc/MaxiM</f>
        <v>2.5876299137986081E-3</v>
      </c>
      <c r="AE306" s="304">
        <f t="shared" si="117"/>
        <v>0.6</v>
      </c>
      <c r="AF306" s="177">
        <f t="shared" si="118"/>
        <v>0.49698874111667374</v>
      </c>
      <c r="AG306" s="799">
        <f t="shared" si="124"/>
        <v>0</v>
      </c>
      <c r="AH306" s="176">
        <f t="shared" si="119"/>
        <v>6</v>
      </c>
      <c r="AI306" s="224">
        <f t="shared" si="120"/>
        <v>0.49698874111667374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1153">
        <v>7.0049999999999999</v>
      </c>
      <c r="C307" s="388"/>
      <c r="D307" s="391">
        <f t="shared" si="102"/>
        <v>7.1917724957165152</v>
      </c>
      <c r="E307" s="383">
        <f t="shared" si="125"/>
        <v>7.3666294117222995</v>
      </c>
      <c r="F307" s="383">
        <f t="shared" si="103"/>
        <v>7.3666294117222995</v>
      </c>
      <c r="G307" s="110">
        <f t="shared" si="126"/>
        <v>0.1911059306797058</v>
      </c>
      <c r="H307" s="412" t="b">
        <f>Wh_hp&gt;='2021'!Maxi_hp</f>
        <v>0</v>
      </c>
      <c r="I307" s="379">
        <f>IF(H307,Wh_hp,'2021'!Maxi_hp)</f>
        <v>31.702695928532638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2.5970300899779364E-2</v>
      </c>
      <c r="M307" s="832"/>
      <c r="N307" s="832"/>
      <c r="O307" s="48">
        <f>IF(t&lt;Tnet,'2021'!Resal+('2021'!Salim-'2021'!Resal)*(1-EXP(('2021'!Tnet-t)/('2021'!Tau_j))),Resal+(Salim-Resal)*(1-EXP((Tnet-t)/(Tau_j))))*Salcycl</f>
        <v>2.3736352982211918E-2</v>
      </c>
      <c r="P307" s="169">
        <f>(INDEX(Models!$BJ307:$BT307,,T307)*(1-R307)+INDEX(Models!$BJ307:$BT307,,T307+1)*R307-ERP_i)*Q307*Ramure*Pc/MaxiM</f>
        <v>2.6791390862699479E-3</v>
      </c>
      <c r="Q307" s="304">
        <f t="shared" si="105"/>
        <v>0.6</v>
      </c>
      <c r="R307" s="177">
        <f t="shared" si="106"/>
        <v>0.49708050522966712</v>
      </c>
      <c r="S307" s="799">
        <f t="shared" si="107"/>
        <v>0</v>
      </c>
      <c r="T307" s="176">
        <f t="shared" si="108"/>
        <v>6</v>
      </c>
      <c r="U307" s="250">
        <f t="shared" si="109"/>
        <v>0.49708050522966712</v>
      </c>
      <c r="V307" s="382">
        <f t="shared" si="110"/>
        <v>36.556859359899356</v>
      </c>
      <c r="W307" s="400">
        <f t="shared" si="111"/>
        <v>0</v>
      </c>
      <c r="X307" s="157">
        <f t="shared" si="112"/>
        <v>44854</v>
      </c>
      <c r="Y307" s="383">
        <f t="shared" si="113"/>
        <v>6.5329707804437138</v>
      </c>
      <c r="Z307" s="383">
        <f t="shared" si="114"/>
        <v>6.707157683670915</v>
      </c>
      <c r="AA307" s="384">
        <f t="shared" si="115"/>
        <v>7.3666294117222995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8.9521501787776445E-2</v>
      </c>
      <c r="AD307" s="230">
        <f>(INDEX(Models!$BJ307:$BT307,,AH307)*(1-AF307)+INDEX(Models!$BJ307:$BT307,,AH307+1)*AF307-ERP_i)*AE307*Ramure*Pc/MaxiM</f>
        <v>2.6791390862699479E-3</v>
      </c>
      <c r="AE307" s="304">
        <f t="shared" si="117"/>
        <v>0.6</v>
      </c>
      <c r="AF307" s="177">
        <f t="shared" si="118"/>
        <v>0.49708050522966712</v>
      </c>
      <c r="AG307" s="799">
        <f t="shared" si="124"/>
        <v>0</v>
      </c>
      <c r="AH307" s="176">
        <f t="shared" si="119"/>
        <v>6</v>
      </c>
      <c r="AI307" s="224">
        <f t="shared" si="120"/>
        <v>0.49708050522966712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1153">
        <v>17.048000000000002</v>
      </c>
      <c r="C308" s="388"/>
      <c r="D308" s="391">
        <f t="shared" si="102"/>
        <v>17.502881835164896</v>
      </c>
      <c r="E308" s="383">
        <f t="shared" si="125"/>
        <v>17.929490933415224</v>
      </c>
      <c r="F308" s="383">
        <f t="shared" si="103"/>
        <v>17.941621952930404</v>
      </c>
      <c r="G308" s="110">
        <f t="shared" si="126"/>
        <v>0.46988474126184893</v>
      </c>
      <c r="H308" s="412" t="b">
        <f>Wh_hp&gt;='2021'!Maxi_hp</f>
        <v>0</v>
      </c>
      <c r="I308" s="379">
        <f>IF(H308,Wh_hp,'2021'!Maxi_hp)</f>
        <v>24.418087613545492</v>
      </c>
      <c r="J308" s="85">
        <f>IF(H308,An,'2021'!An_max)</f>
        <v>2018</v>
      </c>
      <c r="K308" s="197">
        <f t="shared" si="104"/>
        <v>44855</v>
      </c>
      <c r="L308" s="147">
        <f>IF(t&lt;Tvie,1-EXP((T0-t)*PertePVj)+'2021'!Pspv,1-EXP((T0-t)*PertePVj)+Pspv)</f>
        <v>2.5988967956750764E-2</v>
      </c>
      <c r="M308" s="832"/>
      <c r="N308" s="832"/>
      <c r="O308" s="48">
        <f>IF(t&lt;Tnet,'2021'!Resal+('2021'!Salim-'2021'!Resal)*(1-EXP(('2021'!Tnet-t)/('2021'!Tau_j))),Resal+(Salim-Resal)*(1-EXP((Tnet-t)/(Tau_j))))*Salcycl</f>
        <v>2.3793709471988212E-2</v>
      </c>
      <c r="P308" s="169">
        <f>(INDEX(Models!$BJ308:$BT308,,T308)*(1-R308)+INDEX(Models!$BJ308:$BT308,,T308+1)*R308-ERP_i)*Q308*Ramure*Pc/MaxiM</f>
        <v>2.769902687902232E-3</v>
      </c>
      <c r="Q308" s="304">
        <f t="shared" si="105"/>
        <v>0.6</v>
      </c>
      <c r="R308" s="177">
        <f t="shared" si="106"/>
        <v>0.49716860642495242</v>
      </c>
      <c r="S308" s="799">
        <f t="shared" si="107"/>
        <v>0</v>
      </c>
      <c r="T308" s="176">
        <f t="shared" si="108"/>
        <v>6</v>
      </c>
      <c r="U308" s="250">
        <f t="shared" si="109"/>
        <v>0.49716860642495242</v>
      </c>
      <c r="V308" s="382">
        <f t="shared" si="110"/>
        <v>36.205221965591271</v>
      </c>
      <c r="W308" s="400">
        <f t="shared" si="111"/>
        <v>0</v>
      </c>
      <c r="X308" s="157">
        <f t="shared" si="112"/>
        <v>44855</v>
      </c>
      <c r="Y308" s="383">
        <f t="shared" si="113"/>
        <v>15.900937736792876</v>
      </c>
      <c r="Z308" s="383">
        <f t="shared" si="114"/>
        <v>16.32521317898874</v>
      </c>
      <c r="AA308" s="384">
        <f t="shared" si="115"/>
        <v>17.929490933415224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8.9477038717066235E-2</v>
      </c>
      <c r="AD308" s="230">
        <f>(INDEX(Models!$BJ308:$BT308,,AH308)*(1-AF308)+INDEX(Models!$BJ308:$BT308,,AH308+1)*AF308-ERP_i)*AE308*Ramure*Pc/MaxiM</f>
        <v>2.769902687902232E-3</v>
      </c>
      <c r="AE308" s="304">
        <f t="shared" si="117"/>
        <v>0.6</v>
      </c>
      <c r="AF308" s="177">
        <f t="shared" si="118"/>
        <v>0.49716860642495242</v>
      </c>
      <c r="AG308" s="799">
        <f t="shared" si="124"/>
        <v>0</v>
      </c>
      <c r="AH308" s="176">
        <f t="shared" si="119"/>
        <v>6</v>
      </c>
      <c r="AI308" s="224">
        <f t="shared" si="120"/>
        <v>0.49716860642495242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1153">
        <v>34.442999999999998</v>
      </c>
      <c r="C309" s="388"/>
      <c r="D309" s="391">
        <f t="shared" si="102"/>
        <v>35.362700186909827</v>
      </c>
      <c r="E309" s="383">
        <f t="shared" si="125"/>
        <v>36.226732008062008</v>
      </c>
      <c r="F309" s="383">
        <f t="shared" si="103"/>
        <v>36.324773470001581</v>
      </c>
      <c r="G309" s="110">
        <f t="shared" si="126"/>
        <v>0.96047926350501722</v>
      </c>
      <c r="H309" s="412" t="b">
        <f>Wh_hp&gt;='2021'!Maxi_hp</f>
        <v>1</v>
      </c>
      <c r="I309" s="379">
        <f>IF(H309,Wh_hp,'2021'!Maxi_hp)</f>
        <v>36.324773470001581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2.6007634655972223E-2</v>
      </c>
      <c r="M309" s="832"/>
      <c r="N309" s="832"/>
      <c r="O309" s="48">
        <f>IF(t&lt;Tnet,'2021'!Resal+('2021'!Salim-'2021'!Resal)*(1-EXP(('2021'!Tnet-t)/('2021'!Tau_j))),Resal+(Salim-Resal)*(1-EXP((Tnet-t)/(Tau_j))))*Salcycl</f>
        <v>2.3850669747409001E-2</v>
      </c>
      <c r="P309" s="169">
        <f>(INDEX(Models!$BJ309:$BT309,,T309)*(1-R309)+INDEX(Models!$BJ309:$BT309,,T309+1)*R309-ERP_i)*Q309*Ramure*Pc/MaxiM</f>
        <v>2.8598540153953887E-3</v>
      </c>
      <c r="Q309" s="304">
        <f t="shared" si="105"/>
        <v>0.6</v>
      </c>
      <c r="R309" s="177">
        <f t="shared" si="106"/>
        <v>0.49725318969079835</v>
      </c>
      <c r="S309" s="799">
        <f t="shared" si="107"/>
        <v>0</v>
      </c>
      <c r="T309" s="176">
        <f t="shared" si="108"/>
        <v>6</v>
      </c>
      <c r="U309" s="250">
        <f t="shared" si="109"/>
        <v>0.49725318969079835</v>
      </c>
      <c r="V309" s="382">
        <f t="shared" si="110"/>
        <v>35.854439417803832</v>
      </c>
      <c r="W309" s="400">
        <f t="shared" si="111"/>
        <v>0</v>
      </c>
      <c r="X309" s="157">
        <f t="shared" si="112"/>
        <v>44856</v>
      </c>
      <c r="Y309" s="383">
        <f t="shared" si="113"/>
        <v>32.129003726281525</v>
      </c>
      <c r="Z309" s="383">
        <f t="shared" si="114"/>
        <v>32.986915369642666</v>
      </c>
      <c r="AA309" s="384">
        <f t="shared" si="115"/>
        <v>36.226732008062008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8.9431656095789819E-2</v>
      </c>
      <c r="AD309" s="230">
        <f>(INDEX(Models!$BJ309:$BT309,,AH309)*(1-AF309)+INDEX(Models!$BJ309:$BT309,,AH309+1)*AF309-ERP_i)*AE309*Ramure*Pc/MaxiM</f>
        <v>2.8598540153953887E-3</v>
      </c>
      <c r="AE309" s="304">
        <f t="shared" si="117"/>
        <v>0.6</v>
      </c>
      <c r="AF309" s="177">
        <f t="shared" si="118"/>
        <v>0.49725318969079835</v>
      </c>
      <c r="AG309" s="799">
        <f t="shared" si="124"/>
        <v>0</v>
      </c>
      <c r="AH309" s="176">
        <f t="shared" si="119"/>
        <v>6</v>
      </c>
      <c r="AI309" s="224">
        <f t="shared" si="120"/>
        <v>0.49725318969079835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1153">
        <v>17.702000000000002</v>
      </c>
      <c r="C310" s="388"/>
      <c r="D310" s="391">
        <f t="shared" si="102"/>
        <v>18.17502876938946</v>
      </c>
      <c r="E310" s="383">
        <f t="shared" si="125"/>
        <v>18.620186179859708</v>
      </c>
      <c r="F310" s="383">
        <f t="shared" si="103"/>
        <v>18.635765211495038</v>
      </c>
      <c r="G310" s="110">
        <f t="shared" si="126"/>
        <v>0.49752286257692996</v>
      </c>
      <c r="H310" s="412" t="b">
        <f>Wh_hp&gt;='2021'!Maxi_hp</f>
        <v>0</v>
      </c>
      <c r="I310" s="379">
        <f>IF(H310,Wh_hp,'2021'!Maxi_hp)</f>
        <v>37.404529448025627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2.6026300997450735E-2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2.3907248089267061E-2</v>
      </c>
      <c r="P310" s="169">
        <f>(INDEX(Models!$BJ310:$BT310,,T310)*(1-R310)+INDEX(Models!$BJ310:$BT310,,T310+1)*R310-ERP_i)*Q310*Ramure*Pc/MaxiM</f>
        <v>2.9468910700903711E-3</v>
      </c>
      <c r="Q310" s="304">
        <f t="shared" si="105"/>
        <v>0.6</v>
      </c>
      <c r="R310" s="177">
        <f t="shared" si="106"/>
        <v>0.49733439437262011</v>
      </c>
      <c r="S310" s="799">
        <f t="shared" si="107"/>
        <v>0</v>
      </c>
      <c r="T310" s="176">
        <f t="shared" si="108"/>
        <v>6</v>
      </c>
      <c r="U310" s="250">
        <f t="shared" si="109"/>
        <v>0.49733439437262011</v>
      </c>
      <c r="V310" s="382">
        <f t="shared" si="110"/>
        <v>35.505104641381145</v>
      </c>
      <c r="W310" s="400">
        <f t="shared" si="111"/>
        <v>0</v>
      </c>
      <c r="X310" s="157">
        <f t="shared" si="112"/>
        <v>44857</v>
      </c>
      <c r="Y310" s="383">
        <f t="shared" si="113"/>
        <v>16.514516026555011</v>
      </c>
      <c r="Z310" s="383">
        <f t="shared" si="114"/>
        <v>16.955813122538729</v>
      </c>
      <c r="AA310" s="384">
        <f t="shared" si="115"/>
        <v>18.620186179859708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8.9385414369338015E-2</v>
      </c>
      <c r="AD310" s="230">
        <f>(INDEX(Models!$BJ310:$BT310,,AH310)*(1-AF310)+INDEX(Models!$BJ310:$BT310,,AH310+1)*AF310-ERP_i)*AE310*Ramure*Pc/MaxiM</f>
        <v>2.9468910700903711E-3</v>
      </c>
      <c r="AE310" s="304">
        <f t="shared" si="117"/>
        <v>0.6</v>
      </c>
      <c r="AF310" s="177">
        <f t="shared" si="118"/>
        <v>0.49733439437262011</v>
      </c>
      <c r="AG310" s="799">
        <f t="shared" si="124"/>
        <v>0</v>
      </c>
      <c r="AH310" s="176">
        <f t="shared" si="119"/>
        <v>6</v>
      </c>
      <c r="AI310" s="224">
        <f t="shared" si="120"/>
        <v>0.49733439437262011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1153">
        <v>26.190999999999999</v>
      </c>
      <c r="C311" s="388"/>
      <c r="D311" s="391">
        <f t="shared" si="102"/>
        <v>26.891385240671838</v>
      </c>
      <c r="E311" s="383">
        <f t="shared" si="125"/>
        <v>27.55161732258329</v>
      </c>
      <c r="F311" s="383">
        <f t="shared" si="103"/>
        <v>27.604793077231101</v>
      </c>
      <c r="G311" s="110">
        <f t="shared" si="126"/>
        <v>0.74413248103134033</v>
      </c>
      <c r="H311" s="412" t="b">
        <f>Wh_hp&gt;='2021'!Maxi_hp</f>
        <v>0</v>
      </c>
      <c r="I311" s="379">
        <f>IF(H311,Wh_hp,'2021'!Maxi_hp)</f>
        <v>38.420312161688102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2.6044966981192963E-2</v>
      </c>
      <c r="M311" s="832"/>
      <c r="N311" s="832"/>
      <c r="O311" s="48">
        <f>IF(t&lt;Tnet,'2021'!Resal+('2021'!Salim-'2021'!Resal)*(1-EXP(('2021'!Tnet-t)/('2021'!Tau_j))),Resal+(Salim-Resal)*(1-EXP((Tnet-t)/(Tau_j))))*Salcycl</f>
        <v>2.3963460082260878E-2</v>
      </c>
      <c r="P311" s="169">
        <f>(INDEX(Models!$BJ311:$BT311,,T311)*(1-R311)+INDEX(Models!$BJ311:$BT311,,T311+1)*R311-ERP_i)*Q311*Ramure*Pc/MaxiM</f>
        <v>3.0304669039612872E-3</v>
      </c>
      <c r="Q311" s="304">
        <f t="shared" si="105"/>
        <v>0.6</v>
      </c>
      <c r="R311" s="177">
        <f t="shared" si="106"/>
        <v>0.4974123543850128</v>
      </c>
      <c r="S311" s="799">
        <f t="shared" si="107"/>
        <v>0</v>
      </c>
      <c r="T311" s="176">
        <f t="shared" si="108"/>
        <v>6</v>
      </c>
      <c r="U311" s="250">
        <f t="shared" si="109"/>
        <v>0.4974123543850128</v>
      </c>
      <c r="V311" s="382">
        <f t="shared" si="110"/>
        <v>35.157752451681851</v>
      </c>
      <c r="W311" s="400">
        <f t="shared" si="111"/>
        <v>0</v>
      </c>
      <c r="X311" s="157">
        <f t="shared" si="112"/>
        <v>44858</v>
      </c>
      <c r="Y311" s="383">
        <f t="shared" si="113"/>
        <v>24.43672707205301</v>
      </c>
      <c r="Z311" s="383">
        <f t="shared" si="114"/>
        <v>25.090200516044909</v>
      </c>
      <c r="AA311" s="384">
        <f t="shared" si="115"/>
        <v>27.55161732258329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8.9338378132917298E-2</v>
      </c>
      <c r="AD311" s="230">
        <f>(INDEX(Models!$BJ311:$BT311,,AH311)*(1-AF311)+INDEX(Models!$BJ311:$BT311,,AH311+1)*AF311-ERP_i)*AE311*Ramure*Pc/MaxiM</f>
        <v>3.0304669039612872E-3</v>
      </c>
      <c r="AE311" s="304">
        <f t="shared" si="117"/>
        <v>0.6</v>
      </c>
      <c r="AF311" s="177">
        <f t="shared" si="118"/>
        <v>0.4974123543850128</v>
      </c>
      <c r="AG311" s="799">
        <f t="shared" si="124"/>
        <v>0</v>
      </c>
      <c r="AH311" s="176">
        <f t="shared" si="119"/>
        <v>6</v>
      </c>
      <c r="AI311" s="224">
        <f t="shared" si="120"/>
        <v>0.4974123543850128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1153">
        <v>23.157</v>
      </c>
      <c r="C312" s="388"/>
      <c r="D312" s="391">
        <f t="shared" si="102"/>
        <v>23.776707365380318</v>
      </c>
      <c r="E312" s="383">
        <f t="shared" si="125"/>
        <v>24.361862806781659</v>
      </c>
      <c r="F312" s="383">
        <f t="shared" si="103"/>
        <v>24.401459977976732</v>
      </c>
      <c r="G312" s="110">
        <f t="shared" si="126"/>
        <v>0.66419320625986444</v>
      </c>
      <c r="H312" s="412" t="b">
        <f>Wh_hp&gt;='2021'!Maxi_hp</f>
        <v>0</v>
      </c>
      <c r="I312" s="379">
        <f>IF(H312,Wh_hp,'2021'!Maxi_hp)</f>
        <v>35.228620832517834</v>
      </c>
      <c r="J312" s="85">
        <f>IF(H312,An,'2021'!An_max)</f>
        <v>2021</v>
      </c>
      <c r="K312" s="197">
        <f t="shared" si="104"/>
        <v>44859</v>
      </c>
      <c r="L312" s="147">
        <f>IF(t&lt;Tvie,1-EXP((T0-t)*PertePVj)+'2021'!Pspv,1-EXP((T0-t)*PertePVj)+Pspv)</f>
        <v>2.60636326072059E-2</v>
      </c>
      <c r="M312" s="832"/>
      <c r="N312" s="832"/>
      <c r="O312" s="48">
        <f>IF(t&lt;Tnet,'2021'!Resal+('2021'!Salim-'2021'!Resal)*(1-EXP(('2021'!Tnet-t)/('2021'!Tau_j))),Resal+(Salim-Resal)*(1-EXP((Tnet-t)/(Tau_j))))*Salcycl</f>
        <v>2.4019322579817235E-2</v>
      </c>
      <c r="P312" s="169">
        <f>(INDEX(Models!$BJ312:$BT312,,T312)*(1-R312)+INDEX(Models!$BJ312:$BT312,,T312+1)*R312-ERP_i)*Q312*Ramure*Pc/MaxiM</f>
        <v>3.1105278187102199E-3</v>
      </c>
      <c r="Q312" s="304">
        <f t="shared" si="105"/>
        <v>0.6</v>
      </c>
      <c r="R312" s="177">
        <f t="shared" si="106"/>
        <v>0.49748719841642103</v>
      </c>
      <c r="S312" s="799">
        <f t="shared" si="107"/>
        <v>0</v>
      </c>
      <c r="T312" s="176">
        <f t="shared" si="108"/>
        <v>6</v>
      </c>
      <c r="U312" s="250">
        <f t="shared" si="109"/>
        <v>0.49748719841642103</v>
      </c>
      <c r="V312" s="382">
        <f t="shared" si="110"/>
        <v>34.812899363745963</v>
      </c>
      <c r="W312" s="400">
        <f t="shared" si="111"/>
        <v>0</v>
      </c>
      <c r="X312" s="157">
        <f t="shared" si="112"/>
        <v>44859</v>
      </c>
      <c r="Y312" s="383">
        <f t="shared" si="113"/>
        <v>21.608314277635706</v>
      </c>
      <c r="Z312" s="383">
        <f t="shared" si="114"/>
        <v>22.186577071231749</v>
      </c>
      <c r="AA312" s="384">
        <f t="shared" si="115"/>
        <v>24.361862806781659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8.9290615943554558E-2</v>
      </c>
      <c r="AD312" s="230">
        <f>(INDEX(Models!$BJ312:$BT312,,AH312)*(1-AF312)+INDEX(Models!$BJ312:$BT312,,AH312+1)*AF312-ERP_i)*AE312*Ramure*Pc/MaxiM</f>
        <v>3.1105278187102199E-3</v>
      </c>
      <c r="AE312" s="304">
        <f t="shared" si="117"/>
        <v>0.6</v>
      </c>
      <c r="AF312" s="177">
        <f t="shared" si="118"/>
        <v>0.49748719841642103</v>
      </c>
      <c r="AG312" s="799">
        <f t="shared" si="124"/>
        <v>0</v>
      </c>
      <c r="AH312" s="176">
        <f t="shared" si="119"/>
        <v>6</v>
      </c>
      <c r="AI312" s="224">
        <f t="shared" si="120"/>
        <v>0.49748719841642103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1153">
        <v>12.909000000000001</v>
      </c>
      <c r="C313" s="388"/>
      <c r="D313" s="391">
        <f t="shared" si="102"/>
        <v>13.254713382701961</v>
      </c>
      <c r="E313" s="383">
        <f t="shared" si="125"/>
        <v>13.581690596266036</v>
      </c>
      <c r="F313" s="383">
        <f t="shared" si="103"/>
        <v>13.58629815797225</v>
      </c>
      <c r="G313" s="110">
        <f t="shared" si="126"/>
        <v>0.37342117080083431</v>
      </c>
      <c r="H313" s="412" t="b">
        <f>Wh_hp&gt;='2021'!Maxi_hp</f>
        <v>0</v>
      </c>
      <c r="I313" s="379">
        <f>IF(H313,Wh_hp,'2021'!Maxi_hp)</f>
        <v>35.899581400046522</v>
      </c>
      <c r="J313" s="85">
        <f>IF(H313,An,'2021'!An_max)</f>
        <v>2018</v>
      </c>
      <c r="K313" s="197">
        <f t="shared" si="104"/>
        <v>44860</v>
      </c>
      <c r="L313" s="147">
        <f>IF(t&lt;Tvie,1-EXP((T0-t)*PertePVj)+'2021'!Pspv,1-EXP((T0-t)*PertePVj)+Pspv)</f>
        <v>2.608229787549643E-2</v>
      </c>
      <c r="M313" s="832"/>
      <c r="N313" s="832"/>
      <c r="O313" s="48">
        <f>IF(t&lt;Tnet,'2021'!Resal+('2021'!Salim-'2021'!Resal)*(1-EXP(('2021'!Tnet-t)/('2021'!Tau_j))),Resal+(Salim-Resal)*(1-EXP((Tnet-t)/(Tau_j))))*Salcycl</f>
        <v>2.4074853660263004E-2</v>
      </c>
      <c r="P313" s="169">
        <f>(INDEX(Models!$BJ313:$BT313,,T313)*(1-R313)+INDEX(Models!$BJ313:$BT313,,T313+1)*R313-ERP_i)*Q313*Ramure*Pc/MaxiM</f>
        <v>3.1869966624051291E-3</v>
      </c>
      <c r="Q313" s="304">
        <f t="shared" si="105"/>
        <v>0.6</v>
      </c>
      <c r="R313" s="177">
        <f t="shared" si="106"/>
        <v>0.49755905012665053</v>
      </c>
      <c r="S313" s="799">
        <f t="shared" si="107"/>
        <v>0</v>
      </c>
      <c r="T313" s="176">
        <f t="shared" si="108"/>
        <v>6</v>
      </c>
      <c r="U313" s="250">
        <f t="shared" si="109"/>
        <v>0.49755905012665053</v>
      </c>
      <c r="V313" s="382">
        <f t="shared" si="110"/>
        <v>34.471062334915381</v>
      </c>
      <c r="W313" s="400">
        <f t="shared" si="111"/>
        <v>0</v>
      </c>
      <c r="X313" s="157">
        <f t="shared" si="112"/>
        <v>44860</v>
      </c>
      <c r="Y313" s="383">
        <f t="shared" si="113"/>
        <v>12.047002255203422</v>
      </c>
      <c r="Z313" s="383">
        <f t="shared" si="114"/>
        <v>12.369630646330894</v>
      </c>
      <c r="AA313" s="384">
        <f t="shared" si="115"/>
        <v>13.581690596266036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8.9242200103451741E-2</v>
      </c>
      <c r="AD313" s="230">
        <f>(INDEX(Models!$BJ313:$BT313,,AH313)*(1-AF313)+INDEX(Models!$BJ313:$BT313,,AH313+1)*AF313-ERP_i)*AE313*Ramure*Pc/MaxiM</f>
        <v>3.1869966624051291E-3</v>
      </c>
      <c r="AE313" s="304">
        <f t="shared" si="117"/>
        <v>0.6</v>
      </c>
      <c r="AF313" s="177">
        <f t="shared" si="118"/>
        <v>0.49755905012665053</v>
      </c>
      <c r="AG313" s="799">
        <f t="shared" si="124"/>
        <v>0</v>
      </c>
      <c r="AH313" s="176">
        <f t="shared" si="119"/>
        <v>6</v>
      </c>
      <c r="AI313" s="224">
        <f t="shared" si="120"/>
        <v>0.49755905012665053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1153">
        <v>14.934000000000001</v>
      </c>
      <c r="C314" s="388"/>
      <c r="D314" s="391">
        <f t="shared" si="102"/>
        <v>15.334238385451416</v>
      </c>
      <c r="E314" s="383">
        <f t="shared" si="125"/>
        <v>15.713403963482095</v>
      </c>
      <c r="F314" s="383">
        <f t="shared" si="103"/>
        <v>15.723473945230385</v>
      </c>
      <c r="G314" s="110">
        <f t="shared" si="126"/>
        <v>0.43638013449712804</v>
      </c>
      <c r="H314" s="412" t="b">
        <f>Wh_hp&gt;='2021'!Maxi_hp</f>
        <v>0</v>
      </c>
      <c r="I314" s="379">
        <f>IF(H314,Wh_hp,'2021'!Maxi_hp)</f>
        <v>30.879725572368368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2.6100962786071324E-2</v>
      </c>
      <c r="M314" s="832"/>
      <c r="N314" s="832"/>
      <c r="O314" s="48">
        <f>IF(t&lt;Tnet,'2021'!Resal+('2021'!Salim-'2021'!Resal)*(1-EXP(('2021'!Tnet-t)/('2021'!Tau_j))),Resal+(Salim-Resal)*(1-EXP((Tnet-t)/(Tau_j))))*Salcycl</f>
        <v>2.4130072574463136E-2</v>
      </c>
      <c r="P314" s="169">
        <f>(INDEX(Models!$BJ314:$BT314,,T314)*(1-R314)+INDEX(Models!$BJ314:$BT314,,T314+1)*R314-ERP_i)*Q314*Ramure*Pc/MaxiM</f>
        <v>3.2597969004938255E-3</v>
      </c>
      <c r="Q314" s="304">
        <f t="shared" si="105"/>
        <v>0.6</v>
      </c>
      <c r="R314" s="177">
        <f t="shared" si="106"/>
        <v>0.49762802833742781</v>
      </c>
      <c r="S314" s="799">
        <f t="shared" si="107"/>
        <v>0</v>
      </c>
      <c r="T314" s="176">
        <f t="shared" si="108"/>
        <v>6</v>
      </c>
      <c r="U314" s="250">
        <f t="shared" si="109"/>
        <v>0.49762802833742781</v>
      </c>
      <c r="V314" s="382">
        <f t="shared" si="110"/>
        <v>34.132757923931337</v>
      </c>
      <c r="W314" s="400">
        <f t="shared" si="111"/>
        <v>0</v>
      </c>
      <c r="X314" s="157">
        <f t="shared" si="112"/>
        <v>44861</v>
      </c>
      <c r="Y314" s="383">
        <f t="shared" si="113"/>
        <v>13.938321361405169</v>
      </c>
      <c r="Z314" s="383">
        <f t="shared" si="114"/>
        <v>14.31187508027431</v>
      </c>
      <c r="AA314" s="384">
        <f t="shared" si="115"/>
        <v>15.713403963482095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8.9193206415677614E-2</v>
      </c>
      <c r="AD314" s="230">
        <f>(INDEX(Models!$BJ314:$BT314,,AH314)*(1-AF314)+INDEX(Models!$BJ314:$BT314,,AH314+1)*AF314-ERP_i)*AE314*Ramure*Pc/MaxiM</f>
        <v>3.2597969004938255E-3</v>
      </c>
      <c r="AE314" s="304">
        <f t="shared" si="117"/>
        <v>0.6</v>
      </c>
      <c r="AF314" s="177">
        <f t="shared" si="118"/>
        <v>0.49762802833742781</v>
      </c>
      <c r="AG314" s="799">
        <f t="shared" si="124"/>
        <v>0</v>
      </c>
      <c r="AH314" s="176">
        <f t="shared" si="119"/>
        <v>6</v>
      </c>
      <c r="AI314" s="224">
        <f t="shared" si="120"/>
        <v>0.49762802833742781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1153">
        <v>17.965</v>
      </c>
      <c r="C315" s="388"/>
      <c r="D315" s="391">
        <f t="shared" si="102"/>
        <v>18.446824172985277</v>
      </c>
      <c r="E315" s="383">
        <f t="shared" si="125"/>
        <v>18.904017838455726</v>
      </c>
      <c r="F315" s="383">
        <f t="shared" si="103"/>
        <v>18.924855115611852</v>
      </c>
      <c r="G315" s="110">
        <f t="shared" si="126"/>
        <v>0.53034697520521012</v>
      </c>
      <c r="H315" s="412" t="b">
        <f>Wh_hp&gt;='2021'!Maxi_hp</f>
        <v>0</v>
      </c>
      <c r="I315" s="379">
        <f>IF(H315,Wh_hp,'2021'!Maxi_hp)</f>
        <v>35.461193234664123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2.6119627338937468E-2</v>
      </c>
      <c r="M315" s="832"/>
      <c r="N315" s="832"/>
      <c r="O315" s="48">
        <f>IF(t&lt;Tnet,'2021'!Resal+('2021'!Salim-'2021'!Resal)*(1-EXP(('2021'!Tnet-t)/('2021'!Tau_j))),Resal+(Salim-Resal)*(1-EXP((Tnet-t)/(Tau_j))))*Salcycl</f>
        <v>2.418499968511445E-2</v>
      </c>
      <c r="P315" s="169">
        <f>(INDEX(Models!$BJ315:$BT315,,T315)*(1-R315)+INDEX(Models!$BJ315:$BT315,,T315+1)*R315-ERP_i)*Q315*Ramure*Pc/MaxiM</f>
        <v>3.3288530091622652E-3</v>
      </c>
      <c r="Q315" s="304">
        <f t="shared" si="105"/>
        <v>0.6</v>
      </c>
      <c r="R315" s="177">
        <f t="shared" si="106"/>
        <v>0.49769424721620992</v>
      </c>
      <c r="S315" s="799">
        <f t="shared" si="107"/>
        <v>0</v>
      </c>
      <c r="T315" s="176">
        <f t="shared" si="108"/>
        <v>6</v>
      </c>
      <c r="U315" s="250">
        <f t="shared" si="109"/>
        <v>0.49769424721620992</v>
      </c>
      <c r="V315" s="382">
        <f t="shared" si="110"/>
        <v>33.798502308268851</v>
      </c>
      <c r="W315" s="400">
        <f t="shared" si="111"/>
        <v>0</v>
      </c>
      <c r="X315" s="157">
        <f t="shared" si="112"/>
        <v>44862</v>
      </c>
      <c r="Y315" s="383">
        <f t="shared" si="113"/>
        <v>16.769093705533276</v>
      </c>
      <c r="Z315" s="383">
        <f t="shared" si="114"/>
        <v>17.218843480450126</v>
      </c>
      <c r="AA315" s="384">
        <f t="shared" si="115"/>
        <v>18.904017838455726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8.9143713913425973E-2</v>
      </c>
      <c r="AD315" s="230">
        <f>(INDEX(Models!$BJ315:$BT315,,AH315)*(1-AF315)+INDEX(Models!$BJ315:$BT315,,AH315+1)*AF315-ERP_i)*AE315*Ramure*Pc/MaxiM</f>
        <v>3.3288530091622652E-3</v>
      </c>
      <c r="AE315" s="304">
        <f t="shared" si="117"/>
        <v>0.6</v>
      </c>
      <c r="AF315" s="177">
        <f t="shared" si="118"/>
        <v>0.49769424721620992</v>
      </c>
      <c r="AG315" s="799">
        <f t="shared" si="124"/>
        <v>0</v>
      </c>
      <c r="AH315" s="176">
        <f t="shared" si="119"/>
        <v>6</v>
      </c>
      <c r="AI315" s="224">
        <f t="shared" si="120"/>
        <v>0.49769424721620992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1153">
        <v>27.901</v>
      </c>
      <c r="C316" s="388"/>
      <c r="D316" s="391">
        <f t="shared" si="102"/>
        <v>28.649858349962024</v>
      </c>
      <c r="E316" s="383">
        <f t="shared" si="125"/>
        <v>29.361572785588269</v>
      </c>
      <c r="F316" s="383">
        <f t="shared" si="103"/>
        <v>29.437742049271954</v>
      </c>
      <c r="G316" s="110">
        <f t="shared" si="126"/>
        <v>0.83296761955832488</v>
      </c>
      <c r="H316" s="412" t="b">
        <f>Wh_hp&gt;='2021'!Maxi_hp</f>
        <v>0</v>
      </c>
      <c r="I316" s="379">
        <f>IF(H316,Wh_hp,'2021'!Maxi_hp)</f>
        <v>29.777598995663187</v>
      </c>
      <c r="J316" s="85">
        <f>IF(H316,An,'2021'!An_max)</f>
        <v>2018</v>
      </c>
      <c r="K316" s="197">
        <f t="shared" si="104"/>
        <v>44863</v>
      </c>
      <c r="L316" s="147">
        <f>IF(t&lt;Tvie,1-EXP((T0-t)*PertePVj)+'2021'!Pspv,1-EXP((T0-t)*PertePVj)+Pspv)</f>
        <v>2.6138291534101632E-2</v>
      </c>
      <c r="M316" s="832"/>
      <c r="N316" s="832"/>
      <c r="O316" s="48">
        <f>IF(t&lt;Tnet,'2021'!Resal+('2021'!Salim-'2021'!Resal)*(1-EXP(('2021'!Tnet-t)/('2021'!Tau_j))),Resal+(Salim-Resal)*(1-EXP((Tnet-t)/(Tau_j))))*Salcycl</f>
        <v>2.4239656397956288E-2</v>
      </c>
      <c r="P316" s="169">
        <f>(INDEX(Models!$BJ316:$BT316,,T316)*(1-R316)+INDEX(Models!$BJ316:$BT316,,T316+1)*R316-ERP_i)*Q316*Ramure*Pc/MaxiM</f>
        <v>3.3940908572221255E-3</v>
      </c>
      <c r="Q316" s="304">
        <f t="shared" si="105"/>
        <v>0.6</v>
      </c>
      <c r="R316" s="177">
        <f t="shared" si="106"/>
        <v>0.49775781645344608</v>
      </c>
      <c r="S316" s="799">
        <f t="shared" si="107"/>
        <v>0</v>
      </c>
      <c r="T316" s="176">
        <f t="shared" si="108"/>
        <v>6</v>
      </c>
      <c r="U316" s="250">
        <f t="shared" si="109"/>
        <v>0.49775781645344608</v>
      </c>
      <c r="V316" s="382">
        <f t="shared" si="110"/>
        <v>33.468811299778302</v>
      </c>
      <c r="W316" s="400">
        <f t="shared" si="111"/>
        <v>0</v>
      </c>
      <c r="X316" s="157">
        <f t="shared" si="112"/>
        <v>44863</v>
      </c>
      <c r="Y316" s="383">
        <f t="shared" si="113"/>
        <v>26.046553260230425</v>
      </c>
      <c r="Z316" s="383">
        <f t="shared" si="114"/>
        <v>26.745638558128498</v>
      </c>
      <c r="AA316" s="384">
        <f t="shared" si="115"/>
        <v>29.361572785588269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8.9093804564303353E-2</v>
      </c>
      <c r="AD316" s="230">
        <f>(INDEX(Models!$BJ316:$BT316,,AH316)*(1-AF316)+INDEX(Models!$BJ316:$BT316,,AH316+1)*AF316-ERP_i)*AE316*Ramure*Pc/MaxiM</f>
        <v>3.3940908572221255E-3</v>
      </c>
      <c r="AE316" s="304">
        <f t="shared" si="117"/>
        <v>0.6</v>
      </c>
      <c r="AF316" s="177">
        <f t="shared" si="118"/>
        <v>0.49775781645344608</v>
      </c>
      <c r="AG316" s="799">
        <f t="shared" si="124"/>
        <v>0</v>
      </c>
      <c r="AH316" s="176">
        <f t="shared" si="119"/>
        <v>6</v>
      </c>
      <c r="AI316" s="224">
        <f t="shared" si="120"/>
        <v>0.49775781645344608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1153">
        <v>23.988</v>
      </c>
      <c r="C317" s="388"/>
      <c r="D317" s="391">
        <f t="shared" si="102"/>
        <v>24.632306132198792</v>
      </c>
      <c r="E317" s="383">
        <f t="shared" si="125"/>
        <v>25.245624988793871</v>
      </c>
      <c r="F317" s="383">
        <f t="shared" si="103"/>
        <v>25.298551969587578</v>
      </c>
      <c r="G317" s="110">
        <f t="shared" si="126"/>
        <v>0.72280081331213564</v>
      </c>
      <c r="H317" s="412" t="b">
        <f>Wh_hp&gt;='2021'!Maxi_hp</f>
        <v>0</v>
      </c>
      <c r="I317" s="379">
        <f>IF(H317,Wh_hp,'2021'!Maxi_hp)</f>
        <v>28.491037803008169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2.6156955371570811E-2</v>
      </c>
      <c r="M317" s="832"/>
      <c r="N317" s="832"/>
      <c r="O317" s="48">
        <f>IF(t&lt;Tnet,'2021'!Resal+('2021'!Salim-'2021'!Resal)*(1-EXP(('2021'!Tnet-t)/('2021'!Tau_j))),Resal+(Salim-Resal)*(1-EXP((Tnet-t)/(Tau_j))))*Salcycl</f>
        <v>2.4294065085230469E-2</v>
      </c>
      <c r="P317" s="169">
        <f>(INDEX(Models!$BJ317:$BT317,,T317)*(1-R317)+INDEX(Models!$BJ317:$BT317,,T317+1)*R317-ERP_i)*Q317*Ramure*Pc/MaxiM</f>
        <v>3.4556439732710493E-3</v>
      </c>
      <c r="Q317" s="304">
        <f t="shared" si="105"/>
        <v>0.6</v>
      </c>
      <c r="R317" s="177">
        <f t="shared" si="106"/>
        <v>0.49781884143348876</v>
      </c>
      <c r="S317" s="799">
        <f t="shared" si="107"/>
        <v>0</v>
      </c>
      <c r="T317" s="176">
        <f t="shared" si="108"/>
        <v>6</v>
      </c>
      <c r="U317" s="250">
        <f t="shared" si="109"/>
        <v>0.49781884143348876</v>
      </c>
      <c r="V317" s="382">
        <f t="shared" si="110"/>
        <v>33.142218684591391</v>
      </c>
      <c r="W317" s="400">
        <f t="shared" si="111"/>
        <v>0</v>
      </c>
      <c r="X317" s="157">
        <f t="shared" si="112"/>
        <v>44864</v>
      </c>
      <c r="Y317" s="383">
        <f t="shared" si="113"/>
        <v>22.396115704504986</v>
      </c>
      <c r="Z317" s="383">
        <f t="shared" si="114"/>
        <v>22.997664590858424</v>
      </c>
      <c r="AA317" s="384">
        <f t="shared" si="115"/>
        <v>25.245624988793871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8.9043562951334393E-2</v>
      </c>
      <c r="AD317" s="230">
        <f>(INDEX(Models!$BJ317:$BT317,,AH317)*(1-AF317)+INDEX(Models!$BJ317:$BT317,,AH317+1)*AF317-ERP_i)*AE317*Ramure*Pc/MaxiM</f>
        <v>3.4556439732710493E-3</v>
      </c>
      <c r="AE317" s="304">
        <f t="shared" si="117"/>
        <v>0.6</v>
      </c>
      <c r="AF317" s="177">
        <f t="shared" si="118"/>
        <v>0.49781884143348876</v>
      </c>
      <c r="AG317" s="799">
        <f t="shared" si="124"/>
        <v>0</v>
      </c>
      <c r="AH317" s="176">
        <f t="shared" si="119"/>
        <v>6</v>
      </c>
      <c r="AI317" s="224">
        <f t="shared" si="120"/>
        <v>0.49781884143348876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1153">
        <v>22.815999999999999</v>
      </c>
      <c r="C318" s="388"/>
      <c r="D318" s="391">
        <f t="shared" si="102"/>
        <v>23.429275793124017</v>
      </c>
      <c r="E318" s="383">
        <f t="shared" si="125"/>
        <v>24.013974011888003</v>
      </c>
      <c r="F318" s="383">
        <f t="shared" si="103"/>
        <v>24.061747730333288</v>
      </c>
      <c r="G318" s="110">
        <f t="shared" si="126"/>
        <v>0.69418227773503061</v>
      </c>
      <c r="H318" s="412" t="b">
        <f>Wh_hp&gt;='2021'!Maxi_hp</f>
        <v>0</v>
      </c>
      <c r="I318" s="379">
        <f>IF(H318,Wh_hp,'2021'!Maxi_hp)</f>
        <v>34.120858369867321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2.6175618851351889E-2</v>
      </c>
      <c r="M318" s="832"/>
      <c r="N318" s="832"/>
      <c r="O318" s="48">
        <f>IF(t&lt;Tnet,'2021'!Resal+('2021'!Salim-'2021'!Resal)*(1-EXP(('2021'!Tnet-t)/('2021'!Tau_j))),Resal+(Salim-Resal)*(1-EXP((Tnet-t)/(Tau_j))))*Salcycl</f>
        <v>2.4348249001791049E-2</v>
      </c>
      <c r="P318" s="169">
        <f>(INDEX(Models!$BJ318:$BT318,,T318)*(1-R318)+INDEX(Models!$BJ318:$BT318,,T318+1)*R318-ERP_i)*Q318*Ramure*Pc/MaxiM</f>
        <v>3.5163284662409816E-3</v>
      </c>
      <c r="Q318" s="304">
        <f t="shared" si="105"/>
        <v>0.6</v>
      </c>
      <c r="R318" s="177">
        <f t="shared" si="106"/>
        <v>0.49787742339934965</v>
      </c>
      <c r="S318" s="799">
        <f t="shared" si="107"/>
        <v>0</v>
      </c>
      <c r="T318" s="176">
        <f t="shared" si="108"/>
        <v>6</v>
      </c>
      <c r="U318" s="250">
        <f t="shared" si="109"/>
        <v>0.49787742339934965</v>
      </c>
      <c r="V318" s="382">
        <f t="shared" si="110"/>
        <v>32.817032392927864</v>
      </c>
      <c r="W318" s="400">
        <f t="shared" si="111"/>
        <v>0</v>
      </c>
      <c r="X318" s="157">
        <f t="shared" si="112"/>
        <v>44865</v>
      </c>
      <c r="Y318" s="383">
        <f t="shared" si="113"/>
        <v>21.304255292173753</v>
      </c>
      <c r="Z318" s="383">
        <f t="shared" si="114"/>
        <v>21.876896599204979</v>
      </c>
      <c r="AA318" s="384">
        <f t="shared" si="115"/>
        <v>24.013974011888003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8.8993075932582988E-2</v>
      </c>
      <c r="AD318" s="230">
        <f>(INDEX(Models!$BJ318:$BT318,,AH318)*(1-AF318)+INDEX(Models!$BJ318:$BT318,,AH318+1)*AF318-ERP_i)*AE318*Ramure*Pc/MaxiM</f>
        <v>3.5163284662409816E-3</v>
      </c>
      <c r="AE318" s="304">
        <f t="shared" si="117"/>
        <v>0.6</v>
      </c>
      <c r="AF318" s="177">
        <f t="shared" si="118"/>
        <v>0.49787742339934965</v>
      </c>
      <c r="AG318" s="799">
        <f t="shared" si="124"/>
        <v>0</v>
      </c>
      <c r="AH318" s="176">
        <f t="shared" si="119"/>
        <v>6</v>
      </c>
      <c r="AI318" s="224">
        <f t="shared" si="120"/>
        <v>0.49787742339934965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1153">
        <v>20.225999999999999</v>
      </c>
      <c r="C319" s="388"/>
      <c r="D319" s="391">
        <f t="shared" si="102"/>
        <v>20.770056722390887</v>
      </c>
      <c r="E319" s="383">
        <f t="shared" si="125"/>
        <v>21.289569746666455</v>
      </c>
      <c r="F319" s="383">
        <f t="shared" si="103"/>
        <v>21.32471235416536</v>
      </c>
      <c r="G319" s="110">
        <f t="shared" si="126"/>
        <v>0.62125957873721571</v>
      </c>
      <c r="H319" s="412" t="b">
        <f>Wh_hp&gt;='2021'!Maxi_hp</f>
        <v>0</v>
      </c>
      <c r="I319" s="379">
        <f>IF(H319,Wh_hp,'2021'!Maxi_hp)</f>
        <v>32.848992554762482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2.6194281973451528E-2</v>
      </c>
      <c r="M319" s="832"/>
      <c r="N319" s="832"/>
      <c r="O319" s="48">
        <f>IF(t&lt;Tnet,'2021'!Resal+('2021'!Salim-'2021'!Resal)*(1-EXP(('2021'!Tnet-t)/('2021'!Tau_j))),Resal+(Salim-Resal)*(1-EXP((Tnet-t)/(Tau_j))))*Salcycl</f>
        <v>2.4402232194331398E-2</v>
      </c>
      <c r="P319" s="169">
        <f>(INDEX(Models!$BJ319:$BT319,,T319)*(1-R319)+INDEX(Models!$BJ319:$BT319,,T319+1)*R319-ERP_i)*Q319*Ramure*Pc/MaxiM</f>
        <v>3.5774167377927058E-3</v>
      </c>
      <c r="Q319" s="304">
        <f t="shared" si="105"/>
        <v>0.6</v>
      </c>
      <c r="R319" s="177">
        <f t="shared" si="106"/>
        <v>0.49793365961149133</v>
      </c>
      <c r="S319" s="799">
        <f t="shared" si="107"/>
        <v>0</v>
      </c>
      <c r="T319" s="176">
        <f t="shared" si="108"/>
        <v>6</v>
      </c>
      <c r="U319" s="250">
        <f t="shared" si="109"/>
        <v>0.49793365961149133</v>
      </c>
      <c r="V319" s="382">
        <f t="shared" si="110"/>
        <v>32.493520257894886</v>
      </c>
      <c r="W319" s="400">
        <f t="shared" si="111"/>
        <v>0</v>
      </c>
      <c r="X319" s="157">
        <f t="shared" si="112"/>
        <v>44866</v>
      </c>
      <c r="Y319" s="383">
        <f t="shared" si="113"/>
        <v>18.88795871901295</v>
      </c>
      <c r="Z319" s="383">
        <f t="shared" si="114"/>
        <v>19.396023631171587</v>
      </c>
      <c r="AA319" s="384">
        <f t="shared" si="115"/>
        <v>21.289569746666455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8.8942432281486586E-2</v>
      </c>
      <c r="AD319" s="230">
        <f>(INDEX(Models!$BJ319:$BT319,,AH319)*(1-AF319)+INDEX(Models!$BJ319:$BT319,,AH319+1)*AF319-ERP_i)*AE319*Ramure*Pc/MaxiM</f>
        <v>3.5774167377927058E-3</v>
      </c>
      <c r="AE319" s="304">
        <f t="shared" si="117"/>
        <v>0.6</v>
      </c>
      <c r="AF319" s="177">
        <f t="shared" si="118"/>
        <v>0.49793365961149133</v>
      </c>
      <c r="AG319" s="799">
        <f t="shared" si="124"/>
        <v>0</v>
      </c>
      <c r="AH319" s="176">
        <f t="shared" si="119"/>
        <v>6</v>
      </c>
      <c r="AI319" s="224">
        <f t="shared" si="120"/>
        <v>0.49793365961149133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1153">
        <v>30.006</v>
      </c>
      <c r="C320" s="388"/>
      <c r="D320" s="391">
        <f t="shared" si="102"/>
        <v>30.813718294830903</v>
      </c>
      <c r="E320" s="383">
        <f t="shared" si="125"/>
        <v>31.586191437250775</v>
      </c>
      <c r="F320" s="383">
        <f t="shared" si="103"/>
        <v>31.690418579569595</v>
      </c>
      <c r="G320" s="110">
        <f t="shared" si="126"/>
        <v>0.93234708129141031</v>
      </c>
      <c r="H320" s="412" t="b">
        <f>Wh_hp&gt;='2021'!Maxi_hp</f>
        <v>1</v>
      </c>
      <c r="I320" s="379">
        <f>IF(H320,Wh_hp,'2021'!Maxi_hp)</f>
        <v>31.690418579569595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2.621294473787672E-2</v>
      </c>
      <c r="M320" s="832"/>
      <c r="N320" s="832"/>
      <c r="O320" s="48">
        <f>IF(t&lt;Tnet,'2021'!Resal+('2021'!Salim-'2021'!Resal)*(1-EXP(('2021'!Tnet-t)/('2021'!Tau_j))),Resal+(Salim-Resal)*(1-EXP((Tnet-t)/(Tau_j))))*Salcycl</f>
        <v>2.4456039404258962E-2</v>
      </c>
      <c r="P320" s="169">
        <f>(INDEX(Models!$BJ320:$BT320,,T320)*(1-R320)+INDEX(Models!$BJ320:$BT320,,T320+1)*R320-ERP_i)*Q320*Ramure*Pc/MaxiM</f>
        <v>3.6389032434953569E-3</v>
      </c>
      <c r="Q320" s="304">
        <f t="shared" si="105"/>
        <v>0.6</v>
      </c>
      <c r="R320" s="177">
        <f t="shared" si="106"/>
        <v>0.49798764350084546</v>
      </c>
      <c r="S320" s="799">
        <f t="shared" si="107"/>
        <v>0</v>
      </c>
      <c r="T320" s="176">
        <f t="shared" si="108"/>
        <v>6</v>
      </c>
      <c r="U320" s="250">
        <f t="shared" si="109"/>
        <v>0.49798764350084546</v>
      </c>
      <c r="V320" s="382">
        <f t="shared" si="110"/>
        <v>32.171992864187601</v>
      </c>
      <c r="W320" s="400">
        <f t="shared" si="111"/>
        <v>0</v>
      </c>
      <c r="X320" s="157">
        <f t="shared" si="112"/>
        <v>44867</v>
      </c>
      <c r="Y320" s="383">
        <f t="shared" si="113"/>
        <v>28.024072809251596</v>
      </c>
      <c r="Z320" s="383">
        <f t="shared" si="114"/>
        <v>28.778440479174471</v>
      </c>
      <c r="AA320" s="384">
        <f t="shared" si="115"/>
        <v>31.586191437250775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8.8891722310180721E-2</v>
      </c>
      <c r="AD320" s="230">
        <f>(INDEX(Models!$BJ320:$BT320,,AH320)*(1-AF320)+INDEX(Models!$BJ320:$BT320,,AH320+1)*AF320-ERP_i)*AE320*Ramure*Pc/MaxiM</f>
        <v>3.6389032434953569E-3</v>
      </c>
      <c r="AE320" s="304">
        <f t="shared" si="117"/>
        <v>0.6</v>
      </c>
      <c r="AF320" s="177">
        <f t="shared" si="118"/>
        <v>0.49798764350084546</v>
      </c>
      <c r="AG320" s="799">
        <f t="shared" si="124"/>
        <v>0</v>
      </c>
      <c r="AH320" s="176">
        <f t="shared" si="119"/>
        <v>6</v>
      </c>
      <c r="AI320" s="224">
        <f t="shared" si="120"/>
        <v>0.49798764350084546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1153">
        <v>10.532999999999999</v>
      </c>
      <c r="C321" s="388"/>
      <c r="D321" s="391">
        <f t="shared" si="102"/>
        <v>10.816740487041534</v>
      </c>
      <c r="E321" s="383">
        <f t="shared" si="125"/>
        <v>11.088516659055687</v>
      </c>
      <c r="F321" s="383">
        <f t="shared" si="103"/>
        <v>11.090315378463014</v>
      </c>
      <c r="G321" s="110">
        <f t="shared" si="126"/>
        <v>0.32950745036953233</v>
      </c>
      <c r="H321" s="412" t="b">
        <f>Wh_hp&gt;='2021'!Maxi_hp</f>
        <v>0</v>
      </c>
      <c r="I321" s="379">
        <f>IF(H321,Wh_hp,'2021'!Maxi_hp)</f>
        <v>29.614967506581426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2.623160714463435E-2</v>
      </c>
      <c r="M321" s="832"/>
      <c r="N321" s="832"/>
      <c r="O321" s="48">
        <f>IF(t&lt;Tnet,'2021'!Resal+('2021'!Salim-'2021'!Resal)*(1-EXP(('2021'!Tnet-t)/('2021'!Tau_j))),Resal+(Salim-Resal)*(1-EXP((Tnet-t)/(Tau_j))))*Salcycl</f>
        <v>2.4509695964807145E-2</v>
      </c>
      <c r="P321" s="169">
        <f>(INDEX(Models!$BJ321:$BT321,,T321)*(1-R321)+INDEX(Models!$BJ321:$BT321,,T321+1)*R321-ERP_i)*Q321*Ramure*Pc/MaxiM</f>
        <v>3.7007837251671178E-3</v>
      </c>
      <c r="Q321" s="304">
        <f t="shared" si="105"/>
        <v>0.6</v>
      </c>
      <c r="R321" s="177">
        <f t="shared" si="106"/>
        <v>0.49803946481623868</v>
      </c>
      <c r="S321" s="799">
        <f t="shared" si="107"/>
        <v>0</v>
      </c>
      <c r="T321" s="176">
        <f t="shared" si="108"/>
        <v>6</v>
      </c>
      <c r="U321" s="250">
        <f t="shared" si="109"/>
        <v>0.49803946481623868</v>
      </c>
      <c r="V321" s="382">
        <f t="shared" si="110"/>
        <v>31.852760587228396</v>
      </c>
      <c r="W321" s="400">
        <f t="shared" si="111"/>
        <v>0</v>
      </c>
      <c r="X321" s="157">
        <f t="shared" si="112"/>
        <v>44868</v>
      </c>
      <c r="Y321" s="383">
        <f t="shared" si="113"/>
        <v>9.8383728803267498</v>
      </c>
      <c r="Z321" s="383">
        <f t="shared" si="114"/>
        <v>10.103401334970265</v>
      </c>
      <c r="AA321" s="384">
        <f t="shared" si="115"/>
        <v>11.088516659055687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8.8841037478254975E-2</v>
      </c>
      <c r="AD321" s="230">
        <f>(INDEX(Models!$BJ321:$BT321,,AH321)*(1-AF321)+INDEX(Models!$BJ321:$BT321,,AH321+1)*AF321-ERP_i)*AE321*Ramure*Pc/MaxiM</f>
        <v>3.7007837251671178E-3</v>
      </c>
      <c r="AE321" s="304">
        <f t="shared" si="117"/>
        <v>0.6</v>
      </c>
      <c r="AF321" s="177">
        <f t="shared" si="118"/>
        <v>0.49803946481623868</v>
      </c>
      <c r="AG321" s="799">
        <f t="shared" si="124"/>
        <v>0</v>
      </c>
      <c r="AH321" s="176">
        <f t="shared" si="119"/>
        <v>6</v>
      </c>
      <c r="AI321" s="224">
        <f t="shared" si="120"/>
        <v>0.49803946481623868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1153">
        <v>18.190999999999999</v>
      </c>
      <c r="C322" s="388"/>
      <c r="D322" s="391">
        <f t="shared" si="102"/>
        <v>18.681391557292422</v>
      </c>
      <c r="E322" s="383">
        <f t="shared" si="125"/>
        <v>19.151822124882301</v>
      </c>
      <c r="F322" s="383">
        <f t="shared" si="103"/>
        <v>19.180366016674423</v>
      </c>
      <c r="G322" s="110">
        <f t="shared" si="126"/>
        <v>0.57551621104280237</v>
      </c>
      <c r="H322" s="412" t="b">
        <f>Wh_hp&gt;='2021'!Maxi_hp</f>
        <v>1</v>
      </c>
      <c r="I322" s="379">
        <f>IF(H322,Wh_hp,'2021'!Maxi_hp)</f>
        <v>19.180366016674423</v>
      </c>
      <c r="J322" s="85">
        <f>IF(H322,An,'2021'!An_max)</f>
        <v>2022</v>
      </c>
      <c r="K322" s="197">
        <f t="shared" si="104"/>
        <v>44869</v>
      </c>
      <c r="L322" s="147">
        <f>IF(t&lt;Tvie,1-EXP((T0-t)*PertePVj)+'2021'!Pspv,1-EXP((T0-t)*PertePVj)+Pspv)</f>
        <v>2.6250269193731079E-2</v>
      </c>
      <c r="M322" s="832"/>
      <c r="N322" s="832"/>
      <c r="O322" s="48">
        <f>IF(t&lt;Tnet,'2021'!Resal+('2021'!Salim-'2021'!Resal)*(1-EXP(('2021'!Tnet-t)/('2021'!Tau_j))),Resal+(Salim-Resal)*(1-EXP((Tnet-t)/(Tau_j))))*Salcycl</f>
        <v>2.4563227693029311E-2</v>
      </c>
      <c r="P322" s="169">
        <f>(INDEX(Models!$BJ322:$BT322,,T322)*(1-R322)+INDEX(Models!$BJ322:$BT322,,T322+1)*R322-ERP_i)*Q322*Ramure*Pc/MaxiM</f>
        <v>3.7630551519916692E-3</v>
      </c>
      <c r="Q322" s="304">
        <f t="shared" si="105"/>
        <v>0.6</v>
      </c>
      <c r="R322" s="177">
        <f t="shared" si="106"/>
        <v>0.49808920976641102</v>
      </c>
      <c r="S322" s="799">
        <f t="shared" si="107"/>
        <v>0</v>
      </c>
      <c r="T322" s="176">
        <f t="shared" si="108"/>
        <v>6</v>
      </c>
      <c r="U322" s="250">
        <f t="shared" si="109"/>
        <v>0.49808920976641102</v>
      </c>
      <c r="V322" s="382">
        <f t="shared" si="110"/>
        <v>31.536133602609922</v>
      </c>
      <c r="W322" s="400">
        <f t="shared" si="111"/>
        <v>0</v>
      </c>
      <c r="X322" s="157">
        <f t="shared" si="112"/>
        <v>44869</v>
      </c>
      <c r="Y322" s="383">
        <f t="shared" si="113"/>
        <v>16.993220914993493</v>
      </c>
      <c r="Z322" s="383">
        <f t="shared" si="114"/>
        <v>17.451322837258228</v>
      </c>
      <c r="AA322" s="384">
        <f t="shared" si="115"/>
        <v>19.151822124882301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8.8790469989524543E-2</v>
      </c>
      <c r="AD322" s="230">
        <f>(INDEX(Models!$BJ322:$BT322,,AH322)*(1-AF322)+INDEX(Models!$BJ322:$BT322,,AH322+1)*AF322-ERP_i)*AE322*Ramure*Pc/MaxiM</f>
        <v>3.7630551519916692E-3</v>
      </c>
      <c r="AE322" s="304">
        <f t="shared" si="117"/>
        <v>0.6</v>
      </c>
      <c r="AF322" s="177">
        <f t="shared" si="118"/>
        <v>0.49808920976641102</v>
      </c>
      <c r="AG322" s="799">
        <f t="shared" si="124"/>
        <v>0</v>
      </c>
      <c r="AH322" s="176">
        <f t="shared" si="119"/>
        <v>6</v>
      </c>
      <c r="AI322" s="224">
        <f t="shared" si="120"/>
        <v>0.49808920976641102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1153">
        <v>30.987000000000002</v>
      </c>
      <c r="C323" s="388"/>
      <c r="D323" s="391">
        <f t="shared" si="102"/>
        <v>31.822955005604221</v>
      </c>
      <c r="E323" s="383">
        <f t="shared" si="125"/>
        <v>32.626100657990271</v>
      </c>
      <c r="F323" s="383">
        <f t="shared" si="103"/>
        <v>32.750043405506759</v>
      </c>
      <c r="G323" s="110">
        <f t="shared" si="126"/>
        <v>0.99241879123715793</v>
      </c>
      <c r="H323" s="412" t="b">
        <f>Wh_hp&gt;='2021'!Maxi_hp</f>
        <v>1</v>
      </c>
      <c r="I323" s="379">
        <f>IF(H323,Wh_hp,'2021'!Maxi_hp)</f>
        <v>32.750043405506759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2.6268930885174013E-2</v>
      </c>
      <c r="M323" s="832"/>
      <c r="N323" s="832"/>
      <c r="O323" s="48">
        <f>IF(t&lt;Tnet,'2021'!Resal+('2021'!Salim-'2021'!Resal)*(1-EXP(('2021'!Tnet-t)/('2021'!Tau_j))),Resal+(Salim-Resal)*(1-EXP((Tnet-t)/(Tau_j))))*Salcycl</f>
        <v>2.4616660777369292E-2</v>
      </c>
      <c r="P323" s="169">
        <f>(INDEX(Models!$BJ323:$BT323,,T323)*(1-R323)+INDEX(Models!$BJ323:$BT323,,T323+1)*R323-ERP_i)*Q323*Ramure*Pc/MaxiM</f>
        <v>3.8257156276371362E-3</v>
      </c>
      <c r="Q323" s="304">
        <f t="shared" si="105"/>
        <v>0.6</v>
      </c>
      <c r="R323" s="177">
        <f t="shared" si="106"/>
        <v>0.49813696115680045</v>
      </c>
      <c r="S323" s="799">
        <f t="shared" si="107"/>
        <v>0</v>
      </c>
      <c r="T323" s="176">
        <f t="shared" si="108"/>
        <v>6</v>
      </c>
      <c r="U323" s="250">
        <f t="shared" si="109"/>
        <v>0.49813696115680045</v>
      </c>
      <c r="V323" s="382">
        <f t="shared" si="110"/>
        <v>31.222421895868052</v>
      </c>
      <c r="W323" s="400">
        <f t="shared" si="111"/>
        <v>0</v>
      </c>
      <c r="X323" s="157">
        <f t="shared" si="112"/>
        <v>44870</v>
      </c>
      <c r="Y323" s="383">
        <f t="shared" si="113"/>
        <v>28.949858996156756</v>
      </c>
      <c r="Z323" s="383">
        <f t="shared" si="114"/>
        <v>29.730856819094555</v>
      </c>
      <c r="AA323" s="384">
        <f t="shared" si="115"/>
        <v>32.626100657990271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8.8740112379524005E-2</v>
      </c>
      <c r="AD323" s="230">
        <f>(INDEX(Models!$BJ323:$BT323,,AH323)*(1-AF323)+INDEX(Models!$BJ323:$BT323,,AH323+1)*AF323-ERP_i)*AE323*Ramure*Pc/MaxiM</f>
        <v>3.8257156276371362E-3</v>
      </c>
      <c r="AE323" s="304">
        <f t="shared" si="117"/>
        <v>0.6</v>
      </c>
      <c r="AF323" s="177">
        <f t="shared" si="118"/>
        <v>0.49813696115680045</v>
      </c>
      <c r="AG323" s="799">
        <f t="shared" si="124"/>
        <v>0</v>
      </c>
      <c r="AH323" s="176">
        <f t="shared" si="119"/>
        <v>6</v>
      </c>
      <c r="AI323" s="224">
        <f t="shared" si="120"/>
        <v>0.49813696115680045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1153">
        <v>30.943000000000001</v>
      </c>
      <c r="C324" s="388"/>
      <c r="D324" s="391">
        <f t="shared" si="102"/>
        <v>31.778377016387477</v>
      </c>
      <c r="E324" s="383">
        <f t="shared" si="125"/>
        <v>32.582180105367335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Wh_hp&gt;='2021'!Maxi_hp</f>
        <v>1</v>
      </c>
      <c r="I324" s="379">
        <f>IF(H324,Wh_hp,'2021'!Maxi_hp)</f>
        <v>32.709345157525121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2.6287592218969813E-2</v>
      </c>
      <c r="M324" s="832"/>
      <c r="N324" s="832"/>
      <c r="O324" s="48">
        <f>IF(t&lt;Tnet,'2021'!Resal+('2021'!Salim-'2021'!Resal)*(1-EXP(('2021'!Tnet-t)/('2021'!Tau_j))),Resal+(Salim-Resal)*(1-EXP((Tnet-t)/(Tau_j))))*Salcycl</f>
        <v>2.467002166154765E-2</v>
      </c>
      <c r="P324" s="169">
        <f>(INDEX(Models!$BJ324:$BT324,,T324)*(1-R324)+INDEX(Models!$BJ324:$BT324,,T324+1)*R324-ERP_i)*Q324*Ramure*Pc/MaxiM</f>
        <v>3.8877284624737689E-3</v>
      </c>
      <c r="Q324" s="304">
        <f t="shared" si="105"/>
        <v>0.6</v>
      </c>
      <c r="R324" s="177">
        <f t="shared" si="106"/>
        <v>0.49818279852126962</v>
      </c>
      <c r="S324" s="799">
        <f t="shared" si="107"/>
        <v>0</v>
      </c>
      <c r="T324" s="176">
        <f t="shared" si="108"/>
        <v>6</v>
      </c>
      <c r="U324" s="250">
        <f t="shared" si="109"/>
        <v>0.49818279852126962</v>
      </c>
      <c r="V324" s="382">
        <f t="shared" si="110"/>
        <v>30.911967410087094</v>
      </c>
      <c r="W324" s="400">
        <f t="shared" si="111"/>
        <v>0</v>
      </c>
      <c r="X324" s="157">
        <f t="shared" si="112"/>
        <v>44871</v>
      </c>
      <c r="Y324" s="383">
        <f t="shared" si="113"/>
        <v>28.91192128770675</v>
      </c>
      <c r="Z324" s="383">
        <f t="shared" si="114"/>
        <v>29.692464691492873</v>
      </c>
      <c r="AA324" s="384">
        <f t="shared" si="115"/>
        <v>32.582180105367335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8.8690057096530328E-2</v>
      </c>
      <c r="AD324" s="230">
        <f>(INDEX(Models!$BJ324:$BT324,,AH324)*(1-AF324)+INDEX(Models!$BJ324:$BT324,,AH324+1)*AF324-ERP_i)*AE324*Ramure*Pc/MaxiM</f>
        <v>3.8877284624737689E-3</v>
      </c>
      <c r="AE324" s="304">
        <f t="shared" si="117"/>
        <v>0.6</v>
      </c>
      <c r="AF324" s="177">
        <f t="shared" si="118"/>
        <v>0.49818279852126962</v>
      </c>
      <c r="AG324" s="799">
        <f t="shared" si="124"/>
        <v>0</v>
      </c>
      <c r="AH324" s="176">
        <f t="shared" si="119"/>
        <v>6</v>
      </c>
      <c r="AI324" s="224">
        <f t="shared" si="120"/>
        <v>0.49818279852126962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1153">
        <v>29.025000000000002</v>
      </c>
      <c r="C325" s="388"/>
      <c r="D325" s="391">
        <f t="shared" si="102"/>
        <v>29.809167508001394</v>
      </c>
      <c r="E325" s="383">
        <f t="shared" si="125"/>
        <v>30.564832151351887</v>
      </c>
      <c r="F325" s="383">
        <f t="shared" si="103"/>
        <v>30.677102433110111</v>
      </c>
      <c r="G325" s="110">
        <f t="shared" si="126"/>
        <v>0.94809658526331875</v>
      </c>
      <c r="H325" s="412" t="b">
        <f>Wh_hp&gt;='2021'!Maxi_hp</f>
        <v>1</v>
      </c>
      <c r="I325" s="379">
        <f>IF(H325,Wh_hp,'2021'!Maxi_hp)</f>
        <v>30.677102433110111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2.6306253195125473E-2</v>
      </c>
      <c r="M325" s="832"/>
      <c r="N325" s="832"/>
      <c r="O325" s="48">
        <f>IF(t&lt;Tnet,'2021'!Resal+('2021'!Salim-'2021'!Resal)*(1-EXP(('2021'!Tnet-t)/('2021'!Tau_j))),Resal+(Salim-Resal)*(1-EXP((Tnet-t)/(Tau_j))))*Salcycl</f>
        <v>2.4723336925541357E-2</v>
      </c>
      <c r="P325" s="169">
        <f>(INDEX(Models!$BJ325:$BT325,,T325)*(1-R325)+INDEX(Models!$BJ325:$BT325,,T325+1)*R325-ERP_i)*Q325*Ramure*Pc/MaxiM</f>
        <v>3.9511448583867577E-3</v>
      </c>
      <c r="Q325" s="304">
        <f t="shared" si="105"/>
        <v>0.6</v>
      </c>
      <c r="R325" s="177">
        <f t="shared" si="106"/>
        <v>0.49822679824894073</v>
      </c>
      <c r="S325" s="799">
        <f t="shared" si="107"/>
        <v>0</v>
      </c>
      <c r="T325" s="176">
        <f t="shared" si="108"/>
        <v>6</v>
      </c>
      <c r="U325" s="250">
        <f t="shared" si="109"/>
        <v>0.49822679824894073</v>
      </c>
      <c r="V325" s="382">
        <f t="shared" si="110"/>
        <v>30.605015793579032</v>
      </c>
      <c r="W325" s="400">
        <f t="shared" si="111"/>
        <v>0</v>
      </c>
      <c r="X325" s="157">
        <f t="shared" si="112"/>
        <v>44872</v>
      </c>
      <c r="Y325" s="383">
        <f t="shared" si="113"/>
        <v>27.122778084753126</v>
      </c>
      <c r="Z325" s="383">
        <f t="shared" si="114"/>
        <v>27.85555332336796</v>
      </c>
      <c r="AA325" s="384">
        <f t="shared" si="115"/>
        <v>30.564832151351887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8.8640396078998124E-2</v>
      </c>
      <c r="AD325" s="230">
        <f>(INDEX(Models!$BJ325:$BT325,,AH325)*(1-AF325)+INDEX(Models!$BJ325:$BT325,,AH325+1)*AF325-ERP_i)*AE325*Ramure*Pc/MaxiM</f>
        <v>3.9511448583867577E-3</v>
      </c>
      <c r="AE325" s="304">
        <f t="shared" si="117"/>
        <v>0.6</v>
      </c>
      <c r="AF325" s="177">
        <f t="shared" si="118"/>
        <v>0.49822679824894073</v>
      </c>
      <c r="AG325" s="799">
        <f t="shared" si="124"/>
        <v>0</v>
      </c>
      <c r="AH325" s="176">
        <f t="shared" si="119"/>
        <v>6</v>
      </c>
      <c r="AI325" s="224">
        <f t="shared" si="120"/>
        <v>0.49822679824894073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1153">
        <v>20.931000000000001</v>
      </c>
      <c r="C326" s="388"/>
      <c r="D326" s="391">
        <f t="shared" si="102"/>
        <v>21.496904148982203</v>
      </c>
      <c r="E326" s="383">
        <f t="shared" si="125"/>
        <v>22.043056883200748</v>
      </c>
      <c r="F326" s="383">
        <f t="shared" si="103"/>
        <v>22.092583263847089</v>
      </c>
      <c r="G326" s="110">
        <f t="shared" si="126"/>
        <v>0.68952099800773914</v>
      </c>
      <c r="H326" s="412" t="b">
        <f>Wh_hp&gt;='2021'!Maxi_hp</f>
        <v>0</v>
      </c>
      <c r="I326" s="379">
        <f>IF(H326,Wh_hp,'2021'!Maxi_hp)</f>
        <v>24.301685975957074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2.6324913813647766E-2</v>
      </c>
      <c r="M326" s="832"/>
      <c r="N326" s="832"/>
      <c r="O326" s="48">
        <f>IF(t&lt;Tnet,'2021'!Resal+('2021'!Salim-'2021'!Resal)*(1-EXP(('2021'!Tnet-t)/('2021'!Tau_j))),Resal+(Salim-Resal)*(1-EXP((Tnet-t)/(Tau_j))))*Salcycl</f>
        <v>2.4776633164466953E-2</v>
      </c>
      <c r="P326" s="169">
        <f>(INDEX(Models!$BJ326:$BT326,,T326)*(1-R326)+INDEX(Models!$BJ326:$BT326,,T326+1)*R326-ERP_i)*Q326*Ramure*Pc/MaxiM</f>
        <v>4.0159652420899434E-3</v>
      </c>
      <c r="Q326" s="304">
        <f t="shared" si="105"/>
        <v>0.6</v>
      </c>
      <c r="R326" s="177">
        <f t="shared" si="106"/>
        <v>0.49826903370630676</v>
      </c>
      <c r="S326" s="799">
        <f t="shared" si="107"/>
        <v>0</v>
      </c>
      <c r="T326" s="176">
        <f t="shared" si="108"/>
        <v>6</v>
      </c>
      <c r="U326" s="250">
        <f t="shared" si="109"/>
        <v>0.49826903370630676</v>
      </c>
      <c r="V326" s="382">
        <f t="shared" si="110"/>
        <v>30.301877446866499</v>
      </c>
      <c r="W326" s="400">
        <f t="shared" si="111"/>
        <v>0</v>
      </c>
      <c r="X326" s="157">
        <f t="shared" si="112"/>
        <v>44873</v>
      </c>
      <c r="Y326" s="383">
        <f t="shared" si="113"/>
        <v>19.56136185407966</v>
      </c>
      <c r="Z326" s="383">
        <f t="shared" si="114"/>
        <v>20.090235574062742</v>
      </c>
      <c r="AA326" s="384">
        <f t="shared" si="115"/>
        <v>22.043056883200748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8.8591220332343054E-2</v>
      </c>
      <c r="AD326" s="230">
        <f>(INDEX(Models!$BJ326:$BT326,,AH326)*(1-AF326)+INDEX(Models!$BJ326:$BT326,,AH326+1)*AF326-ERP_i)*AE326*Ramure*Pc/MaxiM</f>
        <v>4.0159652420899434E-3</v>
      </c>
      <c r="AE326" s="304">
        <f t="shared" si="117"/>
        <v>0.6</v>
      </c>
      <c r="AF326" s="177">
        <f t="shared" si="118"/>
        <v>0.49826903370630676</v>
      </c>
      <c r="AG326" s="799">
        <f t="shared" si="124"/>
        <v>0</v>
      </c>
      <c r="AH326" s="176">
        <f t="shared" si="119"/>
        <v>6</v>
      </c>
      <c r="AI326" s="224">
        <f t="shared" si="120"/>
        <v>0.49826903370630676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1153">
        <v>10.31</v>
      </c>
      <c r="C327" s="388"/>
      <c r="D327" s="391">
        <f t="shared" si="102"/>
        <v>10.588950810035877</v>
      </c>
      <c r="E327" s="383">
        <f t="shared" si="125"/>
        <v>10.858568377301621</v>
      </c>
      <c r="F327" s="383">
        <f t="shared" si="103"/>
        <v>10.861332148498541</v>
      </c>
      <c r="G327" s="110">
        <f t="shared" si="126"/>
        <v>0.34231820447957606</v>
      </c>
      <c r="H327" s="412" t="b">
        <f>Wh_hp&gt;='2021'!Maxi_hp</f>
        <v>0</v>
      </c>
      <c r="I327" s="379">
        <f>IF(H327,Wh_hp,'2021'!Maxi_hp)</f>
        <v>24.305673600704964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2.6343574074543463E-2</v>
      </c>
      <c r="M327" s="832"/>
      <c r="N327" s="832"/>
      <c r="O327" s="48">
        <f>IF(t&lt;Tnet,'2021'!Resal+('2021'!Salim-'2021'!Resal)*(1-EXP(('2021'!Tnet-t)/('2021'!Tau_j))),Resal+(Salim-Resal)*(1-EXP((Tnet-t)/(Tau_j))))*Salcycl</f>
        <v>2.48299368662026E-2</v>
      </c>
      <c r="P327" s="169">
        <f>(INDEX(Models!$BJ327:$BT327,,T327)*(1-R327)+INDEX(Models!$BJ327:$BT327,,T327+1)*R327-ERP_i)*Q327*Ramure*Pc/MaxiM</f>
        <v>4.0821901202013145E-3</v>
      </c>
      <c r="Q327" s="304">
        <f t="shared" si="105"/>
        <v>0.6</v>
      </c>
      <c r="R327" s="177">
        <f t="shared" si="106"/>
        <v>0.49830957535477627</v>
      </c>
      <c r="S327" s="799">
        <f t="shared" si="107"/>
        <v>0</v>
      </c>
      <c r="T327" s="176">
        <f t="shared" si="108"/>
        <v>6</v>
      </c>
      <c r="U327" s="250">
        <f t="shared" si="109"/>
        <v>0.49830957535477627</v>
      </c>
      <c r="V327" s="382">
        <f t="shared" si="110"/>
        <v>30.002862600711445</v>
      </c>
      <c r="W327" s="400">
        <f t="shared" si="111"/>
        <v>0</v>
      </c>
      <c r="X327" s="157">
        <f t="shared" si="112"/>
        <v>44874</v>
      </c>
      <c r="Y327" s="383">
        <f t="shared" si="113"/>
        <v>9.6363967149213181</v>
      </c>
      <c r="Z327" s="383">
        <f t="shared" si="114"/>
        <v>9.8971222890682018</v>
      </c>
      <c r="AA327" s="384">
        <f t="shared" si="115"/>
        <v>10.858568377301621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8.8542619508036949E-2</v>
      </c>
      <c r="AD327" s="230">
        <f>(INDEX(Models!$BJ327:$BT327,,AH327)*(1-AF327)+INDEX(Models!$BJ327:$BT327,,AH327+1)*AF327-ERP_i)*AE327*Ramure*Pc/MaxiM</f>
        <v>4.0821901202013145E-3</v>
      </c>
      <c r="AE327" s="304">
        <f t="shared" si="117"/>
        <v>0.6</v>
      </c>
      <c r="AF327" s="177">
        <f t="shared" si="118"/>
        <v>0.49830957535477627</v>
      </c>
      <c r="AG327" s="799">
        <f t="shared" si="124"/>
        <v>0</v>
      </c>
      <c r="AH327" s="176">
        <f t="shared" si="119"/>
        <v>6</v>
      </c>
      <c r="AI327" s="224">
        <f t="shared" si="120"/>
        <v>0.49830957535477627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1153">
        <v>20.817</v>
      </c>
      <c r="C328" s="388"/>
      <c r="D328" s="391">
        <f t="shared" si="102"/>
        <v>21.38064147311</v>
      </c>
      <c r="E328" s="383">
        <f t="shared" si="125"/>
        <v>21.926238069100641</v>
      </c>
      <c r="F328" s="383">
        <f t="shared" si="103"/>
        <v>21.978449121102202</v>
      </c>
      <c r="G328" s="110">
        <f t="shared" si="126"/>
        <v>0.69946749825420429</v>
      </c>
      <c r="H328" s="412" t="b">
        <f>Wh_hp&gt;='2021'!Maxi_hp</f>
        <v>1</v>
      </c>
      <c r="I328" s="379">
        <f>IF(H328,Wh_hp,'2021'!Maxi_hp)</f>
        <v>21.978449121102202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2.6362233977819671E-2</v>
      </c>
      <c r="M328" s="832"/>
      <c r="N328" s="832"/>
      <c r="O328" s="48">
        <f>IF(t&lt;Tnet,'2021'!Resal+('2021'!Salim-'2021'!Resal)*(1-EXP(('2021'!Tnet-t)/('2021'!Tau_j))),Resal+(Salim-Resal)*(1-EXP((Tnet-t)/(Tau_j))))*Salcycl</f>
        <v>2.4883274288603003E-2</v>
      </c>
      <c r="P328" s="169">
        <f>(INDEX(Models!$BJ328:$BT328,,T328)*(1-R328)+INDEX(Models!$BJ328:$BT328,,T328+1)*R328-ERP_i)*Q328*Ramure*Pc/MaxiM</f>
        <v>4.1498198086467007E-3</v>
      </c>
      <c r="Q328" s="304">
        <f t="shared" si="105"/>
        <v>0.6</v>
      </c>
      <c r="R328" s="177">
        <f t="shared" si="106"/>
        <v>0.49834849086381144</v>
      </c>
      <c r="S328" s="799">
        <f t="shared" si="107"/>
        <v>0</v>
      </c>
      <c r="T328" s="176">
        <f t="shared" si="108"/>
        <v>6</v>
      </c>
      <c r="U328" s="250">
        <f t="shared" si="109"/>
        <v>0.49834849086381144</v>
      </c>
      <c r="V328" s="382">
        <f t="shared" si="110"/>
        <v>29.708281323931299</v>
      </c>
      <c r="W328" s="400">
        <f t="shared" si="111"/>
        <v>0</v>
      </c>
      <c r="X328" s="157">
        <f t="shared" si="112"/>
        <v>44875</v>
      </c>
      <c r="Y328" s="383">
        <f t="shared" si="113"/>
        <v>19.459010101197524</v>
      </c>
      <c r="Z328" s="383">
        <f t="shared" si="114"/>
        <v>19.985882614945968</v>
      </c>
      <c r="AA328" s="384">
        <f t="shared" si="115"/>
        <v>21.926238069100641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8.8494681487979593E-2</v>
      </c>
      <c r="AD328" s="230">
        <f>(INDEX(Models!$BJ328:$BT328,,AH328)*(1-AF328)+INDEX(Models!$BJ328:$BT328,,AH328+1)*AF328-ERP_i)*AE328*Ramure*Pc/MaxiM</f>
        <v>4.1498198086467007E-3</v>
      </c>
      <c r="AE328" s="304">
        <f t="shared" si="117"/>
        <v>0.6</v>
      </c>
      <c r="AF328" s="177">
        <f t="shared" si="118"/>
        <v>0.49834849086381144</v>
      </c>
      <c r="AG328" s="799">
        <f t="shared" si="124"/>
        <v>0</v>
      </c>
      <c r="AH328" s="176">
        <f t="shared" si="119"/>
        <v>6</v>
      </c>
      <c r="AI328" s="224">
        <f t="shared" si="120"/>
        <v>0.49834849086381144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1153">
        <v>28.475999999999999</v>
      </c>
      <c r="C329" s="388"/>
      <c r="D329" s="391">
        <f t="shared" si="102"/>
        <v>29.247577220473147</v>
      </c>
      <c r="E329" s="383">
        <f t="shared" si="125"/>
        <v>29.995566811626894</v>
      </c>
      <c r="F329" s="383">
        <f t="shared" si="103"/>
        <v>30.116810356519398</v>
      </c>
      <c r="G329" s="110">
        <f t="shared" si="126"/>
        <v>0.96777654702135207</v>
      </c>
      <c r="H329" s="412" t="b">
        <f>Wh_hp&gt;='2021'!Maxi_hp</f>
        <v>1</v>
      </c>
      <c r="I329" s="379">
        <f>IF(H329,Wh_hp,'2021'!Maxi_hp)</f>
        <v>30.116810356519398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2.638089352348294E-2</v>
      </c>
      <c r="M329" s="832"/>
      <c r="N329" s="832"/>
      <c r="O329" s="48">
        <f>IF(t&lt;Tnet,'2021'!Resal+('2021'!Salim-'2021'!Resal)*(1-EXP(('2021'!Tnet-t)/('2021'!Tau_j))),Resal+(Salim-Resal)*(1-EXP((Tnet-t)/(Tau_j))))*Salcycl</f>
        <v>2.4936671337172825E-2</v>
      </c>
      <c r="P329" s="169">
        <f>(INDEX(Models!$BJ329:$BT329,,T329)*(1-R329)+INDEX(Models!$BJ329:$BT329,,T329+1)*R329-ERP_i)*Q329*Ramure*Pc/MaxiM</f>
        <v>4.218854115460015E-3</v>
      </c>
      <c r="Q329" s="304">
        <f t="shared" si="105"/>
        <v>0.6</v>
      </c>
      <c r="R329" s="177">
        <f t="shared" si="106"/>
        <v>0.49838584521980855</v>
      </c>
      <c r="S329" s="799">
        <f t="shared" si="107"/>
        <v>0</v>
      </c>
      <c r="T329" s="176">
        <f t="shared" si="108"/>
        <v>6</v>
      </c>
      <c r="U329" s="250">
        <f t="shared" si="109"/>
        <v>0.49838584521980855</v>
      </c>
      <c r="V329" s="382">
        <f t="shared" si="110"/>
        <v>29.418443527671485</v>
      </c>
      <c r="W329" s="400">
        <f t="shared" si="111"/>
        <v>0</v>
      </c>
      <c r="X329" s="157">
        <f t="shared" si="112"/>
        <v>44876</v>
      </c>
      <c r="Y329" s="383">
        <f t="shared" si="113"/>
        <v>26.621213674456939</v>
      </c>
      <c r="Z329" s="383">
        <f t="shared" si="114"/>
        <v>27.342534156707227</v>
      </c>
      <c r="AA329" s="384">
        <f t="shared" si="115"/>
        <v>29.995566811626894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8.8447491977091022E-2</v>
      </c>
      <c r="AD329" s="230">
        <f>(INDEX(Models!$BJ329:$BT329,,AH329)*(1-AF329)+INDEX(Models!$BJ329:$BT329,,AH329+1)*AF329-ERP_i)*AE329*Ramure*Pc/MaxiM</f>
        <v>4.218854115460015E-3</v>
      </c>
      <c r="AE329" s="304">
        <f t="shared" si="117"/>
        <v>0.6</v>
      </c>
      <c r="AF329" s="177">
        <f t="shared" si="118"/>
        <v>0.49838584521980855</v>
      </c>
      <c r="AG329" s="799">
        <f t="shared" si="124"/>
        <v>0</v>
      </c>
      <c r="AH329" s="176">
        <f t="shared" si="119"/>
        <v>6</v>
      </c>
      <c r="AI329" s="224">
        <f t="shared" si="120"/>
        <v>0.49838584521980855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1153">
        <v>28.042000000000002</v>
      </c>
      <c r="C330" s="388"/>
      <c r="D330" s="391">
        <f t="shared" si="102"/>
        <v>28.802369676491818</v>
      </c>
      <c r="E330" s="383">
        <f t="shared" si="125"/>
        <v>29.540593644496635</v>
      </c>
      <c r="F330" s="383">
        <f t="shared" si="103"/>
        <v>29.661008081081796</v>
      </c>
      <c r="G330" s="110">
        <f t="shared" si="126"/>
        <v>0.96230738549993189</v>
      </c>
      <c r="H330" s="412" t="b">
        <f>Wh_hp&gt;='2021'!Maxi_hp</f>
        <v>1</v>
      </c>
      <c r="I330" s="379">
        <f>IF(H330,Wh_hp,'2021'!Maxi_hp)</f>
        <v>29.661008081081796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2.6399552711540375E-2</v>
      </c>
      <c r="M330" s="832"/>
      <c r="N330" s="832"/>
      <c r="O330" s="48">
        <f>IF(t&lt;Tnet,'2021'!Resal+('2021'!Salim-'2021'!Resal)*(1-EXP(('2021'!Tnet-t)/('2021'!Tau_j))),Resal+(Salim-Resal)*(1-EXP((Tnet-t)/(Tau_j))))*Salcycl</f>
        <v>2.4990153444067489E-2</v>
      </c>
      <c r="P330" s="169">
        <f>(INDEX(Models!$BJ330:$BT330,,T330)*(1-R330)+INDEX(Models!$BJ330:$BT330,,T330+1)*R330-ERP_i)*Q330*Ramure*Pc/MaxiM</f>
        <v>4.2892919738957659E-3</v>
      </c>
      <c r="Q330" s="304">
        <f t="shared" si="105"/>
        <v>0.6</v>
      </c>
      <c r="R330" s="177">
        <f t="shared" si="106"/>
        <v>0.49842170083087178</v>
      </c>
      <c r="S330" s="799">
        <f t="shared" si="107"/>
        <v>0</v>
      </c>
      <c r="T330" s="176">
        <f t="shared" si="108"/>
        <v>6</v>
      </c>
      <c r="U330" s="250">
        <f t="shared" si="109"/>
        <v>0.49842170083087178</v>
      </c>
      <c r="V330" s="382">
        <f t="shared" si="110"/>
        <v>29.133658975132189</v>
      </c>
      <c r="W330" s="400">
        <f t="shared" si="111"/>
        <v>0</v>
      </c>
      <c r="X330" s="157">
        <f t="shared" si="112"/>
        <v>44877</v>
      </c>
      <c r="Y330" s="383">
        <f t="shared" si="113"/>
        <v>26.218253577303297</v>
      </c>
      <c r="Z330" s="383">
        <f t="shared" si="114"/>
        <v>26.929171664128578</v>
      </c>
      <c r="AA330" s="384">
        <f t="shared" si="115"/>
        <v>29.540593644496635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8.8401134107017582E-2</v>
      </c>
      <c r="AD330" s="230">
        <f>(INDEX(Models!$BJ330:$BT330,,AH330)*(1-AF330)+INDEX(Models!$BJ330:$BT330,,AH330+1)*AF330-ERP_i)*AE330*Ramure*Pc/MaxiM</f>
        <v>4.2892919738957659E-3</v>
      </c>
      <c r="AE330" s="304">
        <f t="shared" si="117"/>
        <v>0.6</v>
      </c>
      <c r="AF330" s="177">
        <f t="shared" si="118"/>
        <v>0.49842170083087178</v>
      </c>
      <c r="AG330" s="799">
        <f t="shared" si="124"/>
        <v>0</v>
      </c>
      <c r="AH330" s="176">
        <f t="shared" si="119"/>
        <v>6</v>
      </c>
      <c r="AI330" s="224">
        <f t="shared" si="120"/>
        <v>0.49842170083087178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1153">
        <v>26.969000000000001</v>
      </c>
      <c r="C331" s="388"/>
      <c r="D331" s="391">
        <f t="shared" si="102"/>
        <v>27.700805746083859</v>
      </c>
      <c r="E331" s="383">
        <f t="shared" si="125"/>
        <v>28.41235759736643</v>
      </c>
      <c r="F331" s="383">
        <f t="shared" si="103"/>
        <v>28.525166588821065</v>
      </c>
      <c r="G331" s="110">
        <f t="shared" si="126"/>
        <v>0.93434363284803668</v>
      </c>
      <c r="H331" s="412" t="b">
        <f>Wh_hp&gt;='2021'!Maxi_hp</f>
        <v>0</v>
      </c>
      <c r="I331" s="379">
        <f>IF(H331,Wh_hp,'2021'!Maxi_hp)</f>
        <v>29.071978311267806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2.6418211541998748E-2</v>
      </c>
      <c r="M331" s="832"/>
      <c r="N331" s="832"/>
      <c r="O331" s="48">
        <f>IF(t&lt;Tnet,'2021'!Resal+('2021'!Salim-'2021'!Resal)*(1-EXP(('2021'!Tnet-t)/('2021'!Tau_j))),Resal+(Salim-Resal)*(1-EXP((Tnet-t)/(Tau_j))))*Salcycl</f>
        <v>2.504374544928744E-2</v>
      </c>
      <c r="P331" s="169">
        <f>(INDEX(Models!$BJ331:$BT331,,T331)*(1-R331)+INDEX(Models!$BJ331:$BT331,,T331+1)*R331-ERP_i)*Q331*Ramure*Pc/MaxiM</f>
        <v>4.3614184933353523E-3</v>
      </c>
      <c r="Q331" s="304">
        <f t="shared" si="105"/>
        <v>0.6</v>
      </c>
      <c r="R331" s="177">
        <f t="shared" si="106"/>
        <v>0.49845611762762249</v>
      </c>
      <c r="S331" s="799">
        <f t="shared" si="107"/>
        <v>0</v>
      </c>
      <c r="T331" s="176">
        <f t="shared" si="108"/>
        <v>6</v>
      </c>
      <c r="U331" s="250">
        <f t="shared" si="109"/>
        <v>0.49845611762762249</v>
      </c>
      <c r="V331" s="382">
        <f t="shared" si="110"/>
        <v>28.852327130490718</v>
      </c>
      <c r="W331" s="400">
        <f t="shared" si="111"/>
        <v>0</v>
      </c>
      <c r="X331" s="157">
        <f t="shared" si="112"/>
        <v>44878</v>
      </c>
      <c r="Y331" s="383">
        <f t="shared" si="113"/>
        <v>25.217680623227302</v>
      </c>
      <c r="Z331" s="383">
        <f t="shared" si="114"/>
        <v>25.901964192621246</v>
      </c>
      <c r="AA331" s="384">
        <f t="shared" si="115"/>
        <v>28.41235759736643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8.835568805377407E-2</v>
      </c>
      <c r="AD331" s="230">
        <f>(INDEX(Models!$BJ331:$BT331,,AH331)*(1-AF331)+INDEX(Models!$BJ331:$BT331,,AH331+1)*AF331-ERP_i)*AE331*Ramure*Pc/MaxiM</f>
        <v>4.3614184933353523E-3</v>
      </c>
      <c r="AE331" s="304">
        <f t="shared" si="117"/>
        <v>0.6</v>
      </c>
      <c r="AF331" s="177">
        <f t="shared" si="118"/>
        <v>0.49845611762762249</v>
      </c>
      <c r="AG331" s="799">
        <f t="shared" si="124"/>
        <v>0</v>
      </c>
      <c r="AH331" s="176">
        <f t="shared" si="119"/>
        <v>6</v>
      </c>
      <c r="AI331" s="224">
        <f t="shared" si="120"/>
        <v>0.49845611762762249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1153">
        <v>9.9860000000000007</v>
      </c>
      <c r="C332" s="388"/>
      <c r="D332" s="391">
        <f t="shared" si="102"/>
        <v>10.257167401309118</v>
      </c>
      <c r="E332" s="383">
        <f t="shared" si="125"/>
        <v>10.521223508295027</v>
      </c>
      <c r="F332" s="383">
        <f t="shared" si="103"/>
        <v>10.524519836129238</v>
      </c>
      <c r="G332" s="110">
        <f t="shared" si="126"/>
        <v>0.34804977406199261</v>
      </c>
      <c r="H332" s="412" t="b">
        <f>Wh_hp&gt;='2021'!Maxi_hp</f>
        <v>0</v>
      </c>
      <c r="I332" s="379">
        <f>IF(H332,Wh_hp,'2021'!Maxi_hp)</f>
        <v>19.875209801097167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2.6436870014864833E-2</v>
      </c>
      <c r="M332" s="832"/>
      <c r="N332" s="832"/>
      <c r="O332" s="48">
        <f>IF(t&lt;Tnet,'2021'!Resal+('2021'!Salim-'2021'!Resal)*(1-EXP(('2021'!Tnet-t)/('2021'!Tau_j))),Resal+(Salim-Resal)*(1-EXP((Tnet-t)/(Tau_j))))*Salcycl</f>
        <v>2.5097471484920416E-2</v>
      </c>
      <c r="P332" s="169">
        <f>(INDEX(Models!$BJ332:$BT332,,T332)*(1-R332)+INDEX(Models!$BJ332:$BT332,,T332+1)*R332-ERP_i)*Q332*Ramure*Pc/MaxiM</f>
        <v>4.4301359467696809E-3</v>
      </c>
      <c r="Q332" s="304">
        <f t="shared" si="105"/>
        <v>0.6</v>
      </c>
      <c r="R332" s="177">
        <f t="shared" si="106"/>
        <v>0.49848915316018416</v>
      </c>
      <c r="S332" s="799">
        <f t="shared" si="107"/>
        <v>0</v>
      </c>
      <c r="T332" s="176">
        <f t="shared" si="108"/>
        <v>6</v>
      </c>
      <c r="U332" s="250">
        <f t="shared" si="109"/>
        <v>0.49848915316018416</v>
      </c>
      <c r="V332" s="382">
        <f t="shared" si="110"/>
        <v>28.573141499062388</v>
      </c>
      <c r="W332" s="400">
        <f t="shared" si="111"/>
        <v>0</v>
      </c>
      <c r="X332" s="157">
        <f t="shared" si="112"/>
        <v>44879</v>
      </c>
      <c r="Y332" s="383">
        <f t="shared" si="113"/>
        <v>9.338496705281786</v>
      </c>
      <c r="Z332" s="383">
        <f t="shared" si="114"/>
        <v>9.5920813121018362</v>
      </c>
      <c r="AA332" s="384">
        <f t="shared" si="115"/>
        <v>10.521223508295027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8.8311230672045493E-2</v>
      </c>
      <c r="AD332" s="230">
        <f>(INDEX(Models!$BJ332:$BT332,,AH332)*(1-AF332)+INDEX(Models!$BJ332:$BT332,,AH332+1)*AF332-ERP_i)*AE332*Ramure*Pc/MaxiM</f>
        <v>4.4301359467696809E-3</v>
      </c>
      <c r="AE332" s="304">
        <f t="shared" si="117"/>
        <v>0.6</v>
      </c>
      <c r="AF332" s="177">
        <f t="shared" si="118"/>
        <v>0.49848915316018416</v>
      </c>
      <c r="AG332" s="799">
        <f t="shared" si="124"/>
        <v>0</v>
      </c>
      <c r="AH332" s="176">
        <f t="shared" si="119"/>
        <v>6</v>
      </c>
      <c r="AI332" s="224">
        <f t="shared" si="120"/>
        <v>0.49848915316018416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1153">
        <v>12.814</v>
      </c>
      <c r="C333" s="388"/>
      <c r="D333" s="391">
        <f t="shared" si="102"/>
        <v>13.162213304327615</v>
      </c>
      <c r="E333" s="383">
        <f t="shared" si="125"/>
        <v>13.501801915600431</v>
      </c>
      <c r="F333" s="383">
        <f t="shared" si="103"/>
        <v>13.515060193237737</v>
      </c>
      <c r="G333" s="110">
        <f t="shared" si="126"/>
        <v>0.45125259979935622</v>
      </c>
      <c r="H333" s="412" t="b">
        <f>Wh_hp&gt;='2021'!Maxi_hp</f>
        <v>0</v>
      </c>
      <c r="I333" s="379">
        <f>IF(H333,Wh_hp,'2021'!Maxi_hp)</f>
        <v>26.911873928380832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2.6455528130145511E-2</v>
      </c>
      <c r="M333" s="832"/>
      <c r="N333" s="832"/>
      <c r="O333" s="48">
        <f>IF(t&lt;Tnet,'2021'!Resal+('2021'!Salim-'2021'!Resal)*(1-EXP(('2021'!Tnet-t)/('2021'!Tau_j))),Resal+(Salim-Resal)*(1-EXP((Tnet-t)/(Tau_j))))*Salcycl</f>
        <v>2.5151354863267885E-2</v>
      </c>
      <c r="P333" s="169">
        <f>(INDEX(Models!$BJ333:$BT333,,T333)*(1-R333)+INDEX(Models!$BJ333:$BT333,,T333+1)*R333-ERP_i)*Q333*Ramure*Pc/MaxiM</f>
        <v>4.4928038338547501E-3</v>
      </c>
      <c r="Q333" s="304">
        <f t="shared" si="105"/>
        <v>0.6</v>
      </c>
      <c r="R333" s="177">
        <f t="shared" si="106"/>
        <v>0.49852086269147927</v>
      </c>
      <c r="S333" s="799">
        <f t="shared" si="107"/>
        <v>0</v>
      </c>
      <c r="T333" s="176">
        <f t="shared" si="108"/>
        <v>6</v>
      </c>
      <c r="U333" s="250">
        <f t="shared" si="109"/>
        <v>0.49852086269147927</v>
      </c>
      <c r="V333" s="382">
        <f t="shared" si="110"/>
        <v>28.296691401102258</v>
      </c>
      <c r="W333" s="400">
        <f t="shared" si="111"/>
        <v>0</v>
      </c>
      <c r="X333" s="157">
        <f t="shared" si="112"/>
        <v>44880</v>
      </c>
      <c r="Y333" s="383">
        <f t="shared" si="113"/>
        <v>11.984358821943333</v>
      </c>
      <c r="Z333" s="383">
        <f t="shared" si="114"/>
        <v>12.310027089903118</v>
      </c>
      <c r="AA333" s="384">
        <f t="shared" si="115"/>
        <v>13.501801915600431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8.8267835148751306E-2</v>
      </c>
      <c r="AD333" s="230">
        <f>(INDEX(Models!$BJ333:$BT333,,AH333)*(1-AF333)+INDEX(Models!$BJ333:$BT333,,AH333+1)*AF333-ERP_i)*AE333*Ramure*Pc/MaxiM</f>
        <v>4.4928038338547501E-3</v>
      </c>
      <c r="AE333" s="304">
        <f t="shared" si="117"/>
        <v>0.6</v>
      </c>
      <c r="AF333" s="177">
        <f t="shared" si="118"/>
        <v>0.49852086269147927</v>
      </c>
      <c r="AG333" s="799">
        <f t="shared" si="124"/>
        <v>0</v>
      </c>
      <c r="AH333" s="176">
        <f t="shared" si="119"/>
        <v>6</v>
      </c>
      <c r="AI333" s="224">
        <f t="shared" si="120"/>
        <v>0.49852086269147927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1153">
        <v>27.589000000000002</v>
      </c>
      <c r="C334" s="388"/>
      <c r="D334" s="391">
        <f t="shared" si="102"/>
        <v>28.339258805541743</v>
      </c>
      <c r="E334" s="383">
        <f t="shared" si="125"/>
        <v>29.072031511003903</v>
      </c>
      <c r="F334" s="383">
        <f t="shared" si="103"/>
        <v>29.201940874416742</v>
      </c>
      <c r="G334" s="110">
        <f t="shared" si="126"/>
        <v>0.9843959029756939</v>
      </c>
      <c r="H334" s="412" t="b">
        <f>Wh_hp&gt;='2021'!Maxi_hp</f>
        <v>1</v>
      </c>
      <c r="I334" s="379">
        <f>IF(H334,Wh_hp,'2021'!Maxi_hp)</f>
        <v>29.201940874416742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2.6474185887847779E-2</v>
      </c>
      <c r="M334" s="832"/>
      <c r="N334" s="832"/>
      <c r="O334" s="48">
        <f>IF(t&lt;Tnet,'2021'!Resal+('2021'!Salim-'2021'!Resal)*(1-EXP(('2021'!Tnet-t)/('2021'!Tau_j))),Resal+(Salim-Resal)*(1-EXP((Tnet-t)/(Tau_j))))*Salcycl</f>
        <v>2.520541796966623E-2</v>
      </c>
      <c r="P334" s="169">
        <f>(INDEX(Models!$BJ334:$BT334,,T334)*(1-R334)+INDEX(Models!$BJ334:$BT334,,T334+1)*R334-ERP_i)*Q334*Ramure*Pc/MaxiM</f>
        <v>4.5494212122189999E-3</v>
      </c>
      <c r="Q334" s="304">
        <f t="shared" si="105"/>
        <v>0.6</v>
      </c>
      <c r="R334" s="177">
        <f t="shared" si="106"/>
        <v>0.49855129928696884</v>
      </c>
      <c r="S334" s="799">
        <f t="shared" si="107"/>
        <v>0</v>
      </c>
      <c r="T334" s="176">
        <f t="shared" si="108"/>
        <v>6</v>
      </c>
      <c r="U334" s="250">
        <f t="shared" si="109"/>
        <v>0.49855129928696884</v>
      </c>
      <c r="V334" s="382">
        <f t="shared" si="110"/>
        <v>28.02348877911318</v>
      </c>
      <c r="W334" s="400">
        <f t="shared" si="111"/>
        <v>0</v>
      </c>
      <c r="X334" s="157">
        <f t="shared" si="112"/>
        <v>44881</v>
      </c>
      <c r="Y334" s="383">
        <f t="shared" si="113"/>
        <v>25.805380122406877</v>
      </c>
      <c r="Z334" s="383">
        <f t="shared" si="114"/>
        <v>26.507134940167127</v>
      </c>
      <c r="AA334" s="384">
        <f t="shared" si="115"/>
        <v>29.072031511003903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8.8225570678332255E-2</v>
      </c>
      <c r="AD334" s="230">
        <f>(INDEX(Models!$BJ334:$BT334,,AH334)*(1-AF334)+INDEX(Models!$BJ334:$BT334,,AH334+1)*AF334-ERP_i)*AE334*Ramure*Pc/MaxiM</f>
        <v>4.5494212122189999E-3</v>
      </c>
      <c r="AE334" s="304">
        <f t="shared" si="117"/>
        <v>0.6</v>
      </c>
      <c r="AF334" s="177">
        <f t="shared" si="118"/>
        <v>0.49855129928696884</v>
      </c>
      <c r="AG334" s="799">
        <f t="shared" si="124"/>
        <v>0</v>
      </c>
      <c r="AH334" s="176">
        <f t="shared" si="119"/>
        <v>6</v>
      </c>
      <c r="AI334" s="224">
        <f t="shared" si="120"/>
        <v>0.49855129928696884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1153">
        <v>14.124000000000001</v>
      </c>
      <c r="C335" s="388"/>
      <c r="D335" s="391">
        <f t="shared" ref="D335:D379" si="127">Wh/(1-Ppv)</f>
        <v>14.508367917605455</v>
      </c>
      <c r="E335" s="383">
        <f t="shared" si="125"/>
        <v>14.884341657034605</v>
      </c>
      <c r="F335" s="383">
        <f t="shared" ref="F335:F379" si="128">Wh_sa/(1-Pvg*MEDIAN((-Sdif+Wh/Env_an)/Csdif,0,1))</f>
        <v>14.904802329492753</v>
      </c>
      <c r="G335" s="110">
        <f t="shared" si="126"/>
        <v>0.50725419353409418</v>
      </c>
      <c r="H335" s="412" t="b">
        <f>Wh_hp&gt;='2021'!Maxi_hp</f>
        <v>0</v>
      </c>
      <c r="I335" s="379">
        <f>IF(H335,Wh_hp,'2021'!Maxi_hp)</f>
        <v>23.200751935750731</v>
      </c>
      <c r="J335" s="85">
        <f>IF(H335,An,'2021'!An_max)</f>
        <v>2020</v>
      </c>
      <c r="K335" s="197">
        <f t="shared" ref="K335:K379" si="129">t</f>
        <v>44882</v>
      </c>
      <c r="L335" s="147">
        <f>IF(t&lt;Tvie,1-EXP((T0-t)*PertePVj)+'2021'!Pspv,1-EXP((T0-t)*PertePVj)+Pspv)</f>
        <v>2.6492843287978296E-2</v>
      </c>
      <c r="M335" s="832"/>
      <c r="N335" s="832"/>
      <c r="O335" s="48">
        <f>IF(t&lt;Tnet,'2021'!Resal+('2021'!Salim-'2021'!Resal)*(1-EXP(('2021'!Tnet-t)/('2021'!Tau_j))),Resal+(Salim-Resal)*(1-EXP((Tnet-t)/(Tau_j))))*Salcycl</f>
        <v>2.5259682160779888E-2</v>
      </c>
      <c r="P335" s="169">
        <f>(INDEX(Models!$BJ335:$BT335,,T335)*(1-R335)+INDEX(Models!$BJ335:$BT335,,T335+1)*R335-ERP_i)*Q335*Ramure*Pc/MaxiM</f>
        <v>4.5999786726791123E-3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0.49858051390096308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0.49858051390096308</v>
      </c>
      <c r="V335" s="382">
        <f t="shared" ref="V335:V379" si="135">MaxiM*(1-Ppv)*(1-Pvg)*(1-Psa)</f>
        <v>27.754045689919479</v>
      </c>
      <c r="W335" s="400">
        <f t="shared" ref="W335:W379" si="136">Wh*(A335&gt;Tmaj)</f>
        <v>0</v>
      </c>
      <c r="X335" s="157">
        <f t="shared" ref="X335:X379" si="137">t</f>
        <v>44882</v>
      </c>
      <c r="Y335" s="383">
        <f t="shared" ref="Y335:Y379" si="138">Wh_pvt_s*(1-Ppv)</f>
        <v>13.212218532225943</v>
      </c>
      <c r="Z335" s="383">
        <f t="shared" ref="Z335:Z379" si="139">Wh_sa_s*(1-Psa_s)</f>
        <v>13.571773397999086</v>
      </c>
      <c r="AA335" s="384">
        <f t="shared" ref="AA335:AA379" si="140">Wh_hp*(1-Pvg_s*MEDIAN((-Sdif+Wh/Env_an)/Csdif,0,1))</f>
        <v>14.884341657034605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8.8184502162053924E-2</v>
      </c>
      <c r="AD335" s="230">
        <f>(INDEX(Models!$BJ335:$BT335,,AH335)*(1-AF335)+INDEX(Models!$BJ335:$BT335,,AH335+1)*AF335-ERP_i)*AE335*Ramure*Pc/MaxiM</f>
        <v>4.5999786726791123E-3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0.49858051390096308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0.49858051390096308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1153">
        <v>16.167999999999999</v>
      </c>
      <c r="C336" s="388"/>
      <c r="D336" s="391">
        <f t="shared" si="127"/>
        <v>16.608311249172203</v>
      </c>
      <c r="E336" s="383">
        <f t="shared" si="125"/>
        <v>17.039655957093931</v>
      </c>
      <c r="F336" s="383">
        <f t="shared" si="128"/>
        <v>17.072297488586713</v>
      </c>
      <c r="G336" s="110">
        <f t="shared" si="126"/>
        <v>0.58655498671783757</v>
      </c>
      <c r="H336" s="412" t="b">
        <f>Wh_hp&gt;='2021'!Maxi_hp</f>
        <v>0</v>
      </c>
      <c r="I336" s="379">
        <f>IF(H336,Wh_hp,'2021'!Maxi_hp)</f>
        <v>27.250192771666942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2.6511500330543947E-2</v>
      </c>
      <c r="M336" s="832"/>
      <c r="N336" s="832"/>
      <c r="O336" s="48">
        <f>IF(t&lt;Tnet,'2021'!Resal+('2021'!Salim-'2021'!Resal)*(1-EXP(('2021'!Tnet-t)/('2021'!Tau_j))),Resal+(Salim-Resal)*(1-EXP((Tnet-t)/(Tau_j))))*Salcycl</f>
        <v>2.5314167669104225E-2</v>
      </c>
      <c r="P336" s="169">
        <f>(INDEX(Models!$BJ336:$BT336,,T336)*(1-R336)+INDEX(Models!$BJ336:$BT336,,T336+1)*R336-ERP_i)*Q336*Ramure*Pc/MaxiM</f>
        <v>4.6444578421391521E-3</v>
      </c>
      <c r="Q336" s="304">
        <f t="shared" si="130"/>
        <v>0.6</v>
      </c>
      <c r="R336" s="177">
        <f t="shared" si="131"/>
        <v>0.49860855545962646</v>
      </c>
      <c r="S336" s="799">
        <f t="shared" si="132"/>
        <v>0</v>
      </c>
      <c r="T336" s="176">
        <f t="shared" si="133"/>
        <v>6</v>
      </c>
      <c r="U336" s="250">
        <f t="shared" si="134"/>
        <v>0.49860855545962646</v>
      </c>
      <c r="V336" s="382">
        <f t="shared" si="135"/>
        <v>27.488874346374306</v>
      </c>
      <c r="W336" s="400">
        <f t="shared" si="136"/>
        <v>0</v>
      </c>
      <c r="X336" s="157">
        <f t="shared" si="137"/>
        <v>44883</v>
      </c>
      <c r="Y336" s="383">
        <f t="shared" si="138"/>
        <v>15.12577300718486</v>
      </c>
      <c r="Z336" s="383">
        <f t="shared" si="139"/>
        <v>15.537700766183423</v>
      </c>
      <c r="AA336" s="384">
        <f t="shared" si="140"/>
        <v>17.039655957093931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8.8144689933438158E-2</v>
      </c>
      <c r="AD336" s="230">
        <f>(INDEX(Models!$BJ336:$BT336,,AH336)*(1-AF336)+INDEX(Models!$BJ336:$BT336,,AH336+1)*AF336-ERP_i)*AE336*Ramure*Pc/MaxiM</f>
        <v>4.6444578421391521E-3</v>
      </c>
      <c r="AE336" s="304">
        <f t="shared" si="142"/>
        <v>0.6</v>
      </c>
      <c r="AF336" s="177">
        <f t="shared" si="143"/>
        <v>0.49860855545962646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0.49860855545962646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1153">
        <v>7.3890000000000002</v>
      </c>
      <c r="C337" s="388"/>
      <c r="D337" s="391">
        <f t="shared" si="127"/>
        <v>7.5903738089583976</v>
      </c>
      <c r="E337" s="383">
        <f t="shared" si="125"/>
        <v>7.7879453656349158</v>
      </c>
      <c r="F337" s="383">
        <f t="shared" si="128"/>
        <v>7.7879453656349158</v>
      </c>
      <c r="G337" s="110">
        <f t="shared" si="126"/>
        <v>0.27009941919351405</v>
      </c>
      <c r="H337" s="412" t="b">
        <f>Wh_hp&gt;='2021'!Maxi_hp</f>
        <v>0</v>
      </c>
      <c r="I337" s="379">
        <f>IF(H337,Wh_hp,'2021'!Maxi_hp)</f>
        <v>28.562272949049884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2.6530157015551725E-2</v>
      </c>
      <c r="M337" s="832"/>
      <c r="N337" s="832"/>
      <c r="O337" s="48">
        <f>IF(t&lt;Tnet,'2021'!Resal+('2021'!Salim-'2021'!Resal)*(1-EXP(('2021'!Tnet-t)/('2021'!Tau_j))),Resal+(Salim-Resal)*(1-EXP((Tnet-t)/(Tau_j))))*Salcycl</f>
        <v>2.5368893514369377E-2</v>
      </c>
      <c r="P337" s="169">
        <f>(INDEX(Models!$BJ337:$BT337,,T337)*(1-R337)+INDEX(Models!$BJ337:$BT337,,T337+1)*R337-ERP_i)*Q337*Ramure*Pc/MaxiM</f>
        <v>4.6828309695136766E-3</v>
      </c>
      <c r="Q337" s="304">
        <f t="shared" si="130"/>
        <v>0.6</v>
      </c>
      <c r="R337" s="177">
        <f t="shared" si="131"/>
        <v>0.49863547094079697</v>
      </c>
      <c r="S337" s="799">
        <f t="shared" si="132"/>
        <v>0</v>
      </c>
      <c r="T337" s="176">
        <f t="shared" si="133"/>
        <v>6</v>
      </c>
      <c r="U337" s="250">
        <f t="shared" si="134"/>
        <v>0.49863547094079697</v>
      </c>
      <c r="V337" s="382">
        <f t="shared" si="135"/>
        <v>27.228487139756378</v>
      </c>
      <c r="W337" s="400">
        <f t="shared" si="136"/>
        <v>0</v>
      </c>
      <c r="X337" s="157">
        <f t="shared" si="137"/>
        <v>44884</v>
      </c>
      <c r="Y337" s="383">
        <f t="shared" si="138"/>
        <v>6.9133678587316565</v>
      </c>
      <c r="Z337" s="383">
        <f t="shared" si="139"/>
        <v>7.1017791753432897</v>
      </c>
      <c r="AA337" s="384">
        <f t="shared" si="140"/>
        <v>7.7879453656349158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8.8106189511729549E-2</v>
      </c>
      <c r="AD337" s="230">
        <f>(INDEX(Models!$BJ337:$BT337,,AH337)*(1-AF337)+INDEX(Models!$BJ337:$BT337,,AH337+1)*AF337-ERP_i)*AE337*Ramure*Pc/MaxiM</f>
        <v>4.6828309695136766E-3</v>
      </c>
      <c r="AE337" s="304">
        <f t="shared" si="142"/>
        <v>0.6</v>
      </c>
      <c r="AF337" s="177">
        <f t="shared" si="143"/>
        <v>0.49863547094079697</v>
      </c>
      <c r="AG337" s="799">
        <f t="shared" si="149"/>
        <v>0</v>
      </c>
      <c r="AH337" s="176">
        <f t="shared" si="144"/>
        <v>6</v>
      </c>
      <c r="AI337" s="224">
        <f t="shared" si="145"/>
        <v>0.49863547094079697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1153">
        <v>16.260000000000002</v>
      </c>
      <c r="C338" s="388"/>
      <c r="D338" s="391">
        <f t="shared" si="127"/>
        <v>16.70345696104167</v>
      </c>
      <c r="E338" s="383">
        <f t="shared" si="125"/>
        <v>17.139201930029948</v>
      </c>
      <c r="F338" s="383">
        <f t="shared" si="128"/>
        <v>17.174265793620449</v>
      </c>
      <c r="G338" s="110">
        <f t="shared" si="126"/>
        <v>0.60120131069085814</v>
      </c>
      <c r="H338" s="412" t="b">
        <f>Wh_hp&gt;='2021'!Maxi_hp</f>
        <v>0</v>
      </c>
      <c r="I338" s="379">
        <f>IF(H338,Wh_hp,'2021'!Maxi_hp)</f>
        <v>28.66422438766487</v>
      </c>
      <c r="J338" s="85">
        <f>IF(H338,An,'2021'!An_max)</f>
        <v>2018</v>
      </c>
      <c r="K338" s="197">
        <f t="shared" si="129"/>
        <v>44885</v>
      </c>
      <c r="L338" s="147">
        <f>IF(t&lt;Tvie,1-EXP((T0-t)*PertePVj)+'2021'!Pspv,1-EXP((T0-t)*PertePVj)+Pspv)</f>
        <v>2.6548813343008404E-2</v>
      </c>
      <c r="M338" s="832"/>
      <c r="N338" s="832"/>
      <c r="O338" s="48">
        <f>IF(t&lt;Tnet,'2021'!Resal+('2021'!Salim-'2021'!Resal)*(1-EXP(('2021'!Tnet-t)/('2021'!Tau_j))),Resal+(Salim-Resal)*(1-EXP((Tnet-t)/(Tau_j))))*Salcycl</f>
        <v>2.5423877422483736E-2</v>
      </c>
      <c r="P338" s="169">
        <f>(INDEX(Models!$BJ338:$BT338,,T338)*(1-R338)+INDEX(Models!$BJ338:$BT338,,T338+1)*R338-ERP_i)*Q338*Ramure*Pc/MaxiM</f>
        <v>4.7195075581906113E-3</v>
      </c>
      <c r="Q338" s="304">
        <f t="shared" si="130"/>
        <v>0.6</v>
      </c>
      <c r="R338" s="177">
        <f t="shared" si="131"/>
        <v>0.498661305450736</v>
      </c>
      <c r="S338" s="799">
        <f t="shared" si="132"/>
        <v>0</v>
      </c>
      <c r="T338" s="176">
        <f t="shared" si="133"/>
        <v>6</v>
      </c>
      <c r="U338" s="250">
        <f t="shared" si="134"/>
        <v>0.498661305450736</v>
      </c>
      <c r="V338" s="382">
        <f t="shared" si="135"/>
        <v>26.973276157198395</v>
      </c>
      <c r="W338" s="400">
        <f t="shared" si="136"/>
        <v>0</v>
      </c>
      <c r="X338" s="157">
        <f t="shared" si="137"/>
        <v>44885</v>
      </c>
      <c r="Y338" s="383">
        <f t="shared" si="138"/>
        <v>15.214816863419623</v>
      </c>
      <c r="Z338" s="383">
        <f t="shared" si="139"/>
        <v>15.629768674554777</v>
      </c>
      <c r="AA338" s="384">
        <f t="shared" si="140"/>
        <v>17.139201930029948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8.8069051385085875E-2</v>
      </c>
      <c r="AD338" s="230">
        <f>(INDEX(Models!$BJ338:$BT338,,AH338)*(1-AF338)+INDEX(Models!$BJ338:$BT338,,AH338+1)*AF338-ERP_i)*AE338*Ramure*Pc/MaxiM</f>
        <v>4.7195075581906113E-3</v>
      </c>
      <c r="AE338" s="304">
        <f t="shared" si="142"/>
        <v>0.6</v>
      </c>
      <c r="AF338" s="177">
        <f t="shared" si="143"/>
        <v>0.498661305450736</v>
      </c>
      <c r="AG338" s="799">
        <f t="shared" si="149"/>
        <v>0</v>
      </c>
      <c r="AH338" s="176">
        <f t="shared" si="144"/>
        <v>6</v>
      </c>
      <c r="AI338" s="224">
        <f t="shared" si="145"/>
        <v>0.498661305450736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1153">
        <v>3.266</v>
      </c>
      <c r="C339" s="388"/>
      <c r="D339" s="391">
        <f t="shared" si="127"/>
        <v>3.3551375129149985</v>
      </c>
      <c r="E339" s="383">
        <f t="shared" si="125"/>
        <v>3.4428585738962969</v>
      </c>
      <c r="F339" s="383">
        <f t="shared" si="128"/>
        <v>3.4428585738962969</v>
      </c>
      <c r="G339" s="110">
        <f t="shared" si="126"/>
        <v>0.12163229627760677</v>
      </c>
      <c r="H339" s="412" t="b">
        <f>Wh_hp&gt;='2021'!Maxi_hp</f>
        <v>0</v>
      </c>
      <c r="I339" s="379">
        <f>IF(H339,Wh_hp,'2021'!Maxi_hp)</f>
        <v>27.981917732937102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2.6567469312920755E-2</v>
      </c>
      <c r="M339" s="832"/>
      <c r="N339" s="832"/>
      <c r="O339" s="48">
        <f>IF(t&lt;Tnet,'2021'!Resal+('2021'!Salim-'2021'!Resal)*(1-EXP(('2021'!Tnet-t)/('2021'!Tau_j))),Resal+(Salim-Resal)*(1-EXP((Tnet-t)/(Tau_j))))*Salcycl</f>
        <v>2.547913575259762E-2</v>
      </c>
      <c r="P339" s="169">
        <f>(INDEX(Models!$BJ339:$BT339,,T339)*(1-R339)+INDEX(Models!$BJ339:$BT339,,T339+1)*R339-ERP_i)*Q339*Ramure*Pc/MaxiM</f>
        <v>4.755483497869889E-3</v>
      </c>
      <c r="Q339" s="304">
        <f t="shared" si="130"/>
        <v>0.6</v>
      </c>
      <c r="R339" s="177">
        <f t="shared" si="131"/>
        <v>0.4986861022979211</v>
      </c>
      <c r="S339" s="799">
        <f t="shared" si="132"/>
        <v>0</v>
      </c>
      <c r="T339" s="176">
        <f t="shared" si="133"/>
        <v>6</v>
      </c>
      <c r="U339" s="250">
        <f t="shared" si="134"/>
        <v>0.4986861022979211</v>
      </c>
      <c r="V339" s="382">
        <f t="shared" si="135"/>
        <v>26.723729555160816</v>
      </c>
      <c r="W339" s="400">
        <f t="shared" si="136"/>
        <v>0</v>
      </c>
      <c r="X339" s="157">
        <f t="shared" si="137"/>
        <v>44886</v>
      </c>
      <c r="Y339" s="383">
        <f t="shared" si="138"/>
        <v>3.0563564962623224</v>
      </c>
      <c r="Z339" s="383">
        <f t="shared" si="139"/>
        <v>3.1397723005055624</v>
      </c>
      <c r="AA339" s="384">
        <f t="shared" si="140"/>
        <v>3.4428585738962969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8.803332082494765E-2</v>
      </c>
      <c r="AD339" s="230">
        <f>(INDEX(Models!$BJ339:$BT339,,AH339)*(1-AF339)+INDEX(Models!$BJ339:$BT339,,AH339+1)*AF339-ERP_i)*AE339*Ramure*Pc/MaxiM</f>
        <v>4.755483497869889E-3</v>
      </c>
      <c r="AE339" s="304">
        <f t="shared" si="142"/>
        <v>0.6</v>
      </c>
      <c r="AF339" s="177">
        <f t="shared" si="143"/>
        <v>0.4986861022979211</v>
      </c>
      <c r="AG339" s="799">
        <f t="shared" si="149"/>
        <v>0</v>
      </c>
      <c r="AH339" s="176">
        <f t="shared" si="144"/>
        <v>6</v>
      </c>
      <c r="AI339" s="224">
        <f t="shared" si="145"/>
        <v>0.4986861022979211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1153">
        <v>8.08</v>
      </c>
      <c r="C340" s="388"/>
      <c r="D340" s="391">
        <f t="shared" si="127"/>
        <v>8.3006829950722683</v>
      </c>
      <c r="E340" s="383">
        <f t="shared" si="125"/>
        <v>8.5181923398911259</v>
      </c>
      <c r="F340" s="383">
        <f t="shared" si="128"/>
        <v>8.5184915184269112</v>
      </c>
      <c r="G340" s="110">
        <f t="shared" si="126"/>
        <v>0.30368062356355585</v>
      </c>
      <c r="H340" s="412" t="b">
        <f>Wh_hp&gt;='2021'!Maxi_hp</f>
        <v>0</v>
      </c>
      <c r="I340" s="379">
        <f>IF(H340,Wh_hp,'2021'!Maxi_hp)</f>
        <v>29.203443370360098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2.6586124925295662E-2</v>
      </c>
      <c r="M340" s="832"/>
      <c r="N340" s="832"/>
      <c r="O340" s="48">
        <f>IF(t&lt;Tnet,'2021'!Resal+('2021'!Salim-'2021'!Resal)*(1-EXP(('2021'!Tnet-t)/('2021'!Tau_j))),Resal+(Salim-Resal)*(1-EXP((Tnet-t)/(Tau_j))))*Salcycl</f>
        <v>2.5534683432804284E-2</v>
      </c>
      <c r="P340" s="169">
        <f>(INDEX(Models!$BJ340:$BT340,,T340)*(1-R340)+INDEX(Models!$BJ340:$BT340,,T340+1)*R340-ERP_i)*Q340*Ramure*Pc/MaxiM</f>
        <v>4.7907093062127962E-3</v>
      </c>
      <c r="Q340" s="304">
        <f t="shared" si="130"/>
        <v>0.6</v>
      </c>
      <c r="R340" s="177">
        <f t="shared" si="131"/>
        <v>0.49870990306398971</v>
      </c>
      <c r="S340" s="799">
        <f t="shared" si="132"/>
        <v>0</v>
      </c>
      <c r="T340" s="176">
        <f t="shared" si="133"/>
        <v>6</v>
      </c>
      <c r="U340" s="250">
        <f t="shared" si="134"/>
        <v>0.49870990306398971</v>
      </c>
      <c r="V340" s="382">
        <f t="shared" si="135"/>
        <v>26.480364150686313</v>
      </c>
      <c r="W340" s="400">
        <f t="shared" si="136"/>
        <v>0</v>
      </c>
      <c r="X340" s="157">
        <f t="shared" si="137"/>
        <v>44887</v>
      </c>
      <c r="Y340" s="383">
        <f t="shared" si="138"/>
        <v>7.5620626510116189</v>
      </c>
      <c r="Z340" s="383">
        <f t="shared" si="139"/>
        <v>7.7685996107578301</v>
      </c>
      <c r="AA340" s="384">
        <f t="shared" si="140"/>
        <v>8.5181923398911259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8.7999037732796284E-2</v>
      </c>
      <c r="AD340" s="230">
        <f>(INDEX(Models!$BJ340:$BT340,,AH340)*(1-AF340)+INDEX(Models!$BJ340:$BT340,,AH340+1)*AF340-ERP_i)*AE340*Ramure*Pc/MaxiM</f>
        <v>4.7907093062127962E-3</v>
      </c>
      <c r="AE340" s="304">
        <f t="shared" si="142"/>
        <v>0.6</v>
      </c>
      <c r="AF340" s="177">
        <f t="shared" si="143"/>
        <v>0.49870990306398971</v>
      </c>
      <c r="AG340" s="799">
        <f t="shared" si="149"/>
        <v>0</v>
      </c>
      <c r="AH340" s="176">
        <f t="shared" si="144"/>
        <v>6</v>
      </c>
      <c r="AI340" s="224">
        <f t="shared" si="145"/>
        <v>0.49870990306398971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1153">
        <v>13.551</v>
      </c>
      <c r="C341" s="388"/>
      <c r="D341" s="391">
        <f t="shared" si="127"/>
        <v>13.921375125006056</v>
      </c>
      <c r="E341" s="383">
        <f t="shared" si="125"/>
        <v>14.286986743669168</v>
      </c>
      <c r="F341" s="383">
        <f t="shared" si="128"/>
        <v>14.308324990924007</v>
      </c>
      <c r="G341" s="110">
        <f t="shared" si="126"/>
        <v>0.51462856712252758</v>
      </c>
      <c r="H341" s="412" t="b">
        <f>Wh_hp&gt;='2021'!Maxi_hp</f>
        <v>0</v>
      </c>
      <c r="I341" s="379">
        <f>IF(H341,Wh_hp,'2021'!Maxi_hp)</f>
        <v>29.107219927904186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2.660478018014012E-2</v>
      </c>
      <c r="M341" s="832"/>
      <c r="N341" s="832"/>
      <c r="O341" s="48">
        <f>IF(t&lt;Tnet,'2021'!Resal+('2021'!Salim-'2021'!Resal)*(1-EXP(('2021'!Tnet-t)/('2021'!Tau_j))),Resal+(Salim-Resal)*(1-EXP((Tnet-t)/(Tau_j))))*Salcycl</f>
        <v>2.5590533904927163E-2</v>
      </c>
      <c r="P341" s="169">
        <f>(INDEX(Models!$BJ341:$BT341,,T341)*(1-R341)+INDEX(Models!$BJ341:$BT341,,T341+1)*R341-ERP_i)*Q341*Ramure*Pc/MaxiM</f>
        <v>4.8250962604122387E-3</v>
      </c>
      <c r="Q341" s="304">
        <f t="shared" si="130"/>
        <v>0.6</v>
      </c>
      <c r="R341" s="177">
        <f t="shared" si="131"/>
        <v>0.49873274767193942</v>
      </c>
      <c r="S341" s="799">
        <f t="shared" si="132"/>
        <v>0</v>
      </c>
      <c r="T341" s="176">
        <f t="shared" si="133"/>
        <v>6</v>
      </c>
      <c r="U341" s="250">
        <f t="shared" si="134"/>
        <v>0.49873274767193942</v>
      </c>
      <c r="V341" s="382">
        <f t="shared" si="135"/>
        <v>26.243697584348784</v>
      </c>
      <c r="W341" s="400">
        <f t="shared" si="136"/>
        <v>0</v>
      </c>
      <c r="X341" s="157">
        <f t="shared" si="137"/>
        <v>44888</v>
      </c>
      <c r="Y341" s="383">
        <f t="shared" si="138"/>
        <v>12.683548301765141</v>
      </c>
      <c r="Z341" s="383">
        <f t="shared" si="139"/>
        <v>13.030214288613832</v>
      </c>
      <c r="AA341" s="384">
        <f t="shared" si="140"/>
        <v>14.286986743669168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8.7966236520253982E-2</v>
      </c>
      <c r="AD341" s="230">
        <f>(INDEX(Models!$BJ341:$BT341,,AH341)*(1-AF341)+INDEX(Models!$BJ341:$BT341,,AH341+1)*AF341-ERP_i)*AE341*Ramure*Pc/MaxiM</f>
        <v>4.8250962604122387E-3</v>
      </c>
      <c r="AE341" s="304">
        <f t="shared" si="142"/>
        <v>0.6</v>
      </c>
      <c r="AF341" s="177">
        <f t="shared" si="143"/>
        <v>0.49873274767193942</v>
      </c>
      <c r="AG341" s="799">
        <f t="shared" si="149"/>
        <v>0</v>
      </c>
      <c r="AH341" s="176">
        <f t="shared" si="144"/>
        <v>6</v>
      </c>
      <c r="AI341" s="224">
        <f t="shared" si="145"/>
        <v>0.49873274767193942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1153">
        <v>14.221</v>
      </c>
      <c r="C342" s="388"/>
      <c r="D342" s="391">
        <f t="shared" si="127"/>
        <v>14.609967521800465</v>
      </c>
      <c r="E342" s="383">
        <f t="shared" si="125"/>
        <v>14.9945276605386</v>
      </c>
      <c r="F342" s="383">
        <f t="shared" si="128"/>
        <v>15.020242817667762</v>
      </c>
      <c r="G342" s="110">
        <f t="shared" si="126"/>
        <v>0.54493894929439024</v>
      </c>
      <c r="H342" s="412" t="b">
        <f>Wh_hp&gt;='2021'!Maxi_hp</f>
        <v>0</v>
      </c>
      <c r="I342" s="379">
        <f>IF(H342,Wh_hp,'2021'!Maxi_hp)</f>
        <v>27.112988230859333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2.6623435077460789E-2</v>
      </c>
      <c r="M342" s="832"/>
      <c r="N342" s="832"/>
      <c r="O342" s="48">
        <f>IF(t&lt;Tnet,'2021'!Resal+('2021'!Salim-'2021'!Resal)*(1-EXP(('2021'!Tnet-t)/('2021'!Tau_j))),Resal+(Salim-Resal)*(1-EXP((Tnet-t)/(Tau_j))))*Salcycl</f>
        <v>2.5646699078770496E-2</v>
      </c>
      <c r="P342" s="169">
        <f>(INDEX(Models!$BJ342:$BT342,,T342)*(1-R342)+INDEX(Models!$BJ342:$BT342,,T342+1)*R342-ERP_i)*Q342*Ramure*Pc/MaxiM</f>
        <v>4.8585652587697812E-3</v>
      </c>
      <c r="Q342" s="304">
        <f t="shared" si="130"/>
        <v>0.6</v>
      </c>
      <c r="R342" s="177">
        <f t="shared" si="131"/>
        <v>0.49875467445168742</v>
      </c>
      <c r="S342" s="799">
        <f t="shared" si="132"/>
        <v>0</v>
      </c>
      <c r="T342" s="176">
        <f t="shared" si="133"/>
        <v>6</v>
      </c>
      <c r="U342" s="250">
        <f t="shared" si="134"/>
        <v>0.49875467445168742</v>
      </c>
      <c r="V342" s="382">
        <f t="shared" si="135"/>
        <v>26.014247007133516</v>
      </c>
      <c r="W342" s="400">
        <f t="shared" si="136"/>
        <v>0</v>
      </c>
      <c r="X342" s="157">
        <f t="shared" si="137"/>
        <v>44889</v>
      </c>
      <c r="Y342" s="383">
        <f t="shared" si="138"/>
        <v>13.311882989815453</v>
      </c>
      <c r="Z342" s="383">
        <f t="shared" si="139"/>
        <v>13.675984680065527</v>
      </c>
      <c r="AA342" s="384">
        <f t="shared" si="140"/>
        <v>14.9945276605386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8.7934946023215388E-2</v>
      </c>
      <c r="AD342" s="230">
        <f>(INDEX(Models!$BJ342:$BT342,,AH342)*(1-AF342)+INDEX(Models!$BJ342:$BT342,,AH342+1)*AF342-ERP_i)*AE342*Ramure*Pc/MaxiM</f>
        <v>4.8585652587697812E-3</v>
      </c>
      <c r="AE342" s="304">
        <f t="shared" si="142"/>
        <v>0.6</v>
      </c>
      <c r="AF342" s="177">
        <f t="shared" si="143"/>
        <v>0.49875467445168742</v>
      </c>
      <c r="AG342" s="799">
        <f t="shared" si="149"/>
        <v>0</v>
      </c>
      <c r="AH342" s="176">
        <f t="shared" si="144"/>
        <v>6</v>
      </c>
      <c r="AI342" s="224">
        <f t="shared" si="145"/>
        <v>0.49875467445168742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1153">
        <v>4.9279999999999999</v>
      </c>
      <c r="C343" s="388"/>
      <c r="D343" s="391">
        <f t="shared" si="127"/>
        <v>5.0628858587713683</v>
      </c>
      <c r="E343" s="383">
        <f t="shared" si="125"/>
        <v>5.1964512283620907</v>
      </c>
      <c r="F343" s="383">
        <f t="shared" si="128"/>
        <v>5.1964512283620907</v>
      </c>
      <c r="G343" s="110">
        <f t="shared" si="126"/>
        <v>0.19012857960028506</v>
      </c>
      <c r="H343" s="412" t="b">
        <f>Wh_hp&gt;='2021'!Maxi_hp</f>
        <v>0</v>
      </c>
      <c r="I343" s="379">
        <f>IF(H343,Wh_hp,'2021'!Maxi_hp)</f>
        <v>25.709723482797013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2.6642089617264664E-2</v>
      </c>
      <c r="M343" s="832"/>
      <c r="N343" s="832"/>
      <c r="O343" s="48">
        <f>IF(t&lt;Tnet,'2021'!Resal+('2021'!Salim-'2021'!Resal)*(1-EXP(('2021'!Tnet-t)/('2021'!Tau_j))),Resal+(Salim-Resal)*(1-EXP((Tnet-t)/(Tau_j))))*Salcycl</f>
        <v>2.5703189296134677E-2</v>
      </c>
      <c r="P343" s="169">
        <f>(INDEX(Models!$BJ343:$BT343,,T343)*(1-R343)+INDEX(Models!$BJ343:$BT343,,T343+1)*R343-ERP_i)*Q343*Ramure*Pc/MaxiM</f>
        <v>4.8910519536287797E-3</v>
      </c>
      <c r="Q343" s="304">
        <f t="shared" si="130"/>
        <v>0.6</v>
      </c>
      <c r="R343" s="177">
        <f t="shared" si="131"/>
        <v>0.49877572020308475</v>
      </c>
      <c r="S343" s="799">
        <f t="shared" si="132"/>
        <v>0</v>
      </c>
      <c r="T343" s="176">
        <f t="shared" si="133"/>
        <v>6</v>
      </c>
      <c r="U343" s="250">
        <f t="shared" si="134"/>
        <v>0.49877572020308475</v>
      </c>
      <c r="V343" s="382">
        <f t="shared" si="135"/>
        <v>25.792528962674503</v>
      </c>
      <c r="W343" s="400">
        <f t="shared" si="136"/>
        <v>0</v>
      </c>
      <c r="X343" s="157">
        <f t="shared" si="137"/>
        <v>44890</v>
      </c>
      <c r="Y343" s="383">
        <f t="shared" si="138"/>
        <v>4.6133818534631921</v>
      </c>
      <c r="Z343" s="383">
        <f t="shared" si="139"/>
        <v>4.7396561986629955</v>
      </c>
      <c r="AA343" s="384">
        <f t="shared" si="140"/>
        <v>5.1964512283620907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8.790518945043109E-2</v>
      </c>
      <c r="AD343" s="230">
        <f>(INDEX(Models!$BJ343:$BT343,,AH343)*(1-AF343)+INDEX(Models!$BJ343:$BT343,,AH343+1)*AF343-ERP_i)*AE343*Ramure*Pc/MaxiM</f>
        <v>4.8910519536287797E-3</v>
      </c>
      <c r="AE343" s="304">
        <f t="shared" si="142"/>
        <v>0.6</v>
      </c>
      <c r="AF343" s="177">
        <f t="shared" si="143"/>
        <v>0.49877572020308475</v>
      </c>
      <c r="AG343" s="799">
        <f t="shared" si="149"/>
        <v>0</v>
      </c>
      <c r="AH343" s="176">
        <f t="shared" si="144"/>
        <v>6</v>
      </c>
      <c r="AI343" s="224">
        <f t="shared" si="145"/>
        <v>0.49877572020308475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1153">
        <v>11.324</v>
      </c>
      <c r="C344" s="388"/>
      <c r="D344" s="391">
        <f t="shared" si="127"/>
        <v>11.634175779783845</v>
      </c>
      <c r="E344" s="383">
        <f t="shared" si="125"/>
        <v>11.94179661958788</v>
      </c>
      <c r="F344" s="383">
        <f t="shared" si="128"/>
        <v>11.953792542015861</v>
      </c>
      <c r="G344" s="110">
        <f t="shared" si="126"/>
        <v>0.44096918038092686</v>
      </c>
      <c r="H344" s="412" t="b">
        <f>Wh_hp&gt;='2021'!Maxi_hp</f>
        <v>0</v>
      </c>
      <c r="I344" s="379">
        <f>IF(H344,Wh_hp,'2021'!Maxi_hp)</f>
        <v>26.915508219914461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2.6660743799558517E-2</v>
      </c>
      <c r="M344" s="832"/>
      <c r="N344" s="832"/>
      <c r="O344" s="48">
        <f>IF(t&lt;Tnet,'2021'!Resal+('2021'!Salim-'2021'!Resal)*(1-EXP(('2021'!Tnet-t)/('2021'!Tau_j))),Resal+(Salim-Resal)*(1-EXP((Tnet-t)/(Tau_j))))*Salcycl</f>
        <v>2.5760013304819702E-2</v>
      </c>
      <c r="P344" s="169">
        <f>(INDEX(Models!$BJ344:$BT344,,T344)*(1-R344)+INDEX(Models!$BJ344:$BT344,,T344+1)*R344-ERP_i)*Q344*Ramure*Pc/MaxiM</f>
        <v>4.9224820440673511E-3</v>
      </c>
      <c r="Q344" s="304">
        <f t="shared" si="130"/>
        <v>0.6</v>
      </c>
      <c r="R344" s="177">
        <f t="shared" si="131"/>
        <v>0.49879592025648312</v>
      </c>
      <c r="S344" s="799">
        <f t="shared" si="132"/>
        <v>0</v>
      </c>
      <c r="T344" s="176">
        <f t="shared" si="133"/>
        <v>6</v>
      </c>
      <c r="U344" s="250">
        <f t="shared" si="134"/>
        <v>0.49879592025648312</v>
      </c>
      <c r="V344" s="382">
        <f t="shared" si="135"/>
        <v>25.579060047729456</v>
      </c>
      <c r="W344" s="400">
        <f t="shared" si="136"/>
        <v>0</v>
      </c>
      <c r="X344" s="157">
        <f t="shared" si="137"/>
        <v>44891</v>
      </c>
      <c r="Y344" s="383">
        <f t="shared" si="138"/>
        <v>10.601988391042385</v>
      </c>
      <c r="Z344" s="383">
        <f t="shared" si="139"/>
        <v>10.892387544738151</v>
      </c>
      <c r="AA344" s="384">
        <f t="shared" si="140"/>
        <v>11.94179661958788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8.7876984366691155E-2</v>
      </c>
      <c r="AD344" s="230">
        <f>(INDEX(Models!$BJ344:$BT344,,AH344)*(1-AF344)+INDEX(Models!$BJ344:$BT344,,AH344+1)*AF344-ERP_i)*AE344*Ramure*Pc/MaxiM</f>
        <v>4.9224820440673511E-3</v>
      </c>
      <c r="AE344" s="304">
        <f t="shared" si="142"/>
        <v>0.6</v>
      </c>
      <c r="AF344" s="177">
        <f t="shared" si="143"/>
        <v>0.49879592025648312</v>
      </c>
      <c r="AG344" s="799">
        <f t="shared" si="149"/>
        <v>0</v>
      </c>
      <c r="AH344" s="176">
        <f t="shared" si="144"/>
        <v>6</v>
      </c>
      <c r="AI344" s="224">
        <f t="shared" si="145"/>
        <v>0.49879592025648312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1153">
        <v>14.907</v>
      </c>
      <c r="C345" s="388"/>
      <c r="D345" s="391">
        <f t="shared" si="127"/>
        <v>15.315611283286778</v>
      </c>
      <c r="E345" s="383">
        <f t="shared" si="125"/>
        <v>15.721495946377226</v>
      </c>
      <c r="F345" s="383">
        <f t="shared" si="128"/>
        <v>15.753549681472927</v>
      </c>
      <c r="G345" s="110">
        <f t="shared" si="126"/>
        <v>0.58582602794923488</v>
      </c>
      <c r="H345" s="412" t="b">
        <f>Wh_hp&gt;='2021'!Maxi_hp</f>
        <v>0</v>
      </c>
      <c r="I345" s="379">
        <f>IF(H345,Wh_hp,'2021'!Maxi_hp)</f>
        <v>23.300191289146664</v>
      </c>
      <c r="J345" s="85">
        <f>IF(H345,An,'2021'!An_max)</f>
        <v>2020</v>
      </c>
      <c r="K345" s="197">
        <f t="shared" si="129"/>
        <v>44892</v>
      </c>
      <c r="L345" s="147">
        <f>IF(t&lt;Tvie,1-EXP((T0-t)*PertePVj)+'2021'!Pspv,1-EXP((T0-t)*PertePVj)+Pspv)</f>
        <v>2.6679397624349233E-2</v>
      </c>
      <c r="M345" s="832"/>
      <c r="N345" s="832"/>
      <c r="O345" s="48">
        <f>IF(t&lt;Tnet,'2021'!Resal+('2021'!Salim-'2021'!Resal)*(1-EXP(('2021'!Tnet-t)/('2021'!Tau_j))),Resal+(Salim-Resal)*(1-EXP((Tnet-t)/(Tau_j))))*Salcycl</f>
        <v>2.5817178242759947E-2</v>
      </c>
      <c r="P345" s="169">
        <f>(INDEX(Models!$BJ345:$BT345,,T345)*(1-R345)+INDEX(Models!$BJ345:$BT345,,T345+1)*R345-ERP_i)*Q345*Ramure*Pc/MaxiM</f>
        <v>4.9532866072301476E-3</v>
      </c>
      <c r="Q345" s="304">
        <f t="shared" si="130"/>
        <v>0.6</v>
      </c>
      <c r="R345" s="177">
        <f t="shared" si="131"/>
        <v>0.49881530853094369</v>
      </c>
      <c r="S345" s="799">
        <f t="shared" si="132"/>
        <v>0</v>
      </c>
      <c r="T345" s="176">
        <f t="shared" si="133"/>
        <v>6</v>
      </c>
      <c r="U345" s="250">
        <f t="shared" si="134"/>
        <v>0.49881530853094369</v>
      </c>
      <c r="V345" s="382">
        <f t="shared" si="135"/>
        <v>25.371702866771702</v>
      </c>
      <c r="W345" s="400">
        <f t="shared" si="136"/>
        <v>0</v>
      </c>
      <c r="X345" s="157">
        <f t="shared" si="137"/>
        <v>44892</v>
      </c>
      <c r="Y345" s="383">
        <f t="shared" si="138"/>
        <v>13.957765049364834</v>
      </c>
      <c r="Z345" s="383">
        <f t="shared" si="139"/>
        <v>14.340357139566505</v>
      </c>
      <c r="AA345" s="384">
        <f t="shared" si="140"/>
        <v>15.721495946377226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8.7850342710483906E-2</v>
      </c>
      <c r="AD345" s="230">
        <f>(INDEX(Models!$BJ345:$BT345,,AH345)*(1-AF345)+INDEX(Models!$BJ345:$BT345,,AH345+1)*AF345-ERP_i)*AE345*Ramure*Pc/MaxiM</f>
        <v>4.9532866072301476E-3</v>
      </c>
      <c r="AE345" s="304">
        <f t="shared" si="142"/>
        <v>0.6</v>
      </c>
      <c r="AF345" s="177">
        <f t="shared" si="143"/>
        <v>0.49881530853094369</v>
      </c>
      <c r="AG345" s="799">
        <f t="shared" si="149"/>
        <v>0</v>
      </c>
      <c r="AH345" s="176">
        <f t="shared" si="144"/>
        <v>6</v>
      </c>
      <c r="AI345" s="224">
        <f t="shared" si="145"/>
        <v>0.49881530853094369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1153">
        <v>10.815</v>
      </c>
      <c r="C346" s="388"/>
      <c r="D346" s="391">
        <f t="shared" si="127"/>
        <v>11.111659657242003</v>
      </c>
      <c r="E346" s="383">
        <f t="shared" si="125"/>
        <v>11.406807254652186</v>
      </c>
      <c r="F346" s="383">
        <f t="shared" si="128"/>
        <v>11.417360402825549</v>
      </c>
      <c r="G346" s="110">
        <f t="shared" si="126"/>
        <v>0.42795962483422967</v>
      </c>
      <c r="H346" s="412" t="b">
        <f>Wh_hp&gt;='2021'!Maxi_hp</f>
        <v>0</v>
      </c>
      <c r="I346" s="379">
        <f>IF(H346,Wh_hp,'2021'!Maxi_hp)</f>
        <v>16.384266753107251</v>
      </c>
      <c r="J346" s="85">
        <f>IF(H346,An,'2021'!An_max)</f>
        <v>2020</v>
      </c>
      <c r="K346" s="197">
        <f t="shared" si="129"/>
        <v>44893</v>
      </c>
      <c r="L346" s="147">
        <f>IF(t&lt;Tvie,1-EXP((T0-t)*PertePVj)+'2021'!Pspv,1-EXP((T0-t)*PertePVj)+Pspv)</f>
        <v>2.6698051091643693E-2</v>
      </c>
      <c r="M346" s="832"/>
      <c r="N346" s="832"/>
      <c r="O346" s="48">
        <f>IF(t&lt;Tnet,'2021'!Resal+('2021'!Salim-'2021'!Resal)*(1-EXP(('2021'!Tnet-t)/('2021'!Tau_j))),Resal+(Salim-Resal)*(1-EXP((Tnet-t)/(Tau_j))))*Salcycl</f>
        <v>2.5874689632351761E-2</v>
      </c>
      <c r="P346" s="169">
        <f>(INDEX(Models!$BJ346:$BT346,,T346)*(1-R346)+INDEX(Models!$BJ346:$BT346,,T346+1)*R346-ERP_i)*Q346*Ramure*Pc/MaxiM</f>
        <v>4.9882602490832111E-3</v>
      </c>
      <c r="Q346" s="304">
        <f t="shared" si="130"/>
        <v>0.6</v>
      </c>
      <c r="R346" s="177">
        <f t="shared" si="131"/>
        <v>0.49883391759017842</v>
      </c>
      <c r="S346" s="799">
        <f t="shared" si="132"/>
        <v>0</v>
      </c>
      <c r="T346" s="176">
        <f t="shared" si="133"/>
        <v>6</v>
      </c>
      <c r="U346" s="250">
        <f t="shared" si="134"/>
        <v>0.49883391759017842</v>
      </c>
      <c r="V346" s="382">
        <f t="shared" si="135"/>
        <v>25.168280043462591</v>
      </c>
      <c r="W346" s="400">
        <f t="shared" si="136"/>
        <v>0</v>
      </c>
      <c r="X346" s="157">
        <f t="shared" si="137"/>
        <v>44893</v>
      </c>
      <c r="Y346" s="383">
        <f t="shared" si="138"/>
        <v>10.127208061229963</v>
      </c>
      <c r="Z346" s="383">
        <f t="shared" si="139"/>
        <v>10.405001318027274</v>
      </c>
      <c r="AA346" s="384">
        <f t="shared" si="140"/>
        <v>11.406807254652186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8.7825270845733994E-2</v>
      </c>
      <c r="AD346" s="230">
        <f>(INDEX(Models!$BJ346:$BT346,,AH346)*(1-AF346)+INDEX(Models!$BJ346:$BT346,,AH346+1)*AF346-ERP_i)*AE346*Ramure*Pc/MaxiM</f>
        <v>4.9882602490832111E-3</v>
      </c>
      <c r="AE346" s="304">
        <f t="shared" si="142"/>
        <v>0.6</v>
      </c>
      <c r="AF346" s="177">
        <f t="shared" si="143"/>
        <v>0.49883391759017842</v>
      </c>
      <c r="AG346" s="799">
        <f t="shared" si="149"/>
        <v>0</v>
      </c>
      <c r="AH346" s="176">
        <f t="shared" si="144"/>
        <v>6</v>
      </c>
      <c r="AI346" s="224">
        <f t="shared" si="145"/>
        <v>0.49883391759017842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1153">
        <v>15.750999999999999</v>
      </c>
      <c r="C347" s="388"/>
      <c r="D347" s="391">
        <f t="shared" si="127"/>
        <v>16.183366207961836</v>
      </c>
      <c r="E347" s="383">
        <f t="shared" si="125"/>
        <v>16.614215197286139</v>
      </c>
      <c r="F347" s="383">
        <f t="shared" si="128"/>
        <v>16.653825364085652</v>
      </c>
      <c r="G347" s="110">
        <f t="shared" si="126"/>
        <v>0.62913677825827519</v>
      </c>
      <c r="H347" s="412" t="b">
        <f>Wh_hp&gt;='2021'!Maxi_hp</f>
        <v>1</v>
      </c>
      <c r="I347" s="379">
        <f>IF(H347,Wh_hp,'2021'!Maxi_hp)</f>
        <v>16.653825364085652</v>
      </c>
      <c r="J347" s="85">
        <f>IF(H347,An,'2021'!An_max)</f>
        <v>2022</v>
      </c>
      <c r="K347" s="197">
        <f t="shared" si="129"/>
        <v>44894</v>
      </c>
      <c r="L347" s="147">
        <f>IF(t&lt;Tvie,1-EXP((T0-t)*PertePVj)+'2021'!Pspv,1-EXP((T0-t)*PertePVj)+Pspv)</f>
        <v>2.6716704201448671E-2</v>
      </c>
      <c r="M347" s="832"/>
      <c r="N347" s="832"/>
      <c r="O347" s="48">
        <f>IF(t&lt;Tnet,'2021'!Resal+('2021'!Salim-'2021'!Resal)*(1-EXP(('2021'!Tnet-t)/('2021'!Tau_j))),Resal+(Salim-Resal)*(1-EXP((Tnet-t)/(Tau_j))))*Salcycl</f>
        <v>2.5932551384953824E-2</v>
      </c>
      <c r="P347" s="169">
        <f>(INDEX(Models!$BJ347:$BT347,,T347)*(1-R347)+INDEX(Models!$BJ347:$BT347,,T347+1)*R347-ERP_i)*Q347*Ramure*Pc/MaxiM</f>
        <v>5.032749546592735E-3</v>
      </c>
      <c r="Q347" s="304">
        <f t="shared" si="130"/>
        <v>0.6</v>
      </c>
      <c r="R347" s="177">
        <f t="shared" si="131"/>
        <v>0.49885177869630759</v>
      </c>
      <c r="S347" s="799">
        <f t="shared" si="132"/>
        <v>0</v>
      </c>
      <c r="T347" s="176">
        <f t="shared" si="133"/>
        <v>6</v>
      </c>
      <c r="U347" s="250">
        <f t="shared" si="134"/>
        <v>0.49885177869630759</v>
      </c>
      <c r="V347" s="382">
        <f t="shared" si="135"/>
        <v>24.969279937743995</v>
      </c>
      <c r="W347" s="400">
        <f t="shared" si="136"/>
        <v>0</v>
      </c>
      <c r="X347" s="157">
        <f t="shared" si="137"/>
        <v>44894</v>
      </c>
      <c r="Y347" s="383">
        <f t="shared" si="138"/>
        <v>14.750553821215991</v>
      </c>
      <c r="Z347" s="383">
        <f t="shared" si="139"/>
        <v>15.15545770166905</v>
      </c>
      <c r="AA347" s="384">
        <f t="shared" si="140"/>
        <v>16.614215197286139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8.7801769646956934E-2</v>
      </c>
      <c r="AD347" s="230">
        <f>(INDEX(Models!$BJ347:$BT347,,AH347)*(1-AF347)+INDEX(Models!$BJ347:$BT347,,AH347+1)*AF347-ERP_i)*AE347*Ramure*Pc/MaxiM</f>
        <v>5.032749546592735E-3</v>
      </c>
      <c r="AE347" s="304">
        <f t="shared" si="142"/>
        <v>0.6</v>
      </c>
      <c r="AF347" s="177">
        <f t="shared" si="143"/>
        <v>0.49885177869630759</v>
      </c>
      <c r="AG347" s="799">
        <f t="shared" si="149"/>
        <v>0</v>
      </c>
      <c r="AH347" s="176">
        <f t="shared" si="144"/>
        <v>6</v>
      </c>
      <c r="AI347" s="224">
        <f t="shared" si="145"/>
        <v>0.49885177869630759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1153">
        <v>4.1159999999999997</v>
      </c>
      <c r="C348" s="388"/>
      <c r="D348" s="391">
        <f t="shared" si="127"/>
        <v>4.2290655778034818</v>
      </c>
      <c r="E348" s="383">
        <f t="shared" si="125"/>
        <v>4.3419152810641801</v>
      </c>
      <c r="F348" s="383">
        <f t="shared" si="128"/>
        <v>4.3419152810641801</v>
      </c>
      <c r="G348" s="110">
        <f t="shared" si="126"/>
        <v>0.16528794080060319</v>
      </c>
      <c r="H348" s="412" t="b">
        <f>Wh_hp&gt;='2021'!Maxi_hp</f>
        <v>0</v>
      </c>
      <c r="I348" s="379">
        <f>IF(H348,Wh_hp,'2021'!Maxi_hp)</f>
        <v>25.310170680267795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2.673535695377105E-2</v>
      </c>
      <c r="M348" s="832"/>
      <c r="N348" s="832"/>
      <c r="O348" s="48">
        <f>IF(t&lt;Tnet,'2021'!Resal+('2021'!Salim-'2021'!Resal)*(1-EXP(('2021'!Tnet-t)/('2021'!Tau_j))),Resal+(Salim-Resal)*(1-EXP((Tnet-t)/(Tau_j))))*Salcycl</f>
        <v>2.5990765815458183E-2</v>
      </c>
      <c r="P348" s="169">
        <f>(INDEX(Models!$BJ348:$BT348,,T348)*(1-R348)+INDEX(Models!$BJ348:$BT348,,T348+1)*R348-ERP_i)*Q348*Ramure*Pc/MaxiM</f>
        <v>5.0866839523744743E-3</v>
      </c>
      <c r="Q348" s="304">
        <f t="shared" si="130"/>
        <v>0.6</v>
      </c>
      <c r="R348" s="177">
        <f t="shared" si="131"/>
        <v>0.49886892186151666</v>
      </c>
      <c r="S348" s="799">
        <f t="shared" si="132"/>
        <v>0</v>
      </c>
      <c r="T348" s="176">
        <f t="shared" si="133"/>
        <v>6</v>
      </c>
      <c r="U348" s="250">
        <f t="shared" si="134"/>
        <v>0.49886892186151666</v>
      </c>
      <c r="V348" s="382">
        <f t="shared" si="135"/>
        <v>24.775329579501189</v>
      </c>
      <c r="W348" s="400">
        <f t="shared" si="136"/>
        <v>0</v>
      </c>
      <c r="X348" s="157">
        <f t="shared" si="137"/>
        <v>44895</v>
      </c>
      <c r="Y348" s="383">
        <f t="shared" si="138"/>
        <v>3.8548897371186714</v>
      </c>
      <c r="Z348" s="383">
        <f t="shared" si="139"/>
        <v>3.9607826757717413</v>
      </c>
      <c r="AA348" s="384">
        <f t="shared" si="140"/>
        <v>4.3419152810641801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8.7779834616907818E-2</v>
      </c>
      <c r="AD348" s="230">
        <f>(INDEX(Models!$BJ348:$BT348,,AH348)*(1-AF348)+INDEX(Models!$BJ348:$BT348,,AH348+1)*AF348-ERP_i)*AE348*Ramure*Pc/MaxiM</f>
        <v>5.0866839523744743E-3</v>
      </c>
      <c r="AE348" s="304">
        <f t="shared" si="142"/>
        <v>0.6</v>
      </c>
      <c r="AF348" s="177">
        <f t="shared" si="143"/>
        <v>0.49886892186151666</v>
      </c>
      <c r="AG348" s="799">
        <f t="shared" si="149"/>
        <v>0</v>
      </c>
      <c r="AH348" s="176">
        <f t="shared" si="144"/>
        <v>6</v>
      </c>
      <c r="AI348" s="224">
        <f t="shared" si="145"/>
        <v>0.49886892186151666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1153">
        <v>3.8959999999999999</v>
      </c>
      <c r="C349" s="388"/>
      <c r="D349" s="391">
        <f t="shared" si="127"/>
        <v>4.0030989466418987</v>
      </c>
      <c r="E349" s="383">
        <f t="shared" si="125"/>
        <v>4.1101660330628924</v>
      </c>
      <c r="F349" s="383">
        <f t="shared" si="128"/>
        <v>4.1101660330628924</v>
      </c>
      <c r="G349" s="110">
        <f t="shared" si="126"/>
        <v>0.15764131051661912</v>
      </c>
      <c r="H349" s="412" t="b">
        <f>Wh_hp&gt;='2021'!Maxi_hp</f>
        <v>0</v>
      </c>
      <c r="I349" s="379">
        <f>IF(H349,Wh_hp,'2021'!Maxi_hp)</f>
        <v>26.146261330818092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2.6754009348617713E-2</v>
      </c>
      <c r="M349" s="832"/>
      <c r="N349" s="832"/>
      <c r="O349" s="48">
        <f>IF(t&lt;Tnet,'2021'!Resal+('2021'!Salim-'2021'!Resal)*(1-EXP(('2021'!Tnet-t)/('2021'!Tau_j))),Resal+(Salim-Resal)*(1-EXP((Tnet-t)/(Tau_j))))*Salcycl</f>
        <v>2.6049333666748959E-2</v>
      </c>
      <c r="P349" s="169">
        <f>(INDEX(Models!$BJ349:$BT349,,T349)*(1-R349)+INDEX(Models!$BJ349:$BT349,,T349+1)*R349-ERP_i)*Q349*Ramure*Pc/MaxiM</f>
        <v>5.1499843185524845E-3</v>
      </c>
      <c r="Q349" s="304">
        <f t="shared" si="130"/>
        <v>0.6</v>
      </c>
      <c r="R349" s="177">
        <f t="shared" si="131"/>
        <v>0.49888537589769216</v>
      </c>
      <c r="S349" s="799">
        <f t="shared" si="132"/>
        <v>0</v>
      </c>
      <c r="T349" s="176">
        <f t="shared" si="133"/>
        <v>6</v>
      </c>
      <c r="U349" s="250">
        <f t="shared" si="134"/>
        <v>0.49888537589769216</v>
      </c>
      <c r="V349" s="382">
        <f t="shared" si="135"/>
        <v>24.587055565528964</v>
      </c>
      <c r="W349" s="400">
        <f t="shared" si="136"/>
        <v>0</v>
      </c>
      <c r="X349" s="157">
        <f t="shared" si="137"/>
        <v>44896</v>
      </c>
      <c r="Y349" s="383">
        <f t="shared" si="138"/>
        <v>3.6491470072770786</v>
      </c>
      <c r="Z349" s="383">
        <f t="shared" si="139"/>
        <v>3.749460097785501</v>
      </c>
      <c r="AA349" s="384">
        <f t="shared" si="140"/>
        <v>4.1101660330628924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8.7759456035549355E-2</v>
      </c>
      <c r="AD349" s="230">
        <f>(INDEX(Models!$BJ349:$BT349,,AH349)*(1-AF349)+INDEX(Models!$BJ349:$BT349,,AH349+1)*AF349-ERP_i)*AE349*Ramure*Pc/MaxiM</f>
        <v>5.1499843185524845E-3</v>
      </c>
      <c r="AE349" s="304">
        <f t="shared" si="142"/>
        <v>0.6</v>
      </c>
      <c r="AF349" s="177">
        <f t="shared" si="143"/>
        <v>0.49888537589769216</v>
      </c>
      <c r="AG349" s="799">
        <f t="shared" si="149"/>
        <v>0</v>
      </c>
      <c r="AH349" s="176">
        <f t="shared" si="144"/>
        <v>6</v>
      </c>
      <c r="AI349" s="224">
        <f t="shared" si="145"/>
        <v>0.49888537589769216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1153">
        <v>5.8529999999999998</v>
      </c>
      <c r="C350" s="388"/>
      <c r="D350" s="391">
        <f t="shared" si="127"/>
        <v>6.0140110822774373</v>
      </c>
      <c r="E350" s="383">
        <f t="shared" si="125"/>
        <v>6.1752357054737335</v>
      </c>
      <c r="F350" s="383">
        <f t="shared" si="128"/>
        <v>6.1752357054737335</v>
      </c>
      <c r="G350" s="110">
        <f t="shared" si="126"/>
        <v>0.23857456668753158</v>
      </c>
      <c r="H350" s="412" t="b">
        <f>Wh_hp&gt;='2021'!Maxi_hp</f>
        <v>0</v>
      </c>
      <c r="I350" s="379">
        <f>IF(H350,Wh_hp,'2021'!Maxi_hp)</f>
        <v>9.9498204075695913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2.6772661385995433E-2</v>
      </c>
      <c r="M350" s="832"/>
      <c r="N350" s="832"/>
      <c r="O350" s="48">
        <f>IF(t&lt;Tnet,'2021'!Resal+('2021'!Salim-'2021'!Resal)*(1-EXP(('2021'!Tnet-t)/('2021'!Tau_j))),Resal+(Salim-Resal)*(1-EXP((Tnet-t)/(Tau_j))))*Salcycl</f>
        <v>2.6108254143787039E-2</v>
      </c>
      <c r="P350" s="169">
        <f>(INDEX(Models!$BJ350:$BT350,,T350)*(1-R350)+INDEX(Models!$BJ350:$BT350,,T350+1)*R350-ERP_i)*Q350*Ramure*Pc/MaxiM</f>
        <v>5.2225603218685459E-3</v>
      </c>
      <c r="Q350" s="304">
        <f t="shared" si="130"/>
        <v>0.6</v>
      </c>
      <c r="R350" s="177">
        <f t="shared" si="131"/>
        <v>0.49890116846411409</v>
      </c>
      <c r="S350" s="799">
        <f t="shared" si="132"/>
        <v>0</v>
      </c>
      <c r="T350" s="176">
        <f t="shared" si="133"/>
        <v>6</v>
      </c>
      <c r="U350" s="250">
        <f t="shared" si="134"/>
        <v>0.49890116846411409</v>
      </c>
      <c r="V350" s="382">
        <f t="shared" si="135"/>
        <v>24.405084059366317</v>
      </c>
      <c r="W350" s="400">
        <f t="shared" si="136"/>
        <v>0</v>
      </c>
      <c r="X350" s="157">
        <f t="shared" si="137"/>
        <v>44897</v>
      </c>
      <c r="Y350" s="383">
        <f t="shared" si="138"/>
        <v>5.4825951435553</v>
      </c>
      <c r="Z350" s="383">
        <f t="shared" si="139"/>
        <v>5.6334167013466656</v>
      </c>
      <c r="AA350" s="384">
        <f t="shared" si="140"/>
        <v>6.1752357054737335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8.7740619138925946E-2</v>
      </c>
      <c r="AD350" s="230">
        <f>(INDEX(Models!$BJ350:$BT350,,AH350)*(1-AF350)+INDEX(Models!$BJ350:$BT350,,AH350+1)*AF350-ERP_i)*AE350*Ramure*Pc/MaxiM</f>
        <v>5.2225603218685459E-3</v>
      </c>
      <c r="AE350" s="304">
        <f t="shared" si="142"/>
        <v>0.6</v>
      </c>
      <c r="AF350" s="177">
        <f t="shared" si="143"/>
        <v>0.49890116846411409</v>
      </c>
      <c r="AG350" s="799">
        <f t="shared" si="149"/>
        <v>0</v>
      </c>
      <c r="AH350" s="176">
        <f t="shared" si="144"/>
        <v>6</v>
      </c>
      <c r="AI350" s="224">
        <f t="shared" si="145"/>
        <v>0.49890116846411409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1153">
        <v>9.8090000000000011</v>
      </c>
      <c r="C351" s="388"/>
      <c r="D351" s="391">
        <f t="shared" si="127"/>
        <v>10.079030460467234</v>
      </c>
      <c r="E351" s="383">
        <f t="shared" si="125"/>
        <v>10.349860698599114</v>
      </c>
      <c r="F351" s="383">
        <f t="shared" si="128"/>
        <v>10.358088575259893</v>
      </c>
      <c r="G351" s="110">
        <f t="shared" si="126"/>
        <v>0.40300083162666123</v>
      </c>
      <c r="H351" s="412" t="b">
        <f>Wh_hp&gt;='2021'!Maxi_hp</f>
        <v>0</v>
      </c>
      <c r="I351" s="379">
        <f>IF(H351,Wh_hp,'2021'!Maxi_hp)</f>
        <v>16.647333469246274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2.6791313065911093E-2</v>
      </c>
      <c r="M351" s="832"/>
      <c r="N351" s="832"/>
      <c r="O351" s="48">
        <f>IF(t&lt;Tnet,'2021'!Resal+('2021'!Salim-'2021'!Resal)*(1-EXP(('2021'!Tnet-t)/('2021'!Tau_j))),Resal+(Salim-Resal)*(1-EXP((Tnet-t)/(Tau_j))))*Salcycl</f>
        <v>2.6167524956982022E-2</v>
      </c>
      <c r="P351" s="169">
        <f>(INDEX(Models!$BJ351:$BT351,,T351)*(1-R351)+INDEX(Models!$BJ351:$BT351,,T351+1)*R351-ERP_i)*Q351*Ramure*Pc/MaxiM</f>
        <v>5.3043077490166441E-3</v>
      </c>
      <c r="Q351" s="304">
        <f t="shared" si="130"/>
        <v>0.6</v>
      </c>
      <c r="R351" s="177">
        <f t="shared" si="131"/>
        <v>0.49891632611327669</v>
      </c>
      <c r="S351" s="799">
        <f t="shared" si="132"/>
        <v>0</v>
      </c>
      <c r="T351" s="176">
        <f t="shared" si="133"/>
        <v>6</v>
      </c>
      <c r="U351" s="250">
        <f t="shared" si="134"/>
        <v>0.49891632611327669</v>
      </c>
      <c r="V351" s="382">
        <f t="shared" si="135"/>
        <v>24.230040790511357</v>
      </c>
      <c r="W351" s="400">
        <f t="shared" si="136"/>
        <v>0</v>
      </c>
      <c r="X351" s="157">
        <f t="shared" si="137"/>
        <v>44898</v>
      </c>
      <c r="Y351" s="383">
        <f t="shared" si="138"/>
        <v>9.1889748362191401</v>
      </c>
      <c r="Z351" s="383">
        <f t="shared" si="139"/>
        <v>9.4419367188010614</v>
      </c>
      <c r="AA351" s="384">
        <f t="shared" si="140"/>
        <v>10.349860698599114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8.7723304326303E-2</v>
      </c>
      <c r="AD351" s="230">
        <f>(INDEX(Models!$BJ351:$BT351,,AH351)*(1-AF351)+INDEX(Models!$BJ351:$BT351,,AH351+1)*AF351-ERP_i)*AE351*Ramure*Pc/MaxiM</f>
        <v>5.3043077490166441E-3</v>
      </c>
      <c r="AE351" s="304">
        <f t="shared" si="142"/>
        <v>0.6</v>
      </c>
      <c r="AF351" s="177">
        <f t="shared" si="143"/>
        <v>0.49891632611327669</v>
      </c>
      <c r="AG351" s="799">
        <f t="shared" si="149"/>
        <v>0</v>
      </c>
      <c r="AH351" s="176">
        <f t="shared" si="144"/>
        <v>6</v>
      </c>
      <c r="AI351" s="224">
        <f t="shared" si="145"/>
        <v>0.49891632611327669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1153">
        <v>17.988</v>
      </c>
      <c r="C352" s="388"/>
      <c r="D352" s="391">
        <f t="shared" si="127"/>
        <v>18.483543133171249</v>
      </c>
      <c r="E352" s="383">
        <f t="shared" si="125"/>
        <v>18.98137023272692</v>
      </c>
      <c r="F352" s="383">
        <f t="shared" si="128"/>
        <v>19.047013282161593</v>
      </c>
      <c r="G352" s="110">
        <f t="shared" si="126"/>
        <v>0.74608984214444096</v>
      </c>
      <c r="H352" s="412" t="b">
        <f>Wh_hp&gt;='2021'!Maxi_hp</f>
        <v>1</v>
      </c>
      <c r="I352" s="379">
        <f>IF(H352,Wh_hp,'2021'!Maxi_hp)</f>
        <v>19.047013282161593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2.6809964388371577E-2</v>
      </c>
      <c r="M352" s="832"/>
      <c r="N352" s="832"/>
      <c r="O352" s="48">
        <f>IF(t&lt;Tnet,'2021'!Resal+('2021'!Salim-'2021'!Resal)*(1-EXP(('2021'!Tnet-t)/('2021'!Tau_j))),Resal+(Salim-Resal)*(1-EXP((Tnet-t)/(Tau_j))))*Salcycl</f>
        <v>2.6227142374439221E-2</v>
      </c>
      <c r="P352" s="169">
        <f>(INDEX(Models!$BJ352:$BT352,,T352)*(1-R352)+INDEX(Models!$BJ352:$BT352,,T352+1)*R352-ERP_i)*Q352*Ramure*Pc/MaxiM</f>
        <v>5.3903897721232072E-3</v>
      </c>
      <c r="Q352" s="304">
        <f t="shared" si="130"/>
        <v>0.6</v>
      </c>
      <c r="R352" s="177">
        <f t="shared" si="131"/>
        <v>0.49893087433491168</v>
      </c>
      <c r="S352" s="799">
        <f t="shared" si="132"/>
        <v>0</v>
      </c>
      <c r="T352" s="176">
        <f t="shared" si="133"/>
        <v>6</v>
      </c>
      <c r="U352" s="250">
        <f t="shared" si="134"/>
        <v>0.49893087433491168</v>
      </c>
      <c r="V352" s="382">
        <f t="shared" si="135"/>
        <v>24.062665137391932</v>
      </c>
      <c r="W352" s="400">
        <f t="shared" si="136"/>
        <v>0</v>
      </c>
      <c r="X352" s="157">
        <f t="shared" si="137"/>
        <v>44899</v>
      </c>
      <c r="Y352" s="383">
        <f t="shared" si="138"/>
        <v>16.852305533321761</v>
      </c>
      <c r="Z352" s="383">
        <f t="shared" si="139"/>
        <v>17.316561942324512</v>
      </c>
      <c r="AA352" s="384">
        <f t="shared" si="140"/>
        <v>18.98137023272692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8.7707487393719016E-2</v>
      </c>
      <c r="AD352" s="230">
        <f>(INDEX(Models!$BJ352:$BT352,,AH352)*(1-AF352)+INDEX(Models!$BJ352:$BT352,,AH352+1)*AF352-ERP_i)*AE352*Ramure*Pc/MaxiM</f>
        <v>5.3903897721232072E-3</v>
      </c>
      <c r="AE352" s="304">
        <f t="shared" si="142"/>
        <v>0.6</v>
      </c>
      <c r="AF352" s="177">
        <f t="shared" si="143"/>
        <v>0.49893087433491168</v>
      </c>
      <c r="AG352" s="799">
        <f t="shared" si="149"/>
        <v>0</v>
      </c>
      <c r="AH352" s="176">
        <f t="shared" si="144"/>
        <v>6</v>
      </c>
      <c r="AI352" s="224">
        <f t="shared" si="145"/>
        <v>0.49893087433491168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1153">
        <v>23.846</v>
      </c>
      <c r="C353" s="388"/>
      <c r="D353" s="391">
        <f t="shared" si="127"/>
        <v>24.503392080994143</v>
      </c>
      <c r="E353" s="383">
        <f t="shared" si="125"/>
        <v>25.164904473660201</v>
      </c>
      <c r="F353" s="383">
        <f t="shared" si="128"/>
        <v>25.302989911833503</v>
      </c>
      <c r="G353" s="110">
        <f t="shared" si="126"/>
        <v>0.99756770687660556</v>
      </c>
      <c r="H353" s="412" t="b">
        <f>Wh_hp&gt;='2021'!Maxi_hp</f>
        <v>1</v>
      </c>
      <c r="I353" s="379">
        <f>IF(H353,Wh_hp,'2021'!Maxi_hp)</f>
        <v>25.302989911833503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2.6828615353383767E-2</v>
      </c>
      <c r="M353" s="832"/>
      <c r="N353" s="832"/>
      <c r="O353" s="48">
        <f>IF(t&lt;Tnet,'2021'!Resal+('2021'!Salim-'2021'!Resal)*(1-EXP(('2021'!Tnet-t)/('2021'!Tau_j))),Resal+(Salim-Resal)*(1-EXP((Tnet-t)/(Tau_j))))*Salcycl</f>
        <v>2.6287101282599881E-2</v>
      </c>
      <c r="P353" s="169">
        <f>(INDEX(Models!$BJ353:$BT353,,T353)*(1-R353)+INDEX(Models!$BJ353:$BT353,,T353+1)*R353-ERP_i)*Q353*Ramure*Pc/MaxiM</f>
        <v>5.4761574031614579E-3</v>
      </c>
      <c r="Q353" s="304">
        <f t="shared" si="130"/>
        <v>0.6</v>
      </c>
      <c r="R353" s="177">
        <f t="shared" si="131"/>
        <v>0.49894483759828062</v>
      </c>
      <c r="S353" s="799">
        <f t="shared" si="132"/>
        <v>0</v>
      </c>
      <c r="T353" s="176">
        <f t="shared" si="133"/>
        <v>6</v>
      </c>
      <c r="U353" s="250">
        <f t="shared" si="134"/>
        <v>0.49894483759828062</v>
      </c>
      <c r="V353" s="382">
        <f t="shared" si="135"/>
        <v>23.903688096216818</v>
      </c>
      <c r="W353" s="400">
        <f t="shared" si="136"/>
        <v>0</v>
      </c>
      <c r="X353" s="157">
        <f t="shared" si="137"/>
        <v>44900</v>
      </c>
      <c r="Y353" s="383">
        <f t="shared" si="138"/>
        <v>22.342180551555103</v>
      </c>
      <c r="Z353" s="383">
        <f t="shared" si="139"/>
        <v>22.958114987801586</v>
      </c>
      <c r="AA353" s="384">
        <f t="shared" si="140"/>
        <v>25.164904473660201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8.7693139791904767E-2</v>
      </c>
      <c r="AD353" s="230">
        <f>(INDEX(Models!$BJ353:$BT353,,AH353)*(1-AF353)+INDEX(Models!$BJ353:$BT353,,AH353+1)*AF353-ERP_i)*AE353*Ramure*Pc/MaxiM</f>
        <v>5.4761574031614579E-3</v>
      </c>
      <c r="AE353" s="304">
        <f t="shared" si="142"/>
        <v>0.6</v>
      </c>
      <c r="AF353" s="177">
        <f t="shared" si="143"/>
        <v>0.49894483759828062</v>
      </c>
      <c r="AG353" s="799">
        <f t="shared" si="149"/>
        <v>0</v>
      </c>
      <c r="AH353" s="176">
        <f t="shared" si="144"/>
        <v>6</v>
      </c>
      <c r="AI353" s="224">
        <f t="shared" si="145"/>
        <v>0.49894483759828062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1153">
        <v>11.722</v>
      </c>
      <c r="C354" s="388"/>
      <c r="D354" s="391">
        <f t="shared" si="127"/>
        <v>12.045385672758826</v>
      </c>
      <c r="E354" s="383">
        <f t="shared" si="125"/>
        <v>12.371338210418637</v>
      </c>
      <c r="F354" s="383">
        <f t="shared" si="128"/>
        <v>12.390384461695765</v>
      </c>
      <c r="G354" s="110">
        <f t="shared" si="126"/>
        <v>0.49149143572910914</v>
      </c>
      <c r="H354" s="412" t="b">
        <f>Wh_hp&gt;='2021'!Maxi_hp</f>
        <v>0</v>
      </c>
      <c r="I354" s="379">
        <f>IF(H354,Wh_hp,'2021'!Maxi_hp)</f>
        <v>18.881092862283797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2.6847265960954436E-2</v>
      </c>
      <c r="M354" s="832"/>
      <c r="N354" s="832"/>
      <c r="O354" s="48">
        <f>IF(t&lt;Tnet,'2021'!Resal+('2021'!Salim-'2021'!Resal)*(1-EXP(('2021'!Tnet-t)/('2021'!Tau_j))),Resal+(Salim-Resal)*(1-EXP((Tnet-t)/(Tau_j))))*Salcycl</f>
        <v>2.6347395254727422E-2</v>
      </c>
      <c r="P354" s="169">
        <f>(INDEX(Models!$BJ354:$BT354,,T354)*(1-R354)+INDEX(Models!$BJ354:$BT354,,T354+1)*R354-ERP_i)*Q354*Ramure*Pc/MaxiM</f>
        <v>5.5614218819522755E-3</v>
      </c>
      <c r="Q354" s="304">
        <f t="shared" si="130"/>
        <v>0.6</v>
      </c>
      <c r="R354" s="177">
        <f t="shared" si="131"/>
        <v>0.49895823939280359</v>
      </c>
      <c r="S354" s="799">
        <f t="shared" si="132"/>
        <v>0</v>
      </c>
      <c r="T354" s="176">
        <f t="shared" si="133"/>
        <v>6</v>
      </c>
      <c r="U354" s="250">
        <f t="shared" si="134"/>
        <v>0.49895823939280359</v>
      </c>
      <c r="V354" s="382">
        <f t="shared" si="135"/>
        <v>23.753730714929141</v>
      </c>
      <c r="W354" s="400">
        <f t="shared" si="136"/>
        <v>0</v>
      </c>
      <c r="X354" s="157">
        <f t="shared" si="137"/>
        <v>44901</v>
      </c>
      <c r="Y354" s="383">
        <f t="shared" si="138"/>
        <v>10.983601650773194</v>
      </c>
      <c r="Z354" s="383">
        <f t="shared" si="139"/>
        <v>11.28661644425129</v>
      </c>
      <c r="AA354" s="384">
        <f t="shared" si="140"/>
        <v>12.371338210418637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8.7680228906347343E-2</v>
      </c>
      <c r="AD354" s="230">
        <f>(INDEX(Models!$BJ354:$BT354,,AH354)*(1-AF354)+INDEX(Models!$BJ354:$BT354,,AH354+1)*AF354-ERP_i)*AE354*Ramure*Pc/MaxiM</f>
        <v>5.5614218819522755E-3</v>
      </c>
      <c r="AE354" s="304">
        <f t="shared" si="142"/>
        <v>0.6</v>
      </c>
      <c r="AF354" s="177">
        <f t="shared" si="143"/>
        <v>0.49895823939280359</v>
      </c>
      <c r="AG354" s="799">
        <f t="shared" si="149"/>
        <v>0</v>
      </c>
      <c r="AH354" s="176">
        <f t="shared" si="144"/>
        <v>6</v>
      </c>
      <c r="AI354" s="224">
        <f t="shared" si="145"/>
        <v>0.49895823939280359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1153">
        <v>21.122</v>
      </c>
      <c r="C355" s="388"/>
      <c r="D355" s="391">
        <f t="shared" si="127"/>
        <v>21.70512815434563</v>
      </c>
      <c r="E355" s="383">
        <f t="shared" si="125"/>
        <v>22.29386490954888</v>
      </c>
      <c r="F355" s="383">
        <f t="shared" si="128"/>
        <v>22.401278543576364</v>
      </c>
      <c r="G355" s="110">
        <f t="shared" si="126"/>
        <v>0.89372670189954617</v>
      </c>
      <c r="H355" s="412" t="b">
        <f>Wh_hp&gt;='2021'!Maxi_hp</f>
        <v>1</v>
      </c>
      <c r="I355" s="379">
        <f>IF(H355,Wh_hp,'2021'!Maxi_hp)</f>
        <v>22.401278543576364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2.6865916211090468E-2</v>
      </c>
      <c r="M355" s="832"/>
      <c r="N355" s="832"/>
      <c r="O355" s="48">
        <f>IF(t&lt;Tnet,'2021'!Resal+('2021'!Salim-'2021'!Resal)*(1-EXP(('2021'!Tnet-t)/('2021'!Tau_j))),Resal+(Salim-Resal)*(1-EXP((Tnet-t)/(Tau_j))))*Salcycl</f>
        <v>2.6408016626631885E-2</v>
      </c>
      <c r="P355" s="169">
        <f>(INDEX(Models!$BJ355:$BT355,,T355)*(1-R355)+INDEX(Models!$BJ355:$BT355,,T355+1)*R355-ERP_i)*Q355*Ramure*Pc/MaxiM</f>
        <v>5.6459748135504169E-3</v>
      </c>
      <c r="Q355" s="304">
        <f t="shared" si="130"/>
        <v>0.6</v>
      </c>
      <c r="R355" s="177">
        <f t="shared" si="131"/>
        <v>0.49897110226708863</v>
      </c>
      <c r="S355" s="799">
        <f t="shared" si="132"/>
        <v>0</v>
      </c>
      <c r="T355" s="176">
        <f t="shared" si="133"/>
        <v>6</v>
      </c>
      <c r="U355" s="250">
        <f t="shared" si="134"/>
        <v>0.49897110226708863</v>
      </c>
      <c r="V355" s="382">
        <f t="shared" si="135"/>
        <v>23.613414025867861</v>
      </c>
      <c r="W355" s="400">
        <f t="shared" si="136"/>
        <v>0</v>
      </c>
      <c r="X355" s="157">
        <f t="shared" si="137"/>
        <v>44902</v>
      </c>
      <c r="Y355" s="383">
        <f t="shared" si="138"/>
        <v>19.792953988889622</v>
      </c>
      <c r="Z355" s="383">
        <f t="shared" si="139"/>
        <v>20.339390345701911</v>
      </c>
      <c r="AA355" s="384">
        <f t="shared" si="140"/>
        <v>22.29386490954888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8.7668718357122047E-2</v>
      </c>
      <c r="AD355" s="230">
        <f>(INDEX(Models!$BJ355:$BT355,,AH355)*(1-AF355)+INDEX(Models!$BJ355:$BT355,,AH355+1)*AF355-ERP_i)*AE355*Ramure*Pc/MaxiM</f>
        <v>5.6459748135504169E-3</v>
      </c>
      <c r="AE355" s="304">
        <f t="shared" si="142"/>
        <v>0.6</v>
      </c>
      <c r="AF355" s="177">
        <f t="shared" si="143"/>
        <v>0.49897110226708863</v>
      </c>
      <c r="AG355" s="799">
        <f t="shared" si="149"/>
        <v>0</v>
      </c>
      <c r="AH355" s="176">
        <f t="shared" si="144"/>
        <v>6</v>
      </c>
      <c r="AI355" s="224">
        <f t="shared" si="145"/>
        <v>0.49897110226708863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1153">
        <v>4.242</v>
      </c>
      <c r="C356" s="388"/>
      <c r="D356" s="391">
        <f t="shared" si="127"/>
        <v>4.3591950679640323</v>
      </c>
      <c r="E356" s="383">
        <f t="shared" si="125"/>
        <v>4.4777155257891277</v>
      </c>
      <c r="F356" s="383">
        <f t="shared" si="128"/>
        <v>4.4777155257891277</v>
      </c>
      <c r="G356" s="110">
        <f t="shared" si="126"/>
        <v>0.17960356866473573</v>
      </c>
      <c r="H356" s="412" t="b">
        <f>Wh_hp&gt;='2021'!Maxi_hp</f>
        <v>0</v>
      </c>
      <c r="I356" s="379">
        <f>IF(H356,Wh_hp,'2021'!Maxi_hp)</f>
        <v>17.076709643331426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2.6884566103798746E-2</v>
      </c>
      <c r="M356" s="832"/>
      <c r="N356" s="832"/>
      <c r="O356" s="48">
        <f>IF(t&lt;Tnet,'2021'!Resal+('2021'!Salim-'2021'!Resal)*(1-EXP(('2021'!Tnet-t)/('2021'!Tau_j))),Resal+(Salim-Resal)*(1-EXP((Tnet-t)/(Tau_j))))*Salcycl</f>
        <v>2.6468956578970651E-2</v>
      </c>
      <c r="P356" s="169">
        <f>(INDEX(Models!$BJ356:$BT356,,T356)*(1-R356)+INDEX(Models!$BJ356:$BT356,,T356+1)*R356-ERP_i)*Q356*Ramure*Pc/MaxiM</f>
        <v>5.7295886515338129E-3</v>
      </c>
      <c r="Q356" s="304">
        <f t="shared" si="130"/>
        <v>0.6</v>
      </c>
      <c r="R356" s="177">
        <f t="shared" si="131"/>
        <v>0.49898344786642268</v>
      </c>
      <c r="S356" s="799">
        <f t="shared" si="132"/>
        <v>0</v>
      </c>
      <c r="T356" s="176">
        <f t="shared" si="133"/>
        <v>6</v>
      </c>
      <c r="U356" s="250">
        <f t="shared" si="134"/>
        <v>0.49898344786642268</v>
      </c>
      <c r="V356" s="382">
        <f t="shared" si="135"/>
        <v>23.483359023969761</v>
      </c>
      <c r="W356" s="400">
        <f t="shared" si="136"/>
        <v>0</v>
      </c>
      <c r="X356" s="157">
        <f t="shared" si="137"/>
        <v>44903</v>
      </c>
      <c r="Y356" s="383">
        <f t="shared" si="138"/>
        <v>3.9753764190238083</v>
      </c>
      <c r="Z356" s="383">
        <f t="shared" si="139"/>
        <v>4.085205393472207</v>
      </c>
      <c r="AA356" s="384">
        <f t="shared" si="140"/>
        <v>4.4777155257891277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8.7658568315982233E-2</v>
      </c>
      <c r="AD356" s="230">
        <f>(INDEX(Models!$BJ356:$BT356,,AH356)*(1-AF356)+INDEX(Models!$BJ356:$BT356,,AH356+1)*AF356-ERP_i)*AE356*Ramure*Pc/MaxiM</f>
        <v>5.7295886515338129E-3</v>
      </c>
      <c r="AE356" s="304">
        <f t="shared" si="142"/>
        <v>0.6</v>
      </c>
      <c r="AF356" s="177">
        <f t="shared" si="143"/>
        <v>0.49898344786642268</v>
      </c>
      <c r="AG356" s="799">
        <f t="shared" si="149"/>
        <v>0</v>
      </c>
      <c r="AH356" s="176">
        <f t="shared" si="144"/>
        <v>6</v>
      </c>
      <c r="AI356" s="224">
        <f t="shared" si="145"/>
        <v>0.49898344786642268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1153">
        <v>5.1770000000000005</v>
      </c>
      <c r="C357" s="388"/>
      <c r="D357" s="391">
        <f t="shared" si="127"/>
        <v>5.3201285660398314</v>
      </c>
      <c r="E357" s="383">
        <f t="shared" si="125"/>
        <v>5.4651193027224299</v>
      </c>
      <c r="F357" s="383">
        <f t="shared" si="128"/>
        <v>5.4651193027224299</v>
      </c>
      <c r="G357" s="110">
        <f t="shared" si="126"/>
        <v>0.22029062090993368</v>
      </c>
      <c r="H357" s="412" t="b">
        <f>Wh_hp&gt;='2021'!Maxi_hp</f>
        <v>0</v>
      </c>
      <c r="I357" s="379">
        <f>IF(H357,Wh_hp,'2021'!Maxi_hp)</f>
        <v>11.827516861952027</v>
      </c>
      <c r="J357" s="85">
        <f>IF(H357,An,'2021'!An_max)</f>
        <v>2018</v>
      </c>
      <c r="K357" s="197">
        <f t="shared" si="129"/>
        <v>44904</v>
      </c>
      <c r="L357" s="147">
        <f>IF(t&lt;Tvie,1-EXP((T0-t)*PertePVj)+'2021'!Pspv,1-EXP((T0-t)*PertePVj)+Pspv)</f>
        <v>2.6903215639086042E-2</v>
      </c>
      <c r="M357" s="832"/>
      <c r="N357" s="832"/>
      <c r="O357" s="48">
        <f>IF(t&lt;Tnet,'2021'!Resal+('2021'!Salim-'2021'!Resal)*(1-EXP(('2021'!Tnet-t)/('2021'!Tau_j))),Resal+(Salim-Resal)*(1-EXP((Tnet-t)/(Tau_j))))*Salcycl</f>
        <v>2.6530205225414195E-2</v>
      </c>
      <c r="P357" s="169">
        <f>(INDEX(Models!$BJ357:$BT357,,T357)*(1-R357)+INDEX(Models!$BJ357:$BT357,,T357+1)*R357-ERP_i)*Q357*Ramure*Pc/MaxiM</f>
        <v>5.812017486139083E-3</v>
      </c>
      <c r="Q357" s="304">
        <f t="shared" si="130"/>
        <v>0.6</v>
      </c>
      <c r="R357" s="177">
        <f t="shared" si="131"/>
        <v>0.49899529696878275</v>
      </c>
      <c r="S357" s="799">
        <f t="shared" si="132"/>
        <v>0</v>
      </c>
      <c r="T357" s="176">
        <f t="shared" si="133"/>
        <v>6</v>
      </c>
      <c r="U357" s="250">
        <f t="shared" si="134"/>
        <v>0.49899529696878275</v>
      </c>
      <c r="V357" s="382">
        <f t="shared" si="135"/>
        <v>23.364186655856695</v>
      </c>
      <c r="W357" s="400">
        <f t="shared" si="136"/>
        <v>0</v>
      </c>
      <c r="X357" s="157">
        <f t="shared" si="137"/>
        <v>44904</v>
      </c>
      <c r="Y357" s="383">
        <f t="shared" si="138"/>
        <v>4.8519608342444132</v>
      </c>
      <c r="Z357" s="383">
        <f t="shared" si="139"/>
        <v>4.9861030395151928</v>
      </c>
      <c r="AA357" s="384">
        <f t="shared" si="140"/>
        <v>5.4651193027224299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8.76497358380844E-2</v>
      </c>
      <c r="AD357" s="230">
        <f>(INDEX(Models!$BJ357:$BT357,,AH357)*(1-AF357)+INDEX(Models!$BJ357:$BT357,,AH357+1)*AF357-ERP_i)*AE357*Ramure*Pc/MaxiM</f>
        <v>5.812017486139083E-3</v>
      </c>
      <c r="AE357" s="304">
        <f t="shared" si="142"/>
        <v>0.6</v>
      </c>
      <c r="AF357" s="177">
        <f t="shared" si="143"/>
        <v>0.49899529696878275</v>
      </c>
      <c r="AG357" s="799">
        <f t="shared" si="149"/>
        <v>0</v>
      </c>
      <c r="AH357" s="176">
        <f t="shared" si="144"/>
        <v>6</v>
      </c>
      <c r="AI357" s="224">
        <f t="shared" si="145"/>
        <v>0.49899529696878275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1153">
        <v>12.532</v>
      </c>
      <c r="C358" s="388"/>
      <c r="D358" s="391">
        <f t="shared" si="127"/>
        <v>12.878719135583774</v>
      </c>
      <c r="E358" s="383">
        <f t="shared" si="125"/>
        <v>13.230542434948614</v>
      </c>
      <c r="F358" s="383">
        <f t="shared" si="128"/>
        <v>13.257200766431112</v>
      </c>
      <c r="G358" s="110">
        <f t="shared" si="126"/>
        <v>0.53676354605043419</v>
      </c>
      <c r="H358" s="412" t="b">
        <f>Wh_hp&gt;='2021'!Maxi_hp</f>
        <v>0</v>
      </c>
      <c r="I358" s="379">
        <f>IF(H358,Wh_hp,'2021'!Maxi_hp)</f>
        <v>21.581579026303849</v>
      </c>
      <c r="J358" s="85">
        <f>IF(H358,An,'2021'!An_max)</f>
        <v>2018</v>
      </c>
      <c r="K358" s="197">
        <f t="shared" si="129"/>
        <v>44905</v>
      </c>
      <c r="L358" s="147">
        <f>IF(t&lt;Tvie,1-EXP((T0-t)*PertePVj)+'2021'!Pspv,1-EXP((T0-t)*PertePVj)+Pspv)</f>
        <v>2.6921864816959351E-2</v>
      </c>
      <c r="M358" s="832"/>
      <c r="N358" s="832"/>
      <c r="O358" s="48">
        <f>IF(t&lt;Tnet,'2021'!Resal+('2021'!Salim-'2021'!Resal)*(1-EXP(('2021'!Tnet-t)/('2021'!Tau_j))),Resal+(Salim-Resal)*(1-EXP((Tnet-t)/(Tau_j))))*Salcycl</f>
        <v>2.659175170592365E-2</v>
      </c>
      <c r="P358" s="169">
        <f>(INDEX(Models!$BJ358:$BT358,,T358)*(1-R358)+INDEX(Models!$BJ358:$BT358,,T358+1)*R358-ERP_i)*Q358*Ramure*Pc/MaxiM</f>
        <v>5.892998155708656E-3</v>
      </c>
      <c r="Q358" s="304">
        <f t="shared" si="130"/>
        <v>0.6</v>
      </c>
      <c r="R358" s="177">
        <f t="shared" si="131"/>
        <v>0.49900666951942729</v>
      </c>
      <c r="S358" s="799">
        <f t="shared" si="132"/>
        <v>0</v>
      </c>
      <c r="T358" s="176">
        <f t="shared" si="133"/>
        <v>6</v>
      </c>
      <c r="U358" s="250">
        <f t="shared" si="134"/>
        <v>0.49900666951942729</v>
      </c>
      <c r="V358" s="382">
        <f t="shared" si="135"/>
        <v>23.256517824838461</v>
      </c>
      <c r="W358" s="400">
        <f t="shared" si="136"/>
        <v>0</v>
      </c>
      <c r="X358" s="157">
        <f t="shared" si="137"/>
        <v>44905</v>
      </c>
      <c r="Y358" s="383">
        <f t="shared" si="138"/>
        <v>11.746015384974102</v>
      </c>
      <c r="Z358" s="383">
        <f t="shared" si="139"/>
        <v>12.070988916799184</v>
      </c>
      <c r="AA358" s="384">
        <f t="shared" si="140"/>
        <v>13.230542434948614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8.7642175205640674E-2</v>
      </c>
      <c r="AD358" s="230">
        <f>(INDEX(Models!$BJ358:$BT358,,AH358)*(1-AF358)+INDEX(Models!$BJ358:$BT358,,AH358+1)*AF358-ERP_i)*AE358*Ramure*Pc/MaxiM</f>
        <v>5.892998155708656E-3</v>
      </c>
      <c r="AE358" s="304">
        <f t="shared" si="142"/>
        <v>0.6</v>
      </c>
      <c r="AF358" s="177">
        <f t="shared" si="143"/>
        <v>0.49900666951942729</v>
      </c>
      <c r="AG358" s="799">
        <f t="shared" si="149"/>
        <v>0</v>
      </c>
      <c r="AH358" s="176">
        <f t="shared" si="144"/>
        <v>6</v>
      </c>
      <c r="AI358" s="224">
        <f t="shared" si="145"/>
        <v>0.49900666951942729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1153">
        <v>17.931000000000001</v>
      </c>
      <c r="C359" s="388"/>
      <c r="D359" s="391">
        <f t="shared" si="127"/>
        <v>18.427444828710787</v>
      </c>
      <c r="E359" s="383">
        <f t="shared" si="125"/>
        <v>18.932051868873529</v>
      </c>
      <c r="F359" s="383">
        <f t="shared" si="128"/>
        <v>19.008979262712963</v>
      </c>
      <c r="G359" s="110">
        <f t="shared" si="126"/>
        <v>0.77278083349552784</v>
      </c>
      <c r="H359" s="412" t="b">
        <f>Wh_hp&gt;='2021'!Maxi_hp</f>
        <v>1</v>
      </c>
      <c r="I359" s="379">
        <f>IF(H359,Wh_hp,'2021'!Maxi_hp)</f>
        <v>19.008979262712963</v>
      </c>
      <c r="J359" s="85">
        <f>IF(H359,An,'2021'!An_max)</f>
        <v>2022</v>
      </c>
      <c r="K359" s="197">
        <f t="shared" si="129"/>
        <v>44906</v>
      </c>
      <c r="L359" s="147">
        <f>IF(t&lt;Tvie,1-EXP((T0-t)*PertePVj)+'2021'!Pspv,1-EXP((T0-t)*PertePVj)+Pspv)</f>
        <v>2.6940513637425334E-2</v>
      </c>
      <c r="M359" s="832"/>
      <c r="N359" s="832"/>
      <c r="O359" s="48">
        <f>IF(t&lt;Tnet,'2021'!Resal+('2021'!Salim-'2021'!Resal)*(1-EXP(('2021'!Tnet-t)/('2021'!Tau_j))),Resal+(Salim-Resal)*(1-EXP((Tnet-t)/(Tau_j))))*Salcycl</f>
        <v>2.6653584284351932E-2</v>
      </c>
      <c r="P359" s="169">
        <f>(INDEX(Models!$BJ359:$BT359,,T359)*(1-R359)+INDEX(Models!$BJ359:$BT359,,T359+1)*R359-ERP_i)*Q359*Ramure*Pc/MaxiM</f>
        <v>5.9729258451409282E-3</v>
      </c>
      <c r="Q359" s="304">
        <f t="shared" si="130"/>
        <v>0.6</v>
      </c>
      <c r="R359" s="177">
        <f t="shared" si="131"/>
        <v>0.49901758466411861</v>
      </c>
      <c r="S359" s="799">
        <f t="shared" si="132"/>
        <v>0</v>
      </c>
      <c r="T359" s="176">
        <f t="shared" si="133"/>
        <v>6</v>
      </c>
      <c r="U359" s="250">
        <f t="shared" si="134"/>
        <v>0.49901758466411861</v>
      </c>
      <c r="V359" s="382">
        <f t="shared" si="135"/>
        <v>23.158343585994484</v>
      </c>
      <c r="W359" s="400">
        <f t="shared" si="136"/>
        <v>0</v>
      </c>
      <c r="X359" s="157">
        <f t="shared" si="137"/>
        <v>44906</v>
      </c>
      <c r="Y359" s="383">
        <f t="shared" si="138"/>
        <v>16.807584144397335</v>
      </c>
      <c r="Z359" s="383">
        <f t="shared" si="139"/>
        <v>17.272925632970615</v>
      </c>
      <c r="AA359" s="384">
        <f t="shared" si="140"/>
        <v>18.932051868873529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8.7635838280725797E-2</v>
      </c>
      <c r="AD359" s="230">
        <f>(INDEX(Models!$BJ359:$BT359,,AH359)*(1-AF359)+INDEX(Models!$BJ359:$BT359,,AH359+1)*AF359-ERP_i)*AE359*Ramure*Pc/MaxiM</f>
        <v>5.9729258451409282E-3</v>
      </c>
      <c r="AE359" s="304">
        <f t="shared" si="142"/>
        <v>0.6</v>
      </c>
      <c r="AF359" s="177">
        <f t="shared" si="143"/>
        <v>0.49901758466411861</v>
      </c>
      <c r="AG359" s="799">
        <f t="shared" si="149"/>
        <v>0</v>
      </c>
      <c r="AH359" s="176">
        <f t="shared" si="144"/>
        <v>6</v>
      </c>
      <c r="AI359" s="224">
        <f t="shared" si="145"/>
        <v>0.49901758466411861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1153">
        <v>5.48</v>
      </c>
      <c r="C360" s="388"/>
      <c r="D360" s="391">
        <f t="shared" si="127"/>
        <v>5.6318294017644792</v>
      </c>
      <c r="E360" s="383">
        <f t="shared" si="125"/>
        <v>5.7864175416182055</v>
      </c>
      <c r="F360" s="383">
        <f t="shared" si="128"/>
        <v>5.7864175416182055</v>
      </c>
      <c r="G360" s="110">
        <f t="shared" si="126"/>
        <v>0.23612516800157204</v>
      </c>
      <c r="H360" s="412" t="b">
        <f>Wh_hp&gt;='2021'!Maxi_hp</f>
        <v>0</v>
      </c>
      <c r="I360" s="379">
        <f>IF(H360,Wh_hp,'2021'!Maxi_hp)</f>
        <v>23.902821263615333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2.6959162100490874E-2</v>
      </c>
      <c r="M360" s="832"/>
      <c r="N360" s="832"/>
      <c r="O360" s="48">
        <f>IF(t&lt;Tnet,'2021'!Resal+('2021'!Salim-'2021'!Resal)*(1-EXP(('2021'!Tnet-t)/('2021'!Tau_j))),Resal+(Salim-Resal)*(1-EXP((Tnet-t)/(Tau_j))))*Salcycl</f>
        <v>2.6715690449551334E-2</v>
      </c>
      <c r="P360" s="169">
        <f>(INDEX(Models!$BJ360:$BT360,,T360)*(1-R360)+INDEX(Models!$BJ360:$BT360,,T360+1)*R360-ERP_i)*Q360*Ramure*Pc/MaxiM</f>
        <v>6.0522494805465088E-3</v>
      </c>
      <c r="Q360" s="304">
        <f t="shared" si="130"/>
        <v>0.6</v>
      </c>
      <c r="R360" s="177">
        <f t="shared" si="131"/>
        <v>0.49902806078103334</v>
      </c>
      <c r="S360" s="799">
        <f t="shared" si="132"/>
        <v>0</v>
      </c>
      <c r="T360" s="176">
        <f t="shared" si="133"/>
        <v>6</v>
      </c>
      <c r="U360" s="250">
        <f t="shared" si="134"/>
        <v>0.49902806078103334</v>
      </c>
      <c r="V360" s="382">
        <f t="shared" si="135"/>
        <v>23.067569285161259</v>
      </c>
      <c r="W360" s="400">
        <f t="shared" si="136"/>
        <v>0</v>
      </c>
      <c r="X360" s="157">
        <f t="shared" si="137"/>
        <v>44907</v>
      </c>
      <c r="Y360" s="383">
        <f t="shared" si="138"/>
        <v>5.1370230185384305</v>
      </c>
      <c r="Z360" s="383">
        <f t="shared" si="139"/>
        <v>5.2793498673988406</v>
      </c>
      <c r="AA360" s="384">
        <f t="shared" si="140"/>
        <v>5.7864175416182055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8.7630674864427549E-2</v>
      </c>
      <c r="AD360" s="230">
        <f>(INDEX(Models!$BJ360:$BT360,,AH360)*(1-AF360)+INDEX(Models!$BJ360:$BT360,,AH360+1)*AF360-ERP_i)*AE360*Ramure*Pc/MaxiM</f>
        <v>6.0522494805465088E-3</v>
      </c>
      <c r="AE360" s="304">
        <f t="shared" si="142"/>
        <v>0.6</v>
      </c>
      <c r="AF360" s="177">
        <f t="shared" si="143"/>
        <v>0.49902806078103334</v>
      </c>
      <c r="AG360" s="799">
        <f t="shared" si="149"/>
        <v>0</v>
      </c>
      <c r="AH360" s="176">
        <f t="shared" si="144"/>
        <v>6</v>
      </c>
      <c r="AI360" s="224">
        <f t="shared" si="145"/>
        <v>0.49902806078103334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1153">
        <v>5.548</v>
      </c>
      <c r="C361" s="388"/>
      <c r="D361" s="391">
        <f t="shared" si="127"/>
        <v>5.7018226903699949</v>
      </c>
      <c r="E361" s="383">
        <f t="shared" ref="E361:E379" si="150">Wh_pvt/(1-Psa)</f>
        <v>5.8587074936946744</v>
      </c>
      <c r="F361" s="383">
        <f t="shared" si="128"/>
        <v>5.8587074936946744</v>
      </c>
      <c r="G361" s="110">
        <f t="shared" ref="G361:G379" si="151">+Wh_hp/MaxiM</f>
        <v>0.23989826252101809</v>
      </c>
      <c r="H361" s="412" t="b">
        <f>Wh_hp&gt;='2021'!Maxi_hp</f>
        <v>0</v>
      </c>
      <c r="I361" s="379">
        <f>IF(H361,Wh_hp,'2021'!Maxi_hp)</f>
        <v>25.0294040728553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2.6977810206162967E-2</v>
      </c>
      <c r="M361" s="832"/>
      <c r="N361" s="832"/>
      <c r="O361" s="48">
        <f>IF(t&lt;Tnet,'2021'!Resal+('2021'!Salim-'2021'!Resal)*(1-EXP(('2021'!Tnet-t)/('2021'!Tau_j))),Resal+(Salim-Resal)*(1-EXP((Tnet-t)/(Tau_j))))*Salcycl</f>
        <v>2.6778057019150387E-2</v>
      </c>
      <c r="P361" s="169">
        <f>(INDEX(Models!$BJ361:$BT361,,T361)*(1-R361)+INDEX(Models!$BJ361:$BT361,,T361+1)*R361-ERP_i)*Q361*Ramure*Pc/MaxiM</f>
        <v>6.1230388286249429E-3</v>
      </c>
      <c r="Q361" s="304">
        <f t="shared" si="130"/>
        <v>0.6</v>
      </c>
      <c r="R361" s="177">
        <f t="shared" si="131"/>
        <v>0.49903811551140925</v>
      </c>
      <c r="S361" s="799">
        <f t="shared" si="132"/>
        <v>0</v>
      </c>
      <c r="T361" s="176">
        <f t="shared" si="133"/>
        <v>6</v>
      </c>
      <c r="U361" s="250">
        <f t="shared" si="134"/>
        <v>0.49903811551140925</v>
      </c>
      <c r="V361" s="382">
        <f t="shared" si="135"/>
        <v>22.98486584535263</v>
      </c>
      <c r="W361" s="400">
        <f t="shared" si="136"/>
        <v>0</v>
      </c>
      <c r="X361" s="157">
        <f t="shared" si="137"/>
        <v>44908</v>
      </c>
      <c r="Y361" s="383">
        <f t="shared" si="138"/>
        <v>5.2011234192706723</v>
      </c>
      <c r="Z361" s="383">
        <f t="shared" si="139"/>
        <v>5.3453286819416537</v>
      </c>
      <c r="AA361" s="384">
        <f t="shared" si="140"/>
        <v>5.8587074936946744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8.7626633059516165E-2</v>
      </c>
      <c r="AD361" s="230">
        <f>(INDEX(Models!$BJ361:$BT361,,AH361)*(1-AF361)+INDEX(Models!$BJ361:$BT361,,AH361+1)*AF361-ERP_i)*AE361*Ramure*Pc/MaxiM</f>
        <v>6.1230388286249429E-3</v>
      </c>
      <c r="AE361" s="304">
        <f t="shared" si="142"/>
        <v>0.6</v>
      </c>
      <c r="AF361" s="177">
        <f t="shared" si="143"/>
        <v>0.49903811551140925</v>
      </c>
      <c r="AG361" s="799">
        <f t="shared" si="149"/>
        <v>0</v>
      </c>
      <c r="AH361" s="176">
        <f t="shared" si="144"/>
        <v>6</v>
      </c>
      <c r="AI361" s="224">
        <f t="shared" si="145"/>
        <v>0.49903811551140925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1153">
        <v>17.715</v>
      </c>
      <c r="C362" s="388"/>
      <c r="D362" s="391">
        <f t="shared" si="127"/>
        <v>18.206511317273975</v>
      </c>
      <c r="E362" s="383">
        <f t="shared" si="150"/>
        <v>18.708664409414219</v>
      </c>
      <c r="F362" s="383">
        <f t="shared" si="128"/>
        <v>18.78721896428242</v>
      </c>
      <c r="G362" s="110">
        <f t="shared" si="151"/>
        <v>0.77166281703359052</v>
      </c>
      <c r="H362" s="412" t="b">
        <f>Wh_hp&gt;='2021'!Maxi_hp</f>
        <v>0</v>
      </c>
      <c r="I362" s="379">
        <f>IF(H362,Wh_hp,'2021'!Maxi_hp)</f>
        <v>24.68921870882129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2.6996457954448272E-2</v>
      </c>
      <c r="M362" s="832"/>
      <c r="N362" s="832"/>
      <c r="O362" s="48">
        <f>IF(t&lt;Tnet,'2021'!Resal+('2021'!Salim-'2021'!Resal)*(1-EXP(('2021'!Tnet-t)/('2021'!Tau_j))),Resal+(Salim-Resal)*(1-EXP((Tnet-t)/(Tau_j))))*Salcycl</f>
        <v>2.6840670245149155E-2</v>
      </c>
      <c r="P362" s="169">
        <f>(INDEX(Models!$BJ362:$BT362,,T362)*(1-R362)+INDEX(Models!$BJ362:$BT362,,T362+1)*R362-ERP_i)*Q362*Ramure*Pc/MaxiM</f>
        <v>6.1850756933524847E-3</v>
      </c>
      <c r="Q362" s="304">
        <f t="shared" si="130"/>
        <v>0.6</v>
      </c>
      <c r="R362" s="177">
        <f t="shared" si="131"/>
        <v>0.49904776578897858</v>
      </c>
      <c r="S362" s="799">
        <f t="shared" si="132"/>
        <v>0</v>
      </c>
      <c r="T362" s="176">
        <f t="shared" si="133"/>
        <v>6</v>
      </c>
      <c r="U362" s="250">
        <f t="shared" si="134"/>
        <v>0.49904776578897858</v>
      </c>
      <c r="V362" s="382">
        <f t="shared" si="135"/>
        <v>22.910723774206613</v>
      </c>
      <c r="W362" s="400">
        <f t="shared" si="136"/>
        <v>0</v>
      </c>
      <c r="X362" s="157">
        <f t="shared" si="137"/>
        <v>44909</v>
      </c>
      <c r="Y362" s="383">
        <f t="shared" si="138"/>
        <v>16.608530972680995</v>
      </c>
      <c r="Z362" s="383">
        <f t="shared" si="139"/>
        <v>17.069342767000386</v>
      </c>
      <c r="AA362" s="384">
        <f t="shared" si="140"/>
        <v>18.708664409414219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8.7623659633817921E-2</v>
      </c>
      <c r="AD362" s="230">
        <f>(INDEX(Models!$BJ362:$BT362,,AH362)*(1-AF362)+INDEX(Models!$BJ362:$BT362,,AH362+1)*AF362-ERP_i)*AE362*Ramure*Pc/MaxiM</f>
        <v>6.1850756933524847E-3</v>
      </c>
      <c r="AE362" s="304">
        <f t="shared" si="142"/>
        <v>0.6</v>
      </c>
      <c r="AF362" s="177">
        <f t="shared" si="143"/>
        <v>0.49904776578897858</v>
      </c>
      <c r="AG362" s="799">
        <f t="shared" si="149"/>
        <v>0</v>
      </c>
      <c r="AH362" s="176">
        <f t="shared" si="144"/>
        <v>6</v>
      </c>
      <c r="AI362" s="224">
        <f t="shared" si="145"/>
        <v>0.49904776578897858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1153">
        <v>6.0540000000000003</v>
      </c>
      <c r="C363" s="388"/>
      <c r="D363" s="391">
        <f t="shared" si="127"/>
        <v>6.2220904283913088</v>
      </c>
      <c r="E363" s="383">
        <f t="shared" si="150"/>
        <v>6.3941145921176998</v>
      </c>
      <c r="F363" s="383">
        <f t="shared" si="128"/>
        <v>6.3941145921176998</v>
      </c>
      <c r="G363" s="110">
        <f t="shared" si="151"/>
        <v>0.26334285051421452</v>
      </c>
      <c r="H363" s="412" t="b">
        <f>Wh_hp&gt;='2021'!Maxi_hp</f>
        <v>0</v>
      </c>
      <c r="I363" s="379">
        <f>IF(H363,Wh_hp,'2021'!Maxi_hp)</f>
        <v>24.850474320764231</v>
      </c>
      <c r="J363" s="85">
        <f>IF(H363,An,'2021'!An_max)</f>
        <v>2018</v>
      </c>
      <c r="K363" s="197">
        <f t="shared" si="129"/>
        <v>44910</v>
      </c>
      <c r="L363" s="147">
        <f>IF(t&lt;Tvie,1-EXP((T0-t)*PertePVj)+'2021'!Pspv,1-EXP((T0-t)*PertePVj)+Pspv)</f>
        <v>2.7015105345353785E-2</v>
      </c>
      <c r="M363" s="832"/>
      <c r="N363" s="832"/>
      <c r="O363" s="48">
        <f>IF(t&lt;Tnet,'2021'!Resal+('2021'!Salim-'2021'!Resal)*(1-EXP(('2021'!Tnet-t)/('2021'!Tau_j))),Resal+(Salim-Resal)*(1-EXP((Tnet-t)/(Tau_j))))*Salcycl</f>
        <v>2.690351592047667E-2</v>
      </c>
      <c r="P363" s="169">
        <f>(INDEX(Models!$BJ363:$BT363,,T363)*(1-R363)+INDEX(Models!$BJ363:$BT363,,T363+1)*R363-ERP_i)*Q363*Ramure*Pc/MaxiM</f>
        <v>6.2381364097027778E-3</v>
      </c>
      <c r="Q363" s="304">
        <f t="shared" si="130"/>
        <v>0.6</v>
      </c>
      <c r="R363" s="177">
        <f t="shared" si="131"/>
        <v>0.49905702786823508</v>
      </c>
      <c r="S363" s="799">
        <f t="shared" si="132"/>
        <v>0</v>
      </c>
      <c r="T363" s="176">
        <f t="shared" si="133"/>
        <v>6</v>
      </c>
      <c r="U363" s="250">
        <f t="shared" si="134"/>
        <v>0.49905702786823508</v>
      </c>
      <c r="V363" s="382">
        <f t="shared" si="135"/>
        <v>22.845633782835204</v>
      </c>
      <c r="W363" s="400">
        <f t="shared" si="136"/>
        <v>0</v>
      </c>
      <c r="X363" s="157">
        <f t="shared" si="137"/>
        <v>44910</v>
      </c>
      <c r="Y363" s="383">
        <f t="shared" si="138"/>
        <v>5.6762492890056695</v>
      </c>
      <c r="Z363" s="383">
        <f t="shared" si="139"/>
        <v>5.8338513991220928</v>
      </c>
      <c r="AA363" s="384">
        <f t="shared" si="140"/>
        <v>6.3941145921176998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8.7621700381514497E-2</v>
      </c>
      <c r="AD363" s="230">
        <f>(INDEX(Models!$BJ363:$BT363,,AH363)*(1-AF363)+INDEX(Models!$BJ363:$BT363,,AH363+1)*AF363-ERP_i)*AE363*Ramure*Pc/MaxiM</f>
        <v>6.2381364097027778E-3</v>
      </c>
      <c r="AE363" s="304">
        <f t="shared" si="142"/>
        <v>0.6</v>
      </c>
      <c r="AF363" s="177">
        <f t="shared" si="143"/>
        <v>0.49905702786823508</v>
      </c>
      <c r="AG363" s="799">
        <f t="shared" si="149"/>
        <v>0</v>
      </c>
      <c r="AH363" s="176">
        <f t="shared" si="144"/>
        <v>6</v>
      </c>
      <c r="AI363" s="224">
        <f t="shared" si="145"/>
        <v>0.49905702786823508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1153">
        <v>5.3470000000000004</v>
      </c>
      <c r="C364" s="388"/>
      <c r="D364" s="391">
        <f t="shared" si="127"/>
        <v>5.4955657640471367</v>
      </c>
      <c r="E364" s="383">
        <f t="shared" si="150"/>
        <v>5.6478694854511691</v>
      </c>
      <c r="F364" s="383">
        <f t="shared" si="128"/>
        <v>5.6478694854511691</v>
      </c>
      <c r="G364" s="110">
        <f t="shared" si="151"/>
        <v>0.23314567536836489</v>
      </c>
      <c r="H364" s="412" t="b">
        <f>Wh_hp&gt;='2021'!Maxi_hp</f>
        <v>0</v>
      </c>
      <c r="I364" s="379">
        <f>IF(H364,Wh_hp,'2021'!Maxi_hp)</f>
        <v>24.489416018785828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2.7033752378886389E-2</v>
      </c>
      <c r="M364" s="832"/>
      <c r="N364" s="832"/>
      <c r="O364" s="48">
        <f>IF(t&lt;Tnet,'2021'!Resal+('2021'!Salim-'2021'!Resal)*(1-EXP(('2021'!Tnet-t)/('2021'!Tau_j))),Resal+(Salim-Resal)*(1-EXP((Tnet-t)/(Tau_j))))*Salcycl</f>
        <v>2.6966579485656346E-2</v>
      </c>
      <c r="P364" s="169">
        <f>(INDEX(Models!$BJ364:$BT364,,T364)*(1-R364)+INDEX(Models!$BJ364:$BT364,,T364+1)*R364-ERP_i)*Q364*Ramure*Pc/MaxiM</f>
        <v>6.2819957645058704E-3</v>
      </c>
      <c r="Q364" s="304">
        <f t="shared" si="130"/>
        <v>0.6</v>
      </c>
      <c r="R364" s="177">
        <f t="shared" si="131"/>
        <v>0.49906591735158029</v>
      </c>
      <c r="S364" s="799">
        <f t="shared" si="132"/>
        <v>0</v>
      </c>
      <c r="T364" s="176">
        <f t="shared" si="133"/>
        <v>6</v>
      </c>
      <c r="U364" s="250">
        <f t="shared" si="134"/>
        <v>0.49906591735158029</v>
      </c>
      <c r="V364" s="382">
        <f t="shared" si="135"/>
        <v>22.7900867569262</v>
      </c>
      <c r="W364" s="400">
        <f t="shared" si="136"/>
        <v>0</v>
      </c>
      <c r="X364" s="157">
        <f t="shared" si="137"/>
        <v>44911</v>
      </c>
      <c r="Y364" s="383">
        <f t="shared" si="138"/>
        <v>5.0136943004039516</v>
      </c>
      <c r="Z364" s="383">
        <f t="shared" si="139"/>
        <v>5.152999204918312</v>
      </c>
      <c r="AA364" s="384">
        <f t="shared" si="140"/>
        <v>5.6478694854511691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8.7620700479647332E-2</v>
      </c>
      <c r="AD364" s="230">
        <f>(INDEX(Models!$BJ364:$BT364,,AH364)*(1-AF364)+INDEX(Models!$BJ364:$BT364,,AH364+1)*AF364-ERP_i)*AE364*Ramure*Pc/MaxiM</f>
        <v>6.2819957645058704E-3</v>
      </c>
      <c r="AE364" s="304">
        <f t="shared" si="142"/>
        <v>0.6</v>
      </c>
      <c r="AF364" s="177">
        <f t="shared" si="143"/>
        <v>0.49906591735158029</v>
      </c>
      <c r="AG364" s="799">
        <f t="shared" si="149"/>
        <v>0</v>
      </c>
      <c r="AH364" s="176">
        <f t="shared" si="144"/>
        <v>6</v>
      </c>
      <c r="AI364" s="224">
        <f t="shared" si="145"/>
        <v>0.49906591735158029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1153">
        <v>3.625</v>
      </c>
      <c r="C365" s="388"/>
      <c r="D365" s="391">
        <f t="shared" si="127"/>
        <v>3.7257916011913936</v>
      </c>
      <c r="E365" s="383">
        <f t="shared" si="150"/>
        <v>3.8292969074027048</v>
      </c>
      <c r="F365" s="383">
        <f t="shared" si="128"/>
        <v>3.8292969074027048</v>
      </c>
      <c r="G365" s="110">
        <f t="shared" si="151"/>
        <v>0.15837196967413014</v>
      </c>
      <c r="H365" s="412" t="b">
        <f>Wh_hp&gt;='2021'!Maxi_hp</f>
        <v>0</v>
      </c>
      <c r="I365" s="379">
        <f>IF(H365,Wh_hp,'2021'!Maxi_hp)</f>
        <v>24.995973707121568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2.7052399055052745E-2</v>
      </c>
      <c r="M365" s="832"/>
      <c r="N365" s="832"/>
      <c r="O365" s="48">
        <f>IF(t&lt;Tnet,'2021'!Resal+('2021'!Salim-'2021'!Resal)*(1-EXP(('2021'!Tnet-t)/('2021'!Tau_j))),Resal+(Salim-Resal)*(1-EXP((Tnet-t)/(Tau_j))))*Salcycl</f>
        <v>2.702984613473489E-2</v>
      </c>
      <c r="P365" s="169">
        <f>(INDEX(Models!$BJ365:$BT365,,T365)*(1-R365)+INDEX(Models!$BJ365:$BT365,,T365+1)*R365-ERP_i)*Q365*Ramure*Pc/MaxiM</f>
        <v>6.3164311288039952E-3</v>
      </c>
      <c r="Q365" s="304">
        <f t="shared" si="130"/>
        <v>0.6</v>
      </c>
      <c r="R365" s="177">
        <f t="shared" si="131"/>
        <v>0.49907444921539273</v>
      </c>
      <c r="S365" s="799">
        <f t="shared" si="132"/>
        <v>0</v>
      </c>
      <c r="T365" s="176">
        <f t="shared" si="133"/>
        <v>6</v>
      </c>
      <c r="U365" s="250">
        <f t="shared" si="134"/>
        <v>0.49907444921539273</v>
      </c>
      <c r="V365" s="382">
        <f t="shared" si="135"/>
        <v>22.744573705623896</v>
      </c>
      <c r="W365" s="400">
        <f t="shared" si="136"/>
        <v>0</v>
      </c>
      <c r="X365" s="157">
        <f t="shared" si="137"/>
        <v>44912</v>
      </c>
      <c r="Y365" s="383">
        <f t="shared" si="138"/>
        <v>3.3992566928452619</v>
      </c>
      <c r="Z365" s="383">
        <f t="shared" si="139"/>
        <v>3.493771596274899</v>
      </c>
      <c r="AA365" s="384">
        <f t="shared" si="140"/>
        <v>3.8292969074027048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8.7620604837189947E-2</v>
      </c>
      <c r="AD365" s="230">
        <f>(INDEX(Models!$BJ365:$BT365,,AH365)*(1-AF365)+INDEX(Models!$BJ365:$BT365,,AH365+1)*AF365-ERP_i)*AE365*Ramure*Pc/MaxiM</f>
        <v>6.3164311288039952E-3</v>
      </c>
      <c r="AE365" s="304">
        <f t="shared" si="142"/>
        <v>0.6</v>
      </c>
      <c r="AF365" s="177">
        <f t="shared" si="143"/>
        <v>0.49907444921539273</v>
      </c>
      <c r="AG365" s="799">
        <f t="shared" si="149"/>
        <v>0</v>
      </c>
      <c r="AH365" s="176">
        <f t="shared" si="144"/>
        <v>6</v>
      </c>
      <c r="AI365" s="224">
        <f t="shared" si="145"/>
        <v>0.49907444921539273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1153">
        <v>21.623000000000001</v>
      </c>
      <c r="C366" s="388"/>
      <c r="D366" s="391">
        <f t="shared" si="127"/>
        <v>22.22464435577303</v>
      </c>
      <c r="E366" s="383">
        <f t="shared" si="150"/>
        <v>22.843551572603051</v>
      </c>
      <c r="F366" s="383">
        <f t="shared" si="128"/>
        <v>22.979236373165783</v>
      </c>
      <c r="G366" s="110">
        <f t="shared" si="151"/>
        <v>0.95173485315951944</v>
      </c>
      <c r="H366" s="412" t="b">
        <f>Wh_hp&gt;='2021'!Maxi_hp</f>
        <v>0</v>
      </c>
      <c r="I366" s="379">
        <f>IF(H366,Wh_hp,'2021'!Maxi_hp)</f>
        <v>25.161787004742354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2.7071045373859848E-2</v>
      </c>
      <c r="M366" s="832"/>
      <c r="N366" s="832"/>
      <c r="O366" s="48">
        <f>IF(t&lt;Tnet,'2021'!Resal+('2021'!Salim-'2021'!Resal)*(1-EXP(('2021'!Tnet-t)/('2021'!Tau_j))),Resal+(Salim-Resal)*(1-EXP((Tnet-t)/(Tau_j))))*Salcycl</f>
        <v>2.7093300919647411E-2</v>
      </c>
      <c r="P366" s="169">
        <f>(INDEX(Models!$BJ366:$BT366,,T366)*(1-R366)+INDEX(Models!$BJ366:$BT366,,T366+1)*R366-ERP_i)*Q366*Ramure*Pc/MaxiM</f>
        <v>6.337912982257895E-3</v>
      </c>
      <c r="Q366" s="304">
        <f t="shared" si="130"/>
        <v>0.6</v>
      </c>
      <c r="R366" s="177">
        <f t="shared" si="131"/>
        <v>0.49908263783506202</v>
      </c>
      <c r="S366" s="799">
        <f t="shared" si="132"/>
        <v>0</v>
      </c>
      <c r="T366" s="176">
        <f t="shared" si="133"/>
        <v>6</v>
      </c>
      <c r="U366" s="250">
        <f t="shared" si="134"/>
        <v>0.49908263783506202</v>
      </c>
      <c r="V366" s="382">
        <f t="shared" si="135"/>
        <v>22.709661482889576</v>
      </c>
      <c r="W366" s="400">
        <f t="shared" si="136"/>
        <v>0</v>
      </c>
      <c r="X366" s="157">
        <f t="shared" si="137"/>
        <v>44913</v>
      </c>
      <c r="Y366" s="383">
        <f t="shared" si="138"/>
        <v>20.277754675989659</v>
      </c>
      <c r="Z366" s="383">
        <f t="shared" si="139"/>
        <v>20.84196855235091</v>
      </c>
      <c r="AA366" s="384">
        <f t="shared" si="140"/>
        <v>22.843551572603051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8.7621358434154251E-2</v>
      </c>
      <c r="AD366" s="230">
        <f>(INDEX(Models!$BJ366:$BT366,,AH366)*(1-AF366)+INDEX(Models!$BJ366:$BT366,,AH366+1)*AF366-ERP_i)*AE366*Ramure*Pc/MaxiM</f>
        <v>6.337912982257895E-3</v>
      </c>
      <c r="AE366" s="304">
        <f t="shared" si="142"/>
        <v>0.6</v>
      </c>
      <c r="AF366" s="177">
        <f t="shared" si="143"/>
        <v>0.49908263783506202</v>
      </c>
      <c r="AG366" s="799">
        <f t="shared" si="149"/>
        <v>0</v>
      </c>
      <c r="AH366" s="176">
        <f t="shared" si="144"/>
        <v>6</v>
      </c>
      <c r="AI366" s="224">
        <f t="shared" si="145"/>
        <v>0.49908263783506202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1153">
        <v>18.400000000000002</v>
      </c>
      <c r="C367" s="388"/>
      <c r="D367" s="391">
        <f t="shared" si="127"/>
        <v>18.912329159358901</v>
      </c>
      <c r="E367" s="383">
        <f t="shared" si="150"/>
        <v>19.440267110136968</v>
      </c>
      <c r="F367" s="383">
        <f t="shared" si="128"/>
        <v>19.530830763489945</v>
      </c>
      <c r="G367" s="110">
        <f t="shared" si="151"/>
        <v>0.80968577399332087</v>
      </c>
      <c r="H367" s="412" t="b">
        <f>Wh_hp&gt;='2021'!Maxi_hp</f>
        <v>0</v>
      </c>
      <c r="I367" s="379">
        <f>IF(H367,Wh_hp,'2021'!Maxi_hp)</f>
        <v>24.884744497458982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2.708969133531447E-2</v>
      </c>
      <c r="M367" s="832"/>
      <c r="N367" s="832"/>
      <c r="O367" s="48">
        <f>IF(t&lt;Tnet,'2021'!Resal+('2021'!Salim-'2021'!Resal)*(1-EXP(('2021'!Tnet-t)/('2021'!Tau_j))),Resal+(Salim-Resal)*(1-EXP((Tnet-t)/(Tau_j))))*Salcycl</f>
        <v>2.7156928852216048E-2</v>
      </c>
      <c r="P367" s="169">
        <f>(INDEX(Models!$BJ367:$BT367,,T367)*(1-R367)+INDEX(Models!$BJ367:$BT367,,T367+1)*R367-ERP_i)*Q367*Ramure*Pc/MaxiM</f>
        <v>6.3509732341732548E-3</v>
      </c>
      <c r="Q367" s="304">
        <f t="shared" si="130"/>
        <v>0.6</v>
      </c>
      <c r="R367" s="177">
        <f t="shared" si="131"/>
        <v>0.49909049700902824</v>
      </c>
      <c r="S367" s="799">
        <f t="shared" si="132"/>
        <v>0</v>
      </c>
      <c r="T367" s="176">
        <f t="shared" si="133"/>
        <v>6</v>
      </c>
      <c r="U367" s="250">
        <f t="shared" si="134"/>
        <v>0.49909049700902824</v>
      </c>
      <c r="V367" s="382">
        <f t="shared" si="135"/>
        <v>22.685732909416892</v>
      </c>
      <c r="W367" s="400">
        <f t="shared" si="136"/>
        <v>0</v>
      </c>
      <c r="X367" s="157">
        <f t="shared" si="137"/>
        <v>44914</v>
      </c>
      <c r="Y367" s="383">
        <f t="shared" si="138"/>
        <v>17.256368488973532</v>
      </c>
      <c r="Z367" s="383">
        <f t="shared" si="139"/>
        <v>17.736854399926969</v>
      </c>
      <c r="AA367" s="384">
        <f t="shared" si="140"/>
        <v>19.440267110136968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8.7622906648323284E-2</v>
      </c>
      <c r="AD367" s="230">
        <f>(INDEX(Models!$BJ367:$BT367,,AH367)*(1-AF367)+INDEX(Models!$BJ367:$BT367,,AH367+1)*AF367-ERP_i)*AE367*Ramure*Pc/MaxiM</f>
        <v>6.3509732341732548E-3</v>
      </c>
      <c r="AE367" s="304">
        <f t="shared" si="142"/>
        <v>0.6</v>
      </c>
      <c r="AF367" s="177">
        <f t="shared" si="143"/>
        <v>0.49909049700902824</v>
      </c>
      <c r="AG367" s="799">
        <f t="shared" si="149"/>
        <v>0</v>
      </c>
      <c r="AH367" s="176">
        <f t="shared" si="144"/>
        <v>6</v>
      </c>
      <c r="AI367" s="224">
        <f t="shared" si="145"/>
        <v>0.49909049700902824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1153">
        <v>4.6900000000000004</v>
      </c>
      <c r="C368" s="388"/>
      <c r="D368" s="391">
        <f t="shared" si="127"/>
        <v>4.8206806349290101</v>
      </c>
      <c r="E368" s="383">
        <f t="shared" si="150"/>
        <v>4.9555749277123331</v>
      </c>
      <c r="F368" s="383">
        <f t="shared" si="128"/>
        <v>4.9555749277123331</v>
      </c>
      <c r="G368" s="110">
        <f t="shared" si="151"/>
        <v>0.20553679013989365</v>
      </c>
      <c r="H368" s="412" t="b">
        <f>Wh_hp&gt;='2021'!Maxi_hp</f>
        <v>0</v>
      </c>
      <c r="I368" s="379">
        <f>IF(H368,Wh_hp,'2021'!Maxi_hp)</f>
        <v>24.174700505084488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2.7108336939423494E-2</v>
      </c>
      <c r="M368" s="832"/>
      <c r="N368" s="832"/>
      <c r="O368" s="48">
        <f>IF(t&lt;Tnet,'2021'!Resal+('2021'!Salim-'2021'!Resal)*(1-EXP(('2021'!Tnet-t)/('2021'!Tau_j))),Resal+(Salim-Resal)*(1-EXP((Tnet-t)/(Tau_j))))*Salcycl</f>
        <v>2.7220715003010685E-2</v>
      </c>
      <c r="P368" s="169">
        <f>(INDEX(Models!$BJ368:$BT368,,T368)*(1-R368)+INDEX(Models!$BJ368:$BT368,,T368+1)*R368-ERP_i)*Q368*Ramure*Pc/MaxiM</f>
        <v>6.3554202808493469E-3</v>
      </c>
      <c r="Q368" s="304">
        <f t="shared" si="130"/>
        <v>0.6</v>
      </c>
      <c r="R368" s="177">
        <f t="shared" si="131"/>
        <v>0.49909803998186658</v>
      </c>
      <c r="S368" s="799">
        <f t="shared" si="132"/>
        <v>0</v>
      </c>
      <c r="T368" s="176">
        <f t="shared" si="133"/>
        <v>6</v>
      </c>
      <c r="U368" s="250">
        <f t="shared" si="134"/>
        <v>0.49909803998186658</v>
      </c>
      <c r="V368" s="382">
        <f t="shared" si="135"/>
        <v>22.673279444088671</v>
      </c>
      <c r="W368" s="400">
        <f t="shared" si="136"/>
        <v>0</v>
      </c>
      <c r="X368" s="157">
        <f t="shared" si="137"/>
        <v>44915</v>
      </c>
      <c r="Y368" s="383">
        <f t="shared" si="138"/>
        <v>4.3987756511513147</v>
      </c>
      <c r="Z368" s="383">
        <f t="shared" si="139"/>
        <v>4.5213417055228975</v>
      </c>
      <c r="AA368" s="384">
        <f t="shared" si="140"/>
        <v>4.9555749277123331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8.7625195567347325E-2</v>
      </c>
      <c r="AD368" s="230">
        <f>(INDEX(Models!$BJ368:$BT368,,AH368)*(1-AF368)+INDEX(Models!$BJ368:$BT368,,AH368+1)*AF368-ERP_i)*AE368*Ramure*Pc/MaxiM</f>
        <v>6.3554202808493469E-3</v>
      </c>
      <c r="AE368" s="304">
        <f t="shared" si="142"/>
        <v>0.6</v>
      </c>
      <c r="AF368" s="177">
        <f t="shared" si="143"/>
        <v>0.49909803998186658</v>
      </c>
      <c r="AG368" s="799">
        <f t="shared" si="149"/>
        <v>0</v>
      </c>
      <c r="AH368" s="176">
        <f t="shared" si="144"/>
        <v>6</v>
      </c>
      <c r="AI368" s="224">
        <f t="shared" si="145"/>
        <v>0.49909803998186658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1153">
        <v>21.472999999999999</v>
      </c>
      <c r="C369" s="388"/>
      <c r="D369" s="391">
        <f t="shared" si="127"/>
        <v>22.071739689371896</v>
      </c>
      <c r="E369" s="383">
        <f t="shared" si="150"/>
        <v>22.690851508365956</v>
      </c>
      <c r="F369" s="383">
        <f t="shared" si="128"/>
        <v>22.824855300763012</v>
      </c>
      <c r="G369" s="110">
        <f t="shared" si="151"/>
        <v>0.94662487916377724</v>
      </c>
      <c r="H369" s="412" t="b">
        <f>Wh_hp&gt;='2021'!Maxi_hp</f>
        <v>1</v>
      </c>
      <c r="I369" s="379">
        <f>IF(H369,Wh_hp,'2021'!Maxi_hp)</f>
        <v>22.824855300763012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2.7126982186193804E-2</v>
      </c>
      <c r="M369" s="832"/>
      <c r="N369" s="832"/>
      <c r="O369" s="48">
        <f>IF(t&lt;Tnet,'2021'!Resal+('2021'!Salim-'2021'!Resal)*(1-EXP(('2021'!Tnet-t)/('2021'!Tau_j))),Resal+(Salim-Resal)*(1-EXP((Tnet-t)/(Tau_j))))*Salcycl</f>
        <v>2.728464459633867E-2</v>
      </c>
      <c r="P369" s="169">
        <f>(INDEX(Models!$BJ369:$BT369,,T369)*(1-R369)+INDEX(Models!$BJ369:$BT369,,T369+1)*R369-ERP_i)*Q369*Ramure*Pc/MaxiM</f>
        <v>6.3510801022363785E-3</v>
      </c>
      <c r="Q369" s="304">
        <f t="shared" si="130"/>
        <v>0.6</v>
      </c>
      <c r="R369" s="177">
        <f t="shared" si="131"/>
        <v>0.4991052794664535</v>
      </c>
      <c r="S369" s="799">
        <f t="shared" si="132"/>
        <v>0</v>
      </c>
      <c r="T369" s="176">
        <f t="shared" si="133"/>
        <v>6</v>
      </c>
      <c r="U369" s="250">
        <f t="shared" si="134"/>
        <v>0.4991052794664535</v>
      </c>
      <c r="V369" s="382">
        <f t="shared" si="135"/>
        <v>22.672792517558534</v>
      </c>
      <c r="W369" s="400">
        <f t="shared" si="136"/>
        <v>0</v>
      </c>
      <c r="X369" s="157">
        <f t="shared" si="137"/>
        <v>44916</v>
      </c>
      <c r="Y369" s="383">
        <f t="shared" si="138"/>
        <v>20.140897486308642</v>
      </c>
      <c r="Z369" s="383">
        <f t="shared" si="139"/>
        <v>20.702493663117831</v>
      </c>
      <c r="AA369" s="384">
        <f t="shared" si="140"/>
        <v>22.690851508365956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8.7628172284104563E-2</v>
      </c>
      <c r="AD369" s="230">
        <f>(INDEX(Models!$BJ369:$BT369,,AH369)*(1-AF369)+INDEX(Models!$BJ369:$BT369,,AH369+1)*AF369-ERP_i)*AE369*Ramure*Pc/MaxiM</f>
        <v>6.3510801022363785E-3</v>
      </c>
      <c r="AE369" s="304">
        <f t="shared" si="142"/>
        <v>0.6</v>
      </c>
      <c r="AF369" s="177">
        <f t="shared" si="143"/>
        <v>0.4991052794664535</v>
      </c>
      <c r="AG369" s="799">
        <f t="shared" si="149"/>
        <v>0</v>
      </c>
      <c r="AH369" s="176">
        <f t="shared" si="144"/>
        <v>6</v>
      </c>
      <c r="AI369" s="224">
        <f t="shared" si="145"/>
        <v>0.4991052794664535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1153">
        <v>18.155000000000001</v>
      </c>
      <c r="C370" s="388"/>
      <c r="D370" s="391">
        <f t="shared" si="127"/>
        <v>18.661580299450861</v>
      </c>
      <c r="E370" s="383">
        <f t="shared" si="150"/>
        <v>19.186300742045319</v>
      </c>
      <c r="F370" s="383">
        <f t="shared" si="128"/>
        <v>19.273607668704752</v>
      </c>
      <c r="G370" s="110">
        <f t="shared" si="151"/>
        <v>0.79886341542825179</v>
      </c>
      <c r="H370" s="412" t="b">
        <f>Wh_hp&gt;='2021'!Maxi_hp</f>
        <v>0</v>
      </c>
      <c r="I370" s="379">
        <f>IF(H370,Wh_hp,'2021'!Maxi_hp)</f>
        <v>24.5370383220707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2.7145627075632284E-2</v>
      </c>
      <c r="M370" s="832"/>
      <c r="N370" s="832"/>
      <c r="O370" s="48">
        <f>IF(t&lt;Tnet,'2021'!Resal+('2021'!Salim-'2021'!Resal)*(1-EXP(('2021'!Tnet-t)/('2021'!Tau_j))),Resal+(Salim-Resal)*(1-EXP((Tnet-t)/(Tau_j))))*Salcycl</f>
        <v>2.7348703100674953E-2</v>
      </c>
      <c r="P370" s="169">
        <f>(INDEX(Models!$BJ370:$BT370,,T370)*(1-R370)+INDEX(Models!$BJ370:$BT370,,T370+1)*R370-ERP_i)*Q370*Ramure*Pc/MaxiM</f>
        <v>6.3378001220551674E-3</v>
      </c>
      <c r="Q370" s="304">
        <f t="shared" si="130"/>
        <v>0.6</v>
      </c>
      <c r="R370" s="177">
        <f t="shared" si="131"/>
        <v>0.49911222766525076</v>
      </c>
      <c r="S370" s="799">
        <f t="shared" si="132"/>
        <v>0</v>
      </c>
      <c r="T370" s="176">
        <f t="shared" si="133"/>
        <v>6</v>
      </c>
      <c r="U370" s="250">
        <f t="shared" si="134"/>
        <v>0.49911222766525076</v>
      </c>
      <c r="V370" s="382">
        <f t="shared" si="135"/>
        <v>22.684763513190983</v>
      </c>
      <c r="W370" s="400">
        <f t="shared" si="136"/>
        <v>0</v>
      </c>
      <c r="X370" s="157">
        <f t="shared" si="137"/>
        <v>44917</v>
      </c>
      <c r="Y370" s="383">
        <f t="shared" si="138"/>
        <v>17.029787543573576</v>
      </c>
      <c r="Z370" s="383">
        <f t="shared" si="139"/>
        <v>17.504970957146035</v>
      </c>
      <c r="AA370" s="384">
        <f t="shared" si="140"/>
        <v>19.186300742045319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8.7631785173406376E-2</v>
      </c>
      <c r="AD370" s="230">
        <f>(INDEX(Models!$BJ370:$BT370,,AH370)*(1-AF370)+INDEX(Models!$BJ370:$BT370,,AH370+1)*AF370-ERP_i)*AE370*Ramure*Pc/MaxiM</f>
        <v>6.3378001220551674E-3</v>
      </c>
      <c r="AE370" s="304">
        <f t="shared" si="142"/>
        <v>0.6</v>
      </c>
      <c r="AF370" s="177">
        <f t="shared" si="143"/>
        <v>0.49911222766525076</v>
      </c>
      <c r="AG370" s="799">
        <f t="shared" si="149"/>
        <v>0</v>
      </c>
      <c r="AH370" s="176">
        <f t="shared" si="144"/>
        <v>6</v>
      </c>
      <c r="AI370" s="224">
        <f t="shared" si="145"/>
        <v>0.49911222766525076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1153">
        <v>18.399000000000001</v>
      </c>
      <c r="C371" s="388"/>
      <c r="D371" s="391">
        <f t="shared" si="127"/>
        <v>18.912751107945937</v>
      </c>
      <c r="E371" s="383">
        <f t="shared" si="150"/>
        <v>19.445816880925381</v>
      </c>
      <c r="F371" s="383">
        <f t="shared" si="128"/>
        <v>19.535737774995251</v>
      </c>
      <c r="G371" s="110">
        <f t="shared" si="151"/>
        <v>0.80878910966408446</v>
      </c>
      <c r="H371" s="412" t="b">
        <f>Wh_hp&gt;='2021'!Maxi_hp</f>
        <v>0</v>
      </c>
      <c r="I371" s="379">
        <f>IF(H371,Wh_hp,'2021'!Maxi_hp)</f>
        <v>20.621523847427799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2.7164271607745594E-2</v>
      </c>
      <c r="M371" s="832"/>
      <c r="N371" s="832"/>
      <c r="O371" s="48">
        <f>IF(t&lt;Tnet,'2021'!Resal+('2021'!Salim-'2021'!Resal)*(1-EXP(('2021'!Tnet-t)/('2021'!Tau_j))),Resal+(Salim-Resal)*(1-EXP((Tnet-t)/(Tau_j))))*Salcycl</f>
        <v>2.7412876313894205E-2</v>
      </c>
      <c r="P371" s="169">
        <f>(INDEX(Models!$BJ371:$BT371,,T371)*(1-R371)+INDEX(Models!$BJ371:$BT371,,T371+1)*R371-ERP_i)*Q371*Ramure*Pc/MaxiM</f>
        <v>6.3154290610035997E-3</v>
      </c>
      <c r="Q371" s="304">
        <f t="shared" si="130"/>
        <v>0.6</v>
      </c>
      <c r="R371" s="177">
        <f t="shared" si="131"/>
        <v>0.49911222766525076</v>
      </c>
      <c r="S371" s="799">
        <f t="shared" si="132"/>
        <v>0</v>
      </c>
      <c r="T371" s="176">
        <f t="shared" si="133"/>
        <v>6</v>
      </c>
      <c r="U371" s="250">
        <f t="shared" si="134"/>
        <v>0.49911222766525076</v>
      </c>
      <c r="V371" s="382">
        <f t="shared" si="135"/>
        <v>22.709684280976827</v>
      </c>
      <c r="W371" s="400">
        <f t="shared" si="136"/>
        <v>0</v>
      </c>
      <c r="X371" s="157">
        <f t="shared" si="137"/>
        <v>44918</v>
      </c>
      <c r="Y371" s="383">
        <f t="shared" si="138"/>
        <v>17.259724212709958</v>
      </c>
      <c r="Z371" s="383">
        <f t="shared" si="139"/>
        <v>17.741663580997422</v>
      </c>
      <c r="AA371" s="384">
        <f t="shared" si="140"/>
        <v>19.445816880925381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8.7635984148322674E-2</v>
      </c>
      <c r="AD371" s="230">
        <f>(INDEX(Models!$BJ371:$BT371,,AH371)*(1-AF371)+INDEX(Models!$BJ371:$BT371,,AH371+1)*AF371-ERP_i)*AE371*Ramure*Pc/MaxiM</f>
        <v>6.3154290610035997E-3</v>
      </c>
      <c r="AE371" s="304">
        <f t="shared" si="142"/>
        <v>0.6</v>
      </c>
      <c r="AF371" s="177">
        <f t="shared" si="143"/>
        <v>0.49911222766525076</v>
      </c>
      <c r="AG371" s="799">
        <f t="shared" si="149"/>
        <v>0</v>
      </c>
      <c r="AH371" s="176">
        <f t="shared" si="144"/>
        <v>6</v>
      </c>
      <c r="AI371" s="224">
        <f t="shared" si="145"/>
        <v>0.49911222766525076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1153">
        <v>21.867000000000001</v>
      </c>
      <c r="C372" s="388"/>
      <c r="D372" s="391">
        <f t="shared" si="127"/>
        <v>22.478018072215463</v>
      </c>
      <c r="E372" s="383">
        <f t="shared" si="150"/>
        <v>23.113100203710527</v>
      </c>
      <c r="F372" s="383">
        <f t="shared" si="128"/>
        <v>23.251123518369042</v>
      </c>
      <c r="G372" s="110">
        <f t="shared" si="151"/>
        <v>0.96093317682184232</v>
      </c>
      <c r="H372" s="412" t="b">
        <f>Wh_hp&gt;='2021'!Maxi_hp</f>
        <v>1</v>
      </c>
      <c r="I372" s="379">
        <f>IF(H372,Wh_hp,'2021'!Maxi_hp)</f>
        <v>23.251123518369042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2.7182915782540729E-2</v>
      </c>
      <c r="M372" s="832"/>
      <c r="N372" s="832"/>
      <c r="O372" s="48">
        <f>IF(t&lt;Tnet,'2021'!Resal+('2021'!Salim-'2021'!Resal)*(1-EXP(('2021'!Tnet-t)/('2021'!Tau_j))),Resal+(Salim-Resal)*(1-EXP((Tnet-t)/(Tau_j))))*Salcycl</f>
        <v>2.7477150442721979E-2</v>
      </c>
      <c r="P372" s="169">
        <f>(INDEX(Models!$BJ372:$BT372,,T372)*(1-R372)+INDEX(Models!$BJ372:$BT372,,T372+1)*R372-ERP_i)*Q372*Ramure*Pc/MaxiM</f>
        <v>6.2838835677975508E-3</v>
      </c>
      <c r="Q372" s="304">
        <f t="shared" si="130"/>
        <v>0.6</v>
      </c>
      <c r="R372" s="177">
        <f t="shared" si="131"/>
        <v>0.49911222766525076</v>
      </c>
      <c r="S372" s="799">
        <f t="shared" si="132"/>
        <v>0</v>
      </c>
      <c r="T372" s="176">
        <f t="shared" si="133"/>
        <v>6</v>
      </c>
      <c r="U372" s="250">
        <f t="shared" si="134"/>
        <v>0.49911222766525076</v>
      </c>
      <c r="V372" s="382">
        <f t="shared" si="135"/>
        <v>22.748045675741572</v>
      </c>
      <c r="W372" s="400">
        <f t="shared" si="136"/>
        <v>0</v>
      </c>
      <c r="X372" s="157">
        <f t="shared" si="137"/>
        <v>44919</v>
      </c>
      <c r="Y372" s="383">
        <f t="shared" si="138"/>
        <v>20.514233023192901</v>
      </c>
      <c r="Z372" s="383">
        <f t="shared" si="139"/>
        <v>21.087451439747987</v>
      </c>
      <c r="AA372" s="384">
        <f t="shared" si="140"/>
        <v>23.113100203710527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8.7640720894609683E-2</v>
      </c>
      <c r="AD372" s="230">
        <f>(INDEX(Models!$BJ372:$BT372,,AH372)*(1-AF372)+INDEX(Models!$BJ372:$BT372,,AH372+1)*AF372-ERP_i)*AE372*Ramure*Pc/MaxiM</f>
        <v>6.2838835677975508E-3</v>
      </c>
      <c r="AE372" s="304">
        <f t="shared" si="142"/>
        <v>0.6</v>
      </c>
      <c r="AF372" s="177">
        <f t="shared" si="143"/>
        <v>0.49911222766525076</v>
      </c>
      <c r="AG372" s="799">
        <f t="shared" si="149"/>
        <v>0</v>
      </c>
      <c r="AH372" s="176">
        <f t="shared" si="144"/>
        <v>6</v>
      </c>
      <c r="AI372" s="224">
        <f t="shared" si="145"/>
        <v>0.49911222766525076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1153">
        <v>12.354000000000001</v>
      </c>
      <c r="C373" s="388"/>
      <c r="D373" s="391">
        <f t="shared" si="127"/>
        <v>12.699444701947234</v>
      </c>
      <c r="E373" s="383">
        <f t="shared" si="150"/>
        <v>13.059112405263006</v>
      </c>
      <c r="F373" s="383">
        <f t="shared" si="128"/>
        <v>13.087340065687096</v>
      </c>
      <c r="G373" s="110">
        <f t="shared" si="151"/>
        <v>0.53961751902299759</v>
      </c>
      <c r="H373" s="412" t="b">
        <f>Wh_hp&gt;='2021'!Maxi_hp</f>
        <v>1</v>
      </c>
      <c r="I373" s="379">
        <f>IF(H373,Wh_hp,'2021'!Maxi_hp)</f>
        <v>13.087340065687096</v>
      </c>
      <c r="J373" s="85">
        <f>IF(H373,An,'2021'!An_max)</f>
        <v>2022</v>
      </c>
      <c r="K373" s="197">
        <f t="shared" si="129"/>
        <v>44920</v>
      </c>
      <c r="L373" s="147">
        <f>IF(t&lt;Tvie,1-EXP((T0-t)*PertePVj)+'2021'!Pspv,1-EXP((T0-t)*PertePVj)+Pspv)</f>
        <v>2.7201559600024461E-2</v>
      </c>
      <c r="M373" s="832"/>
      <c r="N373" s="832"/>
      <c r="O373" s="48">
        <f>IF(t&lt;Tnet,'2021'!Resal+('2021'!Salim-'2021'!Resal)*(1-EXP(('2021'!Tnet-t)/('2021'!Tau_j))),Resal+(Salim-Resal)*(1-EXP((Tnet-t)/(Tau_j))))*Salcycl</f>
        <v>2.7541512175882701E-2</v>
      </c>
      <c r="P373" s="169">
        <f>(INDEX(Models!$BJ373:$BT373,,T373)*(1-R373)+INDEX(Models!$BJ373:$BT373,,T373+1)*R373-ERP_i)*Q373*Ramure*Pc/MaxiM</f>
        <v>6.2430946516479034E-3</v>
      </c>
      <c r="Q373" s="304">
        <f t="shared" si="130"/>
        <v>0.6</v>
      </c>
      <c r="R373" s="177">
        <f t="shared" si="131"/>
        <v>0.49911222766525076</v>
      </c>
      <c r="S373" s="799">
        <f t="shared" si="132"/>
        <v>0</v>
      </c>
      <c r="T373" s="176">
        <f t="shared" si="133"/>
        <v>6</v>
      </c>
      <c r="U373" s="250">
        <f t="shared" si="134"/>
        <v>0.49911222766525076</v>
      </c>
      <c r="V373" s="382">
        <f t="shared" si="135"/>
        <v>22.800241284209644</v>
      </c>
      <c r="W373" s="400">
        <f t="shared" si="136"/>
        <v>0</v>
      </c>
      <c r="X373" s="157">
        <f t="shared" si="137"/>
        <v>44920</v>
      </c>
      <c r="Y373" s="383">
        <f t="shared" si="138"/>
        <v>11.590440194790361</v>
      </c>
      <c r="Z373" s="383">
        <f t="shared" si="139"/>
        <v>11.91453410433598</v>
      </c>
      <c r="AA373" s="384">
        <f t="shared" si="140"/>
        <v>13.059112405263006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8.7645949081941066E-2</v>
      </c>
      <c r="AD373" s="230">
        <f>(INDEX(Models!$BJ373:$BT373,,AH373)*(1-AF373)+INDEX(Models!$BJ373:$BT373,,AH373+1)*AF373-ERP_i)*AE373*Ramure*Pc/MaxiM</f>
        <v>6.2430946516479034E-3</v>
      </c>
      <c r="AE373" s="304">
        <f t="shared" si="142"/>
        <v>0.6</v>
      </c>
      <c r="AF373" s="177">
        <f t="shared" si="143"/>
        <v>0.49911222766525076</v>
      </c>
      <c r="AG373" s="799">
        <f t="shared" si="149"/>
        <v>0</v>
      </c>
      <c r="AH373" s="176">
        <f t="shared" si="144"/>
        <v>6</v>
      </c>
      <c r="AI373" s="224">
        <f t="shared" si="145"/>
        <v>0.49911222766525076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1153">
        <v>21.358000000000001</v>
      </c>
      <c r="C374" s="388"/>
      <c r="D374" s="391">
        <f t="shared" si="127"/>
        <v>21.955636894586753</v>
      </c>
      <c r="E374" s="383">
        <f t="shared" si="150"/>
        <v>22.578950237688147</v>
      </c>
      <c r="F374" s="383">
        <f t="shared" si="128"/>
        <v>22.706326287460659</v>
      </c>
      <c r="G374" s="110">
        <f t="shared" si="151"/>
        <v>0.93350201323090121</v>
      </c>
      <c r="H374" s="412" t="b">
        <f>Wh_hp&gt;='2021'!Maxi_hp</f>
        <v>1</v>
      </c>
      <c r="I374" s="379">
        <f>IF(H374,Wh_hp,'2021'!Maxi_hp)</f>
        <v>22.706326287460659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2.7220203060203785E-2</v>
      </c>
      <c r="M374" s="832"/>
      <c r="N374" s="832"/>
      <c r="O374" s="48">
        <f>IF(t&lt;Tnet,'2021'!Resal+('2021'!Salim-'2021'!Resal)*(1-EXP(('2021'!Tnet-t)/('2021'!Tau_j))),Resal+(Salim-Resal)*(1-EXP((Tnet-t)/(Tau_j))))*Salcycl</f>
        <v>2.7605948750486078E-2</v>
      </c>
      <c r="P374" s="169">
        <f>(INDEX(Models!$BJ374:$BT374,,T374)*(1-R374)+INDEX(Models!$BJ374:$BT374,,T374+1)*R374-ERP_i)*Q374*Ramure*Pc/MaxiM</f>
        <v>6.1932037842208562E-3</v>
      </c>
      <c r="Q374" s="304">
        <f t="shared" si="130"/>
        <v>0.6</v>
      </c>
      <c r="R374" s="177">
        <f t="shared" si="131"/>
        <v>0.49911222766525076</v>
      </c>
      <c r="S374" s="799">
        <f t="shared" si="132"/>
        <v>0</v>
      </c>
      <c r="T374" s="176">
        <f t="shared" si="133"/>
        <v>6</v>
      </c>
      <c r="U374" s="250">
        <f t="shared" si="134"/>
        <v>0.49911222766525076</v>
      </c>
      <c r="V374" s="382">
        <f t="shared" si="135"/>
        <v>22.86601128806138</v>
      </c>
      <c r="W374" s="400">
        <f t="shared" si="136"/>
        <v>0</v>
      </c>
      <c r="X374" s="157">
        <f t="shared" si="137"/>
        <v>44921</v>
      </c>
      <c r="Y374" s="383">
        <f t="shared" si="138"/>
        <v>20.03913596324799</v>
      </c>
      <c r="Z374" s="383">
        <f t="shared" si="139"/>
        <v>20.599868568701556</v>
      </c>
      <c r="AA374" s="384">
        <f t="shared" si="140"/>
        <v>22.578950237688147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8.7651624550868862E-2</v>
      </c>
      <c r="AD374" s="230">
        <f>(INDEX(Models!$BJ374:$BT374,,AH374)*(1-AF374)+INDEX(Models!$BJ374:$BT374,,AH374+1)*AF374-ERP_i)*AE374*Ramure*Pc/MaxiM</f>
        <v>6.1932037842208562E-3</v>
      </c>
      <c r="AE374" s="304">
        <f t="shared" si="142"/>
        <v>0.6</v>
      </c>
      <c r="AF374" s="177">
        <f t="shared" si="143"/>
        <v>0.49911222766525076</v>
      </c>
      <c r="AG374" s="799">
        <f t="shared" si="149"/>
        <v>0</v>
      </c>
      <c r="AH374" s="176">
        <f t="shared" si="144"/>
        <v>6</v>
      </c>
      <c r="AI374" s="224">
        <f t="shared" si="145"/>
        <v>0.49911222766525076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1153">
        <v>7.2370000000000001</v>
      </c>
      <c r="C375" s="388"/>
      <c r="D375" s="391">
        <f t="shared" si="127"/>
        <v>7.4396474113452289</v>
      </c>
      <c r="E375" s="383">
        <f t="shared" si="150"/>
        <v>7.651364083431047</v>
      </c>
      <c r="F375" s="383">
        <f t="shared" si="128"/>
        <v>7.6523965081620453</v>
      </c>
      <c r="G375" s="110">
        <f t="shared" si="151"/>
        <v>0.31351567310904432</v>
      </c>
      <c r="H375" s="412" t="b">
        <f>Wh_hp&gt;='2021'!Maxi_hp</f>
        <v>0</v>
      </c>
      <c r="I375" s="379">
        <f>IF(H375,Wh_hp,'2021'!Maxi_hp)</f>
        <v>21.290446008401918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2.7238846163085362E-2</v>
      </c>
      <c r="M375" s="832"/>
      <c r="N375" s="832"/>
      <c r="O375" s="48">
        <f>IF(t&lt;Tnet,'2021'!Resal+('2021'!Salim-'2021'!Resal)*(1-EXP(('2021'!Tnet-t)/('2021'!Tau_j))),Resal+(Salim-Resal)*(1-EXP((Tnet-t)/(Tau_j))))*Salcycl</f>
        <v>2.7670448011262266E-2</v>
      </c>
      <c r="P375" s="169">
        <f>(INDEX(Models!$BJ375:$BT375,,T375)*(1-R375)+INDEX(Models!$BJ375:$BT375,,T375+1)*R375-ERP_i)*Q375*Ramure*Pc/MaxiM</f>
        <v>6.1298185694968208E-3</v>
      </c>
      <c r="Q375" s="304">
        <f t="shared" si="130"/>
        <v>0.6</v>
      </c>
      <c r="R375" s="177">
        <f t="shared" si="131"/>
        <v>0.49911222766525076</v>
      </c>
      <c r="S375" s="799">
        <f t="shared" si="132"/>
        <v>0</v>
      </c>
      <c r="T375" s="176">
        <f t="shared" si="133"/>
        <v>6</v>
      </c>
      <c r="U375" s="250">
        <f t="shared" si="134"/>
        <v>0.49911222766525076</v>
      </c>
      <c r="V375" s="382">
        <f t="shared" si="135"/>
        <v>22.944974198561582</v>
      </c>
      <c r="W375" s="400">
        <f t="shared" si="136"/>
        <v>0</v>
      </c>
      <c r="X375" s="157">
        <f t="shared" si="137"/>
        <v>44922</v>
      </c>
      <c r="Y375" s="383">
        <f t="shared" si="138"/>
        <v>6.790517856806078</v>
      </c>
      <c r="Z375" s="383">
        <f t="shared" si="139"/>
        <v>6.9806630641261425</v>
      </c>
      <c r="AA375" s="384">
        <f t="shared" si="140"/>
        <v>7.651364083431047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8.7657705474674871E-2</v>
      </c>
      <c r="AD375" s="230">
        <f>(INDEX(Models!$BJ375:$BT375,,AH375)*(1-AF375)+INDEX(Models!$BJ375:$BT375,,AH375+1)*AF375-ERP_i)*AE375*Ramure*Pc/MaxiM</f>
        <v>6.1298185694968208E-3</v>
      </c>
      <c r="AE375" s="304">
        <f t="shared" si="142"/>
        <v>0.6</v>
      </c>
      <c r="AF375" s="177">
        <f t="shared" si="143"/>
        <v>0.49911222766525076</v>
      </c>
      <c r="AG375" s="799">
        <f t="shared" si="149"/>
        <v>0</v>
      </c>
      <c r="AH375" s="176">
        <f t="shared" si="144"/>
        <v>6</v>
      </c>
      <c r="AI375" s="224">
        <f t="shared" si="145"/>
        <v>0.49911222766525076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1153">
        <v>22.466999999999999</v>
      </c>
      <c r="C376" s="388"/>
      <c r="D376" s="391">
        <f t="shared" si="127"/>
        <v>23.096554066290555</v>
      </c>
      <c r="E376" s="383">
        <f t="shared" si="150"/>
        <v>23.755410335415224</v>
      </c>
      <c r="F376" s="383">
        <f t="shared" si="128"/>
        <v>23.895018418941333</v>
      </c>
      <c r="G376" s="110">
        <f t="shared" si="151"/>
        <v>0.97506566943623574</v>
      </c>
      <c r="H376" s="412" t="b">
        <f>Wh_hp&gt;='2021'!Maxi_hp</f>
        <v>1</v>
      </c>
      <c r="I376" s="379">
        <f>IF(H376,Wh_hp,'2021'!Maxi_hp)</f>
        <v>23.895018418941333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2.7257488908676186E-2</v>
      </c>
      <c r="M376" s="832"/>
      <c r="N376" s="832"/>
      <c r="O376" s="48">
        <f>IF(t&lt;Tnet,'2021'!Resal+('2021'!Salim-'2021'!Resal)*(1-EXP(('2021'!Tnet-t)/('2021'!Tau_j))),Resal+(Salim-Resal)*(1-EXP((Tnet-t)/(Tau_j))))*Salcycl</f>
        <v>2.7734998462326202E-2</v>
      </c>
      <c r="P376" s="169">
        <f>(INDEX(Models!$BJ376:$BT376,,T376)*(1-R376)+INDEX(Models!$BJ376:$BT376,,T376+1)*R376-ERP_i)*Q376*Ramure*Pc/MaxiM</f>
        <v>6.0564791465405974E-3</v>
      </c>
      <c r="Q376" s="304">
        <f t="shared" si="130"/>
        <v>0.6</v>
      </c>
      <c r="R376" s="177">
        <f t="shared" si="131"/>
        <v>0.49911222766525076</v>
      </c>
      <c r="S376" s="799">
        <f t="shared" si="132"/>
        <v>0</v>
      </c>
      <c r="T376" s="176">
        <f t="shared" si="133"/>
        <v>6</v>
      </c>
      <c r="U376" s="250">
        <f t="shared" si="134"/>
        <v>0.49911222766525076</v>
      </c>
      <c r="V376" s="382">
        <f t="shared" si="135"/>
        <v>23.03656701491817</v>
      </c>
      <c r="W376" s="400">
        <f t="shared" si="136"/>
        <v>0</v>
      </c>
      <c r="X376" s="157">
        <f t="shared" si="137"/>
        <v>44923</v>
      </c>
      <c r="Y376" s="383">
        <f t="shared" si="138"/>
        <v>21.08216325123901</v>
      </c>
      <c r="Z376" s="383">
        <f t="shared" si="139"/>
        <v>21.67291242117798</v>
      </c>
      <c r="AA376" s="384">
        <f t="shared" si="140"/>
        <v>23.755410335415224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8.7664152495509615E-2</v>
      </c>
      <c r="AD376" s="230">
        <f>(INDEX(Models!$BJ376:$BT376,,AH376)*(1-AF376)+INDEX(Models!$BJ376:$BT376,,AH376+1)*AF376-ERP_i)*AE376*Ramure*Pc/MaxiM</f>
        <v>6.0564791465405974E-3</v>
      </c>
      <c r="AE376" s="304">
        <f t="shared" si="142"/>
        <v>0.6</v>
      </c>
      <c r="AF376" s="177">
        <f t="shared" si="143"/>
        <v>0.49911222766525076</v>
      </c>
      <c r="AG376" s="799">
        <f t="shared" si="149"/>
        <v>0</v>
      </c>
      <c r="AH376" s="176">
        <f t="shared" si="144"/>
        <v>6</v>
      </c>
      <c r="AI376" s="224">
        <f t="shared" si="145"/>
        <v>0.49911222766525076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1153">
        <v>10.670999999999999</v>
      </c>
      <c r="C377" s="388"/>
      <c r="D377" s="391">
        <f t="shared" si="127"/>
        <v>10.970225305798444</v>
      </c>
      <c r="E377" s="383">
        <f t="shared" si="150"/>
        <v>11.283913465975976</v>
      </c>
      <c r="F377" s="383">
        <f t="shared" si="128"/>
        <v>11.299451636138405</v>
      </c>
      <c r="G377" s="110">
        <f t="shared" si="151"/>
        <v>0.45902008782481696</v>
      </c>
      <c r="H377" s="412" t="b">
        <f>Wh_hp&gt;='2021'!Maxi_hp</f>
        <v>0</v>
      </c>
      <c r="I377" s="379">
        <f>IF(H377,Wh_hp,'2021'!Maxi_hp)</f>
        <v>25.022994124609578</v>
      </c>
      <c r="J377" s="85">
        <f>IF(H377,An,'2021'!An_max)</f>
        <v>2018</v>
      </c>
      <c r="K377" s="197">
        <f t="shared" si="129"/>
        <v>44924</v>
      </c>
      <c r="L377" s="147">
        <f>IF(t&lt;Tvie,1-EXP((T0-t)*PertePVj)+'2021'!Pspv,1-EXP((T0-t)*PertePVj)+Pspv)</f>
        <v>2.7276131296983031E-2</v>
      </c>
      <c r="M377" s="832"/>
      <c r="N377" s="832"/>
      <c r="O377" s="48">
        <f>IF(t&lt;Tnet,'2021'!Resal+('2021'!Salim-'2021'!Resal)*(1-EXP(('2021'!Tnet-t)/('2021'!Tau_j))),Resal+(Salim-Resal)*(1-EXP((Tnet-t)/(Tau_j))))*Salcycl</f>
        <v>2.7799589311224851E-2</v>
      </c>
      <c r="P377" s="169">
        <f>(INDEX(Models!$BJ377:$BT377,,T377)*(1-R377)+INDEX(Models!$BJ377:$BT377,,T377+1)*R377-ERP_i)*Q377*Ramure*Pc/MaxiM</f>
        <v>5.9734842665061048E-3</v>
      </c>
      <c r="Q377" s="304">
        <f t="shared" si="130"/>
        <v>0.6</v>
      </c>
      <c r="R377" s="177">
        <f t="shared" si="131"/>
        <v>0.49911222766525076</v>
      </c>
      <c r="S377" s="799">
        <f t="shared" si="132"/>
        <v>0</v>
      </c>
      <c r="T377" s="176">
        <f t="shared" si="133"/>
        <v>6</v>
      </c>
      <c r="U377" s="250">
        <f t="shared" si="134"/>
        <v>0.49911222766525076</v>
      </c>
      <c r="V377" s="382">
        <f t="shared" si="135"/>
        <v>23.140301768913492</v>
      </c>
      <c r="W377" s="400">
        <f t="shared" si="136"/>
        <v>0</v>
      </c>
      <c r="X377" s="157">
        <f t="shared" si="137"/>
        <v>44924</v>
      </c>
      <c r="Y377" s="383">
        <f t="shared" si="138"/>
        <v>10.013844276727113</v>
      </c>
      <c r="Z377" s="383">
        <f t="shared" si="139"/>
        <v>10.294642291526257</v>
      </c>
      <c r="AA377" s="384">
        <f t="shared" si="140"/>
        <v>11.283913465975976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8.7670928834454251E-2</v>
      </c>
      <c r="AD377" s="230">
        <f>(INDEX(Models!$BJ377:$BT377,,AH377)*(1-AF377)+INDEX(Models!$BJ377:$BT377,,AH377+1)*AF377-ERP_i)*AE377*Ramure*Pc/MaxiM</f>
        <v>5.9734842665061048E-3</v>
      </c>
      <c r="AE377" s="304">
        <f t="shared" si="142"/>
        <v>0.6</v>
      </c>
      <c r="AF377" s="177">
        <f t="shared" si="143"/>
        <v>0.49911222766525076</v>
      </c>
      <c r="AG377" s="799">
        <f t="shared" si="149"/>
        <v>0</v>
      </c>
      <c r="AH377" s="176">
        <f t="shared" si="144"/>
        <v>6</v>
      </c>
      <c r="AI377" s="224">
        <f t="shared" si="145"/>
        <v>0.49911222766525076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1153">
        <v>14.458</v>
      </c>
      <c r="C378" s="388"/>
      <c r="D378" s="391">
        <f t="shared" si="127"/>
        <v>14.863701359420663</v>
      </c>
      <c r="E378" s="383">
        <f t="shared" si="150"/>
        <v>15.289737832966152</v>
      </c>
      <c r="F378" s="383">
        <f t="shared" si="128"/>
        <v>15.331174729406774</v>
      </c>
      <c r="G378" s="110">
        <f t="shared" si="151"/>
        <v>0.61971596122762007</v>
      </c>
      <c r="H378" s="412" t="b">
        <f>Wh_hp&gt;='2021'!Maxi_hp</f>
        <v>0</v>
      </c>
      <c r="I378" s="379">
        <f>IF(H378,Wh_hp,'2021'!Maxi_hp)</f>
        <v>25.027651179472095</v>
      </c>
      <c r="J378" s="85">
        <f>IF(H378,An,'2021'!An_max)</f>
        <v>2018</v>
      </c>
      <c r="K378" s="197">
        <f t="shared" si="129"/>
        <v>44925</v>
      </c>
      <c r="L378" s="147">
        <f>IF(t&lt;Tvie,1-EXP((T0-t)*PertePVj)+'2021'!Pspv,1-EXP((T0-t)*PertePVj)+Pspv)</f>
        <v>2.7294773328012778E-2</v>
      </c>
      <c r="M378" s="832"/>
      <c r="N378" s="832"/>
      <c r="O378" s="48">
        <f>IF(t&lt;Tnet,'2021'!Resal+('2021'!Salim-'2021'!Resal)*(1-EXP(('2021'!Tnet-t)/('2021'!Tau_j))),Resal+(Salim-Resal)*(1-EXP((Tnet-t)/(Tau_j))))*Salcycl</f>
        <v>2.7864210505095372E-2</v>
      </c>
      <c r="P378" s="169">
        <f>(INDEX(Models!$BJ378:$BT378,,T378)*(1-R378)+INDEX(Models!$BJ378:$BT378,,T378+1)*R378-ERP_i)*Q378*Ramure*Pc/MaxiM</f>
        <v>5.8811521371243524E-3</v>
      </c>
      <c r="Q378" s="304">
        <f t="shared" si="130"/>
        <v>0.6</v>
      </c>
      <c r="R378" s="177">
        <f t="shared" si="131"/>
        <v>0.49911222766525076</v>
      </c>
      <c r="S378" s="799">
        <f t="shared" si="132"/>
        <v>0</v>
      </c>
      <c r="T378" s="176">
        <f t="shared" si="133"/>
        <v>6</v>
      </c>
      <c r="U378" s="250">
        <f t="shared" si="134"/>
        <v>0.49911222766525076</v>
      </c>
      <c r="V378" s="382">
        <f t="shared" si="135"/>
        <v>23.255690603706817</v>
      </c>
      <c r="W378" s="400">
        <f t="shared" si="136"/>
        <v>0</v>
      </c>
      <c r="X378" s="157">
        <f t="shared" si="137"/>
        <v>44925</v>
      </c>
      <c r="Y378" s="383">
        <f t="shared" si="138"/>
        <v>13.568424918730841</v>
      </c>
      <c r="Z378" s="383">
        <f t="shared" si="139"/>
        <v>13.949164193507871</v>
      </c>
      <c r="AA378" s="384">
        <f t="shared" si="140"/>
        <v>15.289737832966152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8.7678000375380871E-2</v>
      </c>
      <c r="AD378" s="230">
        <f>(INDEX(Models!$BJ378:$BT378,,AH378)*(1-AF378)+INDEX(Models!$BJ378:$BT378,,AH378+1)*AF378-ERP_i)*AE378*Ramure*Pc/MaxiM</f>
        <v>5.8811521371243524E-3</v>
      </c>
      <c r="AE378" s="304">
        <f t="shared" si="142"/>
        <v>0.6</v>
      </c>
      <c r="AF378" s="177">
        <f t="shared" si="143"/>
        <v>0.49911222766525076</v>
      </c>
      <c r="AG378" s="799">
        <f t="shared" si="149"/>
        <v>0</v>
      </c>
      <c r="AH378" s="176">
        <f t="shared" si="144"/>
        <v>6</v>
      </c>
      <c r="AI378" s="224">
        <f t="shared" si="145"/>
        <v>0.49911222766525076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1153">
        <v>11.962</v>
      </c>
      <c r="C379" s="388"/>
      <c r="D379" s="391">
        <f t="shared" si="127"/>
        <v>12.297897580258901</v>
      </c>
      <c r="E379" s="383">
        <f t="shared" si="150"/>
        <v>12.651231975315378</v>
      </c>
      <c r="F379" s="383">
        <f t="shared" si="128"/>
        <v>12.673372739015791</v>
      </c>
      <c r="G379" s="110">
        <f t="shared" si="151"/>
        <v>0.50951801172418509</v>
      </c>
      <c r="H379" s="412" t="b">
        <f>Wh_hp&gt;='2021'!Maxi_hp</f>
        <v>0</v>
      </c>
      <c r="I379" s="379">
        <f>IF(H379,Wh_hp,'2021'!Maxi_hp)</f>
        <v>25.278911318099443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2.7313415001772201E-2</v>
      </c>
      <c r="M379" s="832"/>
      <c r="N379" s="832"/>
      <c r="O379" s="48">
        <f>IF(t&lt;Tnet,'2021'!Resal+('2021'!Salim-'2021'!Resal)*(1-EXP(('2021'!Tnet-t)/('2021'!Tau_j))),Resal+(Salim-Resal)*(1-EXP((Tnet-t)/(Tau_j))))*Salcycl</f>
        <v>2.7928852758837143E-2</v>
      </c>
      <c r="P379" s="169">
        <f>(INDEX(Models!$BJ379:$BT379,,T379)*(1-R379)+INDEX(Models!$BJ379:$BT379,,T379+1)*R379-ERP_i)*Q379*Ramure*Pc/MaxiM</f>
        <v>5.7798171275246042E-3</v>
      </c>
      <c r="Q379" s="305">
        <f t="shared" si="130"/>
        <v>0.6</v>
      </c>
      <c r="R379" s="177">
        <f t="shared" si="131"/>
        <v>0.49911222766525076</v>
      </c>
      <c r="S379" s="799">
        <f t="shared" si="132"/>
        <v>0</v>
      </c>
      <c r="T379" s="176">
        <f t="shared" si="133"/>
        <v>6</v>
      </c>
      <c r="U379" s="306">
        <f t="shared" si="134"/>
        <v>0.49911222766525076</v>
      </c>
      <c r="V379" s="382">
        <f t="shared" si="135"/>
        <v>23.382245775265154</v>
      </c>
      <c r="W379" s="400">
        <f t="shared" si="136"/>
        <v>0</v>
      </c>
      <c r="X379" s="157">
        <f t="shared" si="137"/>
        <v>44926</v>
      </c>
      <c r="Y379" s="383">
        <f t="shared" si="138"/>
        <v>11.226655626038621</v>
      </c>
      <c r="Z379" s="383">
        <f t="shared" si="139"/>
        <v>11.541904452253831</v>
      </c>
      <c r="AA379" s="384">
        <f t="shared" si="140"/>
        <v>12.651231975315378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8.7685335722720636E-2</v>
      </c>
      <c r="AD379" s="230">
        <f>(INDEX(Models!$BJ379:$BT379,,AH379)*(1-AF379)+INDEX(Models!$BJ379:$BT379,,AH379+1)*AF379-ERP_i)*AE379*Ramure*Pc/MaxiM</f>
        <v>5.7798171275246042E-3</v>
      </c>
      <c r="AE379" s="305">
        <f t="shared" si="142"/>
        <v>0.6</v>
      </c>
      <c r="AF379" s="177">
        <f t="shared" si="143"/>
        <v>0.49911222766525076</v>
      </c>
      <c r="AG379" s="799">
        <f t="shared" si="149"/>
        <v>0</v>
      </c>
      <c r="AH379" s="176">
        <f t="shared" si="144"/>
        <v>6</v>
      </c>
      <c r="AI379" s="221">
        <f t="shared" si="145"/>
        <v>0.49911222766525076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00">
        <f>(41.141+49.65)*0.05</f>
        <v>4.5395500000000002</v>
      </c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14.71093936617153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1.7590000000000001</v>
      </c>
      <c r="C381" s="374"/>
      <c r="D381" s="372">
        <f>MIN(D15:D380)</f>
        <v>1.7961316469213198</v>
      </c>
      <c r="E381" s="372">
        <f>MIN(E15:E380)</f>
        <v>1.9470934516474292</v>
      </c>
      <c r="F381" s="373">
        <f>MIN(F15:F380)</f>
        <v>1.9470934516474292</v>
      </c>
      <c r="G381" s="125">
        <f>+MIN(G15:G380)</f>
        <v>7.2772702206217454E-2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2.0504187655907113E-2</v>
      </c>
      <c r="M381" s="833"/>
      <c r="N381" s="833"/>
      <c r="O381" s="47">
        <f t="shared" si="152"/>
        <v>1.0121159854999638E-2</v>
      </c>
      <c r="P381" s="168">
        <f t="shared" si="152"/>
        <v>9.1581623588596128E-5</v>
      </c>
      <c r="Q381" s="309">
        <f t="shared" si="152"/>
        <v>0.6</v>
      </c>
      <c r="R381" s="310">
        <f t="shared" si="152"/>
        <v>6.5986264957097036E-5</v>
      </c>
      <c r="S381" s="799">
        <f t="shared" si="152"/>
        <v>-1</v>
      </c>
      <c r="T381" s="176">
        <f t="shared" si="152"/>
        <v>5</v>
      </c>
      <c r="U381" s="251">
        <f>+MIN(U15:U380)</f>
        <v>-8.8649929857817749E-4</v>
      </c>
      <c r="V381" s="57">
        <f>MIN(V15:V380)</f>
        <v>22.537704513700483</v>
      </c>
      <c r="W381" s="58"/>
      <c r="X381" s="112" t="s">
        <v>7</v>
      </c>
      <c r="Y381" s="372">
        <f>MIN(Y15:Y380)</f>
        <v>1.7590000000000001</v>
      </c>
      <c r="Z381" s="372">
        <f>MIN(Z15:Z380)</f>
        <v>1.7961316469213198</v>
      </c>
      <c r="AA381" s="372">
        <f>MIN(AA15:AA380)</f>
        <v>1.9470934516474292</v>
      </c>
      <c r="AB381" s="200" t="s">
        <v>7</v>
      </c>
      <c r="AC381" s="47">
        <f t="shared" ref="AC381:AH381" si="153">MIN(AC15:AC380)</f>
        <v>7.6956138403865532E-2</v>
      </c>
      <c r="AD381" s="168">
        <f t="shared" si="153"/>
        <v>9.1581623588596128E-5</v>
      </c>
      <c r="AE381" s="309">
        <f t="shared" si="153"/>
        <v>0.6</v>
      </c>
      <c r="AF381" s="310">
        <f t="shared" si="153"/>
        <v>6.5986264957097036E-5</v>
      </c>
      <c r="AG381" s="799">
        <f t="shared" si="153"/>
        <v>-1</v>
      </c>
      <c r="AH381" s="176">
        <f t="shared" si="153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31.553016393442583</v>
      </c>
      <c r="C382" s="374"/>
      <c r="D382" s="374">
        <f>AVERAGE(D15:D380)</f>
        <v>32.40024912073968</v>
      </c>
      <c r="E382" s="374">
        <f>AVERAGE(E15:E380)</f>
        <v>33.579787111252308</v>
      </c>
      <c r="F382" s="375">
        <f>AVERAGE(F15:F380)</f>
        <v>33.600409791163436</v>
      </c>
      <c r="G382" s="126">
        <f>AVERAGE(G15:G380)</f>
        <v>0.6882442562636073</v>
      </c>
      <c r="H382" s="94"/>
      <c r="I382" s="375">
        <f>AVERAGE(I15:I380)</f>
        <v>43.524232860290887</v>
      </c>
      <c r="J382" s="59">
        <f>AVERAGE(J15:J380)</f>
        <v>2020.4371584699454</v>
      </c>
      <c r="K382" s="200" t="s">
        <v>8</v>
      </c>
      <c r="L382" s="147">
        <f t="shared" ref="L382:V382" si="154">AVERAGE(L15:L380)</f>
        <v>2.3912748906446821E-2</v>
      </c>
      <c r="M382" s="832"/>
      <c r="N382" s="832"/>
      <c r="O382" s="48">
        <f t="shared" si="154"/>
        <v>4.0101278168555542E-2</v>
      </c>
      <c r="P382" s="169">
        <f t="shared" si="154"/>
        <v>1.5611432236758056E-3</v>
      </c>
      <c r="Q382" s="311">
        <f t="shared" si="154"/>
        <v>0.59999999999999631</v>
      </c>
      <c r="R382" s="177">
        <f t="shared" si="154"/>
        <v>0.33653134427590808</v>
      </c>
      <c r="S382" s="799">
        <f t="shared" si="154"/>
        <v>-5.7534246575342465E-2</v>
      </c>
      <c r="T382" s="176">
        <f t="shared" si="154"/>
        <v>5.9424657534246572</v>
      </c>
      <c r="U382" s="250">
        <f t="shared" si="154"/>
        <v>0.27899709770056558</v>
      </c>
      <c r="V382" s="59">
        <f t="shared" si="154"/>
        <v>44.375326121643894</v>
      </c>
      <c r="X382" s="112" t="s">
        <v>8</v>
      </c>
      <c r="Y382" s="374">
        <f>AVERAGE(Y15:Y380)</f>
        <v>29.926616662606914</v>
      </c>
      <c r="Z382" s="374">
        <f>AVERAGE(Z15:Z380)</f>
        <v>30.657117458604507</v>
      </c>
      <c r="AA382" s="374">
        <f>AVERAGE(AA15:AA380)</f>
        <v>33.579787111252308</v>
      </c>
      <c r="AB382" s="200" t="s">
        <v>8</v>
      </c>
      <c r="AC382" s="48">
        <f t="shared" ref="AC382:AH382" si="155">AVERAGE(AC15:AC380)</f>
        <v>8.6253750495970505E-2</v>
      </c>
      <c r="AD382" s="169">
        <f t="shared" si="155"/>
        <v>1.5611432236758056E-3</v>
      </c>
      <c r="AE382" s="311">
        <f t="shared" si="155"/>
        <v>0.59999999999999631</v>
      </c>
      <c r="AF382" s="177">
        <f t="shared" si="155"/>
        <v>0.33653134427590808</v>
      </c>
      <c r="AG382" s="799">
        <f t="shared" si="155"/>
        <v>-5.7534246575342465E-2</v>
      </c>
      <c r="AH382" s="176">
        <f t="shared" si="155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62.643999999999998</v>
      </c>
      <c r="C383" s="376"/>
      <c r="D383" s="376">
        <f>MAX(D15:D380)</f>
        <v>64.137013881781982</v>
      </c>
      <c r="E383" s="376">
        <f>MAX(E15:E380)</f>
        <v>64.952719250824217</v>
      </c>
      <c r="F383" s="377">
        <f>MAX(F15:F380)</f>
        <v>64.959236791876052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2022</v>
      </c>
      <c r="K383" s="200" t="s">
        <v>9</v>
      </c>
      <c r="L383" s="148">
        <f t="shared" ref="L383:T383" si="156">MAX(L15:L380)</f>
        <v>2.7313415001772201E-2</v>
      </c>
      <c r="M383" s="834"/>
      <c r="N383" s="834"/>
      <c r="O383" s="49">
        <f t="shared" si="156"/>
        <v>8.5477229088591067E-2</v>
      </c>
      <c r="P383" s="170">
        <f t="shared" si="156"/>
        <v>6.3554202808493469E-3</v>
      </c>
      <c r="Q383" s="312">
        <f t="shared" si="156"/>
        <v>0.6</v>
      </c>
      <c r="R383" s="313">
        <f t="shared" si="156"/>
        <v>0.99999976738617502</v>
      </c>
      <c r="S383" s="800">
        <f t="shared" si="156"/>
        <v>0</v>
      </c>
      <c r="T383" s="232">
        <f t="shared" si="156"/>
        <v>6</v>
      </c>
      <c r="U383" s="252">
        <f>+MAX(U15:U380)</f>
        <v>0.49911222766525076</v>
      </c>
      <c r="V383" s="60">
        <f>MAX(V15:V380)</f>
        <v>61.79818609020311</v>
      </c>
      <c r="X383" s="112" t="s">
        <v>9</v>
      </c>
      <c r="Y383" s="376">
        <f>MAX(Y15:Y380)</f>
        <v>57.890486058682811</v>
      </c>
      <c r="Z383" s="376">
        <f>MAX(Z15:Z380)</f>
        <v>59.270207968342476</v>
      </c>
      <c r="AA383" s="376">
        <f>MAX(AA15:AA380)</f>
        <v>64.952719250824217</v>
      </c>
      <c r="AB383" s="200" t="s">
        <v>9</v>
      </c>
      <c r="AC383" s="49">
        <f t="shared" ref="AC383:AH383" si="157">MAX(AC15:AC380)</f>
        <v>9.035468690890025E-2</v>
      </c>
      <c r="AD383" s="170">
        <f t="shared" si="157"/>
        <v>6.3554202808493469E-3</v>
      </c>
      <c r="AE383" s="312">
        <f t="shared" si="157"/>
        <v>0.6</v>
      </c>
      <c r="AF383" s="313">
        <f t="shared" si="157"/>
        <v>0.99999976738617502</v>
      </c>
      <c r="AG383" s="800">
        <f t="shared" si="157"/>
        <v>0</v>
      </c>
      <c r="AH383" s="232">
        <f t="shared" si="157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O11" sqref="O1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'2022'!An+1</f>
        <v>2023</v>
      </c>
      <c r="K1" s="1279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620.62595436341815</v>
      </c>
      <c r="AK4" s="822">
        <f>AM12-AK12</f>
        <v>-0.54890714132683627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620.62595436341815</v>
      </c>
      <c r="AA5" s="236">
        <f>Wh_Pvg_s-Wh_Pvg</f>
        <v>-0.54890714132683627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11404.720569920099</v>
      </c>
      <c r="AK6" s="514">
        <f>SUMIF(AK15:AK380,"FAUX",Wh)</f>
        <v>11404.720569920099</v>
      </c>
      <c r="AL6" s="514">
        <f>SUMIF(AJ15:AJ380,"FAUX",Wh_s)</f>
        <v>10784.026019595474</v>
      </c>
      <c r="AM6" s="514">
        <f>SUMIF(AK15:AK380,"FAUX",Wh_s)</f>
        <v>10784.026019595474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11765.075197676086</v>
      </c>
      <c r="AK8" s="514">
        <f>SUMIF(AK15:AK380,"FAUX",Wh_sa)</f>
        <v>12251.592980806245</v>
      </c>
      <c r="AL8" s="514">
        <f>SUMIF(AJ15:AJ380,"FAUX",Wh_pvt_s)</f>
        <v>11124.832834887198</v>
      </c>
      <c r="AM8" s="514">
        <f>SUMIF(AK15:AK380,"FAUX",Wh_sa_s)</f>
        <v>12251.592980806245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11765.075197676086</v>
      </c>
      <c r="E9" s="184">
        <f>SUM(E$15:E$380)</f>
        <v>12251.592980806245</v>
      </c>
      <c r="F9" s="184">
        <f>SUM(F$15:F$380)</f>
        <v>12262.427596441708</v>
      </c>
      <c r="H9" s="1280">
        <f>+SUM(Wh)</f>
        <v>11404.720569920099</v>
      </c>
      <c r="I9" s="1281"/>
      <c r="J9" s="1282"/>
      <c r="K9" s="191"/>
      <c r="L9" s="231"/>
      <c r="M9" s="231"/>
      <c r="N9" s="231"/>
      <c r="O9" s="222">
        <f>Tnet_2023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10784.026019595474</v>
      </c>
      <c r="Y9" s="1275"/>
      <c r="Z9" s="514">
        <f>SUM(Z$15:Z$380)</f>
        <v>11124.832834887198</v>
      </c>
      <c r="AA9" s="514">
        <f>SUM(AA$15:AA$380)</f>
        <v>12251.592980806245</v>
      </c>
      <c r="AB9" s="514">
        <f>F9</f>
        <v>12262.427596441708</v>
      </c>
      <c r="AC9" s="324">
        <f>IF(An_Tnet,Tnet,'2022'!Tnet_s)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0.01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8.4558263050890259E-2</v>
      </c>
      <c r="AD10" s="426"/>
      <c r="AE10" s="426"/>
      <c r="AF10" s="259"/>
      <c r="AG10" s="260"/>
      <c r="AH10" s="261"/>
      <c r="AI10" s="471"/>
      <c r="AJ10" s="514">
        <f>SUMIF(AJ15:AJ380,"FAUX",Wh_sa)</f>
        <v>12251.592980806245</v>
      </c>
      <c r="AK10" s="514">
        <f>SUMIF(AK15:AK380,"FAUX",Wh_hp)</f>
        <v>12262.427596441708</v>
      </c>
      <c r="AL10" s="514">
        <f>SUMIF(AJ15:AJ380,"FAUX",Wh_sa_s)</f>
        <v>12251.592980806245</v>
      </c>
      <c r="AM10" s="514">
        <f>SUMIF(AK15:AK380,"FAUX",Wh_hp)</f>
        <v>12262.427596441708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360.35462775598717</v>
      </c>
      <c r="E11" s="51">
        <f>(E$9-D$9)*Prod_an/D$9</f>
        <v>471.61614147544458</v>
      </c>
      <c r="F11" s="186">
        <f>(F$9-E$9)*Prod_an/E$9</f>
        <v>10.085689591429711</v>
      </c>
      <c r="G11" s="185" t="s">
        <v>6</v>
      </c>
      <c r="K11" s="194"/>
      <c r="L11" s="211">
        <f>Tvie_2023</f>
        <v>43481</v>
      </c>
      <c r="M11" s="831"/>
      <c r="N11" s="831"/>
      <c r="O11" s="202">
        <f>IF(An_Tnet,Salim_2023,'2022'!Salim)</f>
        <v>0.1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340.80681529172398</v>
      </c>
      <c r="Z11" s="51">
        <f>(AA$9-Z$9)*Prod_an_s/Z$9</f>
        <v>1092.2420958388627</v>
      </c>
      <c r="AA11" s="186">
        <f>(AB$9-AA$9)*Prod_an_s/AA$9</f>
        <v>9.5367824501028746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4.4677328976523656E-2</v>
      </c>
      <c r="K12" s="191"/>
      <c r="L12" s="212">
        <f>Pspv_2023</f>
        <v>0</v>
      </c>
      <c r="M12" s="212"/>
      <c r="N12" s="212"/>
      <c r="O12" s="205">
        <f>IF(An_Tnet,Tau_2023*365,'2022'!Tau_j)</f>
        <v>1095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471.61614147544458</v>
      </c>
      <c r="AK12" s="822">
        <f>IF($AK8=0,0,($AK10-$AK8)*$AK6/$AK8)</f>
        <v>10.085689591429711</v>
      </c>
      <c r="AL12" s="821">
        <f>IF($AL8=0,0,($AL10-$AL8)*$AL6/$AL8)</f>
        <v>1092.2420958388627</v>
      </c>
      <c r="AM12" s="822">
        <f>IF($AM8=0,0,($AM10-$AM8)*$AM6/$AM8)</f>
        <v>9.5367824501028746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471.61614147544458</v>
      </c>
      <c r="AK13" s="73">
        <f>+AK11+AK12</f>
        <v>10.085689591429711</v>
      </c>
      <c r="AL13" s="73">
        <f>+AL11+AL12</f>
        <v>1092.2420958388627</v>
      </c>
      <c r="AM13" s="73">
        <f>+AM11+AM12</f>
        <v>9.5367824501028746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'2022'!Wh/'2022'!Env_an*'2023'!Env_an</f>
        <v>23.928863951533579</v>
      </c>
      <c r="C15" s="829"/>
      <c r="D15" s="391">
        <f t="shared" ref="D15:D78" si="0">Wh/(1-Ppv)</f>
        <v>24.601267171362007</v>
      </c>
      <c r="E15" s="398">
        <f t="shared" ref="E15:E79" si="1">Wh_pvt/(1-Psa)</f>
        <v>25.309776594179709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Wh_hp&gt;='2022'!Maxi_hp</f>
        <v>1</v>
      </c>
      <c r="I15" s="378">
        <f>IF(H15,Wh_hp,'2022'!Maxi_hp)</f>
        <v>25.454097031999808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2.7332056318268183E-2</v>
      </c>
      <c r="M15" s="832"/>
      <c r="N15" s="832"/>
      <c r="O15" s="48">
        <f>IF(t&lt;Tnet,'2022'!Resal+('2022'!Salim-'2022'!Resal)*(1-EXP(('2022'!Tnet-t)/('2022'!Tau_j))),Resal+(Salim-Resal)*(1-EXP((Tnet-t)/(Tau_j))))*Salcycl</f>
        <v>2.7993507575275675E-2</v>
      </c>
      <c r="P15" s="337">
        <f>(INDEX(Models!$BJ15:$BT15,,T15)*(1-R15)+INDEX(Models!$BJ15:$BT15,,T15+1)*R15-ERP_i)*Q15*Ramure*Pc/MaxiM</f>
        <v>5.6698313689409405E-3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23.519479506681339</v>
      </c>
      <c r="W15" s="400">
        <f t="shared" ref="W15:W78" si="9">Wh*(A15&gt;Tmaj)</f>
        <v>23.928863951533579</v>
      </c>
      <c r="X15" s="156">
        <f t="shared" ref="X15:X78" si="10">t</f>
        <v>44927</v>
      </c>
      <c r="Y15" s="383">
        <f t="shared" ref="Y15:Y78" si="11">Wh_pvt_s*(1-Ppv)</f>
        <v>22.459183656583054</v>
      </c>
      <c r="Z15" s="383">
        <f>Wh_sa_s*(1-Psa_s)</f>
        <v>23.090288728515926</v>
      </c>
      <c r="AA15" s="384">
        <f t="shared" ref="AA15:AA78" si="12">Wh_hp*(1-Pvg_s*MEDIAN((-Sdif+Wh/Env_an)/Csdif,0,1))</f>
        <v>25.309776594179709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8.7692906233482207E-2</v>
      </c>
      <c r="AD15" s="230">
        <f>(INDEX(Models!$BJ15:$BT15,,AH15)*(1-AF15)+INDEX(Models!$BJ15:$BT15,,AH15+1)*AF15-ERP_i)*AE15*Ramure*Pc/MaxiM</f>
        <v>5.6698313689409405E-3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0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'2022'!Wh/'2022'!Env_an*'2023'!Env_an</f>
        <v>16.50320181817856</v>
      </c>
      <c r="C16" s="829"/>
      <c r="D16" s="391">
        <f t="shared" si="0"/>
        <v>16.96726844093272</v>
      </c>
      <c r="E16" s="383">
        <f t="shared" si="1"/>
        <v>17.457082172350184</v>
      </c>
      <c r="F16" s="383">
        <f t="shared" si="2"/>
        <v>17.512337602859308</v>
      </c>
      <c r="G16" s="110">
        <f t="shared" ref="G16:G79" si="19">+Wh_hp/MaxiM</f>
        <v>0.69563511496339081</v>
      </c>
      <c r="H16" s="412" t="b">
        <f>Wh_hp&gt;='2022'!Maxi_hp</f>
        <v>0</v>
      </c>
      <c r="I16" s="379">
        <f>IF(H16,Wh_hp,'2022'!Maxi_hp)</f>
        <v>24.084283353934023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2.7350697277507607E-2</v>
      </c>
      <c r="M16" s="832"/>
      <c r="N16" s="832"/>
      <c r="O16" s="48">
        <f>IF(t&lt;Tnet,'2022'!Resal+('2022'!Salim-'2022'!Resal)*(1-EXP(('2022'!Tnet-t)/('2022'!Tau_j))),Resal+(Salim-Resal)*(1-EXP((Tnet-t)/(Tau_j))))*Salcycl</f>
        <v>2.8058167257370637E-2</v>
      </c>
      <c r="P16" s="338">
        <f>(INDEX(Models!$BJ16:$BT16,,T16)*(1-R16)+INDEX(Models!$BJ16:$BT16,,T16+1)*R16-ERP_i)*Q16*Ramure*Pc/MaxiM</f>
        <v>5.5589428396285003E-3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23.66672832335783</v>
      </c>
      <c r="W16" s="400">
        <f t="shared" si="9"/>
        <v>16.50320181817856</v>
      </c>
      <c r="X16" s="157">
        <f t="shared" si="10"/>
        <v>44928</v>
      </c>
      <c r="Y16" s="383">
        <f t="shared" si="11"/>
        <v>15.490494585098462</v>
      </c>
      <c r="Z16" s="383">
        <f t="shared" ref="Z16:Z78" si="21">Wh_sa_s*(1-Psa_s)</f>
        <v>15.92608408985625</v>
      </c>
      <c r="AA16" s="384">
        <f t="shared" si="12"/>
        <v>17.457082172350184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8.7700686024084831E-2</v>
      </c>
      <c r="AD16" s="230">
        <f>(INDEX(Models!$BJ16:$BT16,,AH16)*(1-AF16)+INDEX(Models!$BJ16:$BT16,,AH16+1)*AF16-ERP_i)*AE16*Ramure*Pc/MaxiM</f>
        <v>5.5589428396285003E-3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0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'2022'!Wh/'2022'!Env_an*'2023'!Env_an</f>
        <v>17.819551735602118</v>
      </c>
      <c r="C17" s="829"/>
      <c r="D17" s="391">
        <f t="shared" si="0"/>
        <v>18.320984963349215</v>
      </c>
      <c r="E17" s="383">
        <f t="shared" si="1"/>
        <v>18.851132049378045</v>
      </c>
      <c r="F17" s="383">
        <f t="shared" si="2"/>
        <v>18.917078919131495</v>
      </c>
      <c r="G17" s="110">
        <f t="shared" si="19"/>
        <v>0.746509833490271</v>
      </c>
      <c r="H17" s="412" t="b">
        <f>Wh_hp&gt;='2022'!Maxi_hp</f>
        <v>0</v>
      </c>
      <c r="I17" s="379">
        <f>IF(H17,Wh_hp,'2022'!Maxi_hp)</f>
        <v>25.872417420672249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2.7369337879497357E-2</v>
      </c>
      <c r="M17" s="832"/>
      <c r="N17" s="832"/>
      <c r="O17" s="48">
        <f>IF(t&lt;Tnet,'2022'!Resal+('2022'!Salim-'2022'!Resal)*(1-EXP(('2022'!Tnet-t)/('2022'!Tau_j))),Resal+(Salim-Resal)*(1-EXP((Tnet-t)/(Tau_j))))*Salcycl</f>
        <v>2.8122824912593117E-2</v>
      </c>
      <c r="P17" s="338">
        <f>(INDEX(Models!$BJ17:$BT17,,T17)*(1-R17)+INDEX(Models!$BJ17:$BT17,,T17+1)*R17-ERP_i)*Q17*Ramure*Pc/MaxiM</f>
        <v>5.4472550505920364E-3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23.823507498340675</v>
      </c>
      <c r="W17" s="400">
        <f t="shared" si="9"/>
        <v>17.819551735602118</v>
      </c>
      <c r="X17" s="157">
        <f t="shared" si="10"/>
        <v>44929</v>
      </c>
      <c r="Y17" s="383">
        <f t="shared" si="11"/>
        <v>16.727034332303806</v>
      </c>
      <c r="Z17" s="383">
        <f t="shared" si="21"/>
        <v>17.197724669543099</v>
      </c>
      <c r="AA17" s="384">
        <f t="shared" si="12"/>
        <v>18.851132049378045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8.7708651952788014E-2</v>
      </c>
      <c r="AD17" s="230">
        <f>(INDEX(Models!$BJ17:$BT17,,AH17)*(1-AF17)+INDEX(Models!$BJ17:$BT17,,AH17+1)*AF17-ERP_i)*AE17*Ramure*Pc/MaxiM</f>
        <v>5.4472550505920364E-3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0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'2022'!Wh/'2022'!Env_an*'2023'!Env_an</f>
        <v>18.935630611773632</v>
      </c>
      <c r="C18" s="829"/>
      <c r="D18" s="391">
        <f t="shared" si="0"/>
        <v>19.4688428539623</v>
      </c>
      <c r="E18" s="383">
        <f t="shared" si="1"/>
        <v>20.033537685611943</v>
      </c>
      <c r="F18" s="383">
        <f t="shared" si="2"/>
        <v>20.108530809295008</v>
      </c>
      <c r="G18" s="110">
        <f t="shared" si="19"/>
        <v>0.78806347605820026</v>
      </c>
      <c r="H18" s="412" t="b">
        <f>Wh_hp&gt;='2022'!Maxi_hp</f>
        <v>0</v>
      </c>
      <c r="I18" s="379">
        <f>IF(H18,Wh_hp,'2022'!Maxi_hp)</f>
        <v>21.824345162432092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2.7387978124244206E-2</v>
      </c>
      <c r="M18" s="832"/>
      <c r="N18" s="832"/>
      <c r="O18" s="48">
        <f>IF(t&lt;Tnet,'2022'!Resal+('2022'!Salim-'2022'!Resal)*(1-EXP(('2022'!Tnet-t)/('2022'!Tau_j))),Resal+(Salim-Resal)*(1-EXP((Tnet-t)/(Tau_j))))*Salcycl</f>
        <v>2.818747444966771E-2</v>
      </c>
      <c r="P18" s="338">
        <f>(INDEX(Models!$BJ18:$BT18,,T18)*(1-R18)+INDEX(Models!$BJ18:$BT18,,T18+1)*R18-ERP_i)*Q18*Ramure*Pc/MaxiM</f>
        <v>5.3349749034915291E-3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23.989329734396552</v>
      </c>
      <c r="W18" s="400">
        <f t="shared" si="9"/>
        <v>18.935630611773632</v>
      </c>
      <c r="X18" s="157">
        <f t="shared" si="10"/>
        <v>44930</v>
      </c>
      <c r="Y18" s="383">
        <f t="shared" si="11"/>
        <v>17.775710381682817</v>
      </c>
      <c r="Z18" s="383">
        <f>Wh_sa_s*(1-Psa_s)</f>
        <v>18.27626019612735</v>
      </c>
      <c r="AA18" s="384">
        <f t="shared" si="12"/>
        <v>20.033537685611943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8.7716783578701996E-2</v>
      </c>
      <c r="AD18" s="230">
        <f>(INDEX(Models!$BJ18:$BT18,,AH18)*(1-AF18)+INDEX(Models!$BJ18:$BT18,,AH18+1)*AF18-ERP_i)*AE18*Ramure*Pc/MaxiM</f>
        <v>5.3349749034915291E-3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0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'2022'!Wh/'2022'!Env_an*'2023'!Env_an</f>
        <v>14.974413286219781</v>
      </c>
      <c r="C19" s="829"/>
      <c r="D19" s="391">
        <f t="shared" si="0"/>
        <v>15.396375878692504</v>
      </c>
      <c r="E19" s="383">
        <f t="shared" si="1"/>
        <v>15.844002385938801</v>
      </c>
      <c r="F19" s="383">
        <f t="shared" si="2"/>
        <v>15.88188306091075</v>
      </c>
      <c r="G19" s="110">
        <f t="shared" si="19"/>
        <v>0.6179443644392445</v>
      </c>
      <c r="H19" s="412" t="b">
        <f>Wh_hp&gt;='2022'!Maxi_hp</f>
        <v>0</v>
      </c>
      <c r="I19" s="379">
        <f>IF(H19,Wh_hp,'2022'!Maxi_hp)</f>
        <v>15.89891096179743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2.7406618011755035E-2</v>
      </c>
      <c r="M19" s="832"/>
      <c r="N19" s="832"/>
      <c r="O19" s="48">
        <f>IF(t&lt;Tnet,'2022'!Resal+('2022'!Salim-'2022'!Resal)*(1-EXP(('2022'!Tnet-t)/('2022'!Tau_j))),Resal+(Salim-Resal)*(1-EXP((Tnet-t)/(Tau_j))))*Salcycl</f>
        <v>2.8252110567943117E-2</v>
      </c>
      <c r="P19" s="338">
        <f>(INDEX(Models!$BJ19:$BT19,,T19)*(1-R19)+INDEX(Models!$BJ19:$BT19,,T19+1)*R19-ERP_i)*Q19*Ramure*Pc/MaxiM</f>
        <v>5.2223012698353445E-3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24.163707765184615</v>
      </c>
      <c r="W19" s="400">
        <f t="shared" si="9"/>
        <v>14.974413286219781</v>
      </c>
      <c r="X19" s="157">
        <f t="shared" si="10"/>
        <v>44931</v>
      </c>
      <c r="Y19" s="383">
        <f t="shared" si="11"/>
        <v>14.057948655598738</v>
      </c>
      <c r="Z19" s="383">
        <f t="shared" si="21"/>
        <v>14.45408627689865</v>
      </c>
      <c r="AA19" s="384">
        <f t="shared" si="12"/>
        <v>15.844002385938801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8.7725063098555905E-2</v>
      </c>
      <c r="AD19" s="230">
        <f>(INDEX(Models!$BJ19:$BT19,,AH19)*(1-AF19)+INDEX(Models!$BJ19:$BT19,,AH19+1)*AF19-ERP_i)*AE19*Ramure*Pc/MaxiM</f>
        <v>5.2223012698353445E-3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0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'2022'!Wh/'2022'!Env_an*'2023'!Env_an</f>
        <v>21.488514906969197</v>
      </c>
      <c r="C20" s="829"/>
      <c r="D20" s="391">
        <f t="shared" si="0"/>
        <v>22.094461195508554</v>
      </c>
      <c r="E20" s="383">
        <f t="shared" si="1"/>
        <v>22.738336502234791</v>
      </c>
      <c r="F20" s="383">
        <f t="shared" si="2"/>
        <v>22.835448364524822</v>
      </c>
      <c r="G20" s="110">
        <f t="shared" si="19"/>
        <v>0.88186519385891671</v>
      </c>
      <c r="H20" s="412" t="b">
        <f>Wh_hp&gt;='2022'!Maxi_hp</f>
        <v>0</v>
      </c>
      <c r="I20" s="379">
        <f>IF(H20,Wh_hp,'2022'!Maxi_hp)</f>
        <v>25.97684931198668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2.7425257542036618E-2</v>
      </c>
      <c r="M20" s="832"/>
      <c r="N20" s="832"/>
      <c r="O20" s="48">
        <f>IF(t&lt;Tnet,'2022'!Resal+('2022'!Salim-'2022'!Resal)*(1-EXP(('2022'!Tnet-t)/('2022'!Tau_j))),Resal+(Salim-Resal)*(1-EXP((Tnet-t)/(Tau_j))))*Salcycl</f>
        <v>2.8316728739719084E-2</v>
      </c>
      <c r="P20" s="338">
        <f>(INDEX(Models!$BJ20:$BT20,,T20)*(1-R20)+INDEX(Models!$BJ20:$BT20,,T20+1)*R20-ERP_i)*Q20*Ramure*Pc/MaxiM</f>
        <v>5.1094241535032531E-3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24.346154352595246</v>
      </c>
      <c r="W20" s="400">
        <f t="shared" si="9"/>
        <v>21.488514906969197</v>
      </c>
      <c r="X20" s="157">
        <f t="shared" si="10"/>
        <v>44932</v>
      </c>
      <c r="Y20" s="383">
        <f t="shared" si="11"/>
        <v>20.174529495113678</v>
      </c>
      <c r="Z20" s="383">
        <f t="shared" si="21"/>
        <v>20.743423219203805</v>
      </c>
      <c r="AA20" s="384">
        <f t="shared" si="12"/>
        <v>22.738336502234791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8.773347526257784E-2</v>
      </c>
      <c r="AD20" s="230">
        <f>(INDEX(Models!$BJ20:$BT20,,AH20)*(1-AF20)+INDEX(Models!$BJ20:$BT20,,AH20+1)*AF20-ERP_i)*AE20*Ramure*Pc/MaxiM</f>
        <v>5.1094241535032531E-3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0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'2022'!Wh/'2022'!Env_an*'2023'!Env_an</f>
        <v>10.537416178505362</v>
      </c>
      <c r="C21" s="829"/>
      <c r="D21" s="391">
        <f t="shared" si="0"/>
        <v>10.834764331758548</v>
      </c>
      <c r="E21" s="383">
        <f t="shared" si="1"/>
        <v>11.151251630514171</v>
      </c>
      <c r="F21" s="383">
        <f t="shared" si="2"/>
        <v>11.161566063241997</v>
      </c>
      <c r="G21" s="110">
        <f t="shared" si="19"/>
        <v>0.42771379663808667</v>
      </c>
      <c r="H21" s="412" t="b">
        <f>Wh_hp&gt;='2022'!Maxi_hp</f>
        <v>0</v>
      </c>
      <c r="I21" s="379">
        <f>IF(H21,Wh_hp,'2022'!Maxi_hp)</f>
        <v>15.082360291680677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2.7443896715095839E-2</v>
      </c>
      <c r="M21" s="832"/>
      <c r="N21" s="832"/>
      <c r="O21" s="48">
        <f>IF(t&lt;Tnet,'2022'!Resal+('2022'!Salim-'2022'!Resal)*(1-EXP(('2022'!Tnet-t)/('2022'!Tau_j))),Resal+(Salim-Resal)*(1-EXP((Tnet-t)/(Tau_j))))*Salcycl</f>
        <v>2.8381325185918221E-2</v>
      </c>
      <c r="P21" s="338">
        <f>(INDEX(Models!$BJ21:$BT21,,T21)*(1-R21)+INDEX(Models!$BJ21:$BT21,,T21+1)*R21-ERP_i)*Q21*Ramure*Pc/MaxiM</f>
        <v>4.9965239914023718E-3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24.536182302062837</v>
      </c>
      <c r="W21" s="400">
        <f t="shared" si="9"/>
        <v>10.537416178505362</v>
      </c>
      <c r="X21" s="157">
        <f t="shared" si="10"/>
        <v>44933</v>
      </c>
      <c r="Y21" s="383">
        <f t="shared" si="11"/>
        <v>9.8936366506055222</v>
      </c>
      <c r="Z21" s="383">
        <f t="shared" si="21"/>
        <v>10.172818428868823</v>
      </c>
      <c r="AA21" s="384">
        <f t="shared" si="12"/>
        <v>11.151251630514171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8.7742007271002162E-2</v>
      </c>
      <c r="AD21" s="230">
        <f>(INDEX(Models!$BJ21:$BT21,,AH21)*(1-AF21)+INDEX(Models!$BJ21:$BT21,,AH21+1)*AF21-ERP_i)*AE21*Ramure*Pc/MaxiM</f>
        <v>4.9965239914023718E-3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0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'2022'!Wh/'2022'!Env_an*'2023'!Env_an</f>
        <v>7.4993927847696655</v>
      </c>
      <c r="C22" s="829"/>
      <c r="D22" s="391">
        <f t="shared" si="0"/>
        <v>7.7111608125696485</v>
      </c>
      <c r="E22" s="383">
        <f t="shared" si="1"/>
        <v>7.9369340189423951</v>
      </c>
      <c r="F22" s="383">
        <f t="shared" si="2"/>
        <v>7.9371117920277552</v>
      </c>
      <c r="G22" s="110">
        <f t="shared" si="19"/>
        <v>0.30173625316444058</v>
      </c>
      <c r="H22" s="412" t="b">
        <f>Wh_hp&gt;='2022'!Maxi_hp</f>
        <v>0</v>
      </c>
      <c r="I22" s="379">
        <f>IF(H22,Wh_hp,'2022'!Maxi_hp)</f>
        <v>20.347217475948305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2.746253553093958E-2</v>
      </c>
      <c r="M22" s="832"/>
      <c r="N22" s="832"/>
      <c r="O22" s="48">
        <f>IF(t&lt;Tnet,'2022'!Resal+('2022'!Salim-'2022'!Resal)*(1-EXP(('2022'!Tnet-t)/('2022'!Tau_j))),Resal+(Salim-Resal)*(1-EXP((Tnet-t)/(Tau_j))))*Salcycl</f>
        <v>2.8445896845546749E-2</v>
      </c>
      <c r="P22" s="338">
        <f>(INDEX(Models!$BJ22:$BT22,,T22)*(1-R22)+INDEX(Models!$BJ22:$BT22,,T22+1)*R22-ERP_i)*Q22*Ramure*Pc/MaxiM</f>
        <v>4.8837710930142528E-3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24.733304471737476</v>
      </c>
      <c r="W22" s="400">
        <f t="shared" si="9"/>
        <v>7.4993927847696655</v>
      </c>
      <c r="X22" s="157">
        <f t="shared" si="10"/>
        <v>44934</v>
      </c>
      <c r="Y22" s="383">
        <f t="shared" si="11"/>
        <v>7.0416214405261162</v>
      </c>
      <c r="Z22" s="383">
        <f t="shared" si="21"/>
        <v>7.2404629104652178</v>
      </c>
      <c r="AA22" s="384">
        <f t="shared" si="12"/>
        <v>7.9369340189423951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8.7750648652863986E-2</v>
      </c>
      <c r="AD22" s="230">
        <f>(INDEX(Models!$BJ22:$BT22,,AH22)*(1-AF22)+INDEX(Models!$BJ22:$BT22,,AH22+1)*AF22-ERP_i)*AE22*Ramure*Pc/MaxiM</f>
        <v>4.8837710930142528E-3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0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'2022'!Wh/'2022'!Env_an*'2023'!Env_an</f>
        <v>2.2389382072847801</v>
      </c>
      <c r="C23" s="829"/>
      <c r="D23" s="391">
        <f t="shared" si="0"/>
        <v>2.3022055176757874</v>
      </c>
      <c r="E23" s="383">
        <f t="shared" si="1"/>
        <v>2.3697686682808499</v>
      </c>
      <c r="F23" s="383">
        <f t="shared" si="2"/>
        <v>2.3697686682808499</v>
      </c>
      <c r="G23" s="110">
        <f t="shared" si="19"/>
        <v>8.9344459737401197E-2</v>
      </c>
      <c r="H23" s="412" t="b">
        <f>Wh_hp&gt;='2022'!Maxi_hp</f>
        <v>0</v>
      </c>
      <c r="I23" s="379">
        <f>IF(H23,Wh_hp,'2022'!Maxi_hp)</f>
        <v>25.649292652260151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2.7481173989574725E-2</v>
      </c>
      <c r="M23" s="832"/>
      <c r="N23" s="832"/>
      <c r="O23" s="48">
        <f>IF(t&lt;Tnet,'2022'!Resal+('2022'!Salim-'2022'!Resal)*(1-EXP(('2022'!Tnet-t)/('2022'!Tau_j))),Resal+(Salim-Resal)*(1-EXP((Tnet-t)/(Tau_j))))*Salcycl</f>
        <v>2.8510441339439196E-2</v>
      </c>
      <c r="P23" s="338">
        <f>(INDEX(Models!$BJ23:$BT23,,T23)*(1-R23)+INDEX(Models!$BJ23:$BT23,,T23+1)*R23-ERP_i)*Q23*Ramure*Pc/MaxiM</f>
        <v>4.7707477196017971E-3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24.940066843397773</v>
      </c>
      <c r="W23" s="400">
        <f t="shared" si="9"/>
        <v>2.2389382072847801</v>
      </c>
      <c r="X23" s="157">
        <f t="shared" si="10"/>
        <v>44935</v>
      </c>
      <c r="Y23" s="383">
        <f t="shared" si="11"/>
        <v>2.1023904325377778</v>
      </c>
      <c r="Z23" s="383">
        <f t="shared" si="21"/>
        <v>2.1617992128362564</v>
      </c>
      <c r="AA23" s="384">
        <f t="shared" si="12"/>
        <v>2.3697686682808499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8.7759391128867076E-2</v>
      </c>
      <c r="AD23" s="230">
        <f>(INDEX(Models!$BJ23:$BT23,,AH23)*(1-AF23)+INDEX(Models!$BJ23:$BT23,,AH23+1)*AF23-ERP_i)*AE23*Ramure*Pc/MaxiM</f>
        <v>4.7707477196017971E-3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0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'2022'!Wh/'2022'!Env_an*'2023'!Env_an</f>
        <v>1.8361007929364559</v>
      </c>
      <c r="C24" s="829"/>
      <c r="D24" s="391">
        <f t="shared" si="0"/>
        <v>1.8880210161031667</v>
      </c>
      <c r="E24" s="383">
        <f t="shared" si="1"/>
        <v>1.94355810524934</v>
      </c>
      <c r="F24" s="383">
        <f t="shared" si="2"/>
        <v>1.94355810524934</v>
      </c>
      <c r="G24" s="110">
        <f t="shared" si="19"/>
        <v>7.2640568481251E-2</v>
      </c>
      <c r="H24" s="412" t="b">
        <f>Wh_hp&gt;='2022'!Maxi_hp</f>
        <v>0</v>
      </c>
      <c r="I24" s="379">
        <f>IF(H24,Wh_hp,'2022'!Maxi_hp)</f>
        <v>9.0351524420219071</v>
      </c>
      <c r="J24" s="85">
        <f>IF(H24,An,'2022'!An_max)</f>
        <v>2020</v>
      </c>
      <c r="K24" s="197">
        <f t="shared" si="3"/>
        <v>44936</v>
      </c>
      <c r="L24" s="147">
        <f>IF(t&lt;Tvie,1-EXP((T0-t)*PertePVj)+'2022'!Pspv,1-EXP((T0-t)*PertePVj)+Pspv)</f>
        <v>2.7499812091007936E-2</v>
      </c>
      <c r="M24" s="832"/>
      <c r="N24" s="832"/>
      <c r="O24" s="48">
        <f>IF(t&lt;Tnet,'2022'!Resal+('2022'!Salim-'2022'!Resal)*(1-EXP(('2022'!Tnet-t)/('2022'!Tau_j))),Resal+(Salim-Resal)*(1-EXP((Tnet-t)/(Tau_j))))*Salcycl</f>
        <v>2.8574956928827337E-2</v>
      </c>
      <c r="P24" s="338">
        <f>(INDEX(Models!$BJ24:$BT24,,T24)*(1-R24)+INDEX(Models!$BJ24:$BT24,,T24+1)*R24-ERP_i)*Q24*Ramure*Pc/MaxiM</f>
        <v>4.6611360914719721E-3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25.158702849835485</v>
      </c>
      <c r="W24" s="400">
        <f t="shared" si="9"/>
        <v>1.8361007929364559</v>
      </c>
      <c r="X24" s="157">
        <f t="shared" si="10"/>
        <v>44936</v>
      </c>
      <c r="Y24" s="383">
        <f t="shared" si="11"/>
        <v>1.7242189616304797</v>
      </c>
      <c r="Z24" s="383">
        <f t="shared" si="21"/>
        <v>1.7729754534421072</v>
      </c>
      <c r="AA24" s="384">
        <f t="shared" si="12"/>
        <v>1.94355810524934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8.7768228460218173E-2</v>
      </c>
      <c r="AD24" s="230">
        <f>(INDEX(Models!$BJ24:$BT24,,AH24)*(1-AF24)+INDEX(Models!$BJ24:$BT24,,AH24+1)*AF24-ERP_i)*AE24*Ramure*Pc/MaxiM</f>
        <v>4.6611360914719721E-3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0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'2022'!Wh/'2022'!Env_an*'2023'!Env_an</f>
        <v>25.738698068359746</v>
      </c>
      <c r="C25" s="829"/>
      <c r="D25" s="391">
        <f t="shared" si="0"/>
        <v>26.467029697374933</v>
      </c>
      <c r="E25" s="383">
        <f t="shared" si="1"/>
        <v>27.247379453678082</v>
      </c>
      <c r="F25" s="383">
        <f t="shared" si="2"/>
        <v>27.372177107233075</v>
      </c>
      <c r="G25" s="110">
        <f t="shared" si="19"/>
        <v>1.0138014686256271</v>
      </c>
      <c r="H25" s="412" t="b">
        <f>Wh_hp&gt;='2022'!Maxi_hp</f>
        <v>1</v>
      </c>
      <c r="I25" s="379">
        <f>IF(H25,Wh_hp,'2022'!Maxi_hp)</f>
        <v>27.372177107233075</v>
      </c>
      <c r="J25" s="85">
        <f>IF(H25,An,'2022'!An_max)</f>
        <v>2023</v>
      </c>
      <c r="K25" s="197">
        <f t="shared" si="3"/>
        <v>44937</v>
      </c>
      <c r="L25" s="147">
        <f>IF(t&lt;Tvie,1-EXP((T0-t)*PertePVj)+'2022'!Pspv,1-EXP((T0-t)*PertePVj)+Pspv)</f>
        <v>2.7518449835246317E-2</v>
      </c>
      <c r="M25" s="832"/>
      <c r="N25" s="832"/>
      <c r="O25" s="48">
        <f>IF(t&lt;Tnet,'2022'!Resal+('2022'!Salim-'2022'!Resal)*(1-EXP(('2022'!Tnet-t)/('2022'!Tau_j))),Resal+(Salim-Resal)*(1-EXP((Tnet-t)/(Tau_j))))*Salcycl</f>
        <v>2.863944246931277E-2</v>
      </c>
      <c r="P25" s="338">
        <f>(INDEX(Models!$BJ25:$BT25,,T25)*(1-R25)+INDEX(Models!$BJ25:$BT25,,T25+1)*R25-ERP_i)*Q25*Ramure*Pc/MaxiM</f>
        <v>4.5592885456675163E-3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25.388302211923936</v>
      </c>
      <c r="W25" s="400">
        <f t="shared" si="9"/>
        <v>25.738698068359746</v>
      </c>
      <c r="X25" s="157">
        <f t="shared" si="10"/>
        <v>44937</v>
      </c>
      <c r="Y25" s="383">
        <f t="shared" si="11"/>
        <v>24.171692131619878</v>
      </c>
      <c r="Z25" s="383">
        <f t="shared" si="21"/>
        <v>24.85568196900477</v>
      </c>
      <c r="AA25" s="384">
        <f t="shared" si="12"/>
        <v>27.247379453678082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8.7777156285407845E-2</v>
      </c>
      <c r="AD25" s="230">
        <f>(INDEX(Models!$BJ25:$BT25,,AH25)*(1-AF25)+INDEX(Models!$BJ25:$BT25,,AH25+1)*AF25-ERP_i)*AE25*Ramure*Pc/MaxiM</f>
        <v>4.5592885456675163E-3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0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'2022'!Wh/'2022'!Env_an*'2023'!Env_an</f>
        <v>22.374056257046391</v>
      </c>
      <c r="C26" s="829"/>
      <c r="D26" s="391">
        <f t="shared" si="0"/>
        <v>23.007619070158725</v>
      </c>
      <c r="E26" s="383">
        <f t="shared" si="1"/>
        <v>23.687543898965401</v>
      </c>
      <c r="F26" s="383">
        <f t="shared" si="2"/>
        <v>23.774447027301729</v>
      </c>
      <c r="G26" s="110">
        <f t="shared" si="19"/>
        <v>0.87231992342741838</v>
      </c>
      <c r="H26" s="412" t="b">
        <f>Wh_hp&gt;='2022'!Maxi_hp</f>
        <v>0</v>
      </c>
      <c r="I26" s="379">
        <f>IF(H26,Wh_hp,'2022'!Maxi_hp)</f>
        <v>27.37093962937724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2.753708722229653E-2</v>
      </c>
      <c r="M26" s="832"/>
      <c r="N26" s="832"/>
      <c r="O26" s="48">
        <f>IF(t&lt;Tnet,'2022'!Resal+('2022'!Salim-'2022'!Resal)*(1-EXP(('2022'!Tnet-t)/('2022'!Tau_j))),Resal+(Salim-Resal)*(1-EXP((Tnet-t)/(Tau_j))))*Salcycl</f>
        <v>2.8703897360856077E-2</v>
      </c>
      <c r="P26" s="338">
        <f>(INDEX(Models!$BJ26:$BT26,,T26)*(1-R26)+INDEX(Models!$BJ26:$BT26,,T26+1)*R26-ERP_i)*Q26*Ramure*Pc/MaxiM</f>
        <v>4.46525184342428E-3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25.628061029652354</v>
      </c>
      <c r="W26" s="400">
        <f t="shared" si="9"/>
        <v>22.374056257046391</v>
      </c>
      <c r="X26" s="157">
        <f t="shared" si="10"/>
        <v>44938</v>
      </c>
      <c r="Y26" s="383">
        <f t="shared" si="11"/>
        <v>21.013080822477587</v>
      </c>
      <c r="Z26" s="383">
        <f t="shared" si="21"/>
        <v>21.608105097249084</v>
      </c>
      <c r="AA26" s="384">
        <f t="shared" si="12"/>
        <v>23.687543898965401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8.7786171946984348E-2</v>
      </c>
      <c r="AD26" s="230">
        <f>(INDEX(Models!$BJ26:$BT26,,AH26)*(1-AF26)+INDEX(Models!$BJ26:$BT26,,AH26+1)*AF26-ERP_i)*AE26*Ramure*Pc/MaxiM</f>
        <v>4.46525184342428E-3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0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'2022'!Wh/'2022'!Env_an*'2023'!Env_an</f>
        <v>5.7354245163808608</v>
      </c>
      <c r="C27" s="829"/>
      <c r="D27" s="391">
        <f t="shared" si="0"/>
        <v>5.8979467095635609</v>
      </c>
      <c r="E27" s="383">
        <f t="shared" si="1"/>
        <v>6.0726465580680582</v>
      </c>
      <c r="F27" s="383">
        <f t="shared" si="2"/>
        <v>6.0726465580680582</v>
      </c>
      <c r="G27" s="110">
        <f t="shared" si="19"/>
        <v>0.22066971050227294</v>
      </c>
      <c r="H27" s="412" t="b">
        <f>Wh_hp&gt;='2022'!Maxi_hp</f>
        <v>0</v>
      </c>
      <c r="I27" s="379">
        <f>IF(H27,Wh_hp,'2022'!Maxi_hp)</f>
        <v>16.17097757884445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2.7555724252165459E-2</v>
      </c>
      <c r="M27" s="832"/>
      <c r="N27" s="832"/>
      <c r="O27" s="48">
        <f>IF(t&lt;Tnet,'2022'!Resal+('2022'!Salim-'2022'!Resal)*(1-EXP(('2022'!Tnet-t)/('2022'!Tau_j))),Resal+(Salim-Resal)*(1-EXP((Tnet-t)/(Tau_j))))*Salcycl</f>
        <v>2.8768321494421985E-2</v>
      </c>
      <c r="P27" s="338">
        <f>(INDEX(Models!$BJ27:$BT27,,T27)*(1-R27)+INDEX(Models!$BJ27:$BT27,,T27+1)*R27-ERP_i)*Q27*Ramure*Pc/MaxiM</f>
        <v>4.3790426726891245E-3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25.87717559732252</v>
      </c>
      <c r="W27" s="400">
        <f t="shared" si="9"/>
        <v>5.7354245163808608</v>
      </c>
      <c r="X27" s="157">
        <f t="shared" si="10"/>
        <v>44939</v>
      </c>
      <c r="Y27" s="383">
        <f t="shared" si="11"/>
        <v>5.38685203897876</v>
      </c>
      <c r="Z27" s="383">
        <f t="shared" si="21"/>
        <v>5.5394968877122883</v>
      </c>
      <c r="AA27" s="384">
        <f t="shared" si="12"/>
        <v>6.0726465580680582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8.7795274310412952E-2</v>
      </c>
      <c r="AD27" s="230">
        <f>(INDEX(Models!$BJ27:$BT27,,AH27)*(1-AF27)+INDEX(Models!$BJ27:$BT27,,AH27+1)*AF27-ERP_i)*AE27*Ramure*Pc/MaxiM</f>
        <v>4.3790426726891245E-3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0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'2022'!Wh/'2022'!Env_an*'2023'!Env_an</f>
        <v>27.217576854074185</v>
      </c>
      <c r="C28" s="829"/>
      <c r="D28" s="391">
        <f t="shared" si="0"/>
        <v>27.989365726679551</v>
      </c>
      <c r="E28" s="383">
        <f t="shared" si="1"/>
        <v>28.820334214951036</v>
      </c>
      <c r="F28" s="383">
        <f t="shared" si="2"/>
        <v>28.9448157619047</v>
      </c>
      <c r="G28" s="110">
        <f t="shared" si="19"/>
        <v>1.0414287719294832</v>
      </c>
      <c r="H28" s="412" t="b">
        <f>Wh_hp&gt;='2022'!Maxi_hp</f>
        <v>1</v>
      </c>
      <c r="I28" s="379">
        <f>IF(H28,Wh_hp,'2022'!Maxi_hp)</f>
        <v>28.9448157619047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2.7574360924859986E-2</v>
      </c>
      <c r="M28" s="832"/>
      <c r="N28" s="832"/>
      <c r="O28" s="48">
        <f>IF(t&lt;Tnet,'2022'!Resal+('2022'!Salim-'2022'!Resal)*(1-EXP(('2022'!Tnet-t)/('2022'!Tau_j))),Resal+(Salim-Resal)*(1-EXP((Tnet-t)/(Tau_j))))*Salcycl</f>
        <v>2.8832715195939856E-2</v>
      </c>
      <c r="P28" s="338">
        <f>(INDEX(Models!$BJ28:$BT28,,T28)*(1-R28)+INDEX(Models!$BJ28:$BT28,,T28+1)*R28-ERP_i)*Q28*Ramure*Pc/MaxiM</f>
        <v>4.3006508653441666E-3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26.134842427723065</v>
      </c>
      <c r="W28" s="400">
        <f t="shared" si="9"/>
        <v>27.217576854074185</v>
      </c>
      <c r="X28" s="157">
        <f t="shared" si="10"/>
        <v>44940</v>
      </c>
      <c r="Y28" s="383">
        <f t="shared" si="11"/>
        <v>25.564856340421159</v>
      </c>
      <c r="Z28" s="383">
        <f t="shared" si="21"/>
        <v>26.289780229093431</v>
      </c>
      <c r="AA28" s="384">
        <f t="shared" si="12"/>
        <v>28.820334214951036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8.7804463577137795E-2</v>
      </c>
      <c r="AD28" s="230">
        <f>(INDEX(Models!$BJ28:$BT28,,AH28)*(1-AF28)+INDEX(Models!$BJ28:$BT28,,AH28+1)*AF28-ERP_i)*AE28*Ramure*Pc/MaxiM</f>
        <v>4.3006508653441666E-3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0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'2022'!Wh/'2022'!Env_an*'2023'!Env_an</f>
        <v>27.536912054615989</v>
      </c>
      <c r="C29" s="829"/>
      <c r="D29" s="391">
        <f t="shared" si="0"/>
        <v>28.318298795122249</v>
      </c>
      <c r="E29" s="383">
        <f t="shared" si="1"/>
        <v>29.160965524506601</v>
      </c>
      <c r="F29" s="383">
        <f t="shared" si="2"/>
        <v>29.284841653101804</v>
      </c>
      <c r="G29" s="110">
        <f t="shared" si="19"/>
        <v>1.0430546469739896</v>
      </c>
      <c r="H29" s="412" t="b">
        <f>Wh_hp&gt;='2022'!Maxi_hp</f>
        <v>1</v>
      </c>
      <c r="I29" s="379">
        <f>IF(H29,Wh_hp,'2022'!Maxi_hp)</f>
        <v>29.284841653101804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2.7592997240386885E-2</v>
      </c>
      <c r="M29" s="832"/>
      <c r="N29" s="832"/>
      <c r="O29" s="48">
        <f>IF(t&lt;Tnet,'2022'!Resal+('2022'!Salim-'2022'!Resal)*(1-EXP(('2022'!Tnet-t)/('2022'!Tau_j))),Resal+(Salim-Resal)*(1-EXP((Tnet-t)/(Tau_j))))*Salcycl</f>
        <v>2.8897079168252522E-2</v>
      </c>
      <c r="P29" s="338">
        <f>(INDEX(Models!$BJ29:$BT29,,T29)*(1-R29)+INDEX(Models!$BJ29:$BT29,,T29+1)*R29-ERP_i)*Q29*Ramure*Pc/MaxiM</f>
        <v>4.2300426296511505E-3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26.400258255407273</v>
      </c>
      <c r="W29" s="400">
        <f t="shared" si="9"/>
        <v>27.536912054615989</v>
      </c>
      <c r="X29" s="157">
        <f t="shared" si="10"/>
        <v>44941</v>
      </c>
      <c r="Y29" s="383">
        <f t="shared" si="11"/>
        <v>25.866251918396479</v>
      </c>
      <c r="Z29" s="383">
        <f t="shared" si="21"/>
        <v>26.600232047887488</v>
      </c>
      <c r="AA29" s="384">
        <f t="shared" si="12"/>
        <v>29.160965524506601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8.7813741093966793E-2</v>
      </c>
      <c r="AD29" s="230">
        <f>(INDEX(Models!$BJ29:$BT29,,AH29)*(1-AF29)+INDEX(Models!$BJ29:$BT29,,AH29+1)*AF29-ERP_i)*AE29*Ramure*Pc/MaxiM</f>
        <v>4.2300426296511505E-3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0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'2022'!Wh/'2022'!Env_an*'2023'!Env_an</f>
        <v>26.940647664430394</v>
      </c>
      <c r="C30" s="829"/>
      <c r="D30" s="391">
        <f t="shared" si="0"/>
        <v>27.705645793618363</v>
      </c>
      <c r="E30" s="383">
        <f t="shared" si="1"/>
        <v>28.53197206103254</v>
      </c>
      <c r="F30" s="383">
        <f t="shared" si="2"/>
        <v>28.65123538605047</v>
      </c>
      <c r="G30" s="110">
        <f t="shared" si="19"/>
        <v>1.010044152286218</v>
      </c>
      <c r="H30" s="412" t="b">
        <f>Wh_hp&gt;='2022'!Maxi_hp</f>
        <v>1</v>
      </c>
      <c r="I30" s="379">
        <f>IF(H30,Wh_hp,'2022'!Maxi_hp)</f>
        <v>28.65123538605047</v>
      </c>
      <c r="J30" s="85">
        <f>IF(H30,An,'2022'!An_max)</f>
        <v>2023</v>
      </c>
      <c r="K30" s="197">
        <f t="shared" si="3"/>
        <v>44942</v>
      </c>
      <c r="L30" s="147">
        <f>IF(t&lt;Tvie,1-EXP((T0-t)*PertePVj)+'2022'!Pspv,1-EXP((T0-t)*PertePVj)+Pspv)</f>
        <v>2.7611633198753149E-2</v>
      </c>
      <c r="M30" s="832"/>
      <c r="N30" s="832"/>
      <c r="O30" s="48">
        <f>IF(t&lt;Tnet,'2022'!Resal+('2022'!Salim-'2022'!Resal)*(1-EXP(('2022'!Tnet-t)/('2022'!Tau_j))),Resal+(Salim-Resal)*(1-EXP((Tnet-t)/(Tau_j))))*Salcycl</f>
        <v>2.8961414431732519E-2</v>
      </c>
      <c r="P30" s="338">
        <f>(INDEX(Models!$BJ30:$BT30,,T30)*(1-R30)+INDEX(Models!$BJ30:$BT30,,T30+1)*R30-ERP_i)*Q30*Ramure*Pc/MaxiM</f>
        <v>4.1625892709671632E-3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26.672742576104906</v>
      </c>
      <c r="W30" s="400">
        <f t="shared" si="9"/>
        <v>26.940647664430394</v>
      </c>
      <c r="X30" s="157">
        <f t="shared" si="10"/>
        <v>44942</v>
      </c>
      <c r="Y30" s="383">
        <f t="shared" si="11"/>
        <v>25.307579522548753</v>
      </c>
      <c r="Z30" s="383">
        <f t="shared" si="21"/>
        <v>26.026205564141168</v>
      </c>
      <c r="AA30" s="384">
        <f t="shared" si="12"/>
        <v>28.53197206103254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8.7823109160884677E-2</v>
      </c>
      <c r="AD30" s="230">
        <f>(INDEX(Models!$BJ30:$BT30,,AH30)*(1-AF30)+INDEX(Models!$BJ30:$BT30,,AH30+1)*AF30-ERP_i)*AE30*Ramure*Pc/MaxiM</f>
        <v>4.1625892709671632E-3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'2022'!Wh/'2022'!Env_an*'2023'!Env_an</f>
        <v>12.440264235007305</v>
      </c>
      <c r="C31" s="829"/>
      <c r="D31" s="391">
        <f t="shared" si="0"/>
        <v>12.793759241820858</v>
      </c>
      <c r="E31" s="383">
        <f t="shared" si="1"/>
        <v>13.176208201575658</v>
      </c>
      <c r="F31" s="383">
        <f t="shared" si="2"/>
        <v>13.188673712092003</v>
      </c>
      <c r="G31" s="110">
        <f t="shared" si="19"/>
        <v>0.46012296076862114</v>
      </c>
      <c r="H31" s="412" t="b">
        <f>Wh_hp&gt;='2022'!Maxi_hp</f>
        <v>0</v>
      </c>
      <c r="I31" s="379">
        <f>IF(H31,Wh_hp,'2022'!Maxi_hp)</f>
        <v>13.20492175837156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2.7630268799965441E-2</v>
      </c>
      <c r="M31" s="832"/>
      <c r="N31" s="832"/>
      <c r="O31" s="48">
        <f>IF(t&lt;Tnet,'2022'!Resal+('2022'!Salim-'2022'!Resal)*(1-EXP(('2022'!Tnet-t)/('2022'!Tau_j))),Resal+(Salim-Resal)*(1-EXP((Tnet-t)/(Tau_j))))*Salcycl</f>
        <v>2.9025722264244779E-2</v>
      </c>
      <c r="P31" s="338">
        <f>(INDEX(Models!$BJ31:$BT31,,T31)*(1-R31)+INDEX(Models!$BJ31:$BT31,,T31+1)*R31-ERP_i)*Q31*Ramure*Pc/MaxiM</f>
        <v>4.0947225880311544E-3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26.951591055845821</v>
      </c>
      <c r="W31" s="400">
        <f t="shared" si="9"/>
        <v>12.440264235007305</v>
      </c>
      <c r="X31" s="157">
        <f t="shared" si="10"/>
        <v>44943</v>
      </c>
      <c r="Y31" s="383">
        <f t="shared" si="11"/>
        <v>11.686822303663376</v>
      </c>
      <c r="Z31" s="383">
        <f t="shared" si="21"/>
        <v>12.018907961316598</v>
      </c>
      <c r="AA31" s="384">
        <f t="shared" si="12"/>
        <v>13.176208201575658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8.783257083936076E-2</v>
      </c>
      <c r="AD31" s="230">
        <f>(INDEX(Models!$BJ31:$BT31,,AH31)*(1-AF31)+INDEX(Models!$BJ31:$BT31,,AH31+1)*AF31-ERP_i)*AE31*Ramure*Pc/MaxiM</f>
        <v>4.0947225880311544E-3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'2022'!Wh/'2022'!Env_an*'2023'!Env_an</f>
        <v>3.9519900576282909</v>
      </c>
      <c r="C32" s="829"/>
      <c r="D32" s="391">
        <f t="shared" si="0"/>
        <v>4.0643653039161558</v>
      </c>
      <c r="E32" s="383">
        <f t="shared" si="1"/>
        <v>4.1861401378618979</v>
      </c>
      <c r="F32" s="383">
        <f t="shared" si="2"/>
        <v>4.1861401378618979</v>
      </c>
      <c r="G32" s="110">
        <f t="shared" si="19"/>
        <v>0.14451743146918167</v>
      </c>
      <c r="H32" s="412" t="b">
        <f>Wh_hp&gt;='2022'!Maxi_hp</f>
        <v>0</v>
      </c>
      <c r="I32" s="379">
        <f>IF(H32,Wh_hp,'2022'!Maxi_hp)</f>
        <v>29.066008249734857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2.7648904044030642E-2</v>
      </c>
      <c r="M32" s="832"/>
      <c r="N32" s="832"/>
      <c r="O32" s="48">
        <f>IF(t&lt;Tnet,'2022'!Resal+('2022'!Salim-'2022'!Resal)*(1-EXP(('2022'!Tnet-t)/('2022'!Tau_j))),Resal+(Salim-Resal)*(1-EXP((Tnet-t)/(Tau_j))))*Salcycl</f>
        <v>2.9090004141127286E-2</v>
      </c>
      <c r="P32" s="338">
        <f>(INDEX(Models!$BJ32:$BT32,,T32)*(1-R32)+INDEX(Models!$BJ32:$BT32,,T32+1)*R32-ERP_i)*Q32*Ramure*Pc/MaxiM</f>
        <v>4.0266149115399802E-3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27.236001052034716</v>
      </c>
      <c r="W32" s="400">
        <f t="shared" si="9"/>
        <v>3.9519900576282909</v>
      </c>
      <c r="X32" s="157">
        <f t="shared" si="10"/>
        <v>44944</v>
      </c>
      <c r="Y32" s="383">
        <f t="shared" si="11"/>
        <v>3.7128455258867881</v>
      </c>
      <c r="Z32" s="383">
        <f t="shared" si="21"/>
        <v>3.8184206726650469</v>
      </c>
      <c r="AA32" s="384">
        <f t="shared" si="12"/>
        <v>4.1861401378618979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8.7842129763163329E-2</v>
      </c>
      <c r="AD32" s="230">
        <f>(INDEX(Models!$BJ32:$BT32,,AH32)*(1-AF32)+INDEX(Models!$BJ32:$BT32,,AH32+1)*AF32-ERP_i)*AE32*Ramure*Pc/MaxiM</f>
        <v>4.0266149115399802E-3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'2022'!Wh/'2022'!Env_an*'2023'!Env_an</f>
        <v>10.782969082576079</v>
      </c>
      <c r="C33" s="829"/>
      <c r="D33" s="391">
        <f t="shared" si="0"/>
        <v>11.089796457808882</v>
      </c>
      <c r="E33" s="383">
        <f t="shared" si="1"/>
        <v>11.422820351410097</v>
      </c>
      <c r="F33" s="383">
        <f t="shared" si="2"/>
        <v>11.428749963982391</v>
      </c>
      <c r="G33" s="110">
        <f t="shared" si="19"/>
        <v>0.39040124912315999</v>
      </c>
      <c r="H33" s="412" t="b">
        <f>Wh_hp&gt;='2022'!Maxi_hp</f>
        <v>0</v>
      </c>
      <c r="I33" s="379">
        <f>IF(H33,Wh_hp,'2022'!Maxi_hp)</f>
        <v>30.468754573897851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2.7667538930955748E-2</v>
      </c>
      <c r="M33" s="832"/>
      <c r="N33" s="832"/>
      <c r="O33" s="48">
        <f>IF(t&lt;Tnet,'2022'!Resal+('2022'!Salim-'2022'!Resal)*(1-EXP(('2022'!Tnet-t)/('2022'!Tau_j))),Resal+(Salim-Resal)*(1-EXP((Tnet-t)/(Tau_j))))*Salcycl</f>
        <v>2.9154261675848295E-2</v>
      </c>
      <c r="P33" s="338">
        <f>(INDEX(Models!$BJ33:$BT33,,T33)*(1-R33)+INDEX(Models!$BJ33:$BT33,,T33+1)*R33-ERP_i)*Q33*Ramure*Pc/MaxiM</f>
        <v>3.9584244766637027E-3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27.525170180978382</v>
      </c>
      <c r="W33" s="400">
        <f t="shared" si="9"/>
        <v>10.782969082576079</v>
      </c>
      <c r="X33" s="157">
        <f t="shared" si="10"/>
        <v>44945</v>
      </c>
      <c r="Y33" s="383">
        <f t="shared" si="11"/>
        <v>10.131028606702568</v>
      </c>
      <c r="Z33" s="383">
        <f t="shared" si="21"/>
        <v>10.419305137220112</v>
      </c>
      <c r="AA33" s="384">
        <f t="shared" si="12"/>
        <v>11.422820351410097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8.7851789953617296E-2</v>
      </c>
      <c r="AD33" s="230">
        <f>(INDEX(Models!$BJ33:$BT33,,AH33)*(1-AF33)+INDEX(Models!$BJ33:$BT33,,AH33+1)*AF33-ERP_i)*AE33*Ramure*Pc/MaxiM</f>
        <v>3.9584244766637027E-3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'2022'!Wh/'2022'!Env_an*'2023'!Env_an</f>
        <v>6.7527561804893015</v>
      </c>
      <c r="C34" s="829"/>
      <c r="D34" s="391">
        <f t="shared" si="0"/>
        <v>6.9450376989128326</v>
      </c>
      <c r="E34" s="383">
        <f t="shared" si="1"/>
        <v>7.154068834559566</v>
      </c>
      <c r="F34" s="383">
        <f t="shared" si="2"/>
        <v>7.154068834559566</v>
      </c>
      <c r="G34" s="110">
        <f t="shared" si="19"/>
        <v>0.24180078772284705</v>
      </c>
      <c r="H34" s="412" t="b">
        <f>Wh_hp&gt;='2022'!Maxi_hp</f>
        <v>0</v>
      </c>
      <c r="I34" s="379">
        <f>IF(H34,Wh_hp,'2022'!Maxi_hp)</f>
        <v>12.26188245483894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2.7686173460747421E-2</v>
      </c>
      <c r="M34" s="832"/>
      <c r="N34" s="832"/>
      <c r="O34" s="48">
        <f>IF(t&lt;Tnet,'2022'!Resal+('2022'!Salim-'2022'!Resal)*(1-EXP(('2022'!Tnet-t)/('2022'!Tau_j))),Resal+(Salim-Resal)*(1-EXP((Tnet-t)/(Tau_j))))*Salcycl</f>
        <v>2.9218496561978016E-2</v>
      </c>
      <c r="P34" s="338">
        <f>(INDEX(Models!$BJ34:$BT34,,T34)*(1-R34)+INDEX(Models!$BJ34:$BT34,,T34+1)*R34-ERP_i)*Q34*Ramure*Pc/MaxiM</f>
        <v>3.8903173436363671E-3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27.818295710901154</v>
      </c>
      <c r="W34" s="400">
        <f t="shared" si="9"/>
        <v>6.7527561804893015</v>
      </c>
      <c r="X34" s="157">
        <f t="shared" si="10"/>
        <v>44946</v>
      </c>
      <c r="Y34" s="383">
        <f t="shared" si="11"/>
        <v>6.3448350589627465</v>
      </c>
      <c r="Z34" s="383">
        <f t="shared" si="21"/>
        <v>6.5255012175912972</v>
      </c>
      <c r="AA34" s="384">
        <f t="shared" si="12"/>
        <v>7.154068834559566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8.7861555641149544E-2</v>
      </c>
      <c r="AD34" s="230">
        <f>(INDEX(Models!$BJ34:$BT34,,AH34)*(1-AF34)+INDEX(Models!$BJ34:$BT34,,AH34+1)*AF34-ERP_i)*AE34*Ramure*Pc/MaxiM</f>
        <v>3.8903173436363671E-3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'2022'!Wh/'2022'!Env_an*'2023'!Env_an</f>
        <v>21.529728374479539</v>
      </c>
      <c r="C35" s="829"/>
      <c r="D35" s="391">
        <f t="shared" si="0"/>
        <v>22.143201512778973</v>
      </c>
      <c r="E35" s="383">
        <f t="shared" si="1"/>
        <v>22.811174533189099</v>
      </c>
      <c r="F35" s="383">
        <f t="shared" si="2"/>
        <v>22.869342476463771</v>
      </c>
      <c r="G35" s="110">
        <f t="shared" si="19"/>
        <v>0.76480339727342117</v>
      </c>
      <c r="H35" s="412" t="b">
        <f>Wh_hp&gt;='2022'!Maxi_hp</f>
        <v>0</v>
      </c>
      <c r="I35" s="379">
        <f>IF(H35,Wh_hp,'2022'!Maxi_hp)</f>
        <v>22.880726638611495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2.7704807633412654E-2</v>
      </c>
      <c r="M35" s="832"/>
      <c r="N35" s="832"/>
      <c r="O35" s="48">
        <f>IF(t&lt;Tnet,'2022'!Resal+('2022'!Salim-'2022'!Resal)*(1-EXP(('2022'!Tnet-t)/('2022'!Tau_j))),Resal+(Salim-Resal)*(1-EXP((Tnet-t)/(Tau_j))))*Salcycl</f>
        <v>2.9282710517087213E-2</v>
      </c>
      <c r="P35" s="338">
        <f>(INDEX(Models!$BJ35:$BT35,,T35)*(1-R35)+INDEX(Models!$BJ35:$BT35,,T35+1)*R35-ERP_i)*Q35*Ramure*Pc/MaxiM</f>
        <v>3.8224541549042421E-3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28.114574914541212</v>
      </c>
      <c r="W35" s="400">
        <f t="shared" si="9"/>
        <v>21.529728374479539</v>
      </c>
      <c r="X35" s="157">
        <f t="shared" si="10"/>
        <v>44947</v>
      </c>
      <c r="Y35" s="383">
        <f t="shared" si="11"/>
        <v>20.230277696600286</v>
      </c>
      <c r="Z35" s="383">
        <f t="shared" si="21"/>
        <v>20.806723982003199</v>
      </c>
      <c r="AA35" s="384">
        <f t="shared" si="12"/>
        <v>22.811174533189099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8.7871431094857844E-2</v>
      </c>
      <c r="AD35" s="230">
        <f>(INDEX(Models!$BJ35:$BT35,,AH35)*(1-AF35)+INDEX(Models!$BJ35:$BT35,,AH35+1)*AF35-ERP_i)*AE35*Ramure*Pc/MaxiM</f>
        <v>3.8224541549042421E-3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'2022'!Wh/'2022'!Env_an*'2023'!Env_an</f>
        <v>28.738879679648861</v>
      </c>
      <c r="C36" s="829"/>
      <c r="D36" s="391">
        <f t="shared" si="0"/>
        <v>29.558338547704636</v>
      </c>
      <c r="E36" s="383">
        <f t="shared" si="1"/>
        <v>30.452010823375378</v>
      </c>
      <c r="F36" s="383">
        <f t="shared" si="2"/>
        <v>30.566788013971937</v>
      </c>
      <c r="G36" s="110">
        <f t="shared" si="19"/>
        <v>1.011462059241816</v>
      </c>
      <c r="H36" s="412" t="b">
        <f>Wh_hp&gt;='2022'!Maxi_hp</f>
        <v>1</v>
      </c>
      <c r="I36" s="379">
        <f>IF(H36,Wh_hp,'2022'!Maxi_hp)</f>
        <v>30.566788013971937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2.7723441448958219E-2</v>
      </c>
      <c r="M36" s="832"/>
      <c r="N36" s="832"/>
      <c r="O36" s="48">
        <f>IF(t&lt;Tnet,'2022'!Resal+('2022'!Salim-'2022'!Resal)*(1-EXP(('2022'!Tnet-t)/('2022'!Tau_j))),Resal+(Salim-Resal)*(1-EXP((Tnet-t)/(Tau_j))))*Salcycl</f>
        <v>2.934690522915304E-2</v>
      </c>
      <c r="P36" s="338">
        <f>(INDEX(Models!$BJ36:$BT36,,T36)*(1-R36)+INDEX(Models!$BJ36:$BT36,,T36+1)*R36-ERP_i)*Q36*Ramure*Pc/MaxiM</f>
        <v>3.7549640657074399E-3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28.41320583116217</v>
      </c>
      <c r="W36" s="400">
        <f t="shared" si="9"/>
        <v>28.738879679648861</v>
      </c>
      <c r="X36" s="157">
        <f t="shared" si="10"/>
        <v>44948</v>
      </c>
      <c r="Y36" s="383">
        <f t="shared" si="11"/>
        <v>27.005802847732557</v>
      </c>
      <c r="Z36" s="383">
        <f t="shared" si="21"/>
        <v>27.775844856301582</v>
      </c>
      <c r="AA36" s="384">
        <f t="shared" si="12"/>
        <v>30.452010823375378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8.7881420461716542E-2</v>
      </c>
      <c r="AD36" s="230">
        <f>(INDEX(Models!$BJ36:$BT36,,AH36)*(1-AF36)+INDEX(Models!$BJ36:$BT36,,AH36+1)*AF36-ERP_i)*AE36*Ramure*Pc/MaxiM</f>
        <v>3.7549640657074399E-3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'2022'!Wh/'2022'!Env_an*'2023'!Env_an</f>
        <v>28.866128283668886</v>
      </c>
      <c r="C37" s="829"/>
      <c r="D37" s="391">
        <f t="shared" si="0"/>
        <v>29.689784509516176</v>
      </c>
      <c r="E37" s="383">
        <f t="shared" si="1"/>
        <v>30.589453442406835</v>
      </c>
      <c r="F37" s="383">
        <f t="shared" si="2"/>
        <v>30.702667936607373</v>
      </c>
      <c r="G37" s="110">
        <f t="shared" si="19"/>
        <v>1.0051787273423884</v>
      </c>
      <c r="H37" s="412" t="b">
        <f>Wh_hp&gt;='2022'!Maxi_hp</f>
        <v>1</v>
      </c>
      <c r="I37" s="379">
        <f>IF(H37,Wh_hp,'2022'!Maxi_hp)</f>
        <v>30.702667936607373</v>
      </c>
      <c r="J37" s="85">
        <f>IF(H37,An,'2022'!An_max)</f>
        <v>2023</v>
      </c>
      <c r="K37" s="197">
        <f t="shared" si="3"/>
        <v>44949</v>
      </c>
      <c r="L37" s="147">
        <f>IF(t&lt;Tvie,1-EXP((T0-t)*PertePVj)+'2022'!Pspv,1-EXP((T0-t)*PertePVj)+Pspv)</f>
        <v>2.774207490739089E-2</v>
      </c>
      <c r="M37" s="832"/>
      <c r="N37" s="832"/>
      <c r="O37" s="48">
        <f>IF(t&lt;Tnet,'2022'!Resal+('2022'!Salim-'2022'!Resal)*(1-EXP(('2022'!Tnet-t)/('2022'!Tau_j))),Resal+(Salim-Resal)*(1-EXP((Tnet-t)/(Tau_j))))*Salcycl</f>
        <v>2.9411082306015593E-2</v>
      </c>
      <c r="P37" s="338">
        <f>(INDEX(Models!$BJ37:$BT37,,T37)*(1-R37)+INDEX(Models!$BJ37:$BT37,,T37+1)*R37-ERP_i)*Q37*Ramure*Pc/MaxiM</f>
        <v>3.6874480886903709E-3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28.717408654268482</v>
      </c>
      <c r="W37" s="400">
        <f t="shared" si="9"/>
        <v>28.866128283668886</v>
      </c>
      <c r="X37" s="157">
        <f t="shared" si="10"/>
        <v>44949</v>
      </c>
      <c r="Y37" s="383">
        <f t="shared" si="11"/>
        <v>27.126870802303181</v>
      </c>
      <c r="Z37" s="383">
        <f t="shared" si="21"/>
        <v>27.900899650387835</v>
      </c>
      <c r="AA37" s="384">
        <f t="shared" si="12"/>
        <v>30.589453442406835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8.7891527616894241E-2</v>
      </c>
      <c r="AD37" s="230">
        <f>(INDEX(Models!$BJ37:$BT37,,AH37)*(1-AF37)+INDEX(Models!$BJ37:$BT37,,AH37+1)*AF37-ERP_i)*AE37*Ramure*Pc/MaxiM</f>
        <v>3.6874480886903709E-3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'2022'!Wh/'2022'!Env_an*'2023'!Env_an</f>
        <v>29.425752669952786</v>
      </c>
      <c r="C38" s="829"/>
      <c r="D38" s="391">
        <f t="shared" si="0"/>
        <v>30.26595706668542</v>
      </c>
      <c r="E38" s="383">
        <f t="shared" si="1"/>
        <v>31.185146855360117</v>
      </c>
      <c r="F38" s="383">
        <f t="shared" si="2"/>
        <v>31.298408115461406</v>
      </c>
      <c r="G38" s="110">
        <f t="shared" si="19"/>
        <v>1.013620723408297</v>
      </c>
      <c r="H38" s="412" t="b">
        <f>Wh_hp&gt;='2022'!Maxi_hp</f>
        <v>1</v>
      </c>
      <c r="I38" s="379">
        <f>IF(H38,Wh_hp,'2022'!Maxi_hp)</f>
        <v>31.298408115461406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2.776070800871755E-2</v>
      </c>
      <c r="M38" s="832"/>
      <c r="N38" s="832"/>
      <c r="O38" s="48">
        <f>IF(t&lt;Tnet,'2022'!Resal+('2022'!Salim-'2022'!Resal)*(1-EXP(('2022'!Tnet-t)/('2022'!Tau_j))),Resal+(Salim-Resal)*(1-EXP((Tnet-t)/(Tau_j))))*Salcycl</f>
        <v>2.9475243228386738E-2</v>
      </c>
      <c r="P38" s="338">
        <f>(INDEX(Models!$BJ38:$BT38,,T38)*(1-R38)+INDEX(Models!$BJ38:$BT38,,T38+1)*R38-ERP_i)*Q38*Ramure*Pc/MaxiM</f>
        <v>3.6187546562580189E-3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29.030338459348748</v>
      </c>
      <c r="W38" s="400">
        <f t="shared" si="9"/>
        <v>29.425752669952786</v>
      </c>
      <c r="X38" s="157">
        <f t="shared" si="10"/>
        <v>44950</v>
      </c>
      <c r="Y38" s="383">
        <f t="shared" si="11"/>
        <v>27.654294391356778</v>
      </c>
      <c r="Z38" s="383">
        <f t="shared" si="21"/>
        <v>28.443917684829323</v>
      </c>
      <c r="AA38" s="384">
        <f t="shared" si="12"/>
        <v>31.185146855360117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8.7901756026511346E-2</v>
      </c>
      <c r="AD38" s="230">
        <f>(INDEX(Models!$BJ38:$BT38,,AH38)*(1-AF38)+INDEX(Models!$BJ38:$BT38,,AH38+1)*AF38-ERP_i)*AE38*Ramure*Pc/MaxiM</f>
        <v>3.6187546562580189E-3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'2022'!Wh/'2022'!Env_an*'2023'!Env_an</f>
        <v>28.453399920709661</v>
      </c>
      <c r="C39" s="829"/>
      <c r="D39" s="391">
        <f t="shared" si="0"/>
        <v>29.266401253750004</v>
      </c>
      <c r="E39" s="383">
        <f t="shared" si="1"/>
        <v>30.15722733233553</v>
      </c>
      <c r="F39" s="383">
        <f t="shared" si="2"/>
        <v>30.259830755705771</v>
      </c>
      <c r="G39" s="110">
        <f t="shared" si="19"/>
        <v>0.96926237699013951</v>
      </c>
      <c r="H39" s="412" t="b">
        <f>Wh_hp&gt;='2022'!Maxi_hp</f>
        <v>0</v>
      </c>
      <c r="I39" s="379">
        <f>IF(H39,Wh_hp,'2022'!Maxi_hp)</f>
        <v>30.261651120262506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2.7779340752945192E-2</v>
      </c>
      <c r="M39" s="832"/>
      <c r="N39" s="832"/>
      <c r="O39" s="48">
        <f>IF(t&lt;Tnet,'2022'!Resal+('2022'!Salim-'2022'!Resal)*(1-EXP(('2022'!Tnet-t)/('2022'!Tau_j))),Resal+(Salim-Resal)*(1-EXP((Tnet-t)/(Tau_j))))*Salcycl</f>
        <v>2.9539389306866268E-2</v>
      </c>
      <c r="P39" s="338">
        <f>(INDEX(Models!$BJ39:$BT39,,T39)*(1-R39)+INDEX(Models!$BJ39:$BT39,,T39+1)*R39-ERP_i)*Q39*Ramure*Pc/MaxiM</f>
        <v>3.545677266576923E-3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29.351161562019261</v>
      </c>
      <c r="W39" s="400">
        <f t="shared" si="9"/>
        <v>28.453399920709661</v>
      </c>
      <c r="X39" s="157">
        <f t="shared" si="10"/>
        <v>44951</v>
      </c>
      <c r="Y39" s="383">
        <f t="shared" si="11"/>
        <v>26.741942176944445</v>
      </c>
      <c r="Z39" s="383">
        <f t="shared" si="21"/>
        <v>27.506041887296437</v>
      </c>
      <c r="AA39" s="384">
        <f t="shared" si="12"/>
        <v>30.15722733233553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8.7912108624004989E-2</v>
      </c>
      <c r="AD39" s="230">
        <f>(INDEX(Models!$BJ39:$BT39,,AH39)*(1-AF39)+INDEX(Models!$BJ39:$BT39,,AH39+1)*AF39-ERP_i)*AE39*Ramure*Pc/MaxiM</f>
        <v>3.545677266576923E-3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'2022'!Wh/'2022'!Env_an*'2023'!Env_an</f>
        <v>29.145784970176575</v>
      </c>
      <c r="C40" s="829"/>
      <c r="D40" s="391">
        <f t="shared" si="0"/>
        <v>29.97914442156997</v>
      </c>
      <c r="E40" s="383">
        <f t="shared" si="1"/>
        <v>30.893706943722407</v>
      </c>
      <c r="F40" s="383">
        <f t="shared" si="2"/>
        <v>30.998466770938101</v>
      </c>
      <c r="G40" s="110">
        <f t="shared" si="19"/>
        <v>0.98194807950934826</v>
      </c>
      <c r="H40" s="412" t="b">
        <f>Wh_hp&gt;='2022'!Maxi_hp</f>
        <v>0</v>
      </c>
      <c r="I40" s="379">
        <f>IF(H40,Wh_hp,'2022'!Maxi_hp)</f>
        <v>30.999537323642969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2.7797973140080479E-2</v>
      </c>
      <c r="M40" s="832"/>
      <c r="N40" s="832"/>
      <c r="O40" s="48">
        <f>IF(t&lt;Tnet,'2022'!Resal+('2022'!Salim-'2022'!Resal)*(1-EXP(('2022'!Tnet-t)/('2022'!Tau_j))),Resal+(Salim-Resal)*(1-EXP((Tnet-t)/(Tau_j))))*Salcycl</f>
        <v>2.9603521643370614E-2</v>
      </c>
      <c r="P40" s="338">
        <f>(INDEX(Models!$BJ40:$BT40,,T40)*(1-R40)+INDEX(Models!$BJ40:$BT40,,T40+1)*R40-ERP_i)*Q40*Ramure*Pc/MaxiM</f>
        <v>3.4685298373229147E-3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29.678943739231251</v>
      </c>
      <c r="W40" s="400">
        <f t="shared" si="9"/>
        <v>29.145784970176575</v>
      </c>
      <c r="X40" s="157">
        <f t="shared" si="10"/>
        <v>44952</v>
      </c>
      <c r="Y40" s="383">
        <f t="shared" si="11"/>
        <v>27.39417622376115</v>
      </c>
      <c r="Z40" s="383">
        <f t="shared" si="21"/>
        <v>28.177452285550789</v>
      </c>
      <c r="AA40" s="384">
        <f t="shared" si="12"/>
        <v>30.893706943722407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8.7922587701103297E-2</v>
      </c>
      <c r="AD40" s="230">
        <f>(INDEX(Models!$BJ40:$BT40,,AH40)*(1-AF40)+INDEX(Models!$BJ40:$BT40,,AH40+1)*AF40-ERP_i)*AE40*Ramure*Pc/MaxiM</f>
        <v>3.4685298373229147E-3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'2022'!Wh/'2022'!Env_an*'2023'!Env_an</f>
        <v>27.850718128911925</v>
      </c>
      <c r="C41" s="829"/>
      <c r="D41" s="391">
        <f t="shared" si="0"/>
        <v>28.64759702441302</v>
      </c>
      <c r="E41" s="383">
        <f t="shared" si="1"/>
        <v>29.523489309178451</v>
      </c>
      <c r="F41" s="383">
        <f t="shared" si="2"/>
        <v>29.613484342647599</v>
      </c>
      <c r="G41" s="110">
        <f t="shared" si="19"/>
        <v>0.92763835985590348</v>
      </c>
      <c r="H41" s="412" t="b">
        <f>Wh_hp&gt;='2022'!Maxi_hp</f>
        <v>0</v>
      </c>
      <c r="I41" s="379">
        <f>IF(H41,Wh_hp,'2022'!Maxi_hp)</f>
        <v>29.617485688648788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2.7816605170130293E-2</v>
      </c>
      <c r="M41" s="832"/>
      <c r="N41" s="832"/>
      <c r="O41" s="48">
        <f>IF(t&lt;Tnet,'2022'!Resal+('2022'!Salim-'2022'!Resal)*(1-EXP(('2022'!Tnet-t)/('2022'!Tau_j))),Resal+(Salim-Resal)*(1-EXP((Tnet-t)/(Tau_j))))*Salcycl</f>
        <v>2.9667641097325403E-2</v>
      </c>
      <c r="P41" s="338">
        <f>(INDEX(Models!$BJ41:$BT41,,T41)*(1-R41)+INDEX(Models!$BJ41:$BT41,,T41+1)*R41-ERP_i)*Q41*Ramure*Pc/MaxiM</f>
        <v>3.38760776695154E-3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30.012751127820362</v>
      </c>
      <c r="W41" s="400">
        <f t="shared" si="9"/>
        <v>27.850718128911925</v>
      </c>
      <c r="X41" s="157">
        <f t="shared" si="10"/>
        <v>44953</v>
      </c>
      <c r="Y41" s="383">
        <f t="shared" si="11"/>
        <v>26.178365869084427</v>
      </c>
      <c r="Z41" s="383">
        <f t="shared" si="21"/>
        <v>26.92739457215847</v>
      </c>
      <c r="AA41" s="384">
        <f t="shared" si="12"/>
        <v>29.523489309178451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8.7933194814235352E-2</v>
      </c>
      <c r="AD41" s="230">
        <f>(INDEX(Models!$BJ41:$BT41,,AH41)*(1-AF41)+INDEX(Models!$BJ41:$BT41,,AH41+1)*AF41-ERP_i)*AE41*Ramure*Pc/MaxiM</f>
        <v>3.38760776695154E-3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'2022'!Wh/'2022'!Env_an*'2023'!Env_an</f>
        <v>4.4013874147089806</v>
      </c>
      <c r="C42" s="829"/>
      <c r="D42" s="391">
        <f t="shared" si="0"/>
        <v>4.5274089141190537</v>
      </c>
      <c r="E42" s="383">
        <f t="shared" si="1"/>
        <v>4.6661414572573969</v>
      </c>
      <c r="F42" s="383">
        <f t="shared" si="2"/>
        <v>4.6661414572573969</v>
      </c>
      <c r="G42" s="110">
        <f t="shared" si="19"/>
        <v>0.14453411182310366</v>
      </c>
      <c r="H42" s="412" t="b">
        <f>Wh_hp&gt;='2022'!Maxi_hp</f>
        <v>0</v>
      </c>
      <c r="I42" s="379">
        <f>IF(H42,Wh_hp,'2022'!Maxi_hp)</f>
        <v>18.471919028830147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2.7835236843101518E-2</v>
      </c>
      <c r="M42" s="832"/>
      <c r="N42" s="832"/>
      <c r="O42" s="48">
        <f>IF(t&lt;Tnet,'2022'!Resal+('2022'!Salim-'2022'!Resal)*(1-EXP(('2022'!Tnet-t)/('2022'!Tau_j))),Resal+(Salim-Resal)*(1-EXP((Tnet-t)/(Tau_j))))*Salcycl</f>
        <v>2.9731748256917604E-2</v>
      </c>
      <c r="P42" s="338">
        <f>(INDEX(Models!$BJ42:$BT42,,T42)*(1-R42)+INDEX(Models!$BJ42:$BT42,,T42+1)*R42-ERP_i)*Q42*Ramure*Pc/MaxiM</f>
        <v>3.3031870034229138E-3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30.351650234463548</v>
      </c>
      <c r="W42" s="400">
        <f t="shared" si="9"/>
        <v>4.4013874147089806</v>
      </c>
      <c r="X42" s="157">
        <f t="shared" si="10"/>
        <v>44954</v>
      </c>
      <c r="Y42" s="383">
        <f t="shared" si="11"/>
        <v>4.1373219186378041</v>
      </c>
      <c r="Z42" s="383">
        <f t="shared" si="21"/>
        <v>4.2557826362711708</v>
      </c>
      <c r="AA42" s="384">
        <f t="shared" si="12"/>
        <v>4.6661414572573969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8.7943930707026122E-2</v>
      </c>
      <c r="AD42" s="230">
        <f>(INDEX(Models!$BJ42:$BT42,,AH42)*(1-AF42)+INDEX(Models!$BJ42:$BT42,,AH42+1)*AF42-ERP_i)*AE42*Ramure*Pc/MaxiM</f>
        <v>3.3031870034229138E-3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'2022'!Wh/'2022'!Env_an*'2023'!Env_an</f>
        <v>9.2898631025091181</v>
      </c>
      <c r="C43" s="829"/>
      <c r="D43" s="391">
        <f t="shared" si="0"/>
        <v>9.5560356599027614</v>
      </c>
      <c r="E43" s="383">
        <f t="shared" si="1"/>
        <v>9.8495101211946814</v>
      </c>
      <c r="F43" s="383">
        <f t="shared" si="2"/>
        <v>9.84963018303689</v>
      </c>
      <c r="G43" s="110">
        <f t="shared" si="19"/>
        <v>0.30168406314937363</v>
      </c>
      <c r="H43" s="412" t="b">
        <f>Wh_hp&gt;='2022'!Maxi_hp</f>
        <v>0</v>
      </c>
      <c r="I43" s="379">
        <f>IF(H43,Wh_hp,'2022'!Maxi_hp)</f>
        <v>19.775703807846384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2.7853868159001038E-2</v>
      </c>
      <c r="M43" s="832"/>
      <c r="N43" s="832"/>
      <c r="O43" s="48">
        <f>IF(t&lt;Tnet,'2022'!Resal+('2022'!Salim-'2022'!Resal)*(1-EXP(('2022'!Tnet-t)/('2022'!Tau_j))),Resal+(Salim-Resal)*(1-EXP((Tnet-t)/(Tau_j))))*Salcycl</f>
        <v>2.9795843415644282E-2</v>
      </c>
      <c r="P43" s="338">
        <f>(INDEX(Models!$BJ43:$BT43,,T43)*(1-R43)+INDEX(Models!$BJ43:$BT43,,T43+1)*R43-ERP_i)*Q43*Ramure*Pc/MaxiM</f>
        <v>3.2155234330462153E-3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30.694707931114674</v>
      </c>
      <c r="W43" s="400">
        <f t="shared" si="9"/>
        <v>9.2898631025091181</v>
      </c>
      <c r="X43" s="157">
        <f t="shared" si="10"/>
        <v>44955</v>
      </c>
      <c r="Y43" s="383">
        <f t="shared" si="11"/>
        <v>8.7329816492049002</v>
      </c>
      <c r="Z43" s="383">
        <f t="shared" si="21"/>
        <v>8.983198475178666</v>
      </c>
      <c r="AA43" s="384">
        <f t="shared" si="12"/>
        <v>9.8495101211946814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8.7954795249343562E-2</v>
      </c>
      <c r="AD43" s="230">
        <f>(INDEX(Models!$BJ43:$BT43,,AH43)*(1-AF43)+INDEX(Models!$BJ43:$BT43,,AH43+1)*AF43-ERP_i)*AE43*Ramure*Pc/MaxiM</f>
        <v>3.2155234330462153E-3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'2022'!Wh/'2022'!Env_an*'2023'!Env_an</f>
        <v>4.797620705355631</v>
      </c>
      <c r="C44" s="829"/>
      <c r="D44" s="391">
        <f t="shared" si="0"/>
        <v>4.9351764053604024</v>
      </c>
      <c r="E44" s="383">
        <f t="shared" si="1"/>
        <v>5.0870761248239598</v>
      </c>
      <c r="F44" s="383">
        <f t="shared" si="2"/>
        <v>5.0870761248239598</v>
      </c>
      <c r="G44" s="110">
        <f t="shared" si="19"/>
        <v>0.1540746162619345</v>
      </c>
      <c r="H44" s="412" t="b">
        <f>Wh_hp&gt;='2022'!Maxi_hp</f>
        <v>0</v>
      </c>
      <c r="I44" s="379">
        <f>IF(H44,Wh_hp,'2022'!Maxi_hp)</f>
        <v>11.80160840972839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2.7872499117835625E-2</v>
      </c>
      <c r="M44" s="832"/>
      <c r="N44" s="832"/>
      <c r="O44" s="48">
        <f>IF(t&lt;Tnet,'2022'!Resal+('2022'!Salim-'2022'!Resal)*(1-EXP(('2022'!Tnet-t)/('2022'!Tau_j))),Resal+(Salim-Resal)*(1-EXP((Tnet-t)/(Tau_j))))*Salcycl</f>
        <v>2.985992655433551E-2</v>
      </c>
      <c r="P44" s="338">
        <f>(INDEX(Models!$BJ44:$BT44,,T44)*(1-R44)+INDEX(Models!$BJ44:$BT44,,T44+1)*R44-ERP_i)*Q44*Ramure*Pc/MaxiM</f>
        <v>3.1267831450260521E-3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31.0409313476219</v>
      </c>
      <c r="W44" s="400">
        <f t="shared" si="9"/>
        <v>4.797620705355631</v>
      </c>
      <c r="X44" s="157">
        <f t="shared" si="10"/>
        <v>44956</v>
      </c>
      <c r="Y44" s="383">
        <f t="shared" si="11"/>
        <v>4.5102705703665116</v>
      </c>
      <c r="Z44" s="383">
        <f t="shared" si="21"/>
        <v>4.6395874679747591</v>
      </c>
      <c r="AA44" s="384">
        <f t="shared" si="12"/>
        <v>5.0870761248239598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8.7965787393182823E-2</v>
      </c>
      <c r="AD44" s="230">
        <f>(INDEX(Models!$BJ44:$BT44,,AH44)*(1-AF44)+INDEX(Models!$BJ44:$BT44,,AH44+1)*AF44-ERP_i)*AE44*Ramure*Pc/MaxiM</f>
        <v>3.1267831450260521E-3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'2022'!Wh/'2022'!Env_an*'2023'!Env_an</f>
        <v>7.9556080924618122</v>
      </c>
      <c r="C45" s="829"/>
      <c r="D45" s="391">
        <f t="shared" si="0"/>
        <v>8.1838653423326502</v>
      </c>
      <c r="E45" s="383">
        <f t="shared" si="1"/>
        <v>8.4363135669754801</v>
      </c>
      <c r="F45" s="383">
        <f t="shared" si="2"/>
        <v>8.4363135669754801</v>
      </c>
      <c r="G45" s="110">
        <f t="shared" si="19"/>
        <v>0.25267921600480608</v>
      </c>
      <c r="H45" s="412" t="b">
        <f>Wh_hp&gt;='2022'!Maxi_hp</f>
        <v>0</v>
      </c>
      <c r="I45" s="379">
        <f>IF(H45,Wh_hp,'2022'!Maxi_hp)</f>
        <v>23.12427848668732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2.7891129719612051E-2</v>
      </c>
      <c r="M45" s="832"/>
      <c r="N45" s="832"/>
      <c r="O45" s="48">
        <f>IF(t&lt;Tnet,'2022'!Resal+('2022'!Salim-'2022'!Resal)*(1-EXP(('2022'!Tnet-t)/('2022'!Tau_j))),Resal+(Salim-Resal)*(1-EXP((Tnet-t)/(Tau_j))))*Salcycl</f>
        <v>2.9923997328768673E-2</v>
      </c>
      <c r="P45" s="338">
        <f>(INDEX(Models!$BJ45:$BT45,,T45)*(1-R45)+INDEX(Models!$BJ45:$BT45,,T45+1)*R45-ERP_i)*Q45*Ramure*Pc/MaxiM</f>
        <v>3.0410018509529979E-3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31.389265800857636</v>
      </c>
      <c r="W45" s="400">
        <f t="shared" si="9"/>
        <v>7.9556080924618122</v>
      </c>
      <c r="X45" s="157">
        <f t="shared" si="10"/>
        <v>44957</v>
      </c>
      <c r="Y45" s="383">
        <f t="shared" si="11"/>
        <v>7.4795153100964047</v>
      </c>
      <c r="Z45" s="383">
        <f t="shared" si="21"/>
        <v>7.6941128085160546</v>
      </c>
      <c r="AA45" s="384">
        <f t="shared" si="12"/>
        <v>8.4363135669754801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8.7976905145491613E-2</v>
      </c>
      <c r="AD45" s="230">
        <f>(INDEX(Models!$BJ45:$BT45,,AH45)*(1-AF45)+INDEX(Models!$BJ45:$BT45,,AH45+1)*AF45-ERP_i)*AE45*Ramure*Pc/MaxiM</f>
        <v>3.0410018509529979E-3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'2022'!Wh/'2022'!Env_an*'2023'!Env_an</f>
        <v>13.20205309772369</v>
      </c>
      <c r="C46" s="829"/>
      <c r="D46" s="391">
        <f t="shared" si="0"/>
        <v>13.581098291079799</v>
      </c>
      <c r="E46" s="383">
        <f t="shared" si="1"/>
        <v>14.000959845871677</v>
      </c>
      <c r="F46" s="383">
        <f t="shared" si="2"/>
        <v>14.00782428617274</v>
      </c>
      <c r="G46" s="110">
        <f t="shared" si="19"/>
        <v>0.41493254870542712</v>
      </c>
      <c r="H46" s="412" t="b">
        <f>Wh_hp&gt;='2022'!Maxi_hp</f>
        <v>0</v>
      </c>
      <c r="I46" s="379">
        <f>IF(H46,Wh_hp,'2022'!Maxi_hp)</f>
        <v>14.021130827306354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2.7909759964337311E-2</v>
      </c>
      <c r="M46" s="832"/>
      <c r="N46" s="832"/>
      <c r="O46" s="48">
        <f>IF(t&lt;Tnet,'2022'!Resal+('2022'!Salim-'2022'!Resal)*(1-EXP(('2022'!Tnet-t)/('2022'!Tau_j))),Resal+(Salim-Resal)*(1-EXP((Tnet-t)/(Tau_j))))*Salcycl</f>
        <v>2.9988055062930324E-2</v>
      </c>
      <c r="P46" s="338">
        <f>(INDEX(Models!$BJ46:$BT46,,T46)*(1-R46)+INDEX(Models!$BJ46:$BT46,,T46+1)*R46-ERP_i)*Q46*Ramure*Pc/MaxiM</f>
        <v>2.9581855062451403E-3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31.738779275224491</v>
      </c>
      <c r="W46" s="400">
        <f t="shared" si="9"/>
        <v>13.20205309772369</v>
      </c>
      <c r="X46" s="157">
        <f t="shared" si="10"/>
        <v>44958</v>
      </c>
      <c r="Y46" s="383">
        <f t="shared" si="11"/>
        <v>12.412660473866323</v>
      </c>
      <c r="Z46" s="383">
        <f t="shared" si="21"/>
        <v>12.769041353003344</v>
      </c>
      <c r="AA46" s="384">
        <f t="shared" si="12"/>
        <v>14.000959845871677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8.7988145557861566E-2</v>
      </c>
      <c r="AD46" s="230">
        <f>(INDEX(Models!$BJ46:$BT46,,AH46)*(1-AF46)+INDEX(Models!$BJ46:$BT46,,AH46+1)*AF46-ERP_i)*AE46*Ramure*Pc/MaxiM</f>
        <v>2.9581855062451403E-3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'2022'!Wh/'2022'!Env_an*'2023'!Env_an</f>
        <v>5.5733192254363448</v>
      </c>
      <c r="C47" s="829"/>
      <c r="D47" s="391">
        <f t="shared" si="0"/>
        <v>5.7334451158262913</v>
      </c>
      <c r="E47" s="383">
        <f t="shared" si="1"/>
        <v>5.911085645347705</v>
      </c>
      <c r="F47" s="383">
        <f t="shared" si="2"/>
        <v>5.911085645347705</v>
      </c>
      <c r="G47" s="110">
        <f t="shared" si="19"/>
        <v>0.17318573427661155</v>
      </c>
      <c r="H47" s="412" t="b">
        <f>Wh_hp&gt;='2022'!Maxi_hp</f>
        <v>0</v>
      </c>
      <c r="I47" s="379">
        <f>IF(H47,Wh_hp,'2022'!Maxi_hp)</f>
        <v>29.977059055663016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2.7928389852018176E-2</v>
      </c>
      <c r="M47" s="832"/>
      <c r="N47" s="832"/>
      <c r="O47" s="48">
        <f>IF(t&lt;Tnet,'2022'!Resal+('2022'!Salim-'2022'!Resal)*(1-EXP(('2022'!Tnet-t)/('2022'!Tau_j))),Resal+(Salim-Resal)*(1-EXP((Tnet-t)/(Tau_j))))*Salcycl</f>
        <v>3.0052098747922001E-2</v>
      </c>
      <c r="P47" s="338">
        <f>(INDEX(Models!$BJ47:$BT47,,T47)*(1-R47)+INDEX(Models!$BJ47:$BT47,,T47+1)*R47-ERP_i)*Q47*Ramure*Pc/MaxiM</f>
        <v>2.8783287175897067E-3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32.088540109091291</v>
      </c>
      <c r="W47" s="400">
        <f t="shared" si="9"/>
        <v>5.5733192254363448</v>
      </c>
      <c r="X47" s="157">
        <f t="shared" si="10"/>
        <v>44959</v>
      </c>
      <c r="Y47" s="383">
        <f t="shared" si="11"/>
        <v>5.2403535151925329</v>
      </c>
      <c r="Z47" s="383">
        <f t="shared" si="21"/>
        <v>5.390913036123723</v>
      </c>
      <c r="AA47" s="384">
        <f t="shared" si="12"/>
        <v>5.911085645347705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8.7999504732837339E-2</v>
      </c>
      <c r="AD47" s="230">
        <f>(INDEX(Models!$BJ47:$BT47,,AH47)*(1-AF47)+INDEX(Models!$BJ47:$BT47,,AH47+1)*AF47-ERP_i)*AE47*Ramure*Pc/MaxiM</f>
        <v>2.8783287175897067E-3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'2022'!Wh/'2022'!Env_an*'2023'!Env_an</f>
        <v>10.938108755295426</v>
      </c>
      <c r="C48" s="829"/>
      <c r="D48" s="391">
        <f t="shared" si="0"/>
        <v>11.252584965429325</v>
      </c>
      <c r="E48" s="383">
        <f t="shared" si="1"/>
        <v>11.601992031440037</v>
      </c>
      <c r="F48" s="383">
        <f t="shared" si="2"/>
        <v>11.603719744884897</v>
      </c>
      <c r="G48" s="110">
        <f t="shared" si="19"/>
        <v>0.33630987295957793</v>
      </c>
      <c r="H48" s="412" t="b">
        <f>Wh_hp&gt;='2022'!Maxi_hp</f>
        <v>0</v>
      </c>
      <c r="I48" s="379">
        <f>IF(H48,Wh_hp,'2022'!Maxi_hp)</f>
        <v>27.588451395254136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2.7947019382661531E-2</v>
      </c>
      <c r="M48" s="832"/>
      <c r="N48" s="832"/>
      <c r="O48" s="48">
        <f>IF(t&lt;Tnet,'2022'!Resal+('2022'!Salim-'2022'!Resal)*(1-EXP(('2022'!Tnet-t)/('2022'!Tau_j))),Resal+(Salim-Resal)*(1-EXP((Tnet-t)/(Tau_j))))*Salcycl</f>
        <v>3.0116127046446856E-2</v>
      </c>
      <c r="P48" s="338">
        <f>(INDEX(Models!$BJ48:$BT48,,T48)*(1-R48)+INDEX(Models!$BJ48:$BT48,,T48+1)*R48-ERP_i)*Q48*Ramure*Pc/MaxiM</f>
        <v>2.8014162748801114E-3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32.437616985272435</v>
      </c>
      <c r="W48" s="400">
        <f t="shared" si="9"/>
        <v>10.938108755295426</v>
      </c>
      <c r="X48" s="157">
        <f t="shared" si="10"/>
        <v>44960</v>
      </c>
      <c r="Y48" s="383">
        <f t="shared" si="11"/>
        <v>10.285185047539226</v>
      </c>
      <c r="Z48" s="383">
        <f t="shared" si="21"/>
        <v>10.580889367786554</v>
      </c>
      <c r="AA48" s="384">
        <f t="shared" si="12"/>
        <v>11.601992031440037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8.8010977846426322E-2</v>
      </c>
      <c r="AD48" s="230">
        <f>(INDEX(Models!$BJ48:$BT48,,AH48)*(1-AF48)+INDEX(Models!$BJ48:$BT48,,AH48+1)*AF48-ERP_i)*AE48*Ramure*Pc/MaxiM</f>
        <v>2.8014162748801114E-3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'2022'!Wh/'2022'!Env_an*'2023'!Env_an</f>
        <v>10.773435278518482</v>
      </c>
      <c r="C49" s="829"/>
      <c r="D49" s="391">
        <f t="shared" si="0"/>
        <v>11.083389452766877</v>
      </c>
      <c r="E49" s="383">
        <f t="shared" si="1"/>
        <v>11.428297037936796</v>
      </c>
      <c r="F49" s="383">
        <f t="shared" si="2"/>
        <v>11.429571040539104</v>
      </c>
      <c r="G49" s="110">
        <f t="shared" si="19"/>
        <v>0.3277481592323781</v>
      </c>
      <c r="H49" s="412" t="b">
        <f>Wh_hp&gt;='2022'!Maxi_hp</f>
        <v>0</v>
      </c>
      <c r="I49" s="379">
        <f>IF(H49,Wh_hp,'2022'!Maxi_hp)</f>
        <v>19.347515119040757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2.7965648556274147E-2</v>
      </c>
      <c r="M49" s="832"/>
      <c r="N49" s="832"/>
      <c r="O49" s="48">
        <f>IF(t&lt;Tnet,'2022'!Resal+('2022'!Salim-'2022'!Resal)*(1-EXP(('2022'!Tnet-t)/('2022'!Tau_j))),Resal+(Salim-Resal)*(1-EXP((Tnet-t)/(Tau_j))))*Salcycl</f>
        <v>3.0180138302756898E-2</v>
      </c>
      <c r="P49" s="338">
        <f>(INDEX(Models!$BJ49:$BT49,,T49)*(1-R49)+INDEX(Models!$BJ49:$BT49,,T49+1)*R49-ERP_i)*Q49*Ramure*Pc/MaxiM</f>
        <v>2.7274245845576002E-3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32.785078933151595</v>
      </c>
      <c r="W49" s="400">
        <f t="shared" si="9"/>
        <v>10.773435278518482</v>
      </c>
      <c r="X49" s="157">
        <f t="shared" si="10"/>
        <v>44961</v>
      </c>
      <c r="Y49" s="383">
        <f t="shared" si="11"/>
        <v>10.130881333860774</v>
      </c>
      <c r="Z49" s="383">
        <f t="shared" si="21"/>
        <v>10.422349085517153</v>
      </c>
      <c r="AA49" s="384">
        <f t="shared" si="12"/>
        <v>11.428297037936796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8.802255918623296E-2</v>
      </c>
      <c r="AD49" s="230">
        <f>(INDEX(Models!$BJ49:$BT49,,AH49)*(1-AF49)+INDEX(Models!$BJ49:$BT49,,AH49+1)*AF49-ERP_i)*AE49*Ramure*Pc/MaxiM</f>
        <v>2.7274245845576002E-3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'2022'!Wh/'2022'!Env_an*'2023'!Env_an</f>
        <v>9.4667926826088209</v>
      </c>
      <c r="C50" s="829"/>
      <c r="D50" s="391">
        <f t="shared" si="0"/>
        <v>9.7393411055350381</v>
      </c>
      <c r="E50" s="383">
        <f t="shared" si="1"/>
        <v>10.04308549443266</v>
      </c>
      <c r="F50" s="383">
        <f t="shared" si="2"/>
        <v>10.04308549443266</v>
      </c>
      <c r="G50" s="110">
        <f t="shared" si="19"/>
        <v>0.28498784050284448</v>
      </c>
      <c r="H50" s="412" t="b">
        <f>Wh_hp&gt;='2022'!Maxi_hp</f>
        <v>0</v>
      </c>
      <c r="I50" s="379">
        <f>IF(H50,Wh_hp,'2022'!Maxi_hp)</f>
        <v>35.681802082367859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2.7984277372862909E-2</v>
      </c>
      <c r="M50" s="832"/>
      <c r="N50" s="832"/>
      <c r="O50" s="48">
        <f>IF(t&lt;Tnet,'2022'!Resal+('2022'!Salim-'2022'!Resal)*(1-EXP(('2022'!Tnet-t)/('2022'!Tau_j))),Resal+(Salim-Resal)*(1-EXP((Tnet-t)/(Tau_j))))*Salcycl</f>
        <v>3.0244130557884927E-2</v>
      </c>
      <c r="P50" s="338">
        <f>(INDEX(Models!$BJ50:$BT50,,T50)*(1-R50)+INDEX(Models!$BJ50:$BT50,,T50+1)*R50-ERP_i)*Q50*Ramure*Pc/MaxiM</f>
        <v>2.6563230029779394E-3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33.129995324650864</v>
      </c>
      <c r="W50" s="400">
        <f t="shared" si="9"/>
        <v>9.4667926826088209</v>
      </c>
      <c r="X50" s="157">
        <f t="shared" si="10"/>
        <v>44962</v>
      </c>
      <c r="Y50" s="383">
        <f t="shared" si="11"/>
        <v>8.9026434742333524</v>
      </c>
      <c r="Z50" s="383">
        <f t="shared" si="21"/>
        <v>9.1589500735353688</v>
      </c>
      <c r="AA50" s="384">
        <f t="shared" si="12"/>
        <v>10.04308549443266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8.8034242204490479E-2</v>
      </c>
      <c r="AD50" s="230">
        <f>(INDEX(Models!$BJ50:$BT50,,AH50)*(1-AF50)+INDEX(Models!$BJ50:$BT50,,AH50+1)*AF50-ERP_i)*AE50*Ramure*Pc/MaxiM</f>
        <v>2.6563230029779394E-3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'2022'!Wh/'2022'!Env_an*'2023'!Env_an</f>
        <v>22.055126263171573</v>
      </c>
      <c r="C51" s="829"/>
      <c r="D51" s="391">
        <f t="shared" si="0"/>
        <v>22.690526952716819</v>
      </c>
      <c r="E51" s="383">
        <f t="shared" si="1"/>
        <v>23.39972829457772</v>
      </c>
      <c r="F51" s="383">
        <f t="shared" si="2"/>
        <v>23.430814999244109</v>
      </c>
      <c r="G51" s="110">
        <f t="shared" si="19"/>
        <v>0.65804154957887318</v>
      </c>
      <c r="H51" s="412" t="b">
        <f>Wh_hp&gt;='2022'!Maxi_hp</f>
        <v>0</v>
      </c>
      <c r="I51" s="379">
        <f>IF(H51,Wh_hp,'2022'!Maxi_hp)</f>
        <v>37.076232391062831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2.8002905832434588E-2</v>
      </c>
      <c r="M51" s="832"/>
      <c r="N51" s="832"/>
      <c r="O51" s="48">
        <f>IF(t&lt;Tnet,'2022'!Resal+('2022'!Salim-'2022'!Resal)*(1-EXP(('2022'!Tnet-t)/('2022'!Tau_j))),Resal+(Salim-Resal)*(1-EXP((Tnet-t)/(Tau_j))))*Salcycl</f>
        <v>3.0308101569933275E-2</v>
      </c>
      <c r="P51" s="338">
        <f>(INDEX(Models!$BJ51:$BT51,,T51)*(1-R51)+INDEX(Models!$BJ51:$BT51,,T51+1)*R51-ERP_i)*Q51*Ramure*Pc/MaxiM</f>
        <v>2.5878782689716046E-3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33.473987867174628</v>
      </c>
      <c r="W51" s="400">
        <f t="shared" si="9"/>
        <v>22.055126263171573</v>
      </c>
      <c r="X51" s="157">
        <f t="shared" si="10"/>
        <v>44963</v>
      </c>
      <c r="Y51" s="383">
        <f t="shared" si="11"/>
        <v>20.741908039878865</v>
      </c>
      <c r="Z51" s="383">
        <f t="shared" si="21"/>
        <v>21.339475358866771</v>
      </c>
      <c r="AA51" s="384">
        <f t="shared" si="12"/>
        <v>23.39972829457772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8.8046019585123148E-2</v>
      </c>
      <c r="AD51" s="230">
        <f>(INDEX(Models!$BJ51:$BT51,,AH51)*(1-AF51)+INDEX(Models!$BJ51:$BT51,,AH51+1)*AF51-ERP_i)*AE51*Ramure*Pc/MaxiM</f>
        <v>2.5878782689716046E-3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'2022'!Wh/'2022'!Env_an*'2023'!Env_an</f>
        <v>9.2950474306426631</v>
      </c>
      <c r="C52" s="829"/>
      <c r="D52" s="391">
        <f t="shared" si="0"/>
        <v>9.5630178601313069</v>
      </c>
      <c r="E52" s="383">
        <f t="shared" si="1"/>
        <v>9.8625641398665049</v>
      </c>
      <c r="F52" s="383">
        <f t="shared" si="2"/>
        <v>9.8625641398665049</v>
      </c>
      <c r="G52" s="110">
        <f t="shared" si="19"/>
        <v>0.27415192365507079</v>
      </c>
      <c r="H52" s="412" t="b">
        <f>Wh_hp&gt;='2022'!Maxi_hp</f>
        <v>0</v>
      </c>
      <c r="I52" s="379">
        <f>IF(H52,Wh_hp,'2022'!Maxi_hp)</f>
        <v>24.451684563184926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2.8021533934996179E-2</v>
      </c>
      <c r="M52" s="832"/>
      <c r="N52" s="832"/>
      <c r="O52" s="48">
        <f>IF(t&lt;Tnet,'2022'!Resal+('2022'!Salim-'2022'!Resal)*(1-EXP(('2022'!Tnet-t)/('2022'!Tau_j))),Resal+(Salim-Resal)*(1-EXP((Tnet-t)/(Tau_j))))*Salcycl</f>
        <v>3.037204883914215E-2</v>
      </c>
      <c r="P52" s="338">
        <f>(INDEX(Models!$BJ52:$BT52,,T52)*(1-R52)+INDEX(Models!$BJ52:$BT52,,T52+1)*R52-ERP_i)*Q52*Ramure*Pc/MaxiM</f>
        <v>2.5204683186201152E-3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33.819275949122705</v>
      </c>
      <c r="W52" s="400">
        <f t="shared" si="9"/>
        <v>9.2950474306426631</v>
      </c>
      <c r="X52" s="157">
        <f t="shared" si="10"/>
        <v>44964</v>
      </c>
      <c r="Y52" s="383">
        <f t="shared" si="11"/>
        <v>8.742059486174302</v>
      </c>
      <c r="Z52" s="383">
        <f t="shared" si="21"/>
        <v>8.9940876175642064</v>
      </c>
      <c r="AA52" s="384">
        <f t="shared" si="12"/>
        <v>9.8625641398665049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8.805788332384451E-2</v>
      </c>
      <c r="AD52" s="230">
        <f>(INDEX(Models!$BJ52:$BT52,,AH52)*(1-AF52)+INDEX(Models!$BJ52:$BT52,,AH52+1)*AF52-ERP_i)*AE52*Ramure*Pc/MaxiM</f>
        <v>2.5204683186201152E-3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'2022'!Wh/'2022'!Env_an*'2023'!Env_an</f>
        <v>34.472019357584507</v>
      </c>
      <c r="C53" s="829"/>
      <c r="D53" s="391">
        <f t="shared" si="0"/>
        <v>35.466505917762916</v>
      </c>
      <c r="E53" s="383">
        <f t="shared" si="1"/>
        <v>36.579849094133166</v>
      </c>
      <c r="F53" s="383">
        <f t="shared" si="2"/>
        <v>36.669864928426442</v>
      </c>
      <c r="G53" s="110">
        <f t="shared" si="19"/>
        <v>1.0089647411935272</v>
      </c>
      <c r="H53" s="412" t="b">
        <f>Wh_hp&gt;='2022'!Maxi_hp</f>
        <v>1</v>
      </c>
      <c r="I53" s="379">
        <f>IF(H53,Wh_hp,'2022'!Maxi_hp)</f>
        <v>36.669864928426442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2.8040161680554343E-2</v>
      </c>
      <c r="M53" s="832"/>
      <c r="N53" s="832"/>
      <c r="O53" s="48">
        <f>IF(t&lt;Tnet,'2022'!Resal+('2022'!Salim-'2022'!Resal)*(1-EXP(('2022'!Tnet-t)/('2022'!Tau_j))),Resal+(Salim-Resal)*(1-EXP((Tnet-t)/(Tau_j))))*Salcycl</f>
        <v>3.0435969637414743E-2</v>
      </c>
      <c r="P53" s="338">
        <f>(INDEX(Models!$BJ53:$BT53,,T53)*(1-R53)+INDEX(Models!$BJ53:$BT53,,T53+1)*R53-ERP_i)*Q53*Ramure*Pc/MaxiM</f>
        <v>2.4547631814016545E-3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34.165732408851845</v>
      </c>
      <c r="W53" s="400">
        <f t="shared" si="9"/>
        <v>34.472019357584507</v>
      </c>
      <c r="X53" s="157">
        <f t="shared" si="10"/>
        <v>44965</v>
      </c>
      <c r="Y53" s="383">
        <f t="shared" si="11"/>
        <v>32.422896958964181</v>
      </c>
      <c r="Z53" s="383">
        <f t="shared" si="21"/>
        <v>33.358268192464166</v>
      </c>
      <c r="AA53" s="384">
        <f t="shared" si="12"/>
        <v>36.579849094133166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8.8069824820181872E-2</v>
      </c>
      <c r="AD53" s="230">
        <f>(INDEX(Models!$BJ53:$BT53,,AH53)*(1-AF53)+INDEX(Models!$BJ53:$BT53,,AH53+1)*AF53-ERP_i)*AE53*Ramure*Pc/MaxiM</f>
        <v>2.4547631814016545E-3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'2022'!Wh/'2022'!Env_an*'2023'!Env_an</f>
        <v>34.766745309734738</v>
      </c>
      <c r="C54" s="829"/>
      <c r="D54" s="391">
        <f t="shared" si="0"/>
        <v>35.770419978834553</v>
      </c>
      <c r="E54" s="383">
        <f t="shared" si="1"/>
        <v>36.895734762119297</v>
      </c>
      <c r="F54" s="383">
        <f t="shared" si="2"/>
        <v>36.984153600859251</v>
      </c>
      <c r="G54" s="110">
        <f t="shared" si="19"/>
        <v>1.0073447597282734</v>
      </c>
      <c r="H54" s="412" t="b">
        <f>Wh_hp&gt;='2022'!Maxi_hp</f>
        <v>1</v>
      </c>
      <c r="I54" s="379">
        <f>IF(H54,Wh_hp,'2022'!Maxi_hp)</f>
        <v>36.984153600859251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2.8058789069116075E-2</v>
      </c>
      <c r="M54" s="832"/>
      <c r="N54" s="832"/>
      <c r="O54" s="48">
        <f>IF(t&lt;Tnet,'2022'!Resal+('2022'!Salim-'2022'!Resal)*(1-EXP(('2022'!Tnet-t)/('2022'!Tau_j))),Resal+(Salim-Resal)*(1-EXP((Tnet-t)/(Tau_j))))*Salcycl</f>
        <v>3.0499861041935354E-2</v>
      </c>
      <c r="P54" s="338">
        <f>(INDEX(Models!$BJ54:$BT54,,T54)*(1-R54)+INDEX(Models!$BJ54:$BT54,,T54+1)*R54-ERP_i)*Q54*Ramure*Pc/MaxiM</f>
        <v>2.3907222453754045E-3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34.513253753474537</v>
      </c>
      <c r="W54" s="400">
        <f t="shared" si="9"/>
        <v>34.766745309734738</v>
      </c>
      <c r="X54" s="157">
        <f t="shared" si="10"/>
        <v>44966</v>
      </c>
      <c r="Y54" s="383">
        <f t="shared" si="11"/>
        <v>32.701827789975006</v>
      </c>
      <c r="Z54" s="383">
        <f t="shared" si="21"/>
        <v>33.645890741328465</v>
      </c>
      <c r="AA54" s="384">
        <f t="shared" si="12"/>
        <v>36.895734762119297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8.8081834980216656E-2</v>
      </c>
      <c r="AD54" s="230">
        <f>(INDEX(Models!$BJ54:$BT54,,AH54)*(1-AF54)+INDEX(Models!$BJ54:$BT54,,AH54+1)*AF54-ERP_i)*AE54*Ramure*Pc/MaxiM</f>
        <v>2.3907222453754045E-3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'2022'!Wh/'2022'!Env_an*'2023'!Env_an</f>
        <v>32.421886751910414</v>
      </c>
      <c r="C55" s="829"/>
      <c r="D55" s="391">
        <f t="shared" si="0"/>
        <v>33.358507445968783</v>
      </c>
      <c r="E55" s="383">
        <f t="shared" si="1"/>
        <v>34.410211514904127</v>
      </c>
      <c r="F55" s="383">
        <f t="shared" si="2"/>
        <v>34.482470217356955</v>
      </c>
      <c r="G55" s="110">
        <f t="shared" si="19"/>
        <v>0.92979658441195734</v>
      </c>
      <c r="H55" s="412" t="b">
        <f>Wh_hp&gt;='2022'!Maxi_hp</f>
        <v>0</v>
      </c>
      <c r="I55" s="379">
        <f>IF(H55,Wh_hp,'2022'!Maxi_hp)</f>
        <v>34.485478690767295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2.8077416100688146E-2</v>
      </c>
      <c r="M55" s="832"/>
      <c r="N55" s="832"/>
      <c r="O55" s="48">
        <f>IF(t&lt;Tnet,'2022'!Resal+('2022'!Salim-'2022'!Resal)*(1-EXP(('2022'!Tnet-t)/('2022'!Tau_j))),Resal+(Salim-Resal)*(1-EXP((Tnet-t)/(Tau_j))))*Salcycl</f>
        <v>3.0563719972480252E-2</v>
      </c>
      <c r="P55" s="338">
        <f>(INDEX(Models!$BJ55:$BT55,,T55)*(1-R55)+INDEX(Models!$BJ55:$BT55,,T55+1)*R55-ERP_i)*Q55*Ramure*Pc/MaxiM</f>
        <v>2.3283054283795498E-3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34.861736535054071</v>
      </c>
      <c r="W55" s="400">
        <f t="shared" si="9"/>
        <v>32.421886751910414</v>
      </c>
      <c r="X55" s="157">
        <f t="shared" si="10"/>
        <v>44967</v>
      </c>
      <c r="Y55" s="383">
        <f t="shared" si="11"/>
        <v>30.497843717372465</v>
      </c>
      <c r="Z55" s="383">
        <f t="shared" si="21"/>
        <v>31.378881633778299</v>
      </c>
      <c r="AA55" s="384">
        <f t="shared" si="12"/>
        <v>34.410211514904127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8.809390432874456E-2</v>
      </c>
      <c r="AD55" s="230">
        <f>(INDEX(Models!$BJ55:$BT55,,AH55)*(1-AF55)+INDEX(Models!$BJ55:$BT55,,AH55+1)*AF55-ERP_i)*AE55*Ramure*Pc/MaxiM</f>
        <v>2.3283054283795498E-3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'2022'!Wh/'2022'!Env_an*'2023'!Env_an</f>
        <v>17.960211392058902</v>
      </c>
      <c r="C56" s="829"/>
      <c r="D56" s="391">
        <f t="shared" si="0"/>
        <v>18.479409676800156</v>
      </c>
      <c r="E56" s="383">
        <f t="shared" si="1"/>
        <v>19.06327082823503</v>
      </c>
      <c r="F56" s="383">
        <f t="shared" si="2"/>
        <v>19.076251791671574</v>
      </c>
      <c r="G56" s="110">
        <f t="shared" si="19"/>
        <v>0.50926272518759219</v>
      </c>
      <c r="H56" s="412" t="b">
        <f>Wh_hp&gt;='2022'!Maxi_hp</f>
        <v>0</v>
      </c>
      <c r="I56" s="379">
        <f>IF(H56,Wh_hp,'2022'!Maxi_hp)</f>
        <v>31.561088268066062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2.8096042775277441E-2</v>
      </c>
      <c r="M56" s="832"/>
      <c r="N56" s="832"/>
      <c r="O56" s="48">
        <f>IF(t&lt;Tnet,'2022'!Resal+('2022'!Salim-'2022'!Resal)*(1-EXP(('2022'!Tnet-t)/('2022'!Tau_j))),Resal+(Salim-Resal)*(1-EXP((Tnet-t)/(Tau_j))))*Salcycl</f>
        <v>3.0627543231988512E-2</v>
      </c>
      <c r="P56" s="338">
        <f>(INDEX(Models!$BJ56:$BT56,,T56)*(1-R56)+INDEX(Models!$BJ56:$BT56,,T56+1)*R56-ERP_i)*Q56*Ramure*Pc/MaxiM</f>
        <v>2.2674732898315566E-3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35.211077347147175</v>
      </c>
      <c r="W56" s="400">
        <f t="shared" si="9"/>
        <v>17.960211392058902</v>
      </c>
      <c r="X56" s="157">
        <f t="shared" si="10"/>
        <v>44968</v>
      </c>
      <c r="Y56" s="383">
        <f t="shared" si="11"/>
        <v>16.895269178933539</v>
      </c>
      <c r="Z56" s="383">
        <f t="shared" si="21"/>
        <v>17.383681847718861</v>
      </c>
      <c r="AA56" s="384">
        <f t="shared" si="12"/>
        <v>19.06327082823503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8.8106023129487968E-2</v>
      </c>
      <c r="AD56" s="230">
        <f>(INDEX(Models!$BJ56:$BT56,,AH56)*(1-AF56)+INDEX(Models!$BJ56:$BT56,,AH56+1)*AF56-ERP_i)*AE56*Ramure*Pc/MaxiM</f>
        <v>2.2674732898315566E-3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'2022'!Wh/'2022'!Env_an*'2023'!Env_an</f>
        <v>27.521592380963433</v>
      </c>
      <c r="C57" s="829"/>
      <c r="D57" s="391">
        <f t="shared" si="0"/>
        <v>28.317736162635722</v>
      </c>
      <c r="E57" s="383">
        <f t="shared" si="1"/>
        <v>29.214363770272072</v>
      </c>
      <c r="F57" s="383">
        <f t="shared" si="2"/>
        <v>29.258105038680878</v>
      </c>
      <c r="G57" s="110">
        <f t="shared" si="19"/>
        <v>0.77336974976244399</v>
      </c>
      <c r="H57" s="412" t="b">
        <f>Wh_hp&gt;='2022'!Maxi_hp</f>
        <v>0</v>
      </c>
      <c r="I57" s="379">
        <f>IF(H57,Wh_hp,'2022'!Maxi_hp)</f>
        <v>29.265897627745993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2.8114669092890732E-2</v>
      </c>
      <c r="M57" s="832"/>
      <c r="N57" s="832"/>
      <c r="O57" s="48">
        <f>IF(t&lt;Tnet,'2022'!Resal+('2022'!Salim-'2022'!Resal)*(1-EXP(('2022'!Tnet-t)/('2022'!Tau_j))),Resal+(Salim-Resal)*(1-EXP((Tnet-t)/(Tau_j))))*Salcycl</f>
        <v>3.0691327549934148E-2</v>
      </c>
      <c r="P57" s="338">
        <f>(INDEX(Models!$BJ57:$BT57,,T57)*(1-R57)+INDEX(Models!$BJ57:$BT57,,T57+1)*R57-ERP_i)*Q57*Ramure*Pc/MaxiM</f>
        <v>2.2081871299968817E-3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35.561172820522337</v>
      </c>
      <c r="W57" s="400">
        <f t="shared" si="9"/>
        <v>27.521592380963433</v>
      </c>
      <c r="X57" s="157">
        <f t="shared" si="10"/>
        <v>44969</v>
      </c>
      <c r="Y57" s="383">
        <f t="shared" si="11"/>
        <v>25.891071050262322</v>
      </c>
      <c r="Z57" s="383">
        <f t="shared" si="21"/>
        <v>26.640047160807427</v>
      </c>
      <c r="AA57" s="384">
        <f t="shared" si="12"/>
        <v>29.214363770272072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8.8118181511938856E-2</v>
      </c>
      <c r="AD57" s="230">
        <f>(INDEX(Models!$BJ57:$BT57,,AH57)*(1-AF57)+INDEX(Models!$BJ57:$BT57,,AH57+1)*AF57-ERP_i)*AE57*Ramure*Pc/MaxiM</f>
        <v>2.2081871299968817E-3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'2022'!Wh/'2022'!Env_an*'2023'!Env_an</f>
        <v>33.671407268677591</v>
      </c>
      <c r="C58" s="829"/>
      <c r="D58" s="391">
        <f t="shared" si="0"/>
        <v>34.646116692033772</v>
      </c>
      <c r="E58" s="383">
        <f t="shared" si="1"/>
        <v>35.745471146015831</v>
      </c>
      <c r="F58" s="383">
        <f t="shared" si="2"/>
        <v>35.81559842674492</v>
      </c>
      <c r="G58" s="110">
        <f t="shared" si="19"/>
        <v>0.93743014995668328</v>
      </c>
      <c r="H58" s="412" t="b">
        <f>Wh_hp&gt;='2022'!Maxi_hp</f>
        <v>0</v>
      </c>
      <c r="I58" s="379">
        <f>IF(H58,Wh_hp,'2022'!Maxi_hp)</f>
        <v>35.818160403759038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2.813329505353479E-2</v>
      </c>
      <c r="M58" s="832"/>
      <c r="N58" s="832"/>
      <c r="O58" s="48">
        <f>IF(t&lt;Tnet,'2022'!Resal+('2022'!Salim-'2022'!Resal)*(1-EXP(('2022'!Tnet-t)/('2022'!Tau_j))),Resal+(Salim-Resal)*(1-EXP((Tnet-t)/(Tau_j))))*Salcycl</f>
        <v>3.0755069628018987E-2</v>
      </c>
      <c r="P58" s="338">
        <f>(INDEX(Models!$BJ58:$BT58,,T58)*(1-R58)+INDEX(Models!$BJ58:$BT58,,T58+1)*R58-ERP_i)*Q58*Ramure*Pc/MaxiM</f>
        <v>2.1495997962788786E-3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35.911948744177693</v>
      </c>
      <c r="W58" s="400">
        <f t="shared" si="9"/>
        <v>33.671407268677591</v>
      </c>
      <c r="X58" s="157">
        <f t="shared" si="10"/>
        <v>44970</v>
      </c>
      <c r="Y58" s="383">
        <f t="shared" si="11"/>
        <v>31.678198914323641</v>
      </c>
      <c r="Z58" s="383">
        <f t="shared" si="21"/>
        <v>32.595209562270803</v>
      </c>
      <c r="AA58" s="384">
        <f t="shared" si="12"/>
        <v>35.745471146015831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8.8130369603371603E-2</v>
      </c>
      <c r="AD58" s="230">
        <f>(INDEX(Models!$BJ58:$BT58,,AH58)*(1-AF58)+INDEX(Models!$BJ58:$BT58,,AH58+1)*AF58-ERP_i)*AE58*Ramure*Pc/MaxiM</f>
        <v>2.1495997962788786E-3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'2022'!Wh/'2022'!Env_an*'2023'!Env_an</f>
        <v>15.807812031665932</v>
      </c>
      <c r="C59" s="829"/>
      <c r="D59" s="391">
        <f t="shared" si="0"/>
        <v>16.265723385856809</v>
      </c>
      <c r="E59" s="383">
        <f t="shared" si="1"/>
        <v>16.782953299534068</v>
      </c>
      <c r="F59" s="383">
        <f t="shared" si="2"/>
        <v>16.789766864862877</v>
      </c>
      <c r="G59" s="110">
        <f t="shared" si="19"/>
        <v>0.43518241118618284</v>
      </c>
      <c r="H59" s="412" t="b">
        <f>Wh_hp&gt;='2022'!Maxi_hp</f>
        <v>0</v>
      </c>
      <c r="I59" s="379">
        <f>IF(H59,Wh_hp,'2022'!Maxi_hp)</f>
        <v>38.116109222133424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2.8151920657216722E-2</v>
      </c>
      <c r="M59" s="832"/>
      <c r="N59" s="832"/>
      <c r="O59" s="48">
        <f>IF(t&lt;Tnet,'2022'!Resal+('2022'!Salim-'2022'!Resal)*(1-EXP(('2022'!Tnet-t)/('2022'!Tau_j))),Resal+(Salim-Resal)*(1-EXP((Tnet-t)/(Tau_j))))*Salcycl</f>
        <v>3.0818766187689882E-2</v>
      </c>
      <c r="P59" s="338">
        <f>(INDEX(Models!$BJ59:$BT59,,T59)*(1-R59)+INDEX(Models!$BJ59:$BT59,,T59+1)*R59-ERP_i)*Q59*Ramure*Pc/MaxiM</f>
        <v>2.0900388997343849E-3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36.263362091298212</v>
      </c>
      <c r="W59" s="400">
        <f t="shared" si="9"/>
        <v>15.807812031665932</v>
      </c>
      <c r="X59" s="157">
        <f t="shared" si="10"/>
        <v>44971</v>
      </c>
      <c r="Y59" s="383">
        <f t="shared" si="11"/>
        <v>14.872833097746316</v>
      </c>
      <c r="Z59" s="383">
        <f t="shared" si="21"/>
        <v>15.303660534889504</v>
      </c>
      <c r="AA59" s="384">
        <f t="shared" si="12"/>
        <v>16.782953299534068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8.8142577664542004E-2</v>
      </c>
      <c r="AD59" s="230">
        <f>(INDEX(Models!$BJ59:$BT59,,AH59)*(1-AF59)+INDEX(Models!$BJ59:$BT59,,AH59+1)*AF59-ERP_i)*AE59*Ramure*Pc/MaxiM</f>
        <v>2.0900388997343849E-3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'2022'!Wh/'2022'!Env_an*'2023'!Env_an</f>
        <v>19.065833996723221</v>
      </c>
      <c r="C60" s="829"/>
      <c r="D60" s="391">
        <f t="shared" si="0"/>
        <v>19.618497789262037</v>
      </c>
      <c r="E60" s="383">
        <f t="shared" si="1"/>
        <v>20.243671225305917</v>
      </c>
      <c r="F60" s="383">
        <f t="shared" si="2"/>
        <v>20.256633505992291</v>
      </c>
      <c r="G60" s="110">
        <f t="shared" si="19"/>
        <v>0.51998256168066392</v>
      </c>
      <c r="H60" s="412" t="b">
        <f>Wh_hp&gt;='2022'!Maxi_hp</f>
        <v>0</v>
      </c>
      <c r="I60" s="379">
        <f>IF(H60,Wh_hp,'2022'!Maxi_hp)</f>
        <v>37.957548920378891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2.8170545903943189E-2</v>
      </c>
      <c r="M60" s="832"/>
      <c r="N60" s="832"/>
      <c r="O60" s="48">
        <f>IF(t&lt;Tnet,'2022'!Resal+('2022'!Salim-'2022'!Resal)*(1-EXP(('2022'!Tnet-t)/('2022'!Tau_j))),Resal+(Salim-Resal)*(1-EXP((Tnet-t)/(Tau_j))))*Salcycl</f>
        <v>3.0882414018973615E-2</v>
      </c>
      <c r="P60" s="338">
        <f>(INDEX(Models!$BJ60:$BT60,,T60)*(1-R60)+INDEX(Models!$BJ60:$BT60,,T60+1)*R60-ERP_i)*Q60*Ramure*Pc/MaxiM</f>
        <v>2.0295363692571702E-3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36.615309658463225</v>
      </c>
      <c r="W60" s="400">
        <f t="shared" si="9"/>
        <v>19.065833996723221</v>
      </c>
      <c r="X60" s="157">
        <f t="shared" si="10"/>
        <v>44972</v>
      </c>
      <c r="Y60" s="383">
        <f t="shared" si="11"/>
        <v>17.939091744201967</v>
      </c>
      <c r="Z60" s="383">
        <f t="shared" si="21"/>
        <v>18.459094513540897</v>
      </c>
      <c r="AA60" s="384">
        <f t="shared" si="12"/>
        <v>20.243671225305917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8.8154796227582571E-2</v>
      </c>
      <c r="AD60" s="230">
        <f>(INDEX(Models!$BJ60:$BT60,,AH60)*(1-AF60)+INDEX(Models!$BJ60:$BT60,,AH60+1)*AF60-ERP_i)*AE60*Ramure*Pc/MaxiM</f>
        <v>2.0295363692571702E-3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'2022'!Wh/'2022'!Env_an*'2023'!Env_an</f>
        <v>9.3779744297851515</v>
      </c>
      <c r="C61" s="829"/>
      <c r="D61" s="391">
        <f t="shared" si="0"/>
        <v>9.6499999258544573</v>
      </c>
      <c r="E61" s="383">
        <f t="shared" si="1"/>
        <v>9.9581654125941679</v>
      </c>
      <c r="F61" s="383">
        <f t="shared" si="2"/>
        <v>9.9581654125941679</v>
      </c>
      <c r="G61" s="110">
        <f t="shared" si="19"/>
        <v>0.25318103091678901</v>
      </c>
      <c r="H61" s="412" t="b">
        <f>Wh_hp&gt;='2022'!Maxi_hp</f>
        <v>0</v>
      </c>
      <c r="I61" s="379">
        <f>IF(H61,Wh_hp,'2022'!Maxi_hp)</f>
        <v>33.411514000889703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2.8189170793720963E-2</v>
      </c>
      <c r="M61" s="832"/>
      <c r="N61" s="832"/>
      <c r="O61" s="48">
        <f>IF(t&lt;Tnet,'2022'!Resal+('2022'!Salim-'2022'!Resal)*(1-EXP(('2022'!Tnet-t)/('2022'!Tau_j))),Resal+(Salim-Resal)*(1-EXP((Tnet-t)/(Tau_j))))*Salcycl</f>
        <v>3.0946010030117637E-2</v>
      </c>
      <c r="P61" s="338">
        <f>(INDEX(Models!$BJ61:$BT61,,T61)*(1-R61)+INDEX(Models!$BJ61:$BT61,,T61+1)*R61-ERP_i)*Q61*Ramure*Pc/MaxiM</f>
        <v>1.9681224949573339E-3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36.967688272147349</v>
      </c>
      <c r="W61" s="400">
        <f t="shared" si="9"/>
        <v>9.3779744297851515</v>
      </c>
      <c r="X61" s="157">
        <f t="shared" si="10"/>
        <v>44973</v>
      </c>
      <c r="Y61" s="383">
        <f t="shared" si="11"/>
        <v>8.8242208323730864</v>
      </c>
      <c r="Z61" s="383">
        <f t="shared" si="21"/>
        <v>9.0801836809950132</v>
      </c>
      <c r="AA61" s="384">
        <f t="shared" si="12"/>
        <v>9.9581654125941679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8.8167016234613288E-2</v>
      </c>
      <c r="AD61" s="230">
        <f>(INDEX(Models!$BJ61:$BT61,,AH61)*(1-AF61)+INDEX(Models!$BJ61:$BT61,,AH61+1)*AF61-ERP_i)*AE61*Ramure*Pc/MaxiM</f>
        <v>1.9681224949573339E-3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'2022'!Wh/'2022'!Env_an*'2023'!Env_an</f>
        <v>11.683853519010068</v>
      </c>
      <c r="C62" s="829"/>
      <c r="D62" s="391">
        <f t="shared" si="0"/>
        <v>12.022995721535203</v>
      </c>
      <c r="E62" s="383">
        <f t="shared" si="1"/>
        <v>12.407754625068373</v>
      </c>
      <c r="F62" s="383">
        <f t="shared" si="2"/>
        <v>12.408196126006834</v>
      </c>
      <c r="G62" s="110">
        <f t="shared" si="19"/>
        <v>0.31248332566880921</v>
      </c>
      <c r="H62" s="412" t="b">
        <f>Wh_hp&gt;='2022'!Maxi_hp</f>
        <v>0</v>
      </c>
      <c r="I62" s="379">
        <f>IF(H62,Wh_hp,'2022'!Maxi_hp)</f>
        <v>36.826584894030596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2.8207795326557039E-2</v>
      </c>
      <c r="M62" s="832"/>
      <c r="N62" s="832"/>
      <c r="O62" s="48">
        <f>IF(t&lt;Tnet,'2022'!Resal+('2022'!Salim-'2022'!Resal)*(1-EXP(('2022'!Tnet-t)/('2022'!Tau_j))),Resal+(Salim-Resal)*(1-EXP((Tnet-t)/(Tau_j))))*Salcycl</f>
        <v>3.1009551297525723E-2</v>
      </c>
      <c r="P62" s="338">
        <f>(INDEX(Models!$BJ62:$BT62,,T62)*(1-R62)+INDEX(Models!$BJ62:$BT62,,T62+1)*R62-ERP_i)*Q62*Ramure*Pc/MaxiM</f>
        <v>1.9058260295485507E-3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37.320394783193336</v>
      </c>
      <c r="W62" s="400">
        <f t="shared" si="9"/>
        <v>11.683853519010068</v>
      </c>
      <c r="X62" s="157">
        <f t="shared" si="10"/>
        <v>44974</v>
      </c>
      <c r="Y62" s="383">
        <f t="shared" si="11"/>
        <v>10.994515308348678</v>
      </c>
      <c r="Z62" s="383">
        <f t="shared" si="21"/>
        <v>11.313648386429719</v>
      </c>
      <c r="AA62" s="384">
        <f t="shared" si="12"/>
        <v>12.407754625068373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8.817922917561119E-2</v>
      </c>
      <c r="AD62" s="230">
        <f>(INDEX(Models!$BJ62:$BT62,,AH62)*(1-AF62)+INDEX(Models!$BJ62:$BT62,,AH62+1)*AF62-ERP_i)*AE62*Ramure*Pc/MaxiM</f>
        <v>1.9058260295485507E-3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'2022'!Wh/'2022'!Env_an*'2023'!Env_an</f>
        <v>30.163111459286004</v>
      </c>
      <c r="C63" s="829"/>
      <c r="D63" s="391">
        <f t="shared" si="0"/>
        <v>31.039238012462416</v>
      </c>
      <c r="E63" s="383">
        <f t="shared" si="1"/>
        <v>32.034651875089359</v>
      </c>
      <c r="F63" s="383">
        <f t="shared" si="2"/>
        <v>32.076926196459603</v>
      </c>
      <c r="G63" s="110">
        <f t="shared" si="19"/>
        <v>0.80022830548071722</v>
      </c>
      <c r="H63" s="412" t="b">
        <f>Wh_hp&gt;='2022'!Maxi_hp</f>
        <v>0</v>
      </c>
      <c r="I63" s="379">
        <f>IF(H63,Wh_hp,'2022'!Maxi_hp)</f>
        <v>32.083253619797951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2.8226419502458189E-2</v>
      </c>
      <c r="M63" s="832"/>
      <c r="N63" s="832"/>
      <c r="O63" s="48">
        <f>IF(t&lt;Tnet,'2022'!Resal+('2022'!Salim-'2022'!Resal)*(1-EXP(('2022'!Tnet-t)/('2022'!Tau_j))),Resal+(Salim-Resal)*(1-EXP((Tnet-t)/(Tau_j))))*Salcycl</f>
        <v>3.1073035115483483E-2</v>
      </c>
      <c r="P63" s="338">
        <f>(INDEX(Models!$BJ63:$BT63,,T63)*(1-R63)+INDEX(Models!$BJ63:$BT63,,T63+1)*R63-ERP_i)*Q63*Ramure*Pc/MaxiM</f>
        <v>1.8426742731775696E-3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37.673326064133214</v>
      </c>
      <c r="W63" s="400">
        <f t="shared" si="9"/>
        <v>30.163111459286004</v>
      </c>
      <c r="X63" s="157">
        <f t="shared" si="10"/>
        <v>44975</v>
      </c>
      <c r="Y63" s="383">
        <f t="shared" si="11"/>
        <v>28.384991446129593</v>
      </c>
      <c r="Z63" s="383">
        <f t="shared" si="21"/>
        <v>29.209470205597338</v>
      </c>
      <c r="AA63" s="384">
        <f t="shared" si="12"/>
        <v>32.034651875089359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8.8191427224121863E-2</v>
      </c>
      <c r="AD63" s="230">
        <f>(INDEX(Models!$BJ63:$BT63,,AH63)*(1-AF63)+INDEX(Models!$BJ63:$BT63,,AH63+1)*AF63-ERP_i)*AE63*Ramure*Pc/MaxiM</f>
        <v>1.8426742731775696E-3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'2022'!Wh/'2022'!Env_an*'2023'!Env_an</f>
        <v>20.466396467874869</v>
      </c>
      <c r="C64" s="829"/>
      <c r="D64" s="391">
        <f t="shared" si="0"/>
        <v>21.061273037215511</v>
      </c>
      <c r="E64" s="383">
        <f t="shared" si="1"/>
        <v>21.738121156318375</v>
      </c>
      <c r="F64" s="383">
        <f t="shared" si="2"/>
        <v>21.751287295599273</v>
      </c>
      <c r="G64" s="110">
        <f t="shared" si="19"/>
        <v>0.53758384070699072</v>
      </c>
      <c r="H64" s="412" t="b">
        <f>Wh_hp&gt;='2022'!Maxi_hp</f>
        <v>0</v>
      </c>
      <c r="I64" s="379">
        <f>IF(H64,Wh_hp,'2022'!Maxi_hp)</f>
        <v>39.436937045771522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2.8245043321431185E-2</v>
      </c>
      <c r="M64" s="832"/>
      <c r="N64" s="832"/>
      <c r="O64" s="48">
        <f>IF(t&lt;Tnet,'2022'!Resal+('2022'!Salim-'2022'!Resal)*(1-EXP(('2022'!Tnet-t)/('2022'!Tau_j))),Resal+(Salim-Resal)*(1-EXP((Tnet-t)/(Tau_j))))*Salcycl</f>
        <v>3.1136459045179837E-2</v>
      </c>
      <c r="P64" s="338">
        <f>(INDEX(Models!$BJ64:$BT64,,T64)*(1-R64)+INDEX(Models!$BJ64:$BT64,,T64+1)*R64-ERP_i)*Q64*Ramure*Pc/MaxiM</f>
        <v>1.7786931412671321E-3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38.026379004614824</v>
      </c>
      <c r="W64" s="400">
        <f t="shared" si="9"/>
        <v>20.466396467874869</v>
      </c>
      <c r="X64" s="157">
        <f t="shared" si="10"/>
        <v>44976</v>
      </c>
      <c r="Y64" s="383">
        <f t="shared" si="11"/>
        <v>19.260902864638556</v>
      </c>
      <c r="Z64" s="383">
        <f t="shared" si="21"/>
        <v>19.820740539849449</v>
      </c>
      <c r="AA64" s="384">
        <f t="shared" si="12"/>
        <v>21.738121156318375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8.8203603369448685E-2</v>
      </c>
      <c r="AD64" s="230">
        <f>(INDEX(Models!$BJ64:$BT64,,AH64)*(1-AF64)+INDEX(Models!$BJ64:$BT64,,AH64+1)*AF64-ERP_i)*AE64*Ramure*Pc/MaxiM</f>
        <v>1.7786931412671321E-3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'2022'!Wh/'2022'!Env_an*'2023'!Env_an</f>
        <v>20.342558843565712</v>
      </c>
      <c r="C65" s="829"/>
      <c r="D65" s="391">
        <f t="shared" si="0"/>
        <v>20.934237146644897</v>
      </c>
      <c r="E65" s="383">
        <f t="shared" si="1"/>
        <v>21.608415852528033</v>
      </c>
      <c r="F65" s="383">
        <f t="shared" si="2"/>
        <v>21.62059302303803</v>
      </c>
      <c r="G65" s="110">
        <f t="shared" si="19"/>
        <v>0.52942397406446196</v>
      </c>
      <c r="H65" s="412" t="b">
        <f>Wh_hp&gt;='2022'!Maxi_hp</f>
        <v>0</v>
      </c>
      <c r="I65" s="379">
        <f>IF(H65,Wh_hp,'2022'!Maxi_hp)</f>
        <v>41.467946828147284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2.8263666783483021E-2</v>
      </c>
      <c r="M65" s="832"/>
      <c r="N65" s="832"/>
      <c r="O65" s="48">
        <f>IF(t&lt;Tnet,'2022'!Resal+('2022'!Salim-'2022'!Resal)*(1-EXP(('2022'!Tnet-t)/('2022'!Tau_j))),Resal+(Salim-Resal)*(1-EXP((Tnet-t)/(Tau_j))))*Salcycl</f>
        <v>3.1199820962546875E-2</v>
      </c>
      <c r="P65" s="338">
        <f>(INDEX(Models!$BJ65:$BT65,,T65)*(1-R65)+INDEX(Models!$BJ65:$BT65,,T65+1)*R65-ERP_i)*Q65*Ramure*Pc/MaxiM</f>
        <v>1.7138956977402397E-3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38.379708850889308</v>
      </c>
      <c r="W65" s="400">
        <f t="shared" si="9"/>
        <v>20.342558843565712</v>
      </c>
      <c r="X65" s="157">
        <f t="shared" si="10"/>
        <v>44977</v>
      </c>
      <c r="Y65" s="383">
        <f t="shared" si="11"/>
        <v>19.145356419401541</v>
      </c>
      <c r="Z65" s="383">
        <f t="shared" si="21"/>
        <v>19.702213208421504</v>
      </c>
      <c r="AA65" s="384">
        <f t="shared" si="12"/>
        <v>21.608415852528033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8.8215751544022475E-2</v>
      </c>
      <c r="AD65" s="230">
        <f>(INDEX(Models!$BJ65:$BT65,,AH65)*(1-AF65)+INDEX(Models!$BJ65:$BT65,,AH65+1)*AF65-ERP_i)*AE65*Ramure*Pc/MaxiM</f>
        <v>1.7138956977402397E-3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'2022'!Wh/'2022'!Env_an*'2023'!Env_an</f>
        <v>22.522497745960557</v>
      </c>
      <c r="C66" s="829"/>
      <c r="D66" s="391">
        <f t="shared" si="0"/>
        <v>23.178025378768695</v>
      </c>
      <c r="E66" s="383">
        <f t="shared" si="1"/>
        <v>23.926027630270472</v>
      </c>
      <c r="F66" s="383">
        <f t="shared" si="2"/>
        <v>23.941898800549787</v>
      </c>
      <c r="G66" s="110">
        <f t="shared" si="19"/>
        <v>0.58089939086690723</v>
      </c>
      <c r="H66" s="412" t="b">
        <f>Wh_hp&gt;='2022'!Maxi_hp</f>
        <v>0</v>
      </c>
      <c r="I66" s="379">
        <f>IF(H66,Wh_hp,'2022'!Maxi_hp)</f>
        <v>23.950887388071926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2.8282289888620471E-2</v>
      </c>
      <c r="M66" s="832"/>
      <c r="N66" s="832"/>
      <c r="O66" s="48">
        <f>IF(t&lt;Tnet,'2022'!Resal+('2022'!Salim-'2022'!Resal)*(1-EXP(('2022'!Tnet-t)/('2022'!Tau_j))),Resal+(Salim-Resal)*(1-EXP((Tnet-t)/(Tau_j))))*Salcycl</f>
        <v>3.1263119104461286E-2</v>
      </c>
      <c r="P66" s="338">
        <f>(INDEX(Models!$BJ66:$BT66,,T66)*(1-R66)+INDEX(Models!$BJ66:$BT66,,T66+1)*R66-ERP_i)*Q66*Ramure*Pc/MaxiM</f>
        <v>1.6485866675603838E-3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38.733528263601933</v>
      </c>
      <c r="W66" s="400">
        <f t="shared" si="9"/>
        <v>22.522497745960557</v>
      </c>
      <c r="X66" s="157">
        <f t="shared" si="10"/>
        <v>44978</v>
      </c>
      <c r="Y66" s="383">
        <f t="shared" si="11"/>
        <v>21.198104687712203</v>
      </c>
      <c r="Z66" s="383">
        <f t="shared" si="21"/>
        <v>21.815085252776189</v>
      </c>
      <c r="AA66" s="384">
        <f t="shared" si="12"/>
        <v>23.926027630270472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8.8227866744732153E-2</v>
      </c>
      <c r="AD66" s="230">
        <f>(INDEX(Models!$BJ66:$BT66,,AH66)*(1-AF66)+INDEX(Models!$BJ66:$BT66,,AH66+1)*AF66-ERP_i)*AE66*Ramure*Pc/MaxiM</f>
        <v>1.6485866675603838E-3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'2022'!Wh/'2022'!Env_an*'2023'!Env_an</f>
        <v>34.417580508299935</v>
      </c>
      <c r="C67" s="829"/>
      <c r="D67" s="391">
        <f t="shared" si="0"/>
        <v>35.419998799934213</v>
      </c>
      <c r="E67" s="383">
        <f t="shared" si="1"/>
        <v>36.565461316298332</v>
      </c>
      <c r="F67" s="383">
        <f t="shared" si="2"/>
        <v>36.613556935016724</v>
      </c>
      <c r="G67" s="110">
        <f t="shared" si="19"/>
        <v>0.88028159651513305</v>
      </c>
      <c r="H67" s="412" t="b">
        <f>Wh_hp&gt;='2022'!Maxi_hp</f>
        <v>0</v>
      </c>
      <c r="I67" s="379">
        <f>IF(H67,Wh_hp,'2022'!Maxi_hp)</f>
        <v>39.949310572645629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2.8300912636850306E-2</v>
      </c>
      <c r="M67" s="832"/>
      <c r="N67" s="832"/>
      <c r="O67" s="48">
        <f>IF(t&lt;Tnet,'2022'!Resal+('2022'!Salim-'2022'!Resal)*(1-EXP(('2022'!Tnet-t)/('2022'!Tau_j))),Resal+(Salim-Resal)*(1-EXP((Tnet-t)/(Tau_j))))*Salcycl</f>
        <v>3.1326352112876335E-2</v>
      </c>
      <c r="P67" s="338">
        <f>(INDEX(Models!$BJ67:$BT67,,T67)*(1-R67)+INDEX(Models!$BJ67:$BT67,,T67+1)*R67-ERP_i)*Q67*Ramure*Pc/MaxiM</f>
        <v>1.5839609574822861E-3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39.087791091516259</v>
      </c>
      <c r="W67" s="400">
        <f t="shared" si="9"/>
        <v>34.417580508299935</v>
      </c>
      <c r="X67" s="157">
        <f t="shared" si="10"/>
        <v>44979</v>
      </c>
      <c r="Y67" s="383">
        <f t="shared" si="11"/>
        <v>32.395404954599087</v>
      </c>
      <c r="Z67" s="383">
        <f t="shared" si="21"/>
        <v>33.33892701547024</v>
      </c>
      <c r="AA67" s="384">
        <f t="shared" si="12"/>
        <v>36.565461316298332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8.8239945147086926E-2</v>
      </c>
      <c r="AD67" s="230">
        <f>(INDEX(Models!$BJ67:$BT67,,AH67)*(1-AF67)+INDEX(Models!$BJ67:$BT67,,AH67+1)*AF67-ERP_i)*AE67*Ramure*Pc/MaxiM</f>
        <v>1.5839609574822861E-3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'2022'!Wh/'2022'!Env_an*'2023'!Env_an</f>
        <v>36.166291264456063</v>
      </c>
      <c r="C68" s="829"/>
      <c r="D68" s="391">
        <f t="shared" si="0"/>
        <v>37.220354394492134</v>
      </c>
      <c r="E68" s="383">
        <f t="shared" si="1"/>
        <v>38.426545167056759</v>
      </c>
      <c r="F68" s="383">
        <f t="shared" si="2"/>
        <v>38.478091485116849</v>
      </c>
      <c r="G68" s="110">
        <f t="shared" si="19"/>
        <v>0.91677154045955433</v>
      </c>
      <c r="H68" s="412" t="b">
        <f>Wh_hp&gt;='2022'!Maxi_hp</f>
        <v>0</v>
      </c>
      <c r="I68" s="379">
        <f>IF(H68,Wh_hp,'2022'!Maxi_hp)</f>
        <v>41.571938803017574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2.831953502817941E-2</v>
      </c>
      <c r="M68" s="832"/>
      <c r="N68" s="832"/>
      <c r="O68" s="48">
        <f>IF(t&lt;Tnet,'2022'!Resal+('2022'!Salim-'2022'!Resal)*(1-EXP(('2022'!Tnet-t)/('2022'!Tau_j))),Resal+(Salim-Resal)*(1-EXP((Tnet-t)/(Tau_j))))*Salcycl</f>
        <v>3.1389519076481964E-2</v>
      </c>
      <c r="P68" s="338">
        <f>(INDEX(Models!$BJ68:$BT68,,T68)*(1-R68)+INDEX(Models!$BJ68:$BT68,,T68+1)*R68-ERP_i)*Q68*Ramure*Pc/MaxiM</f>
        <v>1.5199918071994768E-3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39.442497741650421</v>
      </c>
      <c r="W68" s="400">
        <f t="shared" si="9"/>
        <v>36.166291264456063</v>
      </c>
      <c r="X68" s="157">
        <f t="shared" si="10"/>
        <v>44980</v>
      </c>
      <c r="Y68" s="383">
        <f t="shared" si="11"/>
        <v>34.043142159032712</v>
      </c>
      <c r="Z68" s="383">
        <f t="shared" si="21"/>
        <v>35.035326309683491</v>
      </c>
      <c r="AA68" s="384">
        <f t="shared" si="12"/>
        <v>38.426545167056759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8.8251984211179441E-2</v>
      </c>
      <c r="AD68" s="230">
        <f>(INDEX(Models!$BJ68:$BT68,,AH68)*(1-AF68)+INDEX(Models!$BJ68:$BT68,,AH68+1)*AF68-ERP_i)*AE68*Ramure*Pc/MaxiM</f>
        <v>1.5199918071994768E-3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'2022'!Wh/'2022'!Env_an*'2023'!Env_an</f>
        <v>22.512806404943206</v>
      </c>
      <c r="C69" s="829"/>
      <c r="D69" s="391">
        <f t="shared" si="0"/>
        <v>23.169384049172699</v>
      </c>
      <c r="E69" s="383">
        <f t="shared" si="1"/>
        <v>23.921786912350079</v>
      </c>
      <c r="F69" s="383">
        <f t="shared" si="2"/>
        <v>23.935019855041464</v>
      </c>
      <c r="G69" s="110">
        <f t="shared" si="19"/>
        <v>0.56517028590140683</v>
      </c>
      <c r="H69" s="412" t="b">
        <f>Wh_hp&gt;='2022'!Maxi_hp</f>
        <v>0</v>
      </c>
      <c r="I69" s="379">
        <f>IF(H69,Wh_hp,'2022'!Maxi_hp)</f>
        <v>41.52507944394246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2.8338157062614666E-2</v>
      </c>
      <c r="M69" s="832"/>
      <c r="N69" s="832"/>
      <c r="O69" s="48">
        <f>IF(t&lt;Tnet,'2022'!Resal+('2022'!Salim-'2022'!Resal)*(1-EXP(('2022'!Tnet-t)/('2022'!Tau_j))),Resal+(Salim-Resal)*(1-EXP((Tnet-t)/(Tau_j))))*Salcycl</f>
        <v>3.1452619569524623E-2</v>
      </c>
      <c r="P69" s="338">
        <f>(INDEX(Models!$BJ69:$BT69,,T69)*(1-R69)+INDEX(Models!$BJ69:$BT69,,T69+1)*R69-ERP_i)*Q69*Ramure*Pc/MaxiM</f>
        <v>1.4566621285743353E-3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39.797648252865827</v>
      </c>
      <c r="W69" s="400">
        <f t="shared" si="9"/>
        <v>22.512806404943206</v>
      </c>
      <c r="X69" s="157">
        <f t="shared" si="10"/>
        <v>44981</v>
      </c>
      <c r="Y69" s="383">
        <f t="shared" si="11"/>
        <v>21.192289466518641</v>
      </c>
      <c r="Z69" s="383">
        <f t="shared" si="21"/>
        <v>21.810354724286821</v>
      </c>
      <c r="AA69" s="384">
        <f t="shared" si="12"/>
        <v>23.921786912350079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8.8263982778526914E-2</v>
      </c>
      <c r="AD69" s="230">
        <f>(INDEX(Models!$BJ69:$BT69,,AH69)*(1-AF69)+INDEX(Models!$BJ69:$BT69,,AH69+1)*AF69-ERP_i)*AE69*Ramure*Pc/MaxiM</f>
        <v>1.4566621285743353E-3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'2022'!Wh/'2022'!Env_an*'2023'!Env_an</f>
        <v>32.238623377800245</v>
      </c>
      <c r="C70" s="829"/>
      <c r="D70" s="391">
        <f t="shared" si="0"/>
        <v>33.179486742056916</v>
      </c>
      <c r="E70" s="383">
        <f t="shared" si="1"/>
        <v>34.259187428672526</v>
      </c>
      <c r="F70" s="383">
        <f t="shared" si="2"/>
        <v>34.293530244377422</v>
      </c>
      <c r="G70" s="110">
        <f t="shared" si="19"/>
        <v>0.8025741963448616</v>
      </c>
      <c r="H70" s="412" t="b">
        <f>Wh_hp&gt;='2022'!Maxi_hp</f>
        <v>0</v>
      </c>
      <c r="I70" s="379">
        <f>IF(H70,Wh_hp,'2022'!Maxi_hp)</f>
        <v>36.519009293012743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2.8356778740162847E-2</v>
      </c>
      <c r="M70" s="832"/>
      <c r="N70" s="832"/>
      <c r="O70" s="48">
        <f>IF(t&lt;Tnet,'2022'!Resal+('2022'!Salim-'2022'!Resal)*(1-EXP(('2022'!Tnet-t)/('2022'!Tau_j))),Resal+(Salim-Resal)*(1-EXP((Tnet-t)/(Tau_j))))*Salcycl</f>
        <v>3.1515653687453682E-2</v>
      </c>
      <c r="P70" s="338">
        <f>(INDEX(Models!$BJ70:$BT70,,T70)*(1-R70)+INDEX(Models!$BJ70:$BT70,,T70+1)*R70-ERP_i)*Q70*Ramure*Pc/MaxiM</f>
        <v>1.3939559095006715E-3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40.153242622848786</v>
      </c>
      <c r="W70" s="400">
        <f t="shared" si="9"/>
        <v>32.238623377800245</v>
      </c>
      <c r="X70" s="157">
        <f t="shared" si="10"/>
        <v>44982</v>
      </c>
      <c r="Y70" s="383">
        <f t="shared" si="11"/>
        <v>30.349203546104011</v>
      </c>
      <c r="Z70" s="383">
        <f t="shared" si="21"/>
        <v>31.234925415064485</v>
      </c>
      <c r="AA70" s="384">
        <f t="shared" si="12"/>
        <v>34.259187428672526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8.8275941158982282E-2</v>
      </c>
      <c r="AD70" s="230">
        <f>(INDEX(Models!$BJ70:$BT70,,AH70)*(1-AF70)+INDEX(Models!$BJ70:$BT70,,AH70+1)*AF70-ERP_i)*AE70*Ramure*Pc/MaxiM</f>
        <v>1.3939559095006715E-3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'2022'!Wh/'2022'!Env_an*'2023'!Env_an</f>
        <v>40.858860728606452</v>
      </c>
      <c r="C71" s="829"/>
      <c r="D71" s="391">
        <f t="shared" si="0"/>
        <v>42.052106061502059</v>
      </c>
      <c r="E71" s="383">
        <f t="shared" si="1"/>
        <v>43.423355803837772</v>
      </c>
      <c r="F71" s="383">
        <f t="shared" si="2"/>
        <v>43.481266681339839</v>
      </c>
      <c r="G71" s="110">
        <f t="shared" si="19"/>
        <v>1.0086296254599769</v>
      </c>
      <c r="H71" s="412" t="b">
        <f>Wh_hp&gt;='2022'!Maxi_hp</f>
        <v>1</v>
      </c>
      <c r="I71" s="379">
        <f>IF(H71,Wh_hp,'2022'!Maxi_hp)</f>
        <v>43.481266681339839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2.8375400060830835E-2</v>
      </c>
      <c r="M71" s="832"/>
      <c r="N71" s="832"/>
      <c r="O71" s="48">
        <f>IF(t&lt;Tnet,'2022'!Resal+('2022'!Salim-'2022'!Resal)*(1-EXP(('2022'!Tnet-t)/('2022'!Tau_j))),Resal+(Salim-Resal)*(1-EXP((Tnet-t)/(Tau_j))))*Salcycl</f>
        <v>3.1578622079100685E-2</v>
      </c>
      <c r="P71" s="338">
        <f>(INDEX(Models!$BJ71:$BT71,,T71)*(1-R71)+INDEX(Models!$BJ71:$BT71,,T71+1)*R71-ERP_i)*Q71*Ramure*Pc/MaxiM</f>
        <v>1.3318581063076042E-3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40.50928080758397</v>
      </c>
      <c r="W71" s="400">
        <f t="shared" si="9"/>
        <v>40.858860728606452</v>
      </c>
      <c r="X71" s="157">
        <f t="shared" si="10"/>
        <v>44983</v>
      </c>
      <c r="Y71" s="383">
        <f t="shared" si="11"/>
        <v>38.466229838396544</v>
      </c>
      <c r="Z71" s="383">
        <f t="shared" si="21"/>
        <v>39.589600593485194</v>
      </c>
      <c r="AA71" s="384">
        <f t="shared" si="12"/>
        <v>43.423355803837772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8.8287861207026974E-2</v>
      </c>
      <c r="AD71" s="230">
        <f>(INDEX(Models!$BJ71:$BT71,,AH71)*(1-AF71)+INDEX(Models!$BJ71:$BT71,,AH71+1)*AF71-ERP_i)*AE71*Ramure*Pc/MaxiM</f>
        <v>1.3318581063076042E-3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'2022'!Wh/'2022'!Env_an*'2023'!Env_an</f>
        <v>29.206468859705822</v>
      </c>
      <c r="C72" s="829"/>
      <c r="D72" s="391">
        <f t="shared" si="0"/>
        <v>30.0599929309884</v>
      </c>
      <c r="E72" s="383">
        <f t="shared" si="1"/>
        <v>31.042216015364431</v>
      </c>
      <c r="F72" s="383">
        <f t="shared" si="2"/>
        <v>31.065615350126063</v>
      </c>
      <c r="G72" s="110">
        <f t="shared" si="19"/>
        <v>0.71432299173517799</v>
      </c>
      <c r="H72" s="412" t="b">
        <f>Wh_hp&gt;='2022'!Maxi_hp</f>
        <v>0</v>
      </c>
      <c r="I72" s="379">
        <f>IF(H72,Wh_hp,'2022'!Maxi_hp)</f>
        <v>42.979805880549684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2.8394021024625515E-2</v>
      </c>
      <c r="M72" s="832"/>
      <c r="N72" s="832"/>
      <c r="O72" s="48">
        <f>IF(t&lt;Tnet,'2022'!Resal+('2022'!Salim-'2022'!Resal)*(1-EXP(('2022'!Tnet-t)/('2022'!Tau_j))),Resal+(Salim-Resal)*(1-EXP((Tnet-t)/(Tau_j))))*Salcycl</f>
        <v>3.1641525975139063E-2</v>
      </c>
      <c r="P72" s="338">
        <f>(INDEX(Models!$BJ72:$BT72,,T72)*(1-R72)+INDEX(Models!$BJ72:$BT72,,T72+1)*R72-ERP_i)*Q72*Ramure*Pc/MaxiM</f>
        <v>1.2714351734009076E-3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40.865718505295128</v>
      </c>
      <c r="W72" s="400">
        <f t="shared" si="9"/>
        <v>29.206468859705822</v>
      </c>
      <c r="X72" s="157">
        <f t="shared" si="10"/>
        <v>44984</v>
      </c>
      <c r="Y72" s="383">
        <f t="shared" si="11"/>
        <v>27.497611453600815</v>
      </c>
      <c r="Z72" s="383">
        <f t="shared" si="21"/>
        <v>28.301196213920939</v>
      </c>
      <c r="AA72" s="384">
        <f t="shared" si="12"/>
        <v>31.042216015364431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8.8299746386882233E-2</v>
      </c>
      <c r="AD72" s="230">
        <f>(INDEX(Models!$BJ72:$BT72,,AH72)*(1-AF72)+INDEX(Models!$BJ72:$BT72,,AH72+1)*AF72-ERP_i)*AE72*Ramure*Pc/MaxiM</f>
        <v>1.2714351734009076E-3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'2022'!Wh/'2022'!Env_an*'2023'!Env_an</f>
        <v>35.259439694023484</v>
      </c>
      <c r="C73" s="829"/>
      <c r="D73" s="391">
        <f t="shared" si="0"/>
        <v>36.290550088294133</v>
      </c>
      <c r="E73" s="383">
        <f t="shared" si="1"/>
        <v>37.478791455277225</v>
      </c>
      <c r="F73" s="383">
        <f t="shared" si="2"/>
        <v>37.514903824397905</v>
      </c>
      <c r="G73" s="110">
        <f t="shared" si="19"/>
        <v>0.85512930263389109</v>
      </c>
      <c r="H73" s="412" t="b">
        <f>Wh_hp&gt;='2022'!Maxi_hp</f>
        <v>0</v>
      </c>
      <c r="I73" s="379">
        <f>IF(H73,Wh_hp,'2022'!Maxi_hp)</f>
        <v>37.518611340462861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2.8412641631553659E-2</v>
      </c>
      <c r="M73" s="832"/>
      <c r="N73" s="832"/>
      <c r="O73" s="48">
        <f>IF(t&lt;Tnet,'2022'!Resal+('2022'!Salim-'2022'!Resal)*(1-EXP(('2022'!Tnet-t)/('2022'!Tau_j))),Resal+(Salim-Resal)*(1-EXP((Tnet-t)/(Tau_j))))*Salcycl</f>
        <v>3.1704367212614035E-2</v>
      </c>
      <c r="P73" s="338">
        <f>(INDEX(Models!$BJ73:$BT73,,T73)*(1-R73)+INDEX(Models!$BJ73:$BT73,,T73+1)*R73-ERP_i)*Q73*Ramure*Pc/MaxiM</f>
        <v>1.2133556458868381E-3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41.222526294521323</v>
      </c>
      <c r="W73" s="400">
        <f t="shared" si="9"/>
        <v>35.259439694023484</v>
      </c>
      <c r="X73" s="157">
        <f t="shared" si="10"/>
        <v>44985</v>
      </c>
      <c r="Y73" s="383">
        <f t="shared" si="11"/>
        <v>33.198148382246551</v>
      </c>
      <c r="Z73" s="383">
        <f t="shared" si="21"/>
        <v>34.16897934735902</v>
      </c>
      <c r="AA73" s="384">
        <f t="shared" si="12"/>
        <v>37.478791455277225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8.8311601826001965E-2</v>
      </c>
      <c r="AD73" s="230">
        <f>(INDEX(Models!$BJ73:$BT73,,AH73)*(1-AF73)+INDEX(Models!$BJ73:$BT73,,AH73+1)*AF73-ERP_i)*AE73*Ramure*Pc/MaxiM</f>
        <v>1.2133556458868381E-3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'2022'!Wh/'2022'!Env_an*'2023'!Env_an</f>
        <v>40.909146343591132</v>
      </c>
      <c r="C74" s="829"/>
      <c r="D74" s="391">
        <f t="shared" si="0"/>
        <v>42.106281046896626</v>
      </c>
      <c r="E74" s="383">
        <f t="shared" si="1"/>
        <v>43.487763269989124</v>
      </c>
      <c r="F74" s="383">
        <f t="shared" si="2"/>
        <v>43.536999027751847</v>
      </c>
      <c r="G74" s="110">
        <f t="shared" si="19"/>
        <v>0.98384669054506402</v>
      </c>
      <c r="H74" s="412" t="b">
        <f>Wh_hp&gt;='2022'!Maxi_hp</f>
        <v>0</v>
      </c>
      <c r="I74" s="379">
        <f>IF(H74,Wh_hp,'2022'!Maxi_hp)</f>
        <v>43.537458266027507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2.8431261881622039E-2</v>
      </c>
      <c r="M74" s="832"/>
      <c r="N74" s="832"/>
      <c r="O74" s="48">
        <f>IF(t&lt;Tnet,'2022'!Resal+('2022'!Salim-'2022'!Resal)*(1-EXP(('2022'!Tnet-t)/('2022'!Tau_j))),Resal+(Salim-Resal)*(1-EXP((Tnet-t)/(Tau_j))))*Salcycl</f>
        <v>3.1767148255377256E-2</v>
      </c>
      <c r="P74" s="338">
        <f>(INDEX(Models!$BJ74:$BT74,,T74)*(1-R74)+INDEX(Models!$BJ74:$BT74,,T74+1)*R74-ERP_i)*Q74*Ramure*Pc/MaxiM</f>
        <v>1.1575632877633291E-3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41.579703940564698</v>
      </c>
      <c r="W74" s="400">
        <f t="shared" si="9"/>
        <v>40.909146343591132</v>
      </c>
      <c r="X74" s="157">
        <f t="shared" si="10"/>
        <v>44986</v>
      </c>
      <c r="Y74" s="383">
        <f t="shared" si="11"/>
        <v>38.519566832218828</v>
      </c>
      <c r="Z74" s="383">
        <f t="shared" si="21"/>
        <v>39.64677466549518</v>
      </c>
      <c r="AA74" s="384">
        <f t="shared" si="12"/>
        <v>43.487763269989124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8.8323434356639141E-2</v>
      </c>
      <c r="AD74" s="230">
        <f>(INDEX(Models!$BJ74:$BT74,,AH74)*(1-AF74)+INDEX(Models!$BJ74:$BT74,,AH74+1)*AF74-ERP_i)*AE74*Ramure*Pc/MaxiM</f>
        <v>1.1575632877633291E-3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'2022'!Wh/'2022'!Env_an*'2023'!Env_an</f>
        <v>11.919980047484199</v>
      </c>
      <c r="C75" s="829"/>
      <c r="D75" s="391">
        <f t="shared" si="0"/>
        <v>12.269032573697526</v>
      </c>
      <c r="E75" s="383">
        <f t="shared" si="1"/>
        <v>12.672393230833697</v>
      </c>
      <c r="F75" s="383">
        <f t="shared" si="2"/>
        <v>12.672393230833697</v>
      </c>
      <c r="G75" s="110">
        <f t="shared" si="19"/>
        <v>0.28391990442782727</v>
      </c>
      <c r="H75" s="412" t="b">
        <f>Wh_hp&gt;='2022'!Maxi_hp</f>
        <v>0</v>
      </c>
      <c r="I75" s="379">
        <f>IF(H75,Wh_hp,'2022'!Maxi_hp)</f>
        <v>30.966593074683484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2.8449881774837649E-2</v>
      </c>
      <c r="M75" s="832"/>
      <c r="N75" s="832"/>
      <c r="O75" s="48">
        <f>IF(t&lt;Tnet,'2022'!Resal+('2022'!Salim-'2022'!Resal)*(1-EXP(('2022'!Tnet-t)/('2022'!Tau_j))),Resal+(Salim-Resal)*(1-EXP((Tnet-t)/(Tau_j))))*Salcycl</f>
        <v>3.1829872210304928E-2</v>
      </c>
      <c r="P75" s="338">
        <f>(INDEX(Models!$BJ75:$BT75,,T75)*(1-R75)+INDEX(Models!$BJ75:$BT75,,T75+1)*R75-ERP_i)*Q75*Ramure*Pc/MaxiM</f>
        <v>1.1040037908815747E-3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41.937251170607063</v>
      </c>
      <c r="W75" s="400">
        <f t="shared" si="9"/>
        <v>11.919980047484199</v>
      </c>
      <c r="X75" s="157">
        <f t="shared" si="10"/>
        <v>44987</v>
      </c>
      <c r="Y75" s="383">
        <f t="shared" si="11"/>
        <v>11.224293425024172</v>
      </c>
      <c r="Z75" s="383">
        <f t="shared" si="21"/>
        <v>11.552974174434588</v>
      </c>
      <c r="AA75" s="384">
        <f t="shared" si="12"/>
        <v>12.672393230833697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8.8335252545304985E-2</v>
      </c>
      <c r="AD75" s="230">
        <f>(INDEX(Models!$BJ75:$BT75,,AH75)*(1-AF75)+INDEX(Models!$BJ75:$BT75,,AH75+1)*AF75-ERP_i)*AE75*Ramure*Pc/MaxiM</f>
        <v>1.1040037908815747E-3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'2022'!Wh/'2022'!Env_an*'2023'!Env_an</f>
        <v>36.575305066489342</v>
      </c>
      <c r="C76" s="829"/>
      <c r="D76" s="391">
        <f t="shared" si="0"/>
        <v>37.647060456457091</v>
      </c>
      <c r="E76" s="383">
        <f t="shared" si="1"/>
        <v>38.887274525151092</v>
      </c>
      <c r="F76" s="383">
        <f t="shared" si="2"/>
        <v>38.920328095853471</v>
      </c>
      <c r="G76" s="110">
        <f t="shared" si="19"/>
        <v>0.86458720271415612</v>
      </c>
      <c r="H76" s="412" t="b">
        <f>Wh_hp&gt;='2022'!Maxi_hp</f>
        <v>0</v>
      </c>
      <c r="I76" s="379">
        <f>IF(H76,Wh_hp,'2022'!Maxi_hp)</f>
        <v>38.923472241989082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2.8468501311207262E-2</v>
      </c>
      <c r="M76" s="832"/>
      <c r="N76" s="832"/>
      <c r="O76" s="48">
        <f>IF(t&lt;Tnet,'2022'!Resal+('2022'!Salim-'2022'!Resal)*(1-EXP(('2022'!Tnet-t)/('2022'!Tau_j))),Resal+(Salim-Resal)*(1-EXP((Tnet-t)/(Tau_j))))*Salcycl</f>
        <v>3.1892542839222958E-2</v>
      </c>
      <c r="P76" s="338">
        <f>(INDEX(Models!$BJ76:$BT76,,T76)*(1-R76)+INDEX(Models!$BJ76:$BT76,,T76+1)*R76-ERP_i)*Q76*Ramure*Pc/MaxiM</f>
        <v>1.0526246348212418E-3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42.295167674457986</v>
      </c>
      <c r="W76" s="400">
        <f t="shared" si="9"/>
        <v>36.575305066489342</v>
      </c>
      <c r="X76" s="157">
        <f t="shared" si="10"/>
        <v>44988</v>
      </c>
      <c r="Y76" s="383">
        <f t="shared" si="11"/>
        <v>34.442441180681477</v>
      </c>
      <c r="Z76" s="383">
        <f t="shared" si="21"/>
        <v>35.451697888504903</v>
      </c>
      <c r="AA76" s="384">
        <f t="shared" si="12"/>
        <v>38.887274525151092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8.8347066710066299E-2</v>
      </c>
      <c r="AD76" s="230">
        <f>(INDEX(Models!$BJ76:$BT76,,AH76)*(1-AF76)+INDEX(Models!$BJ76:$BT76,,AH76+1)*AF76-ERP_i)*AE76*Ramure*Pc/MaxiM</f>
        <v>1.0526246348212418E-3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'2022'!Wh/'2022'!Env_an*'2023'!Env_an</f>
        <v>3.9303046729634832</v>
      </c>
      <c r="C77" s="829"/>
      <c r="D77" s="391">
        <f t="shared" si="0"/>
        <v>4.0455507650591178</v>
      </c>
      <c r="E77" s="383">
        <f t="shared" si="1"/>
        <v>4.1790944148237843</v>
      </c>
      <c r="F77" s="383">
        <f t="shared" si="2"/>
        <v>4.1790944148237843</v>
      </c>
      <c r="G77" s="110">
        <f t="shared" si="19"/>
        <v>9.2052596396145464E-2</v>
      </c>
      <c r="H77" s="412" t="b">
        <f>Wh_hp&gt;='2022'!Maxi_hp</f>
        <v>0</v>
      </c>
      <c r="I77" s="379">
        <f>IF(H77,Wh_hp,'2022'!Maxi_hp)</f>
        <v>32.038386239307918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2.848712049073765E-2</v>
      </c>
      <c r="M77" s="832"/>
      <c r="N77" s="832"/>
      <c r="O77" s="48">
        <f>IF(t&lt;Tnet,'2022'!Resal+('2022'!Salim-'2022'!Resal)*(1-EXP(('2022'!Tnet-t)/('2022'!Tau_j))),Resal+(Salim-Resal)*(1-EXP((Tnet-t)/(Tau_j))))*Salcycl</f>
        <v>3.1955164566507481E-2</v>
      </c>
      <c r="P77" s="338">
        <f>(INDEX(Models!$BJ77:$BT77,,T77)*(1-R77)+INDEX(Models!$BJ77:$BT77,,T77+1)*R77-ERP_i)*Q77*Ramure*Pc/MaxiM</f>
        <v>1.0033749573360928E-3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42.653453106123798</v>
      </c>
      <c r="W77" s="400">
        <f t="shared" si="9"/>
        <v>3.9303046729634832</v>
      </c>
      <c r="X77" s="157">
        <f t="shared" si="10"/>
        <v>44989</v>
      </c>
      <c r="Y77" s="383">
        <f t="shared" si="11"/>
        <v>3.7013030675549876</v>
      </c>
      <c r="Z77" s="383">
        <f t="shared" si="21"/>
        <v>3.8098342756141501</v>
      </c>
      <c r="AA77" s="384">
        <f t="shared" si="12"/>
        <v>4.1790944148237843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8.8358888925749446E-2</v>
      </c>
      <c r="AD77" s="230">
        <f>(INDEX(Models!$BJ77:$BT77,,AH77)*(1-AF77)+INDEX(Models!$BJ77:$BT77,,AH77+1)*AF77-ERP_i)*AE77*Ramure*Pc/MaxiM</f>
        <v>1.0033749573360928E-3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'2022'!Wh/'2022'!Env_an*'2023'!Env_an</f>
        <v>13.5331611161093</v>
      </c>
      <c r="C78" s="829"/>
      <c r="D78" s="391">
        <f t="shared" si="0"/>
        <v>13.930253284816409</v>
      </c>
      <c r="E78" s="383">
        <f t="shared" si="1"/>
        <v>14.391021298820368</v>
      </c>
      <c r="F78" s="383">
        <f t="shared" si="2"/>
        <v>14.39130902440667</v>
      </c>
      <c r="G78" s="110">
        <f t="shared" si="19"/>
        <v>0.31434151605060556</v>
      </c>
      <c r="H78" s="412" t="b">
        <f>Wh_hp&gt;='2022'!Maxi_hp</f>
        <v>0</v>
      </c>
      <c r="I78" s="379">
        <f>IF(H78,Wh_hp,'2022'!Maxi_hp)</f>
        <v>38.035034481034316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2.8505739313435807E-2</v>
      </c>
      <c r="M78" s="832"/>
      <c r="N78" s="832"/>
      <c r="O78" s="48">
        <f>IF(t&lt;Tnet,'2022'!Resal+('2022'!Salim-'2022'!Resal)*(1-EXP(('2022'!Tnet-t)/('2022'!Tau_j))),Resal+(Salim-Resal)*(1-EXP((Tnet-t)/(Tau_j))))*Salcycl</f>
        <v>3.2017742482371908E-2</v>
      </c>
      <c r="P78" s="338">
        <f>(INDEX(Models!$BJ78:$BT78,,T78)*(1-R78)+INDEX(Models!$BJ78:$BT78,,T78+1)*R78-ERP_i)*Q78*Ramure*Pc/MaxiM</f>
        <v>9.562054357217766E-4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43.012107083630276</v>
      </c>
      <c r="W78" s="400">
        <f t="shared" si="9"/>
        <v>13.5331611161093</v>
      </c>
      <c r="X78" s="157">
        <f t="shared" si="10"/>
        <v>44990</v>
      </c>
      <c r="Y78" s="383">
        <f t="shared" si="11"/>
        <v>12.745301530502147</v>
      </c>
      <c r="Z78" s="383">
        <f t="shared" si="21"/>
        <v>13.119276197776939</v>
      </c>
      <c r="AA78" s="384">
        <f t="shared" si="12"/>
        <v>14.391021298820368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8.8370733017237232E-2</v>
      </c>
      <c r="AD78" s="230">
        <f>(INDEX(Models!$BJ78:$BT78,,AH78)*(1-AF78)+INDEX(Models!$BJ78:$BT78,,AH78+1)*AF78-ERP_i)*AE78*Ramure*Pc/MaxiM</f>
        <v>9.562054357217766E-4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'2022'!Wh/'2022'!Env_an*'2023'!Env_an</f>
        <v>16.315879996173255</v>
      </c>
      <c r="C79" s="829"/>
      <c r="D79" s="391">
        <f t="shared" ref="D79:D142" si="25">Wh/(1-Ppv)</f>
        <v>16.794945016713811</v>
      </c>
      <c r="E79" s="383">
        <f t="shared" si="1"/>
        <v>17.351588887298835</v>
      </c>
      <c r="F79" s="383">
        <f t="shared" ref="F79:F142" si="26">Wh_sa/(1-Pvg*MEDIAN((-Sdif+Wh/Env_an)/Csdif,0,1))</f>
        <v>17.353309484159819</v>
      </c>
      <c r="G79" s="110">
        <f t="shared" si="19"/>
        <v>0.37587703926732713</v>
      </c>
      <c r="H79" s="412" t="b">
        <f>Wh_hp&gt;='2022'!Maxi_hp</f>
        <v>0</v>
      </c>
      <c r="I79" s="379">
        <f>IF(H79,Wh_hp,'2022'!Maxi_hp)</f>
        <v>17.358899888574093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2.8524357779308396E-2</v>
      </c>
      <c r="M79" s="832"/>
      <c r="N79" s="832"/>
      <c r="O79" s="48">
        <f>IF(t&lt;Tnet,'2022'!Resal+('2022'!Salim-'2022'!Resal)*(1-EXP(('2022'!Tnet-t)/('2022'!Tau_j))),Resal+(Salim-Resal)*(1-EXP((Tnet-t)/(Tau_j))))*Salcycl</f>
        <v>3.2080282341894389E-2</v>
      </c>
      <c r="P79" s="338">
        <f>(INDEX(Models!$BJ79:$BT79,,T79)*(1-R79)+INDEX(Models!$BJ79:$BT79,,T79+1)*R79-ERP_i)*Q79*Ramure*Pc/MaxiM</f>
        <v>9.1104471271389741E-4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43.372247352339876</v>
      </c>
      <c r="W79" s="400">
        <f t="shared" ref="W79:W142" si="34">Wh*(A79&gt;Tmaj)</f>
        <v>16.315879996173255</v>
      </c>
      <c r="X79" s="157">
        <f t="shared" ref="X79:X142" si="35">t</f>
        <v>44991</v>
      </c>
      <c r="Y79" s="383">
        <f t="shared" ref="Y79:Y142" si="36">Wh_pvt_s*(1-Ppv)</f>
        <v>15.366811515689687</v>
      </c>
      <c r="Z79" s="383">
        <f t="shared" ref="Z79:Z142" si="37">Wh_sa_s*(1-Psa_s)</f>
        <v>15.818010094996067</v>
      </c>
      <c r="AA79" s="384">
        <f t="shared" ref="AA79:AA142" si="38">Wh_hp*(1-Pvg_s*MEDIAN((-Sdif+Wh/Env_an)/Csdif,0,1))</f>
        <v>17.351588887298835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8.8382614541157686E-2</v>
      </c>
      <c r="AD79" s="230">
        <f>(INDEX(Models!$BJ79:$BT79,,AH79)*(1-AF79)+INDEX(Models!$BJ79:$BT79,,AH79+1)*AF79-ERP_i)*AE79*Ramure*Pc/MaxiM</f>
        <v>9.1104471271389741E-4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'2022'!Wh/'2022'!Env_an*'2023'!Env_an</f>
        <v>40.191476143437868</v>
      </c>
      <c r="C80" s="829"/>
      <c r="D80" s="391">
        <f t="shared" si="25"/>
        <v>41.372366605914983</v>
      </c>
      <c r="E80" s="383">
        <f t="shared" ref="E80:E143" si="47">Wh_pvt/(1-Psa)</f>
        <v>42.746353700095675</v>
      </c>
      <c r="F80" s="383">
        <f t="shared" si="26"/>
        <v>42.779218136751382</v>
      </c>
      <c r="G80" s="110">
        <f t="shared" ref="G80:G143" si="48">+Wh_hp/MaxiM</f>
        <v>0.91889320020405907</v>
      </c>
      <c r="H80" s="412" t="b">
        <f>Wh_hp&gt;='2022'!Maxi_hp</f>
        <v>0</v>
      </c>
      <c r="I80" s="379">
        <f>IF(H80,Wh_hp,'2022'!Maxi_hp)</f>
        <v>42.780921418940942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2.8542975888362299E-2</v>
      </c>
      <c r="M80" s="832"/>
      <c r="N80" s="832"/>
      <c r="O80" s="48">
        <f>IF(t&lt;Tnet,'2022'!Resal+('2022'!Salim-'2022'!Resal)*(1-EXP(('2022'!Tnet-t)/('2022'!Tau_j))),Resal+(Salim-Resal)*(1-EXP((Tnet-t)/(Tau_j))))*Salcycl</f>
        <v>3.2142790559879154E-2</v>
      </c>
      <c r="P80" s="338">
        <f>(INDEX(Models!$BJ80:$BT80,,T80)*(1-R80)+INDEX(Models!$BJ80:$BT80,,T80+1)*R80-ERP_i)*Q80*Ramure*Pc/MaxiM</f>
        <v>8.6878195525655919E-4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43.734605767457282</v>
      </c>
      <c r="W80" s="400">
        <f t="shared" si="34"/>
        <v>40.191476143437868</v>
      </c>
      <c r="X80" s="157">
        <f t="shared" si="35"/>
        <v>44992</v>
      </c>
      <c r="Y80" s="383">
        <f t="shared" si="36"/>
        <v>37.855551736498285</v>
      </c>
      <c r="Z80" s="383">
        <f t="shared" si="37"/>
        <v>38.967808968302862</v>
      </c>
      <c r="AA80" s="384">
        <f t="shared" si="38"/>
        <v>42.746353700095675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8.8394550756369164E-2</v>
      </c>
      <c r="AD80" s="230">
        <f>(INDEX(Models!$BJ80:$BT80,,AH80)*(1-AF80)+INDEX(Models!$BJ80:$BT80,,AH80+1)*AF80-ERP_i)*AE80*Ramure*Pc/MaxiM</f>
        <v>8.6878195525655919E-4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'2022'!Wh/'2022'!Env_an*'2023'!Env_an</f>
        <v>32.755561862314075</v>
      </c>
      <c r="C81" s="829"/>
      <c r="D81" s="391">
        <f t="shared" si="25"/>
        <v>33.718619366790563</v>
      </c>
      <c r="E81" s="383">
        <f t="shared" si="47"/>
        <v>34.840672787275913</v>
      </c>
      <c r="F81" s="383">
        <f t="shared" si="26"/>
        <v>34.858954404141514</v>
      </c>
      <c r="G81" s="110">
        <f t="shared" si="48"/>
        <v>0.74255237767809035</v>
      </c>
      <c r="H81" s="412" t="b">
        <f>Wh_hp&gt;='2022'!Maxi_hp</f>
        <v>0</v>
      </c>
      <c r="I81" s="379">
        <f>IF(H81,Wh_hp,'2022'!Maxi_hp)</f>
        <v>34.863147641201927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2.8561593640604399E-2</v>
      </c>
      <c r="M81" s="832"/>
      <c r="N81" s="832"/>
      <c r="O81" s="48">
        <f>IF(t&lt;Tnet,'2022'!Resal+('2022'!Salim-'2022'!Resal)*(1-EXP(('2022'!Tnet-t)/('2022'!Tau_j))),Resal+(Salim-Resal)*(1-EXP((Tnet-t)/(Tau_j))))*Salcycl</f>
        <v>3.2205274201683447E-2</v>
      </c>
      <c r="P81" s="338">
        <f>(INDEX(Models!$BJ81:$BT81,,T81)*(1-R81)+INDEX(Models!$BJ81:$BT81,,T81+1)*R81-ERP_i)*Q81*Ramure*Pc/MaxiM</f>
        <v>8.2910870290087407E-4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44.098676660764227</v>
      </c>
      <c r="W81" s="400">
        <f t="shared" si="34"/>
        <v>32.755561862314075</v>
      </c>
      <c r="X81" s="157">
        <f t="shared" si="35"/>
        <v>44993</v>
      </c>
      <c r="Y81" s="383">
        <f t="shared" si="36"/>
        <v>30.853397422111463</v>
      </c>
      <c r="Z81" s="383">
        <f t="shared" si="37"/>
        <v>31.760528737729224</v>
      </c>
      <c r="AA81" s="384">
        <f t="shared" si="38"/>
        <v>34.840672787275913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8.8406560583743396E-2</v>
      </c>
      <c r="AD81" s="230">
        <f>(INDEX(Models!$BJ81:$BT81,,AH81)*(1-AF81)+INDEX(Models!$BJ81:$BT81,,AH81+1)*AF81-ERP_i)*AE81*Ramure*Pc/MaxiM</f>
        <v>8.2910870290087407E-4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'2022'!Wh/'2022'!Env_an*'2023'!Env_an</f>
        <v>31.935381426384048</v>
      </c>
      <c r="C82" s="829"/>
      <c r="D82" s="391">
        <f t="shared" si="25"/>
        <v>32.87495456567121</v>
      </c>
      <c r="E82" s="383">
        <f t="shared" si="47"/>
        <v>33.971126061901884</v>
      </c>
      <c r="F82" s="383">
        <f t="shared" si="26"/>
        <v>33.987208340286656</v>
      </c>
      <c r="G82" s="110">
        <f t="shared" si="48"/>
        <v>0.71800190393671404</v>
      </c>
      <c r="H82" s="412" t="b">
        <f>Wh_hp&gt;='2022'!Maxi_hp</f>
        <v>0</v>
      </c>
      <c r="I82" s="379">
        <f>IF(H82,Wh_hp,'2022'!Maxi_hp)</f>
        <v>45.223150143497143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2.8580211036041581E-2</v>
      </c>
      <c r="M82" s="832"/>
      <c r="N82" s="832"/>
      <c r="O82" s="48">
        <f>IF(t&lt;Tnet,'2022'!Resal+('2022'!Salim-'2022'!Resal)*(1-EXP(('2022'!Tnet-t)/('2022'!Tau_j))),Resal+(Salim-Resal)*(1-EXP((Tnet-t)/(Tau_j))))*Salcycl</f>
        <v>3.2267740970176845E-2</v>
      </c>
      <c r="P82" s="338">
        <f>(INDEX(Models!$BJ82:$BT82,,T82)*(1-R82)+INDEX(Models!$BJ82:$BT82,,T82+1)*R82-ERP_i)*Q82*Ramure*Pc/MaxiM</f>
        <v>7.9197946804534949E-4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44.463943128061175</v>
      </c>
      <c r="W82" s="400">
        <f t="shared" si="34"/>
        <v>31.935381426384048</v>
      </c>
      <c r="X82" s="157">
        <f t="shared" si="35"/>
        <v>44994</v>
      </c>
      <c r="Y82" s="383">
        <f t="shared" si="36"/>
        <v>30.082388364078234</v>
      </c>
      <c r="Z82" s="383">
        <f t="shared" si="37"/>
        <v>30.967444462050537</v>
      </c>
      <c r="AA82" s="384">
        <f t="shared" si="38"/>
        <v>33.971126061901884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8.8418664555836773E-2</v>
      </c>
      <c r="AD82" s="230">
        <f>(INDEX(Models!$BJ82:$BT82,,AH82)*(1-AF82)+INDEX(Models!$BJ82:$BT82,,AH82+1)*AF82-ERP_i)*AE82*Ramure*Pc/MaxiM</f>
        <v>7.9197946804534949E-4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'2022'!Wh/'2022'!Env_an*'2023'!Env_an</f>
        <v>25.422286818190063</v>
      </c>
      <c r="C83" s="829"/>
      <c r="D83" s="391">
        <f t="shared" si="25"/>
        <v>26.170739291783054</v>
      </c>
      <c r="E83" s="383">
        <f t="shared" si="47"/>
        <v>27.045113188249044</v>
      </c>
      <c r="F83" s="383">
        <f t="shared" si="26"/>
        <v>27.052930523830103</v>
      </c>
      <c r="G83" s="110">
        <f t="shared" si="48"/>
        <v>0.56681773931163382</v>
      </c>
      <c r="H83" s="412" t="b">
        <f>Wh_hp&gt;='2022'!Maxi_hp</f>
        <v>0</v>
      </c>
      <c r="I83" s="379">
        <f>IF(H83,Wh_hp,'2022'!Maxi_hp)</f>
        <v>44.941946667610743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2.8598828074680616E-2</v>
      </c>
      <c r="M83" s="832"/>
      <c r="N83" s="832"/>
      <c r="O83" s="48">
        <f>IF(t&lt;Tnet,'2022'!Resal+('2022'!Salim-'2022'!Resal)*(1-EXP(('2022'!Tnet-t)/('2022'!Tau_j))),Resal+(Salim-Resal)*(1-EXP((Tnet-t)/(Tau_j))))*Salcycl</f>
        <v>3.2330199189031378E-2</v>
      </c>
      <c r="P83" s="338">
        <f>(INDEX(Models!$BJ83:$BT83,,T83)*(1-R83)+INDEX(Models!$BJ83:$BT83,,T83+1)*R83-ERP_i)*Q83*Ramure*Pc/MaxiM</f>
        <v>7.5734809204027636E-4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44.829888394677305</v>
      </c>
      <c r="W83" s="400">
        <f t="shared" si="34"/>
        <v>25.422286818190063</v>
      </c>
      <c r="X83" s="157">
        <f t="shared" si="35"/>
        <v>44995</v>
      </c>
      <c r="Y83" s="383">
        <f t="shared" si="36"/>
        <v>23.948428981546044</v>
      </c>
      <c r="Z83" s="383">
        <f t="shared" si="37"/>
        <v>24.653489900655774</v>
      </c>
      <c r="AA83" s="384">
        <f t="shared" si="38"/>
        <v>27.045113188249044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8.8430884757118189E-2</v>
      </c>
      <c r="AD83" s="230">
        <f>(INDEX(Models!$BJ83:$BT83,,AH83)*(1-AF83)+INDEX(Models!$BJ83:$BT83,,AH83+1)*AF83-ERP_i)*AE83*Ramure*Pc/MaxiM</f>
        <v>7.5734809204027636E-4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'2022'!Wh/'2022'!Env_an*'2023'!Env_an</f>
        <v>15.766491857526354</v>
      </c>
      <c r="C84" s="829"/>
      <c r="D84" s="391">
        <f t="shared" si="25"/>
        <v>16.230981061395088</v>
      </c>
      <c r="E84" s="383">
        <f t="shared" si="47"/>
        <v>16.774346734698344</v>
      </c>
      <c r="F84" s="383">
        <f t="shared" si="26"/>
        <v>16.775195616040321</v>
      </c>
      <c r="G84" s="110">
        <f t="shared" si="48"/>
        <v>0.34861176341028194</v>
      </c>
      <c r="H84" s="412" t="b">
        <f>Wh_hp&gt;='2022'!Maxi_hp</f>
        <v>0</v>
      </c>
      <c r="I84" s="379">
        <f>IF(H84,Wh_hp,'2022'!Maxi_hp)</f>
        <v>33.644561072825525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2.8617444756528387E-2</v>
      </c>
      <c r="M84" s="832"/>
      <c r="N84" s="832"/>
      <c r="O84" s="48">
        <f>IF(t&lt;Tnet,'2022'!Resal+('2022'!Salim-'2022'!Resal)*(1-EXP(('2022'!Tnet-t)/('2022'!Tau_j))),Resal+(Salim-Resal)*(1-EXP((Tnet-t)/(Tau_j))))*Salcycl</f>
        <v>3.2392657782570146E-2</v>
      </c>
      <c r="P84" s="338">
        <f>(INDEX(Models!$BJ84:$BT84,,T84)*(1-R84)+INDEX(Models!$BJ84:$BT84,,T84+1)*R84-ERP_i)*Q84*Ramure*Pc/MaxiM</f>
        <v>7.2516810075608001E-4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45.195995814245755</v>
      </c>
      <c r="W84" s="400">
        <f t="shared" si="34"/>
        <v>15.766491857526354</v>
      </c>
      <c r="X84" s="157">
        <f t="shared" si="35"/>
        <v>44996</v>
      </c>
      <c r="Y84" s="383">
        <f t="shared" si="36"/>
        <v>14.853186341372531</v>
      </c>
      <c r="Z84" s="383">
        <f t="shared" si="37"/>
        <v>15.290769080827957</v>
      </c>
      <c r="AA84" s="384">
        <f t="shared" si="38"/>
        <v>16.774346734698344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8.8443244755490438E-2</v>
      </c>
      <c r="AD84" s="230">
        <f>(INDEX(Models!$BJ84:$BT84,,AH84)*(1-AF84)+INDEX(Models!$BJ84:$BT84,,AH84+1)*AF84-ERP_i)*AE84*Ramure*Pc/MaxiM</f>
        <v>7.2516810075608001E-4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'2022'!Wh/'2022'!Env_an*'2023'!Env_an</f>
        <v>16.409918518416411</v>
      </c>
      <c r="C85" s="829"/>
      <c r="D85" s="391">
        <f t="shared" si="25"/>
        <v>16.893687176289951</v>
      </c>
      <c r="E85" s="383">
        <f t="shared" si="47"/>
        <v>17.460365544448546</v>
      </c>
      <c r="F85" s="383">
        <f t="shared" si="26"/>
        <v>17.46140926117404</v>
      </c>
      <c r="G85" s="110">
        <f t="shared" si="48"/>
        <v>0.35993981412138087</v>
      </c>
      <c r="H85" s="412" t="b">
        <f>Wh_hp&gt;='2022'!Maxi_hp</f>
        <v>0</v>
      </c>
      <c r="I85" s="379">
        <f>IF(H85,Wh_hp,'2022'!Maxi_hp)</f>
        <v>43.401527185164618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2.8636061081591668E-2</v>
      </c>
      <c r="M85" s="832"/>
      <c r="N85" s="832"/>
      <c r="O85" s="48">
        <f>IF(t&lt;Tnet,'2022'!Resal+('2022'!Salim-'2022'!Resal)*(1-EXP(('2022'!Tnet-t)/('2022'!Tau_j))),Resal+(Salim-Resal)*(1-EXP((Tnet-t)/(Tau_j))))*Salcycl</f>
        <v>3.2455126252426393E-2</v>
      </c>
      <c r="P85" s="338">
        <f>(INDEX(Models!$BJ85:$BT85,,T85)*(1-R85)+INDEX(Models!$BJ85:$BT85,,T85+1)*R85-ERP_i)*Q85*Ramure*Pc/MaxiM</f>
        <v>6.9539304382046753E-4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45.561748866210806</v>
      </c>
      <c r="W85" s="400">
        <f t="shared" si="34"/>
        <v>16.409918518416411</v>
      </c>
      <c r="X85" s="157">
        <f t="shared" si="35"/>
        <v>44997</v>
      </c>
      <c r="Y85" s="383">
        <f t="shared" si="36"/>
        <v>15.460126919048866</v>
      </c>
      <c r="Z85" s="383">
        <f t="shared" si="37"/>
        <v>15.91589547401087</v>
      </c>
      <c r="AA85" s="384">
        <f t="shared" si="38"/>
        <v>17.460365544448546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8.8455769525898245E-2</v>
      </c>
      <c r="AD85" s="230">
        <f>(INDEX(Models!$BJ85:$BT85,,AH85)*(1-AF85)+INDEX(Models!$BJ85:$BT85,,AH85+1)*AF85-ERP_i)*AE85*Ramure*Pc/MaxiM</f>
        <v>6.9539304382046753E-4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'2022'!Wh/'2022'!Env_an*'2023'!Env_an</f>
        <v>9.2017210040824491</v>
      </c>
      <c r="C86" s="829"/>
      <c r="D86" s="391">
        <f t="shared" si="25"/>
        <v>9.4731716791876135</v>
      </c>
      <c r="E86" s="383">
        <f t="shared" si="47"/>
        <v>9.7915701853043675</v>
      </c>
      <c r="F86" s="383">
        <f t="shared" si="26"/>
        <v>9.7915701853043675</v>
      </c>
      <c r="G86" s="110">
        <f t="shared" si="48"/>
        <v>0.20022314367064706</v>
      </c>
      <c r="H86" s="412" t="b">
        <f>Wh_hp&gt;='2022'!Maxi_hp</f>
        <v>0</v>
      </c>
      <c r="I86" s="379">
        <f>IF(H86,Wh_hp,'2022'!Maxi_hp)</f>
        <v>43.4645843753053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2.8654677049877231E-2</v>
      </c>
      <c r="M86" s="832"/>
      <c r="N86" s="832"/>
      <c r="O86" s="48">
        <f>IF(t&lt;Tnet,'2022'!Resal+('2022'!Salim-'2022'!Resal)*(1-EXP(('2022'!Tnet-t)/('2022'!Tau_j))),Resal+(Salim-Resal)*(1-EXP((Tnet-t)/(Tau_j))))*Salcycl</f>
        <v>3.2517614651286504E-2</v>
      </c>
      <c r="P86" s="338">
        <f>(INDEX(Models!$BJ86:$BT86,,T86)*(1-R86)+INDEX(Models!$BJ86:$BT86,,T86+1)*R86-ERP_i)*Q86*Ramure*Pc/MaxiM</f>
        <v>6.680943855419181E-4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45.926625750459536</v>
      </c>
      <c r="W86" s="400">
        <f t="shared" si="34"/>
        <v>9.2017210040824491</v>
      </c>
      <c r="X86" s="157">
        <f t="shared" si="35"/>
        <v>44998</v>
      </c>
      <c r="Y86" s="383">
        <f t="shared" si="36"/>
        <v>8.6695725018907073</v>
      </c>
      <c r="Z86" s="383">
        <f t="shared" si="37"/>
        <v>8.9253248016471662</v>
      </c>
      <c r="AA86" s="384">
        <f t="shared" si="38"/>
        <v>9.7915701853043675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8.846848536686204E-2</v>
      </c>
      <c r="AD86" s="230">
        <f>(INDEX(Models!$BJ86:$BT86,,AH86)*(1-AF86)+INDEX(Models!$BJ86:$BT86,,AH86+1)*AF86-ERP_i)*AE86*Ramure*Pc/MaxiM</f>
        <v>6.680943855419181E-4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'2022'!Wh/'2022'!Env_an*'2023'!Env_an</f>
        <v>14.82611791666587</v>
      </c>
      <c r="C87" s="829"/>
      <c r="D87" s="391">
        <f t="shared" si="25"/>
        <v>15.263780769797608</v>
      </c>
      <c r="E87" s="383">
        <f t="shared" si="47"/>
        <v>15.777824395804592</v>
      </c>
      <c r="F87" s="383">
        <f t="shared" si="26"/>
        <v>15.778118079822006</v>
      </c>
      <c r="G87" s="110">
        <f t="shared" si="48"/>
        <v>0.32008688537242108</v>
      </c>
      <c r="H87" s="412" t="b">
        <f>Wh_hp&gt;='2022'!Maxi_hp</f>
        <v>0</v>
      </c>
      <c r="I87" s="379">
        <f>IF(H87,Wh_hp,'2022'!Maxi_hp)</f>
        <v>41.9627960937136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2.867329266139218E-2</v>
      </c>
      <c r="M87" s="832"/>
      <c r="N87" s="832"/>
      <c r="O87" s="48">
        <f>IF(t&lt;Tnet,'2022'!Resal+('2022'!Salim-'2022'!Resal)*(1-EXP(('2022'!Tnet-t)/('2022'!Tau_j))),Resal+(Salim-Resal)*(1-EXP((Tnet-t)/(Tau_j))))*Salcycl</f>
        <v>3.2580133554006963E-2</v>
      </c>
      <c r="P87" s="338">
        <f>(INDEX(Models!$BJ87:$BT87,,T87)*(1-R87)+INDEX(Models!$BJ87:$BT87,,T87+1)*R87-ERP_i)*Q87*Ramure*Pc/MaxiM</f>
        <v>6.4226331614975905E-4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46.290154686411221</v>
      </c>
      <c r="W87" s="400">
        <f t="shared" si="34"/>
        <v>14.82611791666587</v>
      </c>
      <c r="X87" s="157">
        <f t="shared" si="35"/>
        <v>44999</v>
      </c>
      <c r="Y87" s="383">
        <f t="shared" si="36"/>
        <v>13.969407102175978</v>
      </c>
      <c r="Z87" s="383">
        <f t="shared" si="37"/>
        <v>14.38178009173817</v>
      </c>
      <c r="AA87" s="384">
        <f t="shared" si="38"/>
        <v>15.777824395804592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8.8481419810809647E-2</v>
      </c>
      <c r="AD87" s="230">
        <f>(INDEX(Models!$BJ87:$BT87,,AH87)*(1-AF87)+INDEX(Models!$BJ87:$BT87,,AH87+1)*AF87-ERP_i)*AE87*Ramure*Pc/MaxiM</f>
        <v>6.4226331614975905E-4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'2022'!Wh/'2022'!Env_an*'2023'!Env_an</f>
        <v>14.112077265757289</v>
      </c>
      <c r="C88" s="829"/>
      <c r="D88" s="391">
        <f t="shared" si="25"/>
        <v>14.528940282460796</v>
      </c>
      <c r="E88" s="383">
        <f t="shared" si="47"/>
        <v>15.019207683388732</v>
      </c>
      <c r="F88" s="383">
        <f t="shared" si="26"/>
        <v>15.019240798304272</v>
      </c>
      <c r="G88" s="110">
        <f t="shared" si="48"/>
        <v>0.30231165703928553</v>
      </c>
      <c r="H88" s="412" t="b">
        <f>Wh_hp&gt;='2022'!Maxi_hp</f>
        <v>0</v>
      </c>
      <c r="I88" s="379">
        <f>IF(H88,Wh_hp,'2022'!Maxi_hp)</f>
        <v>33.906662518762403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2.8691907916143067E-2</v>
      </c>
      <c r="M88" s="832"/>
      <c r="N88" s="832"/>
      <c r="O88" s="48">
        <f>IF(t&lt;Tnet,'2022'!Resal+('2022'!Salim-'2022'!Resal)*(1-EXP(('2022'!Tnet-t)/('2022'!Tau_j))),Resal+(Salim-Resal)*(1-EXP((Tnet-t)/(Tau_j))))*Salcycl</f>
        <v>3.2642694026408035E-2</v>
      </c>
      <c r="P88" s="338">
        <f>(INDEX(Models!$BJ88:$BT88,,T88)*(1-R88)+INDEX(Models!$BJ88:$BT88,,T88+1)*R88-ERP_i)*Q88*Ramure*Pc/MaxiM</f>
        <v>6.1787323873995924E-4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46.651819597727794</v>
      </c>
      <c r="W88" s="400">
        <f t="shared" si="34"/>
        <v>14.112077265757289</v>
      </c>
      <c r="X88" s="157">
        <f t="shared" si="35"/>
        <v>45000</v>
      </c>
      <c r="Y88" s="383">
        <f t="shared" si="36"/>
        <v>13.297294114536186</v>
      </c>
      <c r="Z88" s="383">
        <f t="shared" si="37"/>
        <v>13.690088884164446</v>
      </c>
      <c r="AA88" s="384">
        <f t="shared" si="38"/>
        <v>15.019207683388732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8.8494601529100173E-2</v>
      </c>
      <c r="AD88" s="230">
        <f>(INDEX(Models!$BJ88:$BT88,,AH88)*(1-AF88)+INDEX(Models!$BJ88:$BT88,,AH88+1)*AF88-ERP_i)*AE88*Ramure*Pc/MaxiM</f>
        <v>6.1787323873995924E-4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'2022'!Wh/'2022'!Env_an*'2023'!Env_an</f>
        <v>14.084064516354333</v>
      </c>
      <c r="C89" s="829"/>
      <c r="D89" s="391">
        <f t="shared" si="25"/>
        <v>14.500377948251208</v>
      </c>
      <c r="E89" s="383">
        <f t="shared" si="47"/>
        <v>14.990651827267399</v>
      </c>
      <c r="F89" s="383">
        <f t="shared" si="26"/>
        <v>14.990651827267399</v>
      </c>
      <c r="G89" s="110">
        <f t="shared" si="48"/>
        <v>0.299411938464757</v>
      </c>
      <c r="H89" s="412" t="b">
        <f>Wh_hp&gt;='2022'!Maxi_hp</f>
        <v>0</v>
      </c>
      <c r="I89" s="379">
        <f>IF(H89,Wh_hp,'2022'!Maxi_hp)</f>
        <v>50.695816320188271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2.8710522814136885E-2</v>
      </c>
      <c r="M89" s="832"/>
      <c r="N89" s="832"/>
      <c r="O89" s="48">
        <f>IF(t&lt;Tnet,'2022'!Resal+('2022'!Salim-'2022'!Resal)*(1-EXP(('2022'!Tnet-t)/('2022'!Tau_j))),Resal+(Salim-Resal)*(1-EXP((Tnet-t)/(Tau_j))))*Salcycl</f>
        <v>3.270530759205572E-2</v>
      </c>
      <c r="P89" s="338">
        <f>(INDEX(Models!$BJ89:$BT89,,T89)*(1-R89)+INDEX(Models!$BJ89:$BT89,,T89+1)*R89-ERP_i)*Q89*Ramure*Pc/MaxiM</f>
        <v>5.9489765896786177E-4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47.01110453884462</v>
      </c>
      <c r="W89" s="400">
        <f t="shared" si="34"/>
        <v>14.084064516354333</v>
      </c>
      <c r="X89" s="157">
        <f t="shared" si="35"/>
        <v>45001</v>
      </c>
      <c r="Y89" s="383">
        <f t="shared" si="36"/>
        <v>13.271561796605361</v>
      </c>
      <c r="Z89" s="383">
        <f t="shared" si="37"/>
        <v>13.66385831241303</v>
      </c>
      <c r="AA89" s="384">
        <f t="shared" si="38"/>
        <v>14.990651827267399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8.8508060232643473E-2</v>
      </c>
      <c r="AD89" s="230">
        <f>(INDEX(Models!$BJ89:$BT89,,AH89)*(1-AF89)+INDEX(Models!$BJ89:$BT89,,AH89+1)*AF89-ERP_i)*AE89*Ramure*Pc/MaxiM</f>
        <v>5.9489765896786177E-4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'2022'!Wh/'2022'!Env_an*'2023'!Env_an</f>
        <v>11.828412117247689</v>
      </c>
      <c r="C90" s="829"/>
      <c r="D90" s="391">
        <f t="shared" si="25"/>
        <v>12.178283702489294</v>
      </c>
      <c r="E90" s="383">
        <f t="shared" si="47"/>
        <v>12.590860857273135</v>
      </c>
      <c r="F90" s="383">
        <f t="shared" si="26"/>
        <v>12.590860857273135</v>
      </c>
      <c r="G90" s="110">
        <f t="shared" si="48"/>
        <v>0.2495726466207587</v>
      </c>
      <c r="H90" s="412" t="b">
        <f>Wh_hp&gt;='2022'!Maxi_hp</f>
        <v>0</v>
      </c>
      <c r="I90" s="379">
        <f>IF(H90,Wh_hp,'2022'!Maxi_hp)</f>
        <v>27.308423529990701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2.8729137355380407E-2</v>
      </c>
      <c r="M90" s="832"/>
      <c r="N90" s="832"/>
      <c r="O90" s="48">
        <f>IF(t&lt;Tnet,'2022'!Resal+('2022'!Salim-'2022'!Resal)*(1-EXP(('2022'!Tnet-t)/('2022'!Tau_j))),Resal+(Salim-Resal)*(1-EXP((Tnet-t)/(Tau_j))))*Salcycl</f>
        <v>3.2767986197346867E-2</v>
      </c>
      <c r="P90" s="338">
        <f>(INDEX(Models!$BJ90:$BT90,,T90)*(1-R90)+INDEX(Models!$BJ90:$BT90,,T90+1)*R90-ERP_i)*Q90*Ramure*Pc/MaxiM</f>
        <v>5.7331035777939004E-4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47.3674936982517</v>
      </c>
      <c r="W90" s="400">
        <f t="shared" si="34"/>
        <v>11.828412117247689</v>
      </c>
      <c r="X90" s="157">
        <f t="shared" si="35"/>
        <v>45002</v>
      </c>
      <c r="Y90" s="383">
        <f t="shared" si="36"/>
        <v>11.146590804858912</v>
      </c>
      <c r="Z90" s="383">
        <f t="shared" si="37"/>
        <v>11.47629485611097</v>
      </c>
      <c r="AA90" s="384">
        <f t="shared" si="38"/>
        <v>12.590860857273135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8.8521826569017623E-2</v>
      </c>
      <c r="AD90" s="230">
        <f>(INDEX(Models!$BJ90:$BT90,,AH90)*(1-AF90)+INDEX(Models!$BJ90:$BT90,,AH90+1)*AF90-ERP_i)*AE90*Ramure*Pc/MaxiM</f>
        <v>5.7331035777939004E-4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'2022'!Wh/'2022'!Env_an*'2023'!Env_an</f>
        <v>15.291406093507442</v>
      </c>
      <c r="C91" s="829"/>
      <c r="D91" s="391">
        <f t="shared" si="25"/>
        <v>15.74401101027188</v>
      </c>
      <c r="E91" s="383">
        <f t="shared" si="47"/>
        <v>16.278444422107629</v>
      </c>
      <c r="F91" s="383">
        <f t="shared" si="26"/>
        <v>16.278707286621014</v>
      </c>
      <c r="G91" s="110">
        <f t="shared" si="48"/>
        <v>0.32026497183399238</v>
      </c>
      <c r="H91" s="412" t="b">
        <f>Wh_hp&gt;='2022'!Maxi_hp</f>
        <v>0</v>
      </c>
      <c r="I91" s="379">
        <f>IF(H91,Wh_hp,'2022'!Maxi_hp)</f>
        <v>34.112652515484889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2.8747751539880406E-2</v>
      </c>
      <c r="M91" s="832"/>
      <c r="N91" s="832"/>
      <c r="O91" s="48">
        <f>IF(t&lt;Tnet,'2022'!Resal+('2022'!Salim-'2022'!Resal)*(1-EXP(('2022'!Tnet-t)/('2022'!Tau_j))),Resal+(Salim-Resal)*(1-EXP((Tnet-t)/(Tau_j))))*Salcycl</f>
        <v>3.2830742175213014E-2</v>
      </c>
      <c r="P91" s="338">
        <f>(INDEX(Models!$BJ91:$BT91,,T91)*(1-R91)+INDEX(Models!$BJ91:$BT91,,T91+1)*R91-ERP_i)*Q91*Ramure*Pc/MaxiM</f>
        <v>5.5308555671251282E-4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47.720471393958512</v>
      </c>
      <c r="W91" s="400">
        <f t="shared" si="34"/>
        <v>15.291406093507442</v>
      </c>
      <c r="X91" s="157">
        <f t="shared" si="35"/>
        <v>45003</v>
      </c>
      <c r="Y91" s="383">
        <f t="shared" si="36"/>
        <v>14.410680540565405</v>
      </c>
      <c r="Z91" s="383">
        <f t="shared" si="37"/>
        <v>14.837217173409838</v>
      </c>
      <c r="AA91" s="384">
        <f t="shared" si="38"/>
        <v>16.278444422107629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8.8535932016972727E-2</v>
      </c>
      <c r="AD91" s="230">
        <f>(INDEX(Models!$BJ91:$BT91,,AH91)*(1-AF91)+INDEX(Models!$BJ91:$BT91,,AH91+1)*AF91-ERP_i)*AE91*Ramure*Pc/MaxiM</f>
        <v>5.5308555671251282E-4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'2022'!Wh/'2022'!Env_an*'2023'!Env_an</f>
        <v>29.215262713105144</v>
      </c>
      <c r="C92" s="829"/>
      <c r="D92" s="391">
        <f t="shared" si="25"/>
        <v>30.080571421071188</v>
      </c>
      <c r="E92" s="383">
        <f t="shared" si="47"/>
        <v>31.103683166907896</v>
      </c>
      <c r="F92" s="383">
        <f t="shared" si="26"/>
        <v>31.110990280284987</v>
      </c>
      <c r="G92" s="110">
        <f t="shared" si="48"/>
        <v>0.60758906101306465</v>
      </c>
      <c r="H92" s="412" t="b">
        <f>Wh_hp&gt;='2022'!Maxi_hp</f>
        <v>0</v>
      </c>
      <c r="I92" s="379">
        <f>IF(H92,Wh_hp,'2022'!Maxi_hp)</f>
        <v>46.811989092410982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2.8766365367643987E-2</v>
      </c>
      <c r="M92" s="832"/>
      <c r="N92" s="832"/>
      <c r="O92" s="48">
        <f>IF(t&lt;Tnet,'2022'!Resal+('2022'!Salim-'2022'!Resal)*(1-EXP(('2022'!Tnet-t)/('2022'!Tau_j))),Resal+(Salim-Resal)*(1-EXP((Tnet-t)/(Tau_j))))*Salcycl</f>
        <v>3.2893588207753642E-2</v>
      </c>
      <c r="P92" s="338">
        <f>(INDEX(Models!$BJ92:$BT92,,T92)*(1-R92)+INDEX(Models!$BJ92:$BT92,,T92+1)*R92-ERP_i)*Q92*Ramure*Pc/MaxiM</f>
        <v>5.3419807603810371E-4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48.069522074887352</v>
      </c>
      <c r="W92" s="400">
        <f t="shared" si="34"/>
        <v>29.215262713105144</v>
      </c>
      <c r="X92" s="157">
        <f t="shared" si="35"/>
        <v>45004</v>
      </c>
      <c r="Y92" s="383">
        <f t="shared" si="36"/>
        <v>27.533928978839882</v>
      </c>
      <c r="Z92" s="383">
        <f t="shared" si="37"/>
        <v>28.349439307939932</v>
      </c>
      <c r="AA92" s="384">
        <f t="shared" si="38"/>
        <v>31.103683166907896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8.855040877918538E-2</v>
      </c>
      <c r="AD92" s="230">
        <f>(INDEX(Models!$BJ92:$BT92,,AH92)*(1-AF92)+INDEX(Models!$BJ92:$BT92,,AH92+1)*AF92-ERP_i)*AE92*Ramure*Pc/MaxiM</f>
        <v>5.3419807603810371E-4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'2022'!Wh/'2022'!Env_an*'2023'!Env_an</f>
        <v>32.440132492676163</v>
      </c>
      <c r="C93" s="829"/>
      <c r="D93" s="391">
        <f t="shared" si="25"/>
        <v>33.401596748252665</v>
      </c>
      <c r="E93" s="383">
        <f t="shared" si="47"/>
        <v>34.539912668024165</v>
      </c>
      <c r="F93" s="383">
        <f t="shared" si="26"/>
        <v>34.54934686123039</v>
      </c>
      <c r="G93" s="110">
        <f t="shared" si="48"/>
        <v>0.66984927504683156</v>
      </c>
      <c r="H93" s="412" t="b">
        <f>Wh_hp&gt;='2022'!Maxi_hp</f>
        <v>0</v>
      </c>
      <c r="I93" s="379">
        <f>IF(H93,Wh_hp,'2022'!Maxi_hp)</f>
        <v>50.974512464979433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2.8784978838677699E-2</v>
      </c>
      <c r="M93" s="832"/>
      <c r="N93" s="832"/>
      <c r="O93" s="48">
        <f>IF(t&lt;Tnet,'2022'!Resal+('2022'!Salim-'2022'!Resal)*(1-EXP(('2022'!Tnet-t)/('2022'!Tau_j))),Resal+(Salim-Resal)*(1-EXP((Tnet-t)/(Tau_j))))*Salcycl</f>
        <v>3.2956537288101384E-2</v>
      </c>
      <c r="P93" s="338">
        <f>(INDEX(Models!$BJ93:$BT93,,T93)*(1-R93)+INDEX(Models!$BJ93:$BT93,,T93+1)*R93-ERP_i)*Q93*Ramure*Pc/MaxiM</f>
        <v>5.1659070266698757E-4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48.417205951034866</v>
      </c>
      <c r="W93" s="400">
        <f t="shared" si="34"/>
        <v>32.440132492676163</v>
      </c>
      <c r="X93" s="157">
        <f t="shared" si="35"/>
        <v>45005</v>
      </c>
      <c r="Y93" s="383">
        <f t="shared" si="36"/>
        <v>30.574698968007944</v>
      </c>
      <c r="Z93" s="383">
        <f t="shared" si="37"/>
        <v>31.480875297262703</v>
      </c>
      <c r="AA93" s="384">
        <f t="shared" si="38"/>
        <v>34.539912668024165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8.8565289674093786E-2</v>
      </c>
      <c r="AD93" s="230">
        <f>(INDEX(Models!$BJ93:$BT93,,AH93)*(1-AF93)+INDEX(Models!$BJ93:$BT93,,AH93+1)*AF93-ERP_i)*AE93*Ramure*Pc/MaxiM</f>
        <v>5.1659070266698757E-4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'2022'!Wh/'2022'!Env_an*'2023'!Env_an</f>
        <v>45.921143448065855</v>
      </c>
      <c r="C94" s="829"/>
      <c r="D94" s="391">
        <f t="shared" si="25"/>
        <v>47.283065575179734</v>
      </c>
      <c r="E94" s="383">
        <f t="shared" si="47"/>
        <v>48.897646432455005</v>
      </c>
      <c r="F94" s="383">
        <f t="shared" si="26"/>
        <v>48.920085963449083</v>
      </c>
      <c r="G94" s="110">
        <f t="shared" si="48"/>
        <v>0.94162639341057841</v>
      </c>
      <c r="H94" s="412" t="b">
        <f>Wh_hp&gt;='2022'!Maxi_hp</f>
        <v>0</v>
      </c>
      <c r="I94" s="379">
        <f>IF(H94,Wh_hp,'2022'!Maxi_hp)</f>
        <v>52.150714918937091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2.8803591952988539E-2</v>
      </c>
      <c r="M94" s="832"/>
      <c r="N94" s="832"/>
      <c r="O94" s="48">
        <f>IF(t&lt;Tnet,'2022'!Resal+('2022'!Salim-'2022'!Resal)*(1-EXP(('2022'!Tnet-t)/('2022'!Tau_j))),Resal+(Salim-Resal)*(1-EXP((Tnet-t)/(Tau_j))))*Salcycl</f>
        <v>3.3019602681809646E-2</v>
      </c>
      <c r="P94" s="338">
        <f>(INDEX(Models!$BJ94:$BT94,,T94)*(1-R94)+INDEX(Models!$BJ94:$BT94,,T94+1)*R94-ERP_i)*Q94*Ramure*Pc/MaxiM</f>
        <v>5.0039826256471909E-4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48.76586717745257</v>
      </c>
      <c r="W94" s="400">
        <f t="shared" si="34"/>
        <v>45.921143448065855</v>
      </c>
      <c r="X94" s="157">
        <f t="shared" si="35"/>
        <v>45006</v>
      </c>
      <c r="Y94" s="383">
        <f t="shared" si="36"/>
        <v>43.282594720833288</v>
      </c>
      <c r="Z94" s="383">
        <f t="shared" si="37"/>
        <v>44.566263180349573</v>
      </c>
      <c r="AA94" s="384">
        <f t="shared" si="38"/>
        <v>48.897646432455005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8.8580608027599247E-2</v>
      </c>
      <c r="AD94" s="230">
        <f>(INDEX(Models!$BJ94:$BT94,,AH94)*(1-AF94)+INDEX(Models!$BJ94:$BT94,,AH94+1)*AF94-ERP_i)*AE94*Ramure*Pc/MaxiM</f>
        <v>5.0039826256471909E-4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'2022'!Wh/'2022'!Env_an*'2023'!Env_an</f>
        <v>43.597765153562591</v>
      </c>
      <c r="C95" s="829"/>
      <c r="D95" s="391">
        <f t="shared" si="25"/>
        <v>44.891641226795343</v>
      </c>
      <c r="E95" s="383">
        <f t="shared" si="47"/>
        <v>46.427596001748654</v>
      </c>
      <c r="F95" s="383">
        <f t="shared" si="26"/>
        <v>46.446497937061231</v>
      </c>
      <c r="G95" s="110">
        <f t="shared" si="48"/>
        <v>0.88760295799876909</v>
      </c>
      <c r="H95" s="412" t="b">
        <f>Wh_hp&gt;='2022'!Maxi_hp</f>
        <v>0</v>
      </c>
      <c r="I95" s="379">
        <f>IF(H95,Wh_hp,'2022'!Maxi_hp)</f>
        <v>50.892769880316351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2.8822204710583166E-2</v>
      </c>
      <c r="M95" s="832"/>
      <c r="N95" s="832"/>
      <c r="O95" s="48">
        <f>IF(t&lt;Tnet,'2022'!Resal+('2022'!Salim-'2022'!Resal)*(1-EXP(('2022'!Tnet-t)/('2022'!Tau_j))),Resal+(Salim-Resal)*(1-EXP((Tnet-t)/(Tau_j))))*Salcycl</f>
        <v>3.308279788803746E-2</v>
      </c>
      <c r="P95" s="338">
        <f>(INDEX(Models!$BJ95:$BT95,,T95)*(1-R95)+INDEX(Models!$BJ95:$BT95,,T95+1)*R95-ERP_i)*Q95*Ramure*Pc/MaxiM</f>
        <v>4.8474832122759163E-4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49.114721900542449</v>
      </c>
      <c r="W95" s="400">
        <f t="shared" si="34"/>
        <v>43.597765153562591</v>
      </c>
      <c r="X95" s="157">
        <f t="shared" si="35"/>
        <v>45007</v>
      </c>
      <c r="Y95" s="383">
        <f t="shared" si="36"/>
        <v>41.094687458518315</v>
      </c>
      <c r="Z95" s="383">
        <f t="shared" si="37"/>
        <v>42.314278248373512</v>
      </c>
      <c r="AA95" s="384">
        <f t="shared" si="38"/>
        <v>46.427596001748654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8.8596397565366539E-2</v>
      </c>
      <c r="AD95" s="230">
        <f>(INDEX(Models!$BJ95:$BT95,,AH95)*(1-AF95)+INDEX(Models!$BJ95:$BT95,,AH95+1)*AF95-ERP_i)*AE95*Ramure*Pc/MaxiM</f>
        <v>4.8474832122759163E-4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'2022'!Wh/'2022'!Env_an*'2023'!Env_an</f>
        <v>49.694029253562363</v>
      </c>
      <c r="C96" s="829"/>
      <c r="D96" s="391">
        <f t="shared" si="25"/>
        <v>51.169808337451713</v>
      </c>
      <c r="E96" s="383">
        <f t="shared" si="47"/>
        <v>52.92403565265969</v>
      </c>
      <c r="F96" s="383">
        <f t="shared" si="26"/>
        <v>52.948902458584229</v>
      </c>
      <c r="G96" s="110">
        <f t="shared" si="48"/>
        <v>1.0046718730909368</v>
      </c>
      <c r="H96" s="412" t="b">
        <f>Wh_hp&gt;='2022'!Maxi_hp</f>
        <v>0</v>
      </c>
      <c r="I96" s="379">
        <f>IF(H96,Wh_hp,'2022'!Maxi_hp)</f>
        <v>53.286062169656844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2.8840817111468686E-2</v>
      </c>
      <c r="M96" s="832"/>
      <c r="N96" s="832"/>
      <c r="O96" s="48">
        <f>IF(t&lt;Tnet,'2022'!Resal+('2022'!Salim-'2022'!Resal)*(1-EXP(('2022'!Tnet-t)/('2022'!Tau_j))),Resal+(Salim-Resal)*(1-EXP((Tnet-t)/(Tau_j))))*Salcycl</f>
        <v>3.3146136600786878E-2</v>
      </c>
      <c r="P96" s="338">
        <f>(INDEX(Models!$BJ96:$BT96,,T96)*(1-R96)+INDEX(Models!$BJ96:$BT96,,T96+1)*R96-ERP_i)*Q96*Ramure*Pc/MaxiM</f>
        <v>4.6963779738387162E-4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49.462944653437475</v>
      </c>
      <c r="W96" s="400">
        <f t="shared" si="34"/>
        <v>49.694029253562363</v>
      </c>
      <c r="X96" s="157">
        <f t="shared" si="35"/>
        <v>45008</v>
      </c>
      <c r="Y96" s="383">
        <f t="shared" si="36"/>
        <v>46.843177903454311</v>
      </c>
      <c r="Z96" s="383">
        <f t="shared" si="37"/>
        <v>48.234294365757876</v>
      </c>
      <c r="AA96" s="384">
        <f t="shared" si="38"/>
        <v>52.92403565265969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8.8612692306395013E-2</v>
      </c>
      <c r="AD96" s="230">
        <f>(INDEX(Models!$BJ96:$BT96,,AH96)*(1-AF96)+INDEX(Models!$BJ96:$BT96,,AH96+1)*AF96-ERP_i)*AE96*Ramure*Pc/MaxiM</f>
        <v>4.6963779738387162E-4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'2022'!Wh/'2022'!Env_an*'2023'!Env_an</f>
        <v>48.877848528803526</v>
      </c>
      <c r="C97" s="829"/>
      <c r="D97" s="391">
        <f t="shared" si="25"/>
        <v>50.330353808931264</v>
      </c>
      <c r="E97" s="383">
        <f t="shared" si="47"/>
        <v>52.059221429720729</v>
      </c>
      <c r="F97" s="383">
        <f t="shared" si="26"/>
        <v>52.082288697812871</v>
      </c>
      <c r="G97" s="110">
        <f t="shared" si="48"/>
        <v>0.98127962564726823</v>
      </c>
      <c r="H97" s="412" t="b">
        <f>Wh_hp&gt;='2022'!Maxi_hp</f>
        <v>0</v>
      </c>
      <c r="I97" s="379">
        <f>IF(H97,Wh_hp,'2022'!Maxi_hp)</f>
        <v>52.432685420203406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2.8859429155651761E-2</v>
      </c>
      <c r="M97" s="832"/>
      <c r="N97" s="832"/>
      <c r="O97" s="48">
        <f>IF(t&lt;Tnet,'2022'!Resal+('2022'!Salim-'2022'!Resal)*(1-EXP(('2022'!Tnet-t)/('2022'!Tau_j))),Resal+(Salim-Resal)*(1-EXP((Tnet-t)/(Tau_j))))*Salcycl</f>
        <v>3.3209632670427362E-2</v>
      </c>
      <c r="P97" s="338">
        <f>(INDEX(Models!$BJ97:$BT97,,T97)*(1-R97)+INDEX(Models!$BJ97:$BT97,,T97+1)*R97-ERP_i)*Q97*Ramure*Pc/MaxiM</f>
        <v>4.5506258569918398E-4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49.809710227282558</v>
      </c>
      <c r="W97" s="400">
        <f t="shared" si="34"/>
        <v>48.877848528803526</v>
      </c>
      <c r="X97" s="157">
        <f t="shared" si="35"/>
        <v>45009</v>
      </c>
      <c r="Y97" s="383">
        <f t="shared" si="36"/>
        <v>46.075994822362254</v>
      </c>
      <c r="Z97" s="383">
        <f t="shared" si="37"/>
        <v>47.445237286608211</v>
      </c>
      <c r="AA97" s="384">
        <f t="shared" si="38"/>
        <v>52.059221429720729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8.862952645846485E-2</v>
      </c>
      <c r="AD97" s="230">
        <f>(INDEX(Models!$BJ97:$BT97,,AH97)*(1-AF97)+INDEX(Models!$BJ97:$BT97,,AH97+1)*AF97-ERP_i)*AE97*Ramure*Pc/MaxiM</f>
        <v>4.5506258569918398E-4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'2022'!Wh/'2022'!Env_an*'2023'!Env_an</f>
        <v>43.497101962416679</v>
      </c>
      <c r="C98" s="829"/>
      <c r="D98" s="391">
        <f t="shared" si="25"/>
        <v>44.790565749518585</v>
      </c>
      <c r="E98" s="383">
        <f t="shared" si="47"/>
        <v>46.332190631088743</v>
      </c>
      <c r="F98" s="383">
        <f t="shared" si="26"/>
        <v>46.348755345218564</v>
      </c>
      <c r="G98" s="110">
        <f t="shared" si="48"/>
        <v>0.86719494499235039</v>
      </c>
      <c r="H98" s="412" t="b">
        <f>Wh_hp&gt;='2022'!Maxi_hp</f>
        <v>0</v>
      </c>
      <c r="I98" s="379">
        <f>IF(H98,Wh_hp,'2022'!Maxi_hp)</f>
        <v>46.350209045253081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2.8878040843139163E-2</v>
      </c>
      <c r="M98" s="832"/>
      <c r="N98" s="832"/>
      <c r="O98" s="48">
        <f>IF(t&lt;Tnet,'2022'!Resal+('2022'!Salim-'2022'!Resal)*(1-EXP(('2022'!Tnet-t)/('2022'!Tau_j))),Resal+(Salim-Resal)*(1-EXP((Tnet-t)/(Tau_j))))*Salcycl</f>
        <v>3.3273300065715772E-2</v>
      </c>
      <c r="P98" s="338">
        <f>(INDEX(Models!$BJ98:$BT98,,T98)*(1-R98)+INDEX(Models!$BJ98:$BT98,,T98+1)*R98-ERP_i)*Q98*Ramure*Pc/MaxiM</f>
        <v>4.4101768960535235E-4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50.154193673842343</v>
      </c>
      <c r="W98" s="400">
        <f t="shared" si="34"/>
        <v>43.497101962416679</v>
      </c>
      <c r="X98" s="157">
        <f t="shared" si="35"/>
        <v>45010</v>
      </c>
      <c r="Y98" s="383">
        <f t="shared" si="36"/>
        <v>41.005609159768916</v>
      </c>
      <c r="Z98" s="383">
        <f t="shared" si="37"/>
        <v>42.224983971498752</v>
      </c>
      <c r="AA98" s="384">
        <f t="shared" si="38"/>
        <v>46.332190631088743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8.8646934315988704E-2</v>
      </c>
      <c r="AD98" s="230">
        <f>(INDEX(Models!$BJ98:$BT98,,AH98)*(1-AF98)+INDEX(Models!$BJ98:$BT98,,AH98+1)*AF98-ERP_i)*AE98*Ramure*Pc/MaxiM</f>
        <v>4.4101768960535235E-4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'2022'!Wh/'2022'!Env_an*'2023'!Env_an</f>
        <v>48.150203108116564</v>
      </c>
      <c r="C99" s="829"/>
      <c r="D99" s="391">
        <f t="shared" si="25"/>
        <v>49.582985390696976</v>
      </c>
      <c r="E99" s="383">
        <f t="shared" si="47"/>
        <v>51.292946176828011</v>
      </c>
      <c r="F99" s="383">
        <f t="shared" si="26"/>
        <v>51.313426991407056</v>
      </c>
      <c r="G99" s="110">
        <f t="shared" si="48"/>
        <v>0.95352595199960799</v>
      </c>
      <c r="H99" s="412" t="b">
        <f>Wh_hp&gt;='2022'!Maxi_hp</f>
        <v>0</v>
      </c>
      <c r="I99" s="379">
        <f>IF(H99,Wh_hp,'2022'!Maxi_hp)</f>
        <v>54.664172365947202</v>
      </c>
      <c r="J99" s="85">
        <f>IF(H99,An,'2022'!An_max)</f>
        <v>2018</v>
      </c>
      <c r="K99" s="197">
        <f t="shared" si="27"/>
        <v>45011</v>
      </c>
      <c r="L99" s="147">
        <f>IF(t&lt;Tvie,1-EXP((T0-t)*PertePVj)+'2022'!Pspv,1-EXP((T0-t)*PertePVj)+Pspv)</f>
        <v>2.8896652173937887E-2</v>
      </c>
      <c r="M99" s="832"/>
      <c r="N99" s="832"/>
      <c r="O99" s="48">
        <f>IF(t&lt;Tnet,'2022'!Resal+('2022'!Salim-'2022'!Resal)*(1-EXP(('2022'!Tnet-t)/('2022'!Tau_j))),Resal+(Salim-Resal)*(1-EXP((Tnet-t)/(Tau_j))))*Salcycl</f>
        <v>3.3337152836495181E-2</v>
      </c>
      <c r="P99" s="338">
        <f>(INDEX(Models!$BJ99:$BT99,,T99)*(1-R99)+INDEX(Models!$BJ99:$BT99,,T99+1)*R99-ERP_i)*Q99*Ramure*Pc/MaxiM</f>
        <v>4.2749734883697264E-4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50.495570308615356</v>
      </c>
      <c r="W99" s="400">
        <f t="shared" si="34"/>
        <v>48.150203108116564</v>
      </c>
      <c r="X99" s="157">
        <f t="shared" si="35"/>
        <v>45011</v>
      </c>
      <c r="Y99" s="383">
        <f t="shared" si="36"/>
        <v>45.394283930604615</v>
      </c>
      <c r="Z99" s="383">
        <f t="shared" si="37"/>
        <v>46.745059660462992</v>
      </c>
      <c r="AA99" s="384">
        <f t="shared" si="38"/>
        <v>51.292946176828011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8.8664950160721401E-2</v>
      </c>
      <c r="AD99" s="230">
        <f>(INDEX(Models!$BJ99:$BT99,,AH99)*(1-AF99)+INDEX(Models!$BJ99:$BT99,,AH99+1)*AF99-ERP_i)*AE99*Ramure*Pc/MaxiM</f>
        <v>4.2749734883697264E-4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'2022'!Wh/'2022'!Env_an*'2023'!Env_an</f>
        <v>46.551588893775467</v>
      </c>
      <c r="C100" s="829"/>
      <c r="D100" s="391">
        <f t="shared" si="25"/>
        <v>47.937720702609369</v>
      </c>
      <c r="E100" s="383">
        <f t="shared" si="47"/>
        <v>49.594227671719096</v>
      </c>
      <c r="F100" s="383">
        <f t="shared" si="26"/>
        <v>49.612324912846361</v>
      </c>
      <c r="G100" s="110">
        <f t="shared" si="48"/>
        <v>0.91572913301923575</v>
      </c>
      <c r="H100" s="412" t="b">
        <f>Wh_hp&gt;='2022'!Maxi_hp</f>
        <v>0</v>
      </c>
      <c r="I100" s="379">
        <f>IF(H100,Wh_hp,'2022'!Maxi_hp)</f>
        <v>53.82661692337178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2.8915263148054704E-2</v>
      </c>
      <c r="M100" s="832"/>
      <c r="N100" s="832"/>
      <c r="O100" s="48">
        <f>IF(t&lt;Tnet,'2022'!Resal+('2022'!Salim-'2022'!Resal)*(1-EXP(('2022'!Tnet-t)/('2022'!Tau_j))),Resal+(Salim-Resal)*(1-EXP((Tnet-t)/(Tau_j))))*Salcycl</f>
        <v>3.3401205077226159E-2</v>
      </c>
      <c r="P100" s="338">
        <f>(INDEX(Models!$BJ100:$BT100,,T100)*(1-R100)+INDEX(Models!$BJ100:$BT100,,T100+1)*R100-ERP_i)*Q100*Ramure*Pc/MaxiM</f>
        <v>4.1466644467346749E-4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50.833007002725118</v>
      </c>
      <c r="W100" s="400">
        <f t="shared" si="34"/>
        <v>46.551588893775467</v>
      </c>
      <c r="X100" s="157">
        <f t="shared" si="35"/>
        <v>45012</v>
      </c>
      <c r="Y100" s="383">
        <f t="shared" si="36"/>
        <v>43.889177441213938</v>
      </c>
      <c r="Z100" s="383">
        <f t="shared" si="37"/>
        <v>45.196032617599904</v>
      </c>
      <c r="AA100" s="384">
        <f t="shared" si="38"/>
        <v>49.594227671719096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8.8683608165698813E-2</v>
      </c>
      <c r="AD100" s="230">
        <f>(INDEX(Models!$BJ100:$BT100,,AH100)*(1-AF100)+INDEX(Models!$BJ100:$BT100,,AH100+1)*AF100-ERP_i)*AE100*Ramure*Pc/MaxiM</f>
        <v>4.1466644467346749E-4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'2022'!Wh/'2022'!Env_an*'2023'!Env_an</f>
        <v>14.990240058947977</v>
      </c>
      <c r="C101" s="829"/>
      <c r="D101" s="391">
        <f t="shared" si="25"/>
        <v>15.436889058292588</v>
      </c>
      <c r="E101" s="383">
        <f t="shared" si="47"/>
        <v>15.971378769603479</v>
      </c>
      <c r="F101" s="383">
        <f t="shared" si="26"/>
        <v>15.971378769603479</v>
      </c>
      <c r="G101" s="110">
        <f t="shared" si="48"/>
        <v>0.29285658631630918</v>
      </c>
      <c r="H101" s="412" t="b">
        <f>Wh_hp&gt;='2022'!Maxi_hp</f>
        <v>0</v>
      </c>
      <c r="I101" s="379">
        <f>IF(H101,Wh_hp,'2022'!Maxi_hp)</f>
        <v>53.283033319082513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2.8933873765496387E-2</v>
      </c>
      <c r="M101" s="832"/>
      <c r="N101" s="832"/>
      <c r="O101" s="48">
        <f>IF(t&lt;Tnet,'2022'!Resal+('2022'!Salim-'2022'!Resal)*(1-EXP(('2022'!Tnet-t)/('2022'!Tau_j))),Resal+(Salim-Resal)*(1-EXP((Tnet-t)/(Tau_j))))*Salcycl</f>
        <v>3.3465470891475377E-2</v>
      </c>
      <c r="P101" s="338">
        <f>(INDEX(Models!$BJ101:$BT101,,T101)*(1-R101)+INDEX(Models!$BJ101:$BT101,,T101+1)*R101-ERP_i)*Q101*Ramure*Pc/MaxiM</f>
        <v>4.0240747794121132E-4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51.165685097715198</v>
      </c>
      <c r="W101" s="400">
        <f t="shared" si="34"/>
        <v>14.990240058947977</v>
      </c>
      <c r="X101" s="157">
        <f t="shared" si="35"/>
        <v>45013</v>
      </c>
      <c r="Y101" s="383">
        <f t="shared" si="36"/>
        <v>14.133547481739024</v>
      </c>
      <c r="Z101" s="383">
        <f t="shared" si="37"/>
        <v>14.554670480108891</v>
      </c>
      <c r="AA101" s="384">
        <f t="shared" si="38"/>
        <v>15.971378769603479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8.8702942302692697E-2</v>
      </c>
      <c r="AD101" s="230">
        <f>(INDEX(Models!$BJ101:$BT101,,AH101)*(1-AF101)+INDEX(Models!$BJ101:$BT101,,AH101+1)*AF101-ERP_i)*AE101*Ramure*Pc/MaxiM</f>
        <v>4.0240747794121132E-4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'2022'!Wh/'2022'!Env_an*'2023'!Env_an</f>
        <v>28.770687172500136</v>
      </c>
      <c r="C102" s="829"/>
      <c r="D102" s="391">
        <f t="shared" si="25"/>
        <v>29.628506019759463</v>
      </c>
      <c r="E102" s="383">
        <f t="shared" si="47"/>
        <v>30.65641450545473</v>
      </c>
      <c r="F102" s="383">
        <f t="shared" si="26"/>
        <v>30.660842368134517</v>
      </c>
      <c r="G102" s="110">
        <f t="shared" si="48"/>
        <v>0.55859480870258216</v>
      </c>
      <c r="H102" s="412" t="b">
        <f>Wh_hp&gt;='2022'!Maxi_hp</f>
        <v>0</v>
      </c>
      <c r="I102" s="379">
        <f>IF(H102,Wh_hp,'2022'!Maxi_hp)</f>
        <v>55.473113479022246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2.8952484026269931E-2</v>
      </c>
      <c r="M102" s="832"/>
      <c r="N102" s="832"/>
      <c r="O102" s="48">
        <f>IF(t&lt;Tnet,'2022'!Resal+('2022'!Salim-'2022'!Resal)*(1-EXP(('2022'!Tnet-t)/('2022'!Tau_j))),Resal+(Salim-Resal)*(1-EXP((Tnet-t)/(Tau_j))))*Salcycl</f>
        <v>3.3529964357455096E-2</v>
      </c>
      <c r="P102" s="338">
        <f>(INDEX(Models!$BJ102:$BT102,,T102)*(1-R102)+INDEX(Models!$BJ102:$BT102,,T102+1)*R102-ERP_i)*Q102*Ramure*Pc/MaxiM</f>
        <v>3.9071241526585061E-4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51.492780694595986</v>
      </c>
      <c r="W102" s="400">
        <f t="shared" si="34"/>
        <v>28.770687172500136</v>
      </c>
      <c r="X102" s="157">
        <f t="shared" si="35"/>
        <v>45014</v>
      </c>
      <c r="Y102" s="383">
        <f t="shared" si="36"/>
        <v>27.127655202019007</v>
      </c>
      <c r="Z102" s="383">
        <f t="shared" si="37"/>
        <v>27.936485862709212</v>
      </c>
      <c r="AA102" s="384">
        <f t="shared" si="38"/>
        <v>30.65641450545473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8.8722986253384498E-2</v>
      </c>
      <c r="AD102" s="230">
        <f>(INDEX(Models!$BJ102:$BT102,,AH102)*(1-AF102)+INDEX(Models!$BJ102:$BT102,,AH102+1)*AF102-ERP_i)*AE102*Ramure*Pc/MaxiM</f>
        <v>3.9071241526585061E-4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'2022'!Wh/'2022'!Env_an*'2023'!Env_an</f>
        <v>8.0670029577810549</v>
      </c>
      <c r="C103" s="829"/>
      <c r="D103" s="391">
        <f t="shared" si="25"/>
        <v>8.3076857005559521</v>
      </c>
      <c r="E103" s="383">
        <f t="shared" si="47"/>
        <v>8.5964819276259625</v>
      </c>
      <c r="F103" s="383">
        <f t="shared" si="26"/>
        <v>8.5964819276259625</v>
      </c>
      <c r="G103" s="110">
        <f t="shared" si="48"/>
        <v>0.15563406415709277</v>
      </c>
      <c r="H103" s="412" t="b">
        <f>Wh_hp&gt;='2022'!Maxi_hp</f>
        <v>0</v>
      </c>
      <c r="I103" s="379">
        <f>IF(H103,Wh_hp,'2022'!Maxi_hp)</f>
        <v>54.228775027955102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2.8971093930381997E-2</v>
      </c>
      <c r="M103" s="832"/>
      <c r="N103" s="832"/>
      <c r="O103" s="48">
        <f>IF(t&lt;Tnet,'2022'!Resal+('2022'!Salim-'2022'!Resal)*(1-EXP(('2022'!Tnet-t)/('2022'!Tau_j))),Resal+(Salim-Resal)*(1-EXP((Tnet-t)/(Tau_j))))*Salcycl</f>
        <v>3.359469949467634E-2</v>
      </c>
      <c r="P103" s="338">
        <f>(INDEX(Models!$BJ103:$BT103,,T103)*(1-R103)+INDEX(Models!$BJ103:$BT103,,T103+1)*R103-ERP_i)*Q103*Ramure*Pc/MaxiM</f>
        <v>3.7957304689927761E-4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51.813470171603967</v>
      </c>
      <c r="W103" s="400">
        <f t="shared" si="34"/>
        <v>8.0670029577810549</v>
      </c>
      <c r="X103" s="157">
        <f t="shared" si="35"/>
        <v>45015</v>
      </c>
      <c r="Y103" s="383">
        <f t="shared" si="36"/>
        <v>7.6066497897360899</v>
      </c>
      <c r="Z103" s="383">
        <f t="shared" si="37"/>
        <v>7.8335976840536308</v>
      </c>
      <c r="AA103" s="384">
        <f t="shared" si="38"/>
        <v>8.5964819276259625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8.8743773324375802E-2</v>
      </c>
      <c r="AD103" s="230">
        <f>(INDEX(Models!$BJ103:$BT103,,AH103)*(1-AF103)+INDEX(Models!$BJ103:$BT103,,AH103+1)*AF103-ERP_i)*AE103*Ramure*Pc/MaxiM</f>
        <v>3.7957304689927761E-4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'2022'!Wh/'2022'!Env_an*'2023'!Env_an</f>
        <v>28.733913535030887</v>
      </c>
      <c r="C104" s="829"/>
      <c r="D104" s="391">
        <f t="shared" si="25"/>
        <v>29.591770177871766</v>
      </c>
      <c r="E104" s="383">
        <f t="shared" si="47"/>
        <v>30.622514531105992</v>
      </c>
      <c r="F104" s="383">
        <f t="shared" si="26"/>
        <v>30.626570321180374</v>
      </c>
      <c r="G104" s="110">
        <f t="shared" si="48"/>
        <v>0.55109931499094944</v>
      </c>
      <c r="H104" s="412" t="b">
        <f>Wh_hp&gt;='2022'!Maxi_hp</f>
        <v>0</v>
      </c>
      <c r="I104" s="379">
        <f>IF(H104,Wh_hp,'2022'!Maxi_hp)</f>
        <v>49.948595361830613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2.8989703477839579E-2</v>
      </c>
      <c r="M104" s="832"/>
      <c r="N104" s="832"/>
      <c r="O104" s="48">
        <f>IF(t&lt;Tnet,'2022'!Resal+('2022'!Salim-'2022'!Resal)*(1-EXP(('2022'!Tnet-t)/('2022'!Tau_j))),Resal+(Salim-Resal)*(1-EXP((Tnet-t)/(Tau_j))))*Salcycl</f>
        <v>3.3659690231747828E-2</v>
      </c>
      <c r="P104" s="338">
        <f>(INDEX(Models!$BJ104:$BT104,,T104)*(1-R104)+INDEX(Models!$BJ104:$BT104,,T104+1)*R104-ERP_i)*Q104*Ramure*Pc/MaxiM</f>
        <v>3.6898109439047796E-4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52.126930180066992</v>
      </c>
      <c r="W104" s="400">
        <f t="shared" si="34"/>
        <v>28.733913535030887</v>
      </c>
      <c r="X104" s="157">
        <f t="shared" si="35"/>
        <v>45016</v>
      </c>
      <c r="Y104" s="383">
        <f t="shared" si="36"/>
        <v>27.095359440464158</v>
      </c>
      <c r="Z104" s="383">
        <f t="shared" si="37"/>
        <v>27.904296728377471</v>
      </c>
      <c r="AA104" s="384">
        <f t="shared" si="38"/>
        <v>30.622514531105992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8.8765336366070924E-2</v>
      </c>
      <c r="AD104" s="230">
        <f>(INDEX(Models!$BJ104:$BT104,,AH104)*(1-AF104)+INDEX(Models!$BJ104:$BT104,,AH104+1)*AF104-ERP_i)*AE104*Ramure*Pc/MaxiM</f>
        <v>3.6898109439047796E-4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'2022'!Wh/'2022'!Env_an*'2023'!Env_an</f>
        <v>33.647737035297425</v>
      </c>
      <c r="C105" s="829"/>
      <c r="D105" s="391">
        <f t="shared" si="25"/>
        <v>34.65296096177098</v>
      </c>
      <c r="E105" s="383">
        <f t="shared" si="47"/>
        <v>35.862419272060208</v>
      </c>
      <c r="F105" s="383">
        <f t="shared" si="26"/>
        <v>35.868704435057595</v>
      </c>
      <c r="G105" s="110">
        <f t="shared" si="48"/>
        <v>0.64161844238127808</v>
      </c>
      <c r="H105" s="412" t="b">
        <f>Wh_hp&gt;='2022'!Maxi_hp</f>
        <v>0</v>
      </c>
      <c r="I105" s="379">
        <f>IF(H105,Wh_hp,'2022'!Maxi_hp)</f>
        <v>50.703405728850484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2.9008312668649339E-2</v>
      </c>
      <c r="M105" s="832"/>
      <c r="N105" s="832"/>
      <c r="O105" s="48">
        <f>IF(t&lt;Tnet,'2022'!Resal+('2022'!Salim-'2022'!Resal)*(1-EXP(('2022'!Tnet-t)/('2022'!Tau_j))),Resal+(Salim-Resal)*(1-EXP((Tnet-t)/(Tau_j))))*Salcycl</f>
        <v>3.3724950375322166E-2</v>
      </c>
      <c r="P105" s="338">
        <f>(INDEX(Models!$BJ105:$BT105,,T105)*(1-R105)+INDEX(Models!$BJ105:$BT105,,T105+1)*R105-ERP_i)*Q105*Ramure*Pc/MaxiM</f>
        <v>3.5892831237841697E-4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52.432337654411569</v>
      </c>
      <c r="W105" s="400">
        <f t="shared" si="34"/>
        <v>33.647737035297425</v>
      </c>
      <c r="X105" s="157">
        <f t="shared" si="35"/>
        <v>45017</v>
      </c>
      <c r="Y105" s="383">
        <f t="shared" si="36"/>
        <v>31.730335587890121</v>
      </c>
      <c r="Z105" s="383">
        <f t="shared" si="37"/>
        <v>32.678277272483129</v>
      </c>
      <c r="AA105" s="384">
        <f t="shared" si="38"/>
        <v>35.862419272060208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8.8787707695386603E-2</v>
      </c>
      <c r="AD105" s="230">
        <f>(INDEX(Models!$BJ105:$BT105,,AH105)*(1-AF105)+INDEX(Models!$BJ105:$BT105,,AH105+1)*AF105-ERP_i)*AE105*Ramure*Pc/MaxiM</f>
        <v>3.5892831237841697E-4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'2022'!Wh/'2022'!Env_an*'2023'!Env_an</f>
        <v>21.005331078628313</v>
      </c>
      <c r="C106" s="829"/>
      <c r="D106" s="391">
        <f t="shared" si="25"/>
        <v>21.633278557155467</v>
      </c>
      <c r="E106" s="383">
        <f t="shared" si="47"/>
        <v>22.38984238244014</v>
      </c>
      <c r="F106" s="383">
        <f t="shared" si="26"/>
        <v>22.390941756717705</v>
      </c>
      <c r="G106" s="110">
        <f t="shared" si="48"/>
        <v>0.3982452645958065</v>
      </c>
      <c r="H106" s="412" t="b">
        <f>Wh_hp&gt;='2022'!Maxi_hp</f>
        <v>0</v>
      </c>
      <c r="I106" s="379">
        <f>IF(H106,Wh_hp,'2022'!Maxi_hp)</f>
        <v>45.942881049826532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2.902692150281827E-2</v>
      </c>
      <c r="M106" s="832"/>
      <c r="N106" s="832"/>
      <c r="O106" s="48">
        <f>IF(t&lt;Tnet,'2022'!Resal+('2022'!Salim-'2022'!Resal)*(1-EXP(('2022'!Tnet-t)/('2022'!Tau_j))),Resal+(Salim-Resal)*(1-EXP((Tnet-t)/(Tau_j))))*Salcycl</f>
        <v>3.3790493580161465E-2</v>
      </c>
      <c r="P106" s="338">
        <f>(INDEX(Models!$BJ106:$BT106,,T106)*(1-R106)+INDEX(Models!$BJ106:$BT106,,T106+1)*R106-ERP_i)*Q106*Ramure*Pc/MaxiM</f>
        <v>3.4940658503385699E-4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52.72886981166441</v>
      </c>
      <c r="W106" s="400">
        <f t="shared" si="34"/>
        <v>21.005331078628313</v>
      </c>
      <c r="X106" s="157">
        <f t="shared" si="35"/>
        <v>45018</v>
      </c>
      <c r="Y106" s="383">
        <f t="shared" si="36"/>
        <v>19.809190650680449</v>
      </c>
      <c r="Z106" s="383">
        <f t="shared" si="37"/>
        <v>20.401379903694153</v>
      </c>
      <c r="AA106" s="384">
        <f t="shared" si="38"/>
        <v>22.38984238244014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8.8810919022167673E-2</v>
      </c>
      <c r="AD106" s="230">
        <f>(INDEX(Models!$BJ106:$BT106,,AH106)*(1-AF106)+INDEX(Models!$BJ106:$BT106,,AH106+1)*AF106-ERP_i)*AE106*Ramure*Pc/MaxiM</f>
        <v>3.4940658503385699E-4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'2022'!Wh/'2022'!Env_an*'2023'!Env_an</f>
        <v>23.368817051391808</v>
      </c>
      <c r="C107" s="829"/>
      <c r="D107" s="391">
        <f t="shared" si="25"/>
        <v>24.067881422821969</v>
      </c>
      <c r="E107" s="383">
        <f t="shared" si="47"/>
        <v>24.911286232961697</v>
      </c>
      <c r="F107" s="383">
        <f t="shared" si="26"/>
        <v>24.912991622689553</v>
      </c>
      <c r="G107" s="110">
        <f t="shared" si="48"/>
        <v>0.4406516199735942</v>
      </c>
      <c r="H107" s="412" t="b">
        <f>Wh_hp&gt;='2022'!Maxi_hp</f>
        <v>0</v>
      </c>
      <c r="I107" s="379">
        <f>IF(H107,Wh_hp,'2022'!Maxi_hp)</f>
        <v>55.561785950469968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2.9045529980353146E-2</v>
      </c>
      <c r="M107" s="832"/>
      <c r="N107" s="832"/>
      <c r="O107" s="48">
        <f>IF(t&lt;Tnet,'2022'!Resal+('2022'!Salim-'2022'!Resal)*(1-EXP(('2022'!Tnet-t)/('2022'!Tau_j))),Resal+(Salim-Resal)*(1-EXP((Tnet-t)/(Tau_j))))*Salcycl</f>
        <v>3.3856333320266899E-2</v>
      </c>
      <c r="P107" s="338">
        <f>(INDEX(Models!$BJ107:$BT107,,T107)*(1-R107)+INDEX(Models!$BJ107:$BT107,,T107+1)*R107-ERP_i)*Q107*Ramure*Pc/MaxiM</f>
        <v>3.4039336731050946E-4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53.017986663660359</v>
      </c>
      <c r="W107" s="400">
        <f t="shared" si="34"/>
        <v>23.368817051391808</v>
      </c>
      <c r="X107" s="157">
        <f t="shared" si="35"/>
        <v>45019</v>
      </c>
      <c r="Y107" s="383">
        <f t="shared" si="36"/>
        <v>22.039008162811324</v>
      </c>
      <c r="Z107" s="383">
        <f t="shared" si="37"/>
        <v>22.698292086100984</v>
      </c>
      <c r="AA107" s="384">
        <f t="shared" si="38"/>
        <v>24.911286232961697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8.8835001379116305E-2</v>
      </c>
      <c r="AD107" s="230">
        <f>(INDEX(Models!$BJ107:$BT107,,AH107)*(1-AF107)+INDEX(Models!$BJ107:$BT107,,AH107+1)*AF107-ERP_i)*AE107*Ramure*Pc/MaxiM</f>
        <v>3.4039336731050946E-4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'2022'!Wh/'2022'!Env_an*'2023'!Env_an</f>
        <v>47.041797234076064</v>
      </c>
      <c r="C108" s="829"/>
      <c r="D108" s="391">
        <f t="shared" si="25"/>
        <v>48.449953369816043</v>
      </c>
      <c r="E108" s="383">
        <f t="shared" si="47"/>
        <v>50.151206823752787</v>
      </c>
      <c r="F108" s="383">
        <f t="shared" si="26"/>
        <v>50.165063830001451</v>
      </c>
      <c r="G108" s="110">
        <f t="shared" si="48"/>
        <v>0.88250923727677488</v>
      </c>
      <c r="H108" s="412" t="b">
        <f>Wh_hp&gt;='2022'!Maxi_hp</f>
        <v>0</v>
      </c>
      <c r="I108" s="379">
        <f>IF(H108,Wh_hp,'2022'!Maxi_hp)</f>
        <v>57.558924699627966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2.9064138101260739E-2</v>
      </c>
      <c r="M108" s="832"/>
      <c r="N108" s="832"/>
      <c r="O108" s="48">
        <f>IF(t&lt;Tnet,'2022'!Resal+('2022'!Salim-'2022'!Resal)*(1-EXP(('2022'!Tnet-t)/('2022'!Tau_j))),Resal+(Salim-Resal)*(1-EXP((Tnet-t)/(Tau_j))))*Salcycl</f>
        <v>3.3922482860990519E-2</v>
      </c>
      <c r="P108" s="338">
        <f>(INDEX(Models!$BJ108:$BT108,,T108)*(1-R108)+INDEX(Models!$BJ108:$BT108,,T108+1)*R108-ERP_i)*Q108*Ramure*Pc/MaxiM</f>
        <v>3.3191479905994342E-4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53.301625554225652</v>
      </c>
      <c r="W108" s="400">
        <f t="shared" si="34"/>
        <v>47.041797234076064</v>
      </c>
      <c r="X108" s="157">
        <f t="shared" si="35"/>
        <v>45020</v>
      </c>
      <c r="Y108" s="383">
        <f t="shared" si="36"/>
        <v>44.366692190321835</v>
      </c>
      <c r="Z108" s="383">
        <f t="shared" si="37"/>
        <v>45.694771334905049</v>
      </c>
      <c r="AA108" s="384">
        <f t="shared" si="38"/>
        <v>50.151206823752787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8.8859985054977011E-2</v>
      </c>
      <c r="AD108" s="230">
        <f>(INDEX(Models!$BJ108:$BT108,,AH108)*(1-AF108)+INDEX(Models!$BJ108:$BT108,,AH108+1)*AF108-ERP_i)*AE108*Ramure*Pc/MaxiM</f>
        <v>3.3191479905994342E-4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'2022'!Wh/'2022'!Env_an*'2023'!Env_an</f>
        <v>53.9805816294013</v>
      </c>
      <c r="C109" s="829"/>
      <c r="D109" s="391">
        <f t="shared" si="25"/>
        <v>55.59750987999859</v>
      </c>
      <c r="E109" s="383">
        <f t="shared" si="47"/>
        <v>57.553700013184049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Wh_hp&gt;='2022'!Maxi_hp</f>
        <v>0</v>
      </c>
      <c r="I109" s="379">
        <f>IF(H109,Wh_hp,'2022'!Maxi_hp)</f>
        <v>59.132284614261103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2.9082745865547932E-2</v>
      </c>
      <c r="M109" s="832"/>
      <c r="N109" s="832"/>
      <c r="O109" s="48">
        <f>IF(t&lt;Tnet,'2022'!Resal+('2022'!Salim-'2022'!Resal)*(1-EXP(('2022'!Tnet-t)/('2022'!Tau_j))),Resal+(Salim-Resal)*(1-EXP((Tnet-t)/(Tau_j))))*Salcycl</f>
        <v>3.3988955232024116E-2</v>
      </c>
      <c r="P109" s="338">
        <f>(INDEX(Models!$BJ109:$BT109,,T109)*(1-R109)+INDEX(Models!$BJ109:$BT109,,T109+1)*R109-ERP_i)*Q109*Ramure*Pc/MaxiM</f>
        <v>3.2378942708901736E-4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53.579693117303577</v>
      </c>
      <c r="W109" s="400">
        <f t="shared" si="34"/>
        <v>53.9805816294013</v>
      </c>
      <c r="X109" s="157">
        <f t="shared" si="35"/>
        <v>45021</v>
      </c>
      <c r="Y109" s="383">
        <f t="shared" si="36"/>
        <v>50.912946948651793</v>
      </c>
      <c r="Z109" s="383">
        <f t="shared" si="37"/>
        <v>52.43798761619432</v>
      </c>
      <c r="AA109" s="384">
        <f t="shared" si="38"/>
        <v>57.553700013184049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8.8885899530661838E-2</v>
      </c>
      <c r="AD109" s="230">
        <f>(INDEX(Models!$BJ109:$BT109,,AH109)*(1-AF109)+INDEX(Models!$BJ109:$BT109,,AH109+1)*AF109-ERP_i)*AE109*Ramure*Pc/MaxiM</f>
        <v>3.2378942708901736E-4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'2022'!Wh/'2022'!Env_an*'2023'!Env_an</f>
        <v>11.684493054968636</v>
      </c>
      <c r="C110" s="829"/>
      <c r="D110" s="391">
        <f t="shared" si="25"/>
        <v>12.03471968403802</v>
      </c>
      <c r="E110" s="383">
        <f t="shared" si="47"/>
        <v>12.459021158323877</v>
      </c>
      <c r="F110" s="383">
        <f t="shared" si="26"/>
        <v>12.459021158323877</v>
      </c>
      <c r="G110" s="110">
        <f t="shared" si="48"/>
        <v>0.21690525510269762</v>
      </c>
      <c r="H110" s="412" t="b">
        <f>Wh_hp&gt;='2022'!Maxi_hp</f>
        <v>0</v>
      </c>
      <c r="I110" s="379">
        <f>IF(H110,Wh_hp,'2022'!Maxi_hp)</f>
        <v>59.680123270108488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2.9101353273221608E-2</v>
      </c>
      <c r="M110" s="832"/>
      <c r="N110" s="832"/>
      <c r="O110" s="48">
        <f>IF(t&lt;Tnet,'2022'!Resal+('2022'!Salim-'2022'!Resal)*(1-EXP(('2022'!Tnet-t)/('2022'!Tau_j))),Resal+(Salim-Resal)*(1-EXP((Tnet-t)/(Tau_j))))*Salcycl</f>
        <v>3.4055763201138907E-2</v>
      </c>
      <c r="P110" s="338">
        <f>(INDEX(Models!$BJ110:$BT110,,T110)*(1-R110)+INDEX(Models!$BJ110:$BT110,,T110+1)*R110-ERP_i)*Q110*Ramure*Pc/MaxiM</f>
        <v>3.1600946409684951E-4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53.852086889502104</v>
      </c>
      <c r="W110" s="400">
        <f t="shared" si="34"/>
        <v>11.684493054968636</v>
      </c>
      <c r="X110" s="157">
        <f t="shared" si="35"/>
        <v>45022</v>
      </c>
      <c r="Y110" s="383">
        <f t="shared" si="36"/>
        <v>11.020918150252756</v>
      </c>
      <c r="Z110" s="383">
        <f t="shared" si="37"/>
        <v>11.351255033064398</v>
      </c>
      <c r="AA110" s="384">
        <f t="shared" si="38"/>
        <v>12.459021158323877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8.891277341794869E-2</v>
      </c>
      <c r="AD110" s="230">
        <f>(INDEX(Models!$BJ110:$BT110,,AH110)*(1-AF110)+INDEX(Models!$BJ110:$BT110,,AH110+1)*AF110-ERP_i)*AE110*Ramure*Pc/MaxiM</f>
        <v>3.1600946409684951E-4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'2022'!Wh/'2022'!Env_an*'2023'!Env_an</f>
        <v>39.224165392062339</v>
      </c>
      <c r="C111" s="829"/>
      <c r="D111" s="391">
        <f t="shared" si="25"/>
        <v>40.400630138779867</v>
      </c>
      <c r="E111" s="383">
        <f t="shared" si="47"/>
        <v>41.827920906195956</v>
      </c>
      <c r="F111" s="383">
        <f t="shared" si="26"/>
        <v>41.835754553054471</v>
      </c>
      <c r="G111" s="110">
        <f t="shared" si="48"/>
        <v>0.72469225246626423</v>
      </c>
      <c r="H111" s="412" t="b">
        <f>Wh_hp&gt;='2022'!Maxi_hp</f>
        <v>0</v>
      </c>
      <c r="I111" s="379">
        <f>IF(H111,Wh_hp,'2022'!Maxi_hp)</f>
        <v>57.850737846912956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2.9119960324288541E-2</v>
      </c>
      <c r="M111" s="832"/>
      <c r="N111" s="832"/>
      <c r="O111" s="48">
        <f>IF(t&lt;Tnet,'2022'!Resal+('2022'!Salim-'2022'!Resal)*(1-EXP(('2022'!Tnet-t)/('2022'!Tau_j))),Resal+(Salim-Resal)*(1-EXP((Tnet-t)/(Tau_j))))*Salcycl</f>
        <v>3.4122919248531655E-2</v>
      </c>
      <c r="P111" s="338">
        <f>(INDEX(Models!$BJ111:$BT111,,T111)*(1-R111)+INDEX(Models!$BJ111:$BT111,,T111+1)*R111-ERP_i)*Q111*Ramure*Pc/MaxiM</f>
        <v>3.0856748379622058E-4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54.118704454577589</v>
      </c>
      <c r="W111" s="400">
        <f t="shared" si="34"/>
        <v>39.224165392062339</v>
      </c>
      <c r="X111" s="157">
        <f t="shared" si="35"/>
        <v>45023</v>
      </c>
      <c r="Y111" s="383">
        <f t="shared" si="36"/>
        <v>36.998023817342684</v>
      </c>
      <c r="Z111" s="383">
        <f t="shared" si="37"/>
        <v>38.10771908515143</v>
      </c>
      <c r="AA111" s="384">
        <f t="shared" si="38"/>
        <v>41.827920906195956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8.8940634400345164E-2</v>
      </c>
      <c r="AD111" s="230">
        <f>(INDEX(Models!$BJ111:$BT111,,AH111)*(1-AF111)+INDEX(Models!$BJ111:$BT111,,AH111+1)*AF111-ERP_i)*AE111*Ramure*Pc/MaxiM</f>
        <v>3.0856748379622058E-4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'2022'!Wh/'2022'!Env_an*'2023'!Env_an</f>
        <v>31.867028810326634</v>
      </c>
      <c r="C112" s="829"/>
      <c r="D112" s="391">
        <f t="shared" si="25"/>
        <v>32.823457321269714</v>
      </c>
      <c r="E112" s="383">
        <f t="shared" si="47"/>
        <v>33.985434115758466</v>
      </c>
      <c r="F112" s="383">
        <f t="shared" si="26"/>
        <v>33.989620679489668</v>
      </c>
      <c r="G112" s="110">
        <f t="shared" si="48"/>
        <v>0.58590792202951114</v>
      </c>
      <c r="H112" s="412" t="b">
        <f>Wh_hp&gt;='2022'!Maxi_hp</f>
        <v>0</v>
      </c>
      <c r="I112" s="379">
        <f>IF(H112,Wh_hp,'2022'!Maxi_hp)</f>
        <v>57.096062387011123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2.9138567018755612E-2</v>
      </c>
      <c r="M112" s="832"/>
      <c r="N112" s="832"/>
      <c r="O112" s="48">
        <f>IF(t&lt;Tnet,'2022'!Resal+('2022'!Salim-'2022'!Resal)*(1-EXP(('2022'!Tnet-t)/('2022'!Tau_j))),Resal+(Salim-Resal)*(1-EXP((Tnet-t)/(Tau_j))))*Salcycl</f>
        <v>3.4190435541618207E-2</v>
      </c>
      <c r="P112" s="338">
        <f>(INDEX(Models!$BJ112:$BT112,,T112)*(1-R112)+INDEX(Models!$BJ112:$BT112,,T112+1)*R112-ERP_i)*Q112*Ramure*Pc/MaxiM</f>
        <v>3.0145642779610602E-4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54.379443445017799</v>
      </c>
      <c r="W112" s="400">
        <f t="shared" si="34"/>
        <v>31.867028810326634</v>
      </c>
      <c r="X112" s="157">
        <f t="shared" si="35"/>
        <v>45024</v>
      </c>
      <c r="Y112" s="383">
        <f t="shared" si="36"/>
        <v>30.059585208669542</v>
      </c>
      <c r="Z112" s="383">
        <f t="shared" si="37"/>
        <v>30.961766723357162</v>
      </c>
      <c r="AA112" s="384">
        <f t="shared" si="38"/>
        <v>33.985434115758466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8.8969509175675879E-2</v>
      </c>
      <c r="AD112" s="230">
        <f>(INDEX(Models!$BJ112:$BT112,,AH112)*(1-AF112)+INDEX(Models!$BJ112:$BT112,,AH112+1)*AF112-ERP_i)*AE112*Ramure*Pc/MaxiM</f>
        <v>3.0145642779610602E-4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'2022'!Wh/'2022'!Env_an*'2023'!Env_an</f>
        <v>37.386416651394221</v>
      </c>
      <c r="C113" s="829"/>
      <c r="D113" s="391">
        <f t="shared" si="25"/>
        <v>38.509237154952743</v>
      </c>
      <c r="E113" s="383">
        <f t="shared" si="47"/>
        <v>39.875298030907523</v>
      </c>
      <c r="F113" s="383">
        <f t="shared" si="26"/>
        <v>39.881749917314302</v>
      </c>
      <c r="G113" s="110">
        <f t="shared" si="48"/>
        <v>0.68421330146280079</v>
      </c>
      <c r="H113" s="412" t="b">
        <f>Wh_hp&gt;='2022'!Maxi_hp</f>
        <v>0</v>
      </c>
      <c r="I113" s="379">
        <f>IF(H113,Wh_hp,'2022'!Maxi_hp)</f>
        <v>45.048186570983958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2.9157173356629595E-2</v>
      </c>
      <c r="M113" s="832"/>
      <c r="N113" s="832"/>
      <c r="O113" s="48">
        <f>IF(t&lt;Tnet,'2022'!Resal+('2022'!Salim-'2022'!Resal)*(1-EXP(('2022'!Tnet-t)/('2022'!Tau_j))),Resal+(Salim-Resal)*(1-EXP((Tnet-t)/(Tau_j))))*Salcycl</f>
        <v>3.4258323910104381E-2</v>
      </c>
      <c r="P113" s="338">
        <f>(INDEX(Models!$BJ113:$BT113,,T113)*(1-R113)+INDEX(Models!$BJ113:$BT113,,T113+1)*R113-ERP_i)*Q113*Ramure*Pc/MaxiM</f>
        <v>2.9466961268140459E-4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54.634201541400692</v>
      </c>
      <c r="W113" s="400">
        <f t="shared" si="34"/>
        <v>37.386416651394221</v>
      </c>
      <c r="X113" s="157">
        <f t="shared" si="35"/>
        <v>45025</v>
      </c>
      <c r="Y113" s="383">
        <f t="shared" si="36"/>
        <v>35.26724378752008</v>
      </c>
      <c r="Z113" s="383">
        <f t="shared" si="37"/>
        <v>36.326419498256392</v>
      </c>
      <c r="AA113" s="384">
        <f t="shared" si="38"/>
        <v>39.875298030907523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8.8999423399929778E-2</v>
      </c>
      <c r="AD113" s="230">
        <f>(INDEX(Models!$BJ113:$BT113,,AH113)*(1-AF113)+INDEX(Models!$BJ113:$BT113,,AH113+1)*AF113-ERP_i)*AE113*Ramure*Pc/MaxiM</f>
        <v>2.9466961268140459E-4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'2022'!Wh/'2022'!Env_an*'2023'!Env_an</f>
        <v>54.668844243522912</v>
      </c>
      <c r="C114" s="829"/>
      <c r="D114" s="391">
        <f t="shared" si="25"/>
        <v>56.311784440482811</v>
      </c>
      <c r="E114" s="383">
        <f t="shared" si="47"/>
        <v>58.313487973055757</v>
      </c>
      <c r="F114" s="383">
        <f t="shared" si="26"/>
        <v>58.330206992732982</v>
      </c>
      <c r="G114" s="110">
        <f t="shared" si="48"/>
        <v>0.99609863214439209</v>
      </c>
      <c r="H114" s="412" t="b">
        <f>Wh_hp&gt;='2022'!Maxi_hp</f>
        <v>0</v>
      </c>
      <c r="I114" s="379">
        <f>IF(H114,Wh_hp,'2022'!Maxi_hp)</f>
        <v>58.33024090130305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2.9175779337917374E-2</v>
      </c>
      <c r="M114" s="832"/>
      <c r="N114" s="832"/>
      <c r="O114" s="48">
        <f>IF(t&lt;Tnet,'2022'!Resal+('2022'!Salim-'2022'!Resal)*(1-EXP(('2022'!Tnet-t)/('2022'!Tau_j))),Resal+(Salim-Resal)*(1-EXP((Tnet-t)/(Tau_j))))*Salcycl</f>
        <v>3.4326595821156346E-2</v>
      </c>
      <c r="P114" s="338">
        <f>(INDEX(Models!$BJ114:$BT114,,T114)*(1-R114)+INDEX(Models!$BJ114:$BT114,,T114+1)*R114-ERP_i)*Q114*Ramure*Pc/MaxiM</f>
        <v>2.8823290095101207E-4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54.882874715815262</v>
      </c>
      <c r="W114" s="400">
        <f t="shared" si="34"/>
        <v>54.668844243522912</v>
      </c>
      <c r="X114" s="157">
        <f t="shared" si="35"/>
        <v>45026</v>
      </c>
      <c r="Y114" s="383">
        <f t="shared" si="36"/>
        <v>51.571944374008623</v>
      </c>
      <c r="Z114" s="383">
        <f t="shared" si="37"/>
        <v>53.121814718258257</v>
      </c>
      <c r="AA114" s="384">
        <f t="shared" si="38"/>
        <v>58.313487973055757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8.9030401631889383E-2</v>
      </c>
      <c r="AD114" s="230">
        <f>(INDEX(Models!$BJ114:$BT114,,AH114)*(1-AF114)+INDEX(Models!$BJ114:$BT114,,AH114+1)*AF114-ERP_i)*AE114*Ramure*Pc/MaxiM</f>
        <v>2.8823290095101207E-4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'2022'!Wh/'2022'!Env_an*'2023'!Env_an</f>
        <v>45.310163294793924</v>
      </c>
      <c r="C115" s="829"/>
      <c r="D115" s="391">
        <f t="shared" si="25"/>
        <v>46.672745391001442</v>
      </c>
      <c r="E115" s="383">
        <f t="shared" si="47"/>
        <v>48.335248959948423</v>
      </c>
      <c r="F115" s="383">
        <f t="shared" si="26"/>
        <v>48.345413607417996</v>
      </c>
      <c r="G115" s="110">
        <f t="shared" si="48"/>
        <v>0.8218885947180925</v>
      </c>
      <c r="H115" s="412" t="b">
        <f>Wh_hp&gt;='2022'!Maxi_hp</f>
        <v>0</v>
      </c>
      <c r="I115" s="379">
        <f>IF(H115,Wh_hp,'2022'!Maxi_hp)</f>
        <v>59.403908056990687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2.919438496262583E-2</v>
      </c>
      <c r="M115" s="832"/>
      <c r="N115" s="832"/>
      <c r="O115" s="48">
        <f>IF(t&lt;Tnet,'2022'!Resal+('2022'!Salim-'2022'!Resal)*(1-EXP(('2022'!Tnet-t)/('2022'!Tau_j))),Resal+(Salim-Resal)*(1-EXP((Tnet-t)/(Tau_j))))*Salcycl</f>
        <v>3.439526235448935E-2</v>
      </c>
      <c r="P115" s="338">
        <f>(INDEX(Models!$BJ115:$BT115,,T115)*(1-R115)+INDEX(Models!$BJ115:$BT115,,T115+1)*R115-ERP_i)*Q115*Ramure*Pc/MaxiM</f>
        <v>2.8197344452175933E-4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55.125369939797295</v>
      </c>
      <c r="W115" s="400">
        <f t="shared" si="34"/>
        <v>45.310163294793924</v>
      </c>
      <c r="X115" s="157">
        <f t="shared" si="35"/>
        <v>45027</v>
      </c>
      <c r="Y115" s="383">
        <f t="shared" si="36"/>
        <v>42.744952204387722</v>
      </c>
      <c r="Z115" s="383">
        <f t="shared" si="37"/>
        <v>44.030392431076045</v>
      </c>
      <c r="AA115" s="384">
        <f t="shared" si="38"/>
        <v>48.335248959948423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8.9062467278061774E-2</v>
      </c>
      <c r="AD115" s="230">
        <f>(INDEX(Models!$BJ115:$BT115,,AH115)*(1-AF115)+INDEX(Models!$BJ115:$BT115,,AH115+1)*AF115-ERP_i)*AE115*Ramure*Pc/MaxiM</f>
        <v>2.8197344452175933E-4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'2022'!Wh/'2022'!Env_an*'2023'!Env_an</f>
        <v>38.698645379052614</v>
      </c>
      <c r="C116" s="829"/>
      <c r="D116" s="391">
        <f t="shared" si="25"/>
        <v>39.863167707869827</v>
      </c>
      <c r="E116" s="383">
        <f t="shared" si="47"/>
        <v>41.286064429219621</v>
      </c>
      <c r="F116" s="383">
        <f t="shared" si="26"/>
        <v>41.292558139695352</v>
      </c>
      <c r="G116" s="110">
        <f t="shared" si="48"/>
        <v>0.69893327533180294</v>
      </c>
      <c r="H116" s="412" t="b">
        <f>Wh_hp&gt;='2022'!Maxi_hp</f>
        <v>0</v>
      </c>
      <c r="I116" s="379">
        <f>IF(H116,Wh_hp,'2022'!Maxi_hp)</f>
        <v>58.857771528976158</v>
      </c>
      <c r="J116" s="85">
        <f>IF(H116,An,'2022'!An_max)</f>
        <v>2018</v>
      </c>
      <c r="K116" s="197">
        <f t="shared" si="27"/>
        <v>45028</v>
      </c>
      <c r="L116" s="147">
        <f>IF(t&lt;Tvie,1-EXP((T0-t)*PertePVj)+'2022'!Pspv,1-EXP((T0-t)*PertePVj)+Pspv)</f>
        <v>2.9212990230761626E-2</v>
      </c>
      <c r="M116" s="832"/>
      <c r="N116" s="832"/>
      <c r="O116" s="48">
        <f>IF(t&lt;Tnet,'2022'!Resal+('2022'!Salim-'2022'!Resal)*(1-EXP(('2022'!Tnet-t)/('2022'!Tau_j))),Resal+(Salim-Resal)*(1-EXP((Tnet-t)/(Tau_j))))*Salcycl</f>
        <v>3.4464334177194134E-2</v>
      </c>
      <c r="P116" s="338">
        <f>(INDEX(Models!$BJ116:$BT116,,T116)*(1-R116)+INDEX(Models!$BJ116:$BT116,,T116+1)*R116-ERP_i)*Q116*Ramure*Pc/MaxiM</f>
        <v>2.758853471699406E-4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55.361585179213932</v>
      </c>
      <c r="W116" s="400">
        <f t="shared" si="34"/>
        <v>38.698645379052614</v>
      </c>
      <c r="X116" s="157">
        <f t="shared" si="35"/>
        <v>45028</v>
      </c>
      <c r="Y116" s="383">
        <f t="shared" si="36"/>
        <v>36.509023903987639</v>
      </c>
      <c r="Z116" s="383">
        <f t="shared" si="37"/>
        <v>37.607655991056205</v>
      </c>
      <c r="AA116" s="384">
        <f t="shared" si="38"/>
        <v>41.286064429219621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8.9095642537438763E-2</v>
      </c>
      <c r="AD116" s="230">
        <f>(INDEX(Models!$BJ116:$BT116,,AH116)*(1-AF116)+INDEX(Models!$BJ116:$BT116,,AH116+1)*AF116-ERP_i)*AE116*Ramure*Pc/MaxiM</f>
        <v>2.758853471699406E-4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'2022'!Wh/'2022'!Env_an*'2023'!Env_an</f>
        <v>8.2699519531295973</v>
      </c>
      <c r="C117" s="829"/>
      <c r="D117" s="391">
        <f t="shared" si="25"/>
        <v>8.5189751868182384</v>
      </c>
      <c r="E117" s="383">
        <f t="shared" si="47"/>
        <v>8.8236909554032223</v>
      </c>
      <c r="F117" s="383">
        <f t="shared" si="26"/>
        <v>8.8236909554032223</v>
      </c>
      <c r="G117" s="110">
        <f t="shared" si="48"/>
        <v>0.14872294324540888</v>
      </c>
      <c r="H117" s="412" t="b">
        <f>Wh_hp&gt;='2022'!Maxi_hp</f>
        <v>0</v>
      </c>
      <c r="I117" s="379">
        <f>IF(H117,Wh_hp,'2022'!Maxi_hp)</f>
        <v>58.816606841862637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2.9231595142331757E-2</v>
      </c>
      <c r="M117" s="832"/>
      <c r="N117" s="832"/>
      <c r="O117" s="48">
        <f>IF(t&lt;Tnet,'2022'!Resal+('2022'!Salim-'2022'!Resal)*(1-EXP(('2022'!Tnet-t)/('2022'!Tau_j))),Resal+(Salim-Resal)*(1-EXP((Tnet-t)/(Tau_j))))*Salcycl</f>
        <v>3.4533821518124432E-2</v>
      </c>
      <c r="P117" s="338">
        <f>(INDEX(Models!$BJ117:$BT117,,T117)*(1-R117)+INDEX(Models!$BJ117:$BT117,,T117+1)*R117-ERP_i)*Q117*Ramure*Pc/MaxiM</f>
        <v>2.6996282179049053E-4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55.591418466763599</v>
      </c>
      <c r="W117" s="400">
        <f t="shared" si="34"/>
        <v>8.2699519531295973</v>
      </c>
      <c r="X117" s="157">
        <f t="shared" si="35"/>
        <v>45029</v>
      </c>
      <c r="Y117" s="383">
        <f t="shared" si="36"/>
        <v>7.8022946122992769</v>
      </c>
      <c r="Z117" s="383">
        <f t="shared" si="37"/>
        <v>8.0372358363303249</v>
      </c>
      <c r="AA117" s="384">
        <f t="shared" si="38"/>
        <v>8.8236909554032223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8.912994834563058E-2</v>
      </c>
      <c r="AD117" s="230">
        <f>(INDEX(Models!$BJ117:$BT117,,AH117)*(1-AF117)+INDEX(Models!$BJ117:$BT117,,AH117+1)*AF117-ERP_i)*AE117*Ramure*Pc/MaxiM</f>
        <v>2.6996282179049053E-4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'2022'!Wh/'2022'!Env_an*'2023'!Env_an</f>
        <v>41.858147648320717</v>
      </c>
      <c r="C118" s="829"/>
      <c r="D118" s="391">
        <f t="shared" si="25"/>
        <v>43.119398670255023</v>
      </c>
      <c r="E118" s="383">
        <f t="shared" si="47"/>
        <v>44.664973540081071</v>
      </c>
      <c r="F118" s="383">
        <f t="shared" si="26"/>
        <v>44.672559976286877</v>
      </c>
      <c r="G118" s="110">
        <f t="shared" si="48"/>
        <v>0.74987674579986952</v>
      </c>
      <c r="H118" s="412" t="b">
        <f>Wh_hp&gt;='2022'!Maxi_hp</f>
        <v>0</v>
      </c>
      <c r="I118" s="379">
        <f>IF(H118,Wh_hp,'2022'!Maxi_hp)</f>
        <v>59.036177217934771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2.9250199697342993E-2</v>
      </c>
      <c r="M118" s="832"/>
      <c r="N118" s="832"/>
      <c r="O118" s="48">
        <f>IF(t&lt;Tnet,'2022'!Resal+('2022'!Salim-'2022'!Resal)*(1-EXP(('2022'!Tnet-t)/('2022'!Tau_j))),Resal+(Salim-Resal)*(1-EXP((Tnet-t)/(Tau_j))))*Salcycl</f>
        <v>3.4603734141678028E-2</v>
      </c>
      <c r="P118" s="338">
        <f>(INDEX(Models!$BJ118:$BT118,,T118)*(1-R118)+INDEX(Models!$BJ118:$BT118,,T118+1)*R118-ERP_i)*Q118*Ramure*Pc/MaxiM</f>
        <v>2.6420019396195205E-4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55.81476791324004</v>
      </c>
      <c r="W118" s="400">
        <f t="shared" si="34"/>
        <v>41.858147648320717</v>
      </c>
      <c r="X118" s="157">
        <f t="shared" si="35"/>
        <v>45030</v>
      </c>
      <c r="Y118" s="383">
        <f t="shared" si="36"/>
        <v>39.492434700232337</v>
      </c>
      <c r="Z118" s="383">
        <f t="shared" si="37"/>
        <v>40.682403115529382</v>
      </c>
      <c r="AA118" s="384">
        <f t="shared" si="38"/>
        <v>44.664973540081071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8.9165404317945923E-2</v>
      </c>
      <c r="AD118" s="230">
        <f>(INDEX(Models!$BJ118:$BT118,,AH118)*(1-AF118)+INDEX(Models!$BJ118:$BT118,,AH118+1)*AF118-ERP_i)*AE118*Ramure*Pc/MaxiM</f>
        <v>2.6420019396195205E-4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'2022'!Wh/'2022'!Env_an*'2023'!Env_an</f>
        <v>45.676180991241679</v>
      </c>
      <c r="C119" s="829"/>
      <c r="D119" s="391">
        <f t="shared" si="25"/>
        <v>47.05337705695699</v>
      </c>
      <c r="E119" s="383">
        <f t="shared" si="47"/>
        <v>48.743513611794654</v>
      </c>
      <c r="F119" s="383">
        <f t="shared" si="26"/>
        <v>48.752792188185893</v>
      </c>
      <c r="G119" s="110">
        <f t="shared" si="48"/>
        <v>0.81513141901382169</v>
      </c>
      <c r="H119" s="412" t="b">
        <f>Wh_hp&gt;='2022'!Maxi_hp</f>
        <v>0</v>
      </c>
      <c r="I119" s="379">
        <f>IF(H119,Wh_hp,'2022'!Maxi_hp)</f>
        <v>59.816550107721071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2.9268803895802109E-2</v>
      </c>
      <c r="M119" s="832"/>
      <c r="N119" s="832"/>
      <c r="O119" s="48">
        <f>IF(t&lt;Tnet,'2022'!Resal+('2022'!Salim-'2022'!Resal)*(1-EXP(('2022'!Tnet-t)/('2022'!Tau_j))),Resal+(Salim-Resal)*(1-EXP((Tnet-t)/(Tau_j))))*Salcycl</f>
        <v>3.4674081320815849E-2</v>
      </c>
      <c r="P119" s="338">
        <f>(INDEX(Models!$BJ119:$BT119,,T119)*(1-R119)+INDEX(Models!$BJ119:$BT119,,T119+1)*R119-ERP_i)*Q119*Ramure*Pc/MaxiM</f>
        <v>2.5859190563324002E-4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56.031531702484585</v>
      </c>
      <c r="W119" s="400">
        <f t="shared" si="34"/>
        <v>45.676180991241679</v>
      </c>
      <c r="X119" s="157">
        <f t="shared" si="35"/>
        <v>45031</v>
      </c>
      <c r="Y119" s="383">
        <f t="shared" si="36"/>
        <v>43.09609032448472</v>
      </c>
      <c r="Z119" s="383">
        <f t="shared" si="37"/>
        <v>44.395493312093791</v>
      </c>
      <c r="AA119" s="384">
        <f t="shared" si="38"/>
        <v>48.743513611794654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8.9202028691028876E-2</v>
      </c>
      <c r="AD119" s="230">
        <f>(INDEX(Models!$BJ119:$BT119,,AH119)*(1-AF119)+INDEX(Models!$BJ119:$BT119,,AH119+1)*AF119-ERP_i)*AE119*Ramure*Pc/MaxiM</f>
        <v>2.5859190563324002E-4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'2022'!Wh/'2022'!Env_an*'2023'!Env_an</f>
        <v>47.392261776811168</v>
      </c>
      <c r="C120" s="829"/>
      <c r="D120" s="391">
        <f t="shared" si="25"/>
        <v>48.822135567811721</v>
      </c>
      <c r="E120" s="383">
        <f t="shared" si="47"/>
        <v>50.579514308635865</v>
      </c>
      <c r="F120" s="383">
        <f t="shared" si="26"/>
        <v>50.589441661211602</v>
      </c>
      <c r="G120" s="110">
        <f t="shared" si="48"/>
        <v>0.84260685787698131</v>
      </c>
      <c r="H120" s="412" t="b">
        <f>Wh_hp&gt;='2022'!Maxi_hp</f>
        <v>0</v>
      </c>
      <c r="I120" s="379">
        <f>IF(H120,Wh_hp,'2022'!Maxi_hp)</f>
        <v>51.884062779817704</v>
      </c>
      <c r="J120" s="85">
        <f>IF(H120,An,'2022'!An_max)</f>
        <v>2021</v>
      </c>
      <c r="K120" s="197">
        <f t="shared" si="27"/>
        <v>45032</v>
      </c>
      <c r="L120" s="147">
        <f>IF(t&lt;Tvie,1-EXP((T0-t)*PertePVj)+'2022'!Pspv,1-EXP((T0-t)*PertePVj)+Pspv)</f>
        <v>2.9287407737716098E-2</v>
      </c>
      <c r="M120" s="832"/>
      <c r="N120" s="832"/>
      <c r="O120" s="48">
        <f>IF(t&lt;Tnet,'2022'!Resal+('2022'!Salim-'2022'!Resal)*(1-EXP(('2022'!Tnet-t)/('2022'!Tau_j))),Resal+(Salim-Resal)*(1-EXP((Tnet-t)/(Tau_j))))*Salcycl</f>
        <v>3.4744871809180143E-2</v>
      </c>
      <c r="P120" s="338">
        <f>(INDEX(Models!$BJ120:$BT120,,T120)*(1-R120)+INDEX(Models!$BJ120:$BT120,,T120+1)*R120-ERP_i)*Q120*Ramure*Pc/MaxiM</f>
        <v>2.53132518767134E-4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56.241608100061349</v>
      </c>
      <c r="W120" s="400">
        <f t="shared" si="34"/>
        <v>47.392261776811168</v>
      </c>
      <c r="X120" s="157">
        <f t="shared" si="35"/>
        <v>45032</v>
      </c>
      <c r="Y120" s="383">
        <f t="shared" si="36"/>
        <v>44.716658570719069</v>
      </c>
      <c r="Z120" s="383">
        <f t="shared" si="37"/>
        <v>46.065806632326812</v>
      </c>
      <c r="AA120" s="384">
        <f t="shared" si="38"/>
        <v>50.579514308635865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8.9239838262709245E-2</v>
      </c>
      <c r="AD120" s="230">
        <f>(INDEX(Models!$BJ120:$BT120,,AH120)*(1-AF120)+INDEX(Models!$BJ120:$BT120,,AH120+1)*AF120-ERP_i)*AE120*Ramure*Pc/MaxiM</f>
        <v>2.53132518767134E-4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'2022'!Wh/'2022'!Env_an*'2023'!Env_an</f>
        <v>55.625417125791174</v>
      </c>
      <c r="C121" s="829"/>
      <c r="D121" s="391">
        <f t="shared" si="25"/>
        <v>57.304792003379141</v>
      </c>
      <c r="E121" s="383">
        <f t="shared" si="47"/>
        <v>59.371890500281999</v>
      </c>
      <c r="F121" s="383">
        <f t="shared" si="26"/>
        <v>59.386302025697958</v>
      </c>
      <c r="G121" s="110">
        <f t="shared" si="48"/>
        <v>0.98547224256914268</v>
      </c>
      <c r="H121" s="412" t="b">
        <f>Wh_hp&gt;='2022'!Maxi_hp</f>
        <v>0</v>
      </c>
      <c r="I121" s="379">
        <f>IF(H121,Wh_hp,'2022'!Maxi_hp)</f>
        <v>59.386411049175642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2.9306011223091732E-2</v>
      </c>
      <c r="M121" s="832"/>
      <c r="N121" s="832"/>
      <c r="O121" s="48">
        <f>IF(t&lt;Tnet,'2022'!Resal+('2022'!Salim-'2022'!Resal)*(1-EXP(('2022'!Tnet-t)/('2022'!Tau_j))),Resal+(Salim-Resal)*(1-EXP((Tnet-t)/(Tau_j))))*Salcycl</f>
        <v>3.4816113812192621E-2</v>
      </c>
      <c r="P121" s="338">
        <f>(INDEX(Models!$BJ121:$BT121,,T121)*(1-R121)+INDEX(Models!$BJ121:$BT121,,T121+1)*R121-ERP_i)*Q121*Ramure*Pc/MaxiM</f>
        <v>2.4781559058055026E-4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56.445152550730143</v>
      </c>
      <c r="W121" s="400">
        <f t="shared" si="34"/>
        <v>55.625417125791174</v>
      </c>
      <c r="X121" s="157">
        <f t="shared" si="35"/>
        <v>45033</v>
      </c>
      <c r="Y121" s="383">
        <f t="shared" si="36"/>
        <v>52.486624229737266</v>
      </c>
      <c r="Z121" s="383">
        <f t="shared" si="37"/>
        <v>54.071236493255043</v>
      </c>
      <c r="AA121" s="384">
        <f t="shared" si="38"/>
        <v>59.371890500281999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8.9278848329779628E-2</v>
      </c>
      <c r="AD121" s="230">
        <f>(INDEX(Models!$BJ121:$BT121,,AH121)*(1-AF121)+INDEX(Models!$BJ121:$BT121,,AH121+1)*AF121-ERP_i)*AE121*Ramure*Pc/MaxiM</f>
        <v>2.4781559058055026E-4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'2022'!Wh/'2022'!Env_an*'2023'!Env_an</f>
        <v>41.149541149504671</v>
      </c>
      <c r="C122" s="829"/>
      <c r="D122" s="391">
        <f t="shared" si="25"/>
        <v>42.392690448240302</v>
      </c>
      <c r="E122" s="383">
        <f t="shared" si="47"/>
        <v>43.925142698673049</v>
      </c>
      <c r="F122" s="383">
        <f t="shared" si="26"/>
        <v>43.931638930912953</v>
      </c>
      <c r="G122" s="110">
        <f t="shared" si="48"/>
        <v>0.72641076417981676</v>
      </c>
      <c r="H122" s="412" t="b">
        <f>Wh_hp&gt;='2022'!Maxi_hp</f>
        <v>0</v>
      </c>
      <c r="I122" s="379">
        <f>IF(H122,Wh_hp,'2022'!Maxi_hp)</f>
        <v>43.933124779978819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2.9324614351935674E-2</v>
      </c>
      <c r="M122" s="832"/>
      <c r="N122" s="832"/>
      <c r="O122" s="48">
        <f>IF(t&lt;Tnet,'2022'!Resal+('2022'!Salim-'2022'!Resal)*(1-EXP(('2022'!Tnet-t)/('2022'!Tau_j))),Resal+(Salim-Resal)*(1-EXP((Tnet-t)/(Tau_j))))*Salcycl</f>
        <v>3.4887814957037001E-2</v>
      </c>
      <c r="P122" s="338">
        <f>(INDEX(Models!$BJ122:$BT122,,T122)*(1-R122)+INDEX(Models!$BJ122:$BT122,,T122+1)*R122-ERP_i)*Q122*Ramure*Pc/MaxiM</f>
        <v>2.4270786075324946E-4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56.642384892657155</v>
      </c>
      <c r="W122" s="400">
        <f t="shared" si="34"/>
        <v>41.149541149504671</v>
      </c>
      <c r="X122" s="157">
        <f t="shared" si="35"/>
        <v>45034</v>
      </c>
      <c r="Y122" s="383">
        <f t="shared" si="36"/>
        <v>38.828752631986703</v>
      </c>
      <c r="Z122" s="383">
        <f t="shared" si="37"/>
        <v>40.001789687973769</v>
      </c>
      <c r="AA122" s="384">
        <f t="shared" si="38"/>
        <v>43.925142698673049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8.9319072623474938E-2</v>
      </c>
      <c r="AD122" s="230">
        <f>(INDEX(Models!$BJ122:$BT122,,AH122)*(1-AF122)+INDEX(Models!$BJ122:$BT122,,AH122+1)*AF122-ERP_i)*AE122*Ramure*Pc/MaxiM</f>
        <v>2.4270786075324946E-4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'2022'!Wh/'2022'!Env_an*'2023'!Env_an</f>
        <v>9.6189677102979871</v>
      </c>
      <c r="C123" s="829"/>
      <c r="D123" s="391">
        <f t="shared" si="25"/>
        <v>9.9097517062622984</v>
      </c>
      <c r="E123" s="383">
        <f t="shared" si="47"/>
        <v>10.268746916303664</v>
      </c>
      <c r="F123" s="383">
        <f t="shared" si="26"/>
        <v>10.268746916303664</v>
      </c>
      <c r="G123" s="110">
        <f t="shared" si="48"/>
        <v>0.16920853130602295</v>
      </c>
      <c r="H123" s="412" t="b">
        <f>Wh_hp&gt;='2022'!Maxi_hp</f>
        <v>0</v>
      </c>
      <c r="I123" s="379">
        <f>IF(H123,Wh_hp,'2022'!Maxi_hp)</f>
        <v>59.533076172726751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2.9343217124255028E-2</v>
      </c>
      <c r="M123" s="832"/>
      <c r="N123" s="832"/>
      <c r="O123" s="48">
        <f>IF(t&lt;Tnet,'2022'!Resal+('2022'!Salim-'2022'!Resal)*(1-EXP(('2022'!Tnet-t)/('2022'!Tau_j))),Resal+(Salim-Resal)*(1-EXP((Tnet-t)/(Tau_j))))*Salcycl</f>
        <v>3.495998226145685E-2</v>
      </c>
      <c r="P123" s="338">
        <f>(INDEX(Models!$BJ123:$BT123,,T123)*(1-R123)+INDEX(Models!$BJ123:$BT123,,T123+1)*R123-ERP_i)*Q123*Ramure*Pc/MaxiM</f>
        <v>2.377533092517134E-4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56.833309140311499</v>
      </c>
      <c r="W123" s="400">
        <f t="shared" si="34"/>
        <v>9.6189677102979871</v>
      </c>
      <c r="X123" s="157">
        <f t="shared" si="35"/>
        <v>45035</v>
      </c>
      <c r="Y123" s="383">
        <f t="shared" si="36"/>
        <v>9.0767341888885316</v>
      </c>
      <c r="Z123" s="383">
        <f t="shared" si="37"/>
        <v>9.3511263188179417</v>
      </c>
      <c r="AA123" s="384">
        <f t="shared" si="38"/>
        <v>10.268746916303664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8.9360523242501863E-2</v>
      </c>
      <c r="AD123" s="230">
        <f>(INDEX(Models!$BJ123:$BT123,,AH123)*(1-AF123)+INDEX(Models!$BJ123:$BT123,,AH123+1)*AF123-ERP_i)*AE123*Ramure*Pc/MaxiM</f>
        <v>2.377533092517134E-4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'2022'!Wh/'2022'!Env_an*'2023'!Env_an</f>
        <v>10.035719501440157</v>
      </c>
      <c r="C124" s="829"/>
      <c r="D124" s="391">
        <f t="shared" si="25"/>
        <v>10.339300167117537</v>
      </c>
      <c r="E124" s="383">
        <f t="shared" si="47"/>
        <v>10.714662903561127</v>
      </c>
      <c r="F124" s="383">
        <f t="shared" si="26"/>
        <v>10.714662903561127</v>
      </c>
      <c r="G124" s="110">
        <f t="shared" si="48"/>
        <v>0.17596889833294324</v>
      </c>
      <c r="H124" s="412" t="b">
        <f>Wh_hp&gt;='2022'!Maxi_hp</f>
        <v>0</v>
      </c>
      <c r="I124" s="379">
        <f>IF(H124,Wh_hp,'2022'!Maxi_hp)</f>
        <v>52.580415314681325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2.9361819540056455E-2</v>
      </c>
      <c r="M124" s="832"/>
      <c r="N124" s="832"/>
      <c r="O124" s="48">
        <f>IF(t&lt;Tnet,'2022'!Resal+('2022'!Salim-'2022'!Resal)*(1-EXP(('2022'!Tnet-t)/('2022'!Tau_j))),Resal+(Salim-Resal)*(1-EXP((Tnet-t)/(Tau_j))))*Salcycl</f>
        <v>3.5032622101329361E-2</v>
      </c>
      <c r="P124" s="338">
        <f>(INDEX(Models!$BJ124:$BT124,,T124)*(1-R124)+INDEX(Models!$BJ124:$BT124,,T124+1)*R124-ERP_i)*Q124*Ramure*Pc/MaxiM</f>
        <v>2.3294685271058299E-4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57.017926504170504</v>
      </c>
      <c r="W124" s="400">
        <f t="shared" si="34"/>
        <v>10.035719501440157</v>
      </c>
      <c r="X124" s="157">
        <f t="shared" si="35"/>
        <v>45036</v>
      </c>
      <c r="Y124" s="383">
        <f t="shared" si="36"/>
        <v>9.4702620697869406</v>
      </c>
      <c r="Z124" s="383">
        <f t="shared" si="37"/>
        <v>9.7567376396623846</v>
      </c>
      <c r="AA124" s="384">
        <f t="shared" si="38"/>
        <v>10.714662903561127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8.9403210583542128E-2</v>
      </c>
      <c r="AD124" s="230">
        <f>(INDEX(Models!$BJ124:$BT124,,AH124)*(1-AF124)+INDEX(Models!$BJ124:$BT124,,AH124+1)*AF124-ERP_i)*AE124*Ramure*Pc/MaxiM</f>
        <v>2.3294685271058299E-4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'2022'!Wh/'2022'!Env_an*'2023'!Env_an</f>
        <v>9.6602959432078563</v>
      </c>
      <c r="C125" s="829"/>
      <c r="D125" s="391">
        <f t="shared" si="25"/>
        <v>9.9527107820405742</v>
      </c>
      <c r="E125" s="383">
        <f t="shared" si="47"/>
        <v>10.314820179224995</v>
      </c>
      <c r="F125" s="383">
        <f t="shared" si="26"/>
        <v>10.314820179224995</v>
      </c>
      <c r="G125" s="110">
        <f t="shared" si="48"/>
        <v>0.16885884373582888</v>
      </c>
      <c r="H125" s="412" t="b">
        <f>Wh_hp&gt;='2022'!Maxi_hp</f>
        <v>0</v>
      </c>
      <c r="I125" s="379">
        <f>IF(H125,Wh_hp,'2022'!Maxi_hp)</f>
        <v>55.246951602065522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2.938042159934684E-2</v>
      </c>
      <c r="M125" s="832"/>
      <c r="N125" s="832"/>
      <c r="O125" s="48">
        <f>IF(t&lt;Tnet,'2022'!Resal+('2022'!Salim-'2022'!Resal)*(1-EXP(('2022'!Tnet-t)/('2022'!Tau_j))),Resal+(Salim-Resal)*(1-EXP((Tnet-t)/(Tau_j))))*Salcycl</f>
        <v>3.5105740177006947E-2</v>
      </c>
      <c r="P125" s="338">
        <f>(INDEX(Models!$BJ125:$BT125,,T125)*(1-R125)+INDEX(Models!$BJ125:$BT125,,T125+1)*R125-ERP_i)*Q125*Ramure*Pc/MaxiM</f>
        <v>2.2828425021386421E-4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57.196238207702123</v>
      </c>
      <c r="W125" s="400">
        <f t="shared" si="34"/>
        <v>9.6602959432078563</v>
      </c>
      <c r="X125" s="157">
        <f t="shared" si="35"/>
        <v>45037</v>
      </c>
      <c r="Y125" s="383">
        <f t="shared" si="36"/>
        <v>9.1162425088591235</v>
      </c>
      <c r="Z125" s="383">
        <f t="shared" si="37"/>
        <v>9.3921889808574548</v>
      </c>
      <c r="AA125" s="384">
        <f t="shared" si="38"/>
        <v>10.314820179224995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8.9447143269235668E-2</v>
      </c>
      <c r="AD125" s="230">
        <f>(INDEX(Models!$BJ125:$BT125,,AH125)*(1-AF125)+INDEX(Models!$BJ125:$BT125,,AH125+1)*AF125-ERP_i)*AE125*Ramure*Pc/MaxiM</f>
        <v>2.2828425021386421E-4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'2022'!Wh/'2022'!Env_an*'2023'!Env_an</f>
        <v>28.0774885439074</v>
      </c>
      <c r="C126" s="829"/>
      <c r="D126" s="391">
        <f t="shared" si="25"/>
        <v>28.927941778331306</v>
      </c>
      <c r="E126" s="383">
        <f t="shared" si="47"/>
        <v>29.982713909400903</v>
      </c>
      <c r="F126" s="383">
        <f t="shared" si="26"/>
        <v>29.984529521620445</v>
      </c>
      <c r="G126" s="110">
        <f t="shared" si="48"/>
        <v>0.48934572578910912</v>
      </c>
      <c r="H126" s="412" t="b">
        <f>Wh_hp&gt;='2022'!Maxi_hp</f>
        <v>0</v>
      </c>
      <c r="I126" s="379">
        <f>IF(H126,Wh_hp,'2022'!Maxi_hp)</f>
        <v>61.484611749803321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2.9399023302132954E-2</v>
      </c>
      <c r="M126" s="832"/>
      <c r="N126" s="832"/>
      <c r="O126" s="48">
        <f>IF(t&lt;Tnet,'2022'!Resal+('2022'!Salim-'2022'!Resal)*(1-EXP(('2022'!Tnet-t)/('2022'!Tau_j))),Resal+(Salim-Resal)*(1-EXP((Tnet-t)/(Tau_j))))*Salcycl</f>
        <v>3.517934147845371E-2</v>
      </c>
      <c r="P126" s="338">
        <f>(INDEX(Models!$BJ126:$BT126,,T126)*(1-R126)+INDEX(Models!$BJ126:$BT126,,T126+1)*R126-ERP_i)*Q126*Ramure*Pc/MaxiM</f>
        <v>2.2376141743662265E-4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57.368245528826591</v>
      </c>
      <c r="W126" s="400">
        <f t="shared" si="34"/>
        <v>28.0774885439074</v>
      </c>
      <c r="X126" s="157">
        <f t="shared" si="35"/>
        <v>45038</v>
      </c>
      <c r="Y126" s="383">
        <f t="shared" si="36"/>
        <v>26.496912666467892</v>
      </c>
      <c r="Z126" s="383">
        <f t="shared" si="37"/>
        <v>27.299491039679808</v>
      </c>
      <c r="AA126" s="384">
        <f t="shared" si="38"/>
        <v>29.982713909400903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8.9492328073736693E-2</v>
      </c>
      <c r="AD126" s="230">
        <f>(INDEX(Models!$BJ126:$BT126,,AH126)*(1-AF126)+INDEX(Models!$BJ126:$BT126,,AH126+1)*AF126-ERP_i)*AE126*Ramure*Pc/MaxiM</f>
        <v>2.2376141743662265E-4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'2022'!Wh/'2022'!Env_an*'2023'!Env_an</f>
        <v>9.3510578770390183</v>
      </c>
      <c r="C127" s="829"/>
      <c r="D127" s="391">
        <f t="shared" si="25"/>
        <v>9.6344814355934947</v>
      </c>
      <c r="E127" s="383">
        <f t="shared" si="47"/>
        <v>9.9865412717482087</v>
      </c>
      <c r="F127" s="383">
        <f t="shared" si="26"/>
        <v>9.9865412717482087</v>
      </c>
      <c r="G127" s="110">
        <f t="shared" si="48"/>
        <v>0.1624954748587388</v>
      </c>
      <c r="H127" s="412" t="b">
        <f>Wh_hp&gt;='2022'!Maxi_hp</f>
        <v>0</v>
      </c>
      <c r="I127" s="379">
        <f>IF(H127,Wh_hp,'2022'!Maxi_hp)</f>
        <v>61.411826255045938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2.9417624648421681E-2</v>
      </c>
      <c r="M127" s="832"/>
      <c r="N127" s="832"/>
      <c r="O127" s="48">
        <f>IF(t&lt;Tnet,'2022'!Resal+('2022'!Salim-'2022'!Resal)*(1-EXP(('2022'!Tnet-t)/('2022'!Tau_j))),Resal+(Salim-Resal)*(1-EXP((Tnet-t)/(Tau_j))))*Salcycl</f>
        <v>3.525343024923816E-2</v>
      </c>
      <c r="P127" s="338">
        <f>(INDEX(Models!$BJ127:$BT127,,T127)*(1-R127)+INDEX(Models!$BJ127:$BT127,,T127+1)*R127-ERP_i)*Q127*Ramure*Pc/MaxiM</f>
        <v>2.193737966126908E-4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57.533949841357135</v>
      </c>
      <c r="W127" s="400">
        <f t="shared" si="34"/>
        <v>9.3510578770390183</v>
      </c>
      <c r="X127" s="157">
        <f t="shared" si="35"/>
        <v>45039</v>
      </c>
      <c r="Y127" s="383">
        <f t="shared" si="36"/>
        <v>8.8248830572877477</v>
      </c>
      <c r="Z127" s="383">
        <f t="shared" si="37"/>
        <v>9.0923586512593246</v>
      </c>
      <c r="AA127" s="384">
        <f t="shared" si="38"/>
        <v>9.9865412717482087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8.9538769846024144E-2</v>
      </c>
      <c r="AD127" s="230">
        <f>(INDEX(Models!$BJ127:$BT127,,AH127)*(1-AF127)+INDEX(Models!$BJ127:$BT127,,AH127+1)*AF127-ERP_i)*AE127*Ramure*Pc/MaxiM</f>
        <v>2.193737966126908E-4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'2022'!Wh/'2022'!Env_an*'2023'!Env_an</f>
        <v>32.312593129791374</v>
      </c>
      <c r="C128" s="829"/>
      <c r="D128" s="391">
        <f t="shared" si="25"/>
        <v>33.292601664470091</v>
      </c>
      <c r="E128" s="383">
        <f t="shared" si="47"/>
        <v>34.511836155548174</v>
      </c>
      <c r="F128" s="383">
        <f t="shared" si="26"/>
        <v>34.514595775678529</v>
      </c>
      <c r="G128" s="110">
        <f t="shared" si="48"/>
        <v>0.55999909703879236</v>
      </c>
      <c r="H128" s="412" t="b">
        <f>Wh_hp&gt;='2022'!Maxi_hp</f>
        <v>0</v>
      </c>
      <c r="I128" s="379">
        <f>IF(H128,Wh_hp,'2022'!Maxi_hp)</f>
        <v>58.10105142457774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2.9436225638219904E-2</v>
      </c>
      <c r="M128" s="832"/>
      <c r="N128" s="832"/>
      <c r="O128" s="48">
        <f>IF(t&lt;Tnet,'2022'!Resal+('2022'!Salim-'2022'!Resal)*(1-EXP(('2022'!Tnet-t)/('2022'!Tau_j))),Resal+(Salim-Resal)*(1-EXP((Tnet-t)/(Tau_j))))*Salcycl</f>
        <v>3.5328009949481438E-2</v>
      </c>
      <c r="P128" s="338">
        <f>(INDEX(Models!$BJ128:$BT128,,T128)*(1-R128)+INDEX(Models!$BJ128:$BT128,,T128+1)*R128-ERP_i)*Q128*Ramure*Pc/MaxiM</f>
        <v>2.1520194582179473E-4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57.693347680239604</v>
      </c>
      <c r="W128" s="400">
        <f t="shared" si="34"/>
        <v>32.312593129791374</v>
      </c>
      <c r="X128" s="157">
        <f t="shared" si="35"/>
        <v>45040</v>
      </c>
      <c r="Y128" s="383">
        <f t="shared" si="36"/>
        <v>30.495155070232197</v>
      </c>
      <c r="Z128" s="383">
        <f t="shared" si="37"/>
        <v>31.420042531759538</v>
      </c>
      <c r="AA128" s="384">
        <f t="shared" si="38"/>
        <v>34.511836155548174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8.9586471431239531E-2</v>
      </c>
      <c r="AD128" s="230">
        <f>(INDEX(Models!$BJ128:$BT128,,AH128)*(1-AF128)+INDEX(Models!$BJ128:$BT128,,AH128+1)*AF128-ERP_i)*AE128*Ramure*Pc/MaxiM</f>
        <v>2.1520194582179473E-4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'2022'!Wh/'2022'!Env_an*'2023'!Env_an</f>
        <v>48.903648923551586</v>
      </c>
      <c r="C129" s="829"/>
      <c r="D129" s="391">
        <f t="shared" si="25"/>
        <v>50.387813207789549</v>
      </c>
      <c r="E129" s="383">
        <f t="shared" si="47"/>
        <v>52.237170087463468</v>
      </c>
      <c r="F129" s="383">
        <f t="shared" si="26"/>
        <v>52.245767824578586</v>
      </c>
      <c r="G129" s="110">
        <f t="shared" si="48"/>
        <v>0.84536516646096493</v>
      </c>
      <c r="H129" s="412" t="b">
        <f>Wh_hp&gt;='2022'!Maxi_hp</f>
        <v>0</v>
      </c>
      <c r="I129" s="379">
        <f>IF(H129,Wh_hp,'2022'!Maxi_hp)</f>
        <v>57.415722541484826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2.9454826271534285E-2</v>
      </c>
      <c r="M129" s="832"/>
      <c r="N129" s="832"/>
      <c r="O129" s="48">
        <f>IF(t&lt;Tnet,'2022'!Resal+('2022'!Salim-'2022'!Resal)*(1-EXP(('2022'!Tnet-t)/('2022'!Tau_j))),Resal+(Salim-Resal)*(1-EXP((Tnet-t)/(Tau_j))))*Salcycl</f>
        <v>3.5403083217897202E-2</v>
      </c>
      <c r="P129" s="338">
        <f>(INDEX(Models!$BJ129:$BT129,,T129)*(1-R129)+INDEX(Models!$BJ129:$BT129,,T129+1)*R129-ERP_i)*Q129*Ramure*Pc/MaxiM</f>
        <v>2.1120893344839746E-4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57.846442398630629</v>
      </c>
      <c r="W129" s="400">
        <f t="shared" si="34"/>
        <v>48.903648923551586</v>
      </c>
      <c r="X129" s="157">
        <f t="shared" si="35"/>
        <v>45041</v>
      </c>
      <c r="Y129" s="383">
        <f t="shared" si="36"/>
        <v>46.154148301297553</v>
      </c>
      <c r="Z129" s="383">
        <f t="shared" si="37"/>
        <v>47.554868697137358</v>
      </c>
      <c r="AA129" s="384">
        <f t="shared" si="38"/>
        <v>52.237170087463468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8.9635433590416286E-2</v>
      </c>
      <c r="AD129" s="230">
        <f>(INDEX(Models!$BJ129:$BT129,,AH129)*(1-AF129)+INDEX(Models!$BJ129:$BT129,,AH129+1)*AF129-ERP_i)*AE129*Ramure*Pc/MaxiM</f>
        <v>2.1120893344839746E-4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'2022'!Wh/'2022'!Env_an*'2023'!Env_an</f>
        <v>56.069536075501773</v>
      </c>
      <c r="C130" s="829"/>
      <c r="D130" s="391">
        <f t="shared" si="25"/>
        <v>57.772283221564287</v>
      </c>
      <c r="E130" s="383">
        <f t="shared" si="47"/>
        <v>59.897360832253206</v>
      </c>
      <c r="F130" s="383">
        <f t="shared" si="26"/>
        <v>59.909196737743251</v>
      </c>
      <c r="G130" s="110">
        <f t="shared" si="48"/>
        <v>0.96681939662270289</v>
      </c>
      <c r="H130" s="412" t="b">
        <f>Wh_hp&gt;='2022'!Maxi_hp</f>
        <v>0</v>
      </c>
      <c r="I130" s="379">
        <f>IF(H130,Wh_hp,'2022'!Maxi_hp)</f>
        <v>59.909404473598052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2.9473426548371928E-2</v>
      </c>
      <c r="M130" s="832"/>
      <c r="N130" s="832"/>
      <c r="O130" s="48">
        <f>IF(t&lt;Tnet,'2022'!Resal+('2022'!Salim-'2022'!Resal)*(1-EXP(('2022'!Tnet-t)/('2022'!Tau_j))),Resal+(Salim-Resal)*(1-EXP((Tnet-t)/(Tau_j))))*Salcycl</f>
        <v>3.547865183309741E-2</v>
      </c>
      <c r="P130" s="338">
        <f>(INDEX(Models!$BJ130:$BT130,,T130)*(1-R130)+INDEX(Models!$BJ130:$BT130,,T130+1)*R130-ERP_i)*Q130*Ramure*Pc/MaxiM</f>
        <v>2.0739181780874102E-4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57.993235474918293</v>
      </c>
      <c r="W130" s="400">
        <f t="shared" si="34"/>
        <v>56.069536075501773</v>
      </c>
      <c r="X130" s="157">
        <f t="shared" si="35"/>
        <v>45042</v>
      </c>
      <c r="Y130" s="383">
        <f t="shared" si="36"/>
        <v>52.918375636337458</v>
      </c>
      <c r="Z130" s="383">
        <f t="shared" si="37"/>
        <v>54.525426798089583</v>
      </c>
      <c r="AA130" s="384">
        <f t="shared" si="38"/>
        <v>59.897360832253206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8.9685654919055655E-2</v>
      </c>
      <c r="AD130" s="230">
        <f>(INDEX(Models!$BJ130:$BT130,,AH130)*(1-AF130)+INDEX(Models!$BJ130:$BT130,,AH130+1)*AF130-ERP_i)*AE130*Ramure*Pc/MaxiM</f>
        <v>2.0739181780874102E-4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'2022'!Wh/'2022'!Env_an*'2023'!Env_an</f>
        <v>40.70167366292673</v>
      </c>
      <c r="C131" s="829"/>
      <c r="D131" s="391">
        <f t="shared" si="25"/>
        <v>41.938525775147284</v>
      </c>
      <c r="E131" s="383">
        <f t="shared" si="47"/>
        <v>43.484608717804896</v>
      </c>
      <c r="F131" s="383">
        <f t="shared" si="26"/>
        <v>43.489673863750475</v>
      </c>
      <c r="G131" s="110">
        <f t="shared" si="48"/>
        <v>0.70007759494167443</v>
      </c>
      <c r="H131" s="412" t="b">
        <f>Wh_hp&gt;='2022'!Maxi_hp</f>
        <v>0</v>
      </c>
      <c r="I131" s="379">
        <f>IF(H131,Wh_hp,'2022'!Maxi_hp)</f>
        <v>43.491010827693984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2.9492026468739385E-2</v>
      </c>
      <c r="M131" s="832"/>
      <c r="N131" s="832"/>
      <c r="O131" s="48">
        <f>IF(t&lt;Tnet,'2022'!Resal+('2022'!Salim-'2022'!Resal)*(1-EXP(('2022'!Tnet-t)/('2022'!Tau_j))),Resal+(Salim-Resal)*(1-EXP((Tnet-t)/(Tau_j))))*Salcycl</f>
        <v>3.5554716674375056E-2</v>
      </c>
      <c r="P131" s="338">
        <f>(INDEX(Models!$BJ131:$BT131,,T131)*(1-R131)+INDEX(Models!$BJ131:$BT131,,T131+1)*R131-ERP_i)*Q131*Ramure*Pc/MaxiM</f>
        <v>2.0374796730097971E-4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58.133728451899508</v>
      </c>
      <c r="W131" s="400">
        <f t="shared" si="34"/>
        <v>40.70167366292673</v>
      </c>
      <c r="X131" s="157">
        <f t="shared" si="35"/>
        <v>45043</v>
      </c>
      <c r="Y131" s="383">
        <f t="shared" si="36"/>
        <v>38.415058739903643</v>
      </c>
      <c r="Z131" s="383">
        <f t="shared" si="37"/>
        <v>39.582424655541764</v>
      </c>
      <c r="AA131" s="384">
        <f t="shared" si="38"/>
        <v>43.484608717804896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8.9737131765092112E-2</v>
      </c>
      <c r="AD131" s="230">
        <f>(INDEX(Models!$BJ131:$BT131,,AH131)*(1-AF131)+INDEX(Models!$BJ131:$BT131,,AH131+1)*AF131-ERP_i)*AE131*Ramure*Pc/MaxiM</f>
        <v>2.0374796730097971E-4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'2022'!Wh/'2022'!Env_an*'2023'!Env_an</f>
        <v>24.524789112707751</v>
      </c>
      <c r="C132" s="829"/>
      <c r="D132" s="391">
        <f t="shared" si="25"/>
        <v>25.27053852475532</v>
      </c>
      <c r="E132" s="383">
        <f t="shared" si="47"/>
        <v>26.204228673053056</v>
      </c>
      <c r="F132" s="383">
        <f t="shared" si="26"/>
        <v>26.205135095103536</v>
      </c>
      <c r="G132" s="110">
        <f t="shared" si="48"/>
        <v>0.42082717784191714</v>
      </c>
      <c r="H132" s="412" t="b">
        <f>Wh_hp&gt;='2022'!Maxi_hp</f>
        <v>0</v>
      </c>
      <c r="I132" s="379">
        <f>IF(H132,Wh_hp,'2022'!Maxi_hp)</f>
        <v>46.721279625112096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2.951062603264365E-2</v>
      </c>
      <c r="M132" s="832"/>
      <c r="N132" s="832"/>
      <c r="O132" s="48">
        <f>IF(t&lt;Tnet,'2022'!Resal+('2022'!Salim-'2022'!Resal)*(1-EXP(('2022'!Tnet-t)/('2022'!Tau_j))),Resal+(Salim-Resal)*(1-EXP((Tnet-t)/(Tau_j))))*Salcycl</f>
        <v>3.563127768221197E-2</v>
      </c>
      <c r="P132" s="338">
        <f>(INDEX(Models!$BJ132:$BT132,,T132)*(1-R132)+INDEX(Models!$BJ132:$BT132,,T132+1)*R132-ERP_i)*Q132*Ramure*Pc/MaxiM</f>
        <v>2.0027506150061919E-4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58.267922936926922</v>
      </c>
      <c r="W132" s="400">
        <f t="shared" si="34"/>
        <v>24.524789112707751</v>
      </c>
      <c r="X132" s="157">
        <f t="shared" si="35"/>
        <v>45044</v>
      </c>
      <c r="Y132" s="383">
        <f t="shared" si="36"/>
        <v>23.147486288796973</v>
      </c>
      <c r="Z132" s="383">
        <f t="shared" si="37"/>
        <v>23.851354697651299</v>
      </c>
      <c r="AA132" s="384">
        <f t="shared" si="38"/>
        <v>26.204228673053056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8.9789858146876844E-2</v>
      </c>
      <c r="AD132" s="230">
        <f>(INDEX(Models!$BJ132:$BT132,,AH132)*(1-AF132)+INDEX(Models!$BJ132:$BT132,,AH132+1)*AF132-ERP_i)*AE132*Ramure*Pc/MaxiM</f>
        <v>2.0027506150061919E-4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'2022'!Wh/'2022'!Env_an*'2023'!Env_an</f>
        <v>44.853685300726184</v>
      </c>
      <c r="C133" s="829"/>
      <c r="D133" s="391">
        <f t="shared" si="25"/>
        <v>46.218481243624112</v>
      </c>
      <c r="E133" s="383">
        <f t="shared" si="47"/>
        <v>47.929981005289456</v>
      </c>
      <c r="F133" s="383">
        <f t="shared" si="26"/>
        <v>47.936295015253108</v>
      </c>
      <c r="G133" s="110">
        <f t="shared" si="48"/>
        <v>0.76804739700488589</v>
      </c>
      <c r="H133" s="412" t="b">
        <f>Wh_hp&gt;='2022'!Maxi_hp</f>
        <v>0</v>
      </c>
      <c r="I133" s="379">
        <f>IF(H133,Wh_hp,'2022'!Maxi_hp)</f>
        <v>51.783140656081144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2.9529225240091606E-2</v>
      </c>
      <c r="M133" s="832"/>
      <c r="N133" s="832"/>
      <c r="O133" s="48">
        <f>IF(t&lt;Tnet,'2022'!Resal+('2022'!Salim-'2022'!Resal)*(1-EXP(('2022'!Tnet-t)/('2022'!Tau_j))),Resal+(Salim-Resal)*(1-EXP((Tnet-t)/(Tau_j))))*Salcycl</f>
        <v>3.5708333818794263E-2</v>
      </c>
      <c r="P133" s="338">
        <f>(INDEX(Models!$BJ133:$BT133,,T133)*(1-R133)+INDEX(Models!$BJ133:$BT133,,T133+1)*R133-ERP_i)*Q133*Ramure*Pc/MaxiM</f>
        <v>1.9697109227199546E-4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58.395820608851373</v>
      </c>
      <c r="W133" s="400">
        <f t="shared" si="34"/>
        <v>44.853685300726184</v>
      </c>
      <c r="X133" s="157">
        <f t="shared" si="35"/>
        <v>45045</v>
      </c>
      <c r="Y133" s="383">
        <f t="shared" si="36"/>
        <v>42.335592071947445</v>
      </c>
      <c r="Z133" s="383">
        <f t="shared" si="37"/>
        <v>43.623768147393356</v>
      </c>
      <c r="AA133" s="384">
        <f t="shared" si="38"/>
        <v>47.929981005289456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8.9843825671887451E-2</v>
      </c>
      <c r="AD133" s="230">
        <f>(INDEX(Models!$BJ133:$BT133,,AH133)*(1-AF133)+INDEX(Models!$BJ133:$BT133,,AH133+1)*AF133-ERP_i)*AE133*Ramure*Pc/MaxiM</f>
        <v>1.9697109227199546E-4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'2022'!Wh/'2022'!Env_an*'2023'!Env_an</f>
        <v>47.480559446183356</v>
      </c>
      <c r="C134" s="829"/>
      <c r="D134" s="391">
        <f t="shared" si="25"/>
        <v>48.926222873078544</v>
      </c>
      <c r="E134" s="383">
        <f t="shared" si="47"/>
        <v>50.742072753268488</v>
      </c>
      <c r="F134" s="383">
        <f t="shared" si="26"/>
        <v>50.749259233471243</v>
      </c>
      <c r="G134" s="110">
        <f t="shared" si="48"/>
        <v>0.81134945344748832</v>
      </c>
      <c r="H134" s="412" t="b">
        <f>Wh_hp&gt;='2022'!Maxi_hp</f>
        <v>0</v>
      </c>
      <c r="I134" s="379">
        <f>IF(H134,Wh_hp,'2022'!Maxi_hp)</f>
        <v>61.648626642094747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2.9547824091089914E-2</v>
      </c>
      <c r="M134" s="832"/>
      <c r="N134" s="832"/>
      <c r="O134" s="48">
        <f>IF(t&lt;Tnet,'2022'!Resal+('2022'!Salim-'2022'!Resal)*(1-EXP(('2022'!Tnet-t)/('2022'!Tau_j))),Resal+(Salim-Resal)*(1-EXP((Tnet-t)/(Tau_j))))*Salcycl</f>
        <v>3.5785883028851585E-2</v>
      </c>
      <c r="P134" s="338">
        <f>(INDEX(Models!$BJ134:$BT134,,T134)*(1-R134)+INDEX(Models!$BJ134:$BT134,,T134+1)*R134-ERP_i)*Q134*Ramure*Pc/MaxiM</f>
        <v>1.9383436494634028E-4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58.51742320977101</v>
      </c>
      <c r="W134" s="400">
        <f t="shared" si="34"/>
        <v>47.480559446183356</v>
      </c>
      <c r="X134" s="157">
        <f t="shared" si="35"/>
        <v>45046</v>
      </c>
      <c r="Y134" s="383">
        <f t="shared" si="36"/>
        <v>44.815879334480805</v>
      </c>
      <c r="Z134" s="383">
        <f t="shared" si="37"/>
        <v>46.180409964568284</v>
      </c>
      <c r="AA134" s="384">
        <f t="shared" si="38"/>
        <v>50.742072753268488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8.9899023456947225E-2</v>
      </c>
      <c r="AD134" s="230">
        <f>(INDEX(Models!$BJ134:$BT134,,AH134)*(1-AF134)+INDEX(Models!$BJ134:$BT134,,AH134+1)*AF134-ERP_i)*AE134*Ramure*Pc/MaxiM</f>
        <v>1.9383436494634028E-4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'2022'!Wh/'2022'!Env_an*'2023'!Env_an</f>
        <v>48.042247210319807</v>
      </c>
      <c r="C135" s="829"/>
      <c r="D135" s="391">
        <f t="shared" si="25"/>
        <v>49.505961385141546</v>
      </c>
      <c r="E135" s="383">
        <f t="shared" si="47"/>
        <v>51.347483540047484</v>
      </c>
      <c r="F135" s="383">
        <f t="shared" si="26"/>
        <v>51.354756384351546</v>
      </c>
      <c r="G135" s="110">
        <f t="shared" si="48"/>
        <v>0.81934796717936242</v>
      </c>
      <c r="H135" s="412" t="b">
        <f>Wh_hp&gt;='2022'!Maxi_hp</f>
        <v>0</v>
      </c>
      <c r="I135" s="379">
        <f>IF(H135,Wh_hp,'2022'!Maxi_hp)</f>
        <v>57.098058064772587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2.9566422585645458E-2</v>
      </c>
      <c r="M135" s="832"/>
      <c r="N135" s="832"/>
      <c r="O135" s="48">
        <f>IF(t&lt;Tnet,'2022'!Resal+('2022'!Salim-'2022'!Resal)*(1-EXP(('2022'!Tnet-t)/('2022'!Tau_j))),Resal+(Salim-Resal)*(1-EXP((Tnet-t)/(Tau_j))))*Salcycl</f>
        <v>3.5863922201166555E-2</v>
      </c>
      <c r="P135" s="338">
        <f>(INDEX(Models!$BJ135:$BT135,,T135)*(1-R135)+INDEX(Models!$BJ135:$BT135,,T135+1)*R135-ERP_i)*Q135*Ramure*Pc/MaxiM</f>
        <v>1.9086639629840074E-4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58.631842485435193</v>
      </c>
      <c r="W135" s="400">
        <f t="shared" si="34"/>
        <v>48.042247210319807</v>
      </c>
      <c r="X135" s="157">
        <f t="shared" si="35"/>
        <v>45047</v>
      </c>
      <c r="Y135" s="383">
        <f t="shared" si="36"/>
        <v>45.346903641845415</v>
      </c>
      <c r="Z135" s="383">
        <f t="shared" si="37"/>
        <v>46.728498165396076</v>
      </c>
      <c r="AA135" s="384">
        <f t="shared" si="38"/>
        <v>51.347483540047484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8.9955438050803874E-2</v>
      </c>
      <c r="AD135" s="230">
        <f>(INDEX(Models!$BJ135:$BT135,,AH135)*(1-AF135)+INDEX(Models!$BJ135:$BT135,,AH135+1)*AF135-ERP_i)*AE135*Ramure*Pc/MaxiM</f>
        <v>1.9086639629840074E-4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'2022'!Wh/'2022'!Env_an*'2023'!Env_an</f>
        <v>28.542843601180344</v>
      </c>
      <c r="C136" s="829"/>
      <c r="D136" s="391">
        <f t="shared" si="25"/>
        <v>29.413028663745965</v>
      </c>
      <c r="E136" s="383">
        <f t="shared" si="47"/>
        <v>30.509619032824133</v>
      </c>
      <c r="F136" s="383">
        <f t="shared" si="26"/>
        <v>30.511144028810612</v>
      </c>
      <c r="G136" s="110">
        <f t="shared" si="48"/>
        <v>0.48586394440469954</v>
      </c>
      <c r="H136" s="412" t="b">
        <f>Wh_hp&gt;='2022'!Maxi_hp</f>
        <v>0</v>
      </c>
      <c r="I136" s="379">
        <f>IF(H136,Wh_hp,'2022'!Maxi_hp)</f>
        <v>49.564429764978506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2.9585020723765121E-2</v>
      </c>
      <c r="M136" s="832"/>
      <c r="N136" s="832"/>
      <c r="O136" s="48">
        <f>IF(t&lt;Tnet,'2022'!Resal+('2022'!Salim-'2022'!Resal)*(1-EXP(('2022'!Tnet-t)/('2022'!Tau_j))),Resal+(Salim-Resal)*(1-EXP((Tnet-t)/(Tau_j))))*Salcycl</f>
        <v>3.5942447131128957E-2</v>
      </c>
      <c r="P136" s="338">
        <f>(INDEX(Models!$BJ136:$BT136,,T136)*(1-R136)+INDEX(Models!$BJ136:$BT136,,T136+1)*R136-ERP_i)*Q136*Ramure*Pc/MaxiM</f>
        <v>1.8817252489971342E-4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58.738458308968156</v>
      </c>
      <c r="W136" s="400">
        <f t="shared" si="34"/>
        <v>28.542843601180344</v>
      </c>
      <c r="X136" s="157">
        <f t="shared" si="35"/>
        <v>45048</v>
      </c>
      <c r="Y136" s="383">
        <f t="shared" si="36"/>
        <v>26.941975631816558</v>
      </c>
      <c r="Z136" s="383">
        <f t="shared" si="37"/>
        <v>27.763355066829973</v>
      </c>
      <c r="AA136" s="384">
        <f t="shared" si="38"/>
        <v>30.509619032824133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9.001305335997678E-2</v>
      </c>
      <c r="AD136" s="230">
        <f>(INDEX(Models!$BJ136:$BT136,,AH136)*(1-AF136)+INDEX(Models!$BJ136:$BT136,,AH136+1)*AF136-ERP_i)*AE136*Ramure*Pc/MaxiM</f>
        <v>1.8817252489971342E-4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'2022'!Wh/'2022'!Env_an*'2023'!Env_an</f>
        <v>39.839442344114218</v>
      </c>
      <c r="C137" s="829"/>
      <c r="D137" s="391">
        <f t="shared" si="25"/>
        <v>41.054813377143866</v>
      </c>
      <c r="E137" s="383">
        <f t="shared" si="47"/>
        <v>42.58892843929565</v>
      </c>
      <c r="F137" s="383">
        <f t="shared" si="26"/>
        <v>42.593188898278065</v>
      </c>
      <c r="G137" s="110">
        <f t="shared" si="48"/>
        <v>0.67704954105540216</v>
      </c>
      <c r="H137" s="412" t="b">
        <f>Wh_hp&gt;='2022'!Maxi_hp</f>
        <v>0</v>
      </c>
      <c r="I137" s="379">
        <f>IF(H137,Wh_hp,'2022'!Maxi_hp)</f>
        <v>61.404519088032231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2.9603618505455676E-2</v>
      </c>
      <c r="M137" s="832"/>
      <c r="N137" s="832"/>
      <c r="O137" s="48">
        <f>IF(t&lt;Tnet,'2022'!Resal+('2022'!Salim-'2022'!Resal)*(1-EXP(('2022'!Tnet-t)/('2022'!Tau_j))),Resal+(Salim-Resal)*(1-EXP((Tnet-t)/(Tau_j))))*Salcycl</f>
        <v>3.6021452484733069E-2</v>
      </c>
      <c r="P137" s="338">
        <f>(INDEX(Models!$BJ137:$BT137,,T137)*(1-R137)+INDEX(Models!$BJ137:$BT137,,T137+1)*R137-ERP_i)*Q137*Ramure*Pc/MaxiM</f>
        <v>1.8567312963652593E-4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58.83768835786433</v>
      </c>
      <c r="W137" s="400">
        <f t="shared" si="34"/>
        <v>39.839442344114218</v>
      </c>
      <c r="X137" s="157">
        <f t="shared" si="35"/>
        <v>45049</v>
      </c>
      <c r="Y137" s="383">
        <f t="shared" si="36"/>
        <v>37.605639813864265</v>
      </c>
      <c r="Z137" s="383">
        <f t="shared" si="37"/>
        <v>38.752864840598839</v>
      </c>
      <c r="AA137" s="384">
        <f t="shared" si="38"/>
        <v>42.58892843929565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9.0071850578832185E-2</v>
      </c>
      <c r="AD137" s="230">
        <f>(INDEX(Models!$BJ137:$BT137,,AH137)*(1-AF137)+INDEX(Models!$BJ137:$BT137,,AH137+1)*AF137-ERP_i)*AE137*Ramure*Pc/MaxiM</f>
        <v>1.8567312963652593E-4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'2022'!Wh/'2022'!Env_an*'2023'!Env_an</f>
        <v>21.57358944110263</v>
      </c>
      <c r="C138" s="829"/>
      <c r="D138" s="391">
        <f t="shared" si="25"/>
        <v>22.232155141303686</v>
      </c>
      <c r="E138" s="383">
        <f t="shared" si="47"/>
        <v>23.064816508226443</v>
      </c>
      <c r="F138" s="383">
        <f t="shared" si="26"/>
        <v>23.065215816942541</v>
      </c>
      <c r="G138" s="110">
        <f t="shared" si="48"/>
        <v>0.36602794624174789</v>
      </c>
      <c r="H138" s="412" t="b">
        <f>Wh_hp&gt;='2022'!Maxi_hp</f>
        <v>0</v>
      </c>
      <c r="I138" s="379">
        <f>IF(H138,Wh_hp,'2022'!Maxi_hp)</f>
        <v>54.000058250195806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2.9622215930724116E-2</v>
      </c>
      <c r="M138" s="832"/>
      <c r="N138" s="832"/>
      <c r="O138" s="48">
        <f>IF(t&lt;Tnet,'2022'!Resal+('2022'!Salim-'2022'!Resal)*(1-EXP(('2022'!Tnet-t)/('2022'!Tau_j))),Resal+(Salim-Resal)*(1-EXP((Tnet-t)/(Tau_j))))*Salcycl</f>
        <v>3.6100931764437683E-2</v>
      </c>
      <c r="P138" s="338">
        <f>(INDEX(Models!$BJ138:$BT138,,T138)*(1-R138)+INDEX(Models!$BJ138:$BT138,,T138+1)*R138-ERP_i)*Q138*Ramure*Pc/MaxiM</f>
        <v>1.8336728186715473E-4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58.929945638143352</v>
      </c>
      <c r="W138" s="400">
        <f t="shared" si="34"/>
        <v>21.57358944110263</v>
      </c>
      <c r="X138" s="157">
        <f t="shared" si="35"/>
        <v>45050</v>
      </c>
      <c r="Y138" s="383">
        <f t="shared" si="36"/>
        <v>20.364292760406602</v>
      </c>
      <c r="Z138" s="383">
        <f t="shared" si="37"/>
        <v>20.985942892271307</v>
      </c>
      <c r="AA138" s="384">
        <f t="shared" si="38"/>
        <v>23.064816508226443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9.0131808124884555E-2</v>
      </c>
      <c r="AD138" s="230">
        <f>(INDEX(Models!$BJ138:$BT138,,AH138)*(1-AF138)+INDEX(Models!$BJ138:$BT138,,AH138+1)*AF138-ERP_i)*AE138*Ramure*Pc/MaxiM</f>
        <v>1.8336728186715473E-4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'2022'!Wh/'2022'!Env_an*'2023'!Env_an</f>
        <v>44.254830118116118</v>
      </c>
      <c r="C139" s="829"/>
      <c r="D139" s="391">
        <f t="shared" si="25"/>
        <v>45.606648250445048</v>
      </c>
      <c r="E139" s="383">
        <f t="shared" si="47"/>
        <v>47.318679589601444</v>
      </c>
      <c r="F139" s="383">
        <f t="shared" si="26"/>
        <v>47.324192407598012</v>
      </c>
      <c r="G139" s="110">
        <f t="shared" si="48"/>
        <v>0.7498344736253808</v>
      </c>
      <c r="H139" s="412" t="b">
        <f>Wh_hp&gt;='2022'!Maxi_hp</f>
        <v>0</v>
      </c>
      <c r="I139" s="379">
        <f>IF(H139,Wh_hp,'2022'!Maxi_hp)</f>
        <v>59.96671405061354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2.9640812999576993E-2</v>
      </c>
      <c r="M139" s="832"/>
      <c r="N139" s="832"/>
      <c r="O139" s="48">
        <f>IF(t&lt;Tnet,'2022'!Resal+('2022'!Salim-'2022'!Resal)*(1-EXP(('2022'!Tnet-t)/('2022'!Tau_j))),Resal+(Salim-Resal)*(1-EXP((Tnet-t)/(Tau_j))))*Salcycl</f>
        <v>3.6180877277324275E-2</v>
      </c>
      <c r="P139" s="338">
        <f>(INDEX(Models!$BJ139:$BT139,,T139)*(1-R139)+INDEX(Models!$BJ139:$BT139,,T139+1)*R139-ERP_i)*Q139*Ramure*Pc/MaxiM</f>
        <v>1.8125452501885345E-4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59.015643077248107</v>
      </c>
      <c r="W139" s="400">
        <f t="shared" si="34"/>
        <v>44.254830118116118</v>
      </c>
      <c r="X139" s="157">
        <f t="shared" si="35"/>
        <v>45051</v>
      </c>
      <c r="Y139" s="383">
        <f t="shared" si="36"/>
        <v>41.774807774179067</v>
      </c>
      <c r="Z139" s="383">
        <f t="shared" si="37"/>
        <v>43.05087057846432</v>
      </c>
      <c r="AA139" s="384">
        <f t="shared" si="38"/>
        <v>47.318679589601444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9.0192901580351759E-2</v>
      </c>
      <c r="AD139" s="230">
        <f>(INDEX(Models!$BJ139:$BT139,,AH139)*(1-AF139)+INDEX(Models!$BJ139:$BT139,,AH139+1)*AF139-ERP_i)*AE139*Ramure*Pc/MaxiM</f>
        <v>1.8125452501885345E-4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'2022'!Wh/'2022'!Env_an*'2023'!Env_an</f>
        <v>38.835567813841131</v>
      </c>
      <c r="C140" s="829"/>
      <c r="D140" s="391">
        <f t="shared" si="25"/>
        <v>40.022614948340433</v>
      </c>
      <c r="E140" s="383">
        <f t="shared" si="47"/>
        <v>41.528491200127839</v>
      </c>
      <c r="F140" s="383">
        <f t="shared" si="26"/>
        <v>41.532291580998198</v>
      </c>
      <c r="G140" s="110">
        <f t="shared" si="48"/>
        <v>0.65711192808200469</v>
      </c>
      <c r="H140" s="412" t="b">
        <f>Wh_hp&gt;='2022'!Maxi_hp</f>
        <v>0</v>
      </c>
      <c r="I140" s="379">
        <f>IF(H140,Wh_hp,'2022'!Maxi_hp)</f>
        <v>63.959766591204975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2.9659409712021412E-2</v>
      </c>
      <c r="M140" s="832"/>
      <c r="N140" s="832"/>
      <c r="O140" s="48">
        <f>IF(t&lt;Tnet,'2022'!Resal+('2022'!Salim-'2022'!Resal)*(1-EXP(('2022'!Tnet-t)/('2022'!Tau_j))),Resal+(Salim-Resal)*(1-EXP((Tnet-t)/(Tau_j))))*Salcycl</f>
        <v>3.6261280106000264E-2</v>
      </c>
      <c r="P140" s="338">
        <f>(INDEX(Models!$BJ140:$BT140,,T140)*(1-R140)+INDEX(Models!$BJ140:$BT140,,T140+1)*R140-ERP_i)*Q140*Ramure*Pc/MaxiM</f>
        <v>1.7933485962823916E-4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59.095193513140579</v>
      </c>
      <c r="W140" s="400">
        <f t="shared" si="34"/>
        <v>38.835567813841131</v>
      </c>
      <c r="X140" s="157">
        <f t="shared" si="35"/>
        <v>45052</v>
      </c>
      <c r="Y140" s="383">
        <f t="shared" si="36"/>
        <v>36.659790549591555</v>
      </c>
      <c r="Z140" s="383">
        <f t="shared" si="37"/>
        <v>37.78033292280562</v>
      </c>
      <c r="AA140" s="384">
        <f t="shared" si="38"/>
        <v>41.528491200127839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9.0255103641007903E-2</v>
      </c>
      <c r="AD140" s="230">
        <f>(INDEX(Models!$BJ140:$BT140,,AH140)*(1-AF140)+INDEX(Models!$BJ140:$BT140,,AH140+1)*AF140-ERP_i)*AE140*Ramure*Pc/MaxiM</f>
        <v>1.7933485962823916E-4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'2022'!Wh/'2022'!Env_an*'2023'!Env_an</f>
        <v>53.130549138709185</v>
      </c>
      <c r="C141" s="829"/>
      <c r="D141" s="391">
        <f t="shared" si="25"/>
        <v>54.755585744700809</v>
      </c>
      <c r="E141" s="383">
        <f t="shared" si="47"/>
        <v>56.820566151138273</v>
      </c>
      <c r="F141" s="383">
        <f t="shared" si="26"/>
        <v>56.829187979152415</v>
      </c>
      <c r="G141" s="110">
        <f t="shared" si="48"/>
        <v>0.89792229816803526</v>
      </c>
      <c r="H141" s="412" t="b">
        <f>Wh_hp&gt;='2022'!Maxi_hp</f>
        <v>0</v>
      </c>
      <c r="I141" s="379">
        <f>IF(H141,Wh_hp,'2022'!Maxi_hp)</f>
        <v>60.392486037860046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2.9678006068063922E-2</v>
      </c>
      <c r="M141" s="832"/>
      <c r="N141" s="832"/>
      <c r="O141" s="48">
        <f>IF(t&lt;Tnet,'2022'!Resal+('2022'!Salim-'2022'!Resal)*(1-EXP(('2022'!Tnet-t)/('2022'!Tau_j))),Resal+(Salim-Resal)*(1-EXP((Tnet-t)/(Tau_j))))*Salcycl</f>
        <v>3.6342130082702352E-2</v>
      </c>
      <c r="P141" s="338">
        <f>(INDEX(Models!$BJ141:$BT141,,T141)*(1-R141)+INDEX(Models!$BJ141:$BT141,,T141+1)*R141-ERP_i)*Q141*Ramure*Pc/MaxiM</f>
        <v>1.7760872823571546E-4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59.169009700400693</v>
      </c>
      <c r="W141" s="400">
        <f t="shared" si="34"/>
        <v>53.130549138709185</v>
      </c>
      <c r="X141" s="157">
        <f t="shared" si="35"/>
        <v>45053</v>
      </c>
      <c r="Y141" s="383">
        <f t="shared" si="36"/>
        <v>50.154609124623647</v>
      </c>
      <c r="Z141" s="383">
        <f t="shared" si="37"/>
        <v>51.688624434232679</v>
      </c>
      <c r="AA141" s="384">
        <f t="shared" si="38"/>
        <v>56.820566151138273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9.0318384073383315E-2</v>
      </c>
      <c r="AD141" s="230">
        <f>(INDEX(Models!$BJ141:$BT141,,AH141)*(1-AF141)+INDEX(Models!$BJ141:$BT141,,AH141+1)*AF141-ERP_i)*AE141*Ramure*Pc/MaxiM</f>
        <v>1.7760872823571546E-4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'2022'!Wh/'2022'!Env_an*'2023'!Env_an</f>
        <v>48.992654687323309</v>
      </c>
      <c r="C142" s="829"/>
      <c r="D142" s="391">
        <f t="shared" si="25"/>
        <v>50.492098442328874</v>
      </c>
      <c r="E142" s="383">
        <f t="shared" si="47"/>
        <v>52.40071133787783</v>
      </c>
      <c r="F142" s="383">
        <f t="shared" si="26"/>
        <v>52.407658556707318</v>
      </c>
      <c r="G142" s="110">
        <f t="shared" si="48"/>
        <v>0.82701867720916544</v>
      </c>
      <c r="H142" s="412" t="b">
        <f>Wh_hp&gt;='2022'!Maxi_hp</f>
        <v>0</v>
      </c>
      <c r="I142" s="379">
        <f>IF(H142,Wh_hp,'2022'!Maxi_hp)</f>
        <v>59.443974291396984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2.969660206771163E-2</v>
      </c>
      <c r="M142" s="832"/>
      <c r="N142" s="832"/>
      <c r="O142" s="48">
        <f>IF(t&lt;Tnet,'2022'!Resal+('2022'!Salim-'2022'!Resal)*(1-EXP(('2022'!Tnet-t)/('2022'!Tau_j))),Resal+(Salim-Resal)*(1-EXP((Tnet-t)/(Tau_j))))*Salcycl</f>
        <v>3.6423415767055024E-2</v>
      </c>
      <c r="P142" s="338">
        <f>(INDEX(Models!$BJ142:$BT142,,T142)*(1-R142)+INDEX(Models!$BJ142:$BT142,,T142+1)*R142-ERP_i)*Q142*Ramure*Pc/MaxiM</f>
        <v>1.7605915239806159E-4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59.237505357053479</v>
      </c>
      <c r="W142" s="400">
        <f t="shared" si="34"/>
        <v>48.992654687323309</v>
      </c>
      <c r="X142" s="157">
        <f t="shared" si="35"/>
        <v>45054</v>
      </c>
      <c r="Y142" s="383">
        <f t="shared" si="36"/>
        <v>46.249116605169306</v>
      </c>
      <c r="Z142" s="383">
        <f t="shared" si="37"/>
        <v>47.664593057930063</v>
      </c>
      <c r="AA142" s="384">
        <f t="shared" si="38"/>
        <v>52.40071133787783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9.0382709681352452E-2</v>
      </c>
      <c r="AD142" s="230">
        <f>(INDEX(Models!$BJ142:$BT142,,AH142)*(1-AF142)+INDEX(Models!$BJ142:$BT142,,AH142+1)*AF142-ERP_i)*AE142*Ramure*Pc/MaxiM</f>
        <v>1.7605915239806159E-4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'2022'!Wh/'2022'!Env_an*'2023'!Env_an</f>
        <v>56.258884360048576</v>
      </c>
      <c r="C143" s="829"/>
      <c r="D143" s="391">
        <f t="shared" ref="D143:D206" si="50">Wh/(1-Ppv)</f>
        <v>57.981825776644655</v>
      </c>
      <c r="E143" s="383">
        <f t="shared" si="47"/>
        <v>60.178655067800641</v>
      </c>
      <c r="F143" s="383">
        <f t="shared" ref="F143:F206" si="51">Wh_sa/(1-Pvg*MEDIAN((-Sdif+Wh/Env_an)/Csdif,0,1))</f>
        <v>60.188393259558119</v>
      </c>
      <c r="G143" s="110">
        <f t="shared" si="48"/>
        <v>0.94868671099741153</v>
      </c>
      <c r="H143" s="412" t="b">
        <f>Wh_hp&gt;='2022'!Maxi_hp</f>
        <v>0</v>
      </c>
      <c r="I143" s="379">
        <f>IF(H143,Wh_hp,'2022'!Maxi_hp)</f>
        <v>60.188657093420851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2.9715197710971197E-2</v>
      </c>
      <c r="M143" s="832"/>
      <c r="N143" s="832"/>
      <c r="O143" s="48">
        <f>IF(t&lt;Tnet,'2022'!Resal+('2022'!Salim-'2022'!Resal)*(1-EXP(('2022'!Tnet-t)/('2022'!Tau_j))),Resal+(Salim-Resal)*(1-EXP((Tnet-t)/(Tau_j))))*Salcycl</f>
        <v>3.6505124427937394E-2</v>
      </c>
      <c r="P143" s="338">
        <f>(INDEX(Models!$BJ143:$BT143,,T143)*(1-R143)+INDEX(Models!$BJ143:$BT143,,T143+1)*R143-ERP_i)*Q143*Ramure*Pc/MaxiM</f>
        <v>1.7459044944538243E-4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59.301098817624407</v>
      </c>
      <c r="W143" s="400">
        <f t="shared" ref="W143:W206" si="59">Wh*(A143&gt;Tmaj)</f>
        <v>56.258884360048576</v>
      </c>
      <c r="X143" s="157">
        <f t="shared" ref="X143:X206" si="60">t</f>
        <v>45055</v>
      </c>
      <c r="Y143" s="383">
        <f t="shared" ref="Y143:Y206" si="61">Wh_pvt_s*(1-Ppv)</f>
        <v>53.109133835039529</v>
      </c>
      <c r="Z143" s="383">
        <f t="shared" ref="Z143:Z206" si="62">Wh_sa_s*(1-Psa_s)</f>
        <v>54.735613409329027</v>
      </c>
      <c r="AA143" s="384">
        <f t="shared" ref="AA143:AA206" si="63">Wh_hp*(1-Pvg_s*MEDIAN((-Sdif+Wh/Env_an)/Csdif,0,1))</f>
        <v>60.178655067800641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9.0448044283129567E-2</v>
      </c>
      <c r="AD143" s="230">
        <f>(INDEX(Models!$BJ143:$BT143,,AH143)*(1-AF143)+INDEX(Models!$BJ143:$BT143,,AH143+1)*AF143-ERP_i)*AE143*Ramure*Pc/MaxiM</f>
        <v>1.7459044944538243E-4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'2022'!Wh/'2022'!Env_an*'2023'!Env_an</f>
        <v>52.552258867160774</v>
      </c>
      <c r="C144" s="829"/>
      <c r="D144" s="391">
        <f t="shared" si="50"/>
        <v>54.162722032268306</v>
      </c>
      <c r="E144" s="383">
        <f t="shared" ref="E144:E169" si="72">Wh_pvt/(1-Psa)</f>
        <v>56.219643744793927</v>
      </c>
      <c r="F144" s="383">
        <f t="shared" si="51"/>
        <v>56.227786839638952</v>
      </c>
      <c r="G144" s="110">
        <f t="shared" ref="G144:G169" si="73">+Wh_hp/MaxiM</f>
        <v>0.88528618290021888</v>
      </c>
      <c r="H144" s="412" t="b">
        <f>Wh_hp&gt;='2022'!Maxi_hp</f>
        <v>0</v>
      </c>
      <c r="I144" s="379">
        <f>IF(H144,Wh_hp,'2022'!Maxi_hp)</f>
        <v>56.228332022395691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2.9733792997849617E-2</v>
      </c>
      <c r="M144" s="832"/>
      <c r="N144" s="832"/>
      <c r="O144" s="48">
        <f>IF(t&lt;Tnet,'2022'!Resal+('2022'!Salim-'2022'!Resal)*(1-EXP(('2022'!Tnet-t)/('2022'!Tau_j))),Resal+(Salim-Resal)*(1-EXP((Tnet-t)/(Tau_j))))*Salcycl</f>
        <v>3.6587242029901657E-2</v>
      </c>
      <c r="P144" s="338">
        <f>(INDEX(Models!$BJ144:$BT144,,T144)*(1-R144)+INDEX(Models!$BJ144:$BT144,,T144+1)*R144-ERP_i)*Q144*Ramure*Pc/MaxiM</f>
        <v>1.7320069398987735E-4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59.3602028035355</v>
      </c>
      <c r="W144" s="400">
        <f t="shared" si="59"/>
        <v>52.552258867160774</v>
      </c>
      <c r="X144" s="157">
        <f t="shared" si="60"/>
        <v>45056</v>
      </c>
      <c r="Y144" s="383">
        <f t="shared" si="61"/>
        <v>49.610641947288059</v>
      </c>
      <c r="Z144" s="383">
        <f t="shared" si="62"/>
        <v>51.130959307107055</v>
      </c>
      <c r="AA144" s="384">
        <f t="shared" si="63"/>
        <v>56.219643744793927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9.0514348699658825E-2</v>
      </c>
      <c r="AD144" s="230">
        <f>(INDEX(Models!$BJ144:$BT144,,AH144)*(1-AF144)+INDEX(Models!$BJ144:$BT144,,AH144+1)*AF144-ERP_i)*AE144*Ramure*Pc/MaxiM</f>
        <v>1.7320069398987735E-4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'2022'!Wh/'2022'!Env_an*'2023'!Env_an</f>
        <v>56.66864167142122</v>
      </c>
      <c r="C145" s="829"/>
      <c r="D145" s="391">
        <f t="shared" si="50"/>
        <v>58.40637066905412</v>
      </c>
      <c r="E145" s="383">
        <f t="shared" si="72"/>
        <v>60.629644781277008</v>
      </c>
      <c r="F145" s="383">
        <f t="shared" si="51"/>
        <v>60.639379638809707</v>
      </c>
      <c r="G145" s="110">
        <f t="shared" si="73"/>
        <v>0.95376216420928506</v>
      </c>
      <c r="H145" s="412" t="b">
        <f>Wh_hp&gt;='2022'!Maxi_hp</f>
        <v>0</v>
      </c>
      <c r="I145" s="379">
        <f>IF(H145,Wh_hp,'2022'!Maxi_hp)</f>
        <v>60.639614204775107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2.9752387928353441E-2</v>
      </c>
      <c r="M145" s="832"/>
      <c r="N145" s="832"/>
      <c r="O145" s="48">
        <f>IF(t&lt;Tnet,'2022'!Resal+('2022'!Salim-'2022'!Resal)*(1-EXP(('2022'!Tnet-t)/('2022'!Tau_j))),Resal+(Salim-Resal)*(1-EXP((Tnet-t)/(Tau_j))))*Salcycl</f>
        <v>3.6669753224571985E-2</v>
      </c>
      <c r="P145" s="338">
        <f>(INDEX(Models!$BJ145:$BT145,,T145)*(1-R145)+INDEX(Models!$BJ145:$BT145,,T145+1)*R145-ERP_i)*Q145*Ramure*Pc/MaxiM</f>
        <v>1.7188814100778458E-4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59.415229954365849</v>
      </c>
      <c r="W145" s="400">
        <f t="shared" si="59"/>
        <v>56.66864167142122</v>
      </c>
      <c r="X145" s="157">
        <f t="shared" si="60"/>
        <v>45057</v>
      </c>
      <c r="Y145" s="383">
        <f t="shared" si="61"/>
        <v>53.49723700887813</v>
      </c>
      <c r="Z145" s="383">
        <f t="shared" si="62"/>
        <v>55.137715716354379</v>
      </c>
      <c r="AA145" s="384">
        <f t="shared" si="63"/>
        <v>60.629644781277008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9.0581580755336857E-2</v>
      </c>
      <c r="AD145" s="230">
        <f>(INDEX(Models!$BJ145:$BT145,,AH145)*(1-AF145)+INDEX(Models!$BJ145:$BT145,,AH145+1)*AF145-ERP_i)*AE145*Ramure*Pc/MaxiM</f>
        <v>1.7188814100778458E-4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'2022'!Wh/'2022'!Env_an*'2023'!Env_an</f>
        <v>42.250018351031549</v>
      </c>
      <c r="C146" s="829"/>
      <c r="D146" s="391">
        <f t="shared" si="50"/>
        <v>43.546438613025686</v>
      </c>
      <c r="E146" s="383">
        <f t="shared" si="72"/>
        <v>45.20795019250339</v>
      </c>
      <c r="F146" s="383">
        <f t="shared" si="51"/>
        <v>45.212474635089961</v>
      </c>
      <c r="G146" s="110">
        <f t="shared" si="73"/>
        <v>0.71043310222885414</v>
      </c>
      <c r="H146" s="412" t="b">
        <f>Wh_hp&gt;='2022'!Maxi_hp</f>
        <v>0</v>
      </c>
      <c r="I146" s="379">
        <f>IF(H146,Wh_hp,'2022'!Maxi_hp)</f>
        <v>56.127004376201441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2.9770982502489773E-2</v>
      </c>
      <c r="M146" s="832"/>
      <c r="N146" s="832"/>
      <c r="O146" s="48">
        <f>IF(t&lt;Tnet,'2022'!Resal+('2022'!Salim-'2022'!Resal)*(1-EXP(('2022'!Tnet-t)/('2022'!Tau_j))),Resal+(Salim-Resal)*(1-EXP((Tnet-t)/(Tau_j))))*Salcycl</f>
        <v>3.6752641347433293E-2</v>
      </c>
      <c r="P146" s="338">
        <f>(INDEX(Models!$BJ146:$BT146,,T146)*(1-R146)+INDEX(Models!$BJ146:$BT146,,T146+1)*R146-ERP_i)*Q146*Ramure*Pc/MaxiM</f>
        <v>1.7065122081436765E-4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59.46659282969609</v>
      </c>
      <c r="W146" s="400">
        <f t="shared" si="59"/>
        <v>42.250018351031549</v>
      </c>
      <c r="X146" s="157">
        <f t="shared" si="60"/>
        <v>45058</v>
      </c>
      <c r="Y146" s="383">
        <f t="shared" si="61"/>
        <v>39.885982262308055</v>
      </c>
      <c r="Z146" s="383">
        <f t="shared" si="62"/>
        <v>41.109863282779429</v>
      </c>
      <c r="AA146" s="384">
        <f t="shared" si="63"/>
        <v>45.20795019250339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9.0649695291947233E-2</v>
      </c>
      <c r="AD146" s="230">
        <f>(INDEX(Models!$BJ146:$BT146,,AH146)*(1-AF146)+INDEX(Models!$BJ146:$BT146,,AH146+1)*AF146-ERP_i)*AE146*Ramure*Pc/MaxiM</f>
        <v>1.7065122081436765E-4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'2022'!Wh/'2022'!Env_an*'2023'!Env_an</f>
        <v>44.254141039947058</v>
      </c>
      <c r="C147" s="829"/>
      <c r="D147" s="391">
        <f t="shared" si="50"/>
        <v>45.612930945792918</v>
      </c>
      <c r="E147" s="383">
        <f t="shared" si="72"/>
        <v>47.357382192103138</v>
      </c>
      <c r="F147" s="383">
        <f t="shared" si="51"/>
        <v>47.362469075986802</v>
      </c>
      <c r="G147" s="110">
        <f t="shared" si="73"/>
        <v>0.74353714818292094</v>
      </c>
      <c r="H147" s="412" t="b">
        <f>Wh_hp&gt;='2022'!Maxi_hp</f>
        <v>0</v>
      </c>
      <c r="I147" s="379">
        <f>IF(H147,Wh_hp,'2022'!Maxi_hp)</f>
        <v>64.735176440204555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2.9789576720265276E-2</v>
      </c>
      <c r="M147" s="832"/>
      <c r="N147" s="832"/>
      <c r="O147" s="48">
        <f>IF(t&lt;Tnet,'2022'!Resal+('2022'!Salim-'2022'!Resal)*(1-EXP(('2022'!Tnet-t)/('2022'!Tau_j))),Resal+(Salim-Resal)*(1-EXP((Tnet-t)/(Tau_j))))*Salcycl</f>
        <v>3.6835888420393037E-2</v>
      </c>
      <c r="P147" s="338">
        <f>(INDEX(Models!$BJ147:$BT147,,T147)*(1-R147)+INDEX(Models!$BJ147:$BT147,,T147+1)*R147-ERP_i)*Q147*Ramure*Pc/MaxiM</f>
        <v>1.6948853419544393E-4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59.514703902511357</v>
      </c>
      <c r="W147" s="400">
        <f t="shared" si="59"/>
        <v>44.254141039947058</v>
      </c>
      <c r="X147" s="157">
        <f t="shared" si="60"/>
        <v>45059</v>
      </c>
      <c r="Y147" s="383">
        <f t="shared" si="61"/>
        <v>41.778410222037799</v>
      </c>
      <c r="Z147" s="383">
        <f t="shared" si="62"/>
        <v>43.061184686934752</v>
      </c>
      <c r="AA147" s="384">
        <f t="shared" si="63"/>
        <v>47.357382192103138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9.0718644196612241E-2</v>
      </c>
      <c r="AD147" s="230">
        <f>(INDEX(Models!$BJ147:$BT147,,AH147)*(1-AF147)+INDEX(Models!$BJ147:$BT147,,AH147+1)*AF147-ERP_i)*AE147*Ramure*Pc/MaxiM</f>
        <v>1.6948853419544393E-4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'2022'!Wh/'2022'!Env_an*'2023'!Env_an</f>
        <v>50.428577793390559</v>
      </c>
      <c r="C148" s="829"/>
      <c r="D148" s="391">
        <f t="shared" si="50"/>
        <v>51.977945251946153</v>
      </c>
      <c r="E148" s="383">
        <f t="shared" si="72"/>
        <v>53.970508084572401</v>
      </c>
      <c r="F148" s="383">
        <f t="shared" si="51"/>
        <v>53.977607006370398</v>
      </c>
      <c r="G148" s="110">
        <f t="shared" si="73"/>
        <v>0.84665443746974456</v>
      </c>
      <c r="H148" s="412" t="b">
        <f>Wh_hp&gt;='2022'!Maxi_hp</f>
        <v>0</v>
      </c>
      <c r="I148" s="379">
        <f>IF(H148,Wh_hp,'2022'!Maxi_hp)</f>
        <v>63.17753058579234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2.9808170581686944E-2</v>
      </c>
      <c r="M148" s="832"/>
      <c r="N148" s="832"/>
      <c r="O148" s="48">
        <f>IF(t&lt;Tnet,'2022'!Resal+('2022'!Salim-'2022'!Resal)*(1-EXP(('2022'!Tnet-t)/('2022'!Tau_j))),Resal+(Salim-Resal)*(1-EXP((Tnet-t)/(Tau_j))))*Salcycl</f>
        <v>3.691947516046875E-2</v>
      </c>
      <c r="P148" s="338">
        <f>(INDEX(Models!$BJ148:$BT148,,T148)*(1-R148)+INDEX(Models!$BJ148:$BT148,,T148+1)*R148-ERP_i)*Q148*Ramure*Pc/MaxiM</f>
        <v>1.6839884757394795E-4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59.559975558089413</v>
      </c>
      <c r="W148" s="400">
        <f t="shared" si="59"/>
        <v>50.428577793390559</v>
      </c>
      <c r="X148" s="157">
        <f t="shared" si="60"/>
        <v>45060</v>
      </c>
      <c r="Y148" s="383">
        <f t="shared" si="61"/>
        <v>47.60790806850121</v>
      </c>
      <c r="Z148" s="383">
        <f t="shared" si="62"/>
        <v>49.070613279690207</v>
      </c>
      <c r="AA148" s="384">
        <f t="shared" si="63"/>
        <v>53.970508084572401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9.0788376444483398E-2</v>
      </c>
      <c r="AD148" s="230">
        <f>(INDEX(Models!$BJ148:$BT148,,AH148)*(1-AF148)+INDEX(Models!$BJ148:$BT148,,AH148+1)*AF148-ERP_i)*AE148*Ramure*Pc/MaxiM</f>
        <v>1.6839884757394795E-4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'2022'!Wh/'2022'!Env_an*'2023'!Env_an</f>
        <v>53.068151710820814</v>
      </c>
      <c r="C149" s="829"/>
      <c r="D149" s="391">
        <f t="shared" si="50"/>
        <v>54.699665736364047</v>
      </c>
      <c r="E149" s="383">
        <f t="shared" si="72"/>
        <v>56.80151379230896</v>
      </c>
      <c r="F149" s="383">
        <f t="shared" si="51"/>
        <v>56.809533815783766</v>
      </c>
      <c r="G149" s="110">
        <f t="shared" si="73"/>
        <v>0.890361717781048</v>
      </c>
      <c r="H149" s="412" t="b">
        <f>Wh_hp&gt;='2022'!Maxi_hp</f>
        <v>0</v>
      </c>
      <c r="I149" s="379">
        <f>IF(H149,Wh_hp,'2022'!Maxi_hp)</f>
        <v>63.749746861981109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2.9826764086761326E-2</v>
      </c>
      <c r="M149" s="832"/>
      <c r="N149" s="832"/>
      <c r="O149" s="48">
        <f>IF(t&lt;Tnet,'2022'!Resal+('2022'!Salim-'2022'!Resal)*(1-EXP(('2022'!Tnet-t)/('2022'!Tau_j))),Resal+(Salim-Resal)*(1-EXP((Tnet-t)/(Tau_j))))*Salcycl</f>
        <v>3.7003380994918247E-2</v>
      </c>
      <c r="P149" s="338">
        <f>(INDEX(Models!$BJ149:$BT149,,T149)*(1-R149)+INDEX(Models!$BJ149:$BT149,,T149+1)*R149-ERP_i)*Q149*Ramure*Pc/MaxiM</f>
        <v>1.6738521547744994E-4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59.601350180054183</v>
      </c>
      <c r="W149" s="400">
        <f t="shared" si="59"/>
        <v>53.068151710820814</v>
      </c>
      <c r="X149" s="157">
        <f t="shared" si="60"/>
        <v>45061</v>
      </c>
      <c r="Y149" s="383">
        <f t="shared" si="61"/>
        <v>50.100322421788803</v>
      </c>
      <c r="Z149" s="383">
        <f t="shared" si="62"/>
        <v>51.640594243592602</v>
      </c>
      <c r="AA149" s="384">
        <f t="shared" si="63"/>
        <v>56.80151379230896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9.0858838156795019E-2</v>
      </c>
      <c r="AD149" s="230">
        <f>(INDEX(Models!$BJ149:$BT149,,AH149)*(1-AF149)+INDEX(Models!$BJ149:$BT149,,AH149+1)*AF149-ERP_i)*AE149*Ramure*Pc/MaxiM</f>
        <v>1.6738521547744994E-4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'2022'!Wh/'2022'!Env_an*'2023'!Env_an</f>
        <v>51.480333363345324</v>
      </c>
      <c r="C150" s="829"/>
      <c r="D150" s="391">
        <f t="shared" si="50"/>
        <v>53.064048857870247</v>
      </c>
      <c r="E150" s="383">
        <f t="shared" si="72"/>
        <v>55.107866489956066</v>
      </c>
      <c r="F150" s="383">
        <f t="shared" si="51"/>
        <v>55.115247004992881</v>
      </c>
      <c r="G150" s="110">
        <f t="shared" si="73"/>
        <v>0.8631908162868861</v>
      </c>
      <c r="H150" s="412" t="b">
        <f>Wh_hp&gt;='2022'!Maxi_hp</f>
        <v>0</v>
      </c>
      <c r="I150" s="379">
        <f>IF(H150,Wh_hp,'2022'!Maxi_hp)</f>
        <v>55.11584961334696</v>
      </c>
      <c r="J150" s="85">
        <f>IF(H150,An,'2022'!An_max)</f>
        <v>2022</v>
      </c>
      <c r="K150" s="197">
        <f t="shared" si="52"/>
        <v>45062</v>
      </c>
      <c r="L150" s="147">
        <f>IF(t&lt;Tvie,1-EXP((T0-t)*PertePVj)+'2022'!Pspv,1-EXP((T0-t)*PertePVj)+Pspv)</f>
        <v>2.9845357235495529E-2</v>
      </c>
      <c r="M150" s="832"/>
      <c r="N150" s="832"/>
      <c r="O150" s="48">
        <f>IF(t&lt;Tnet,'2022'!Resal+('2022'!Salim-'2022'!Resal)*(1-EXP(('2022'!Tnet-t)/('2022'!Tau_j))),Resal+(Salim-Resal)*(1-EXP((Tnet-t)/(Tau_j))))*Salcycl</f>
        <v>3.7087584083087724E-2</v>
      </c>
      <c r="P150" s="338">
        <f>(INDEX(Models!$BJ150:$BT150,,T150)*(1-R150)+INDEX(Models!$BJ150:$BT150,,T150+1)*R150-ERP_i)*Q150*Ramure*Pc/MaxiM</f>
        <v>1.6643158026869847E-4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59.637635127943533</v>
      </c>
      <c r="W150" s="400">
        <f t="shared" si="59"/>
        <v>51.480333363345324</v>
      </c>
      <c r="X150" s="157">
        <f t="shared" si="60"/>
        <v>45062</v>
      </c>
      <c r="Y150" s="383">
        <f t="shared" si="61"/>
        <v>48.60174952959067</v>
      </c>
      <c r="Z150" s="383">
        <f t="shared" si="62"/>
        <v>50.09690969585791</v>
      </c>
      <c r="AA150" s="384">
        <f t="shared" si="63"/>
        <v>55.107866489956066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9.0929972674798604E-2</v>
      </c>
      <c r="AD150" s="230">
        <f>(INDEX(Models!$BJ150:$BT150,,AH150)*(1-AF150)+INDEX(Models!$BJ150:$BT150,,AH150+1)*AF150-ERP_i)*AE150*Ramure*Pc/MaxiM</f>
        <v>1.6643158026869847E-4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'2022'!Wh/'2022'!Env_an*'2023'!Env_an</f>
        <v>54.905243605053542</v>
      </c>
      <c r="C151" s="829"/>
      <c r="D151" s="391">
        <f t="shared" si="50"/>
        <v>56.595405981081051</v>
      </c>
      <c r="E151" s="383">
        <f t="shared" si="72"/>
        <v>58.780394407907302</v>
      </c>
      <c r="F151" s="383">
        <f t="shared" si="51"/>
        <v>58.789009895131677</v>
      </c>
      <c r="G151" s="110">
        <f t="shared" si="73"/>
        <v>0.9201455618114015</v>
      </c>
      <c r="H151" s="412" t="b">
        <f>Wh_hp&gt;='2022'!Maxi_hp</f>
        <v>0</v>
      </c>
      <c r="I151" s="379">
        <f>IF(H151,Wh_hp,'2022'!Maxi_hp)</f>
        <v>58.789381900861969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2.9863950027896324E-2</v>
      </c>
      <c r="M151" s="832"/>
      <c r="N151" s="832"/>
      <c r="O151" s="48">
        <f>IF(t&lt;Tnet,'2022'!Resal+('2022'!Salim-'2022'!Resal)*(1-EXP(('2022'!Tnet-t)/('2022'!Tau_j))),Resal+(Salim-Resal)*(1-EXP((Tnet-t)/(Tau_j))))*Salcycl</f>
        <v>3.7172061345207986E-2</v>
      </c>
      <c r="P151" s="338">
        <f>(INDEX(Models!$BJ151:$BT151,,T151)*(1-R151)+INDEX(Models!$BJ151:$BT151,,T151+1)*R151-ERP_i)*Q151*Ramure*Pc/MaxiM</f>
        <v>1.6541539940774123E-4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59.669045728378144</v>
      </c>
      <c r="W151" s="400">
        <f t="shared" si="59"/>
        <v>54.905243605053542</v>
      </c>
      <c r="X151" s="157">
        <f t="shared" si="60"/>
        <v>45063</v>
      </c>
      <c r="Y151" s="383">
        <f t="shared" si="61"/>
        <v>51.835608378810804</v>
      </c>
      <c r="Z151" s="383">
        <f t="shared" si="62"/>
        <v>53.431277376303399</v>
      </c>
      <c r="AA151" s="384">
        <f t="shared" si="63"/>
        <v>58.780394407907302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9.1001720649977871E-2</v>
      </c>
      <c r="AD151" s="230">
        <f>(INDEX(Models!$BJ151:$BT151,,AH151)*(1-AF151)+INDEX(Models!$BJ151:$BT151,,AH151+1)*AF151-ERP_i)*AE151*Ramure*Pc/MaxiM</f>
        <v>1.6541539940774123E-4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'2022'!Wh/'2022'!Env_an*'2023'!Env_an</f>
        <v>53.104628668151349</v>
      </c>
      <c r="C152" s="829"/>
      <c r="D152" s="391">
        <f t="shared" si="50"/>
        <v>54.740411334345126</v>
      </c>
      <c r="E152" s="383">
        <f t="shared" si="72"/>
        <v>56.85878714113327</v>
      </c>
      <c r="F152" s="383">
        <f t="shared" si="51"/>
        <v>56.86665813836575</v>
      </c>
      <c r="G152" s="110">
        <f t="shared" si="73"/>
        <v>0.88956443526083262</v>
      </c>
      <c r="H152" s="412" t="b">
        <f>Wh_hp&gt;='2022'!Maxi_hp</f>
        <v>0</v>
      </c>
      <c r="I152" s="379">
        <f>IF(H152,Wh_hp,'2022'!Maxi_hp)</f>
        <v>65.112138934007149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2.9882542463970485E-2</v>
      </c>
      <c r="M152" s="832"/>
      <c r="N152" s="832"/>
      <c r="O152" s="48">
        <f>IF(t&lt;Tnet,'2022'!Resal+('2022'!Salim-'2022'!Resal)*(1-EXP(('2022'!Tnet-t)/('2022'!Tau_j))),Resal+(Salim-Resal)*(1-EXP((Tnet-t)/(Tau_j))))*Salcycl</f>
        <v>3.7256788498319038E-2</v>
      </c>
      <c r="P152" s="338">
        <f>(INDEX(Models!$BJ152:$BT152,,T152)*(1-R152)+INDEX(Models!$BJ152:$BT152,,T152+1)*R152-ERP_i)*Q152*Ramure*Pc/MaxiM</f>
        <v>1.6433188147854723E-4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59.69579029733228</v>
      </c>
      <c r="W152" s="400">
        <f t="shared" si="59"/>
        <v>53.104628668151349</v>
      </c>
      <c r="X152" s="157">
        <f t="shared" si="60"/>
        <v>45064</v>
      </c>
      <c r="Y152" s="383">
        <f t="shared" si="61"/>
        <v>50.136086206661432</v>
      </c>
      <c r="Z152" s="383">
        <f t="shared" si="62"/>
        <v>51.680428815290554</v>
      </c>
      <c r="AA152" s="384">
        <f t="shared" si="63"/>
        <v>56.85878714113327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9.107402015081939E-2</v>
      </c>
      <c r="AD152" s="230">
        <f>(INDEX(Models!$BJ152:$BT152,,AH152)*(1-AF152)+INDEX(Models!$BJ152:$BT152,,AH152+1)*AF152-ERP_i)*AE152*Ramure*Pc/MaxiM</f>
        <v>1.6433188147854723E-4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'2022'!Wh/'2022'!Env_an*'2023'!Env_an</f>
        <v>55.825467311162406</v>
      </c>
      <c r="C153" s="829"/>
      <c r="D153" s="391">
        <f t="shared" si="50"/>
        <v>57.54616286960146</v>
      </c>
      <c r="E153" s="383">
        <f t="shared" si="72"/>
        <v>59.778392049060464</v>
      </c>
      <c r="F153" s="383">
        <f t="shared" si="51"/>
        <v>59.78723945215205</v>
      </c>
      <c r="G153" s="110">
        <f t="shared" si="73"/>
        <v>0.93480268627012209</v>
      </c>
      <c r="H153" s="412" t="b">
        <f>Wh_hp&gt;='2022'!Maxi_hp</f>
        <v>0</v>
      </c>
      <c r="I153" s="379">
        <f>IF(H153,Wh_hp,'2022'!Maxi_hp)</f>
        <v>63.796579298765408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2.9901134543724783E-2</v>
      </c>
      <c r="M153" s="832"/>
      <c r="N153" s="832"/>
      <c r="O153" s="48">
        <f>IF(t&lt;Tnet,'2022'!Resal+('2022'!Salim-'2022'!Resal)*(1-EXP(('2022'!Tnet-t)/('2022'!Tau_j))),Resal+(Salim-Resal)*(1-EXP((Tnet-t)/(Tau_j))))*Salcycl</f>
        <v>3.7341740099449329E-2</v>
      </c>
      <c r="P153" s="338">
        <f>(INDEX(Models!$BJ153:$BT153,,T153)*(1-R153)+INDEX(Models!$BJ153:$BT153,,T153+1)*R153-ERP_i)*Q153*Ramure*Pc/MaxiM</f>
        <v>1.6317622366050587E-4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59.718077141688468</v>
      </c>
      <c r="W153" s="400">
        <f t="shared" si="59"/>
        <v>55.825467311162406</v>
      </c>
      <c r="X153" s="157">
        <f t="shared" si="60"/>
        <v>45065</v>
      </c>
      <c r="Y153" s="383">
        <f t="shared" si="61"/>
        <v>52.705260362737292</v>
      </c>
      <c r="Z153" s="383">
        <f t="shared" si="62"/>
        <v>54.32978249897031</v>
      </c>
      <c r="AA153" s="384">
        <f t="shared" si="63"/>
        <v>59.778392049060464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9.1146806786279122E-2</v>
      </c>
      <c r="AD153" s="230">
        <f>(INDEX(Models!$BJ153:$BT153,,AH153)*(1-AF153)+INDEX(Models!$BJ153:$BT153,,AH153+1)*AF153-ERP_i)*AE153*Ramure*Pc/MaxiM</f>
        <v>1.6317622366050587E-4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'2022'!Wh/'2022'!Env_an*'2023'!Env_an</f>
        <v>49.814763077144839</v>
      </c>
      <c r="C154" s="829"/>
      <c r="D154" s="391">
        <f t="shared" si="50"/>
        <v>51.351176212932799</v>
      </c>
      <c r="E154" s="383">
        <f t="shared" si="72"/>
        <v>53.34781915047121</v>
      </c>
      <c r="F154" s="383">
        <f t="shared" si="51"/>
        <v>53.354409480766137</v>
      </c>
      <c r="G154" s="110">
        <f t="shared" si="73"/>
        <v>0.83388163323777964</v>
      </c>
      <c r="H154" s="412" t="b">
        <f>Wh_hp&gt;='2022'!Maxi_hp</f>
        <v>0</v>
      </c>
      <c r="I154" s="379">
        <f>IF(H154,Wh_hp,'2022'!Maxi_hp)</f>
        <v>63.305602398396879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2.9919726267166102E-2</v>
      </c>
      <c r="M154" s="832"/>
      <c r="N154" s="832"/>
      <c r="O154" s="48">
        <f>IF(t&lt;Tnet,'2022'!Resal+('2022'!Salim-'2022'!Resal)*(1-EXP(('2022'!Tnet-t)/('2022'!Tau_j))),Resal+(Salim-Resal)*(1-EXP((Tnet-t)/(Tau_j))))*Salcycl</f>
        <v>3.742688959611902E-2</v>
      </c>
      <c r="P154" s="338">
        <f>(INDEX(Models!$BJ154:$BT154,,T154)*(1-R154)+INDEX(Models!$BJ154:$BT154,,T154+1)*R154-ERP_i)*Q154*Ramure*Pc/MaxiM</f>
        <v>1.6194362470722302E-4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59.736114558098983</v>
      </c>
      <c r="W154" s="400">
        <f t="shared" si="59"/>
        <v>49.814763077144839</v>
      </c>
      <c r="X154" s="157">
        <f t="shared" si="60"/>
        <v>45066</v>
      </c>
      <c r="Y154" s="383">
        <f t="shared" si="61"/>
        <v>47.03087922383402</v>
      </c>
      <c r="Z154" s="383">
        <f t="shared" si="62"/>
        <v>48.481430348914216</v>
      </c>
      <c r="AA154" s="384">
        <f t="shared" si="63"/>
        <v>53.34781915047121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9.1220013845945774E-2</v>
      </c>
      <c r="AD154" s="230">
        <f>(INDEX(Models!$BJ154:$BT154,,AH154)*(1-AF154)+INDEX(Models!$BJ154:$BT154,,AH154+1)*AF154-ERP_i)*AE154*Ramure*Pc/MaxiM</f>
        <v>1.6194362470722302E-4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'2022'!Wh/'2022'!Env_an*'2023'!Env_an</f>
        <v>49.911673720615525</v>
      </c>
      <c r="C155" s="829"/>
      <c r="D155" s="391">
        <f t="shared" si="50"/>
        <v>51.452061892492701</v>
      </c>
      <c r="E155" s="383">
        <f t="shared" si="72"/>
        <v>53.457365791177885</v>
      </c>
      <c r="F155" s="383">
        <f t="shared" si="51"/>
        <v>53.463933555280505</v>
      </c>
      <c r="G155" s="110">
        <f t="shared" si="73"/>
        <v>0.83530870331027041</v>
      </c>
      <c r="H155" s="412" t="b">
        <f>Wh_hp&gt;='2022'!Maxi_hp</f>
        <v>0</v>
      </c>
      <c r="I155" s="379">
        <f>IF(H155,Wh_hp,'2022'!Maxi_hp)</f>
        <v>61.653025263591708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2.9938317634301326E-2</v>
      </c>
      <c r="M155" s="832"/>
      <c r="N155" s="832"/>
      <c r="O155" s="48">
        <f>IF(t&lt;Tnet,'2022'!Resal+('2022'!Salim-'2022'!Resal)*(1-EXP(('2022'!Tnet-t)/('2022'!Tau_j))),Resal+(Salim-Resal)*(1-EXP((Tnet-t)/(Tau_j))))*Salcycl</f>
        <v>3.7512209384176695E-2</v>
      </c>
      <c r="P155" s="338">
        <f>(INDEX(Models!$BJ155:$BT155,,T155)*(1-R155)+INDEX(Models!$BJ155:$BT155,,T155+1)*R155-ERP_i)*Q155*Ramure*Pc/MaxiM</f>
        <v>1.6062929880586153E-4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59.750110829169024</v>
      </c>
      <c r="W155" s="400">
        <f t="shared" si="59"/>
        <v>49.911673720615525</v>
      </c>
      <c r="X155" s="157">
        <f t="shared" si="60"/>
        <v>45067</v>
      </c>
      <c r="Y155" s="383">
        <f t="shared" si="61"/>
        <v>47.122736684633921</v>
      </c>
      <c r="Z155" s="383">
        <f t="shared" si="62"/>
        <v>48.577051893973646</v>
      </c>
      <c r="AA155" s="384">
        <f t="shared" si="63"/>
        <v>53.457365791177885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9.1293572456756622E-2</v>
      </c>
      <c r="AD155" s="230">
        <f>(INDEX(Models!$BJ155:$BT155,,AH155)*(1-AF155)+INDEX(Models!$BJ155:$BT155,,AH155+1)*AF155-ERP_i)*AE155*Ramure*Pc/MaxiM</f>
        <v>1.6062929880586153E-4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'2022'!Wh/'2022'!Env_an*'2023'!Env_an</f>
        <v>37.913131541527115</v>
      </c>
      <c r="C156" s="829"/>
      <c r="D156" s="391">
        <f t="shared" si="50"/>
        <v>39.083966350993443</v>
      </c>
      <c r="E156" s="383">
        <f t="shared" si="72"/>
        <v>40.610839321682981</v>
      </c>
      <c r="F156" s="383">
        <f t="shared" si="51"/>
        <v>40.613930289960919</v>
      </c>
      <c r="G156" s="110">
        <f t="shared" si="73"/>
        <v>0.63436756894680202</v>
      </c>
      <c r="H156" s="412" t="b">
        <f>Wh_hp&gt;='2022'!Maxi_hp</f>
        <v>0</v>
      </c>
      <c r="I156" s="379">
        <f>IF(H156,Wh_hp,'2022'!Maxi_hp)</f>
        <v>60.757180610940942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2.9956908645137226E-2</v>
      </c>
      <c r="M156" s="832"/>
      <c r="N156" s="832"/>
      <c r="O156" s="48">
        <f>IF(t&lt;Tnet,'2022'!Resal+('2022'!Salim-'2022'!Resal)*(1-EXP(('2022'!Tnet-t)/('2022'!Tau_j))),Resal+(Salim-Resal)*(1-EXP((Tnet-t)/(Tau_j))))*Salcycl</f>
        <v>3.7597670872916697E-2</v>
      </c>
      <c r="P156" s="338">
        <f>(INDEX(Models!$BJ156:$BT156,,T156)*(1-R156)+INDEX(Models!$BJ156:$BT156,,T156+1)*R156-ERP_i)*Q156*Ramure*Pc/MaxiM</f>
        <v>1.5930333412636198E-4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59.760269739382601</v>
      </c>
      <c r="W156" s="400">
        <f t="shared" si="59"/>
        <v>37.913131541527115</v>
      </c>
      <c r="X156" s="157">
        <f t="shared" si="60"/>
        <v>45068</v>
      </c>
      <c r="Y156" s="383">
        <f t="shared" si="61"/>
        <v>35.794912167617092</v>
      </c>
      <c r="Z156" s="383">
        <f t="shared" si="62"/>
        <v>36.900332043623138</v>
      </c>
      <c r="AA156" s="384">
        <f t="shared" si="63"/>
        <v>40.610839321682981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9.1367411755972447E-2</v>
      </c>
      <c r="AD156" s="230">
        <f>(INDEX(Models!$BJ156:$BT156,,AH156)*(1-AF156)+INDEX(Models!$BJ156:$BT156,,AH156+1)*AF156-ERP_i)*AE156*Ramure*Pc/MaxiM</f>
        <v>1.5930333412636198E-4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'2022'!Wh/'2022'!Env_an*'2023'!Env_an</f>
        <v>20.017628229193377</v>
      </c>
      <c r="C157" s="829"/>
      <c r="D157" s="391">
        <f t="shared" si="50"/>
        <v>20.636208894457244</v>
      </c>
      <c r="E157" s="383">
        <f t="shared" si="72"/>
        <v>21.444299683803322</v>
      </c>
      <c r="F157" s="383">
        <f t="shared" si="51"/>
        <v>21.444468733131423</v>
      </c>
      <c r="G157" s="110">
        <f t="shared" si="73"/>
        <v>0.33487863101861887</v>
      </c>
      <c r="H157" s="412" t="b">
        <f>Wh_hp&gt;='2022'!Maxi_hp</f>
        <v>0</v>
      </c>
      <c r="I157" s="379">
        <f>IF(H157,Wh_hp,'2022'!Maxi_hp)</f>
        <v>57.940082195716684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2.9975499299680686E-2</v>
      </c>
      <c r="M157" s="832"/>
      <c r="N157" s="832"/>
      <c r="O157" s="48">
        <f>IF(t&lt;Tnet,'2022'!Resal+('2022'!Salim-'2022'!Resal)*(1-EXP(('2022'!Tnet-t)/('2022'!Tau_j))),Resal+(Salim-Resal)*(1-EXP((Tnet-t)/(Tau_j))))*Salcycl</f>
        <v>3.7683244557360059E-2</v>
      </c>
      <c r="P157" s="338">
        <f>(INDEX(Models!$BJ157:$BT157,,T157)*(1-R157)+INDEX(Models!$BJ157:$BT157,,T157+1)*R157-ERP_i)*Q157*Ramure*Pc/MaxiM</f>
        <v>1.5798331959267505E-4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59.766798181903205</v>
      </c>
      <c r="W157" s="400">
        <f t="shared" si="59"/>
        <v>20.017628229193377</v>
      </c>
      <c r="X157" s="157">
        <f t="shared" si="60"/>
        <v>45069</v>
      </c>
      <c r="Y157" s="383">
        <f t="shared" si="61"/>
        <v>18.899376939799801</v>
      </c>
      <c r="Z157" s="383">
        <f t="shared" si="62"/>
        <v>19.483401631768267</v>
      </c>
      <c r="AA157" s="384">
        <f t="shared" si="63"/>
        <v>21.444299683803322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9.1441459079967119E-2</v>
      </c>
      <c r="AD157" s="230">
        <f>(INDEX(Models!$BJ157:$BT157,,AH157)*(1-AF157)+INDEX(Models!$BJ157:$BT157,,AH157+1)*AF157-ERP_i)*AE157*Ramure*Pc/MaxiM</f>
        <v>1.5798331959267505E-4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'2022'!Wh/'2022'!Env_an*'2023'!Env_an</f>
        <v>16.548431685367284</v>
      </c>
      <c r="C158" s="829"/>
      <c r="D158" s="391">
        <f t="shared" si="50"/>
        <v>17.060134900114225</v>
      </c>
      <c r="E158" s="383">
        <f t="shared" si="72"/>
        <v>17.729768765365396</v>
      </c>
      <c r="F158" s="383">
        <f t="shared" si="51"/>
        <v>17.729768765365396</v>
      </c>
      <c r="G158" s="110">
        <f t="shared" si="73"/>
        <v>0.27682559160296522</v>
      </c>
      <c r="H158" s="412" t="b">
        <f>Wh_hp&gt;='2022'!Maxi_hp</f>
        <v>0</v>
      </c>
      <c r="I158" s="379">
        <f>IF(H158,Wh_hp,'2022'!Maxi_hp)</f>
        <v>27.39141049073487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2.9994089597938367E-2</v>
      </c>
      <c r="M158" s="832"/>
      <c r="N158" s="832"/>
      <c r="O158" s="48">
        <f>IF(t&lt;Tnet,'2022'!Resal+('2022'!Salim-'2022'!Resal)*(1-EXP(('2022'!Tnet-t)/('2022'!Tau_j))),Resal+(Salim-Resal)*(1-EXP((Tnet-t)/(Tau_j))))*Salcycl</f>
        <v>3.7768900097517426E-2</v>
      </c>
      <c r="P158" s="338">
        <f>(INDEX(Models!$BJ158:$BT158,,T158)*(1-R158)+INDEX(Models!$BJ158:$BT158,,T158+1)*R158-ERP_i)*Q158*Ramure*Pc/MaxiM</f>
        <v>1.5666718815822043E-4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59.769904195987195</v>
      </c>
      <c r="W158" s="400">
        <f t="shared" si="59"/>
        <v>16.548431685367284</v>
      </c>
      <c r="X158" s="157">
        <f t="shared" si="60"/>
        <v>45070</v>
      </c>
      <c r="Y158" s="383">
        <f t="shared" si="61"/>
        <v>15.624096298097403</v>
      </c>
      <c r="Z158" s="383">
        <f t="shared" si="62"/>
        <v>16.107217626768179</v>
      </c>
      <c r="AA158" s="384">
        <f t="shared" si="63"/>
        <v>17.729768765365396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9.1515640168236337E-2</v>
      </c>
      <c r="AD158" s="230">
        <f>(INDEX(Models!$BJ158:$BT158,,AH158)*(1-AF158)+INDEX(Models!$BJ158:$BT158,,AH158+1)*AF158-ERP_i)*AE158*Ramure*Pc/MaxiM</f>
        <v>1.5666718815822043E-4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'2022'!Wh/'2022'!Env_an*'2023'!Env_an</f>
        <v>41.62753553455078</v>
      </c>
      <c r="C159" s="829"/>
      <c r="D159" s="391">
        <f t="shared" si="50"/>
        <v>42.915546065907421</v>
      </c>
      <c r="E159" s="383">
        <f t="shared" si="72"/>
        <v>44.60401343868481</v>
      </c>
      <c r="F159" s="383">
        <f t="shared" si="51"/>
        <v>44.607938447896963</v>
      </c>
      <c r="G159" s="110">
        <f t="shared" si="73"/>
        <v>0.69641748904034073</v>
      </c>
      <c r="H159" s="412" t="b">
        <f>Wh_hp&gt;='2022'!Maxi_hp</f>
        <v>0</v>
      </c>
      <c r="I159" s="379">
        <f>IF(H159,Wh_hp,'2022'!Maxi_hp)</f>
        <v>59.825577923222795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3.0012679539917375E-2</v>
      </c>
      <c r="M159" s="832"/>
      <c r="N159" s="832"/>
      <c r="O159" s="48">
        <f>IF(t&lt;Tnet,'2022'!Resal+('2022'!Salim-'2022'!Resal)*(1-EXP(('2022'!Tnet-t)/('2022'!Tau_j))),Resal+(Salim-Resal)*(1-EXP((Tnet-t)/(Tau_j))))*Salcycl</f>
        <v>3.7854606404386627E-2</v>
      </c>
      <c r="P159" s="338">
        <f>(INDEX(Models!$BJ159:$BT159,,T159)*(1-R159)+INDEX(Models!$BJ159:$BT159,,T159+1)*R159-ERP_i)*Q159*Ramure*Pc/MaxiM</f>
        <v>1.5535397132273931E-4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59.769795713539978</v>
      </c>
      <c r="W159" s="400">
        <f t="shared" si="59"/>
        <v>41.62753553455078</v>
      </c>
      <c r="X159" s="157">
        <f t="shared" si="60"/>
        <v>45071</v>
      </c>
      <c r="Y159" s="383">
        <f t="shared" si="61"/>
        <v>39.302661352105247</v>
      </c>
      <c r="Z159" s="383">
        <f t="shared" si="62"/>
        <v>40.518737227887968</v>
      </c>
      <c r="AA159" s="384">
        <f t="shared" si="63"/>
        <v>44.60401343868481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9.158987938187875E-2</v>
      </c>
      <c r="AD159" s="230">
        <f>(INDEX(Models!$BJ159:$BT159,,AH159)*(1-AF159)+INDEX(Models!$BJ159:$BT159,,AH159+1)*AF159-ERP_i)*AE159*Ramure*Pc/MaxiM</f>
        <v>1.5535397132273931E-4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'2022'!Wh/'2022'!Env_an*'2023'!Env_an</f>
        <v>25.304489928012362</v>
      </c>
      <c r="C160" s="829"/>
      <c r="D160" s="391">
        <f t="shared" si="50"/>
        <v>26.08794399506229</v>
      </c>
      <c r="E160" s="383">
        <f t="shared" si="72"/>
        <v>27.116762977953975</v>
      </c>
      <c r="F160" s="383">
        <f t="shared" si="51"/>
        <v>27.117499296442556</v>
      </c>
      <c r="G160" s="110">
        <f t="shared" si="73"/>
        <v>0.42333418376976822</v>
      </c>
      <c r="H160" s="412" t="b">
        <f>Wh_hp&gt;='2022'!Maxi_hp</f>
        <v>0</v>
      </c>
      <c r="I160" s="379">
        <f>IF(H160,Wh_hp,'2022'!Maxi_hp)</f>
        <v>62.596709791929555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3.003126912562426E-2</v>
      </c>
      <c r="M160" s="832"/>
      <c r="N160" s="832"/>
      <c r="O160" s="48">
        <f>IF(t&lt;Tnet,'2022'!Resal+('2022'!Salim-'2022'!Resal)*(1-EXP(('2022'!Tnet-t)/('2022'!Tau_j))),Resal+(Salim-Resal)*(1-EXP((Tnet-t)/(Tau_j))))*Salcycl</f>
        <v>3.7940331732372289E-2</v>
      </c>
      <c r="P160" s="338">
        <f>(INDEX(Models!$BJ160:$BT160,,T160)*(1-R160)+INDEX(Models!$BJ160:$BT160,,T160+1)*R160-ERP_i)*Q160*Ramure*Pc/MaxiM</f>
        <v>1.5404283538284467E-4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59.766680616684354</v>
      </c>
      <c r="W160" s="400">
        <f t="shared" si="59"/>
        <v>25.304489928012362</v>
      </c>
      <c r="X160" s="157">
        <f t="shared" si="60"/>
        <v>45072</v>
      </c>
      <c r="Y160" s="383">
        <f t="shared" si="61"/>
        <v>23.891425233342449</v>
      </c>
      <c r="Z160" s="383">
        <f t="shared" si="62"/>
        <v>24.631129306411339</v>
      </c>
      <c r="AA160" s="384">
        <f t="shared" si="63"/>
        <v>27.116762977953975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9.1664099935654691E-2</v>
      </c>
      <c r="AD160" s="230">
        <f>(INDEX(Models!$BJ160:$BT160,,AH160)*(1-AF160)+INDEX(Models!$BJ160:$BT160,,AH160+1)*AF160-ERP_i)*AE160*Ramure*Pc/MaxiM</f>
        <v>1.5404283538284467E-4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'2022'!Wh/'2022'!Env_an*'2023'!Env_an</f>
        <v>46.588561209570521</v>
      </c>
      <c r="C161" s="829"/>
      <c r="D161" s="391">
        <f t="shared" si="50"/>
        <v>48.031913403879912</v>
      </c>
      <c r="E161" s="383">
        <f t="shared" si="72"/>
        <v>49.930575659766504</v>
      </c>
      <c r="F161" s="383">
        <f t="shared" si="51"/>
        <v>49.935800970803534</v>
      </c>
      <c r="G161" s="110">
        <f t="shared" si="73"/>
        <v>0.77954689952453449</v>
      </c>
      <c r="H161" s="412" t="b">
        <f>Wh_hp&gt;='2022'!Maxi_hp</f>
        <v>0</v>
      </c>
      <c r="I161" s="379">
        <f>IF(H161,Wh_hp,'2022'!Maxi_hp)</f>
        <v>62.270971233570506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3.0049858355066128E-2</v>
      </c>
      <c r="M161" s="832"/>
      <c r="N161" s="832"/>
      <c r="O161" s="48">
        <f>IF(t&lt;Tnet,'2022'!Resal+('2022'!Salim-'2022'!Resal)*(1-EXP(('2022'!Tnet-t)/('2022'!Tau_j))),Resal+(Salim-Resal)*(1-EXP((Tnet-t)/(Tau_j))))*Salcycl</f>
        <v>3.8026043777751095E-2</v>
      </c>
      <c r="P161" s="338">
        <f>(INDEX(Models!$BJ161:$BT161,,T161)*(1-R161)+INDEX(Models!$BJ161:$BT161,,T161+1)*R161-ERP_i)*Q161*Ramure*Pc/MaxiM</f>
        <v>1.5273308455526915E-4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59.76076672588195</v>
      </c>
      <c r="W161" s="400">
        <f t="shared" si="59"/>
        <v>46.588561209570521</v>
      </c>
      <c r="X161" s="157">
        <f t="shared" si="60"/>
        <v>45073</v>
      </c>
      <c r="Y161" s="383">
        <f t="shared" si="61"/>
        <v>43.987271240709468</v>
      </c>
      <c r="Z161" s="383">
        <f t="shared" si="62"/>
        <v>45.350033318322595</v>
      </c>
      <c r="AA161" s="384">
        <f t="shared" si="63"/>
        <v>49.930575659766504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9.1738224142584077E-2</v>
      </c>
      <c r="AD161" s="230">
        <f>(INDEX(Models!$BJ161:$BT161,,AH161)*(1-AF161)+INDEX(Models!$BJ161:$BT161,,AH161+1)*AF161-ERP_i)*AE161*Ramure*Pc/MaxiM</f>
        <v>1.5273308455526915E-4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'2022'!Wh/'2022'!Env_an*'2023'!Env_an</f>
        <v>56.036282520546308</v>
      </c>
      <c r="C162" s="829"/>
      <c r="D162" s="391">
        <f t="shared" si="50"/>
        <v>57.773440157104645</v>
      </c>
      <c r="E162" s="383">
        <f t="shared" si="72"/>
        <v>60.062525705615613</v>
      </c>
      <c r="F162" s="383">
        <f t="shared" si="51"/>
        <v>60.070813751396223</v>
      </c>
      <c r="G162" s="110">
        <f t="shared" si="73"/>
        <v>0.93779761442155529</v>
      </c>
      <c r="H162" s="412" t="b">
        <f>Wh_hp&gt;='2022'!Maxi_hp</f>
        <v>0</v>
      </c>
      <c r="I162" s="379">
        <f>IF(H162,Wh_hp,'2022'!Maxi_hp)</f>
        <v>61.405954695216622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3.0068447228249529E-2</v>
      </c>
      <c r="M162" s="832"/>
      <c r="N162" s="832"/>
      <c r="O162" s="48">
        <f>IF(t&lt;Tnet,'2022'!Resal+('2022'!Salim-'2022'!Resal)*(1-EXP(('2022'!Tnet-t)/('2022'!Tau_j))),Resal+(Salim-Resal)*(1-EXP((Tnet-t)/(Tau_j))))*Salcycl</f>
        <v>3.8111709782743003E-2</v>
      </c>
      <c r="P162" s="338">
        <f>(INDEX(Models!$BJ162:$BT162,,T162)*(1-R162)+INDEX(Models!$BJ162:$BT162,,T162+1)*R162-ERP_i)*Q162*Ramure*Pc/MaxiM</f>
        <v>1.5142416369993457E-4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59.752261792963459</v>
      </c>
      <c r="W162" s="400">
        <f t="shared" si="59"/>
        <v>56.036282520546308</v>
      </c>
      <c r="X162" s="157">
        <f t="shared" si="60"/>
        <v>45074</v>
      </c>
      <c r="Y162" s="383">
        <f t="shared" si="61"/>
        <v>52.907879361395885</v>
      </c>
      <c r="Z162" s="383">
        <f t="shared" si="62"/>
        <v>54.548054664478428</v>
      </c>
      <c r="AA162" s="384">
        <f t="shared" si="63"/>
        <v>60.062525705615613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9.1812173669906169E-2</v>
      </c>
      <c r="AD162" s="230">
        <f>(INDEX(Models!$BJ162:$BT162,,AH162)*(1-AF162)+INDEX(Models!$BJ162:$BT162,,AH162+1)*AF162-ERP_i)*AE162*Ramure*Pc/MaxiM</f>
        <v>1.5142416369993457E-4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'2022'!Wh/'2022'!Env_an*'2023'!Env_an</f>
        <v>60.589095700273404</v>
      </c>
      <c r="C163" s="829"/>
      <c r="D163" s="391">
        <f t="shared" si="50"/>
        <v>62.468590412979829</v>
      </c>
      <c r="E163" s="383">
        <f t="shared" si="72"/>
        <v>64.949485164737112</v>
      </c>
      <c r="F163" s="383">
        <f t="shared" si="51"/>
        <v>64.959236791876052</v>
      </c>
      <c r="G163" s="110">
        <f t="shared" si="73"/>
        <v>1.0142136258336651</v>
      </c>
      <c r="H163" s="412" t="b">
        <f>Wh_hp&gt;='2022'!Maxi_hp</f>
        <v>1</v>
      </c>
      <c r="I163" s="379">
        <f>IF(H163,Wh_hp,'2022'!Maxi_hp)</f>
        <v>64.959236791876052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3.0087035745181456E-2</v>
      </c>
      <c r="M163" s="832"/>
      <c r="N163" s="832"/>
      <c r="O163" s="48">
        <f>IF(t&lt;Tnet,'2022'!Resal+('2022'!Salim-'2022'!Resal)*(1-EXP(('2022'!Tnet-t)/('2022'!Tau_j))),Resal+(Salim-Resal)*(1-EXP((Tnet-t)/(Tau_j))))*Salcycl</f>
        <v>3.8197296644688968E-2</v>
      </c>
      <c r="P163" s="338">
        <f>(INDEX(Models!$BJ163:$BT163,,T163)*(1-R163)+INDEX(Models!$BJ163:$BT163,,T163+1)*R163-ERP_i)*Q163*Ramure*Pc/MaxiM</f>
        <v>1.5011917658733849E-4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59.739974061648276</v>
      </c>
      <c r="W163" s="400">
        <f t="shared" si="59"/>
        <v>60.589095700273404</v>
      </c>
      <c r="X163" s="157">
        <f t="shared" si="60"/>
        <v>45075</v>
      </c>
      <c r="Y163" s="383">
        <f t="shared" si="61"/>
        <v>57.206965367431991</v>
      </c>
      <c r="Z163" s="383">
        <f t="shared" si="62"/>
        <v>58.981545226982242</v>
      </c>
      <c r="AA163" s="384">
        <f t="shared" si="63"/>
        <v>64.949485164737112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9.1885869805093334E-2</v>
      </c>
      <c r="AD163" s="230">
        <f>(INDEX(Models!$BJ163:$BT163,,AH163)*(1-AF163)+INDEX(Models!$BJ163:$BT163,,AH163+1)*AF163-ERP_i)*AE163*Ramure*Pc/MaxiM</f>
        <v>1.5011917658733849E-4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'2022'!Wh/'2022'!Env_an*'2023'!Env_an</f>
        <v>51.409631170411799</v>
      </c>
      <c r="C164" s="829"/>
      <c r="D164" s="391">
        <f t="shared" si="50"/>
        <v>53.005391553504928</v>
      </c>
      <c r="E164" s="383">
        <f t="shared" si="72"/>
        <v>55.115360270982677</v>
      </c>
      <c r="F164" s="383">
        <f t="shared" si="51"/>
        <v>55.121933057627736</v>
      </c>
      <c r="G164" s="110">
        <f t="shared" si="73"/>
        <v>0.86077793194939689</v>
      </c>
      <c r="H164" s="412" t="b">
        <f>Wh_hp&gt;='2022'!Maxi_hp</f>
        <v>0</v>
      </c>
      <c r="I164" s="379">
        <f>IF(H164,Wh_hp,'2022'!Maxi_hp)</f>
        <v>59.25879141798292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3.0105623905868684E-2</v>
      </c>
      <c r="M164" s="832"/>
      <c r="N164" s="832"/>
      <c r="O164" s="48">
        <f>IF(t&lt;Tnet,'2022'!Resal+('2022'!Salim-'2022'!Resal)*(1-EXP(('2022'!Tnet-t)/('2022'!Tau_j))),Resal+(Salim-Resal)*(1-EXP((Tnet-t)/(Tau_j))))*Salcycl</f>
        <v>3.8282771029777986E-2</v>
      </c>
      <c r="P164" s="338">
        <f>(INDEX(Models!$BJ164:$BT164,,T164)*(1-R164)+INDEX(Models!$BJ164:$BT164,,T164+1)*R164-ERP_i)*Q164*Ramure*Pc/MaxiM</f>
        <v>1.4883754181127081E-4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59.722847817422142</v>
      </c>
      <c r="W164" s="400">
        <f t="shared" si="59"/>
        <v>51.409631170411799</v>
      </c>
      <c r="X164" s="157">
        <f t="shared" si="60"/>
        <v>45076</v>
      </c>
      <c r="Y164" s="383">
        <f t="shared" si="61"/>
        <v>48.540297995492331</v>
      </c>
      <c r="Z164" s="383">
        <f t="shared" si="62"/>
        <v>50.046993973683314</v>
      </c>
      <c r="AA164" s="384">
        <f t="shared" si="63"/>
        <v>55.115360270982677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9.1959233730488268E-2</v>
      </c>
      <c r="AD164" s="230">
        <f>(INDEX(Models!$BJ164:$BT164,,AH164)*(1-AF164)+INDEX(Models!$BJ164:$BT164,,AH164+1)*AF164-ERP_i)*AE164*Ramure*Pc/MaxiM</f>
        <v>1.4883754181127081E-4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'2022'!Wh/'2022'!Env_an*'2023'!Env_an</f>
        <v>55.73034465330133</v>
      </c>
      <c r="C165" s="829"/>
      <c r="D165" s="391">
        <f t="shared" si="50"/>
        <v>57.461321672518984</v>
      </c>
      <c r="E165" s="383">
        <f t="shared" si="72"/>
        <v>59.75396785619013</v>
      </c>
      <c r="F165" s="383">
        <f t="shared" si="51"/>
        <v>59.761950605553281</v>
      </c>
      <c r="G165" s="110">
        <f t="shared" si="73"/>
        <v>0.93347327016824944</v>
      </c>
      <c r="H165" s="412" t="b">
        <f>Wh_hp&gt;='2022'!Maxi_hp</f>
        <v>0</v>
      </c>
      <c r="I165" s="379">
        <f>IF(H165,Wh_hp,'2022'!Maxi_hp)</f>
        <v>62.682352866116169</v>
      </c>
      <c r="J165" s="85">
        <f>IF(H165,An,'2022'!An_max)</f>
        <v>2018</v>
      </c>
      <c r="K165" s="197">
        <f t="shared" si="52"/>
        <v>45077</v>
      </c>
      <c r="L165" s="147">
        <f>IF(t&lt;Tvie,1-EXP((T0-t)*PertePVj)+'2022'!Pspv,1-EXP((T0-t)*PertePVj)+Pspv)</f>
        <v>3.0124211710318094E-2</v>
      </c>
      <c r="M165" s="832"/>
      <c r="N165" s="832"/>
      <c r="O165" s="48">
        <f>IF(t&lt;Tnet,'2022'!Resal+('2022'!Salim-'2022'!Resal)*(1-EXP(('2022'!Tnet-t)/('2022'!Tau_j))),Resal+(Salim-Resal)*(1-EXP((Tnet-t)/(Tau_j))))*Salcycl</f>
        <v>3.836809949071264E-2</v>
      </c>
      <c r="P165" s="338">
        <f>(INDEX(Models!$BJ165:$BT165,,T165)*(1-R165)+INDEX(Models!$BJ165:$BT165,,T165+1)*R165-ERP_i)*Q165*Ramure*Pc/MaxiM</f>
        <v>1.4760072768070905E-4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59.70129484677507</v>
      </c>
      <c r="W165" s="400">
        <f t="shared" si="59"/>
        <v>55.73034465330133</v>
      </c>
      <c r="X165" s="157">
        <f t="shared" si="60"/>
        <v>45077</v>
      </c>
      <c r="Y165" s="383">
        <f t="shared" si="61"/>
        <v>52.620300071848263</v>
      </c>
      <c r="Z165" s="383">
        <f t="shared" si="62"/>
        <v>54.254679524107949</v>
      </c>
      <c r="AA165" s="384">
        <f t="shared" si="63"/>
        <v>59.75396785619013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9.2032186805022162E-2</v>
      </c>
      <c r="AD165" s="230">
        <f>(INDEX(Models!$BJ165:$BT165,,AH165)*(1-AF165)+INDEX(Models!$BJ165:$BT165,,AH165+1)*AF165-ERP_i)*AE165*Ramure*Pc/MaxiM</f>
        <v>1.4760072768070905E-4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'2022'!Wh/'2022'!Env_an*'2023'!Env_an</f>
        <v>56.788706019980346</v>
      </c>
      <c r="C166" s="829"/>
      <c r="D166" s="391">
        <f t="shared" si="50"/>
        <v>58.553677768963887</v>
      </c>
      <c r="E166" s="383">
        <f t="shared" si="72"/>
        <v>60.895299872792009</v>
      </c>
      <c r="F166" s="383">
        <f t="shared" si="51"/>
        <v>60.903600451192176</v>
      </c>
      <c r="G166" s="110">
        <f t="shared" si="73"/>
        <v>0.95161187312215534</v>
      </c>
      <c r="H166" s="412" t="b">
        <f>Wh_hp&gt;='2022'!Maxi_hp</f>
        <v>0</v>
      </c>
      <c r="I166" s="379">
        <f>IF(H166,Wh_hp,'2022'!Maxi_hp)</f>
        <v>63.124729427681508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3.014279915853646E-2</v>
      </c>
      <c r="M166" s="832"/>
      <c r="N166" s="832"/>
      <c r="O166" s="48">
        <f>IF(t&lt;Tnet,'2022'!Resal+('2022'!Salim-'2022'!Resal)*(1-EXP(('2022'!Tnet-t)/('2022'!Tau_j))),Resal+(Salim-Resal)*(1-EXP((Tnet-t)/(Tau_j))))*Salcycl</f>
        <v>3.8453248587652616E-2</v>
      </c>
      <c r="P166" s="338">
        <f>(INDEX(Models!$BJ166:$BT166,,T166)*(1-R166)+INDEX(Models!$BJ166:$BT166,,T166+1)*R166-ERP_i)*Q166*Ramure*Pc/MaxiM</f>
        <v>1.4640908302866661E-4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59.675728015663246</v>
      </c>
      <c r="W166" s="400">
        <f t="shared" si="59"/>
        <v>56.788706019980346</v>
      </c>
      <c r="X166" s="157">
        <f t="shared" si="60"/>
        <v>45078</v>
      </c>
      <c r="Y166" s="383">
        <f t="shared" si="61"/>
        <v>53.62006787915282</v>
      </c>
      <c r="Z166" s="383">
        <f t="shared" si="62"/>
        <v>55.286559539519011</v>
      </c>
      <c r="AA166" s="384">
        <f t="shared" si="63"/>
        <v>60.895299872792009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9.2104650851370207E-2</v>
      </c>
      <c r="AD166" s="230">
        <f>(INDEX(Models!$BJ166:$BT166,,AH166)*(1-AF166)+INDEX(Models!$BJ166:$BT166,,AH166+1)*AF166-ERP_i)*AE166*Ramure*Pc/MaxiM</f>
        <v>1.4640908302866661E-4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'2022'!Wh/'2022'!Env_an*'2023'!Env_an</f>
        <v>45.291691486926098</v>
      </c>
      <c r="C167" s="829"/>
      <c r="D167" s="391">
        <f t="shared" si="50"/>
        <v>46.700235322478029</v>
      </c>
      <c r="E167" s="383">
        <f t="shared" si="72"/>
        <v>48.572116535951906</v>
      </c>
      <c r="F167" s="383">
        <f t="shared" si="51"/>
        <v>48.576746896579181</v>
      </c>
      <c r="G167" s="110">
        <f t="shared" si="73"/>
        <v>0.75929658461169391</v>
      </c>
      <c r="H167" s="412" t="b">
        <f>Wh_hp&gt;='2022'!Maxi_hp</f>
        <v>0</v>
      </c>
      <c r="I167" s="379">
        <f>IF(H167,Wh_hp,'2022'!Maxi_hp)</f>
        <v>62.353294055215706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3.0161386250530553E-2</v>
      </c>
      <c r="M167" s="832"/>
      <c r="N167" s="832"/>
      <c r="O167" s="48">
        <f>IF(t&lt;Tnet,'2022'!Resal+('2022'!Salim-'2022'!Resal)*(1-EXP(('2022'!Tnet-t)/('2022'!Tau_j))),Resal+(Salim-Resal)*(1-EXP((Tnet-t)/(Tau_j))))*Salcycl</f>
        <v>3.8538185011730973E-2</v>
      </c>
      <c r="P167" s="338">
        <f>(INDEX(Models!$BJ167:$BT167,,T167)*(1-R167)+INDEX(Models!$BJ167:$BT167,,T167+1)*R167-ERP_i)*Q167*Ramure*Pc/MaxiM</f>
        <v>1.4526311486168635E-4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59.646559993046324</v>
      </c>
      <c r="W167" s="400">
        <f t="shared" si="59"/>
        <v>45.291691486926098</v>
      </c>
      <c r="X167" s="157">
        <f t="shared" si="60"/>
        <v>45079</v>
      </c>
      <c r="Y167" s="383">
        <f t="shared" si="61"/>
        <v>42.764942976799354</v>
      </c>
      <c r="Z167" s="383">
        <f t="shared" si="62"/>
        <v>44.094906482911469</v>
      </c>
      <c r="AA167" s="384">
        <f t="shared" si="63"/>
        <v>48.572116535951906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9.2176548446813319E-2</v>
      </c>
      <c r="AD167" s="230">
        <f>(INDEX(Models!$BJ167:$BT167,,AH167)*(1-AF167)+INDEX(Models!$BJ167:$BT167,,AH167+1)*AF167-ERP_i)*AE167*Ramure*Pc/MaxiM</f>
        <v>1.4526311486168635E-4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'2022'!Wh/'2022'!Env_an*'2023'!Env_an</f>
        <v>55.398354669308254</v>
      </c>
      <c r="C168" s="829"/>
      <c r="D168" s="391">
        <f t="shared" si="50"/>
        <v>57.122304269064244</v>
      </c>
      <c r="E168" s="383">
        <f t="shared" si="72"/>
        <v>59.417166090023329</v>
      </c>
      <c r="F168" s="383">
        <f t="shared" si="51"/>
        <v>59.424867498501499</v>
      </c>
      <c r="G168" s="110">
        <f t="shared" si="73"/>
        <v>0.92926760248829965</v>
      </c>
      <c r="H168" s="412" t="b">
        <f>Wh_hp&gt;='2022'!Maxi_hp</f>
        <v>0</v>
      </c>
      <c r="I168" s="379">
        <f>IF(H168,Wh_hp,'2022'!Maxi_hp)</f>
        <v>59.425155204871523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3.0179972986307368E-2</v>
      </c>
      <c r="M168" s="832"/>
      <c r="N168" s="832"/>
      <c r="O168" s="48">
        <f>IF(t&lt;Tnet,'2022'!Resal+('2022'!Salim-'2022'!Resal)*(1-EXP(('2022'!Tnet-t)/('2022'!Tau_j))),Resal+(Salim-Resal)*(1-EXP((Tnet-t)/(Tau_j))))*Salcycl</f>
        <v>3.862287571039872E-2</v>
      </c>
      <c r="P168" s="338">
        <f>(INDEX(Models!$BJ168:$BT168,,T168)*(1-R168)+INDEX(Models!$BJ168:$BT168,,T168+1)*R168-ERP_i)*Q168*Ramure*Pc/MaxiM</f>
        <v>1.4416348148797671E-4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59.614203242220874</v>
      </c>
      <c r="W168" s="400">
        <f t="shared" si="59"/>
        <v>55.398354669308254</v>
      </c>
      <c r="X168" s="157">
        <f t="shared" si="60"/>
        <v>45080</v>
      </c>
      <c r="Y168" s="383">
        <f t="shared" si="61"/>
        <v>52.30827411921566</v>
      </c>
      <c r="Z168" s="383">
        <f t="shared" si="62"/>
        <v>53.936063044898468</v>
      </c>
      <c r="AA168" s="384">
        <f t="shared" si="63"/>
        <v>59.417166090023329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9.2247803216000054E-2</v>
      </c>
      <c r="AD168" s="230">
        <f>(INDEX(Models!$BJ168:$BT168,,AH168)*(1-AF168)+INDEX(Models!$BJ168:$BT168,,AH168+1)*AF168-ERP_i)*AE168*Ramure*Pc/MaxiM</f>
        <v>1.4416348148797671E-4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'2022'!Wh/'2022'!Env_an*'2023'!Env_an</f>
        <v>26.410002202681852</v>
      </c>
      <c r="C169" s="829"/>
      <c r="D169" s="391">
        <f t="shared" si="50"/>
        <v>27.232380873153868</v>
      </c>
      <c r="E169" s="383">
        <f t="shared" si="72"/>
        <v>28.328916399342628</v>
      </c>
      <c r="F169" s="383">
        <f t="shared" si="51"/>
        <v>28.329746235987109</v>
      </c>
      <c r="G169" s="110">
        <f t="shared" si="73"/>
        <v>0.44322605491802042</v>
      </c>
      <c r="H169" s="412" t="b">
        <f>Wh_hp&gt;='2022'!Maxi_hp</f>
        <v>0</v>
      </c>
      <c r="I169" s="379">
        <f>IF(H169,Wh_hp,'2022'!Maxi_hp)</f>
        <v>57.206955445857666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3.0198559365873567E-2</v>
      </c>
      <c r="M169" s="832"/>
      <c r="N169" s="832"/>
      <c r="O169" s="48">
        <f>IF(t&lt;Tnet,'2022'!Resal+('2022'!Salim-'2022'!Resal)*(1-EXP(('2022'!Tnet-t)/('2022'!Tau_j))),Resal+(Salim-Resal)*(1-EXP((Tnet-t)/(Tau_j))))*Salcycl</f>
        <v>3.8707288013819216E-2</v>
      </c>
      <c r="P169" s="338">
        <f>(INDEX(Models!$BJ169:$BT169,,T169)*(1-R169)+INDEX(Models!$BJ169:$BT169,,T169+1)*R169-ERP_i)*Q169*Ramure*Pc/MaxiM</f>
        <v>1.4311098513956365E-4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59.579070010823095</v>
      </c>
      <c r="W169" s="400">
        <f t="shared" si="59"/>
        <v>26.410002202681852</v>
      </c>
      <c r="X169" s="157">
        <f t="shared" si="60"/>
        <v>45081</v>
      </c>
      <c r="Y169" s="383">
        <f t="shared" si="61"/>
        <v>24.937123040427725</v>
      </c>
      <c r="Z169" s="383">
        <f t="shared" si="62"/>
        <v>25.713637859851008</v>
      </c>
      <c r="AA169" s="384">
        <f t="shared" si="63"/>
        <v>28.328916399342628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9.2318340123743931E-2</v>
      </c>
      <c r="AD169" s="230">
        <f>(INDEX(Models!$BJ169:$BT169,,AH169)*(1-AF169)+INDEX(Models!$BJ169:$BT169,,AH169+1)*AF169-ERP_i)*AE169*Ramure*Pc/MaxiM</f>
        <v>1.4311098513956365E-4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'2022'!Wh/'2022'!Env_an*'2023'!Env_an</f>
        <v>36.391916195855927</v>
      </c>
      <c r="C170" s="829"/>
      <c r="D170" s="391">
        <f t="shared" si="50"/>
        <v>37.525839957711291</v>
      </c>
      <c r="E170" s="383">
        <f t="shared" ref="E170:E232" si="75">Wh_pvt/(1-Psa)</f>
        <v>39.040266137857905</v>
      </c>
      <c r="F170" s="383">
        <f t="shared" si="51"/>
        <v>39.042734369976465</v>
      </c>
      <c r="G170" s="110">
        <f t="shared" ref="G170:G232" si="76">+Wh_hp/MaxiM</f>
        <v>0.61115358079870974</v>
      </c>
      <c r="H170" s="412" t="b">
        <f>Wh_hp&gt;='2022'!Maxi_hp</f>
        <v>0</v>
      </c>
      <c r="I170" s="379">
        <f>IF(H170,Wh_hp,'2022'!Maxi_hp)</f>
        <v>45.501902889660293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3.0217145389236033E-2</v>
      </c>
      <c r="M170" s="832"/>
      <c r="N170" s="832"/>
      <c r="O170" s="48">
        <f>IF(t&lt;Tnet,'2022'!Resal+('2022'!Salim-'2022'!Resal)*(1-EXP(('2022'!Tnet-t)/('2022'!Tau_j))),Resal+(Salim-Resal)*(1-EXP((Tnet-t)/(Tau_j))))*Salcycl</f>
        <v>3.8791389761507034E-2</v>
      </c>
      <c r="P170" s="338">
        <f>(INDEX(Models!$BJ170:$BT170,,T170)*(1-R170)+INDEX(Models!$BJ170:$BT170,,T170+1)*R170-ERP_i)*Q170*Ramure*Pc/MaxiM</f>
        <v>1.4220066667897769E-4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59.541566724670197</v>
      </c>
      <c r="W170" s="400">
        <f t="shared" si="59"/>
        <v>36.391916195855927</v>
      </c>
      <c r="X170" s="157">
        <f t="shared" si="60"/>
        <v>45082</v>
      </c>
      <c r="Y170" s="383">
        <f t="shared" si="61"/>
        <v>34.362714159386051</v>
      </c>
      <c r="Z170" s="383">
        <f t="shared" si="62"/>
        <v>35.433410681588107</v>
      </c>
      <c r="AA170" s="384">
        <f t="shared" si="63"/>
        <v>39.040266137857905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9.2388085765946718E-2</v>
      </c>
      <c r="AD170" s="230">
        <f>(INDEX(Models!$BJ170:$BT170,,AH170)*(1-AF170)+INDEX(Models!$BJ170:$BT170,,AH170+1)*AF170-ERP_i)*AE170*Ramure*Pc/MaxiM</f>
        <v>1.4220066667897769E-4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'2022'!Wh/'2022'!Env_an*'2023'!Env_an</f>
        <v>47.46981477009367</v>
      </c>
      <c r="C171" s="829"/>
      <c r="D171" s="391">
        <f t="shared" si="50"/>
        <v>48.949849247182897</v>
      </c>
      <c r="E171" s="383">
        <f t="shared" si="75"/>
        <v>50.929750924732303</v>
      </c>
      <c r="F171" s="383">
        <f t="shared" si="51"/>
        <v>50.93487066426605</v>
      </c>
      <c r="G171" s="110">
        <f t="shared" si="76"/>
        <v>0.79775113909185991</v>
      </c>
      <c r="H171" s="412" t="b">
        <f>Wh_hp&gt;='2022'!Maxi_hp</f>
        <v>0</v>
      </c>
      <c r="I171" s="379">
        <f>IF(H171,Wh_hp,'2022'!Maxi_hp)</f>
        <v>58.87079114151684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3.0235731056401649E-2</v>
      </c>
      <c r="M171" s="832"/>
      <c r="N171" s="832"/>
      <c r="O171" s="48">
        <f>IF(t&lt;Tnet,'2022'!Resal+('2022'!Salim-'2022'!Resal)*(1-EXP(('2022'!Tnet-t)/('2022'!Tau_j))),Resal+(Salim-Resal)*(1-EXP((Tnet-t)/(Tau_j))))*Salcycl</f>
        <v>3.8875149428385269E-2</v>
      </c>
      <c r="P171" s="338">
        <f>(INDEX(Models!$BJ171:$BT171,,T171)*(1-R171)+INDEX(Models!$BJ171:$BT171,,T171+1)*R171-ERP_i)*Q171*Ramure*Pc/MaxiM</f>
        <v>1.4134811199739857E-4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59.502110280401396</v>
      </c>
      <c r="W171" s="400">
        <f t="shared" si="59"/>
        <v>47.46981477009367</v>
      </c>
      <c r="X171" s="157">
        <f t="shared" si="60"/>
        <v>45083</v>
      </c>
      <c r="Y171" s="383">
        <f t="shared" si="61"/>
        <v>44.823416612455162</v>
      </c>
      <c r="Z171" s="383">
        <f t="shared" si="62"/>
        <v>46.220940539790192</v>
      </c>
      <c r="AA171" s="384">
        <f t="shared" si="63"/>
        <v>50.929750924732303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9.2456968656711797E-2</v>
      </c>
      <c r="AD171" s="230">
        <f>(INDEX(Models!$BJ171:$BT171,,AH171)*(1-AF171)+INDEX(Models!$BJ171:$BT171,,AH171+1)*AF171-ERP_i)*AE171*Ramure*Pc/MaxiM</f>
        <v>1.4134811199739857E-4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'2022'!Wh/'2022'!Env_an*'2023'!Env_an</f>
        <v>28.795623377486361</v>
      </c>
      <c r="C172" s="829"/>
      <c r="D172" s="391">
        <f t="shared" si="50"/>
        <v>29.693994893196408</v>
      </c>
      <c r="E172" s="383">
        <f t="shared" si="75"/>
        <v>30.897725033956455</v>
      </c>
      <c r="F172" s="383">
        <f t="shared" si="51"/>
        <v>30.898868333067881</v>
      </c>
      <c r="G172" s="110">
        <f t="shared" si="76"/>
        <v>0.48422641793162347</v>
      </c>
      <c r="H172" s="412" t="b">
        <f>Wh_hp&gt;='2022'!Maxi_hp</f>
        <v>0</v>
      </c>
      <c r="I172" s="379">
        <f>IF(H172,Wh_hp,'2022'!Maxi_hp)</f>
        <v>52.613805955532094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3.0254316367377188E-2</v>
      </c>
      <c r="M172" s="832"/>
      <c r="N172" s="832"/>
      <c r="O172" s="48">
        <f>IF(t&lt;Tnet,'2022'!Resal+('2022'!Salim-'2022'!Resal)*(1-EXP(('2022'!Tnet-t)/('2022'!Tau_j))),Resal+(Salim-Resal)*(1-EXP((Tnet-t)/(Tau_j))))*Salcycl</f>
        <v>3.8958536249421367E-2</v>
      </c>
      <c r="P172" s="338">
        <f>(INDEX(Models!$BJ172:$BT172,,T172)*(1-R172)+INDEX(Models!$BJ172:$BT172,,T172+1)*R172-ERP_i)*Q172*Ramure*Pc/MaxiM</f>
        <v>1.405546494696751E-4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59.461112236802279</v>
      </c>
      <c r="W172" s="400">
        <f t="shared" si="59"/>
        <v>28.795623377486361</v>
      </c>
      <c r="X172" s="157">
        <f t="shared" si="60"/>
        <v>45084</v>
      </c>
      <c r="Y172" s="383">
        <f t="shared" si="61"/>
        <v>27.190617291653847</v>
      </c>
      <c r="Z172" s="383">
        <f t="shared" si="62"/>
        <v>28.038915512156798</v>
      </c>
      <c r="AA172" s="384">
        <f t="shared" si="63"/>
        <v>30.897725033956455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9.2524919509699821E-2</v>
      </c>
      <c r="AD172" s="230">
        <f>(INDEX(Models!$BJ172:$BT172,,AH172)*(1-AF172)+INDEX(Models!$BJ172:$BT172,,AH172+1)*AF172-ERP_i)*AE172*Ramure*Pc/MaxiM</f>
        <v>1.405546494696751E-4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'2022'!Wh/'2022'!Env_an*'2023'!Env_an</f>
        <v>21.467956969742335</v>
      </c>
      <c r="C173" s="829"/>
      <c r="D173" s="391">
        <f t="shared" si="50"/>
        <v>22.138142781626616</v>
      </c>
      <c r="E173" s="383">
        <f t="shared" si="75"/>
        <v>23.03756431756069</v>
      </c>
      <c r="F173" s="383">
        <f t="shared" si="51"/>
        <v>23.037846392415123</v>
      </c>
      <c r="G173" s="110">
        <f t="shared" si="76"/>
        <v>0.36125185403916327</v>
      </c>
      <c r="H173" s="412" t="b">
        <f>Wh_hp&gt;='2022'!Maxi_hp</f>
        <v>0</v>
      </c>
      <c r="I173" s="379">
        <f>IF(H173,Wh_hp,'2022'!Maxi_hp)</f>
        <v>63.747853574878313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3.0272901322169421E-2</v>
      </c>
      <c r="M173" s="832"/>
      <c r="N173" s="832"/>
      <c r="O173" s="48">
        <f>IF(t&lt;Tnet,'2022'!Resal+('2022'!Salim-'2022'!Resal)*(1-EXP(('2022'!Tnet-t)/('2022'!Tau_j))),Resal+(Salim-Resal)*(1-EXP((Tnet-t)/(Tau_j))))*Salcycl</f>
        <v>3.9041520341995491E-2</v>
      </c>
      <c r="P173" s="338">
        <f>(INDEX(Models!$BJ173:$BT173,,T173)*(1-R173)+INDEX(Models!$BJ173:$BT173,,T173+1)*R173-ERP_i)*Q173*Ramure*Pc/MaxiM</f>
        <v>1.3982170602349297E-4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59.418983911089484</v>
      </c>
      <c r="W173" s="400">
        <f t="shared" si="59"/>
        <v>21.467956969742335</v>
      </c>
      <c r="X173" s="157">
        <f t="shared" si="60"/>
        <v>45085</v>
      </c>
      <c r="Y173" s="383">
        <f t="shared" si="61"/>
        <v>20.271634070300518</v>
      </c>
      <c r="Z173" s="383">
        <f t="shared" si="62"/>
        <v>20.904473122324593</v>
      </c>
      <c r="AA173" s="384">
        <f t="shared" si="63"/>
        <v>23.03756431756069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9.2591871511786522E-2</v>
      </c>
      <c r="AD173" s="230">
        <f>(INDEX(Models!$BJ173:$BT173,,AH173)*(1-AF173)+INDEX(Models!$BJ173:$BT173,,AH173+1)*AF173-ERP_i)*AE173*Ramure*Pc/MaxiM</f>
        <v>1.3982170602349297E-4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'2022'!Wh/'2022'!Env_an*'2023'!Env_an</f>
        <v>46.772283312523712</v>
      </c>
      <c r="C174" s="829"/>
      <c r="D174" s="391">
        <f t="shared" si="50"/>
        <v>48.233342941137586</v>
      </c>
      <c r="E174" s="383">
        <f t="shared" si="75"/>
        <v>50.197264367890568</v>
      </c>
      <c r="F174" s="383">
        <f t="shared" si="51"/>
        <v>50.202131667440774</v>
      </c>
      <c r="G174" s="110">
        <f t="shared" si="76"/>
        <v>0.78769539982197201</v>
      </c>
      <c r="H174" s="412" t="b">
        <f>Wh_hp&gt;='2022'!Maxi_hp</f>
        <v>0</v>
      </c>
      <c r="I174" s="379">
        <f>IF(H174,Wh_hp,'2022'!Maxi_hp)</f>
        <v>60.451525350346095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3.0291485920785233E-2</v>
      </c>
      <c r="M174" s="832"/>
      <c r="N174" s="832"/>
      <c r="O174" s="48">
        <f>IF(t&lt;Tnet,'2022'!Resal+('2022'!Salim-'2022'!Resal)*(1-EXP(('2022'!Tnet-t)/('2022'!Tau_j))),Resal+(Salim-Resal)*(1-EXP((Tnet-t)/(Tau_j))))*Salcycl</f>
        <v>3.9124072825156488E-2</v>
      </c>
      <c r="P174" s="338">
        <f>(INDEX(Models!$BJ174:$BT174,,T174)*(1-R174)+INDEX(Models!$BJ174:$BT174,,T174+1)*R174-ERP_i)*Q174*Ramure*Pc/MaxiM</f>
        <v>1.3915079620350026E-4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59.376136376004325</v>
      </c>
      <c r="W174" s="400">
        <f t="shared" si="59"/>
        <v>46.772283312523712</v>
      </c>
      <c r="X174" s="157">
        <f t="shared" si="60"/>
        <v>45086</v>
      </c>
      <c r="Y174" s="383">
        <f t="shared" si="61"/>
        <v>44.166439269653367</v>
      </c>
      <c r="Z174" s="383">
        <f t="shared" si="62"/>
        <v>45.546098263962897</v>
      </c>
      <c r="AA174" s="384">
        <f t="shared" si="63"/>
        <v>50.197264367890568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9.2657760587105897E-2</v>
      </c>
      <c r="AD174" s="230">
        <f>(INDEX(Models!$BJ174:$BT174,,AH174)*(1-AF174)+INDEX(Models!$BJ174:$BT174,,AH174+1)*AF174-ERP_i)*AE174*Ramure*Pc/MaxiM</f>
        <v>1.3915079620350026E-4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'2022'!Wh/'2022'!Env_an*'2023'!Env_an</f>
        <v>58.349657047000484</v>
      </c>
      <c r="C175" s="829"/>
      <c r="D175" s="391">
        <f t="shared" si="50"/>
        <v>60.173520680804323</v>
      </c>
      <c r="E175" s="383">
        <f t="shared" si="75"/>
        <v>62.628962163727827</v>
      </c>
      <c r="F175" s="383">
        <f t="shared" si="51"/>
        <v>62.637434716188928</v>
      </c>
      <c r="G175" s="110">
        <f t="shared" si="76"/>
        <v>0.98342380885372216</v>
      </c>
      <c r="H175" s="412" t="b">
        <f>Wh_hp&gt;='2022'!Maxi_hp</f>
        <v>0</v>
      </c>
      <c r="I175" s="379">
        <f>IF(H175,Wh_hp,'2022'!Maxi_hp)</f>
        <v>62.637503037871667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3.0310070163231506E-2</v>
      </c>
      <c r="M175" s="832"/>
      <c r="N175" s="832"/>
      <c r="O175" s="48">
        <f>IF(t&lt;Tnet,'2022'!Resal+('2022'!Salim-'2022'!Resal)*(1-EXP(('2022'!Tnet-t)/('2022'!Tau_j))),Resal+(Salim-Resal)*(1-EXP((Tnet-t)/(Tau_j))))*Salcycl</f>
        <v>3.9206165934928934E-2</v>
      </c>
      <c r="P175" s="338">
        <f>(INDEX(Models!$BJ175:$BT175,,T175)*(1-R175)+INDEX(Models!$BJ175:$BT175,,T175+1)*R175-ERP_i)*Q175*Ramure*Pc/MaxiM</f>
        <v>1.3854351082680724E-4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59.332980453104724</v>
      </c>
      <c r="W175" s="400">
        <f t="shared" si="59"/>
        <v>58.349657047000484</v>
      </c>
      <c r="X175" s="157">
        <f t="shared" si="60"/>
        <v>45087</v>
      </c>
      <c r="Y175" s="383">
        <f t="shared" si="61"/>
        <v>55.099572455446271</v>
      </c>
      <c r="Z175" s="383">
        <f t="shared" si="62"/>
        <v>56.821846613093513</v>
      </c>
      <c r="AA175" s="384">
        <f t="shared" si="63"/>
        <v>62.628962163727827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9.2722525649603676E-2</v>
      </c>
      <c r="AD175" s="230">
        <f>(INDEX(Models!$BJ175:$BT175,,AH175)*(1-AF175)+INDEX(Models!$BJ175:$BT175,,AH175+1)*AF175-ERP_i)*AE175*Ramure*Pc/MaxiM</f>
        <v>1.3854351082680724E-4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'2022'!Wh/'2022'!Env_an*'2023'!Env_an</f>
        <v>56.387475772114087</v>
      </c>
      <c r="C176" s="829"/>
      <c r="D176" s="391">
        <f t="shared" si="50"/>
        <v>58.151121003624503</v>
      </c>
      <c r="E176" s="383">
        <f t="shared" si="75"/>
        <v>60.529177601261992</v>
      </c>
      <c r="F176" s="383">
        <f t="shared" si="51"/>
        <v>60.5369475525086</v>
      </c>
      <c r="G176" s="110">
        <f t="shared" si="76"/>
        <v>0.9510372948631608</v>
      </c>
      <c r="H176" s="412" t="b">
        <f>Wh_hp&gt;='2022'!Maxi_hp</f>
        <v>0</v>
      </c>
      <c r="I176" s="379">
        <f>IF(H176,Wh_hp,'2022'!Maxi_hp)</f>
        <v>60.537141760881475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3.0328654049515014E-2</v>
      </c>
      <c r="M176" s="832"/>
      <c r="N176" s="832"/>
      <c r="O176" s="48">
        <f>IF(t&lt;Tnet,'2022'!Resal+('2022'!Salim-'2022'!Resal)*(1-EXP(('2022'!Tnet-t)/('2022'!Tau_j))),Resal+(Salim-Resal)*(1-EXP((Tnet-t)/(Tau_j))))*Salcycl</f>
        <v>3.9287773134851135E-2</v>
      </c>
      <c r="P176" s="338">
        <f>(INDEX(Models!$BJ176:$BT176,,T176)*(1-R176)+INDEX(Models!$BJ176:$BT176,,T176+1)*R176-ERP_i)*Q176*Ramure*Pc/MaxiM</f>
        <v>1.3800150525177096E-4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59.289926708971137</v>
      </c>
      <c r="W176" s="400">
        <f t="shared" si="59"/>
        <v>56.387475772114087</v>
      </c>
      <c r="X176" s="157">
        <f t="shared" si="60"/>
        <v>45088</v>
      </c>
      <c r="Y176" s="383">
        <f t="shared" si="61"/>
        <v>53.247476067525376</v>
      </c>
      <c r="Z176" s="383">
        <f t="shared" si="62"/>
        <v>54.912910740217328</v>
      </c>
      <c r="AA176" s="384">
        <f t="shared" si="63"/>
        <v>60.529177601261992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9.2786108842284609E-2</v>
      </c>
      <c r="AD176" s="230">
        <f>(INDEX(Models!$BJ176:$BT176,,AH176)*(1-AF176)+INDEX(Models!$BJ176:$BT176,,AH176+1)*AF176-ERP_i)*AE176*Ramure*Pc/MaxiM</f>
        <v>1.3800150525177096E-4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'2022'!Wh/'2022'!Env_an*'2023'!Env_an</f>
        <v>43.770826426917331</v>
      </c>
      <c r="C177" s="829"/>
      <c r="D177" s="391">
        <f t="shared" si="50"/>
        <v>45.140722662059616</v>
      </c>
      <c r="E177" s="383">
        <f t="shared" si="75"/>
        <v>46.990693113860893</v>
      </c>
      <c r="F177" s="383">
        <f t="shared" si="51"/>
        <v>46.994744515117596</v>
      </c>
      <c r="G177" s="110">
        <f t="shared" si="76"/>
        <v>0.73875555790600067</v>
      </c>
      <c r="H177" s="412" t="b">
        <f>Wh_hp&gt;='2022'!Maxi_hp</f>
        <v>0</v>
      </c>
      <c r="I177" s="379">
        <f>IF(H177,Wh_hp,'2022'!Maxi_hp)</f>
        <v>56.41651381708197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3.0347237579642639E-2</v>
      </c>
      <c r="M177" s="832"/>
      <c r="N177" s="832"/>
      <c r="O177" s="48">
        <f>IF(t&lt;Tnet,'2022'!Resal+('2022'!Salim-'2022'!Resal)*(1-EXP(('2022'!Tnet-t)/('2022'!Tau_j))),Resal+(Salim-Resal)*(1-EXP((Tnet-t)/(Tau_j))))*Salcycl</f>
        <v>3.9368869220947594E-2</v>
      </c>
      <c r="P177" s="338">
        <f>(INDEX(Models!$BJ177:$BT177,,T177)*(1-R177)+INDEX(Models!$BJ177:$BT177,,T177+1)*R177-ERP_i)*Q177*Ramure*Pc/MaxiM</f>
        <v>1.3752886037819012E-4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59.246362996967477</v>
      </c>
      <c r="W177" s="400">
        <f t="shared" si="59"/>
        <v>43.770826426917331</v>
      </c>
      <c r="X177" s="157">
        <f t="shared" si="60"/>
        <v>45089</v>
      </c>
      <c r="Y177" s="383">
        <f t="shared" si="61"/>
        <v>41.33404749602051</v>
      </c>
      <c r="Z177" s="383">
        <f t="shared" si="62"/>
        <v>42.62767982308047</v>
      </c>
      <c r="AA177" s="384">
        <f t="shared" si="63"/>
        <v>46.990693113860893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9.2848455761412402E-2</v>
      </c>
      <c r="AD177" s="230">
        <f>(INDEX(Models!$BJ177:$BT177,,AH177)*(1-AF177)+INDEX(Models!$BJ177:$BT177,,AH177+1)*AF177-ERP_i)*AE177*Ramure*Pc/MaxiM</f>
        <v>1.3752886037819012E-4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'2022'!Wh/'2022'!Env_an*'2023'!Env_an</f>
        <v>55.045714093398445</v>
      </c>
      <c r="C178" s="829"/>
      <c r="D178" s="391">
        <f t="shared" si="50"/>
        <v>56.76956863894916</v>
      </c>
      <c r="E178" s="383">
        <f t="shared" si="75"/>
        <v>59.101072277530911</v>
      </c>
      <c r="F178" s="383">
        <f t="shared" si="51"/>
        <v>59.108369059776038</v>
      </c>
      <c r="G178" s="110">
        <f t="shared" si="76"/>
        <v>0.92979146519714351</v>
      </c>
      <c r="H178" s="412" t="b">
        <f>Wh_hp&gt;='2022'!Maxi_hp</f>
        <v>0</v>
      </c>
      <c r="I178" s="379">
        <f>IF(H178,Wh_hp,'2022'!Maxi_hp)</f>
        <v>64.279104061315721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3.0365820753621042E-2</v>
      </c>
      <c r="M178" s="832"/>
      <c r="N178" s="832"/>
      <c r="O178" s="48">
        <f>IF(t&lt;Tnet,'2022'!Resal+('2022'!Salim-'2022'!Resal)*(1-EXP(('2022'!Tnet-t)/('2022'!Tau_j))),Resal+(Salim-Resal)*(1-EXP((Tnet-t)/(Tau_j))))*Salcycl</f>
        <v>3.9449430420370656E-2</v>
      </c>
      <c r="P178" s="338">
        <f>(INDEX(Models!$BJ178:$BT178,,T178)*(1-R178)+INDEX(Models!$BJ178:$BT178,,T178+1)*R178-ERP_i)*Q178*Ramure*Pc/MaxiM</f>
        <v>1.3720655363463273E-4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59.201400190326702</v>
      </c>
      <c r="W178" s="400">
        <f t="shared" si="59"/>
        <v>55.045714093398445</v>
      </c>
      <c r="X178" s="157">
        <f t="shared" si="60"/>
        <v>45090</v>
      </c>
      <c r="Y178" s="383">
        <f t="shared" si="61"/>
        <v>51.982108010672192</v>
      </c>
      <c r="Z178" s="383">
        <f t="shared" si="62"/>
        <v>53.61002027700161</v>
      </c>
      <c r="AA178" s="384">
        <f t="shared" si="63"/>
        <v>59.101072277530911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9.2909515664014244E-2</v>
      </c>
      <c r="AD178" s="230">
        <f>(INDEX(Models!$BJ178:$BT178,,AH178)*(1-AF178)+INDEX(Models!$BJ178:$BT178,,AH178+1)*AF178-ERP_i)*AE178*Ramure*Pc/MaxiM</f>
        <v>1.3720655363463273E-4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'2022'!Wh/'2022'!Env_an*'2023'!Env_an</f>
        <v>48.93388045018218</v>
      </c>
      <c r="C179" s="829"/>
      <c r="D179" s="391">
        <f t="shared" si="50"/>
        <v>50.467299237371982</v>
      </c>
      <c r="E179" s="383">
        <f t="shared" si="75"/>
        <v>52.544347582589097</v>
      </c>
      <c r="F179" s="383">
        <f t="shared" si="51"/>
        <v>52.549770631707702</v>
      </c>
      <c r="G179" s="110">
        <f t="shared" si="76"/>
        <v>0.82718606050725174</v>
      </c>
      <c r="H179" s="412" t="b">
        <f>Wh_hp&gt;='2022'!Maxi_hp</f>
        <v>0</v>
      </c>
      <c r="I179" s="379">
        <f>IF(H179,Wh_hp,'2022'!Maxi_hp)</f>
        <v>56.161235442538548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3.0384403571457219E-2</v>
      </c>
      <c r="M179" s="832"/>
      <c r="N179" s="832"/>
      <c r="O179" s="48">
        <f>IF(t&lt;Tnet,'2022'!Resal+('2022'!Salim-'2022'!Resal)*(1-EXP(('2022'!Tnet-t)/('2022'!Tau_j))),Resal+(Salim-Resal)*(1-EXP((Tnet-t)/(Tau_j))))*Salcycl</f>
        <v>3.9529434482984439E-2</v>
      </c>
      <c r="P179" s="338">
        <f>(INDEX(Models!$BJ179:$BT179,,T179)*(1-R179)+INDEX(Models!$BJ179:$BT179,,T179+1)*R179-ERP_i)*Q179*Ramure*Pc/MaxiM</f>
        <v>1.3701994382156417E-4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59.15504091916754</v>
      </c>
      <c r="W179" s="400">
        <f t="shared" si="59"/>
        <v>48.93388045018218</v>
      </c>
      <c r="X179" s="157">
        <f t="shared" si="60"/>
        <v>45091</v>
      </c>
      <c r="Y179" s="383">
        <f t="shared" si="61"/>
        <v>46.2112388311403</v>
      </c>
      <c r="Z179" s="383">
        <f t="shared" si="62"/>
        <v>47.659339434466183</v>
      </c>
      <c r="AA179" s="384">
        <f t="shared" si="63"/>
        <v>52.544347582589097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9.2969241657148108E-2</v>
      </c>
      <c r="AD179" s="230">
        <f>(INDEX(Models!$BJ179:$BT179,,AH179)*(1-AF179)+INDEX(Models!$BJ179:$BT179,,AH179+1)*AF179-ERP_i)*AE179*Ramure*Pc/MaxiM</f>
        <v>1.3701994382156417E-4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'2022'!Wh/'2022'!Env_an*'2023'!Env_an</f>
        <v>55.164599327268064</v>
      </c>
      <c r="C180" s="829"/>
      <c r="D180" s="391">
        <f t="shared" si="50"/>
        <v>56.894357689466396</v>
      </c>
      <c r="E180" s="383">
        <f t="shared" si="75"/>
        <v>59.240819042539293</v>
      </c>
      <c r="F180" s="383">
        <f t="shared" si="51"/>
        <v>59.248161126383373</v>
      </c>
      <c r="G180" s="110">
        <f t="shared" si="76"/>
        <v>0.93328390443376597</v>
      </c>
      <c r="H180" s="412" t="b">
        <f>Wh_hp&gt;='2022'!Maxi_hp</f>
        <v>0</v>
      </c>
      <c r="I180" s="379">
        <f>IF(H180,Wh_hp,'2022'!Maxi_hp)</f>
        <v>59.248417323391159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3.0402986033157831E-2</v>
      </c>
      <c r="M180" s="832"/>
      <c r="N180" s="832"/>
      <c r="O180" s="48">
        <f>IF(t&lt;Tnet,'2022'!Resal+('2022'!Salim-'2022'!Resal)*(1-EXP(('2022'!Tnet-t)/('2022'!Tau_j))),Resal+(Salim-Resal)*(1-EXP((Tnet-t)/(Tau_j))))*Salcycl</f>
        <v>3.9608860765209357E-2</v>
      </c>
      <c r="P180" s="338">
        <f>(INDEX(Models!$BJ180:$BT180,,T180)*(1-R180)+INDEX(Models!$BJ180:$BT180,,T180+1)*R180-ERP_i)*Q180*Ramure*Pc/MaxiM</f>
        <v>1.3697323055610432E-4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59.107286590802488</v>
      </c>
      <c r="W180" s="400">
        <f t="shared" si="59"/>
        <v>55.164599327268064</v>
      </c>
      <c r="X180" s="157">
        <f t="shared" si="60"/>
        <v>45092</v>
      </c>
      <c r="Y180" s="383">
        <f t="shared" si="61"/>
        <v>52.096242360737627</v>
      </c>
      <c r="Z180" s="383">
        <f t="shared" si="62"/>
        <v>53.72978836599345</v>
      </c>
      <c r="AA180" s="384">
        <f t="shared" si="63"/>
        <v>59.240819042539293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9.302759086751515E-2</v>
      </c>
      <c r="AD180" s="230">
        <f>(INDEX(Models!$BJ180:$BT180,,AH180)*(1-AF180)+INDEX(Models!$BJ180:$BT180,,AH180+1)*AF180-ERP_i)*AE180*Ramure*Pc/MaxiM</f>
        <v>1.3697323055610432E-4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'2022'!Wh/'2022'!Env_an*'2023'!Env_an</f>
        <v>52.983809620276318</v>
      </c>
      <c r="C181" s="829"/>
      <c r="D181" s="391">
        <f t="shared" si="50"/>
        <v>54.646233743633218</v>
      </c>
      <c r="E181" s="383">
        <f t="shared" si="75"/>
        <v>56.904647781738262</v>
      </c>
      <c r="F181" s="383">
        <f t="shared" si="51"/>
        <v>56.911302439933266</v>
      </c>
      <c r="G181" s="110">
        <f t="shared" si="76"/>
        <v>0.89712855382764434</v>
      </c>
      <c r="H181" s="412" t="b">
        <f>Wh_hp&gt;='2022'!Maxi_hp</f>
        <v>0</v>
      </c>
      <c r="I181" s="379">
        <f>IF(H181,Wh_hp,'2022'!Maxi_hp)</f>
        <v>63.760579589282713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3.0421568138729871E-2</v>
      </c>
      <c r="M181" s="832"/>
      <c r="N181" s="832"/>
      <c r="O181" s="48">
        <f>IF(t&lt;Tnet,'2022'!Resal+('2022'!Salim-'2022'!Resal)*(1-EXP(('2022'!Tnet-t)/('2022'!Tau_j))),Resal+(Salim-Resal)*(1-EXP((Tnet-t)/(Tau_j))))*Salcycl</f>
        <v>3.968769030549759E-2</v>
      </c>
      <c r="P181" s="338">
        <f>(INDEX(Models!$BJ181:$BT181,,T181)*(1-R181)+INDEX(Models!$BJ181:$BT181,,T181+1)*R181-ERP_i)*Q181*Ramure*Pc/MaxiM</f>
        <v>1.3707059154393039E-4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59.058138504689232</v>
      </c>
      <c r="W181" s="400">
        <f t="shared" si="59"/>
        <v>52.983809620276318</v>
      </c>
      <c r="X181" s="157">
        <f t="shared" si="60"/>
        <v>45093</v>
      </c>
      <c r="Y181" s="383">
        <f t="shared" si="61"/>
        <v>50.037718360691507</v>
      </c>
      <c r="Z181" s="383">
        <f t="shared" si="62"/>
        <v>51.607705696006072</v>
      </c>
      <c r="AA181" s="384">
        <f t="shared" si="63"/>
        <v>56.904647781738262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9.3084524590135095E-2</v>
      </c>
      <c r="AD181" s="230">
        <f>(INDEX(Models!$BJ181:$BT181,,AH181)*(1-AF181)+INDEX(Models!$BJ181:$BT181,,AH181+1)*AF181-ERP_i)*AE181*Ramure*Pc/MaxiM</f>
        <v>1.3707059154393039E-4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'2022'!Wh/'2022'!Env_an*'2023'!Env_an</f>
        <v>53.126475549914929</v>
      </c>
      <c r="C182" s="829"/>
      <c r="D182" s="391">
        <f t="shared" si="50"/>
        <v>54.794426093229646</v>
      </c>
      <c r="E182" s="383">
        <f t="shared" si="75"/>
        <v>57.06361233097622</v>
      </c>
      <c r="F182" s="383">
        <f t="shared" si="51"/>
        <v>57.07033321078665</v>
      </c>
      <c r="G182" s="110">
        <f t="shared" si="76"/>
        <v>0.90031519116537506</v>
      </c>
      <c r="H182" s="412" t="b">
        <f>Wh_hp&gt;='2022'!Maxi_hp</f>
        <v>0</v>
      </c>
      <c r="I182" s="379">
        <f>IF(H182,Wh_hp,'2022'!Maxi_hp)</f>
        <v>62.238525909161851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3.0440149888180112E-2</v>
      </c>
      <c r="M182" s="832"/>
      <c r="N182" s="832"/>
      <c r="O182" s="48">
        <f>IF(t&lt;Tnet,'2022'!Resal+('2022'!Salim-'2022'!Resal)*(1-EXP(('2022'!Tnet-t)/('2022'!Tau_j))),Resal+(Salim-Resal)*(1-EXP((Tnet-t)/(Tau_j))))*Salcycl</f>
        <v>3.9765905890867981E-2</v>
      </c>
      <c r="P182" s="338">
        <f>(INDEX(Models!$BJ182:$BT182,,T182)*(1-R182)+INDEX(Models!$BJ182:$BT182,,T182+1)*R182-ERP_i)*Q182*Ramure*Pc/MaxiM</f>
        <v>1.3731617309329809E-4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59.00759784633324</v>
      </c>
      <c r="W182" s="400">
        <f t="shared" si="59"/>
        <v>53.126475549914929</v>
      </c>
      <c r="X182" s="157">
        <f t="shared" si="60"/>
        <v>45094</v>
      </c>
      <c r="Y182" s="383">
        <f t="shared" si="61"/>
        <v>50.173468600734317</v>
      </c>
      <c r="Z182" s="383">
        <f t="shared" si="62"/>
        <v>51.74870699828152</v>
      </c>
      <c r="AA182" s="384">
        <f t="shared" si="63"/>
        <v>57.06361233097622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9.3140008414952347E-2</v>
      </c>
      <c r="AD182" s="230">
        <f>(INDEX(Models!$BJ182:$BT182,,AH182)*(1-AF182)+INDEX(Models!$BJ182:$BT182,,AH182+1)*AF182-ERP_i)*AE182*Ramure*Pc/MaxiM</f>
        <v>1.3731617309329809E-4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'2022'!Wh/'2022'!Env_an*'2023'!Env_an</f>
        <v>55.551065091551671</v>
      </c>
      <c r="C183" s="829"/>
      <c r="D183" s="391">
        <f t="shared" si="50"/>
        <v>57.296235739379803</v>
      </c>
      <c r="E183" s="383">
        <f t="shared" si="75"/>
        <v>59.673850324182951</v>
      </c>
      <c r="F183" s="383">
        <f t="shared" si="51"/>
        <v>59.681391245042548</v>
      </c>
      <c r="G183" s="110">
        <f t="shared" si="76"/>
        <v>0.94224080488082329</v>
      </c>
      <c r="H183" s="412" t="b">
        <f>Wh_hp&gt;='2022'!Maxi_hp</f>
        <v>0</v>
      </c>
      <c r="I183" s="379">
        <f>IF(H183,Wh_hp,'2022'!Maxi_hp)</f>
        <v>59.681614719407001</v>
      </c>
      <c r="J183" s="85">
        <f>IF(H183,An,'2022'!An_max)</f>
        <v>2022</v>
      </c>
      <c r="K183" s="197">
        <f t="shared" si="52"/>
        <v>45095</v>
      </c>
      <c r="L183" s="147">
        <f>IF(t&lt;Tvie,1-EXP((T0-t)*PertePVj)+'2022'!Pspv,1-EXP((T0-t)*PertePVj)+Pspv)</f>
        <v>3.0458731281515439E-2</v>
      </c>
      <c r="M183" s="832"/>
      <c r="N183" s="832"/>
      <c r="O183" s="48">
        <f>IF(t&lt;Tnet,'2022'!Resal+('2022'!Salim-'2022'!Resal)*(1-EXP(('2022'!Tnet-t)/('2022'!Tau_j))),Resal+(Salim-Resal)*(1-EXP((Tnet-t)/(Tau_j))))*Salcycl</f>
        <v>3.9843492113992358E-2</v>
      </c>
      <c r="P183" s="338">
        <f>(INDEX(Models!$BJ183:$BT183,,T183)*(1-R183)+INDEX(Models!$BJ183:$BT183,,T183+1)*R183-ERP_i)*Q183*Ramure*Pc/MaxiM</f>
        <v>1.3771408141839662E-4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58.955665687624368</v>
      </c>
      <c r="W183" s="400">
        <f t="shared" si="59"/>
        <v>55.551065091551671</v>
      </c>
      <c r="X183" s="157">
        <f t="shared" si="60"/>
        <v>45095</v>
      </c>
      <c r="Y183" s="383">
        <f t="shared" si="61"/>
        <v>52.464403493293034</v>
      </c>
      <c r="Z183" s="383">
        <f t="shared" si="62"/>
        <v>54.112604781268537</v>
      </c>
      <c r="AA183" s="384">
        <f t="shared" si="63"/>
        <v>59.673850324182951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9.3194012330401046E-2</v>
      </c>
      <c r="AD183" s="230">
        <f>(INDEX(Models!$BJ183:$BT183,,AH183)*(1-AF183)+INDEX(Models!$BJ183:$BT183,,AH183+1)*AF183-ERP_i)*AE183*Ramure*Pc/MaxiM</f>
        <v>1.3771408141839662E-4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'2022'!Wh/'2022'!Env_an*'2023'!Env_an</f>
        <v>56.901989635651255</v>
      </c>
      <c r="C184" s="829"/>
      <c r="D184" s="391">
        <f t="shared" si="50"/>
        <v>58.690725197715523</v>
      </c>
      <c r="E184" s="383">
        <f t="shared" si="75"/>
        <v>61.131105548960122</v>
      </c>
      <c r="F184" s="383">
        <f t="shared" si="51"/>
        <v>61.139153699142021</v>
      </c>
      <c r="G184" s="110">
        <f t="shared" si="76"/>
        <v>0.96603308704209223</v>
      </c>
      <c r="H184" s="412" t="b">
        <f>Wh_hp&gt;='2022'!Maxi_hp</f>
        <v>0</v>
      </c>
      <c r="I184" s="379">
        <f>IF(H184,Wh_hp,'2022'!Maxi_hp)</f>
        <v>61.139288627331723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3.0477312318742511E-2</v>
      </c>
      <c r="M184" s="832"/>
      <c r="N184" s="832"/>
      <c r="O184" s="48">
        <f>IF(t&lt;Tnet,'2022'!Resal+('2022'!Salim-'2022'!Resal)*(1-EXP(('2022'!Tnet-t)/('2022'!Tau_j))),Resal+(Salim-Resal)*(1-EXP((Tnet-t)/(Tau_j))))*Salcycl</f>
        <v>3.9920435420394806E-2</v>
      </c>
      <c r="P184" s="338">
        <f>(INDEX(Models!$BJ184:$BT184,,T184)*(1-R184)+INDEX(Models!$BJ184:$BT184,,T184+1)*R184-ERP_i)*Q184*Ramure*Pc/MaxiM</f>
        <v>1.3834856411760633E-4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58.902338257746514</v>
      </c>
      <c r="W184" s="400">
        <f t="shared" si="59"/>
        <v>56.901989635651255</v>
      </c>
      <c r="X184" s="157">
        <f t="shared" si="60"/>
        <v>45096</v>
      </c>
      <c r="Y184" s="383">
        <f t="shared" si="61"/>
        <v>53.741460133008516</v>
      </c>
      <c r="Z184" s="383">
        <f t="shared" si="62"/>
        <v>55.430843254981859</v>
      </c>
      <c r="AA184" s="384">
        <f t="shared" si="63"/>
        <v>61.131105548960122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9.3246510803127985E-2</v>
      </c>
      <c r="AD184" s="230">
        <f>(INDEX(Models!$BJ184:$BT184,,AH184)*(1-AF184)+INDEX(Models!$BJ184:$BT184,,AH184+1)*AF184-ERP_i)*AE184*Ramure*Pc/MaxiM</f>
        <v>1.3834856411760633E-4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'2022'!Wh/'2022'!Env_an*'2023'!Env_an</f>
        <v>32.10007241494263</v>
      </c>
      <c r="C185" s="829"/>
      <c r="D185" s="391">
        <f t="shared" si="50"/>
        <v>33.10978487163672</v>
      </c>
      <c r="E185" s="383">
        <f t="shared" si="75"/>
        <v>34.48924155197507</v>
      </c>
      <c r="F185" s="383">
        <f t="shared" si="51"/>
        <v>34.490924231943964</v>
      </c>
      <c r="G185" s="110">
        <f t="shared" si="76"/>
        <v>0.54542853535064773</v>
      </c>
      <c r="H185" s="412" t="b">
        <f>Wh_hp&gt;='2022'!Maxi_hp</f>
        <v>0</v>
      </c>
      <c r="I185" s="379">
        <f>IF(H185,Wh_hp,'2022'!Maxi_hp)</f>
        <v>56.990075158502776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3.0495892999868213E-2</v>
      </c>
      <c r="M185" s="832"/>
      <c r="N185" s="832"/>
      <c r="O185" s="48">
        <f>IF(t&lt;Tnet,'2022'!Resal+('2022'!Salim-'2022'!Resal)*(1-EXP(('2022'!Tnet-t)/('2022'!Tau_j))),Resal+(Salim-Resal)*(1-EXP((Tnet-t)/(Tau_j))))*Salcycl</f>
        <v>3.9996724145398142E-2</v>
      </c>
      <c r="P185" s="338">
        <f>(INDEX(Models!$BJ185:$BT185,,T185)*(1-R185)+INDEX(Models!$BJ185:$BT185,,T185+1)*R185-ERP_i)*Q185*Ramure*Pc/MaxiM</f>
        <v>1.3911773229231843E-4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58.847622636816524</v>
      </c>
      <c r="W185" s="400">
        <f t="shared" si="59"/>
        <v>32.10007241494263</v>
      </c>
      <c r="X185" s="157">
        <f t="shared" si="60"/>
        <v>45097</v>
      </c>
      <c r="Y185" s="383">
        <f t="shared" si="61"/>
        <v>30.317830357353436</v>
      </c>
      <c r="Z185" s="383">
        <f t="shared" si="62"/>
        <v>31.271482130347813</v>
      </c>
      <c r="AA185" s="384">
        <f t="shared" si="63"/>
        <v>34.48924155197507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9.3297482833251469E-2</v>
      </c>
      <c r="AD185" s="230">
        <f>(INDEX(Models!$BJ185:$BT185,,AH185)*(1-AF185)+INDEX(Models!$BJ185:$BT185,,AH185+1)*AF185-ERP_i)*AE185*Ramure*Pc/MaxiM</f>
        <v>1.3911773229231843E-4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'2022'!Wh/'2022'!Env_an*'2023'!Env_an</f>
        <v>23.101189512233841</v>
      </c>
      <c r="C186" s="829"/>
      <c r="D186" s="391">
        <f t="shared" si="50"/>
        <v>23.828297459437618</v>
      </c>
      <c r="E186" s="383">
        <f t="shared" si="75"/>
        <v>24.823013925277778</v>
      </c>
      <c r="F186" s="383">
        <f t="shared" si="51"/>
        <v>24.823475396512777</v>
      </c>
      <c r="G186" s="110">
        <f t="shared" si="76"/>
        <v>0.3928863267996936</v>
      </c>
      <c r="H186" s="412" t="b">
        <f>Wh_hp&gt;='2022'!Maxi_hp</f>
        <v>0</v>
      </c>
      <c r="I186" s="379">
        <f>IF(H186,Wh_hp,'2022'!Maxi_hp)</f>
        <v>52.195932812822107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3.0514473324899427E-2</v>
      </c>
      <c r="M186" s="832"/>
      <c r="N186" s="832"/>
      <c r="O186" s="48">
        <f>IF(t&lt;Tnet,'2022'!Resal+('2022'!Salim-'2022'!Resal)*(1-EXP(('2022'!Tnet-t)/('2022'!Tau_j))),Resal+(Salim-Resal)*(1-EXP((Tnet-t)/(Tau_j))))*Salcycl</f>
        <v>4.0072348540529996E-2</v>
      </c>
      <c r="P186" s="338">
        <f>(INDEX(Models!$BJ186:$BT186,,T186)*(1-R186)+INDEX(Models!$BJ186:$BT186,,T186+1)*R186-ERP_i)*Q186*Ramure*Pc/MaxiM</f>
        <v>1.4002489543125666E-4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58.791519573438904</v>
      </c>
      <c r="W186" s="400">
        <f t="shared" si="59"/>
        <v>23.101189512233841</v>
      </c>
      <c r="X186" s="157">
        <f t="shared" si="60"/>
        <v>45098</v>
      </c>
      <c r="Y186" s="383">
        <f t="shared" si="61"/>
        <v>21.819107696552621</v>
      </c>
      <c r="Z186" s="383">
        <f t="shared" si="62"/>
        <v>22.505862229199387</v>
      </c>
      <c r="AA186" s="384">
        <f t="shared" si="63"/>
        <v>24.823013925277778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9.3346911984720379E-2</v>
      </c>
      <c r="AD186" s="230">
        <f>(INDEX(Models!$BJ186:$BT186,,AH186)*(1-AF186)+INDEX(Models!$BJ186:$BT186,,AH186+1)*AF186-ERP_i)*AE186*Ramure*Pc/MaxiM</f>
        <v>1.4002489543125666E-4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'2022'!Wh/'2022'!Env_an*'2023'!Env_an</f>
        <v>44.744109232029402</v>
      </c>
      <c r="C187" s="829"/>
      <c r="D187" s="391">
        <f t="shared" si="50"/>
        <v>46.153310728180223</v>
      </c>
      <c r="E187" s="383">
        <f t="shared" si="75"/>
        <v>48.08374323073425</v>
      </c>
      <c r="F187" s="383">
        <f t="shared" si="51"/>
        <v>48.088218795819067</v>
      </c>
      <c r="G187" s="110">
        <f t="shared" si="76"/>
        <v>0.76177237275915333</v>
      </c>
      <c r="H187" s="412" t="b">
        <f>Wh_hp&gt;='2022'!Maxi_hp</f>
        <v>0</v>
      </c>
      <c r="I187" s="379">
        <f>IF(H187,Wh_hp,'2022'!Maxi_hp)</f>
        <v>63.676809848065162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3.0533053293842927E-2</v>
      </c>
      <c r="M187" s="832"/>
      <c r="N187" s="832"/>
      <c r="O187" s="48">
        <f>IF(t&lt;Tnet,'2022'!Resal+('2022'!Salim-'2022'!Resal)*(1-EXP(('2022'!Tnet-t)/('2022'!Tau_j))),Resal+(Salim-Resal)*(1-EXP((Tnet-t)/(Tau_j))))*Salcycl</f>
        <v>4.0147300789180836E-2</v>
      </c>
      <c r="P187" s="338">
        <f>(INDEX(Models!$BJ187:$BT187,,T187)*(1-R187)+INDEX(Models!$BJ187:$BT187,,T187+1)*R187-ERP_i)*Q187*Ramure*Pc/MaxiM</f>
        <v>1.410733192885323E-4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58.734029693450879</v>
      </c>
      <c r="W187" s="400">
        <f t="shared" si="59"/>
        <v>44.744109232029402</v>
      </c>
      <c r="X187" s="157">
        <f t="shared" si="60"/>
        <v>45099</v>
      </c>
      <c r="Y187" s="383">
        <f t="shared" si="61"/>
        <v>42.261945756283083</v>
      </c>
      <c r="Z187" s="383">
        <f t="shared" si="62"/>
        <v>43.592972302842803</v>
      </c>
      <c r="AA187" s="384">
        <f t="shared" si="63"/>
        <v>48.08374323073425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9.3394786390528464E-2</v>
      </c>
      <c r="AD187" s="230">
        <f>(INDEX(Models!$BJ187:$BT187,,AH187)*(1-AF187)+INDEX(Models!$BJ187:$BT187,,AH187+1)*AF187-ERP_i)*AE187*Ramure*Pc/MaxiM</f>
        <v>1.410733192885323E-4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'2022'!Wh/'2022'!Env_an*'2023'!Env_an</f>
        <v>42.205276055097116</v>
      </c>
      <c r="C188" s="829"/>
      <c r="D188" s="391">
        <f t="shared" si="50"/>
        <v>43.535352152525228</v>
      </c>
      <c r="E188" s="383">
        <f t="shared" si="75"/>
        <v>45.359794530744807</v>
      </c>
      <c r="F188" s="383">
        <f t="shared" si="51"/>
        <v>45.363660304874919</v>
      </c>
      <c r="G188" s="110">
        <f t="shared" si="76"/>
        <v>0.71926301970044704</v>
      </c>
      <c r="H188" s="412" t="b">
        <f>Wh_hp&gt;='2022'!Maxi_hp</f>
        <v>0</v>
      </c>
      <c r="I188" s="379">
        <f>IF(H188,Wh_hp,'2022'!Maxi_hp)</f>
        <v>54.409239843799597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3.0551632906705706E-2</v>
      </c>
      <c r="M188" s="832"/>
      <c r="N188" s="832"/>
      <c r="O188" s="48">
        <f>IF(t&lt;Tnet,'2022'!Resal+('2022'!Salim-'2022'!Resal)*(1-EXP(('2022'!Tnet-t)/('2022'!Tau_j))),Resal+(Salim-Resal)*(1-EXP((Tnet-t)/(Tau_j))))*Salcycl</f>
        <v>4.0221575011389794E-2</v>
      </c>
      <c r="P188" s="338">
        <f>(INDEX(Models!$BJ188:$BT188,,T188)*(1-R188)+INDEX(Models!$BJ188:$BT188,,T188+1)*R188-ERP_i)*Q188*Ramure*Pc/MaxiM</f>
        <v>1.4226476823772104E-4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58.675153587670948</v>
      </c>
      <c r="W188" s="400">
        <f t="shared" si="59"/>
        <v>42.205276055097116</v>
      </c>
      <c r="X188" s="157">
        <f t="shared" si="60"/>
        <v>45100</v>
      </c>
      <c r="Y188" s="383">
        <f t="shared" si="61"/>
        <v>39.86500185044747</v>
      </c>
      <c r="Z188" s="383">
        <f t="shared" si="62"/>
        <v>41.121325491500968</v>
      </c>
      <c r="AA188" s="384">
        <f t="shared" si="63"/>
        <v>45.359794530744807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9.3441098732733596E-2</v>
      </c>
      <c r="AD188" s="230">
        <f>(INDEX(Models!$BJ188:$BT188,,AH188)*(1-AF188)+INDEX(Models!$BJ188:$BT188,,AH188+1)*AF188-ERP_i)*AE188*Ramure*Pc/MaxiM</f>
        <v>1.4226476823772104E-4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'2022'!Wh/'2022'!Env_an*'2023'!Env_an</f>
        <v>39.809573856773781</v>
      </c>
      <c r="C189" s="829"/>
      <c r="D189" s="391">
        <f t="shared" si="50"/>
        <v>41.06493771520838</v>
      </c>
      <c r="E189" s="383">
        <f t="shared" si="75"/>
        <v>42.789132985679082</v>
      </c>
      <c r="F189" s="383">
        <f t="shared" si="51"/>
        <v>42.792461589036037</v>
      </c>
      <c r="G189" s="110">
        <f t="shared" si="76"/>
        <v>0.67912696532050154</v>
      </c>
      <c r="H189" s="412" t="b">
        <f>Wh_hp&gt;='2022'!Maxi_hp</f>
        <v>0</v>
      </c>
      <c r="I189" s="379">
        <f>IF(H189,Wh_hp,'2022'!Maxi_hp)</f>
        <v>62.441537989908561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3.0570212163494315E-2</v>
      </c>
      <c r="M189" s="832"/>
      <c r="N189" s="832"/>
      <c r="O189" s="48">
        <f>IF(t&lt;Tnet,'2022'!Resal+('2022'!Salim-'2022'!Resal)*(1-EXP(('2022'!Tnet-t)/('2022'!Tau_j))),Resal+(Salim-Resal)*(1-EXP((Tnet-t)/(Tau_j))))*Salcycl</f>
        <v>4.0295167257718589E-2</v>
      </c>
      <c r="P189" s="338">
        <f>(INDEX(Models!$BJ189:$BT189,,T189)*(1-R189)+INDEX(Models!$BJ189:$BT189,,T189+1)*R189-ERP_i)*Q189*Ramure*Pc/MaxiM</f>
        <v>1.4360082564923357E-4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58.614891733099761</v>
      </c>
      <c r="W189" s="400">
        <f t="shared" si="59"/>
        <v>39.809573856773781</v>
      </c>
      <c r="X189" s="157">
        <f t="shared" si="60"/>
        <v>45101</v>
      </c>
      <c r="Y189" s="383">
        <f t="shared" si="61"/>
        <v>37.603168106276826</v>
      </c>
      <c r="Z189" s="383">
        <f t="shared" si="62"/>
        <v>38.788954680458609</v>
      </c>
      <c r="AA189" s="384">
        <f t="shared" si="63"/>
        <v>42.789132985679082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9.3485846197427655E-2</v>
      </c>
      <c r="AD189" s="230">
        <f>(INDEX(Models!$BJ189:$BT189,,AH189)*(1-AF189)+INDEX(Models!$BJ189:$BT189,,AH189+1)*AF189-ERP_i)*AE189*Ramure*Pc/MaxiM</f>
        <v>1.4360082564923357E-4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'2022'!Wh/'2022'!Env_an*'2023'!Env_an</f>
        <v>34.547452517031296</v>
      </c>
      <c r="C190" s="829"/>
      <c r="D190" s="391">
        <f t="shared" si="50"/>
        <v>35.637562469447147</v>
      </c>
      <c r="E190" s="383">
        <f t="shared" si="75"/>
        <v>37.13669956085301</v>
      </c>
      <c r="F190" s="383">
        <f t="shared" si="51"/>
        <v>37.138931984590279</v>
      </c>
      <c r="G190" s="110">
        <f t="shared" si="76"/>
        <v>0.58996759349734551</v>
      </c>
      <c r="H190" s="412" t="b">
        <f>Wh_hp&gt;='2022'!Maxi_hp</f>
        <v>0</v>
      </c>
      <c r="I190" s="379">
        <f>IF(H190,Wh_hp,'2022'!Maxi_hp)</f>
        <v>58.359170518097258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3.0588791064215637E-2</v>
      </c>
      <c r="M190" s="832"/>
      <c r="N190" s="832"/>
      <c r="O190" s="48">
        <f>IF(t&lt;Tnet,'2022'!Resal+('2022'!Salim-'2022'!Resal)*(1-EXP(('2022'!Tnet-t)/('2022'!Tau_j))),Resal+(Salim-Resal)*(1-EXP((Tnet-t)/(Tau_j))))*Salcycl</f>
        <v>4.0368075492259153E-2</v>
      </c>
      <c r="P190" s="338">
        <f>(INDEX(Models!$BJ190:$BT190,,T190)*(1-R190)+INDEX(Models!$BJ190:$BT190,,T190+1)*R190-ERP_i)*Q190*Ramure*Pc/MaxiM</f>
        <v>1.4508439665428764E-4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58.553244406532585</v>
      </c>
      <c r="W190" s="400">
        <f t="shared" si="59"/>
        <v>34.547452517031296</v>
      </c>
      <c r="X190" s="157">
        <f t="shared" si="60"/>
        <v>45102</v>
      </c>
      <c r="Y190" s="383">
        <f t="shared" si="61"/>
        <v>32.633619182912085</v>
      </c>
      <c r="Z190" s="383">
        <f t="shared" si="62"/>
        <v>33.663340058484714</v>
      </c>
      <c r="AA190" s="384">
        <f t="shared" si="63"/>
        <v>37.13669956085301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9.3529030404998034E-2</v>
      </c>
      <c r="AD190" s="230">
        <f>(INDEX(Models!$BJ190:$BT190,,AH190)*(1-AF190)+INDEX(Models!$BJ190:$BT190,,AH190+1)*AF190-ERP_i)*AE190*Ramure*Pc/MaxiM</f>
        <v>1.4508439665428764E-4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'2022'!Wh/'2022'!Env_an*'2023'!Env_an</f>
        <v>12.26569915625732</v>
      </c>
      <c r="C191" s="829"/>
      <c r="D191" s="391">
        <f t="shared" si="50"/>
        <v>12.652973389439165</v>
      </c>
      <c r="E191" s="383">
        <f t="shared" si="75"/>
        <v>13.186228416743564</v>
      </c>
      <c r="F191" s="383">
        <f t="shared" si="51"/>
        <v>13.186228416743564</v>
      </c>
      <c r="G191" s="110">
        <f t="shared" si="76"/>
        <v>0.20967439135831475</v>
      </c>
      <c r="H191" s="412" t="b">
        <f>Wh_hp&gt;='2022'!Maxi_hp</f>
        <v>0</v>
      </c>
      <c r="I191" s="379">
        <f>IF(H191,Wh_hp,'2022'!Maxi_hp)</f>
        <v>60.460509614669505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3.0607369608876667E-2</v>
      </c>
      <c r="M191" s="832"/>
      <c r="N191" s="832"/>
      <c r="O191" s="48">
        <f>IF(t&lt;Tnet,'2022'!Resal+('2022'!Salim-'2022'!Resal)*(1-EXP(('2022'!Tnet-t)/('2022'!Tau_j))),Resal+(Salim-Resal)*(1-EXP((Tnet-t)/(Tau_j))))*Salcycl</f>
        <v>4.0440299564907058E-2</v>
      </c>
      <c r="P191" s="338">
        <f>(INDEX(Models!$BJ191:$BT191,,T191)*(1-R191)+INDEX(Models!$BJ191:$BT191,,T191+1)*R191-ERP_i)*Q191*Ramure*Pc/MaxiM</f>
        <v>1.4671831236541576E-4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58.490211771351817</v>
      </c>
      <c r="W191" s="400">
        <f t="shared" si="59"/>
        <v>12.26569915625732</v>
      </c>
      <c r="X191" s="157">
        <f t="shared" si="60"/>
        <v>45103</v>
      </c>
      <c r="Y191" s="383">
        <f t="shared" si="61"/>
        <v>11.586553310567481</v>
      </c>
      <c r="Z191" s="383">
        <f t="shared" si="62"/>
        <v>11.952384356267103</v>
      </c>
      <c r="AA191" s="384">
        <f t="shared" si="63"/>
        <v>13.186228416743564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9.3570657316215944E-2</v>
      </c>
      <c r="AD191" s="230">
        <f>(INDEX(Models!$BJ191:$BT191,,AH191)*(1-AF191)+INDEX(Models!$BJ191:$BT191,,AH191+1)*AF191-ERP_i)*AE191*Ramure*Pc/MaxiM</f>
        <v>1.4671831236541576E-4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'2022'!Wh/'2022'!Env_an*'2023'!Env_an</f>
        <v>14.903999039154884</v>
      </c>
      <c r="C192" s="829"/>
      <c r="D192" s="391">
        <f t="shared" si="50"/>
        <v>15.374868973737735</v>
      </c>
      <c r="E192" s="383">
        <f t="shared" si="75"/>
        <v>16.024032013626719</v>
      </c>
      <c r="F192" s="383">
        <f t="shared" si="51"/>
        <v>16.024032013626719</v>
      </c>
      <c r="G192" s="110">
        <f t="shared" si="76"/>
        <v>0.25505491200378472</v>
      </c>
      <c r="H192" s="412" t="b">
        <f>Wh_hp&gt;='2022'!Maxi_hp</f>
        <v>0</v>
      </c>
      <c r="I192" s="379">
        <f>IF(H192,Wh_hp,'2022'!Maxi_hp)</f>
        <v>59.284461981263078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3.0625947797484177E-2</v>
      </c>
      <c r="M192" s="832"/>
      <c r="N192" s="832"/>
      <c r="O192" s="48">
        <f>IF(t&lt;Tnet,'2022'!Resal+('2022'!Salim-'2022'!Resal)*(1-EXP(('2022'!Tnet-t)/('2022'!Tau_j))),Resal+(Salim-Resal)*(1-EXP((Tnet-t)/(Tau_j))))*Salcycl</f>
        <v>4.0511841173116639E-2</v>
      </c>
      <c r="P192" s="338">
        <f>(INDEX(Models!$BJ192:$BT192,,T192)*(1-R192)+INDEX(Models!$BJ192:$BT192,,T192+1)*R192-ERP_i)*Q192*Ramure*Pc/MaxiM</f>
        <v>1.4861841411568089E-4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58.425787268243553</v>
      </c>
      <c r="W192" s="400">
        <f t="shared" si="59"/>
        <v>14.903999039154884</v>
      </c>
      <c r="X192" s="157">
        <f t="shared" si="60"/>
        <v>45104</v>
      </c>
      <c r="Y192" s="383">
        <f t="shared" si="61"/>
        <v>14.079198975896437</v>
      </c>
      <c r="Z192" s="383">
        <f t="shared" si="62"/>
        <v>14.524010565278774</v>
      </c>
      <c r="AA192" s="384">
        <f t="shared" si="63"/>
        <v>16.024032013626719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9.3610737114874693E-2</v>
      </c>
      <c r="AD192" s="230">
        <f>(INDEX(Models!$BJ192:$BT192,,AH192)*(1-AF192)+INDEX(Models!$BJ192:$BT192,,AH192+1)*AF192-ERP_i)*AE192*Ramure*Pc/MaxiM</f>
        <v>1.4861841411568089E-4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'2022'!Wh/'2022'!Env_an*'2023'!Env_an</f>
        <v>59.126303980091244</v>
      </c>
      <c r="C193" s="829"/>
      <c r="D193" s="391">
        <f t="shared" si="50"/>
        <v>60.995481578644956</v>
      </c>
      <c r="E193" s="383">
        <f t="shared" si="75"/>
        <v>63.575549264211055</v>
      </c>
      <c r="F193" s="383">
        <f t="shared" si="51"/>
        <v>63.585131804859884</v>
      </c>
      <c r="G193" s="110">
        <f t="shared" si="76"/>
        <v>1.0131310585480504</v>
      </c>
      <c r="H193" s="412" t="b">
        <f>Wh_hp&gt;='2022'!Maxi_hp</f>
        <v>1</v>
      </c>
      <c r="I193" s="379">
        <f>IF(H193,Wh_hp,'2022'!Maxi_hp)</f>
        <v>63.585131804859884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3.0644525630044828E-2</v>
      </c>
      <c r="M193" s="832"/>
      <c r="N193" s="832"/>
      <c r="O193" s="48">
        <f>IF(t&lt;Tnet,'2022'!Resal+('2022'!Salim-'2022'!Resal)*(1-EXP(('2022'!Tnet-t)/('2022'!Tau_j))),Resal+(Salim-Resal)*(1-EXP((Tnet-t)/(Tau_j))))*Salcycl</f>
        <v>4.0582703813437801E-2</v>
      </c>
      <c r="P193" s="338">
        <f>(INDEX(Models!$BJ193:$BT193,,T193)*(1-R193)+INDEX(Models!$BJ193:$BT193,,T193+1)*R193-ERP_i)*Q193*Ramure*Pc/MaxiM</f>
        <v>1.5070410922846648E-4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58.359975722022568</v>
      </c>
      <c r="W193" s="400">
        <f t="shared" si="59"/>
        <v>59.126303980091244</v>
      </c>
      <c r="X193" s="157">
        <f t="shared" si="60"/>
        <v>45105</v>
      </c>
      <c r="Y193" s="383">
        <f t="shared" si="61"/>
        <v>55.855953562416147</v>
      </c>
      <c r="Z193" s="383">
        <f t="shared" si="62"/>
        <v>57.62174459139505</v>
      </c>
      <c r="AA193" s="384">
        <f t="shared" si="63"/>
        <v>63.575549264211055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9.3649284067886474E-2</v>
      </c>
      <c r="AD193" s="230">
        <f>(INDEX(Models!$BJ193:$BT193,,AH193)*(1-AF193)+INDEX(Models!$BJ193:$BT193,,AH193+1)*AF193-ERP_i)*AE193*Ramure*Pc/MaxiM</f>
        <v>1.5070410922846648E-4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'2022'!Wh/'2022'!Env_an*'2023'!Env_an</f>
        <v>57.431189284278162</v>
      </c>
      <c r="C194" s="829"/>
      <c r="D194" s="391">
        <f t="shared" si="50"/>
        <v>59.247914185806501</v>
      </c>
      <c r="E194" s="383">
        <f t="shared" si="75"/>
        <v>61.758579075709527</v>
      </c>
      <c r="F194" s="383">
        <f t="shared" si="51"/>
        <v>61.767828705537539</v>
      </c>
      <c r="G194" s="110">
        <f t="shared" si="76"/>
        <v>0.98521646682371278</v>
      </c>
      <c r="H194" s="412" t="b">
        <f>Wh_hp&gt;='2022'!Maxi_hp</f>
        <v>0</v>
      </c>
      <c r="I194" s="379">
        <f>IF(H194,Wh_hp,'2022'!Maxi_hp)</f>
        <v>61.767891978922982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3.0663103106565615E-2</v>
      </c>
      <c r="M194" s="832"/>
      <c r="N194" s="832"/>
      <c r="O194" s="48">
        <f>IF(t&lt;Tnet,'2022'!Resal+('2022'!Salim-'2022'!Resal)*(1-EXP(('2022'!Tnet-t)/('2022'!Tau_j))),Resal+(Salim-Resal)*(1-EXP((Tnet-t)/(Tau_j))))*Salcycl</f>
        <v>4.0652892723215255E-2</v>
      </c>
      <c r="P194" s="338">
        <f>(INDEX(Models!$BJ194:$BT194,,T194)*(1-R194)+INDEX(Models!$BJ194:$BT194,,T194+1)*R194-ERP_i)*Q194*Ramure*Pc/MaxiM</f>
        <v>1.5297844743558263E-4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58.292776949567632</v>
      </c>
      <c r="W194" s="400">
        <f t="shared" si="59"/>
        <v>57.431189284278162</v>
      </c>
      <c r="X194" s="157">
        <f t="shared" si="60"/>
        <v>45106</v>
      </c>
      <c r="Y194" s="383">
        <f t="shared" si="61"/>
        <v>54.256350304309365</v>
      </c>
      <c r="Z194" s="383">
        <f t="shared" si="62"/>
        <v>55.972645298236415</v>
      </c>
      <c r="AA194" s="384">
        <f t="shared" si="63"/>
        <v>61.758579075709527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9.3686316363920316E-2</v>
      </c>
      <c r="AD194" s="230">
        <f>(INDEX(Models!$BJ194:$BT194,,AH194)*(1-AF194)+INDEX(Models!$BJ194:$BT194,,AH194+1)*AF194-ERP_i)*AE194*Ramure*Pc/MaxiM</f>
        <v>1.5297844743558263E-4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'2022'!Wh/'2022'!Env_an*'2023'!Env_an</f>
        <v>14.163540957933501</v>
      </c>
      <c r="C195" s="829"/>
      <c r="D195" s="391">
        <f t="shared" si="50"/>
        <v>14.611857290854847</v>
      </c>
      <c r="E195" s="383">
        <f t="shared" si="75"/>
        <v>15.232147103703086</v>
      </c>
      <c r="F195" s="383">
        <f t="shared" si="51"/>
        <v>15.232147103703086</v>
      </c>
      <c r="G195" s="110">
        <f t="shared" si="76"/>
        <v>0.24322088726896376</v>
      </c>
      <c r="H195" s="412" t="b">
        <f>Wh_hp&gt;='2022'!Maxi_hp</f>
        <v>0</v>
      </c>
      <c r="I195" s="379">
        <f>IF(H195,Wh_hp,'2022'!Maxi_hp)</f>
        <v>52.702185547178217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3.068168022705331E-2</v>
      </c>
      <c r="M195" s="832"/>
      <c r="N195" s="832"/>
      <c r="O195" s="48">
        <f>IF(t&lt;Tnet,'2022'!Resal+('2022'!Salim-'2022'!Resal)*(1-EXP(('2022'!Tnet-t)/('2022'!Tau_j))),Resal+(Salim-Resal)*(1-EXP((Tnet-t)/(Tau_j))))*Salcycl</f>
        <v>4.072241481290851E-2</v>
      </c>
      <c r="P195" s="338">
        <f>(INDEX(Models!$BJ195:$BT195,,T195)*(1-R195)+INDEX(Models!$BJ195:$BT195,,T195+1)*R195-ERP_i)*Q195*Ramure*Pc/MaxiM</f>
        <v>1.5544437976101235E-4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58.224190669257275</v>
      </c>
      <c r="W195" s="400">
        <f t="shared" si="59"/>
        <v>14.163540957933501</v>
      </c>
      <c r="X195" s="157">
        <f t="shared" si="60"/>
        <v>45107</v>
      </c>
      <c r="Y195" s="383">
        <f t="shared" si="61"/>
        <v>13.381014850134314</v>
      </c>
      <c r="Z195" s="383">
        <f t="shared" si="62"/>
        <v>13.804562007317354</v>
      </c>
      <c r="AA195" s="384">
        <f t="shared" si="63"/>
        <v>15.232147103703086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9.3721855931831882E-2</v>
      </c>
      <c r="AD195" s="230">
        <f>(INDEX(Models!$BJ195:$BT195,,AH195)*(1-AF195)+INDEX(Models!$BJ195:$BT195,,AH195+1)*AF195-ERP_i)*AE195*Ramure*Pc/MaxiM</f>
        <v>1.5544437976101235E-4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'2022'!Wh/'2022'!Env_an*'2023'!Env_an</f>
        <v>51.087198172294706</v>
      </c>
      <c r="C196" s="829"/>
      <c r="D196" s="391">
        <f t="shared" si="50"/>
        <v>52.705263300423141</v>
      </c>
      <c r="E196" s="383">
        <f t="shared" si="75"/>
        <v>54.946605596876275</v>
      </c>
      <c r="F196" s="383">
        <f t="shared" si="51"/>
        <v>54.953785711078616</v>
      </c>
      <c r="G196" s="110">
        <f t="shared" si="76"/>
        <v>0.87845385672467691</v>
      </c>
      <c r="H196" s="412" t="b">
        <f>Wh_hp&gt;='2022'!Maxi_hp</f>
        <v>0</v>
      </c>
      <c r="I196" s="379">
        <f>IF(H196,Wh_hp,'2022'!Maxi_hp)</f>
        <v>60.959454139649438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3.0700256991514685E-2</v>
      </c>
      <c r="M196" s="832"/>
      <c r="N196" s="832"/>
      <c r="O196" s="48">
        <f>IF(t&lt;Tnet,'2022'!Resal+('2022'!Salim-'2022'!Resal)*(1-EXP(('2022'!Tnet-t)/('2022'!Tau_j))),Resal+(Salim-Resal)*(1-EXP((Tnet-t)/(Tau_j))))*Salcycl</f>
        <v>4.0791278589565043E-2</v>
      </c>
      <c r="P196" s="338">
        <f>(INDEX(Models!$BJ196:$BT196,,T196)*(1-R196)+INDEX(Models!$BJ196:$BT196,,T196+1)*R196-ERP_i)*Q196*Ramure*Pc/MaxiM</f>
        <v>1.5810476177181753E-4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58.154216507725309</v>
      </c>
      <c r="W196" s="400">
        <f t="shared" si="59"/>
        <v>51.087198172294706</v>
      </c>
      <c r="X196" s="157">
        <f t="shared" si="60"/>
        <v>45108</v>
      </c>
      <c r="Y196" s="383">
        <f t="shared" si="61"/>
        <v>48.266315196111911</v>
      </c>
      <c r="Z196" s="383">
        <f t="shared" si="62"/>
        <v>49.795035585488009</v>
      </c>
      <c r="AA196" s="384">
        <f t="shared" si="63"/>
        <v>54.946605596876275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9.3755928240290345E-2</v>
      </c>
      <c r="AD196" s="230">
        <f>(INDEX(Models!$BJ196:$BT196,,AH196)*(1-AF196)+INDEX(Models!$BJ196:$BT196,,AH196+1)*AF196-ERP_i)*AE196*Ramure*Pc/MaxiM</f>
        <v>1.5810476177181753E-4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'2022'!Wh/'2022'!Env_an*'2023'!Env_an</f>
        <v>56.434266730822401</v>
      </c>
      <c r="C197" s="829"/>
      <c r="D197" s="391">
        <f t="shared" si="50"/>
        <v>58.222803326280861</v>
      </c>
      <c r="E197" s="383">
        <f t="shared" si="75"/>
        <v>60.703101335451699</v>
      </c>
      <c r="F197" s="383">
        <f t="shared" si="51"/>
        <v>60.712477509927538</v>
      </c>
      <c r="G197" s="110">
        <f t="shared" si="76"/>
        <v>0.97161028526991489</v>
      </c>
      <c r="H197" s="412" t="b">
        <f>Wh_hp&gt;='2022'!Maxi_hp</f>
        <v>0</v>
      </c>
      <c r="I197" s="379">
        <f>IF(H197,Wh_hp,'2022'!Maxi_hp)</f>
        <v>60.712601293017094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3.0718833399956624E-2</v>
      </c>
      <c r="M197" s="832"/>
      <c r="N197" s="832"/>
      <c r="O197" s="48">
        <f>IF(t&lt;Tnet,'2022'!Resal+('2022'!Salim-'2022'!Resal)*(1-EXP(('2022'!Tnet-t)/('2022'!Tau_j))),Resal+(Salim-Resal)*(1-EXP((Tnet-t)/(Tau_j))))*Salcycl</f>
        <v>4.0859494072048329E-2</v>
      </c>
      <c r="P197" s="338">
        <f>(INDEX(Models!$BJ197:$BT197,,T197)*(1-R197)+INDEX(Models!$BJ197:$BT197,,T197+1)*R197-ERP_i)*Q197*Ramure*Pc/MaxiM</f>
        <v>1.6096235778340263E-4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58.08285400311906</v>
      </c>
      <c r="W197" s="400">
        <f t="shared" si="59"/>
        <v>56.434266730822401</v>
      </c>
      <c r="X197" s="157">
        <f t="shared" si="60"/>
        <v>45109</v>
      </c>
      <c r="Y197" s="383">
        <f t="shared" si="61"/>
        <v>53.320006491241287</v>
      </c>
      <c r="Z197" s="383">
        <f t="shared" si="62"/>
        <v>55.009844747393963</v>
      </c>
      <c r="AA197" s="384">
        <f t="shared" si="63"/>
        <v>60.703101335451699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9.3788562080151433E-2</v>
      </c>
      <c r="AD197" s="230">
        <f>(INDEX(Models!$BJ197:$BT197,,AH197)*(1-AF197)+INDEX(Models!$BJ197:$BT197,,AH197+1)*AF197-ERP_i)*AE197*Ramure*Pc/MaxiM</f>
        <v>1.6096235778340263E-4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'2022'!Wh/'2022'!Env_an*'2023'!Env_an</f>
        <v>46.489242459456257</v>
      </c>
      <c r="C198" s="829"/>
      <c r="D198" s="391">
        <f t="shared" si="50"/>
        <v>47.963516711390632</v>
      </c>
      <c r="E198" s="383">
        <f t="shared" si="75"/>
        <v>50.010291549311795</v>
      </c>
      <c r="F198" s="383">
        <f t="shared" si="51"/>
        <v>50.016168485043515</v>
      </c>
      <c r="G198" s="110">
        <f t="shared" si="76"/>
        <v>0.80136178825308879</v>
      </c>
      <c r="H198" s="412" t="b">
        <f>Wh_hp&gt;='2022'!Maxi_hp</f>
        <v>0</v>
      </c>
      <c r="I198" s="379">
        <f>IF(H198,Wh_hp,'2022'!Maxi_hp)</f>
        <v>50.016891761523738</v>
      </c>
      <c r="J198" s="85">
        <f>IF(H198,An,'2022'!An_max)</f>
        <v>2022</v>
      </c>
      <c r="K198" s="197">
        <f t="shared" si="52"/>
        <v>45110</v>
      </c>
      <c r="L198" s="147">
        <f>IF(t&lt;Tvie,1-EXP((T0-t)*PertePVj)+'2022'!Pspv,1-EXP((T0-t)*PertePVj)+Pspv)</f>
        <v>3.0737409452386011E-2</v>
      </c>
      <c r="M198" s="832"/>
      <c r="N198" s="832"/>
      <c r="O198" s="48">
        <f>IF(t&lt;Tnet,'2022'!Resal+('2022'!Salim-'2022'!Resal)*(1-EXP(('2022'!Tnet-t)/('2022'!Tau_j))),Resal+(Salim-Resal)*(1-EXP((Tnet-t)/(Tau_j))))*Salcycl</f>
        <v>4.0927072698685937E-2</v>
      </c>
      <c r="P198" s="338">
        <f>(INDEX(Models!$BJ198:$BT198,,T198)*(1-R198)+INDEX(Models!$BJ198:$BT198,,T198+1)*R198-ERP_i)*Q198*Ramure*Pc/MaxiM</f>
        <v>1.6404198658967473E-4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58.010101327933242</v>
      </c>
      <c r="W198" s="400">
        <f t="shared" si="59"/>
        <v>46.489242459456257</v>
      </c>
      <c r="X198" s="157">
        <f t="shared" si="60"/>
        <v>45110</v>
      </c>
      <c r="Y198" s="383">
        <f t="shared" si="61"/>
        <v>43.92536826608297</v>
      </c>
      <c r="Z198" s="383">
        <f t="shared" si="62"/>
        <v>45.318336531760721</v>
      </c>
      <c r="AA198" s="384">
        <f t="shared" si="63"/>
        <v>50.010291549311795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9.3819789331255052E-2</v>
      </c>
      <c r="AD198" s="230">
        <f>(INDEX(Models!$BJ198:$BT198,,AH198)*(1-AF198)+INDEX(Models!$BJ198:$BT198,,AH198+1)*AF198-ERP_i)*AE198*Ramure*Pc/MaxiM</f>
        <v>1.6404198658967473E-4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'2022'!Wh/'2022'!Env_an*'2023'!Env_an</f>
        <v>44.977739861227782</v>
      </c>
      <c r="C199" s="829"/>
      <c r="D199" s="391">
        <f t="shared" si="50"/>
        <v>46.404970443003748</v>
      </c>
      <c r="E199" s="383">
        <f t="shared" si="75"/>
        <v>48.388614628617468</v>
      </c>
      <c r="F199" s="383">
        <f t="shared" si="51"/>
        <v>48.394122647171081</v>
      </c>
      <c r="G199" s="110">
        <f t="shared" si="76"/>
        <v>0.77629392117598284</v>
      </c>
      <c r="H199" s="412" t="b">
        <f>Wh_hp&gt;='2022'!Maxi_hp</f>
        <v>0</v>
      </c>
      <c r="I199" s="379">
        <f>IF(H199,Wh_hp,'2022'!Maxi_hp)</f>
        <v>58.082093863284776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3.0755985148809506E-2</v>
      </c>
      <c r="M199" s="832"/>
      <c r="N199" s="832"/>
      <c r="O199" s="48">
        <f>IF(t&lt;Tnet,'2022'!Resal+('2022'!Salim-'2022'!Resal)*(1-EXP(('2022'!Tnet-t)/('2022'!Tau_j))),Resal+(Salim-Resal)*(1-EXP((Tnet-t)/(Tau_j))))*Salcycl</f>
        <v>4.0994027228061412E-2</v>
      </c>
      <c r="P199" s="338">
        <f>(INDEX(Models!$BJ199:$BT199,,T199)*(1-R199)+INDEX(Models!$BJ199:$BT199,,T199+1)*R199-ERP_i)*Q199*Ramure*Pc/MaxiM</f>
        <v>1.6725840134271025E-4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57.935962959282193</v>
      </c>
      <c r="W199" s="400">
        <f t="shared" si="59"/>
        <v>44.977739861227782</v>
      </c>
      <c r="X199" s="157">
        <f t="shared" si="60"/>
        <v>45111</v>
      </c>
      <c r="Y199" s="383">
        <f t="shared" si="61"/>
        <v>42.498791574096302</v>
      </c>
      <c r="Z199" s="383">
        <f t="shared" si="62"/>
        <v>43.847360337449395</v>
      </c>
      <c r="AA199" s="384">
        <f t="shared" si="63"/>
        <v>48.388614628617468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9.3849644715439606E-2</v>
      </c>
      <c r="AD199" s="230">
        <f>(INDEX(Models!$BJ199:$BT199,,AH199)*(1-AF199)+INDEX(Models!$BJ199:$BT199,,AH199+1)*AF199-ERP_i)*AE199*Ramure*Pc/MaxiM</f>
        <v>1.6725840134271025E-4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'2022'!Wh/'2022'!Env_an*'2023'!Env_an</f>
        <v>56.382706839176514</v>
      </c>
      <c r="C200" s="829"/>
      <c r="D200" s="391">
        <f t="shared" si="50"/>
        <v>58.172953928692486</v>
      </c>
      <c r="E200" s="383">
        <f t="shared" si="75"/>
        <v>60.66383347594099</v>
      </c>
      <c r="F200" s="383">
        <f t="shared" si="51"/>
        <v>60.673807541246106</v>
      </c>
      <c r="G200" s="110">
        <f t="shared" si="76"/>
        <v>0.97445435106065104</v>
      </c>
      <c r="H200" s="412" t="b">
        <f>Wh_hp&gt;='2022'!Maxi_hp</f>
        <v>0</v>
      </c>
      <c r="I200" s="379">
        <f>IF(H200,Wh_hp,'2022'!Maxi_hp)</f>
        <v>61.390169549077257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3.0774560489233993E-2</v>
      </c>
      <c r="M200" s="832"/>
      <c r="N200" s="832"/>
      <c r="O200" s="48">
        <f>IF(t&lt;Tnet,'2022'!Resal+('2022'!Salim-'2022'!Resal)*(1-EXP(('2022'!Tnet-t)/('2022'!Tau_j))),Resal+(Salim-Resal)*(1-EXP((Tnet-t)/(Tau_j))))*Salcycl</f>
        <v>4.1060371633724342E-2</v>
      </c>
      <c r="P200" s="338">
        <f>(INDEX(Models!$BJ200:$BT200,,T200)*(1-R200)+INDEX(Models!$BJ200:$BT200,,T200+1)*R200-ERP_i)*Q200*Ramure*Pc/MaxiM</f>
        <v>1.7061316145536057E-4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57.86043825111436</v>
      </c>
      <c r="W200" s="400">
        <f t="shared" si="59"/>
        <v>56.382706839176514</v>
      </c>
      <c r="X200" s="157">
        <f t="shared" si="60"/>
        <v>45112</v>
      </c>
      <c r="Y200" s="383">
        <f t="shared" si="61"/>
        <v>53.277182673227252</v>
      </c>
      <c r="Z200" s="383">
        <f t="shared" si="62"/>
        <v>54.96882407473732</v>
      </c>
      <c r="AA200" s="384">
        <f t="shared" si="63"/>
        <v>60.66383347594099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9.3878165537663996E-2</v>
      </c>
      <c r="AD200" s="230">
        <f>(INDEX(Models!$BJ200:$BT200,,AH200)*(1-AF200)+INDEX(Models!$BJ200:$BT200,,AH200+1)*AF200-ERP_i)*AE200*Ramure*Pc/MaxiM</f>
        <v>1.7061316145536057E-4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'2022'!Wh/'2022'!Env_an*'2023'!Env_an</f>
        <v>47.926316857868152</v>
      </c>
      <c r="C201" s="829"/>
      <c r="D201" s="391">
        <f t="shared" si="50"/>
        <v>49.449006824039039</v>
      </c>
      <c r="E201" s="383">
        <f t="shared" si="75"/>
        <v>51.569875774779504</v>
      </c>
      <c r="F201" s="383">
        <f t="shared" si="51"/>
        <v>51.576667292006022</v>
      </c>
      <c r="G201" s="110">
        <f t="shared" si="76"/>
        <v>0.82937622534332667</v>
      </c>
      <c r="H201" s="412" t="b">
        <f>Wh_hp&gt;='2022'!Maxi_hp</f>
        <v>0</v>
      </c>
      <c r="I201" s="379">
        <f>IF(H201,Wh_hp,'2022'!Maxi_hp)</f>
        <v>60.936475957669771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3.0793135473666355E-2</v>
      </c>
      <c r="M201" s="832"/>
      <c r="N201" s="832"/>
      <c r="O201" s="48">
        <f>IF(t&lt;Tnet,'2022'!Resal+('2022'!Salim-'2022'!Resal)*(1-EXP(('2022'!Tnet-t)/('2022'!Tau_j))),Resal+(Salim-Resal)*(1-EXP((Tnet-t)/(Tau_j))))*Salcycl</f>
        <v>4.1126120993638139E-2</v>
      </c>
      <c r="P201" s="338">
        <f>(INDEX(Models!$BJ201:$BT201,,T201)*(1-R201)+INDEX(Models!$BJ201:$BT201,,T201+1)*R201-ERP_i)*Q201*Ramure*Pc/MaxiM</f>
        <v>1.7410781443487968E-4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57.783526493039922</v>
      </c>
      <c r="W201" s="400">
        <f t="shared" si="59"/>
        <v>47.926316857868152</v>
      </c>
      <c r="X201" s="157">
        <f t="shared" si="60"/>
        <v>45113</v>
      </c>
      <c r="Y201" s="383">
        <f t="shared" si="61"/>
        <v>45.288309823545376</v>
      </c>
      <c r="Z201" s="383">
        <f t="shared" si="62"/>
        <v>46.727186404812016</v>
      </c>
      <c r="AA201" s="384">
        <f t="shared" si="63"/>
        <v>51.569875774779504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9.3905391417208509E-2</v>
      </c>
      <c r="AD201" s="230">
        <f>(INDEX(Models!$BJ201:$BT201,,AH201)*(1-AF201)+INDEX(Models!$BJ201:$BT201,,AH201+1)*AF201-ERP_i)*AE201*Ramure*Pc/MaxiM</f>
        <v>1.7410781443487968E-4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'2022'!Wh/'2022'!Env_an*'2023'!Env_an</f>
        <v>55.824328928234237</v>
      </c>
      <c r="C202" s="829"/>
      <c r="D202" s="391">
        <f t="shared" si="50"/>
        <v>57.599054291210926</v>
      </c>
      <c r="E202" s="383">
        <f t="shared" si="75"/>
        <v>60.073561882667249</v>
      </c>
      <c r="F202" s="383">
        <f t="shared" si="51"/>
        <v>60.083744118574877</v>
      </c>
      <c r="G202" s="110">
        <f t="shared" si="76"/>
        <v>0.96739705923515229</v>
      </c>
      <c r="H202" s="412" t="b">
        <f>Wh_hp&gt;='2022'!Maxi_hp</f>
        <v>0</v>
      </c>
      <c r="I202" s="379">
        <f>IF(H202,Wh_hp,'2022'!Maxi_hp)</f>
        <v>60.083895316609272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3.0811710102113476E-2</v>
      </c>
      <c r="M202" s="832"/>
      <c r="N202" s="832"/>
      <c r="O202" s="48">
        <f>IF(t&lt;Tnet,'2022'!Resal+('2022'!Salim-'2022'!Resal)*(1-EXP(('2022'!Tnet-t)/('2022'!Tau_j))),Resal+(Salim-Resal)*(1-EXP((Tnet-t)/(Tau_j))))*Salcycl</f>
        <v>4.1191291375221116E-2</v>
      </c>
      <c r="P202" s="338">
        <f>(INDEX(Models!$BJ202:$BT202,,T202)*(1-R202)+INDEX(Models!$BJ202:$BT202,,T202+1)*R202-ERP_i)*Q202*Ramure*Pc/MaxiM</f>
        <v>1.7774390084850285E-4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57.705226914748749</v>
      </c>
      <c r="W202" s="400">
        <f t="shared" si="59"/>
        <v>55.824328928234237</v>
      </c>
      <c r="X202" s="157">
        <f t="shared" si="60"/>
        <v>45114</v>
      </c>
      <c r="Y202" s="383">
        <f t="shared" si="61"/>
        <v>52.753665159711623</v>
      </c>
      <c r="Z202" s="383">
        <f t="shared" si="62"/>
        <v>54.430770274029761</v>
      </c>
      <c r="AA202" s="384">
        <f t="shared" si="63"/>
        <v>60.073561882667249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9.3931364010988935E-2</v>
      </c>
      <c r="AD202" s="230">
        <f>(INDEX(Models!$BJ202:$BT202,,AH202)*(1-AF202)+INDEX(Models!$BJ202:$BT202,,AH202+1)*AF202-ERP_i)*AE202*Ramure*Pc/MaxiM</f>
        <v>1.7774390084850285E-4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'2022'!Wh/'2022'!Env_an*'2023'!Env_an</f>
        <v>58.229691203253481</v>
      </c>
      <c r="C203" s="829"/>
      <c r="D203" s="391">
        <f t="shared" si="50"/>
        <v>60.082037505347643</v>
      </c>
      <c r="E203" s="383">
        <f t="shared" si="75"/>
        <v>62.667439087869603</v>
      </c>
      <c r="F203" s="383">
        <f t="shared" si="51"/>
        <v>62.678816732167256</v>
      </c>
      <c r="G203" s="110">
        <f t="shared" si="76"/>
        <v>1.0104841103494973</v>
      </c>
      <c r="H203" s="412" t="b">
        <f>Wh_hp&gt;='2022'!Maxi_hp</f>
        <v>0</v>
      </c>
      <c r="I203" s="379">
        <f>IF(H203,Wh_hp,'2022'!Maxi_hp)</f>
        <v>63.179240618782657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3.0830284374581907E-2</v>
      </c>
      <c r="M203" s="832"/>
      <c r="N203" s="832"/>
      <c r="O203" s="48">
        <f>IF(t&lt;Tnet,'2022'!Resal+('2022'!Salim-'2022'!Resal)*(1-EXP(('2022'!Tnet-t)/('2022'!Tau_j))),Resal+(Salim-Resal)*(1-EXP((Tnet-t)/(Tau_j))))*Salcycl</f>
        <v>4.125589971686601E-2</v>
      </c>
      <c r="P203" s="338">
        <f>(INDEX(Models!$BJ203:$BT203,,T203)*(1-R203)+INDEX(Models!$BJ203:$BT203,,T203+1)*R203-ERP_i)*Q203*Ramure*Pc/MaxiM</f>
        <v>1.8152295928419888E-4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57.625538696609006</v>
      </c>
      <c r="W203" s="400">
        <f t="shared" si="59"/>
        <v>58.229691203253481</v>
      </c>
      <c r="X203" s="157">
        <f t="shared" si="60"/>
        <v>45115</v>
      </c>
      <c r="Y203" s="383">
        <f t="shared" si="61"/>
        <v>55.028922672347484</v>
      </c>
      <c r="Z203" s="383">
        <f t="shared" si="62"/>
        <v>56.779449239018561</v>
      </c>
      <c r="AA203" s="384">
        <f t="shared" si="63"/>
        <v>62.667439087869603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9.3956126731062947E-2</v>
      </c>
      <c r="AD203" s="230">
        <f>(INDEX(Models!$BJ203:$BT203,,AH203)*(1-AF203)+INDEX(Models!$BJ203:$BT203,,AH203+1)*AF203-ERP_i)*AE203*Ramure*Pc/MaxiM</f>
        <v>1.8152295928419888E-4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'2022'!Wh/'2022'!Env_an*'2023'!Env_an</f>
        <v>57.549498935680383</v>
      </c>
      <c r="C204" s="829"/>
      <c r="D204" s="391">
        <f t="shared" si="50"/>
        <v>59.381345652858997</v>
      </c>
      <c r="E204" s="383">
        <f t="shared" si="75"/>
        <v>61.940734556717807</v>
      </c>
      <c r="F204" s="383">
        <f t="shared" si="51"/>
        <v>61.95222338164826</v>
      </c>
      <c r="G204" s="110">
        <f t="shared" si="76"/>
        <v>1.000087549019707</v>
      </c>
      <c r="H204" s="412" t="b">
        <f>Wh_hp&gt;='2022'!Maxi_hp</f>
        <v>1</v>
      </c>
      <c r="I204" s="379">
        <f>IF(H204,Wh_hp,'2022'!Maxi_hp)</f>
        <v>61.95222338164826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3.0848858291078751E-2</v>
      </c>
      <c r="M204" s="832"/>
      <c r="N204" s="832"/>
      <c r="O204" s="48">
        <f>IF(t&lt;Tnet,'2022'!Resal+('2022'!Salim-'2022'!Resal)*(1-EXP(('2022'!Tnet-t)/('2022'!Tau_j))),Resal+(Salim-Resal)*(1-EXP((Tnet-t)/(Tau_j))))*Salcycl</f>
        <v>4.131996370684355E-2</v>
      </c>
      <c r="P204" s="338">
        <f>(INDEX(Models!$BJ204:$BT204,,T204)*(1-R204)+INDEX(Models!$BJ204:$BT204,,T204+1)*R204-ERP_i)*Q204*Ramure*Pc/MaxiM</f>
        <v>1.854465312677576E-4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57.544460974532505</v>
      </c>
      <c r="W204" s="400">
        <f t="shared" si="59"/>
        <v>57.549498935680383</v>
      </c>
      <c r="X204" s="157">
        <f t="shared" si="60"/>
        <v>45116</v>
      </c>
      <c r="Y204" s="383">
        <f t="shared" si="61"/>
        <v>54.388336993636933</v>
      </c>
      <c r="Z204" s="383">
        <f t="shared" si="62"/>
        <v>56.119561390324549</v>
      </c>
      <c r="AA204" s="384">
        <f t="shared" si="63"/>
        <v>61.940734556717807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9.3979724458432723E-2</v>
      </c>
      <c r="AD204" s="230">
        <f>(INDEX(Models!$BJ204:$BT204,,AH204)*(1-AF204)+INDEX(Models!$BJ204:$BT204,,AH204+1)*AF204-ERP_i)*AE204*Ramure*Pc/MaxiM</f>
        <v>1.854465312677576E-4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'2022'!Wh/'2022'!Env_an*'2023'!Env_an</f>
        <v>57.002828963750751</v>
      </c>
      <c r="C205" s="829"/>
      <c r="D205" s="391">
        <f t="shared" si="50"/>
        <v>58.818401978440917</v>
      </c>
      <c r="E205" s="383">
        <f t="shared" si="75"/>
        <v>61.357594074716751</v>
      </c>
      <c r="F205" s="383">
        <f t="shared" si="51"/>
        <v>61.369091529090802</v>
      </c>
      <c r="G205" s="110">
        <f t="shared" si="76"/>
        <v>0.99199948202155463</v>
      </c>
      <c r="H205" s="412" t="b">
        <f>Wh_hp&gt;='2022'!Maxi_hp</f>
        <v>0</v>
      </c>
      <c r="I205" s="379">
        <f>IF(H205,Wh_hp,'2022'!Maxi_hp)</f>
        <v>61.369131281717756</v>
      </c>
      <c r="J205" s="85">
        <f>IF(H205,An,'2022'!An_max)</f>
        <v>2022</v>
      </c>
      <c r="K205" s="197">
        <f t="shared" si="52"/>
        <v>45117</v>
      </c>
      <c r="L205" s="147">
        <f>IF(t&lt;Tvie,1-EXP((T0-t)*PertePVj)+'2022'!Pspv,1-EXP((T0-t)*PertePVj)+Pspv)</f>
        <v>3.0867431851610672E-2</v>
      </c>
      <c r="M205" s="832"/>
      <c r="N205" s="832"/>
      <c r="O205" s="48">
        <f>IF(t&lt;Tnet,'2022'!Resal+('2022'!Salim-'2022'!Resal)*(1-EXP(('2022'!Tnet-t)/('2022'!Tau_j))),Resal+(Salim-Resal)*(1-EXP((Tnet-t)/(Tau_j))))*Salcycl</f>
        <v>4.1383501660508304E-2</v>
      </c>
      <c r="P205" s="338">
        <f>(INDEX(Models!$BJ205:$BT205,,T205)*(1-R205)+INDEX(Models!$BJ205:$BT205,,T205+1)*R205-ERP_i)*Q205*Ramure*Pc/MaxiM</f>
        <v>1.8951470891296536E-4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57.462434746636816</v>
      </c>
      <c r="W205" s="400">
        <f t="shared" si="59"/>
        <v>57.002828963750751</v>
      </c>
      <c r="X205" s="157">
        <f t="shared" si="60"/>
        <v>45117</v>
      </c>
      <c r="Y205" s="383">
        <f t="shared" si="61"/>
        <v>53.873929291675935</v>
      </c>
      <c r="Z205" s="383">
        <f t="shared" si="62"/>
        <v>55.589845045251842</v>
      </c>
      <c r="AA205" s="384">
        <f t="shared" si="63"/>
        <v>61.357594074716751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9.4002203255254199E-2</v>
      </c>
      <c r="AD205" s="230">
        <f>(INDEX(Models!$BJ205:$BT205,,AH205)*(1-AF205)+INDEX(Models!$BJ205:$BT205,,AH205+1)*AF205-ERP_i)*AE205*Ramure*Pc/MaxiM</f>
        <v>1.8951470891296536E-4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'2022'!Wh/'2022'!Env_an*'2023'!Env_an</f>
        <v>55.50594395562856</v>
      </c>
      <c r="C206" s="829"/>
      <c r="D206" s="391">
        <f t="shared" si="50"/>
        <v>57.274937979661026</v>
      </c>
      <c r="E206" s="383">
        <f t="shared" si="75"/>
        <v>59.751427453357408</v>
      </c>
      <c r="F206" s="383">
        <f t="shared" si="51"/>
        <v>59.76247144455531</v>
      </c>
      <c r="G206" s="110">
        <f t="shared" si="76"/>
        <v>0.96733488410701884</v>
      </c>
      <c r="H206" s="412" t="b">
        <f>Wh_hp&gt;='2022'!Maxi_hp</f>
        <v>0</v>
      </c>
      <c r="I206" s="379">
        <f>IF(H206,Wh_hp,'2022'!Maxi_hp)</f>
        <v>60.983970970198122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3.0886005056184551E-2</v>
      </c>
      <c r="M206" s="832"/>
      <c r="N206" s="832"/>
      <c r="O206" s="48">
        <f>IF(t&lt;Tnet,'2022'!Resal+('2022'!Salim-'2022'!Resal)*(1-EXP(('2022'!Tnet-t)/('2022'!Tau_j))),Resal+(Salim-Resal)*(1-EXP((Tnet-t)/(Tau_j))))*Salcycl</f>
        <v>4.1446532396728963E-2</v>
      </c>
      <c r="P206" s="338">
        <f>(INDEX(Models!$BJ206:$BT206,,T206)*(1-R206)+INDEX(Models!$BJ206:$BT206,,T206+1)*R206-ERP_i)*Q206*Ramure*Pc/MaxiM</f>
        <v>1.9384116935760009E-4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57.379758376038666</v>
      </c>
      <c r="W206" s="400">
        <f t="shared" si="59"/>
        <v>55.50594395562856</v>
      </c>
      <c r="X206" s="157">
        <f t="shared" si="60"/>
        <v>45118</v>
      </c>
      <c r="Y206" s="383">
        <f t="shared" si="61"/>
        <v>52.461418610162625</v>
      </c>
      <c r="Z206" s="383">
        <f t="shared" si="62"/>
        <v>54.13338253690587</v>
      </c>
      <c r="AA206" s="384">
        <f t="shared" si="63"/>
        <v>59.751427453357408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9.4023610077550751E-2</v>
      </c>
      <c r="AD206" s="230">
        <f>(INDEX(Models!$BJ206:$BT206,,AH206)*(1-AF206)+INDEX(Models!$BJ206:$BT206,,AH206+1)*AF206-ERP_i)*AE206*Ramure*Pc/MaxiM</f>
        <v>1.9384116935760009E-4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'2022'!Wh/'2022'!Env_an*'2023'!Env_an</f>
        <v>55.265988337412921</v>
      </c>
      <c r="C207" s="829"/>
      <c r="D207" s="391">
        <f t="shared" ref="D207:D270" si="77">Wh/(1-Ppv)</f>
        <v>57.028427828012411</v>
      </c>
      <c r="E207" s="383">
        <f t="shared" si="75"/>
        <v>59.498140616013238</v>
      </c>
      <c r="F207" s="383">
        <f t="shared" ref="F207:F270" si="78">Wh_sa/(1-Pvg*MEDIAN((-Sdif+Wh/Env_an)/Csdif,0,1))</f>
        <v>59.509344398688356</v>
      </c>
      <c r="G207" s="110">
        <f t="shared" si="76"/>
        <v>0.96455612962384507</v>
      </c>
      <c r="H207" s="412" t="b">
        <f>Wh_hp&gt;='2022'!Maxi_hp</f>
        <v>0</v>
      </c>
      <c r="I207" s="379">
        <f>IF(H207,Wh_hp,'2022'!Maxi_hp)</f>
        <v>61.397076269848142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3.0904577904807273E-2</v>
      </c>
      <c r="M207" s="832"/>
      <c r="N207" s="832"/>
      <c r="O207" s="48">
        <f>IF(t&lt;Tnet,'2022'!Resal+('2022'!Salim-'2022'!Resal)*(1-EXP(('2022'!Tnet-t)/('2022'!Tau_j))),Resal+(Salim-Resal)*(1-EXP((Tnet-t)/(Tau_j))))*Salcycl</f>
        <v>4.1509075114460399E-2</v>
      </c>
      <c r="P207" s="338">
        <f>(INDEX(Models!$BJ207:$BT207,,T207)*(1-R207)+INDEX(Models!$BJ207:$BT207,,T207+1)*R207-ERP_i)*Q207*Ramure*Pc/MaxiM</f>
        <v>1.9830768890501159E-4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57.296233732992164</v>
      </c>
      <c r="W207" s="400">
        <f t="shared" ref="W207:W270" si="86">Wh*(A207&gt;Tmaj)</f>
        <v>55.265988337412921</v>
      </c>
      <c r="X207" s="157">
        <f t="shared" ref="X207:X270" si="87">t</f>
        <v>45119</v>
      </c>
      <c r="Y207" s="383">
        <f t="shared" ref="Y207:Y270" si="88">Wh_pvt_s*(1-Ppv)</f>
        <v>52.236857799366724</v>
      </c>
      <c r="Z207" s="383">
        <f t="shared" ref="Z207:Z270" si="89">Wh_sa_s*(1-Psa_s)</f>
        <v>53.902697926722411</v>
      </c>
      <c r="AA207" s="384">
        <f t="shared" ref="AA207:AA270" si="90">Wh_hp*(1-Pvg_s*MEDIAN((-Sdif+Wh/Env_an)/Csdif,0,1))</f>
        <v>59.498140616013238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9.4043992490496137E-2</v>
      </c>
      <c r="AD207" s="230">
        <f>(INDEX(Models!$BJ207:$BT207,,AH207)*(1-AF207)+INDEX(Models!$BJ207:$BT207,,AH207+1)*AF207-ERP_i)*AE207*Ramure*Pc/MaxiM</f>
        <v>1.9830768890501159E-4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'2022'!Wh/'2022'!Env_an*'2023'!Env_an</f>
        <v>54.985394934143045</v>
      </c>
      <c r="C208" s="829"/>
      <c r="D208" s="391">
        <f t="shared" si="77"/>
        <v>56.739973673601185</v>
      </c>
      <c r="E208" s="383">
        <f t="shared" si="75"/>
        <v>59.201028464873389</v>
      </c>
      <c r="F208" s="383">
        <f t="shared" si="78"/>
        <v>59.212375706185853</v>
      </c>
      <c r="G208" s="110">
        <f t="shared" si="76"/>
        <v>0.96107644124261493</v>
      </c>
      <c r="H208" s="412" t="b">
        <f>Wh_hp&gt;='2022'!Maxi_hp</f>
        <v>0</v>
      </c>
      <c r="I208" s="379">
        <f>IF(H208,Wh_hp,'2022'!Maxi_hp)</f>
        <v>59.212572300737307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3.0923150397485499E-2</v>
      </c>
      <c r="M208" s="832"/>
      <c r="N208" s="832"/>
      <c r="O208" s="48">
        <f>IF(t&lt;Tnet,'2022'!Resal+('2022'!Salim-'2022'!Resal)*(1-EXP(('2022'!Tnet-t)/('2022'!Tau_j))),Resal+(Salim-Resal)*(1-EXP((Tnet-t)/(Tau_j))))*Salcycl</f>
        <v>4.1571149270362151E-2</v>
      </c>
      <c r="P208" s="338">
        <f>(INDEX(Models!$BJ208:$BT208,,T208)*(1-R208)+INDEX(Models!$BJ208:$BT208,,T208+1)*R208-ERP_i)*Q208*Ramure*Pc/MaxiM</f>
        <v>2.0291634954765735E-4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57.211655825061769</v>
      </c>
      <c r="W208" s="400">
        <f t="shared" si="86"/>
        <v>54.985394934143045</v>
      </c>
      <c r="X208" s="157">
        <f t="shared" si="87"/>
        <v>45120</v>
      </c>
      <c r="Y208" s="383">
        <f t="shared" si="88"/>
        <v>51.973896431637705</v>
      </c>
      <c r="Z208" s="383">
        <f t="shared" si="89"/>
        <v>53.632378539386011</v>
      </c>
      <c r="AA208" s="384">
        <f t="shared" si="90"/>
        <v>59.201028464873389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9.4063398388281469E-2</v>
      </c>
      <c r="AD208" s="230">
        <f>(INDEX(Models!$BJ208:$BT208,,AH208)*(1-AF208)+INDEX(Models!$BJ208:$BT208,,AH208+1)*AF208-ERP_i)*AE208*Ramure*Pc/MaxiM</f>
        <v>2.0291634954765735E-4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'2022'!Wh/'2022'!Env_an*'2023'!Env_an</f>
        <v>54.410628768773641</v>
      </c>
      <c r="C209" s="829"/>
      <c r="D209" s="391">
        <f t="shared" si="77"/>
        <v>56.147942836900611</v>
      </c>
      <c r="E209" s="383">
        <f t="shared" si="75"/>
        <v>58.587085764714779</v>
      </c>
      <c r="F209" s="383">
        <f t="shared" si="78"/>
        <v>58.598428579022787</v>
      </c>
      <c r="G209" s="110">
        <f t="shared" si="76"/>
        <v>0.95245655383986283</v>
      </c>
      <c r="H209" s="412" t="b">
        <f>Wh_hp&gt;='2022'!Maxi_hp</f>
        <v>0</v>
      </c>
      <c r="I209" s="379">
        <f>IF(H209,Wh_hp,'2022'!Maxi_hp)</f>
        <v>61.162094530225126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3.0941722534226224E-2</v>
      </c>
      <c r="M209" s="832"/>
      <c r="N209" s="832"/>
      <c r="O209" s="48">
        <f>IF(t&lt;Tnet,'2022'!Resal+('2022'!Salim-'2022'!Resal)*(1-EXP(('2022'!Tnet-t)/('2022'!Tau_j))),Resal+(Salim-Resal)*(1-EXP((Tnet-t)/(Tau_j))))*Salcycl</f>
        <v>4.1632774458346296E-2</v>
      </c>
      <c r="P209" s="338">
        <f>(INDEX(Models!$BJ209:$BT209,,T209)*(1-R209)+INDEX(Models!$BJ209:$BT209,,T209+1)*R209-ERP_i)*Q209*Ramure*Pc/MaxiM</f>
        <v>2.0766932593471106E-4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57.125819723896839</v>
      </c>
      <c r="W209" s="400">
        <f t="shared" si="86"/>
        <v>54.410628768773641</v>
      </c>
      <c r="X209" s="157">
        <f t="shared" si="87"/>
        <v>45121</v>
      </c>
      <c r="Y209" s="383">
        <f t="shared" si="88"/>
        <v>51.43286773732914</v>
      </c>
      <c r="Z209" s="383">
        <f t="shared" si="89"/>
        <v>53.075102842971894</v>
      </c>
      <c r="AA209" s="384">
        <f t="shared" si="90"/>
        <v>58.587085764714779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9.4081875720512145E-2</v>
      </c>
      <c r="AD209" s="230">
        <f>(INDEX(Models!$BJ209:$BT209,,AH209)*(1-AF209)+INDEX(Models!$BJ209:$BT209,,AH209+1)*AF209-ERP_i)*AE209*Ramure*Pc/MaxiM</f>
        <v>2.0766932593471106E-4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'2022'!Wh/'2022'!Env_an*'2023'!Env_an</f>
        <v>52.615587163988621</v>
      </c>
      <c r="C210" s="829"/>
      <c r="D210" s="391">
        <f t="shared" si="77"/>
        <v>54.296626707155816</v>
      </c>
      <c r="E210" s="383">
        <f t="shared" si="75"/>
        <v>56.658963863240047</v>
      </c>
      <c r="F210" s="383">
        <f t="shared" si="78"/>
        <v>56.669675647350601</v>
      </c>
      <c r="G210" s="110">
        <f t="shared" si="76"/>
        <v>0.92243535491961015</v>
      </c>
      <c r="H210" s="412" t="b">
        <f>Wh_hp&gt;='2022'!Maxi_hp</f>
        <v>0</v>
      </c>
      <c r="I210" s="379">
        <f>IF(H210,Wh_hp,'2022'!Maxi_hp)</f>
        <v>62.506291921724774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3.0960294315036108E-2</v>
      </c>
      <c r="M210" s="832"/>
      <c r="N210" s="832"/>
      <c r="O210" s="48">
        <f>IF(t&lt;Tnet,'2022'!Resal+('2022'!Salim-'2022'!Resal)*(1-EXP(('2022'!Tnet-t)/('2022'!Tau_j))),Resal+(Salim-Resal)*(1-EXP((Tnet-t)/(Tau_j))))*Salcycl</f>
        <v>4.1693970291908133E-2</v>
      </c>
      <c r="P210" s="338">
        <f>(INDEX(Models!$BJ210:$BT210,,T210)*(1-R210)+INDEX(Models!$BJ210:$BT210,,T210+1)*R210-ERP_i)*Q210*Ramure*Pc/MaxiM</f>
        <v>2.1256889393379873E-4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57.038520571026723</v>
      </c>
      <c r="W210" s="400">
        <f t="shared" si="86"/>
        <v>52.615587163988621</v>
      </c>
      <c r="X210" s="157">
        <f t="shared" si="87"/>
        <v>45122</v>
      </c>
      <c r="Y210" s="383">
        <f t="shared" si="88"/>
        <v>49.738274312500096</v>
      </c>
      <c r="Z210" s="383">
        <f t="shared" si="89"/>
        <v>51.32738526678088</v>
      </c>
      <c r="AA210" s="384">
        <f t="shared" si="90"/>
        <v>56.658963863240047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9.4099472226993178E-2</v>
      </c>
      <c r="AD210" s="230">
        <f>(INDEX(Models!$BJ210:$BT210,,AH210)*(1-AF210)+INDEX(Models!$BJ210:$BT210,,AH210+1)*AF210-ERP_i)*AE210*Ramure*Pc/MaxiM</f>
        <v>2.1256889393379873E-4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'2022'!Wh/'2022'!Env_an*'2023'!Env_an</f>
        <v>54.146523039854003</v>
      </c>
      <c r="C211" s="829"/>
      <c r="D211" s="391">
        <f t="shared" si="77"/>
        <v>55.877546036391692</v>
      </c>
      <c r="E211" s="383">
        <f t="shared" si="75"/>
        <v>58.312364609352059</v>
      </c>
      <c r="F211" s="383">
        <f t="shared" si="78"/>
        <v>58.324164519199279</v>
      </c>
      <c r="G211" s="110">
        <f t="shared" si="76"/>
        <v>0.95076591374866526</v>
      </c>
      <c r="H211" s="412" t="b">
        <f>Wh_hp&gt;='2022'!Maxi_hp</f>
        <v>0</v>
      </c>
      <c r="I211" s="379">
        <f>IF(H211,Wh_hp,'2022'!Maxi_hp)</f>
        <v>60.8270261955942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3.0978865739922035E-2</v>
      </c>
      <c r="M211" s="832"/>
      <c r="N211" s="832"/>
      <c r="O211" s="48">
        <f>IF(t&lt;Tnet,'2022'!Resal+('2022'!Salim-'2022'!Resal)*(1-EXP(('2022'!Tnet-t)/('2022'!Tau_j))),Resal+(Salim-Resal)*(1-EXP((Tnet-t)/(Tau_j))))*Salcycl</f>
        <v>4.1754756290055761E-2</v>
      </c>
      <c r="P211" s="338">
        <f>(INDEX(Models!$BJ211:$BT211,,T211)*(1-R211)+INDEX(Models!$BJ211:$BT211,,T211+1)*R211-ERP_i)*Q211*Ramure*Pc/MaxiM</f>
        <v>2.1761743897760061E-4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56.949553583913037</v>
      </c>
      <c r="W211" s="400">
        <f t="shared" si="86"/>
        <v>54.146523039854003</v>
      </c>
      <c r="X211" s="157">
        <f t="shared" si="87"/>
        <v>45123</v>
      </c>
      <c r="Y211" s="383">
        <f t="shared" si="88"/>
        <v>51.187789832598561</v>
      </c>
      <c r="Z211" s="383">
        <f t="shared" si="89"/>
        <v>52.824224387721294</v>
      </c>
      <c r="AA211" s="384">
        <f t="shared" si="90"/>
        <v>58.312364609352059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9.4116235182659436E-2</v>
      </c>
      <c r="AD211" s="230">
        <f>(INDEX(Models!$BJ211:$BT211,,AH211)*(1-AF211)+INDEX(Models!$BJ211:$BT211,,AH211+1)*AF211-ERP_i)*AE211*Ramure*Pc/MaxiM</f>
        <v>2.1761743897760061E-4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'2022'!Wh/'2022'!Env_an*'2023'!Env_an</f>
        <v>53.670447696074952</v>
      </c>
      <c r="C212" s="829"/>
      <c r="D212" s="391">
        <f t="shared" si="77"/>
        <v>55.387312412598781</v>
      </c>
      <c r="E212" s="383">
        <f t="shared" si="75"/>
        <v>57.804412702595364</v>
      </c>
      <c r="F212" s="383">
        <f t="shared" si="78"/>
        <v>57.816261899737185</v>
      </c>
      <c r="G212" s="110">
        <f t="shared" si="76"/>
        <v>0.94390963990266286</v>
      </c>
      <c r="H212" s="412" t="b">
        <f>Wh_hp&gt;='2022'!Maxi_hp</f>
        <v>0</v>
      </c>
      <c r="I212" s="379">
        <f>IF(H212,Wh_hp,'2022'!Maxi_hp)</f>
        <v>61.26677577265081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3.0997436808890888E-2</v>
      </c>
      <c r="M212" s="832"/>
      <c r="N212" s="832"/>
      <c r="O212" s="48">
        <f>IF(t&lt;Tnet,'2022'!Resal+('2022'!Salim-'2022'!Resal)*(1-EXP(('2022'!Tnet-t)/('2022'!Tau_j))),Resal+(Salim-Resal)*(1-EXP((Tnet-t)/(Tau_j))))*Salcycl</f>
        <v>4.1815151767609887E-2</v>
      </c>
      <c r="P212" s="338">
        <f>(INDEX(Models!$BJ212:$BT212,,T212)*(1-R212)+INDEX(Models!$BJ212:$BT212,,T212+1)*R212-ERP_i)*Q212*Ramure*Pc/MaxiM</f>
        <v>2.2279255034496307E-4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56.858715479888502</v>
      </c>
      <c r="W212" s="400">
        <f t="shared" si="86"/>
        <v>53.670447696074952</v>
      </c>
      <c r="X212" s="157">
        <f t="shared" si="87"/>
        <v>45124</v>
      </c>
      <c r="Y212" s="383">
        <f t="shared" si="88"/>
        <v>50.740031916066506</v>
      </c>
      <c r="Z212" s="383">
        <f t="shared" si="89"/>
        <v>52.363155520425003</v>
      </c>
      <c r="AA212" s="384">
        <f t="shared" si="90"/>
        <v>57.804412702595364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9.4132211154288811E-2</v>
      </c>
      <c r="AD212" s="230">
        <f>(INDEX(Models!$BJ212:$BT212,,AH212)*(1-AF212)+INDEX(Models!$BJ212:$BT212,,AH212+1)*AF212-ERP_i)*AE212*Ramure*Pc/MaxiM</f>
        <v>2.2279255034496307E-4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'2022'!Wh/'2022'!Env_an*'2023'!Env_an</f>
        <v>54.638247051403077</v>
      </c>
      <c r="C213" s="829"/>
      <c r="D213" s="391">
        <f t="shared" si="77"/>
        <v>56.387151362194196</v>
      </c>
      <c r="E213" s="383">
        <f t="shared" si="75"/>
        <v>58.851571250323005</v>
      </c>
      <c r="F213" s="383">
        <f t="shared" si="78"/>
        <v>58.864277795267995</v>
      </c>
      <c r="G213" s="110">
        <f t="shared" si="76"/>
        <v>0.96250870815328904</v>
      </c>
      <c r="H213" s="412" t="b">
        <f>Wh_hp&gt;='2022'!Maxi_hp</f>
        <v>0</v>
      </c>
      <c r="I213" s="379">
        <f>IF(H213,Wh_hp,'2022'!Maxi_hp)</f>
        <v>58.86448423611867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3.101600752194944E-2</v>
      </c>
      <c r="M213" s="832"/>
      <c r="N213" s="832"/>
      <c r="O213" s="48">
        <f>IF(t&lt;Tnet,'2022'!Resal+('2022'!Salim-'2022'!Resal)*(1-EXP(('2022'!Tnet-t)/('2022'!Tau_j))),Resal+(Salim-Resal)*(1-EXP((Tnet-t)/(Tau_j))))*Salcycl</f>
        <v>4.1875175730593246E-2</v>
      </c>
      <c r="P213" s="338">
        <f>(INDEX(Models!$BJ213:$BT213,,T213)*(1-R213)+INDEX(Models!$BJ213:$BT213,,T213+1)*R213-ERP_i)*Q213*Ramure*Pc/MaxiM</f>
        <v>2.2807327521539116E-4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56.76580297631628</v>
      </c>
      <c r="W213" s="400">
        <f t="shared" si="86"/>
        <v>54.638247051403077</v>
      </c>
      <c r="X213" s="157">
        <f t="shared" si="87"/>
        <v>45125</v>
      </c>
      <c r="Y213" s="383">
        <f t="shared" si="88"/>
        <v>51.657356532721401</v>
      </c>
      <c r="Z213" s="383">
        <f t="shared" si="89"/>
        <v>53.310846137524344</v>
      </c>
      <c r="AA213" s="384">
        <f t="shared" si="90"/>
        <v>58.851571250323005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9.4147445770502727E-2</v>
      </c>
      <c r="AD213" s="230">
        <f>(INDEX(Models!$BJ213:$BT213,,AH213)*(1-AF213)+INDEX(Models!$BJ213:$BT213,,AH213+1)*AF213-ERP_i)*AE213*Ramure*Pc/MaxiM</f>
        <v>2.2807327521539116E-4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'2022'!Wh/'2022'!Env_an*'2023'!Env_an</f>
        <v>45.151278713478497</v>
      </c>
      <c r="C214" s="829"/>
      <c r="D214" s="391">
        <f t="shared" si="77"/>
        <v>46.597409652297259</v>
      </c>
      <c r="E214" s="383">
        <f t="shared" si="75"/>
        <v>48.63699456718394</v>
      </c>
      <c r="F214" s="383">
        <f t="shared" si="78"/>
        <v>48.645053527299908</v>
      </c>
      <c r="G214" s="110">
        <f t="shared" si="76"/>
        <v>0.79667778423528113</v>
      </c>
      <c r="H214" s="412" t="b">
        <f>Wh_hp&gt;='2022'!Maxi_hp</f>
        <v>0</v>
      </c>
      <c r="I214" s="379">
        <f>IF(H214,Wh_hp,'2022'!Maxi_hp)</f>
        <v>60.996282625351171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3.1034577879104575E-2</v>
      </c>
      <c r="M214" s="832"/>
      <c r="N214" s="832"/>
      <c r="O214" s="48">
        <f>IF(t&lt;Tnet,'2022'!Resal+('2022'!Salim-'2022'!Resal)*(1-EXP(('2022'!Tnet-t)/('2022'!Tau_j))),Resal+(Salim-Resal)*(1-EXP((Tnet-t)/(Tau_j))))*Salcycl</f>
        <v>4.1934846777370867E-2</v>
      </c>
      <c r="P214" s="338">
        <f>(INDEX(Models!$BJ214:$BT214,,T214)*(1-R214)+INDEX(Models!$BJ214:$BT214,,T214+1)*R214-ERP_i)*Q214*Ramure*Pc/MaxiM</f>
        <v>2.33462102050491E-4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56.670611555163795</v>
      </c>
      <c r="W214" s="400">
        <f t="shared" si="86"/>
        <v>45.151278713478497</v>
      </c>
      <c r="X214" s="157">
        <f t="shared" si="87"/>
        <v>45126</v>
      </c>
      <c r="Y214" s="383">
        <f t="shared" si="88"/>
        <v>42.689940881778867</v>
      </c>
      <c r="Z214" s="383">
        <f t="shared" si="89"/>
        <v>44.05723868694723</v>
      </c>
      <c r="AA214" s="384">
        <f t="shared" si="90"/>
        <v>48.63699456718394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9.4161983506413763E-2</v>
      </c>
      <c r="AD214" s="230">
        <f>(INDEX(Models!$BJ214:$BT214,,AH214)*(1-AF214)+INDEX(Models!$BJ214:$BT214,,AH214+1)*AF214-ERP_i)*AE214*Ramure*Pc/MaxiM</f>
        <v>2.33462102050491E-4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'2022'!Wh/'2022'!Env_an*'2023'!Env_an</f>
        <v>44.710834548891519</v>
      </c>
      <c r="C215" s="829"/>
      <c r="D215" s="391">
        <f t="shared" si="77"/>
        <v>46.143743024793913</v>
      </c>
      <c r="E215" s="383">
        <f t="shared" si="75"/>
        <v>48.166453904830071</v>
      </c>
      <c r="F215" s="383">
        <f t="shared" si="78"/>
        <v>48.174517503645788</v>
      </c>
      <c r="G215" s="110">
        <f t="shared" si="76"/>
        <v>0.79026538496812149</v>
      </c>
      <c r="H215" s="412" t="b">
        <f>Wh_hp&gt;='2022'!Maxi_hp</f>
        <v>0</v>
      </c>
      <c r="I215" s="379">
        <f>IF(H215,Wh_hp,'2022'!Maxi_hp)</f>
        <v>59.776097909915435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3.1053147880362952E-2</v>
      </c>
      <c r="M215" s="832"/>
      <c r="N215" s="832"/>
      <c r="O215" s="48">
        <f>IF(t&lt;Tnet,'2022'!Resal+('2022'!Salim-'2022'!Resal)*(1-EXP(('2022'!Tnet-t)/('2022'!Tau_j))),Resal+(Salim-Resal)*(1-EXP((Tnet-t)/(Tau_j))))*Salcycl</f>
        <v>4.1994183006138316E-2</v>
      </c>
      <c r="P215" s="338">
        <f>(INDEX(Models!$BJ215:$BT215,,T215)*(1-R215)+INDEX(Models!$BJ215:$BT215,,T215+1)*R215-ERP_i)*Q215*Ramure*Pc/MaxiM</f>
        <v>2.389616621012998E-4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56.572936794519187</v>
      </c>
      <c r="W215" s="400">
        <f t="shared" si="86"/>
        <v>44.710834548891519</v>
      </c>
      <c r="X215" s="157">
        <f t="shared" si="87"/>
        <v>45127</v>
      </c>
      <c r="Y215" s="383">
        <f t="shared" si="88"/>
        <v>42.275477038747532</v>
      </c>
      <c r="Z215" s="383">
        <f t="shared" si="89"/>
        <v>43.630336324708679</v>
      </c>
      <c r="AA215" s="384">
        <f t="shared" si="90"/>
        <v>48.166453904830071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9.4175867484122905E-2</v>
      </c>
      <c r="AD215" s="230">
        <f>(INDEX(Models!$BJ215:$BT215,,AH215)*(1-AF215)+INDEX(Models!$BJ215:$BT215,,AH215+1)*AF215-ERP_i)*AE215*Ramure*Pc/MaxiM</f>
        <v>2.389616621012998E-4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'2022'!Wh/'2022'!Env_an*'2023'!Env_an</f>
        <v>52.874179488812771</v>
      </c>
      <c r="C216" s="829"/>
      <c r="D216" s="391">
        <f t="shared" si="77"/>
        <v>54.5697555177072</v>
      </c>
      <c r="E216" s="383">
        <f t="shared" si="75"/>
        <v>56.965330045060547</v>
      </c>
      <c r="F216" s="383">
        <f t="shared" si="78"/>
        <v>56.977996919067927</v>
      </c>
      <c r="G216" s="110">
        <f t="shared" si="76"/>
        <v>0.93625981592414231</v>
      </c>
      <c r="H216" s="412" t="b">
        <f>Wh_hp&gt;='2022'!Maxi_hp</f>
        <v>0</v>
      </c>
      <c r="I216" s="379">
        <f>IF(H216,Wh_hp,'2022'!Maxi_hp)</f>
        <v>56.978356977824554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3.1071717525731568E-2</v>
      </c>
      <c r="M216" s="832"/>
      <c r="N216" s="832"/>
      <c r="O216" s="48">
        <f>IF(t&lt;Tnet,'2022'!Resal+('2022'!Salim-'2022'!Resal)*(1-EXP(('2022'!Tnet-t)/('2022'!Tau_j))),Resal+(Salim-Resal)*(1-EXP((Tnet-t)/(Tau_j))))*Salcycl</f>
        <v>4.205320192928582E-2</v>
      </c>
      <c r="P216" s="338">
        <f>(INDEX(Models!$BJ216:$BT216,,T216)*(1-R216)+INDEX(Models!$BJ216:$BT216,,T216+1)*R216-ERP_i)*Q216*Ramure*Pc/MaxiM</f>
        <v>2.4457473244790046E-4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56.472574371940858</v>
      </c>
      <c r="W216" s="400">
        <f t="shared" si="86"/>
        <v>52.874179488812771</v>
      </c>
      <c r="X216" s="157">
        <f t="shared" si="87"/>
        <v>45128</v>
      </c>
      <c r="Y216" s="383">
        <f t="shared" si="88"/>
        <v>49.996519773904652</v>
      </c>
      <c r="Z216" s="383">
        <f t="shared" si="89"/>
        <v>51.59981463873968</v>
      </c>
      <c r="AA216" s="384">
        <f t="shared" si="90"/>
        <v>56.965330045060547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9.4189139290102364E-2</v>
      </c>
      <c r="AD216" s="230">
        <f>(INDEX(Models!$BJ216:$BT216,,AH216)*(1-AF216)+INDEX(Models!$BJ216:$BT216,,AH216+1)*AF216-ERP_i)*AE216*Ramure*Pc/MaxiM</f>
        <v>2.4457473244790046E-4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'2022'!Wh/'2022'!Env_an*'2023'!Env_an</f>
        <v>42.692715198769584</v>
      </c>
      <c r="C217" s="829"/>
      <c r="D217" s="391">
        <f t="shared" si="77"/>
        <v>44.062635163847887</v>
      </c>
      <c r="E217" s="383">
        <f t="shared" si="75"/>
        <v>45.999773984056723</v>
      </c>
      <c r="F217" s="383">
        <f t="shared" si="78"/>
        <v>46.007298340176362</v>
      </c>
      <c r="G217" s="110">
        <f t="shared" si="76"/>
        <v>0.75730930648035133</v>
      </c>
      <c r="H217" s="412" t="b">
        <f>Wh_hp&gt;='2022'!Maxi_hp</f>
        <v>0</v>
      </c>
      <c r="I217" s="379">
        <f>IF(H217,Wh_hp,'2022'!Maxi_hp)</f>
        <v>55.348148280408218</v>
      </c>
      <c r="J217" s="85">
        <f>IF(H217,An,'2022'!An_max)</f>
        <v>2020</v>
      </c>
      <c r="K217" s="197">
        <f t="shared" si="79"/>
        <v>45129</v>
      </c>
      <c r="L217" s="147">
        <f>IF(t&lt;Tvie,1-EXP((T0-t)*PertePVj)+'2022'!Pspv,1-EXP((T0-t)*PertePVj)+Pspv)</f>
        <v>3.1090286815217083E-2</v>
      </c>
      <c r="M217" s="832"/>
      <c r="N217" s="832"/>
      <c r="O217" s="48">
        <f>IF(t&lt;Tnet,'2022'!Resal+('2022'!Salim-'2022'!Resal)*(1-EXP(('2022'!Tnet-t)/('2022'!Tau_j))),Resal+(Salim-Resal)*(1-EXP((Tnet-t)/(Tau_j))))*Salcycl</f>
        <v>4.2111920395092386E-2</v>
      </c>
      <c r="P217" s="338">
        <f>(INDEX(Models!$BJ217:$BT217,,T217)*(1-R217)+INDEX(Models!$BJ217:$BT217,,T217+1)*R217-ERP_i)*Q217*Ramure*Pc/MaxiM</f>
        <v>2.5030423902239614E-4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56.369320073027708</v>
      </c>
      <c r="W217" s="400">
        <f t="shared" si="86"/>
        <v>42.692715198769584</v>
      </c>
      <c r="X217" s="157">
        <f t="shared" si="87"/>
        <v>45129</v>
      </c>
      <c r="Y217" s="383">
        <f t="shared" si="88"/>
        <v>40.371086921960959</v>
      </c>
      <c r="Z217" s="383">
        <f t="shared" si="89"/>
        <v>41.666510689899233</v>
      </c>
      <c r="AA217" s="384">
        <f t="shared" si="90"/>
        <v>45.999773984056723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9.4201838810324928E-2</v>
      </c>
      <c r="AD217" s="230">
        <f>(INDEX(Models!$BJ217:$BT217,,AH217)*(1-AF217)+INDEX(Models!$BJ217:$BT217,,AH217+1)*AF217-ERP_i)*AE217*Ramure*Pc/MaxiM</f>
        <v>2.5030423902239614E-4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'2022'!Wh/'2022'!Env_an*'2023'!Env_an</f>
        <v>49.059060398451834</v>
      </c>
      <c r="C218" s="829"/>
      <c r="D218" s="391">
        <f t="shared" si="77"/>
        <v>50.634233463211274</v>
      </c>
      <c r="E218" s="383">
        <f t="shared" si="75"/>
        <v>52.863506263355319</v>
      </c>
      <c r="F218" s="383">
        <f t="shared" si="78"/>
        <v>52.874572867961362</v>
      </c>
      <c r="G218" s="110">
        <f t="shared" si="76"/>
        <v>0.87191915893029592</v>
      </c>
      <c r="H218" s="412" t="b">
        <f>Wh_hp&gt;='2022'!Maxi_hp</f>
        <v>0</v>
      </c>
      <c r="I218" s="379">
        <f>IF(H218,Wh_hp,'2022'!Maxi_hp)</f>
        <v>56.109961045476417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3.1108855748826381E-2</v>
      </c>
      <c r="M218" s="832"/>
      <c r="N218" s="832"/>
      <c r="O218" s="48">
        <f>IF(t&lt;Tnet,'2022'!Resal+('2022'!Salim-'2022'!Resal)*(1-EXP(('2022'!Tnet-t)/('2022'!Tau_j))),Resal+(Salim-Resal)*(1-EXP((Tnet-t)/(Tau_j))))*Salcycl</f>
        <v>4.2170354517126821E-2</v>
      </c>
      <c r="P218" s="338">
        <f>(INDEX(Models!$BJ218:$BT218,,T218)*(1-R218)+INDEX(Models!$BJ218:$BT218,,T218+1)*R218-ERP_i)*Q218*Ramure*Pc/MaxiM</f>
        <v>2.5615325974187255E-4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56.262969792040209</v>
      </c>
      <c r="W218" s="400">
        <f t="shared" si="86"/>
        <v>49.059060398451834</v>
      </c>
      <c r="X218" s="157">
        <f t="shared" si="87"/>
        <v>45130</v>
      </c>
      <c r="Y218" s="383">
        <f t="shared" si="88"/>
        <v>46.393437592257385</v>
      </c>
      <c r="Z218" s="383">
        <f t="shared" si="89"/>
        <v>47.883023668374484</v>
      </c>
      <c r="AA218" s="384">
        <f t="shared" si="90"/>
        <v>52.863506263355319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9.4214004083820677E-2</v>
      </c>
      <c r="AD218" s="230">
        <f>(INDEX(Models!$BJ218:$BT218,,AH218)*(1-AF218)+INDEX(Models!$BJ218:$BT218,,AH218+1)*AF218-ERP_i)*AE218*Ramure*Pc/MaxiM</f>
        <v>2.5615325974187255E-4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'2022'!Wh/'2022'!Env_an*'2023'!Env_an</f>
        <v>53.109561704259079</v>
      </c>
      <c r="C219" s="829"/>
      <c r="D219" s="391">
        <f t="shared" si="77"/>
        <v>54.815837539156533</v>
      </c>
      <c r="E219" s="383">
        <f t="shared" si="75"/>
        <v>57.232689280881843</v>
      </c>
      <c r="F219" s="383">
        <f t="shared" si="78"/>
        <v>57.246532729741716</v>
      </c>
      <c r="G219" s="110">
        <f t="shared" si="76"/>
        <v>0.94576780193774257</v>
      </c>
      <c r="H219" s="412" t="b">
        <f>Wh_hp&gt;='2022'!Maxi_hp</f>
        <v>0</v>
      </c>
      <c r="I219" s="379">
        <f>IF(H219,Wh_hp,'2022'!Maxi_hp)</f>
        <v>57.246859486598268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3.1127424326566455E-2</v>
      </c>
      <c r="M219" s="832"/>
      <c r="N219" s="832"/>
      <c r="O219" s="48">
        <f>IF(t&lt;Tnet,'2022'!Resal+('2022'!Salim-'2022'!Resal)*(1-EXP(('2022'!Tnet-t)/('2022'!Tau_j))),Resal+(Salim-Resal)*(1-EXP((Tnet-t)/(Tau_j))))*Salcycl</f>
        <v>4.2228519611652138E-2</v>
      </c>
      <c r="P219" s="338">
        <f>(INDEX(Models!$BJ219:$BT219,,T219)*(1-R219)+INDEX(Models!$BJ219:$BT219,,T219+1)*R219-ERP_i)*Q219*Ramure*Pc/MaxiM</f>
        <v>2.6212222771955268E-4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56.153828855127934</v>
      </c>
      <c r="W219" s="400">
        <f t="shared" si="86"/>
        <v>53.109561704259079</v>
      </c>
      <c r="X219" s="157">
        <f t="shared" si="87"/>
        <v>45131</v>
      </c>
      <c r="Y219" s="383">
        <f t="shared" si="88"/>
        <v>50.226258133465876</v>
      </c>
      <c r="Z219" s="383">
        <f t="shared" si="89"/>
        <v>51.839900720231604</v>
      </c>
      <c r="AA219" s="384">
        <f t="shared" si="90"/>
        <v>57.232689280881843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9.422567117515579E-2</v>
      </c>
      <c r="AD219" s="230">
        <f>(INDEX(Models!$BJ219:$BT219,,AH219)*(1-AF219)+INDEX(Models!$BJ219:$BT219,,AH219+1)*AF219-ERP_i)*AE219*Ramure*Pc/MaxiM</f>
        <v>2.6212222771955268E-4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'2022'!Wh/'2022'!Env_an*'2023'!Env_an</f>
        <v>27.064893226186356</v>
      </c>
      <c r="C220" s="829"/>
      <c r="D220" s="391">
        <f t="shared" si="77"/>
        <v>27.934955130522731</v>
      </c>
      <c r="E220" s="383">
        <f t="shared" si="75"/>
        <v>29.168381872986334</v>
      </c>
      <c r="F220" s="383">
        <f t="shared" si="78"/>
        <v>29.170426306402469</v>
      </c>
      <c r="G220" s="110">
        <f t="shared" si="76"/>
        <v>0.48284085601406362</v>
      </c>
      <c r="H220" s="412" t="b">
        <f>Wh_hp&gt;='2022'!Maxi_hp</f>
        <v>0</v>
      </c>
      <c r="I220" s="379">
        <f>IF(H220,Wh_hp,'2022'!Maxi_hp)</f>
        <v>59.315557328001788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3.1145992548443857E-2</v>
      </c>
      <c r="M220" s="832"/>
      <c r="N220" s="832"/>
      <c r="O220" s="48">
        <f>IF(t&lt;Tnet,'2022'!Resal+('2022'!Salim-'2022'!Resal)*(1-EXP(('2022'!Tnet-t)/('2022'!Tau_j))),Resal+(Salim-Resal)*(1-EXP((Tnet-t)/(Tau_j))))*Salcycl</f>
        <v>4.2286430143247504E-2</v>
      </c>
      <c r="P220" s="338">
        <f>(INDEX(Models!$BJ220:$BT220,,T220)*(1-R220)+INDEX(Models!$BJ220:$BT220,,T220+1)*R220-ERP_i)*Q220*Ramure*Pc/MaxiM</f>
        <v>2.6818087144184438E-4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56.042340021766591</v>
      </c>
      <c r="W220" s="400">
        <f t="shared" si="86"/>
        <v>27.064893226186356</v>
      </c>
      <c r="X220" s="157">
        <f t="shared" si="87"/>
        <v>45132</v>
      </c>
      <c r="Y220" s="383">
        <f t="shared" si="88"/>
        <v>25.596778685388525</v>
      </c>
      <c r="Z220" s="383">
        <f t="shared" si="89"/>
        <v>26.419644743708606</v>
      </c>
      <c r="AA220" s="384">
        <f t="shared" si="90"/>
        <v>29.168381872986334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9.4236874066141285E-2</v>
      </c>
      <c r="AD220" s="230">
        <f>(INDEX(Models!$BJ220:$BT220,,AH220)*(1-AF220)+INDEX(Models!$BJ220:$BT220,,AH220+1)*AF220-ERP_i)*AE220*Ramure*Pc/MaxiM</f>
        <v>2.6818087144184438E-4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'2022'!Wh/'2022'!Env_an*'2023'!Env_an</f>
        <v>57.394619974916559</v>
      </c>
      <c r="C221" s="829"/>
      <c r="D221" s="391">
        <f t="shared" si="77"/>
        <v>59.240834542004208</v>
      </c>
      <c r="E221" s="383">
        <f t="shared" si="75"/>
        <v>61.86025118430679</v>
      </c>
      <c r="F221" s="383">
        <f t="shared" si="78"/>
        <v>61.877218642952457</v>
      </c>
      <c r="G221" s="110">
        <f t="shared" si="76"/>
        <v>1.026214007121929</v>
      </c>
      <c r="H221" s="412" t="b">
        <f>Wh_hp&gt;='2022'!Maxi_hp</f>
        <v>1</v>
      </c>
      <c r="I221" s="379">
        <f>IF(H221,Wh_hp,'2022'!Maxi_hp)</f>
        <v>61.877218642952457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3.1164560414465581E-2</v>
      </c>
      <c r="M221" s="832"/>
      <c r="N221" s="832"/>
      <c r="O221" s="48">
        <f>IF(t&lt;Tnet,'2022'!Resal+('2022'!Salim-'2022'!Resal)*(1-EXP(('2022'!Tnet-t)/('2022'!Tau_j))),Resal+(Salim-Resal)*(1-EXP((Tnet-t)/(Tau_j))))*Salcycl</f>
        <v>4.2344099678778835E-2</v>
      </c>
      <c r="P221" s="338">
        <f>(INDEX(Models!$BJ221:$BT221,,T221)*(1-R221)+INDEX(Models!$BJ221:$BT221,,T221+1)*R221-ERP_i)*Q221*Ramure*Pc/MaxiM</f>
        <v>2.7421172149925065E-4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55.928509625280576</v>
      </c>
      <c r="W221" s="400">
        <f t="shared" si="86"/>
        <v>57.394619974916559</v>
      </c>
      <c r="X221" s="157">
        <f t="shared" si="87"/>
        <v>45133</v>
      </c>
      <c r="Y221" s="383">
        <f t="shared" si="88"/>
        <v>54.283915771867193</v>
      </c>
      <c r="Z221" s="383">
        <f t="shared" si="89"/>
        <v>56.030068217869619</v>
      </c>
      <c r="AA221" s="384">
        <f t="shared" si="90"/>
        <v>61.86025118430679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9.4247644566891359E-2</v>
      </c>
      <c r="AD221" s="230">
        <f>(INDEX(Models!$BJ221:$BT221,,AH221)*(1-AF221)+INDEX(Models!$BJ221:$BT221,,AH221+1)*AF221-ERP_i)*AE221*Ramure*Pc/MaxiM</f>
        <v>2.7421172149925065E-4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'2022'!Wh/'2022'!Env_an*'2023'!Env_an</f>
        <v>57.434476079905004</v>
      </c>
      <c r="C222" s="829"/>
      <c r="D222" s="391">
        <f t="shared" si="77"/>
        <v>59.283108846846474</v>
      </c>
      <c r="E222" s="383">
        <f t="shared" si="75"/>
        <v>61.90810801789906</v>
      </c>
      <c r="F222" s="383">
        <f t="shared" si="78"/>
        <v>61.925460480563913</v>
      </c>
      <c r="G222" s="110">
        <f t="shared" si="76"/>
        <v>1.0290641592934004</v>
      </c>
      <c r="H222" s="412" t="b">
        <f>Wh_hp&gt;='2022'!Maxi_hp</f>
        <v>1</v>
      </c>
      <c r="I222" s="379">
        <f>IF(H222,Wh_hp,'2022'!Maxi_hp)</f>
        <v>61.925460480563913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3.1183127924638288E-2</v>
      </c>
      <c r="M222" s="832"/>
      <c r="N222" s="832"/>
      <c r="O222" s="48">
        <f>IF(t&lt;Tnet,'2022'!Resal+('2022'!Salim-'2022'!Resal)*(1-EXP(('2022'!Tnet-t)/('2022'!Tau_j))),Resal+(Salim-Resal)*(1-EXP((Tnet-t)/(Tau_j))))*Salcycl</f>
        <v>4.2401540849764559E-2</v>
      </c>
      <c r="P222" s="338">
        <f>(INDEX(Models!$BJ222:$BT222,,T222)*(1-R222)+INDEX(Models!$BJ222:$BT222,,T222+1)*R222-ERP_i)*Q222*Ramure*Pc/MaxiM</f>
        <v>2.8021531903344701E-4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55.812337414745826</v>
      </c>
      <c r="W222" s="400">
        <f t="shared" si="86"/>
        <v>57.434476079905004</v>
      </c>
      <c r="X222" s="157">
        <f t="shared" si="87"/>
        <v>45134</v>
      </c>
      <c r="Y222" s="383">
        <f t="shared" si="88"/>
        <v>54.324248366456374</v>
      </c>
      <c r="Z222" s="383">
        <f t="shared" si="89"/>
        <v>56.072772814211099</v>
      </c>
      <c r="AA222" s="384">
        <f t="shared" si="90"/>
        <v>61.90810801789906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9.4258012246163772E-2</v>
      </c>
      <c r="AD222" s="230">
        <f>(INDEX(Models!$BJ222:$BT222,,AH222)*(1-AF222)+INDEX(Models!$BJ222:$BT222,,AH222+1)*AF222-ERP_i)*AE222*Ramure*Pc/MaxiM</f>
        <v>2.8021531903344701E-4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'2022'!Wh/'2022'!Env_an*'2023'!Env_an</f>
        <v>44.78077371698101</v>
      </c>
      <c r="C223" s="829"/>
      <c r="D223" s="391">
        <f t="shared" si="77"/>
        <v>46.223009980009401</v>
      </c>
      <c r="E223" s="383">
        <f t="shared" si="75"/>
        <v>48.272605195541601</v>
      </c>
      <c r="F223" s="383">
        <f t="shared" si="78"/>
        <v>48.282555263669607</v>
      </c>
      <c r="G223" s="110">
        <f t="shared" si="76"/>
        <v>0.80398835850761163</v>
      </c>
      <c r="H223" s="412" t="b">
        <f>Wh_hp&gt;='2022'!Maxi_hp</f>
        <v>0</v>
      </c>
      <c r="I223" s="379">
        <f>IF(H223,Wh_hp,'2022'!Maxi_hp)</f>
        <v>56.218409152668862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3.1201695078968972E-2</v>
      </c>
      <c r="M223" s="832"/>
      <c r="N223" s="832"/>
      <c r="O223" s="48">
        <f>IF(t&lt;Tnet,'2022'!Resal+('2022'!Salim-'2022'!Resal)*(1-EXP(('2022'!Tnet-t)/('2022'!Tau_j))),Resal+(Salim-Resal)*(1-EXP((Tnet-t)/(Tau_j))))*Salcycl</f>
        <v>4.2458765323100861E-2</v>
      </c>
      <c r="P223" s="338">
        <f>(INDEX(Models!$BJ223:$BT223,,T223)*(1-R223)+INDEX(Models!$BJ223:$BT223,,T223+1)*R223-ERP_i)*Q223*Ramure*Pc/MaxiM</f>
        <v>2.8619222322481905E-4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55.693823194775412</v>
      </c>
      <c r="W223" s="400">
        <f t="shared" si="86"/>
        <v>44.78077371698101</v>
      </c>
      <c r="X223" s="157">
        <f t="shared" si="87"/>
        <v>45135</v>
      </c>
      <c r="Y223" s="383">
        <f t="shared" si="88"/>
        <v>42.357841182413331</v>
      </c>
      <c r="Z223" s="383">
        <f t="shared" si="89"/>
        <v>43.722043037498928</v>
      </c>
      <c r="AA223" s="384">
        <f t="shared" si="90"/>
        <v>48.272605195541601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9.426800438073224E-2</v>
      </c>
      <c r="AD223" s="230">
        <f>(INDEX(Models!$BJ223:$BT223,,AH223)*(1-AF223)+INDEX(Models!$BJ223:$BT223,,AH223+1)*AF223-ERP_i)*AE223*Ramure*Pc/MaxiM</f>
        <v>2.8619222322481905E-4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'2022'!Wh/'2022'!Env_an*'2023'!Env_an</f>
        <v>31.984279247908873</v>
      </c>
      <c r="C224" s="829"/>
      <c r="D224" s="391">
        <f t="shared" si="77"/>
        <v>33.015016715660664</v>
      </c>
      <c r="E224" s="383">
        <f t="shared" si="75"/>
        <v>34.481003609646784</v>
      </c>
      <c r="F224" s="383">
        <f t="shared" si="78"/>
        <v>34.484969189197521</v>
      </c>
      <c r="G224" s="110">
        <f t="shared" si="76"/>
        <v>0.57543468435973433</v>
      </c>
      <c r="H224" s="412" t="b">
        <f>Wh_hp&gt;='2022'!Maxi_hp</f>
        <v>0</v>
      </c>
      <c r="I224" s="379">
        <f>IF(H224,Wh_hp,'2022'!Maxi_hp)</f>
        <v>59.204840320642759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3.1220261877464406E-2</v>
      </c>
      <c r="M224" s="832"/>
      <c r="N224" s="832"/>
      <c r="O224" s="48">
        <f>IF(t&lt;Tnet,'2022'!Resal+('2022'!Salim-'2022'!Resal)*(1-EXP(('2022'!Tnet-t)/('2022'!Tau_j))),Resal+(Salim-Resal)*(1-EXP((Tnet-t)/(Tau_j))))*Salcycl</f>
        <v>4.2515783780028335E-2</v>
      </c>
      <c r="P224" s="338">
        <f>(INDEX(Models!$BJ224:$BT224,,T224)*(1-R224)+INDEX(Models!$BJ224:$BT224,,T224+1)*R224-ERP_i)*Q224*Ramure*Pc/MaxiM</f>
        <v>2.9214300201576611E-4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55.572966830505358</v>
      </c>
      <c r="W224" s="400">
        <f t="shared" si="86"/>
        <v>31.984279247908873</v>
      </c>
      <c r="X224" s="157">
        <f t="shared" si="87"/>
        <v>45136</v>
      </c>
      <c r="Y224" s="383">
        <f t="shared" si="88"/>
        <v>30.255200245729469</v>
      </c>
      <c r="Z224" s="383">
        <f t="shared" si="89"/>
        <v>31.230215760254325</v>
      </c>
      <c r="AA224" s="384">
        <f t="shared" si="90"/>
        <v>34.481003609646784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9.4277645923362435E-2</v>
      </c>
      <c r="AD224" s="230">
        <f>(INDEX(Models!$BJ224:$BT224,,AH224)*(1-AF224)+INDEX(Models!$BJ224:$BT224,,AH224+1)*AF224-ERP_i)*AE224*Ramure*Pc/MaxiM</f>
        <v>2.9214300201576611E-4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'2022'!Wh/'2022'!Env_an*'2023'!Env_an</f>
        <v>49.468552482594902</v>
      </c>
      <c r="C225" s="829"/>
      <c r="D225" s="391">
        <f t="shared" si="77"/>
        <v>51.06372337034788</v>
      </c>
      <c r="E225" s="383">
        <f t="shared" si="75"/>
        <v>53.33430366123622</v>
      </c>
      <c r="F225" s="383">
        <f t="shared" si="78"/>
        <v>53.347754607652178</v>
      </c>
      <c r="G225" s="110">
        <f t="shared" si="76"/>
        <v>0.8920917314240695</v>
      </c>
      <c r="H225" s="412" t="b">
        <f>Wh_hp&gt;='2022'!Maxi_hp</f>
        <v>0</v>
      </c>
      <c r="I225" s="379">
        <f>IF(H225,Wh_hp,'2022'!Maxi_hp)</f>
        <v>53.348435713615878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3.1238828320131362E-2</v>
      </c>
      <c r="M225" s="832"/>
      <c r="N225" s="832"/>
      <c r="O225" s="48">
        <f>IF(t&lt;Tnet,'2022'!Resal+('2022'!Salim-'2022'!Resal)*(1-EXP(('2022'!Tnet-t)/('2022'!Tau_j))),Resal+(Salim-Resal)*(1-EXP((Tnet-t)/(Tau_j))))*Salcycl</f>
        <v>4.2572605903142491E-2</v>
      </c>
      <c r="P225" s="338">
        <f>(INDEX(Models!$BJ225:$BT225,,T225)*(1-R225)+INDEX(Models!$BJ225:$BT225,,T225+1)*R225-ERP_i)*Q225*Ramure*Pc/MaxiM</f>
        <v>2.9806822339429348E-4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55.449768246151223</v>
      </c>
      <c r="W225" s="400">
        <f t="shared" si="86"/>
        <v>49.468552482594902</v>
      </c>
      <c r="X225" s="157">
        <f t="shared" si="87"/>
        <v>45137</v>
      </c>
      <c r="Y225" s="383">
        <f t="shared" si="88"/>
        <v>46.796564789085927</v>
      </c>
      <c r="Z225" s="383">
        <f t="shared" si="89"/>
        <v>48.305574332566309</v>
      </c>
      <c r="AA225" s="384">
        <f t="shared" si="90"/>
        <v>53.33430366123622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9.428695948879201E-2</v>
      </c>
      <c r="AD225" s="230">
        <f>(INDEX(Models!$BJ225:$BT225,,AH225)*(1-AF225)+INDEX(Models!$BJ225:$BT225,,AH225+1)*AF225-ERP_i)*AE225*Ramure*Pc/MaxiM</f>
        <v>2.9806822339429348E-4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'2022'!Wh/'2022'!Env_an*'2023'!Env_an</f>
        <v>54.927118353357052</v>
      </c>
      <c r="C226" s="829"/>
      <c r="D226" s="391">
        <f t="shared" si="77"/>
        <v>56.699393663741034</v>
      </c>
      <c r="E226" s="383">
        <f t="shared" si="75"/>
        <v>59.224070814240797</v>
      </c>
      <c r="F226" s="383">
        <f t="shared" si="78"/>
        <v>59.241906186288794</v>
      </c>
      <c r="G226" s="110">
        <f t="shared" si="76"/>
        <v>0.99281926040018298</v>
      </c>
      <c r="H226" s="412" t="b">
        <f>Wh_hp&gt;='2022'!Maxi_hp</f>
        <v>0</v>
      </c>
      <c r="I226" s="379">
        <f>IF(H226,Wh_hp,'2022'!Maxi_hp)</f>
        <v>59.241957497118648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3.1257394406976613E-2</v>
      </c>
      <c r="M226" s="832"/>
      <c r="N226" s="832"/>
      <c r="O226" s="48">
        <f>IF(t&lt;Tnet,'2022'!Resal+('2022'!Salim-'2022'!Resal)*(1-EXP(('2022'!Tnet-t)/('2022'!Tau_j))),Resal+(Salim-Resal)*(1-EXP((Tnet-t)/(Tau_j))))*Salcycl</f>
        <v>4.2629240371174999E-2</v>
      </c>
      <c r="P226" s="338">
        <f>(INDEX(Models!$BJ226:$BT226,,T226)*(1-R226)+INDEX(Models!$BJ226:$BT226,,T226+1)*R226-ERP_i)*Q226*Ramure*Pc/MaxiM</f>
        <v>3.0417904698463408E-4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55.324215772021837</v>
      </c>
      <c r="W226" s="400">
        <f t="shared" si="86"/>
        <v>54.927118353357052</v>
      </c>
      <c r="X226" s="157">
        <f t="shared" si="87"/>
        <v>45138</v>
      </c>
      <c r="Y226" s="383">
        <f t="shared" si="88"/>
        <v>51.962849505910249</v>
      </c>
      <c r="Z226" s="383">
        <f t="shared" si="89"/>
        <v>53.639479884443382</v>
      </c>
      <c r="AA226" s="384">
        <f t="shared" si="90"/>
        <v>59.224070814240797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9.4295965356953587E-2</v>
      </c>
      <c r="AD226" s="230">
        <f>(INDEX(Models!$BJ226:$BT226,,AH226)*(1-AF226)+INDEX(Models!$BJ226:$BT226,,AH226+1)*AF226-ERP_i)*AE226*Ramure*Pc/MaxiM</f>
        <v>3.0417904698463408E-4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'2022'!Wh/'2022'!Env_an*'2023'!Env_an</f>
        <v>54.5555334802674</v>
      </c>
      <c r="C227" s="829"/>
      <c r="D227" s="391">
        <f t="shared" si="77"/>
        <v>56.316898554555884</v>
      </c>
      <c r="E227" s="383">
        <f t="shared" si="75"/>
        <v>58.828013174200414</v>
      </c>
      <c r="F227" s="383">
        <f t="shared" si="78"/>
        <v>58.845982010807795</v>
      </c>
      <c r="G227" s="110">
        <f t="shared" si="76"/>
        <v>0.98838589761527007</v>
      </c>
      <c r="H227" s="412" t="b">
        <f>Wh_hp&gt;='2022'!Maxi_hp</f>
        <v>0</v>
      </c>
      <c r="I227" s="379">
        <f>IF(H227,Wh_hp,'2022'!Maxi_hp)</f>
        <v>58.846066079470248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3.1275960138007153E-2</v>
      </c>
      <c r="M227" s="832"/>
      <c r="N227" s="832"/>
      <c r="O227" s="48">
        <f>IF(t&lt;Tnet,'2022'!Resal+('2022'!Salim-'2022'!Resal)*(1-EXP(('2022'!Tnet-t)/('2022'!Tau_j))),Resal+(Salim-Resal)*(1-EXP((Tnet-t)/(Tau_j))))*Salcycl</f>
        <v>4.2685694861199386E-2</v>
      </c>
      <c r="P227" s="338">
        <f>(INDEX(Models!$BJ227:$BT227,,T227)*(1-R227)+INDEX(Models!$BJ227:$BT227,,T227+1)*R227-ERP_i)*Q227*Ramure*Pc/MaxiM</f>
        <v>3.1050314847305238E-4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55.196308034719536</v>
      </c>
      <c r="W227" s="400">
        <f t="shared" si="86"/>
        <v>54.5555334802674</v>
      </c>
      <c r="X227" s="157">
        <f t="shared" si="87"/>
        <v>45139</v>
      </c>
      <c r="Y227" s="383">
        <f t="shared" si="88"/>
        <v>51.613864962136766</v>
      </c>
      <c r="Z227" s="383">
        <f t="shared" si="89"/>
        <v>53.280256128969221</v>
      </c>
      <c r="AA227" s="384">
        <f t="shared" si="90"/>
        <v>58.828013174200414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9.4304681492527714E-2</v>
      </c>
      <c r="AD227" s="230">
        <f>(INDEX(Models!$BJ227:$BT227,,AH227)*(1-AF227)+INDEX(Models!$BJ227:$BT227,,AH227+1)*AF227-ERP_i)*AE227*Ramure*Pc/MaxiM</f>
        <v>3.1050314847305238E-4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'2022'!Wh/'2022'!Env_an*'2023'!Env_an</f>
        <v>54.545011202638293</v>
      </c>
      <c r="C228" s="829"/>
      <c r="D228" s="391">
        <f t="shared" si="77"/>
        <v>56.307115670567228</v>
      </c>
      <c r="E228" s="383">
        <f t="shared" si="75"/>
        <v>58.821252224854582</v>
      </c>
      <c r="F228" s="383">
        <f t="shared" si="78"/>
        <v>58.839654771040188</v>
      </c>
      <c r="G228" s="110">
        <f t="shared" si="76"/>
        <v>0.99053377184721147</v>
      </c>
      <c r="H228" s="412" t="b">
        <f>Wh_hp&gt;='2022'!Maxi_hp</f>
        <v>0</v>
      </c>
      <c r="I228" s="379">
        <f>IF(H228,Wh_hp,'2022'!Maxi_hp)</f>
        <v>58.839724664908012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3.1294525513229643E-2</v>
      </c>
      <c r="M228" s="832"/>
      <c r="N228" s="832"/>
      <c r="O228" s="48">
        <f>IF(t&lt;Tnet,'2022'!Resal+('2022'!Salim-'2022'!Resal)*(1-EXP(('2022'!Tnet-t)/('2022'!Tau_j))),Resal+(Salim-Resal)*(1-EXP((Tnet-t)/(Tau_j))))*Salcycl</f>
        <v>4.2741976057847721E-2</v>
      </c>
      <c r="P228" s="338">
        <f>(INDEX(Models!$BJ228:$BT228,,T228)*(1-R228)+INDEX(Models!$BJ228:$BT228,,T228+1)*R228-ERP_i)*Q228*Ramure*Pc/MaxiM</f>
        <v>3.1704305665761814E-4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55.06604512302772</v>
      </c>
      <c r="W228" s="400">
        <f t="shared" si="86"/>
        <v>54.545011202638293</v>
      </c>
      <c r="X228" s="157">
        <f t="shared" si="87"/>
        <v>45140</v>
      </c>
      <c r="Y228" s="383">
        <f t="shared" si="88"/>
        <v>51.606463027578734</v>
      </c>
      <c r="Z228" s="383">
        <f t="shared" si="89"/>
        <v>53.273636194654877</v>
      </c>
      <c r="AA228" s="384">
        <f t="shared" si="90"/>
        <v>58.821252224854582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9.4313123579772923E-2</v>
      </c>
      <c r="AD228" s="230">
        <f>(INDEX(Models!$BJ228:$BT228,,AH228)*(1-AF228)+INDEX(Models!$BJ228:$BT228,,AH228+1)*AF228-ERP_i)*AE228*Ramure*Pc/MaxiM</f>
        <v>3.1704305665761814E-4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'2022'!Wh/'2022'!Env_an*'2023'!Env_an</f>
        <v>51.509311787707325</v>
      </c>
      <c r="C229" s="829"/>
      <c r="D229" s="391">
        <f t="shared" si="77"/>
        <v>53.174365508903904</v>
      </c>
      <c r="E229" s="383">
        <f t="shared" si="75"/>
        <v>55.551879843741347</v>
      </c>
      <c r="F229" s="383">
        <f t="shared" si="78"/>
        <v>55.568270712779622</v>
      </c>
      <c r="G229" s="110">
        <f t="shared" si="76"/>
        <v>0.93764086480441078</v>
      </c>
      <c r="H229" s="412" t="b">
        <f>Wh_hp&gt;='2022'!Maxi_hp</f>
        <v>0</v>
      </c>
      <c r="I229" s="379">
        <f>IF(H229,Wh_hp,'2022'!Maxi_hp)</f>
        <v>56.932913500318811</v>
      </c>
      <c r="J229" s="85">
        <f>IF(H229,An,'2022'!An_max)</f>
        <v>2018</v>
      </c>
      <c r="K229" s="197">
        <f t="shared" si="79"/>
        <v>45141</v>
      </c>
      <c r="L229" s="147">
        <f>IF(t&lt;Tvie,1-EXP((T0-t)*PertePVj)+'2022'!Pspv,1-EXP((T0-t)*PertePVj)+Pspv)</f>
        <v>3.1313090532650856E-2</v>
      </c>
      <c r="M229" s="832"/>
      <c r="N229" s="832"/>
      <c r="O229" s="48">
        <f>IF(t&lt;Tnet,'2022'!Resal+('2022'!Salim-'2022'!Resal)*(1-EXP(('2022'!Tnet-t)/('2022'!Tau_j))),Resal+(Salim-Resal)*(1-EXP((Tnet-t)/(Tau_j))))*Salcycl</f>
        <v>4.2798089669062761E-2</v>
      </c>
      <c r="P229" s="338">
        <f>(INDEX(Models!$BJ229:$BT229,,T229)*(1-R229)+INDEX(Models!$BJ229:$BT229,,T229+1)*R229-ERP_i)*Q229*Ramure*Pc/MaxiM</f>
        <v>3.2380129206467661E-4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54.933427185937383</v>
      </c>
      <c r="W229" s="400">
        <f t="shared" si="86"/>
        <v>51.509311787707325</v>
      </c>
      <c r="X229" s="157">
        <f t="shared" si="87"/>
        <v>45141</v>
      </c>
      <c r="Y229" s="383">
        <f t="shared" si="88"/>
        <v>48.736725003431623</v>
      </c>
      <c r="Z229" s="383">
        <f t="shared" si="89"/>
        <v>50.312154037707018</v>
      </c>
      <c r="AA229" s="384">
        <f t="shared" si="90"/>
        <v>55.551879843741347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9.4321305071454781E-2</v>
      </c>
      <c r="AD229" s="230">
        <f>(INDEX(Models!$BJ229:$BT229,,AH229)*(1-AF229)+INDEX(Models!$BJ229:$BT229,,AH229+1)*AF229-ERP_i)*AE229*Ramure*Pc/MaxiM</f>
        <v>3.2380129206467661E-4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'2022'!Wh/'2022'!Env_an*'2023'!Env_an</f>
        <v>50.746531902525803</v>
      </c>
      <c r="C230" s="829"/>
      <c r="D230" s="391">
        <f t="shared" si="77"/>
        <v>52.387932541357479</v>
      </c>
      <c r="E230" s="383">
        <f t="shared" si="75"/>
        <v>54.733483455198481</v>
      </c>
      <c r="F230" s="383">
        <f t="shared" si="78"/>
        <v>54.749680569615386</v>
      </c>
      <c r="G230" s="110">
        <f t="shared" si="76"/>
        <v>0.92602535549672071</v>
      </c>
      <c r="H230" s="412" t="b">
        <f>Wh_hp&gt;='2022'!Maxi_hp</f>
        <v>0</v>
      </c>
      <c r="I230" s="379">
        <f>IF(H230,Wh_hp,'2022'!Maxi_hp)</f>
        <v>54.750209948964994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3.1331655196277897E-2</v>
      </c>
      <c r="M230" s="832"/>
      <c r="N230" s="832"/>
      <c r="O230" s="48">
        <f>IF(t&lt;Tnet,'2022'!Resal+('2022'!Salim-'2022'!Resal)*(1-EXP(('2022'!Tnet-t)/('2022'!Tau_j))),Resal+(Salim-Resal)*(1-EXP((Tnet-t)/(Tau_j))))*Salcycl</f>
        <v>4.2854040447853535E-2</v>
      </c>
      <c r="P230" s="338">
        <f>(INDEX(Models!$BJ230:$BT230,,T230)*(1-R230)+INDEX(Models!$BJ230:$BT230,,T230+1)*R230-ERP_i)*Q230*Ramure*Pc/MaxiM</f>
        <v>3.3078036606599829E-4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54.798454432576023</v>
      </c>
      <c r="W230" s="400">
        <f t="shared" si="86"/>
        <v>50.746531902525803</v>
      </c>
      <c r="X230" s="157">
        <f t="shared" si="87"/>
        <v>45142</v>
      </c>
      <c r="Y230" s="383">
        <f t="shared" si="88"/>
        <v>48.017389402712318</v>
      </c>
      <c r="Z230" s="383">
        <f t="shared" si="89"/>
        <v>49.570515708802183</v>
      </c>
      <c r="AA230" s="384">
        <f t="shared" si="90"/>
        <v>54.733483455198481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9.4329237250583356E-2</v>
      </c>
      <c r="AD230" s="230">
        <f>(INDEX(Models!$BJ230:$BT230,,AH230)*(1-AF230)+INDEX(Models!$BJ230:$BT230,,AH230+1)*AF230-ERP_i)*AE230*Ramure*Pc/MaxiM</f>
        <v>3.3078036606599829E-4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'2022'!Wh/'2022'!Env_an*'2023'!Env_an</f>
        <v>46.08520143828575</v>
      </c>
      <c r="C231" s="829"/>
      <c r="D231" s="391">
        <f t="shared" si="77"/>
        <v>47.576742767332547</v>
      </c>
      <c r="E231" s="383">
        <f t="shared" si="75"/>
        <v>49.709781135524644</v>
      </c>
      <c r="F231" s="383">
        <f t="shared" si="78"/>
        <v>49.722819947258351</v>
      </c>
      <c r="G231" s="110">
        <f t="shared" si="76"/>
        <v>0.84304352755546896</v>
      </c>
      <c r="H231" s="412" t="b">
        <f>Wh_hp&gt;='2022'!Maxi_hp</f>
        <v>0</v>
      </c>
      <c r="I231" s="379">
        <f>IF(H231,Wh_hp,'2022'!Maxi_hp)</f>
        <v>57.498472641811972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3.1350219504117205E-2</v>
      </c>
      <c r="M231" s="832"/>
      <c r="N231" s="832"/>
      <c r="O231" s="48">
        <f>IF(t&lt;Tnet,'2022'!Resal+('2022'!Salim-'2022'!Resal)*(1-EXP(('2022'!Tnet-t)/('2022'!Tau_j))),Resal+(Salim-Resal)*(1-EXP((Tnet-t)/(Tau_j))))*Salcycl</f>
        <v>4.2909832219473143E-2</v>
      </c>
      <c r="P231" s="338">
        <f>(INDEX(Models!$BJ231:$BT231,,T231)*(1-R231)+INDEX(Models!$BJ231:$BT231,,T231+1)*R231-ERP_i)*Q231*Ramure*Pc/MaxiM</f>
        <v>3.3798277997426222E-4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54.661127131807945</v>
      </c>
      <c r="W231" s="400">
        <f t="shared" si="86"/>
        <v>46.08520143828575</v>
      </c>
      <c r="X231" s="157">
        <f t="shared" si="87"/>
        <v>45143</v>
      </c>
      <c r="Y231" s="383">
        <f t="shared" si="88"/>
        <v>43.608916331310816</v>
      </c>
      <c r="Z231" s="383">
        <f t="shared" si="89"/>
        <v>45.020313026846523</v>
      </c>
      <c r="AA231" s="384">
        <f t="shared" si="90"/>
        <v>49.709781135524644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9.4336929303573874E-2</v>
      </c>
      <c r="AD231" s="230">
        <f>(INDEX(Models!$BJ231:$BT231,,AH231)*(1-AF231)+INDEX(Models!$BJ231:$BT231,,AH231+1)*AF231-ERP_i)*AE231*Ramure*Pc/MaxiM</f>
        <v>3.3798277997426222E-4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'2022'!Wh/'2022'!Env_an*'2023'!Env_an</f>
        <v>50.605281527387845</v>
      </c>
      <c r="C232" s="829"/>
      <c r="D232" s="391">
        <f t="shared" si="77"/>
        <v>52.244115885458143</v>
      </c>
      <c r="E232" s="383">
        <f t="shared" si="75"/>
        <v>54.58958285606608</v>
      </c>
      <c r="F232" s="383">
        <f t="shared" si="78"/>
        <v>54.606509122471699</v>
      </c>
      <c r="G232" s="110">
        <f t="shared" si="76"/>
        <v>0.92813913497495404</v>
      </c>
      <c r="H232" s="412" t="b">
        <f>Wh_hp&gt;='2022'!Maxi_hp</f>
        <v>0</v>
      </c>
      <c r="I232" s="379">
        <f>IF(H232,Wh_hp,'2022'!Maxi_hp)</f>
        <v>58.413322100606401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3.1368783456175886E-2</v>
      </c>
      <c r="M232" s="832"/>
      <c r="N232" s="832"/>
      <c r="O232" s="48">
        <f>IF(t&lt;Tnet,'2022'!Resal+('2022'!Salim-'2022'!Resal)*(1-EXP(('2022'!Tnet-t)/('2022'!Tau_j))),Resal+(Salim-Resal)*(1-EXP((Tnet-t)/(Tau_j))))*Salcycl</f>
        <v>4.2965467913395304E-2</v>
      </c>
      <c r="P232" s="338">
        <f>(INDEX(Models!$BJ232:$BT232,,T232)*(1-R232)+INDEX(Models!$BJ232:$BT232,,T232+1)*R232-ERP_i)*Q232*Ramure*Pc/MaxiM</f>
        <v>3.4541102417029955E-4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54.521445607057416</v>
      </c>
      <c r="W232" s="400">
        <f t="shared" si="86"/>
        <v>50.605281527387845</v>
      </c>
      <c r="X232" s="157">
        <f t="shared" si="87"/>
        <v>45144</v>
      </c>
      <c r="Y232" s="383">
        <f t="shared" si="88"/>
        <v>47.88850940601057</v>
      </c>
      <c r="Z232" s="383">
        <f t="shared" si="89"/>
        <v>49.439362048315665</v>
      </c>
      <c r="AA232" s="384">
        <f t="shared" si="90"/>
        <v>54.58958285606608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9.4344388403365828E-2</v>
      </c>
      <c r="AD232" s="230">
        <f>(INDEX(Models!$BJ232:$BT232,,AH232)*(1-AF232)+INDEX(Models!$BJ232:$BT232,,AH232+1)*AF232-ERP_i)*AE232*Ramure*Pc/MaxiM</f>
        <v>3.4541102417029955E-4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'2022'!Wh/'2022'!Env_an*'2023'!Env_an</f>
        <v>53.253170362476908</v>
      </c>
      <c r="C233" s="829"/>
      <c r="D233" s="391">
        <f t="shared" si="77"/>
        <v>54.978809331495626</v>
      </c>
      <c r="E233" s="383">
        <f t="shared" ref="E233:E296" si="100">Wh_pvt/(1-Psa)</f>
        <v>57.45037919950579</v>
      </c>
      <c r="F233" s="383">
        <f t="shared" si="78"/>
        <v>57.470069286999184</v>
      </c>
      <c r="G233" s="110">
        <f t="shared" ref="G233:G296" si="101">+Wh_hp/MaxiM</f>
        <v>0.97927104535856768</v>
      </c>
      <c r="H233" s="412" t="b">
        <f>Wh_hp&gt;='2022'!Maxi_hp</f>
        <v>0</v>
      </c>
      <c r="I233" s="379">
        <f>IF(H233,Wh_hp,'2022'!Maxi_hp)</f>
        <v>57.470235138587057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3.1387347052460712E-2</v>
      </c>
      <c r="M233" s="832"/>
      <c r="N233" s="832"/>
      <c r="O233" s="48">
        <f>IF(t&lt;Tnet,'2022'!Resal+('2022'!Salim-'2022'!Resal)*(1-EXP(('2022'!Tnet-t)/('2022'!Tau_j))),Resal+(Salim-Resal)*(1-EXP((Tnet-t)/(Tau_j))))*Salcycl</f>
        <v>4.30209495994315E-2</v>
      </c>
      <c r="P233" s="338">
        <f>(INDEX(Models!$BJ233:$BT233,,T233)*(1-R233)+INDEX(Models!$BJ233:$BT233,,T233+1)*R233-ERP_i)*Q233*Ramure*Pc/MaxiM</f>
        <v>3.5306471560935334E-4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54.379851140146926</v>
      </c>
      <c r="W233" s="400">
        <f t="shared" si="86"/>
        <v>53.253170362476908</v>
      </c>
      <c r="X233" s="157">
        <f t="shared" si="87"/>
        <v>45145</v>
      </c>
      <c r="Y233" s="383">
        <f t="shared" si="88"/>
        <v>50.396764128799461</v>
      </c>
      <c r="Z233" s="383">
        <f t="shared" si="89"/>
        <v>52.029842863852188</v>
      </c>
      <c r="AA233" s="384">
        <f t="shared" si="90"/>
        <v>57.45037919950579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9.435161980097484E-2</v>
      </c>
      <c r="AD233" s="230">
        <f>(INDEX(Models!$BJ233:$BT233,,AH233)*(1-AF233)+INDEX(Models!$BJ233:$BT233,,AH233+1)*AF233-ERP_i)*AE233*Ramure*Pc/MaxiM</f>
        <v>3.5306471560935334E-4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'2022'!Wh/'2022'!Env_an*'2023'!Env_an</f>
        <v>53.702484847474878</v>
      </c>
      <c r="C234" s="829"/>
      <c r="D234" s="391">
        <f t="shared" si="77"/>
        <v>55.443746165866749</v>
      </c>
      <c r="E234" s="383">
        <f t="shared" si="100"/>
        <v>57.939567095838491</v>
      </c>
      <c r="F234" s="383">
        <f t="shared" si="78"/>
        <v>57.960204117950248</v>
      </c>
      <c r="G234" s="110">
        <f t="shared" si="101"/>
        <v>0.99014638472211092</v>
      </c>
      <c r="H234" s="412" t="b">
        <f>Wh_hp&gt;='2022'!Maxi_hp</f>
        <v>0</v>
      </c>
      <c r="I234" s="379">
        <f>IF(H234,Wh_hp,'2022'!Maxi_hp)</f>
        <v>57.960285399615913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3.1405910292978345E-2</v>
      </c>
      <c r="M234" s="832"/>
      <c r="N234" s="832"/>
      <c r="O234" s="48">
        <f>IF(t&lt;Tnet,'2022'!Resal+('2022'!Salim-'2022'!Resal)*(1-EXP(('2022'!Tnet-t)/('2022'!Tau_j))),Resal+(Salim-Resal)*(1-EXP((Tnet-t)/(Tau_j))))*Salcycl</f>
        <v>4.3076278527303752E-2</v>
      </c>
      <c r="P234" s="338">
        <f>(INDEX(Models!$BJ234:$BT234,,T234)*(1-R234)+INDEX(Models!$BJ234:$BT234,,T234+1)*R234-ERP_i)*Q234*Ramure*Pc/MaxiM</f>
        <v>3.6113599630720872E-4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54.236638862995918</v>
      </c>
      <c r="W234" s="400">
        <f t="shared" si="86"/>
        <v>53.702484847474878</v>
      </c>
      <c r="X234" s="157">
        <f t="shared" si="87"/>
        <v>45146</v>
      </c>
      <c r="Y234" s="383">
        <f t="shared" si="88"/>
        <v>50.824523442700396</v>
      </c>
      <c r="Z234" s="383">
        <f t="shared" si="89"/>
        <v>52.472469100109514</v>
      </c>
      <c r="AA234" s="384">
        <f t="shared" si="90"/>
        <v>57.939567095838491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9.4358626923908284E-2</v>
      </c>
      <c r="AD234" s="230">
        <f>(INDEX(Models!$BJ234:$BT234,,AH234)*(1-AF234)+INDEX(Models!$BJ234:$BT234,,AH234+1)*AF234-ERP_i)*AE234*Ramure*Pc/MaxiM</f>
        <v>3.6113599630720872E-4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'2022'!Wh/'2022'!Env_an*'2023'!Env_an</f>
        <v>51.687814144634032</v>
      </c>
      <c r="C235" s="829"/>
      <c r="D235" s="391">
        <f t="shared" si="77"/>
        <v>53.364774055579524</v>
      </c>
      <c r="E235" s="383">
        <f t="shared" si="100"/>
        <v>55.770225015603387</v>
      </c>
      <c r="F235" s="383">
        <f t="shared" si="78"/>
        <v>55.789538975466733</v>
      </c>
      <c r="G235" s="110">
        <f t="shared" si="101"/>
        <v>0.95553832702247665</v>
      </c>
      <c r="H235" s="412" t="b">
        <f>Wh_hp&gt;='2022'!Maxi_hp</f>
        <v>0</v>
      </c>
      <c r="I235" s="379">
        <f>IF(H235,Wh_hp,'2022'!Maxi_hp)</f>
        <v>56.144783633335642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3.1424473177735779E-2</v>
      </c>
      <c r="M235" s="832"/>
      <c r="N235" s="832"/>
      <c r="O235" s="48">
        <f>IF(t&lt;Tnet,'2022'!Resal+('2022'!Salim-'2022'!Resal)*(1-EXP(('2022'!Tnet-t)/('2022'!Tau_j))),Resal+(Salim-Resal)*(1-EXP((Tnet-t)/(Tau_j))))*Salcycl</f>
        <v>4.3131455168969962E-2</v>
      </c>
      <c r="P235" s="338">
        <f>(INDEX(Models!$BJ235:$BT235,,T235)*(1-R235)+INDEX(Models!$BJ235:$BT235,,T235+1)*R235-ERP_i)*Q235*Ramure*Pc/MaxiM</f>
        <v>3.696610069226515E-4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54.091603930477881</v>
      </c>
      <c r="W235" s="400">
        <f t="shared" si="86"/>
        <v>51.687814144634032</v>
      </c>
      <c r="X235" s="157">
        <f t="shared" si="87"/>
        <v>45147</v>
      </c>
      <c r="Y235" s="383">
        <f t="shared" si="88"/>
        <v>48.920274939801324</v>
      </c>
      <c r="Z235" s="383">
        <f t="shared" si="89"/>
        <v>50.507444783682111</v>
      </c>
      <c r="AA235" s="384">
        <f t="shared" si="90"/>
        <v>55.770225015603387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9.4365411479850655E-2</v>
      </c>
      <c r="AD235" s="230">
        <f>(INDEX(Models!$BJ235:$BT235,,AH235)*(1-AF235)+INDEX(Models!$BJ235:$BT235,,AH235+1)*AF235-ERP_i)*AE235*Ramure*Pc/MaxiM</f>
        <v>3.696610069226515E-4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'2022'!Wh/'2022'!Env_an*'2023'!Env_an</f>
        <v>48.844287493524845</v>
      </c>
      <c r="C236" s="829"/>
      <c r="D236" s="391">
        <f t="shared" si="77"/>
        <v>50.429958478658719</v>
      </c>
      <c r="E236" s="383">
        <f t="shared" si="100"/>
        <v>52.706151601843679</v>
      </c>
      <c r="F236" s="383">
        <f t="shared" si="78"/>
        <v>52.723418689851414</v>
      </c>
      <c r="G236" s="110">
        <f t="shared" si="101"/>
        <v>0.90540739993928632</v>
      </c>
      <c r="H236" s="412" t="b">
        <f>Wh_hp&gt;='2022'!Maxi_hp</f>
        <v>0</v>
      </c>
      <c r="I236" s="379">
        <f>IF(H236,Wh_hp,'2022'!Maxi_hp)</f>
        <v>53.37794367209424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3.1443035706739786E-2</v>
      </c>
      <c r="M236" s="832"/>
      <c r="N236" s="832"/>
      <c r="O236" s="48">
        <f>IF(t&lt;Tnet,'2022'!Resal+('2022'!Salim-'2022'!Resal)*(1-EXP(('2022'!Tnet-t)/('2022'!Tau_j))),Resal+(Salim-Resal)*(1-EXP((Tnet-t)/(Tau_j))))*Salcycl</f>
        <v>4.3186479262988645E-2</v>
      </c>
      <c r="P236" s="338">
        <f>(INDEX(Models!$BJ236:$BT236,,T236)*(1-R236)+INDEX(Models!$BJ236:$BT236,,T236+1)*R236-ERP_i)*Q236*Ramure*Pc/MaxiM</f>
        <v>3.7864534864801198E-4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53.9445432810829</v>
      </c>
      <c r="W236" s="400">
        <f t="shared" si="86"/>
        <v>48.844287493524845</v>
      </c>
      <c r="X236" s="157">
        <f t="shared" si="87"/>
        <v>45148</v>
      </c>
      <c r="Y236" s="383">
        <f t="shared" si="88"/>
        <v>46.231323791661687</v>
      </c>
      <c r="Z236" s="383">
        <f t="shared" si="89"/>
        <v>47.732168056213304</v>
      </c>
      <c r="AA236" s="384">
        <f t="shared" si="90"/>
        <v>52.706151601843679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9.4371973564019121E-2</v>
      </c>
      <c r="AD236" s="230">
        <f>(INDEX(Models!$BJ236:$BT236,,AH236)*(1-AF236)+INDEX(Models!$BJ236:$BT236,,AH236+1)*AF236-ERP_i)*AE236*Ramure*Pc/MaxiM</f>
        <v>3.7864534864801198E-4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'2022'!Wh/'2022'!Env_an*'2023'!Env_an</f>
        <v>47.232208268568499</v>
      </c>
      <c r="C237" s="829"/>
      <c r="D237" s="391">
        <f t="shared" si="77"/>
        <v>48.766479641058545</v>
      </c>
      <c r="E237" s="383">
        <f t="shared" si="100"/>
        <v>50.970513445510306</v>
      </c>
      <c r="F237" s="383">
        <f t="shared" si="78"/>
        <v>50.986852444000142</v>
      </c>
      <c r="G237" s="110">
        <f t="shared" si="101"/>
        <v>0.87794013411512217</v>
      </c>
      <c r="H237" s="412" t="b">
        <f>Wh_hp&gt;='2022'!Maxi_hp</f>
        <v>0</v>
      </c>
      <c r="I237" s="379">
        <f>IF(H237,Wh_hp,'2022'!Maxi_hp)</f>
        <v>51.914944304147305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3.1461597879997028E-2</v>
      </c>
      <c r="M237" s="832"/>
      <c r="N237" s="832"/>
      <c r="O237" s="48">
        <f>IF(t&lt;Tnet,'2022'!Resal+('2022'!Salim-'2022'!Resal)*(1-EXP(('2022'!Tnet-t)/('2022'!Tau_j))),Resal+(Salim-Resal)*(1-EXP((Tnet-t)/(Tau_j))))*Salcycl</f>
        <v>4.3241349860208361E-2</v>
      </c>
      <c r="P237" s="338">
        <f>(INDEX(Models!$BJ237:$BT237,,T237)*(1-R237)+INDEX(Models!$BJ237:$BT237,,T237+1)*R237-ERP_i)*Q237*Ramure*Pc/MaxiM</f>
        <v>3.8809475794533585E-4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53.795253959001649</v>
      </c>
      <c r="W237" s="400">
        <f t="shared" si="86"/>
        <v>47.232208268568499</v>
      </c>
      <c r="X237" s="157">
        <f t="shared" si="87"/>
        <v>45149</v>
      </c>
      <c r="Y237" s="383">
        <f t="shared" si="88"/>
        <v>44.707735001746016</v>
      </c>
      <c r="Z237" s="383">
        <f t="shared" si="89"/>
        <v>46.160002436544254</v>
      </c>
      <c r="AA237" s="384">
        <f t="shared" si="90"/>
        <v>50.970513445510306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9.4378311768601217E-2</v>
      </c>
      <c r="AD237" s="230">
        <f>(INDEX(Models!$BJ237:$BT237,,AH237)*(1-AF237)+INDEX(Models!$BJ237:$BT237,,AH237+1)*AF237-ERP_i)*AE237*Ramure*Pc/MaxiM</f>
        <v>3.8809475794533585E-4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'2022'!Wh/'2022'!Env_an*'2023'!Env_an</f>
        <v>48.172314228840186</v>
      </c>
      <c r="C238" s="829"/>
      <c r="D238" s="391">
        <f t="shared" si="77"/>
        <v>49.73807683051195</v>
      </c>
      <c r="E238" s="383">
        <f t="shared" si="100"/>
        <v>51.988995790794725</v>
      </c>
      <c r="F238" s="383">
        <f t="shared" si="78"/>
        <v>52.006679263329701</v>
      </c>
      <c r="G238" s="110">
        <f t="shared" si="101"/>
        <v>0.89795576227357754</v>
      </c>
      <c r="H238" s="412" t="b">
        <f>Wh_hp&gt;='2022'!Maxi_hp</f>
        <v>0</v>
      </c>
      <c r="I238" s="379">
        <f>IF(H238,Wh_hp,'2022'!Maxi_hp)</f>
        <v>52.007510007500251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3.1480159697514609E-2</v>
      </c>
      <c r="M238" s="832"/>
      <c r="N238" s="832"/>
      <c r="O238" s="48">
        <f>IF(t&lt;Tnet,'2022'!Resal+('2022'!Salim-'2022'!Resal)*(1-EXP(('2022'!Tnet-t)/('2022'!Tau_j))),Resal+(Salim-Resal)*(1-EXP((Tnet-t)/(Tau_j))))*Salcycl</f>
        <v>4.3296065370074466E-2</v>
      </c>
      <c r="P238" s="338">
        <f>(INDEX(Models!$BJ238:$BT238,,T238)*(1-R238)+INDEX(Models!$BJ238:$BT238,,T238+1)*R238-ERP_i)*Q238*Ramure*Pc/MaxiM</f>
        <v>3.9801512674830715E-4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53.643533114305384</v>
      </c>
      <c r="W238" s="400">
        <f t="shared" si="86"/>
        <v>48.172314228840186</v>
      </c>
      <c r="X238" s="157">
        <f t="shared" si="87"/>
        <v>45150</v>
      </c>
      <c r="Y238" s="383">
        <f t="shared" si="88"/>
        <v>45.599894128741973</v>
      </c>
      <c r="Z238" s="383">
        <f t="shared" si="89"/>
        <v>47.082044405512995</v>
      </c>
      <c r="AA238" s="384">
        <f t="shared" si="90"/>
        <v>51.988995790794725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9.4384423292718511E-2</v>
      </c>
      <c r="AD238" s="230">
        <f>(INDEX(Models!$BJ238:$BT238,,AH238)*(1-AF238)+INDEX(Models!$BJ238:$BT238,,AH238+1)*AF238-ERP_i)*AE238*Ramure*Pc/MaxiM</f>
        <v>3.9801512674830715E-4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'2022'!Wh/'2022'!Env_an*'2023'!Env_an</f>
        <v>36.254116721624882</v>
      </c>
      <c r="C239" s="829"/>
      <c r="D239" s="391">
        <f t="shared" si="77"/>
        <v>37.43321512700652</v>
      </c>
      <c r="E239" s="383">
        <f t="shared" si="100"/>
        <v>39.12950350539213</v>
      </c>
      <c r="F239" s="383">
        <f t="shared" si="78"/>
        <v>39.138130207673299</v>
      </c>
      <c r="G239" s="110">
        <f t="shared" si="101"/>
        <v>0.67765669539123596</v>
      </c>
      <c r="H239" s="412" t="b">
        <f>Wh_hp&gt;='2022'!Maxi_hp</f>
        <v>0</v>
      </c>
      <c r="I239" s="379">
        <f>IF(H239,Wh_hp,'2022'!Maxi_hp)</f>
        <v>49.870847104426645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3.1498721159299081E-2</v>
      </c>
      <c r="M239" s="832"/>
      <c r="N239" s="832"/>
      <c r="O239" s="48">
        <f>IF(t&lt;Tnet,'2022'!Resal+('2022'!Salim-'2022'!Resal)*(1-EXP(('2022'!Tnet-t)/('2022'!Tau_j))),Resal+(Salim-Resal)*(1-EXP((Tnet-t)/(Tau_j))))*Salcycl</f>
        <v>4.3350623606861108E-2</v>
      </c>
      <c r="P239" s="338">
        <f>(INDEX(Models!$BJ239:$BT239,,T239)*(1-R239)+INDEX(Models!$BJ239:$BT239,,T239+1)*R239-ERP_i)*Q239*Ramure*Pc/MaxiM</f>
        <v>4.0841252309531775E-4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53.489177997423738</v>
      </c>
      <c r="W239" s="400">
        <f t="shared" si="86"/>
        <v>36.254116721624882</v>
      </c>
      <c r="X239" s="157">
        <f t="shared" si="87"/>
        <v>45151</v>
      </c>
      <c r="Y239" s="383">
        <f t="shared" si="88"/>
        <v>34.319867269388148</v>
      </c>
      <c r="Z239" s="383">
        <f t="shared" si="89"/>
        <v>35.436057772137524</v>
      </c>
      <c r="AA239" s="384">
        <f t="shared" si="90"/>
        <v>39.12950350539213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9.4390304051408094E-2</v>
      </c>
      <c r="AD239" s="230">
        <f>(INDEX(Models!$BJ239:$BT239,,AH239)*(1-AF239)+INDEX(Models!$BJ239:$BT239,,AH239+1)*AF239-ERP_i)*AE239*Ramure*Pc/MaxiM</f>
        <v>4.0841252309531775E-4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'2022'!Wh/'2022'!Env_an*'2023'!Env_an</f>
        <v>34.413174279798611</v>
      </c>
      <c r="C240" s="829"/>
      <c r="D240" s="391">
        <f t="shared" si="77"/>
        <v>35.533080404670244</v>
      </c>
      <c r="E240" s="383">
        <f t="shared" si="100"/>
        <v>37.145376272869385</v>
      </c>
      <c r="F240" s="383">
        <f t="shared" si="78"/>
        <v>37.153062791363659</v>
      </c>
      <c r="G240" s="110">
        <f t="shared" si="101"/>
        <v>0.64512623350345244</v>
      </c>
      <c r="H240" s="412" t="b">
        <f>Wh_hp&gt;='2022'!Maxi_hp</f>
        <v>0</v>
      </c>
      <c r="I240" s="379">
        <f>IF(H240,Wh_hp,'2022'!Maxi_hp)</f>
        <v>56.99494858795164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3.1517282265357438E-2</v>
      </c>
      <c r="M240" s="832"/>
      <c r="N240" s="832"/>
      <c r="O240" s="48">
        <f>IF(t&lt;Tnet,'2022'!Resal+('2022'!Salim-'2022'!Resal)*(1-EXP(('2022'!Tnet-t)/('2022'!Tau_j))),Resal+(Salim-Resal)*(1-EXP((Tnet-t)/(Tau_j))))*Salcycl</f>
        <v>4.3405021835160401E-2</v>
      </c>
      <c r="P240" s="338">
        <f>(INDEX(Models!$BJ240:$BT240,,T240)*(1-R240)+INDEX(Models!$BJ240:$BT240,,T240+1)*R240-ERP_i)*Q240*Ramure*Pc/MaxiM</f>
        <v>4.194522461983523E-4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53.331977471699645</v>
      </c>
      <c r="W240" s="400">
        <f t="shared" si="86"/>
        <v>34.413174279798611</v>
      </c>
      <c r="X240" s="157">
        <f t="shared" si="87"/>
        <v>45152</v>
      </c>
      <c r="Y240" s="383">
        <f t="shared" si="88"/>
        <v>32.578793276583795</v>
      </c>
      <c r="Z240" s="383">
        <f t="shared" si="89"/>
        <v>33.639003236720797</v>
      </c>
      <c r="AA240" s="384">
        <f t="shared" si="90"/>
        <v>37.145376272869385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9.4395948782180147E-2</v>
      </c>
      <c r="AD240" s="230">
        <f>(INDEX(Models!$BJ240:$BT240,,AH240)*(1-AF240)+INDEX(Models!$BJ240:$BT240,,AH240+1)*AF240-ERP_i)*AE240*Ramure*Pc/MaxiM</f>
        <v>4.194522461983523E-4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'2022'!Wh/'2022'!Env_an*'2023'!Env_an</f>
        <v>38.984145583806402</v>
      </c>
      <c r="C241" s="829"/>
      <c r="D241" s="391">
        <f t="shared" si="77"/>
        <v>40.253576038579446</v>
      </c>
      <c r="E241" s="383">
        <f t="shared" si="100"/>
        <v>42.082447951463564</v>
      </c>
      <c r="F241" s="383">
        <f t="shared" si="78"/>
        <v>42.093672782033003</v>
      </c>
      <c r="G241" s="110">
        <f t="shared" si="101"/>
        <v>0.73305368371445101</v>
      </c>
      <c r="H241" s="412" t="b">
        <f>Wh_hp&gt;='2022'!Maxi_hp</f>
        <v>0</v>
      </c>
      <c r="I241" s="379">
        <f>IF(H241,Wh_hp,'2022'!Maxi_hp)</f>
        <v>50.673625731633024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3.1535843015696452E-2</v>
      </c>
      <c r="M241" s="832"/>
      <c r="N241" s="832"/>
      <c r="O241" s="48">
        <f>IF(t&lt;Tnet,'2022'!Resal+('2022'!Salim-'2022'!Resal)*(1-EXP(('2022'!Tnet-t)/('2022'!Tau_j))),Resal+(Salim-Resal)*(1-EXP((Tnet-t)/(Tau_j))))*Salcycl</f>
        <v>4.3459256813992202E-2</v>
      </c>
      <c r="P241" s="338">
        <f>(INDEX(Models!$BJ241:$BT241,,T241)*(1-R241)+INDEX(Models!$BJ241:$BT241,,T241+1)*R241-ERP_i)*Q241*Ramure*Pc/MaxiM</f>
        <v>4.3092182031703144E-4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53.171740702000065</v>
      </c>
      <c r="W241" s="400">
        <f t="shared" si="86"/>
        <v>38.984145583806402</v>
      </c>
      <c r="X241" s="157">
        <f t="shared" si="87"/>
        <v>45153</v>
      </c>
      <c r="Y241" s="383">
        <f t="shared" si="88"/>
        <v>36.907983082627212</v>
      </c>
      <c r="Z241" s="383">
        <f t="shared" si="89"/>
        <v>38.109808005238754</v>
      </c>
      <c r="AA241" s="384">
        <f t="shared" si="90"/>
        <v>42.082447951463564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9.4401351147792356E-2</v>
      </c>
      <c r="AD241" s="230">
        <f>(INDEX(Models!$BJ241:$BT241,,AH241)*(1-AF241)+INDEX(Models!$BJ241:$BT241,,AH241+1)*AF241-ERP_i)*AE241*Ramure*Pc/MaxiM</f>
        <v>4.3092182031703144E-4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'2022'!Wh/'2022'!Env_an*'2023'!Env_an</f>
        <v>36.057711032630209</v>
      </c>
      <c r="C242" s="829"/>
      <c r="D242" s="391">
        <f t="shared" si="77"/>
        <v>37.23256232420826</v>
      </c>
      <c r="E242" s="383">
        <f t="shared" si="100"/>
        <v>38.926378475621398</v>
      </c>
      <c r="F242" s="383">
        <f t="shared" si="78"/>
        <v>38.935743934996502</v>
      </c>
      <c r="G242" s="110">
        <f t="shared" si="101"/>
        <v>0.68009045325328055</v>
      </c>
      <c r="H242" s="412" t="b">
        <f>Wh_hp&gt;='2022'!Maxi_hp</f>
        <v>0</v>
      </c>
      <c r="I242" s="379">
        <f>IF(H242,Wh_hp,'2022'!Maxi_hp)</f>
        <v>55.891220971481495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3.1554403410322784E-2</v>
      </c>
      <c r="M242" s="832"/>
      <c r="N242" s="832"/>
      <c r="O242" s="48">
        <f>IF(t&lt;Tnet,'2022'!Resal+('2022'!Salim-'2022'!Resal)*(1-EXP(('2022'!Tnet-t)/('2022'!Tau_j))),Resal+(Salim-Resal)*(1-EXP((Tnet-t)/(Tau_j))))*Salcycl</f>
        <v>4.3513324838937419E-2</v>
      </c>
      <c r="P242" s="338">
        <f>(INDEX(Models!$BJ242:$BT242,,T242)*(1-R242)+INDEX(Models!$BJ242:$BT242,,T242+1)*R242-ERP_i)*Q242*Ramure*Pc/MaxiM</f>
        <v>4.4282736307129153E-4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53.008265227329026</v>
      </c>
      <c r="W242" s="400">
        <f t="shared" si="86"/>
        <v>36.057711032630209</v>
      </c>
      <c r="X242" s="157">
        <f t="shared" si="87"/>
        <v>45154</v>
      </c>
      <c r="Y242" s="383">
        <f t="shared" si="88"/>
        <v>34.139135908281325</v>
      </c>
      <c r="Z242" s="383">
        <f t="shared" si="89"/>
        <v>35.251475176819675</v>
      </c>
      <c r="AA242" s="384">
        <f t="shared" si="90"/>
        <v>38.926378475621398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9.4406503833980332E-2</v>
      </c>
      <c r="AD242" s="230">
        <f>(INDEX(Models!$BJ242:$BT242,,AH242)*(1-AF242)+INDEX(Models!$BJ242:$BT242,,AH242+1)*AF242-ERP_i)*AE242*Ramure*Pc/MaxiM</f>
        <v>4.4282736307129153E-4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'2022'!Wh/'2022'!Env_an*'2023'!Env_an</f>
        <v>28.929609609779281</v>
      </c>
      <c r="C243" s="829"/>
      <c r="D243" s="391">
        <f t="shared" si="77"/>
        <v>29.872781859558341</v>
      </c>
      <c r="E243" s="383">
        <f t="shared" si="100"/>
        <v>31.233540443070673</v>
      </c>
      <c r="F243" s="383">
        <f t="shared" si="78"/>
        <v>31.238567487752654</v>
      </c>
      <c r="G243" s="110">
        <f t="shared" si="101"/>
        <v>0.54731940801565016</v>
      </c>
      <c r="H243" s="412" t="b">
        <f>Wh_hp&gt;='2022'!Maxi_hp</f>
        <v>0</v>
      </c>
      <c r="I243" s="379">
        <f>IF(H243,Wh_hp,'2022'!Maxi_hp)</f>
        <v>54.973908818601828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3.1572963449243541E-2</v>
      </c>
      <c r="M243" s="832"/>
      <c r="N243" s="832"/>
      <c r="O243" s="48">
        <f>IF(t&lt;Tnet,'2022'!Resal+('2022'!Salim-'2022'!Resal)*(1-EXP(('2022'!Tnet-t)/('2022'!Tau_j))),Resal+(Salim-Resal)*(1-EXP((Tnet-t)/(Tau_j))))*Salcycl</f>
        <v>4.3567221781744055E-2</v>
      </c>
      <c r="P243" s="338">
        <f>(INDEX(Models!$BJ243:$BT243,,T243)*(1-R243)+INDEX(Models!$BJ243:$BT243,,T243+1)*R243-ERP_i)*Q243*Ramure*Pc/MaxiM</f>
        <v>4.5517524722768639E-4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52.841348673484326</v>
      </c>
      <c r="W243" s="400">
        <f t="shared" si="86"/>
        <v>28.929609609779281</v>
      </c>
      <c r="X243" s="157">
        <f t="shared" si="87"/>
        <v>45155</v>
      </c>
      <c r="Y243" s="383">
        <f t="shared" si="88"/>
        <v>27.391705199801969</v>
      </c>
      <c r="Z243" s="383">
        <f t="shared" si="89"/>
        <v>28.284738205330285</v>
      </c>
      <c r="AA243" s="384">
        <f t="shared" si="90"/>
        <v>31.233540443070673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9.4411398640995139E-2</v>
      </c>
      <c r="AD243" s="230">
        <f>(INDEX(Models!$BJ243:$BT243,,AH243)*(1-AF243)+INDEX(Models!$BJ243:$BT243,,AH243+1)*AF243-ERP_i)*AE243*Ramure*Pc/MaxiM</f>
        <v>4.5517524722768639E-4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'2022'!Wh/'2022'!Env_an*'2023'!Env_an</f>
        <v>36.704973234779573</v>
      </c>
      <c r="C244" s="829"/>
      <c r="D244" s="391">
        <f t="shared" si="77"/>
        <v>37.902366730108994</v>
      </c>
      <c r="E244" s="383">
        <f t="shared" si="100"/>
        <v>39.631113268029793</v>
      </c>
      <c r="F244" s="383">
        <f t="shared" si="78"/>
        <v>39.64163113225861</v>
      </c>
      <c r="G244" s="110">
        <f t="shared" si="101"/>
        <v>0.69673407075739557</v>
      </c>
      <c r="H244" s="412" t="b">
        <f>Wh_hp&gt;='2022'!Maxi_hp</f>
        <v>0</v>
      </c>
      <c r="I244" s="379">
        <f>IF(H244,Wh_hp,'2022'!Maxi_hp)</f>
        <v>54.287330596628593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3.1591523132465271E-2</v>
      </c>
      <c r="M244" s="832"/>
      <c r="N244" s="832"/>
      <c r="O244" s="48">
        <f>IF(t&lt;Tnet,'2022'!Resal+('2022'!Salim-'2022'!Resal)*(1-EXP(('2022'!Tnet-t)/('2022'!Tau_j))),Resal+(Salim-Resal)*(1-EXP((Tnet-t)/(Tau_j))))*Salcycl</f>
        <v>4.3620943126908576E-2</v>
      </c>
      <c r="P244" s="338">
        <f>(INDEX(Models!$BJ244:$BT244,,T244)*(1-R244)+INDEX(Models!$BJ244:$BT244,,T244+1)*R244-ERP_i)*Q244*Ramure*Pc/MaxiM</f>
        <v>4.6797212162324651E-4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52.670788750036927</v>
      </c>
      <c r="W244" s="400">
        <f t="shared" si="86"/>
        <v>36.704973234779573</v>
      </c>
      <c r="X244" s="157">
        <f t="shared" si="87"/>
        <v>45156</v>
      </c>
      <c r="Y244" s="383">
        <f t="shared" si="88"/>
        <v>34.755503341266092</v>
      </c>
      <c r="Z244" s="383">
        <f t="shared" si="89"/>
        <v>35.889301024799039</v>
      </c>
      <c r="AA244" s="384">
        <f t="shared" si="90"/>
        <v>39.631113268029793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9.4416026567925207E-2</v>
      </c>
      <c r="AD244" s="230">
        <f>(INDEX(Models!$BJ244:$BT244,,AH244)*(1-AF244)+INDEX(Models!$BJ244:$BT244,,AH244+1)*AF244-ERP_i)*AE244*Ramure*Pc/MaxiM</f>
        <v>4.6797212162324651E-4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'2022'!Wh/'2022'!Env_an*'2023'!Env_an</f>
        <v>41.810863365446934</v>
      </c>
      <c r="C245" s="829"/>
      <c r="D245" s="391">
        <f t="shared" si="77"/>
        <v>43.175649196822306</v>
      </c>
      <c r="E245" s="383">
        <f t="shared" si="100"/>
        <v>45.147440358622333</v>
      </c>
      <c r="F245" s="383">
        <f t="shared" si="78"/>
        <v>45.162854131570271</v>
      </c>
      <c r="G245" s="110">
        <f t="shared" si="101"/>
        <v>0.79634077835306638</v>
      </c>
      <c r="H245" s="412" t="b">
        <f>Wh_hp&gt;='2022'!Maxi_hp</f>
        <v>0</v>
      </c>
      <c r="I245" s="379">
        <f>IF(H245,Wh_hp,'2022'!Maxi_hp)</f>
        <v>46.197672752985881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3.161008245999497E-2</v>
      </c>
      <c r="M245" s="832"/>
      <c r="N245" s="832"/>
      <c r="O245" s="48">
        <f>IF(t&lt;Tnet,'2022'!Resal+('2022'!Salim-'2022'!Resal)*(1-EXP(('2022'!Tnet-t)/('2022'!Tau_j))),Resal+(Salim-Resal)*(1-EXP((Tnet-t)/(Tau_j))))*Salcycl</f>
        <v>4.3674484004793686E-2</v>
      </c>
      <c r="P245" s="338">
        <f>(INDEX(Models!$BJ245:$BT245,,T245)*(1-R245)+INDEX(Models!$BJ245:$BT245,,T245+1)*R245-ERP_i)*Q245*Ramure*Pc/MaxiM</f>
        <v>4.8122493285353084E-4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52.496383251854141</v>
      </c>
      <c r="W245" s="400">
        <f t="shared" si="86"/>
        <v>41.810863365446934</v>
      </c>
      <c r="X245" s="157">
        <f t="shared" si="87"/>
        <v>45157</v>
      </c>
      <c r="Y245" s="383">
        <f t="shared" si="88"/>
        <v>39.592236339335933</v>
      </c>
      <c r="Z245" s="383">
        <f t="shared" si="89"/>
        <v>40.884601979243904</v>
      </c>
      <c r="AA245" s="384">
        <f t="shared" si="90"/>
        <v>45.147440358622333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9.442037788891619E-2</v>
      </c>
      <c r="AD245" s="230">
        <f>(INDEX(Models!$BJ245:$BT245,,AH245)*(1-AF245)+INDEX(Models!$BJ245:$BT245,,AH245+1)*AF245-ERP_i)*AE245*Ramure*Pc/MaxiM</f>
        <v>4.8122493285353084E-4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'2022'!Wh/'2022'!Env_an*'2023'!Env_an</f>
        <v>50.211366716698649</v>
      </c>
      <c r="C246" s="829"/>
      <c r="D246" s="391">
        <f t="shared" si="77"/>
        <v>51.851354619720951</v>
      </c>
      <c r="E246" s="383">
        <f t="shared" si="100"/>
        <v>54.222382232142728</v>
      </c>
      <c r="F246" s="383">
        <f t="shared" si="78"/>
        <v>54.247687231222756</v>
      </c>
      <c r="G246" s="110">
        <f t="shared" si="101"/>
        <v>0.95970801044956666</v>
      </c>
      <c r="H246" s="412" t="b">
        <f>Wh_hp&gt;='2022'!Maxi_hp</f>
        <v>0</v>
      </c>
      <c r="I246" s="379">
        <f>IF(H246,Wh_hp,'2022'!Maxi_hp)</f>
        <v>54.248110681105196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3.162864143183941E-2</v>
      </c>
      <c r="M246" s="832"/>
      <c r="N246" s="832"/>
      <c r="O246" s="48">
        <f>IF(t&lt;Tnet,'2022'!Resal+('2022'!Salim-'2022'!Resal)*(1-EXP(('2022'!Tnet-t)/('2022'!Tau_j))),Resal+(Salim-Resal)*(1-EXP((Tnet-t)/(Tau_j))))*Salcycl</f>
        <v>4.3727839220908435E-2</v>
      </c>
      <c r="P246" s="338">
        <f>(INDEX(Models!$BJ246:$BT246,,T246)*(1-R246)+INDEX(Models!$BJ246:$BT246,,T246+1)*R246-ERP_i)*Q246*Ramure*Pc/MaxiM</f>
        <v>4.9494094789902634E-4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52.317930049660042</v>
      </c>
      <c r="W246" s="400">
        <f t="shared" si="86"/>
        <v>50.211366716698649</v>
      </c>
      <c r="X246" s="157">
        <f t="shared" si="87"/>
        <v>45158</v>
      </c>
      <c r="Y246" s="383">
        <f t="shared" si="88"/>
        <v>47.549419805651908</v>
      </c>
      <c r="Z246" s="383">
        <f t="shared" si="89"/>
        <v>49.102464034003184</v>
      </c>
      <c r="AA246" s="384">
        <f t="shared" si="90"/>
        <v>54.222382232142728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9.4424442220550117E-2</v>
      </c>
      <c r="AD246" s="230">
        <f>(INDEX(Models!$BJ246:$BT246,,AH246)*(1-AF246)+INDEX(Models!$BJ246:$BT246,,AH246+1)*AF246-ERP_i)*AE246*Ramure*Pc/MaxiM</f>
        <v>4.9494094789902634E-4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'2022'!Wh/'2022'!Env_an*'2023'!Env_an</f>
        <v>33.918079851747294</v>
      </c>
      <c r="C247" s="829"/>
      <c r="D247" s="391">
        <f t="shared" si="77"/>
        <v>35.026572808411103</v>
      </c>
      <c r="E247" s="383">
        <f t="shared" si="100"/>
        <v>36.630283364581466</v>
      </c>
      <c r="F247" s="383">
        <f t="shared" si="78"/>
        <v>36.639625657812452</v>
      </c>
      <c r="G247" s="110">
        <f t="shared" si="101"/>
        <v>0.65040719869938057</v>
      </c>
      <c r="H247" s="412" t="b">
        <f>Wh_hp&gt;='2022'!Maxi_hp</f>
        <v>0</v>
      </c>
      <c r="I247" s="379">
        <f>IF(H247,Wh_hp,'2022'!Maxi_hp)</f>
        <v>54.553633144965026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3.1647200048005364E-2</v>
      </c>
      <c r="M247" s="832"/>
      <c r="N247" s="832"/>
      <c r="O247" s="48">
        <f>IF(t&lt;Tnet,'2022'!Resal+('2022'!Salim-'2022'!Resal)*(1-EXP(('2022'!Tnet-t)/('2022'!Tau_j))),Resal+(Salim-Resal)*(1-EXP((Tnet-t)/(Tau_j))))*Salcycl</f>
        <v>4.3781003281045422E-2</v>
      </c>
      <c r="P247" s="338">
        <f>(INDEX(Models!$BJ247:$BT247,,T247)*(1-R247)+INDEX(Models!$BJ247:$BT247,,T247+1)*R247-ERP_i)*Q247*Ramure*Pc/MaxiM</f>
        <v>5.0912281724663244E-4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52.13573529321706</v>
      </c>
      <c r="W247" s="400">
        <f t="shared" si="86"/>
        <v>33.918079851747294</v>
      </c>
      <c r="X247" s="157">
        <f t="shared" si="87"/>
        <v>45159</v>
      </c>
      <c r="Y247" s="383">
        <f t="shared" si="88"/>
        <v>32.121570935395056</v>
      </c>
      <c r="Z247" s="383">
        <f t="shared" si="89"/>
        <v>33.171351326693596</v>
      </c>
      <c r="AA247" s="384">
        <f t="shared" si="90"/>
        <v>36.630283364581466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9.4428208579799805E-2</v>
      </c>
      <c r="AD247" s="230">
        <f>(INDEX(Models!$BJ247:$BT247,,AH247)*(1-AF247)+INDEX(Models!$BJ247:$BT247,,AH247+1)*AF247-ERP_i)*AE247*Ramure*Pc/MaxiM</f>
        <v>5.0912281724663244E-4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'2022'!Wh/'2022'!Env_an*'2023'!Env_an</f>
        <v>27.03232230082082</v>
      </c>
      <c r="C248" s="829"/>
      <c r="D248" s="391">
        <f t="shared" si="77"/>
        <v>27.916313538185292</v>
      </c>
      <c r="E248" s="383">
        <f t="shared" si="100"/>
        <v>29.196094270589505</v>
      </c>
      <c r="F248" s="383">
        <f t="shared" si="78"/>
        <v>29.200909628246553</v>
      </c>
      <c r="G248" s="110">
        <f t="shared" si="101"/>
        <v>0.52016351405694605</v>
      </c>
      <c r="H248" s="412" t="b">
        <f>Wh_hp&gt;='2022'!Maxi_hp</f>
        <v>0</v>
      </c>
      <c r="I248" s="379">
        <f>IF(H248,Wh_hp,'2022'!Maxi_hp)</f>
        <v>56.59830554422004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3.1665758308499714E-2</v>
      </c>
      <c r="M248" s="832"/>
      <c r="N248" s="832"/>
      <c r="O248" s="48">
        <f>IF(t&lt;Tnet,'2022'!Resal+('2022'!Salim-'2022'!Resal)*(1-EXP(('2022'!Tnet-t)/('2022'!Tau_j))),Resal+(Salim-Resal)*(1-EXP((Tnet-t)/(Tau_j))))*Salcycl</f>
        <v>4.3833970412042109E-2</v>
      </c>
      <c r="P248" s="338">
        <f>(INDEX(Models!$BJ248:$BT248,,T248)*(1-R248)+INDEX(Models!$BJ248:$BT248,,T248+1)*R248-ERP_i)*Q248*Ramure*Pc/MaxiM</f>
        <v>5.2386153041726472E-4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51.950235886504174</v>
      </c>
      <c r="W248" s="400">
        <f t="shared" si="86"/>
        <v>27.03232230082082</v>
      </c>
      <c r="X248" s="157">
        <f t="shared" si="87"/>
        <v>45160</v>
      </c>
      <c r="Y248" s="383">
        <f t="shared" si="88"/>
        <v>25.601845629262794</v>
      </c>
      <c r="Z248" s="383">
        <f t="shared" si="89"/>
        <v>26.439058464504072</v>
      </c>
      <c r="AA248" s="384">
        <f t="shared" si="90"/>
        <v>29.196094270589505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9.4431665432136755E-2</v>
      </c>
      <c r="AD248" s="230">
        <f>(INDEX(Models!$BJ248:$BT248,,AH248)*(1-AF248)+INDEX(Models!$BJ248:$BT248,,AH248+1)*AF248-ERP_i)*AE248*Ramure*Pc/MaxiM</f>
        <v>5.2386153041726472E-4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'2022'!Wh/'2022'!Env_an*'2023'!Env_an</f>
        <v>49.024967662615737</v>
      </c>
      <c r="C249" s="829"/>
      <c r="D249" s="391">
        <f t="shared" si="77"/>
        <v>50.629116602655792</v>
      </c>
      <c r="E249" s="383">
        <f t="shared" si="100"/>
        <v>52.953053193242852</v>
      </c>
      <c r="F249" s="383">
        <f t="shared" si="78"/>
        <v>52.979450574657292</v>
      </c>
      <c r="G249" s="110">
        <f t="shared" si="101"/>
        <v>0.94709436098896504</v>
      </c>
      <c r="H249" s="412" t="b">
        <f>Wh_hp&gt;='2022'!Maxi_hp</f>
        <v>0</v>
      </c>
      <c r="I249" s="379">
        <f>IF(H249,Wh_hp,'2022'!Maxi_hp)</f>
        <v>53.920594526150673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3.1684316213329122E-2</v>
      </c>
      <c r="M249" s="832"/>
      <c r="N249" s="832"/>
      <c r="O249" s="48">
        <f>IF(t&lt;Tnet,'2022'!Resal+('2022'!Salim-'2022'!Resal)*(1-EXP(('2022'!Tnet-t)/('2022'!Tau_j))),Resal+(Salim-Resal)*(1-EXP((Tnet-t)/(Tau_j))))*Salcycl</f>
        <v>4.3886734578009366E-2</v>
      </c>
      <c r="P249" s="338">
        <f>(INDEX(Models!$BJ249:$BT249,,T249)*(1-R249)+INDEX(Models!$BJ249:$BT249,,T249+1)*R249-ERP_i)*Q249*Ramure*Pc/MaxiM</f>
        <v>5.389617388951519E-4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51.76144335553478</v>
      </c>
      <c r="W249" s="400">
        <f t="shared" si="86"/>
        <v>49.024967662615737</v>
      </c>
      <c r="X249" s="157">
        <f t="shared" si="87"/>
        <v>45161</v>
      </c>
      <c r="Y249" s="383">
        <f t="shared" si="88"/>
        <v>46.433101826100405</v>
      </c>
      <c r="Z249" s="383">
        <f t="shared" si="89"/>
        <v>47.952442166918424</v>
      </c>
      <c r="AA249" s="384">
        <f t="shared" si="90"/>
        <v>52.953053193242852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9.443480072953632E-2</v>
      </c>
      <c r="AD249" s="230">
        <f>(INDEX(Models!$BJ249:$BT249,,AH249)*(1-AF249)+INDEX(Models!$BJ249:$BT249,,AH249+1)*AF249-ERP_i)*AE249*Ramure*Pc/MaxiM</f>
        <v>5.389617388951519E-4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'2022'!Wh/'2022'!Env_an*'2023'!Env_an</f>
        <v>46.738405881054121</v>
      </c>
      <c r="C250" s="829"/>
      <c r="D250" s="391">
        <f t="shared" si="77"/>
        <v>48.268661152248782</v>
      </c>
      <c r="E250" s="383">
        <f t="shared" si="100"/>
        <v>50.487025166632712</v>
      </c>
      <c r="F250" s="383">
        <f t="shared" si="78"/>
        <v>50.511282232293759</v>
      </c>
      <c r="G250" s="110">
        <f t="shared" si="101"/>
        <v>0.9062539743891207</v>
      </c>
      <c r="H250" s="412" t="b">
        <f>Wh_hp&gt;='2022'!Maxi_hp</f>
        <v>0</v>
      </c>
      <c r="I250" s="379">
        <f>IF(H250,Wh_hp,'2022'!Maxi_hp)</f>
        <v>53.710943273979339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3.1702873762500583E-2</v>
      </c>
      <c r="M250" s="832"/>
      <c r="N250" s="832"/>
      <c r="O250" s="48">
        <f>IF(t&lt;Tnet,'2022'!Resal+('2022'!Salim-'2022'!Resal)*(1-EXP(('2022'!Tnet-t)/('2022'!Tau_j))),Resal+(Salim-Resal)*(1-EXP((Tnet-t)/(Tau_j))))*Salcycl</f>
        <v>4.3939289491947822E-2</v>
      </c>
      <c r="P250" s="338">
        <f>(INDEX(Models!$BJ250:$BT250,,T250)*(1-R250)+INDEX(Models!$BJ250:$BT250,,T250+1)*R250-ERP_i)*Q250*Ramure*Pc/MaxiM</f>
        <v>5.5442795362766221E-4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51.569358779882791</v>
      </c>
      <c r="W250" s="400">
        <f t="shared" si="86"/>
        <v>46.738405881054121</v>
      </c>
      <c r="X250" s="157">
        <f t="shared" si="87"/>
        <v>45162</v>
      </c>
      <c r="Y250" s="383">
        <f t="shared" si="88"/>
        <v>44.269723089799811</v>
      </c>
      <c r="Z250" s="383">
        <f t="shared" si="89"/>
        <v>45.719151580897638</v>
      </c>
      <c r="AA250" s="384">
        <f t="shared" si="90"/>
        <v>50.487025166632712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9.4437601938293633E-2</v>
      </c>
      <c r="AD250" s="230">
        <f>(INDEX(Models!$BJ250:$BT250,,AH250)*(1-AF250)+INDEX(Models!$BJ250:$BT250,,AH250+1)*AF250-ERP_i)*AE250*Ramure*Pc/MaxiM</f>
        <v>5.5442795362766221E-4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'2022'!Wh/'2022'!Env_an*'2023'!Env_an</f>
        <v>32.769115976244208</v>
      </c>
      <c r="C251" s="829"/>
      <c r="D251" s="391">
        <f t="shared" si="77"/>
        <v>33.842653368439713</v>
      </c>
      <c r="E251" s="383">
        <f t="shared" si="100"/>
        <v>35.399955043997338</v>
      </c>
      <c r="F251" s="383">
        <f t="shared" si="78"/>
        <v>35.409701132352374</v>
      </c>
      <c r="G251" s="110">
        <f t="shared" si="101"/>
        <v>0.63766606110346602</v>
      </c>
      <c r="H251" s="412" t="b">
        <f>Wh_hp&gt;='2022'!Maxi_hp</f>
        <v>0</v>
      </c>
      <c r="I251" s="379">
        <f>IF(H251,Wh_hp,'2022'!Maxi_hp)</f>
        <v>50.59926404911738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3.1721430956020868E-2</v>
      </c>
      <c r="M251" s="832"/>
      <c r="N251" s="832"/>
      <c r="O251" s="48">
        <f>IF(t&lt;Tnet,'2022'!Resal+('2022'!Salim-'2022'!Resal)*(1-EXP(('2022'!Tnet-t)/('2022'!Tau_j))),Resal+(Salim-Resal)*(1-EXP((Tnet-t)/(Tau_j))))*Salcycl</f>
        <v>4.3991628622751286E-2</v>
      </c>
      <c r="P251" s="338">
        <f>(INDEX(Models!$BJ251:$BT251,,T251)*(1-R251)+INDEX(Models!$BJ251:$BT251,,T251+1)*R251-ERP_i)*Q251*Ramure*Pc/MaxiM</f>
        <v>5.7026494521192263E-4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51.373983240153059</v>
      </c>
      <c r="W251" s="400">
        <f t="shared" si="86"/>
        <v>32.769115976244208</v>
      </c>
      <c r="X251" s="157">
        <f t="shared" si="87"/>
        <v>45163</v>
      </c>
      <c r="Y251" s="383">
        <f t="shared" si="88"/>
        <v>31.039894330390087</v>
      </c>
      <c r="Z251" s="383">
        <f t="shared" si="89"/>
        <v>32.056781305236406</v>
      </c>
      <c r="AA251" s="384">
        <f t="shared" si="90"/>
        <v>35.399955043997338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9.4440056056732863E-2</v>
      </c>
      <c r="AD251" s="230">
        <f>(INDEX(Models!$BJ251:$BT251,,AH251)*(1-AF251)+INDEX(Models!$BJ251:$BT251,,AH251+1)*AF251-ERP_i)*AE251*Ramure*Pc/MaxiM</f>
        <v>5.7026494521192263E-4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'2022'!Wh/'2022'!Env_an*'2023'!Env_an</f>
        <v>43.517998123990552</v>
      </c>
      <c r="C252" s="829"/>
      <c r="D252" s="391">
        <f t="shared" si="77"/>
        <v>44.944537185665929</v>
      </c>
      <c r="E252" s="383">
        <f t="shared" si="100"/>
        <v>47.01526556250181</v>
      </c>
      <c r="F252" s="383">
        <f t="shared" si="78"/>
        <v>47.036954971078281</v>
      </c>
      <c r="G252" s="110">
        <f t="shared" si="101"/>
        <v>0.85026418773256585</v>
      </c>
      <c r="H252" s="412" t="b">
        <f>Wh_hp&gt;='2022'!Maxi_hp</f>
        <v>0</v>
      </c>
      <c r="I252" s="379">
        <f>IF(H252,Wh_hp,'2022'!Maxi_hp)</f>
        <v>53.844483293966427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3.1739987793896751E-2</v>
      </c>
      <c r="M252" s="832"/>
      <c r="N252" s="832"/>
      <c r="O252" s="48">
        <f>IF(t&lt;Tnet,'2022'!Resal+('2022'!Salim-'2022'!Resal)*(1-EXP(('2022'!Tnet-t)/('2022'!Tau_j))),Resal+(Salim-Resal)*(1-EXP((Tnet-t)/(Tau_j))))*Salcycl</f>
        <v>4.4043745197675566E-2</v>
      </c>
      <c r="P252" s="338">
        <f>(INDEX(Models!$BJ252:$BT252,,T252)*(1-R252)+INDEX(Models!$BJ252:$BT252,,T252+1)*R252-ERP_i)*Q252*Ramure*Pc/MaxiM</f>
        <v>5.8647720052932163E-4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51.17531784688714</v>
      </c>
      <c r="W252" s="400">
        <f t="shared" si="86"/>
        <v>43.517998123990552</v>
      </c>
      <c r="X252" s="157">
        <f t="shared" si="87"/>
        <v>45164</v>
      </c>
      <c r="Y252" s="383">
        <f t="shared" si="88"/>
        <v>41.223711478322294</v>
      </c>
      <c r="Z252" s="383">
        <f t="shared" si="89"/>
        <v>42.575042817680092</v>
      </c>
      <c r="AA252" s="384">
        <f t="shared" si="90"/>
        <v>47.01526556250181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9.4442149623060495E-2</v>
      </c>
      <c r="AD252" s="230">
        <f>(INDEX(Models!$BJ252:$BT252,,AH252)*(1-AF252)+INDEX(Models!$BJ252:$BT252,,AH252+1)*AF252-ERP_i)*AE252*Ramure*Pc/MaxiM</f>
        <v>5.8647720052932163E-4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'2022'!Wh/'2022'!Env_an*'2023'!Env_an</f>
        <v>49.490613485134098</v>
      </c>
      <c r="C253" s="829"/>
      <c r="D253" s="391">
        <f t="shared" si="77"/>
        <v>51.113917083972126</v>
      </c>
      <c r="E253" s="383">
        <f t="shared" si="100"/>
        <v>53.471789444411705</v>
      </c>
      <c r="F253" s="383">
        <f t="shared" si="78"/>
        <v>53.502714469176382</v>
      </c>
      <c r="G253" s="110">
        <f t="shared" si="101"/>
        <v>0.97088692769888918</v>
      </c>
      <c r="H253" s="412" t="b">
        <f>Wh_hp&gt;='2022'!Maxi_hp</f>
        <v>0</v>
      </c>
      <c r="I253" s="379">
        <f>IF(H253,Wh_hp,'2022'!Maxi_hp)</f>
        <v>53.503080570691075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3.1758544276135114E-2</v>
      </c>
      <c r="M253" s="832"/>
      <c r="N253" s="832"/>
      <c r="O253" s="48">
        <f>IF(t&lt;Tnet,'2022'!Resal+('2022'!Salim-'2022'!Resal)*(1-EXP(('2022'!Tnet-t)/('2022'!Tau_j))),Resal+(Salim-Resal)*(1-EXP((Tnet-t)/(Tau_j))))*Salcycl</f>
        <v>4.4095632200429329E-2</v>
      </c>
      <c r="P253" s="338">
        <f>(INDEX(Models!$BJ253:$BT253,,T253)*(1-R253)+INDEX(Models!$BJ253:$BT253,,T253+1)*R253-ERP_i)*Q253*Ramure*Pc/MaxiM</f>
        <v>6.030692573251406E-4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50.973363719938384</v>
      </c>
      <c r="W253" s="400">
        <f t="shared" si="86"/>
        <v>49.490613485134098</v>
      </c>
      <c r="X253" s="157">
        <f t="shared" si="87"/>
        <v>45165</v>
      </c>
      <c r="Y253" s="383">
        <f t="shared" si="88"/>
        <v>46.883903863463289</v>
      </c>
      <c r="Z253" s="383">
        <f t="shared" si="89"/>
        <v>48.42170678223286</v>
      </c>
      <c r="AA253" s="384">
        <f t="shared" si="90"/>
        <v>53.471789444411705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9.4443868713778814E-2</v>
      </c>
      <c r="AD253" s="230">
        <f>(INDEX(Models!$BJ253:$BT253,,AH253)*(1-AF253)+INDEX(Models!$BJ253:$BT253,,AH253+1)*AF253-ERP_i)*AE253*Ramure*Pc/MaxiM</f>
        <v>6.030692573251406E-4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'2022'!Wh/'2022'!Env_an*'2023'!Env_an</f>
        <v>48.414535420569308</v>
      </c>
      <c r="C254" s="829"/>
      <c r="D254" s="391">
        <f t="shared" si="77"/>
        <v>50.003501715057396</v>
      </c>
      <c r="E254" s="383">
        <f t="shared" si="100"/>
        <v>52.312977504299916</v>
      </c>
      <c r="F254" s="383">
        <f t="shared" si="78"/>
        <v>52.343290847485058</v>
      </c>
      <c r="G254" s="110">
        <f t="shared" si="101"/>
        <v>0.95360141856617819</v>
      </c>
      <c r="H254" s="412" t="b">
        <f>Wh_hp&gt;='2022'!Maxi_hp</f>
        <v>0</v>
      </c>
      <c r="I254" s="379">
        <f>IF(H254,Wh_hp,'2022'!Maxi_hp)</f>
        <v>54.734917062438733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3.177710040274262E-2</v>
      </c>
      <c r="M254" s="832"/>
      <c r="N254" s="832"/>
      <c r="O254" s="48">
        <f>IF(t&lt;Tnet,'2022'!Resal+('2022'!Salim-'2022'!Resal)*(1-EXP(('2022'!Tnet-t)/('2022'!Tau_j))),Resal+(Salim-Resal)*(1-EXP((Tnet-t)/(Tau_j))))*Salcycl</f>
        <v>4.4147282365120305E-2</v>
      </c>
      <c r="P254" s="338">
        <f>(INDEX(Models!$BJ254:$BT254,,T254)*(1-R254)+INDEX(Models!$BJ254:$BT254,,T254+1)*R254-ERP_i)*Q254*Ramure*Pc/MaxiM</f>
        <v>6.2020009043591224E-4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50.768114147607264</v>
      </c>
      <c r="W254" s="400">
        <f t="shared" si="86"/>
        <v>48.414535420569308</v>
      </c>
      <c r="X254" s="157">
        <f t="shared" si="87"/>
        <v>45166</v>
      </c>
      <c r="Y254" s="383">
        <f t="shared" si="88"/>
        <v>45.866914622573098</v>
      </c>
      <c r="Z254" s="383">
        <f t="shared" si="89"/>
        <v>47.372267937116476</v>
      </c>
      <c r="AA254" s="384">
        <f t="shared" si="90"/>
        <v>52.312977504299916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9.4445198933234817E-2</v>
      </c>
      <c r="AD254" s="230">
        <f>(INDEX(Models!$BJ254:$BT254,,AH254)*(1-AF254)+INDEX(Models!$BJ254:$BT254,,AH254+1)*AF254-ERP_i)*AE254*Ramure*Pc/MaxiM</f>
        <v>6.2020009043591224E-4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'2022'!Wh/'2022'!Env_an*'2023'!Env_an</f>
        <v>33.128948375218798</v>
      </c>
      <c r="C255" s="829"/>
      <c r="D255" s="391">
        <f t="shared" si="77"/>
        <v>34.216897069781346</v>
      </c>
      <c r="E255" s="383">
        <f t="shared" si="100"/>
        <v>35.7991735794322</v>
      </c>
      <c r="F255" s="383">
        <f t="shared" si="78"/>
        <v>35.810763143124362</v>
      </c>
      <c r="G255" s="110">
        <f t="shared" si="101"/>
        <v>0.65503987265339625</v>
      </c>
      <c r="H255" s="412" t="b">
        <f>Wh_hp&gt;='2022'!Maxi_hp</f>
        <v>0</v>
      </c>
      <c r="I255" s="379">
        <f>IF(H255,Wh_hp,'2022'!Maxi_hp)</f>
        <v>54.247939934538053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3.1795656173726261E-2</v>
      </c>
      <c r="M255" s="832"/>
      <c r="N255" s="832"/>
      <c r="O255" s="48">
        <f>IF(t&lt;Tnet,'2022'!Resal+('2022'!Salim-'2022'!Resal)*(1-EXP(('2022'!Tnet-t)/('2022'!Tau_j))),Resal+(Salim-Resal)*(1-EXP((Tnet-t)/(Tau_j))))*Salcycl</f>
        <v>4.4198688166363881E-2</v>
      </c>
      <c r="P255" s="338">
        <f>(INDEX(Models!$BJ255:$BT255,,T255)*(1-R255)+INDEX(Models!$BJ255:$BT255,,T255+1)*R255-ERP_i)*Q255*Ramure*Pc/MaxiM</f>
        <v>6.3770919145234169E-4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50.559578726403345</v>
      </c>
      <c r="W255" s="400">
        <f t="shared" si="86"/>
        <v>33.128948375218798</v>
      </c>
      <c r="X255" s="157">
        <f t="shared" si="87"/>
        <v>45167</v>
      </c>
      <c r="Y255" s="383">
        <f t="shared" si="88"/>
        <v>31.387326206127891</v>
      </c>
      <c r="Z255" s="383">
        <f t="shared" si="89"/>
        <v>32.418080342510592</v>
      </c>
      <c r="AA255" s="384">
        <f t="shared" si="90"/>
        <v>35.7991735794322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9.4446125395033068E-2</v>
      </c>
      <c r="AD255" s="230">
        <f>(INDEX(Models!$BJ255:$BT255,,AH255)*(1-AF255)+INDEX(Models!$BJ255:$BT255,,AH255+1)*AF255-ERP_i)*AE255*Ramure*Pc/MaxiM</f>
        <v>6.3770919145234169E-4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'2022'!Wh/'2022'!Env_an*'2023'!Env_an</f>
        <v>48.095734309952682</v>
      </c>
      <c r="C256" s="829"/>
      <c r="D256" s="391">
        <f t="shared" si="77"/>
        <v>49.676141589407834</v>
      </c>
      <c r="E256" s="383">
        <f t="shared" si="100"/>
        <v>51.976074671306463</v>
      </c>
      <c r="F256" s="383">
        <f t="shared" si="78"/>
        <v>52.007992440198066</v>
      </c>
      <c r="G256" s="110">
        <f t="shared" si="101"/>
        <v>0.95523057160917901</v>
      </c>
      <c r="H256" s="412" t="b">
        <f>Wh_hp&gt;='2022'!Maxi_hp</f>
        <v>0</v>
      </c>
      <c r="I256" s="379">
        <f>IF(H256,Wh_hp,'2022'!Maxi_hp)</f>
        <v>52.905760781813107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3.1814211589092811E-2</v>
      </c>
      <c r="M256" s="832"/>
      <c r="N256" s="832"/>
      <c r="O256" s="48">
        <f>IF(t&lt;Tnet,'2022'!Resal+('2022'!Salim-'2022'!Resal)*(1-EXP(('2022'!Tnet-t)/('2022'!Tau_j))),Resal+(Salim-Resal)*(1-EXP((Tnet-t)/(Tau_j))))*Salcycl</f>
        <v>4.4249841805932152E-2</v>
      </c>
      <c r="P256" s="338">
        <f>(INDEX(Models!$BJ256:$BT256,,T256)*(1-R256)+INDEX(Models!$BJ256:$BT256,,T256+1)*R256-ERP_i)*Q256*Ramure*Pc/MaxiM</f>
        <v>6.5560126552583657E-4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50.3477586029788</v>
      </c>
      <c r="W256" s="400">
        <f t="shared" si="86"/>
        <v>48.095734309952682</v>
      </c>
      <c r="X256" s="157">
        <f t="shared" si="87"/>
        <v>45168</v>
      </c>
      <c r="Y256" s="383">
        <f t="shared" si="88"/>
        <v>45.569706459293855</v>
      </c>
      <c r="Z256" s="383">
        <f t="shared" si="89"/>
        <v>47.067109437836159</v>
      </c>
      <c r="AA256" s="384">
        <f t="shared" si="90"/>
        <v>51.976074671306463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9.4446632696183794E-2</v>
      </c>
      <c r="AD256" s="230">
        <f>(INDEX(Models!$BJ256:$BT256,,AH256)*(1-AF256)+INDEX(Models!$BJ256:$BT256,,AH256+1)*AF256-ERP_i)*AE256*Ramure*Pc/MaxiM</f>
        <v>6.5560126552583657E-4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'2022'!Wh/'2022'!Env_an*'2023'!Env_an</f>
        <v>24.843027748284424</v>
      </c>
      <c r="C257" s="829"/>
      <c r="D257" s="391">
        <f t="shared" si="77"/>
        <v>25.659851823630085</v>
      </c>
      <c r="E257" s="383">
        <f t="shared" si="100"/>
        <v>26.849295347007462</v>
      </c>
      <c r="F257" s="383">
        <f t="shared" si="78"/>
        <v>26.854350663990562</v>
      </c>
      <c r="G257" s="110">
        <f t="shared" si="101"/>
        <v>0.4953051249186991</v>
      </c>
      <c r="H257" s="412" t="b">
        <f>Wh_hp&gt;='2022'!Maxi_hp</f>
        <v>0</v>
      </c>
      <c r="I257" s="379">
        <f>IF(H257,Wh_hp,'2022'!Maxi_hp)</f>
        <v>52.429420207764473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3.1832766648849042E-2</v>
      </c>
      <c r="M257" s="832"/>
      <c r="N257" s="832"/>
      <c r="O257" s="48">
        <f>IF(t&lt;Tnet,'2022'!Resal+('2022'!Salim-'2022'!Resal)*(1-EXP(('2022'!Tnet-t)/('2022'!Tau_j))),Resal+(Salim-Resal)*(1-EXP((Tnet-t)/(Tau_j))))*Salcycl</f>
        <v>4.4300735196387532E-2</v>
      </c>
      <c r="P257" s="338">
        <f>(INDEX(Models!$BJ257:$BT257,,T257)*(1-R257)+INDEX(Models!$BJ257:$BT257,,T257+1)*R257-ERP_i)*Q257*Ramure*Pc/MaxiM</f>
        <v>6.7388103358902434E-4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50.132654940935502</v>
      </c>
      <c r="W257" s="400">
        <f t="shared" si="86"/>
        <v>24.843027748284424</v>
      </c>
      <c r="X257" s="157">
        <f t="shared" si="87"/>
        <v>45169</v>
      </c>
      <c r="Y257" s="383">
        <f t="shared" si="88"/>
        <v>23.53950292377322</v>
      </c>
      <c r="Z257" s="383">
        <f t="shared" si="89"/>
        <v>24.313467872998675</v>
      </c>
      <c r="AA257" s="384">
        <f t="shared" si="90"/>
        <v>26.849295347007462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9.4446704884991434E-2</v>
      </c>
      <c r="AD257" s="230">
        <f>(INDEX(Models!$BJ257:$BT257,,AH257)*(1-AF257)+INDEX(Models!$BJ257:$BT257,,AH257+1)*AF257-ERP_i)*AE257*Ramure*Pc/MaxiM</f>
        <v>6.7388103358902434E-4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'2022'!Wh/'2022'!Env_an*'2023'!Env_an</f>
        <v>40.666447027706958</v>
      </c>
      <c r="C258" s="829"/>
      <c r="D258" s="391">
        <f t="shared" si="77"/>
        <v>42.004340784247006</v>
      </c>
      <c r="E258" s="383">
        <f t="shared" si="100"/>
        <v>43.953749342129278</v>
      </c>
      <c r="F258" s="383">
        <f t="shared" si="78"/>
        <v>43.976144198140545</v>
      </c>
      <c r="G258" s="110">
        <f t="shared" si="101"/>
        <v>0.81457646932363315</v>
      </c>
      <c r="H258" s="412" t="b">
        <f>Wh_hp&gt;='2022'!Maxi_hp</f>
        <v>0</v>
      </c>
      <c r="I258" s="379">
        <f>IF(H258,Wh_hp,'2022'!Maxi_hp)</f>
        <v>47.872949450269061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3.1851321353001727E-2</v>
      </c>
      <c r="M258" s="832"/>
      <c r="N258" s="832"/>
      <c r="O258" s="48">
        <f>IF(t&lt;Tnet,'2022'!Resal+('2022'!Salim-'2022'!Resal)*(1-EXP(('2022'!Tnet-t)/('2022'!Tau_j))),Resal+(Salim-Resal)*(1-EXP((Tnet-t)/(Tau_j))))*Salcycl</f>
        <v>4.4351359942205876E-2</v>
      </c>
      <c r="P258" s="338">
        <f>(INDEX(Models!$BJ258:$BT258,,T258)*(1-R258)+INDEX(Models!$BJ258:$BT258,,T258+1)*R258-ERP_i)*Q258*Ramure*Pc/MaxiM</f>
        <v>6.9255322441215872E-4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49.914268916710974</v>
      </c>
      <c r="W258" s="400">
        <f t="shared" si="86"/>
        <v>40.666447027706958</v>
      </c>
      <c r="X258" s="157">
        <f t="shared" si="87"/>
        <v>45170</v>
      </c>
      <c r="Y258" s="383">
        <f t="shared" si="88"/>
        <v>38.534717671623532</v>
      </c>
      <c r="Z258" s="383">
        <f t="shared" si="89"/>
        <v>39.802479228166021</v>
      </c>
      <c r="AA258" s="384">
        <f t="shared" si="90"/>
        <v>43.953749342129278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9.4446325423808555E-2</v>
      </c>
      <c r="AD258" s="230">
        <f>(INDEX(Models!$BJ258:$BT258,,AH258)*(1-AF258)+INDEX(Models!$BJ258:$BT258,,AH258+1)*AF258-ERP_i)*AE258*Ramure*Pc/MaxiM</f>
        <v>6.9255322441215872E-4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'2022'!Wh/'2022'!Env_an*'2023'!Env_an</f>
        <v>39.138722679716828</v>
      </c>
      <c r="C259" s="829"/>
      <c r="D259" s="391">
        <f t="shared" si="77"/>
        <v>40.427130297261229</v>
      </c>
      <c r="E259" s="383">
        <f t="shared" si="100"/>
        <v>42.305569826666265</v>
      </c>
      <c r="F259" s="383">
        <f t="shared" si="78"/>
        <v>42.326551645089737</v>
      </c>
      <c r="G259" s="110">
        <f t="shared" si="101"/>
        <v>0.78744655549742992</v>
      </c>
      <c r="H259" s="412" t="b">
        <f>Wh_hp&gt;='2022'!Maxi_hp</f>
        <v>0</v>
      </c>
      <c r="I259" s="379">
        <f>IF(H259,Wh_hp,'2022'!Maxi_hp)</f>
        <v>52.448101483562709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3.1869875701557859E-2</v>
      </c>
      <c r="M259" s="832"/>
      <c r="N259" s="832"/>
      <c r="O259" s="48">
        <f>IF(t&lt;Tnet,'2022'!Resal+('2022'!Salim-'2022'!Resal)*(1-EXP(('2022'!Tnet-t)/('2022'!Tau_j))),Resal+(Salim-Resal)*(1-EXP((Tnet-t)/(Tau_j))))*Salcycl</f>
        <v>4.4401707318949837E-2</v>
      </c>
      <c r="P259" s="338">
        <f>(INDEX(Models!$BJ259:$BT259,,T259)*(1-R259)+INDEX(Models!$BJ259:$BT259,,T259+1)*R259-ERP_i)*Q259*Ramure*Pc/MaxiM</f>
        <v>7.1162256528998276E-4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49.692601723457926</v>
      </c>
      <c r="W259" s="400">
        <f t="shared" si="86"/>
        <v>39.138722679716828</v>
      </c>
      <c r="X259" s="157">
        <f t="shared" si="87"/>
        <v>45171</v>
      </c>
      <c r="Y259" s="383">
        <f t="shared" si="88"/>
        <v>37.089065157111655</v>
      </c>
      <c r="Z259" s="383">
        <f t="shared" si="89"/>
        <v>38.310000098373486</v>
      </c>
      <c r="AA259" s="384">
        <f t="shared" si="90"/>
        <v>42.305569826666265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9.4445477147887799E-2</v>
      </c>
      <c r="AD259" s="230">
        <f>(INDEX(Models!$BJ259:$BT259,,AH259)*(1-AF259)+INDEX(Models!$BJ259:$BT259,,AH259+1)*AF259-ERP_i)*AE259*Ramure*Pc/MaxiM</f>
        <v>7.1162256528998276E-4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'2022'!Wh/'2022'!Env_an*'2023'!Env_an</f>
        <v>38.212460113842859</v>
      </c>
      <c r="C260" s="829"/>
      <c r="D260" s="391">
        <f t="shared" si="77"/>
        <v>39.471132549098009</v>
      </c>
      <c r="E260" s="383">
        <f t="shared" si="100"/>
        <v>41.307315777096555</v>
      </c>
      <c r="F260" s="383">
        <f t="shared" si="78"/>
        <v>41.32770938098583</v>
      </c>
      <c r="G260" s="110">
        <f t="shared" si="101"/>
        <v>0.77229000287062766</v>
      </c>
      <c r="H260" s="412" t="b">
        <f>Wh_hp&gt;='2022'!Maxi_hp</f>
        <v>0</v>
      </c>
      <c r="I260" s="379">
        <f>IF(H260,Wh_hp,'2022'!Maxi_hp)</f>
        <v>55.043508007448153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3.188842969452399E-2</v>
      </c>
      <c r="M260" s="832"/>
      <c r="N260" s="832"/>
      <c r="O260" s="48">
        <f>IF(t&lt;Tnet,'2022'!Resal+('2022'!Salim-'2022'!Resal)*(1-EXP(('2022'!Tnet-t)/('2022'!Tau_j))),Resal+(Salim-Resal)*(1-EXP((Tnet-t)/(Tau_j))))*Salcycl</f>
        <v>4.4451768251101087E-2</v>
      </c>
      <c r="P260" s="338">
        <f>(INDEX(Models!$BJ260:$BT260,,T260)*(1-R260)+INDEX(Models!$BJ260:$BT260,,T260+1)*R260-ERP_i)*Q260*Ramure*Pc/MaxiM</f>
        <v>7.3109377150637098E-4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49.467654569780258</v>
      </c>
      <c r="W260" s="400">
        <f t="shared" si="86"/>
        <v>38.212460113842859</v>
      </c>
      <c r="X260" s="157">
        <f t="shared" si="87"/>
        <v>45172</v>
      </c>
      <c r="Y260" s="383">
        <f t="shared" si="88"/>
        <v>36.213260562345894</v>
      </c>
      <c r="Z260" s="383">
        <f t="shared" si="89"/>
        <v>37.406081771049628</v>
      </c>
      <c r="AA260" s="384">
        <f t="shared" si="90"/>
        <v>41.307315777096555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9.4444142221655106E-2</v>
      </c>
      <c r="AD260" s="230">
        <f>(INDEX(Models!$BJ260:$BT260,,AH260)*(1-AF260)+INDEX(Models!$BJ260:$BT260,,AH260+1)*AF260-ERP_i)*AE260*Ramure*Pc/MaxiM</f>
        <v>7.3109377150637098E-4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'2022'!Wh/'2022'!Env_an*'2023'!Env_an</f>
        <v>46.184161550602468</v>
      </c>
      <c r="C261" s="829"/>
      <c r="D261" s="391">
        <f t="shared" si="77"/>
        <v>47.706326515560995</v>
      </c>
      <c r="E261" s="383">
        <f t="shared" si="100"/>
        <v>49.928208341123714</v>
      </c>
      <c r="F261" s="383">
        <f t="shared" si="78"/>
        <v>49.962402815992007</v>
      </c>
      <c r="G261" s="110">
        <f t="shared" si="101"/>
        <v>0.93788832076065642</v>
      </c>
      <c r="H261" s="412" t="b">
        <f>Wh_hp&gt;='2022'!Maxi_hp</f>
        <v>0</v>
      </c>
      <c r="I261" s="379">
        <f>IF(H261,Wh_hp,'2022'!Maxi_hp)</f>
        <v>53.392231312994895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3.1906983331907224E-2</v>
      </c>
      <c r="M261" s="832"/>
      <c r="N261" s="832"/>
      <c r="O261" s="48">
        <f>IF(t&lt;Tnet,'2022'!Resal+('2022'!Salim-'2022'!Resal)*(1-EXP(('2022'!Tnet-t)/('2022'!Tau_j))),Resal+(Salim-Resal)*(1-EXP((Tnet-t)/(Tau_j))))*Salcycl</f>
        <v>4.4501533289201797E-2</v>
      </c>
      <c r="P261" s="338">
        <f>(INDEX(Models!$BJ261:$BT261,,T261)*(1-R261)+INDEX(Models!$BJ261:$BT261,,T261+1)*R261-ERP_i)*Q261*Ramure*Pc/MaxiM</f>
        <v>7.5097153441066374E-4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49.239428685791601</v>
      </c>
      <c r="W261" s="400">
        <f t="shared" si="86"/>
        <v>46.184161550602468</v>
      </c>
      <c r="X261" s="157">
        <f t="shared" si="87"/>
        <v>45173</v>
      </c>
      <c r="Y261" s="383">
        <f t="shared" si="88"/>
        <v>43.770267007817026</v>
      </c>
      <c r="Z261" s="383">
        <f t="shared" si="89"/>
        <v>45.212873405968907</v>
      </c>
      <c r="AA261" s="384">
        <f t="shared" si="90"/>
        <v>49.928208341123714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9.4442302093804331E-2</v>
      </c>
      <c r="AD261" s="230">
        <f>(INDEX(Models!$BJ261:$BT261,,AH261)*(1-AF261)+INDEX(Models!$BJ261:$BT261,,AH261+1)*AF261-ERP_i)*AE261*Ramure*Pc/MaxiM</f>
        <v>7.5097153441066374E-4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'2022'!Wh/'2022'!Env_an*'2023'!Env_an</f>
        <v>40.369131890591241</v>
      </c>
      <c r="C262" s="829"/>
      <c r="D262" s="391">
        <f t="shared" si="77"/>
        <v>41.70044084148406</v>
      </c>
      <c r="E262" s="383">
        <f t="shared" si="100"/>
        <v>43.644862800572504</v>
      </c>
      <c r="F262" s="383">
        <f t="shared" si="78"/>
        <v>43.670075785965565</v>
      </c>
      <c r="G262" s="110">
        <f t="shared" si="101"/>
        <v>0.82356678373623493</v>
      </c>
      <c r="H262" s="412" t="b">
        <f>Wh_hp&gt;='2022'!Maxi_hp</f>
        <v>0</v>
      </c>
      <c r="I262" s="379">
        <f>IF(H262,Wh_hp,'2022'!Maxi_hp)</f>
        <v>53.427461866974461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3.1925536613714112E-2</v>
      </c>
      <c r="M262" s="832"/>
      <c r="N262" s="832"/>
      <c r="O262" s="48">
        <f>IF(t&lt;Tnet,'2022'!Resal+('2022'!Salim-'2022'!Resal)*(1-EXP(('2022'!Tnet-t)/('2022'!Tau_j))),Resal+(Salim-Resal)*(1-EXP((Tnet-t)/(Tau_j))))*Salcycl</f>
        <v>4.4550992586988712E-2</v>
      </c>
      <c r="P262" s="338">
        <f>(INDEX(Models!$BJ262:$BT262,,T262)*(1-R262)+INDEX(Models!$BJ262:$BT262,,T262+1)*R262-ERP_i)*Q262*Ramure*Pc/MaxiM</f>
        <v>7.7167325572821135E-4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49.007905074439449</v>
      </c>
      <c r="W262" s="400">
        <f t="shared" si="86"/>
        <v>40.369131890591241</v>
      </c>
      <c r="X262" s="157">
        <f t="shared" si="87"/>
        <v>45174</v>
      </c>
      <c r="Y262" s="383">
        <f t="shared" si="88"/>
        <v>38.261250277298046</v>
      </c>
      <c r="Z262" s="383">
        <f t="shared" si="89"/>
        <v>39.52304468755608</v>
      </c>
      <c r="AA262" s="384">
        <f t="shared" si="90"/>
        <v>43.644862800572504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9.4439937452669889E-2</v>
      </c>
      <c r="AD262" s="230">
        <f>(INDEX(Models!$BJ262:$BT262,,AH262)*(1-AF262)+INDEX(Models!$BJ262:$BT262,,AH262+1)*AF262-ERP_i)*AE262*Ramure*Pc/MaxiM</f>
        <v>7.7167325572821135E-4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'2022'!Wh/'2022'!Env_an*'2023'!Env_an</f>
        <v>45.684054602452306</v>
      </c>
      <c r="C263" s="829"/>
      <c r="D263" s="391">
        <f t="shared" si="77"/>
        <v>47.191545559328191</v>
      </c>
      <c r="E263" s="383">
        <f t="shared" si="100"/>
        <v>49.394549163723504</v>
      </c>
      <c r="F263" s="383">
        <f t="shared" si="78"/>
        <v>49.430205814108909</v>
      </c>
      <c r="G263" s="110">
        <f t="shared" si="101"/>
        <v>0.93659791164386219</v>
      </c>
      <c r="H263" s="412" t="b">
        <f>Wh_hp&gt;='2022'!Maxi_hp</f>
        <v>0</v>
      </c>
      <c r="I263" s="379">
        <f>IF(H263,Wh_hp,'2022'!Maxi_hp)</f>
        <v>54.427802265876565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3.1944089539951648E-2</v>
      </c>
      <c r="M263" s="832"/>
      <c r="N263" s="832"/>
      <c r="O263" s="48">
        <f>IF(t&lt;Tnet,'2022'!Resal+('2022'!Salim-'2022'!Resal)*(1-EXP(('2022'!Tnet-t)/('2022'!Tau_j))),Resal+(Salim-Resal)*(1-EXP((Tnet-t)/(Tau_j))))*Salcycl</f>
        <v>4.4600135879228765E-2</v>
      </c>
      <c r="P263" s="338">
        <f>(INDEX(Models!$BJ263:$BT263,,T263)*(1-R263)+INDEX(Models!$BJ263:$BT263,,T263+1)*R263-ERP_i)*Q263*Ramure*Pc/MaxiM</f>
        <v>7.9311300120420191E-4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48.773089712899967</v>
      </c>
      <c r="W263" s="400">
        <f t="shared" si="86"/>
        <v>45.684054602452306</v>
      </c>
      <c r="X263" s="157">
        <f t="shared" si="87"/>
        <v>45175</v>
      </c>
      <c r="Y263" s="383">
        <f t="shared" si="88"/>
        <v>43.301019608686232</v>
      </c>
      <c r="Z263" s="383">
        <f t="shared" si="89"/>
        <v>44.72987473224385</v>
      </c>
      <c r="AA263" s="384">
        <f t="shared" si="90"/>
        <v>49.394549163723504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9.4437028183374905E-2</v>
      </c>
      <c r="AD263" s="230">
        <f>(INDEX(Models!$BJ263:$BT263,,AH263)*(1-AF263)+INDEX(Models!$BJ263:$BT263,,AH263+1)*AF263-ERP_i)*AE263*Ramure*Pc/MaxiM</f>
        <v>7.9311300120420191E-4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'2022'!Wh/'2022'!Env_an*'2023'!Env_an</f>
        <v>36.367915117430591</v>
      </c>
      <c r="C264" s="829"/>
      <c r="D264" s="391">
        <f t="shared" si="77"/>
        <v>37.568710361265509</v>
      </c>
      <c r="E264" s="383">
        <f t="shared" si="100"/>
        <v>39.324508470517074</v>
      </c>
      <c r="F264" s="383">
        <f t="shared" si="78"/>
        <v>39.345098589481687</v>
      </c>
      <c r="G264" s="110">
        <f t="shared" si="101"/>
        <v>0.74909452884231309</v>
      </c>
      <c r="H264" s="412" t="b">
        <f>Wh_hp&gt;='2022'!Maxi_hp</f>
        <v>0</v>
      </c>
      <c r="I264" s="379">
        <f>IF(H264,Wh_hp,'2022'!Maxi_hp)</f>
        <v>49.351657913110358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3.1962642110626605E-2</v>
      </c>
      <c r="M264" s="832"/>
      <c r="N264" s="832"/>
      <c r="O264" s="48">
        <f>IF(t&lt;Tnet,'2022'!Resal+('2022'!Salim-'2022'!Resal)*(1-EXP(('2022'!Tnet-t)/('2022'!Tau_j))),Resal+(Salim-Resal)*(1-EXP((Tnet-t)/(Tau_j))))*Salcycl</f>
        <v>4.4648952460981106E-2</v>
      </c>
      <c r="P264" s="338">
        <f>(INDEX(Models!$BJ264:$BT264,,T264)*(1-R264)+INDEX(Models!$BJ264:$BT264,,T264+1)*R264-ERP_i)*Q264*Ramure*Pc/MaxiM</f>
        <v>8.1529890998183197E-4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48.534983947005365</v>
      </c>
      <c r="W264" s="400">
        <f t="shared" si="86"/>
        <v>36.367915117430591</v>
      </c>
      <c r="X264" s="157">
        <f t="shared" si="87"/>
        <v>45176</v>
      </c>
      <c r="Y264" s="383">
        <f t="shared" si="88"/>
        <v>34.472735180002523</v>
      </c>
      <c r="Z264" s="383">
        <f t="shared" si="89"/>
        <v>35.610955402758371</v>
      </c>
      <c r="AA264" s="384">
        <f t="shared" si="90"/>
        <v>39.324508470517074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9.4433553328273218E-2</v>
      </c>
      <c r="AD264" s="230">
        <f>(INDEX(Models!$BJ264:$BT264,,AH264)*(1-AF264)+INDEX(Models!$BJ264:$BT264,,AH264+1)*AF264-ERP_i)*AE264*Ramure*Pc/MaxiM</f>
        <v>8.1529890998183197E-4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'2022'!Wh/'2022'!Env_an*'2023'!Env_an</f>
        <v>35.345598818195285</v>
      </c>
      <c r="C265" s="829"/>
      <c r="D265" s="391">
        <f t="shared" si="77"/>
        <v>36.513339008508218</v>
      </c>
      <c r="E265" s="383">
        <f t="shared" si="100"/>
        <v>38.221753190918484</v>
      </c>
      <c r="F265" s="383">
        <f t="shared" si="78"/>
        <v>38.24153100911488</v>
      </c>
      <c r="G265" s="110">
        <f t="shared" si="101"/>
        <v>0.73165497941004232</v>
      </c>
      <c r="H265" s="412" t="b">
        <f>Wh_hp&gt;='2022'!Maxi_hp</f>
        <v>0</v>
      </c>
      <c r="I265" s="379">
        <f>IF(H265,Wh_hp,'2022'!Maxi_hp)</f>
        <v>48.219770599083176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3.1981194325745754E-2</v>
      </c>
      <c r="M265" s="832"/>
      <c r="N265" s="832"/>
      <c r="O265" s="48">
        <f>IF(t&lt;Tnet,'2022'!Resal+('2022'!Salim-'2022'!Resal)*(1-EXP(('2022'!Tnet-t)/('2022'!Tau_j))),Resal+(Salim-Resal)*(1-EXP((Tnet-t)/(Tau_j))))*Salcycl</f>
        <v>4.4697431169017858E-2</v>
      </c>
      <c r="P265" s="338">
        <f>(INDEX(Models!$BJ265:$BT265,,T265)*(1-R265)+INDEX(Models!$BJ265:$BT265,,T265+1)*R265-ERP_i)*Q265*Ramure*Pc/MaxiM</f>
        <v>8.3823911133053611E-4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48.293589153929624</v>
      </c>
      <c r="W265" s="400">
        <f t="shared" si="86"/>
        <v>35.345598818195285</v>
      </c>
      <c r="X265" s="157">
        <f t="shared" si="87"/>
        <v>45177</v>
      </c>
      <c r="Y265" s="383">
        <f t="shared" si="88"/>
        <v>33.505543641556677</v>
      </c>
      <c r="Z265" s="383">
        <f t="shared" si="89"/>
        <v>34.612492489977051</v>
      </c>
      <c r="AA265" s="384">
        <f t="shared" si="90"/>
        <v>38.221753190918484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9.4429491052205189E-2</v>
      </c>
      <c r="AD265" s="230">
        <f>(INDEX(Models!$BJ265:$BT265,,AH265)*(1-AF265)+INDEX(Models!$BJ265:$BT265,,AH265+1)*AF265-ERP_i)*AE265*Ramure*Pc/MaxiM</f>
        <v>8.3823911133053611E-4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'2022'!Wh/'2022'!Env_an*'2023'!Env_an</f>
        <v>23.672972541672234</v>
      </c>
      <c r="C266" s="829"/>
      <c r="D266" s="391">
        <f t="shared" si="77"/>
        <v>24.4555437339836</v>
      </c>
      <c r="E266" s="383">
        <f t="shared" si="100"/>
        <v>25.601078329829097</v>
      </c>
      <c r="F266" s="383">
        <f t="shared" si="78"/>
        <v>25.607153926414519</v>
      </c>
      <c r="G266" s="110">
        <f t="shared" si="101"/>
        <v>0.4923770925288638</v>
      </c>
      <c r="H266" s="412" t="b">
        <f>Wh_hp&gt;='2022'!Maxi_hp</f>
        <v>0</v>
      </c>
      <c r="I266" s="379">
        <f>IF(H266,Wh_hp,'2022'!Maxi_hp)</f>
        <v>50.375328728188094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3.1999746185315869E-2</v>
      </c>
      <c r="M266" s="832"/>
      <c r="N266" s="832"/>
      <c r="O266" s="48">
        <f>IF(t&lt;Tnet,'2022'!Resal+('2022'!Salim-'2022'!Resal)*(1-EXP(('2022'!Tnet-t)/('2022'!Tau_j))),Resal+(Salim-Resal)*(1-EXP((Tnet-t)/(Tau_j))))*Salcycl</f>
        <v>4.4745560366134196E-2</v>
      </c>
      <c r="P266" s="338">
        <f>(INDEX(Models!$BJ266:$BT266,,T266)*(1-R266)+INDEX(Models!$BJ266:$BT266,,T266+1)*R266-ERP_i)*Q266*Ramure*Pc/MaxiM</f>
        <v>8.6194170437996957E-4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48.048906739020175</v>
      </c>
      <c r="W266" s="400">
        <f t="shared" si="86"/>
        <v>23.672972541672234</v>
      </c>
      <c r="X266" s="157">
        <f t="shared" si="87"/>
        <v>45178</v>
      </c>
      <c r="Y266" s="383">
        <f t="shared" si="88"/>
        <v>22.441828599703442</v>
      </c>
      <c r="Z266" s="383">
        <f t="shared" si="89"/>
        <v>23.183701152210389</v>
      </c>
      <c r="AA266" s="384">
        <f t="shared" si="90"/>
        <v>25.601078329829097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9.4424818614069872E-2</v>
      </c>
      <c r="AD266" s="230">
        <f>(INDEX(Models!$BJ266:$BT266,,AH266)*(1-AF266)+INDEX(Models!$BJ266:$BT266,,AH266+1)*AF266-ERP_i)*AE266*Ramure*Pc/MaxiM</f>
        <v>8.6194170437996957E-4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'2022'!Wh/'2022'!Env_an*'2023'!Env_an</f>
        <v>46.827531587662101</v>
      </c>
      <c r="C267" s="829"/>
      <c r="D267" s="391">
        <f t="shared" si="77"/>
        <v>48.376463600376674</v>
      </c>
      <c r="E267" s="383">
        <f t="shared" si="100"/>
        <v>50.645022710628915</v>
      </c>
      <c r="F267" s="383">
        <f t="shared" si="78"/>
        <v>50.688646778150165</v>
      </c>
      <c r="G267" s="110">
        <f t="shared" si="101"/>
        <v>0.97961096247971724</v>
      </c>
      <c r="H267" s="412" t="b">
        <f>Wh_hp&gt;='2022'!Maxi_hp</f>
        <v>0</v>
      </c>
      <c r="I267" s="379">
        <f>IF(H267,Wh_hp,'2022'!Maxi_hp)</f>
        <v>50.689006934365501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3.2018297689343944E-2</v>
      </c>
      <c r="M267" s="832"/>
      <c r="N267" s="832"/>
      <c r="O267" s="48">
        <f>IF(t&lt;Tnet,'2022'!Resal+('2022'!Salim-'2022'!Resal)*(1-EXP(('2022'!Tnet-t)/('2022'!Tau_j))),Resal+(Salim-Resal)*(1-EXP((Tnet-t)/(Tau_j))))*Salcycl</f>
        <v>4.4793327929066845E-2</v>
      </c>
      <c r="P267" s="338">
        <f>(INDEX(Models!$BJ267:$BT267,,T267)*(1-R267)+INDEX(Models!$BJ267:$BT267,,T267+1)*R267-ERP_i)*Q267*Ramure*Pc/MaxiM</f>
        <v>8.8641473638137209E-4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47.800938138441133</v>
      </c>
      <c r="W267" s="400">
        <f t="shared" si="86"/>
        <v>46.827531587662101</v>
      </c>
      <c r="X267" s="157">
        <f t="shared" si="87"/>
        <v>45179</v>
      </c>
      <c r="Y267" s="383">
        <f t="shared" si="88"/>
        <v>44.394684554329302</v>
      </c>
      <c r="Z267" s="383">
        <f t="shared" si="89"/>
        <v>45.863144363530168</v>
      </c>
      <c r="AA267" s="384">
        <f t="shared" si="90"/>
        <v>50.645022710628915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9.441951234617911E-2</v>
      </c>
      <c r="AD267" s="230">
        <f>(INDEX(Models!$BJ267:$BT267,,AH267)*(1-AF267)+INDEX(Models!$BJ267:$BT267,,AH267+1)*AF267-ERP_i)*AE267*Ramure*Pc/MaxiM</f>
        <v>8.8641473638137209E-4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'2022'!Wh/'2022'!Env_an*'2023'!Env_an</f>
        <v>46.251933058413847</v>
      </c>
      <c r="C268" s="829"/>
      <c r="D268" s="391">
        <f t="shared" si="77"/>
        <v>47.782741525731112</v>
      </c>
      <c r="E268" s="383">
        <f t="shared" si="100"/>
        <v>50.025940791570669</v>
      </c>
      <c r="F268" s="383">
        <f t="shared" si="78"/>
        <v>50.069829707745797</v>
      </c>
      <c r="G268" s="110">
        <f t="shared" si="101"/>
        <v>0.97267327446002128</v>
      </c>
      <c r="H268" s="412" t="b">
        <f>Wh_hp&gt;='2022'!Maxi_hp</f>
        <v>0</v>
      </c>
      <c r="I268" s="379">
        <f>IF(H268,Wh_hp,'2022'!Maxi_hp)</f>
        <v>50.070320857235181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3.2036848837836529E-2</v>
      </c>
      <c r="M268" s="832"/>
      <c r="N268" s="832"/>
      <c r="O268" s="48">
        <f>IF(t&lt;Tnet,'2022'!Resal+('2022'!Salim-'2022'!Resal)*(1-EXP(('2022'!Tnet-t)/('2022'!Tau_j))),Resal+(Salim-Resal)*(1-EXP((Tnet-t)/(Tau_j))))*Salcycl</f>
        <v>4.4840721240719479E-2</v>
      </c>
      <c r="P268" s="338">
        <f>(INDEX(Models!$BJ268:$BT268,,T268)*(1-R268)+INDEX(Models!$BJ268:$BT268,,T268+1)*R268-ERP_i)*Q268*Ramure*Pc/MaxiM</f>
        <v>9.1211638274055705E-4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47.549663393661</v>
      </c>
      <c r="W268" s="400">
        <f t="shared" si="86"/>
        <v>46.251933058413847</v>
      </c>
      <c r="X268" s="157">
        <f t="shared" si="87"/>
        <v>45180</v>
      </c>
      <c r="Y268" s="383">
        <f t="shared" si="88"/>
        <v>43.851454835301318</v>
      </c>
      <c r="Z268" s="383">
        <f t="shared" si="89"/>
        <v>45.302814247269687</v>
      </c>
      <c r="AA268" s="384">
        <f t="shared" si="90"/>
        <v>50.025940791570669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9.4413547642802589E-2</v>
      </c>
      <c r="AD268" s="230">
        <f>(INDEX(Models!$BJ268:$BT268,,AH268)*(1-AF268)+INDEX(Models!$BJ268:$BT268,,AH268+1)*AF268-ERP_i)*AE268*Ramure*Pc/MaxiM</f>
        <v>9.1211638274055705E-4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'2022'!Wh/'2022'!Env_an*'2023'!Env_an</f>
        <v>33.572299965351441</v>
      </c>
      <c r="C269" s="829"/>
      <c r="D269" s="391">
        <f t="shared" si="77"/>
        <v>34.6841130706717</v>
      </c>
      <c r="E269" s="383">
        <f t="shared" si="100"/>
        <v>36.314173797110939</v>
      </c>
      <c r="F269" s="383">
        <f t="shared" si="78"/>
        <v>36.33414741183374</v>
      </c>
      <c r="G269" s="110">
        <f t="shared" si="101"/>
        <v>0.7095710345413172</v>
      </c>
      <c r="H269" s="412" t="b">
        <f>Wh_hp&gt;='2022'!Maxi_hp</f>
        <v>0</v>
      </c>
      <c r="I269" s="379">
        <f>IF(H269,Wh_hp,'2022'!Maxi_hp)</f>
        <v>50.716513586551613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3.2055399630800729E-2</v>
      </c>
      <c r="M269" s="832"/>
      <c r="N269" s="832"/>
      <c r="O269" s="48">
        <f>IF(t&lt;Tnet,'2022'!Resal+('2022'!Salim-'2022'!Resal)*(1-EXP(('2022'!Tnet-t)/('2022'!Tau_j))),Resal+(Salim-Resal)*(1-EXP((Tnet-t)/(Tau_j))))*Salcycl</f>
        <v>4.488772718736405E-2</v>
      </c>
      <c r="P269" s="338">
        <f>(INDEX(Models!$BJ269:$BT269,,T269)*(1-R269)+INDEX(Models!$BJ269:$BT269,,T269+1)*R269-ERP_i)*Q269*Ramure*Pc/MaxiM</f>
        <v>9.3889603657622495E-4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47.295091847612156</v>
      </c>
      <c r="W269" s="400">
        <f t="shared" si="86"/>
        <v>33.572299965351441</v>
      </c>
      <c r="X269" s="157">
        <f t="shared" si="87"/>
        <v>45181</v>
      </c>
      <c r="Y269" s="383">
        <f t="shared" si="88"/>
        <v>31.831695707523789</v>
      </c>
      <c r="Z269" s="383">
        <f t="shared" si="89"/>
        <v>32.885865260658875</v>
      </c>
      <c r="AA269" s="384">
        <f t="shared" si="90"/>
        <v>36.314173797110939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9.4406898959238067E-2</v>
      </c>
      <c r="AD269" s="230">
        <f>(INDEX(Models!$BJ269:$BT269,,AH269)*(1-AF269)+INDEX(Models!$BJ269:$BT269,,AH269+1)*AF269-ERP_i)*AE269*Ramure*Pc/MaxiM</f>
        <v>9.3889603657622495E-4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'2022'!Wh/'2022'!Env_an*'2023'!Env_an</f>
        <v>14.251083467630256</v>
      </c>
      <c r="C270" s="829"/>
      <c r="D270" s="391">
        <f t="shared" si="77"/>
        <v>14.723318448382519</v>
      </c>
      <c r="E270" s="383">
        <f t="shared" si="100"/>
        <v>15.416027341558044</v>
      </c>
      <c r="F270" s="383">
        <f t="shared" si="78"/>
        <v>15.416090673460511</v>
      </c>
      <c r="G270" s="110">
        <f t="shared" si="101"/>
        <v>0.30268291720541407</v>
      </c>
      <c r="H270" s="412" t="b">
        <f>Wh_hp&gt;='2022'!Maxi_hp</f>
        <v>0</v>
      </c>
      <c r="I270" s="379">
        <f>IF(H270,Wh_hp,'2022'!Maxi_hp)</f>
        <v>48.946025733501244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3.2073950068243096E-2</v>
      </c>
      <c r="M270" s="832"/>
      <c r="N270" s="832"/>
      <c r="O270" s="48">
        <f>IF(t&lt;Tnet,'2022'!Resal+('2022'!Salim-'2022'!Resal)*(1-EXP(('2022'!Tnet-t)/('2022'!Tau_j))),Resal+(Salim-Resal)*(1-EXP((Tnet-t)/(Tau_j))))*Salcycl</f>
        <v>4.4934332161447425E-2</v>
      </c>
      <c r="P270" s="338">
        <f>(INDEX(Models!$BJ270:$BT270,,T270)*(1-R270)+INDEX(Models!$BJ270:$BT270,,T270+1)*R270-ERP_i)*Q270*Ramure*Pc/MaxiM</f>
        <v>9.6676479439538807E-4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47.037225102750334</v>
      </c>
      <c r="W270" s="400">
        <f t="shared" si="86"/>
        <v>14.251083467630256</v>
      </c>
      <c r="X270" s="157">
        <f t="shared" si="87"/>
        <v>45182</v>
      </c>
      <c r="Y270" s="383">
        <f t="shared" si="88"/>
        <v>13.51298468881143</v>
      </c>
      <c r="Z270" s="383">
        <f t="shared" si="89"/>
        <v>13.960761454621617</v>
      </c>
      <c r="AA270" s="384">
        <f t="shared" si="90"/>
        <v>15.416027341558044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9.4399539822647302E-2</v>
      </c>
      <c r="AD270" s="230">
        <f>(INDEX(Models!$BJ270:$BT270,,AH270)*(1-AF270)+INDEX(Models!$BJ270:$BT270,,AH270+1)*AF270-ERP_i)*AE270*Ramure*Pc/MaxiM</f>
        <v>9.6676479439538807E-4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'2022'!Wh/'2022'!Env_an*'2023'!Env_an</f>
        <v>35.736826398827581</v>
      </c>
      <c r="C271" s="829"/>
      <c r="D271" s="391">
        <f t="shared" ref="D271:D334" si="102">Wh/(1-Ppv)</f>
        <v>36.921737257302112</v>
      </c>
      <c r="E271" s="383">
        <f t="shared" si="100"/>
        <v>38.660716467639439</v>
      </c>
      <c r="F271" s="383">
        <f t="shared" ref="F271:F334" si="103">Wh_sa/(1-Pvg*MEDIAN((-Sdif+Wh/Env_an)/Csdif,0,1))</f>
        <v>38.686250418790998</v>
      </c>
      <c r="G271" s="110">
        <f t="shared" si="101"/>
        <v>0.76374148874588754</v>
      </c>
      <c r="H271" s="412" t="b">
        <f>Wh_hp&gt;='2022'!Maxi_hp</f>
        <v>0</v>
      </c>
      <c r="I271" s="379">
        <f>IF(H271,Wh_hp,'2022'!Maxi_hp)</f>
        <v>48.424336454195235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3.2092500150170622E-2</v>
      </c>
      <c r="M271" s="832"/>
      <c r="N271" s="832"/>
      <c r="O271" s="48">
        <f>IF(t&lt;Tnet,'2022'!Resal+('2022'!Salim-'2022'!Resal)*(1-EXP(('2022'!Tnet-t)/('2022'!Tau_j))),Resal+(Salim-Resal)*(1-EXP((Tnet-t)/(Tau_j))))*Salcycl</f>
        <v>4.4980522070586004E-2</v>
      </c>
      <c r="P271" s="338">
        <f>(INDEX(Models!$BJ271:$BT271,,T271)*(1-R271)+INDEX(Models!$BJ271:$BT271,,T271+1)*R271-ERP_i)*Q271*Ramure*Pc/MaxiM</f>
        <v>9.957336568134894E-4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46.776064799234668</v>
      </c>
      <c r="W271" s="400">
        <f t="shared" ref="W271:W334" si="111">Wh*(A271&gt;Tmaj)</f>
        <v>35.736826398827581</v>
      </c>
      <c r="X271" s="157">
        <f t="shared" ref="X271:X334" si="112">t</f>
        <v>45183</v>
      </c>
      <c r="Y271" s="383">
        <f t="shared" ref="Y271:Y334" si="113">Wh_pvt_s*(1-Ppv)</f>
        <v>33.887869870594869</v>
      </c>
      <c r="Z271" s="383">
        <f t="shared" ref="Z271:Z334" si="114">Wh_sa_s*(1-Psa_s)</f>
        <v>35.011475658420423</v>
      </c>
      <c r="AA271" s="384">
        <f t="shared" ref="AA271:AA334" si="115">Wh_hp*(1-Pvg_s*MEDIAN((-Sdif+Wh/Env_an)/Csdif,0,1))</f>
        <v>38.660716467639439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9.4391442855788099E-2</v>
      </c>
      <c r="AD271" s="230">
        <f>(INDEX(Models!$BJ271:$BT271,,AH271)*(1-AF271)+INDEX(Models!$BJ271:$BT271,,AH271+1)*AF271-ERP_i)*AE271*Ramure*Pc/MaxiM</f>
        <v>9.957336568134894E-4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'2022'!Wh/'2022'!Env_an*'2023'!Env_an</f>
        <v>40.929423496269223</v>
      </c>
      <c r="C272" s="829"/>
      <c r="D272" s="391">
        <f t="shared" si="102"/>
        <v>42.287313530183965</v>
      </c>
      <c r="E272" s="383">
        <f t="shared" si="100"/>
        <v>44.281128107263093</v>
      </c>
      <c r="F272" s="383">
        <f t="shared" si="103"/>
        <v>44.318796189496112</v>
      </c>
      <c r="G272" s="110">
        <f t="shared" si="101"/>
        <v>0.87982799249027821</v>
      </c>
      <c r="H272" s="412" t="b">
        <f>Wh_hp&gt;='2022'!Maxi_hp</f>
        <v>0</v>
      </c>
      <c r="I272" s="379">
        <f>IF(H272,Wh_hp,'2022'!Maxi_hp)</f>
        <v>49.537413864977964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3.2111049876590081E-2</v>
      </c>
      <c r="M272" s="832"/>
      <c r="N272" s="832"/>
      <c r="O272" s="48">
        <f>IF(t&lt;Tnet,'2022'!Resal+('2022'!Salim-'2022'!Resal)*(1-EXP(('2022'!Tnet-t)/('2022'!Tau_j))),Resal+(Salim-Resal)*(1-EXP((Tnet-t)/(Tau_j))))*Salcycl</f>
        <v>4.5026282353274015E-2</v>
      </c>
      <c r="P272" s="338">
        <f>(INDEX(Models!$BJ272:$BT272,,T272)*(1-R272)+INDEX(Models!$BJ272:$BT272,,T272+1)*R272-ERP_i)*Q272*Ramure*Pc/MaxiM</f>
        <v>1.0258134982695955E-3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46.511612614861633</v>
      </c>
      <c r="W272" s="400">
        <f t="shared" si="111"/>
        <v>40.929423496269223</v>
      </c>
      <c r="X272" s="157">
        <f t="shared" si="112"/>
        <v>45184</v>
      </c>
      <c r="Y272" s="383">
        <f t="shared" si="113"/>
        <v>38.814051351806086</v>
      </c>
      <c r="Z272" s="383">
        <f t="shared" si="114"/>
        <v>40.101760999396809</v>
      </c>
      <c r="AA272" s="384">
        <f t="shared" si="115"/>
        <v>44.281128107263093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9.4382579814645207E-2</v>
      </c>
      <c r="AD272" s="230">
        <f>(INDEX(Models!$BJ272:$BT272,,AH272)*(1-AF272)+INDEX(Models!$BJ272:$BT272,,AH272+1)*AF272-ERP_i)*AE272*Ramure*Pc/MaxiM</f>
        <v>1.0258134982695955E-3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'2022'!Wh/'2022'!Env_an*'2023'!Env_an</f>
        <v>32.702625216880946</v>
      </c>
      <c r="C273" s="829"/>
      <c r="D273" s="391">
        <f t="shared" si="102"/>
        <v>33.788227423274421</v>
      </c>
      <c r="E273" s="383">
        <f t="shared" si="100"/>
        <v>35.38299557597302</v>
      </c>
      <c r="F273" s="383">
        <f t="shared" si="103"/>
        <v>35.404764081617856</v>
      </c>
      <c r="G273" s="110">
        <f t="shared" si="101"/>
        <v>0.70686463032310476</v>
      </c>
      <c r="H273" s="412" t="b">
        <f>Wh_hp&gt;='2022'!Maxi_hp</f>
        <v>0</v>
      </c>
      <c r="I273" s="379">
        <f>IF(H273,Wh_hp,'2022'!Maxi_hp)</f>
        <v>43.865326468567289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3.2129599247508245E-2</v>
      </c>
      <c r="M273" s="832"/>
      <c r="N273" s="832"/>
      <c r="O273" s="48">
        <f>IF(t&lt;Tnet,'2022'!Resal+('2022'!Salim-'2022'!Resal)*(1-EXP(('2022'!Tnet-t)/('2022'!Tau_j))),Resal+(Salim-Resal)*(1-EXP((Tnet-t)/(Tau_j))))*Salcycl</f>
        <v>4.507159800176825E-2</v>
      </c>
      <c r="P273" s="338">
        <f>(INDEX(Models!$BJ273:$BT273,,T273)*(1-R273)+INDEX(Models!$BJ273:$BT273,,T273+1)*R273-ERP_i)*Q273*Ramure*Pc/MaxiM</f>
        <v>1.0570150364501922E-3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46.243870263237142</v>
      </c>
      <c r="W273" s="400">
        <f t="shared" si="111"/>
        <v>32.702625216880946</v>
      </c>
      <c r="X273" s="157">
        <f t="shared" si="112"/>
        <v>45185</v>
      </c>
      <c r="Y273" s="383">
        <f t="shared" si="113"/>
        <v>31.014244489812477</v>
      </c>
      <c r="Z273" s="383">
        <f t="shared" si="114"/>
        <v>32.043798907064193</v>
      </c>
      <c r="AA273" s="384">
        <f t="shared" si="115"/>
        <v>35.38299557597302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9.4372921640821283E-2</v>
      </c>
      <c r="AD273" s="230">
        <f>(INDEX(Models!$BJ273:$BT273,,AH273)*(1-AF273)+INDEX(Models!$BJ273:$BT273,,AH273+1)*AF273-ERP_i)*AE273*Ramure*Pc/MaxiM</f>
        <v>1.0570150364501922E-3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'2022'!Wh/'2022'!Env_an*'2023'!Env_an</f>
        <v>45.699086827860185</v>
      </c>
      <c r="C274" s="829"/>
      <c r="D274" s="391">
        <f t="shared" si="102"/>
        <v>47.217026806159431</v>
      </c>
      <c r="E274" s="383">
        <f t="shared" si="100"/>
        <v>49.447942614367122</v>
      </c>
      <c r="F274" s="383">
        <f t="shared" si="103"/>
        <v>49.501408198473904</v>
      </c>
      <c r="G274" s="110">
        <f t="shared" si="101"/>
        <v>0.99403611761573096</v>
      </c>
      <c r="H274" s="412" t="b">
        <f>Wh_hp&gt;='2022'!Maxi_hp</f>
        <v>0</v>
      </c>
      <c r="I274" s="379">
        <f>IF(H274,Wh_hp,'2022'!Maxi_hp)</f>
        <v>49.501535281548286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3.2148148262931997E-2</v>
      </c>
      <c r="M274" s="832"/>
      <c r="N274" s="832"/>
      <c r="O274" s="48">
        <f>IF(t&lt;Tnet,'2022'!Resal+('2022'!Salim-'2022'!Resal)*(1-EXP(('2022'!Tnet-t)/('2022'!Tau_j))),Resal+(Salim-Resal)*(1-EXP((Tnet-t)/(Tau_j))))*Salcycl</f>
        <v>4.5116453592540268E-2</v>
      </c>
      <c r="P274" s="338">
        <f>(INDEX(Models!$BJ274:$BT274,,T274)*(1-R274)+INDEX(Models!$BJ274:$BT274,,T274+1)*R274-ERP_i)*Q274*Ramure*Pc/MaxiM</f>
        <v>1.0893488017169255E-3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45.972839497046039</v>
      </c>
      <c r="W274" s="400">
        <f t="shared" si="111"/>
        <v>45.699086827860185</v>
      </c>
      <c r="X274" s="157">
        <f t="shared" si="112"/>
        <v>45186</v>
      </c>
      <c r="Y274" s="383">
        <f t="shared" si="113"/>
        <v>43.342258552810591</v>
      </c>
      <c r="Z274" s="383">
        <f t="shared" si="114"/>
        <v>44.781914169013945</v>
      </c>
      <c r="AA274" s="384">
        <f t="shared" si="115"/>
        <v>49.447942614367122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9.4362438529393092E-2</v>
      </c>
      <c r="AD274" s="230">
        <f>(INDEX(Models!$BJ274:$BT274,,AH274)*(1-AF274)+INDEX(Models!$BJ274:$BT274,,AH274+1)*AF274-ERP_i)*AE274*Ramure*Pc/MaxiM</f>
        <v>1.0893488017169255E-3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'2022'!Wh/'2022'!Env_an*'2023'!Env_an</f>
        <v>45.692582926295827</v>
      </c>
      <c r="C275" s="829"/>
      <c r="D275" s="391">
        <f t="shared" si="102"/>
        <v>47.211211663228262</v>
      </c>
      <c r="E275" s="383">
        <f t="shared" si="100"/>
        <v>49.444150712429156</v>
      </c>
      <c r="F275" s="383">
        <f t="shared" si="103"/>
        <v>49.499720571190956</v>
      </c>
      <c r="G275" s="110">
        <f t="shared" si="101"/>
        <v>0.99987464358132871</v>
      </c>
      <c r="H275" s="412" t="b">
        <f>Wh_hp&gt;='2022'!Maxi_hp</f>
        <v>0</v>
      </c>
      <c r="I275" s="379">
        <f>IF(H275,Wh_hp,'2022'!Maxi_hp)</f>
        <v>49.499723325417328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3.2166696922867999E-2</v>
      </c>
      <c r="M275" s="832"/>
      <c r="N275" s="832"/>
      <c r="O275" s="48">
        <f>IF(t&lt;Tnet,'2022'!Resal+('2022'!Salim-'2022'!Resal)*(1-EXP(('2022'!Tnet-t)/('2022'!Tau_j))),Resal+(Salim-Resal)*(1-EXP((Tnet-t)/(Tau_j))))*Salcycl</f>
        <v>4.5160833324609691E-2</v>
      </c>
      <c r="P275" s="338">
        <f>(INDEX(Models!$BJ275:$BT275,,T275)*(1-R275)+INDEX(Models!$BJ275:$BT275,,T275+1)*R275-ERP_i)*Q275*Ramure*Pc/MaxiM</f>
        <v>1.1228305014206259E-3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45.69830231849825</v>
      </c>
      <c r="W275" s="400">
        <f t="shared" si="111"/>
        <v>45.692582926295827</v>
      </c>
      <c r="X275" s="157">
        <f t="shared" si="112"/>
        <v>45187</v>
      </c>
      <c r="Y275" s="383">
        <f t="shared" si="113"/>
        <v>43.338646872707571</v>
      </c>
      <c r="Z275" s="383">
        <f t="shared" si="114"/>
        <v>44.779040703514283</v>
      </c>
      <c r="AA275" s="384">
        <f t="shared" si="115"/>
        <v>49.444150712429156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9.4351100012769931E-2</v>
      </c>
      <c r="AD275" s="230">
        <f>(INDEX(Models!$BJ275:$BT275,,AH275)*(1-AF275)+INDEX(Models!$BJ275:$BT275,,AH275+1)*AF275-ERP_i)*AE275*Ramure*Pc/MaxiM</f>
        <v>1.1228305014206259E-3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'2022'!Wh/'2022'!Env_an*'2023'!Env_an</f>
        <v>45.073239287210697</v>
      </c>
      <c r="C276" s="829"/>
      <c r="D276" s="391">
        <f t="shared" si="102"/>
        <v>46.572176198943808</v>
      </c>
      <c r="E276" s="383">
        <f t="shared" si="100"/>
        <v>48.777132885428266</v>
      </c>
      <c r="F276" s="383">
        <f t="shared" si="103"/>
        <v>48.833055167914985</v>
      </c>
      <c r="G276" s="110">
        <f t="shared" si="101"/>
        <v>0.99235087077847928</v>
      </c>
      <c r="H276" s="412" t="b">
        <f>Wh_hp&gt;='2022'!Maxi_hp</f>
        <v>0</v>
      </c>
      <c r="I276" s="379">
        <f>IF(H276,Wh_hp,'2022'!Maxi_hp)</f>
        <v>48.833226198141027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3.2185245227323245E-2</v>
      </c>
      <c r="M276" s="832"/>
      <c r="N276" s="832"/>
      <c r="O276" s="48">
        <f>IF(t&lt;Tnet,'2022'!Resal+('2022'!Salim-'2022'!Resal)*(1-EXP(('2022'!Tnet-t)/('2022'!Tau_j))),Resal+(Salim-Resal)*(1-EXP((Tnet-t)/(Tau_j))))*Salcycl</f>
        <v>4.5204721065988815E-2</v>
      </c>
      <c r="P276" s="338">
        <f>(INDEX(Models!$BJ276:$BT276,,T276)*(1-R276)+INDEX(Models!$BJ276:$BT276,,T276+1)*R276-ERP_i)*Q276*Ramure*Pc/MaxiM</f>
        <v>1.1578036612881993E-3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45.420093481232549</v>
      </c>
      <c r="W276" s="400">
        <f t="shared" si="111"/>
        <v>45.073239287210697</v>
      </c>
      <c r="X276" s="157">
        <f t="shared" si="112"/>
        <v>45188</v>
      </c>
      <c r="Y276" s="383">
        <f t="shared" si="113"/>
        <v>42.753752032664941</v>
      </c>
      <c r="Z276" s="383">
        <f t="shared" si="114"/>
        <v>44.175553040320274</v>
      </c>
      <c r="AA276" s="384">
        <f t="shared" si="115"/>
        <v>48.777132885428266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9.4338875060913485E-2</v>
      </c>
      <c r="AD276" s="230">
        <f>(INDEX(Models!$BJ276:$BT276,,AH276)*(1-AF276)+INDEX(Models!$BJ276:$BT276,,AH276+1)*AF276-ERP_i)*AE276*Ramure*Pc/MaxiM</f>
        <v>1.1578036612881993E-3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'2022'!Wh/'2022'!Env_an*'2023'!Env_an</f>
        <v>46.789927047838404</v>
      </c>
      <c r="C277" s="829"/>
      <c r="D277" s="391">
        <f t="shared" si="102"/>
        <v>48.346879971148894</v>
      </c>
      <c r="E277" s="383">
        <f t="shared" si="100"/>
        <v>50.638160543936614</v>
      </c>
      <c r="F277" s="383">
        <f t="shared" si="103"/>
        <v>50.698686823362124</v>
      </c>
      <c r="G277" s="110">
        <f t="shared" si="101"/>
        <v>1.0365895377792054</v>
      </c>
      <c r="H277" s="412" t="b">
        <f>Wh_hp&gt;='2022'!Maxi_hp</f>
        <v>1</v>
      </c>
      <c r="I277" s="379">
        <f>IF(H277,Wh_hp,'2022'!Maxi_hp)</f>
        <v>50.698686823362124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3.2203793176304396E-2</v>
      </c>
      <c r="M277" s="832"/>
      <c r="N277" s="832"/>
      <c r="O277" s="48">
        <f>IF(t&lt;Tnet,'2022'!Resal+('2022'!Salim-'2022'!Resal)*(1-EXP(('2022'!Tnet-t)/('2022'!Tau_j))),Resal+(Salim-Resal)*(1-EXP((Tnet-t)/(Tau_j))))*Salcycl</f>
        <v>4.5248100408380183E-2</v>
      </c>
      <c r="P277" s="338">
        <f>(INDEX(Models!$BJ277:$BT277,,T277)*(1-R277)+INDEX(Models!$BJ277:$BT277,,T277+1)*R277-ERP_i)*Q277*Ramure*Pc/MaxiM</f>
        <v>1.1938431391011629E-3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45.138336190505434</v>
      </c>
      <c r="W277" s="400">
        <f t="shared" si="111"/>
        <v>46.789927047838404</v>
      </c>
      <c r="X277" s="157">
        <f t="shared" si="112"/>
        <v>45189</v>
      </c>
      <c r="Y277" s="383">
        <f t="shared" si="113"/>
        <v>44.3847589490858</v>
      </c>
      <c r="Z277" s="383">
        <f t="shared" si="114"/>
        <v>45.861678973465345</v>
      </c>
      <c r="AA277" s="384">
        <f t="shared" si="115"/>
        <v>50.638160543936614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9.4325732198090401E-2</v>
      </c>
      <c r="AD277" s="230">
        <f>(INDEX(Models!$BJ277:$BT277,,AH277)*(1-AF277)+INDEX(Models!$BJ277:$BT277,,AH277+1)*AF277-ERP_i)*AE277*Ramure*Pc/MaxiM</f>
        <v>1.1938431391011629E-3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'2022'!Wh/'2022'!Env_an*'2023'!Env_an</f>
        <v>45.586305331861681</v>
      </c>
      <c r="C278" s="829"/>
      <c r="D278" s="391">
        <f t="shared" si="102"/>
        <v>47.104110016471445</v>
      </c>
      <c r="E278" s="383">
        <f t="shared" si="100"/>
        <v>49.338707169322639</v>
      </c>
      <c r="F278" s="383">
        <f t="shared" si="103"/>
        <v>49.399515767454275</v>
      </c>
      <c r="G278" s="110">
        <f t="shared" si="101"/>
        <v>1.0163460501370341</v>
      </c>
      <c r="H278" s="412" t="b">
        <f>Wh_hp&gt;='2022'!Maxi_hp</f>
        <v>1</v>
      </c>
      <c r="I278" s="379">
        <f>IF(H278,Wh_hp,'2022'!Maxi_hp)</f>
        <v>49.399515767454275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3.2222340769818447E-2</v>
      </c>
      <c r="M278" s="832"/>
      <c r="N278" s="832"/>
      <c r="O278" s="48">
        <f>IF(t&lt;Tnet,'2022'!Resal+('2022'!Salim-'2022'!Resal)*(1-EXP(('2022'!Tnet-t)/('2022'!Tau_j))),Resal+(Salim-Resal)*(1-EXP((Tnet-t)/(Tau_j))))*Salcycl</f>
        <v>4.5290954730175872E-2</v>
      </c>
      <c r="P278" s="338">
        <f>(INDEX(Models!$BJ278:$BT278,,T278)*(1-R278)+INDEX(Models!$BJ278:$BT278,,T278+1)*R278-ERP_i)*Q278*Ramure*Pc/MaxiM</f>
        <v>1.230955348183727E-3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44.853133758639871</v>
      </c>
      <c r="W278" s="400">
        <f t="shared" si="111"/>
        <v>45.586305331861681</v>
      </c>
      <c r="X278" s="157">
        <f t="shared" si="112"/>
        <v>45190</v>
      </c>
      <c r="Y278" s="383">
        <f t="shared" si="113"/>
        <v>43.245621622231084</v>
      </c>
      <c r="Z278" s="383">
        <f t="shared" si="114"/>
        <v>44.685492798656668</v>
      </c>
      <c r="AA278" s="384">
        <f t="shared" si="115"/>
        <v>49.338707169322639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9.4311639636135522E-2</v>
      </c>
      <c r="AD278" s="230">
        <f>(INDEX(Models!$BJ278:$BT278,,AH278)*(1-AF278)+INDEX(Models!$BJ278:$BT278,,AH278+1)*AF278-ERP_i)*AE278*Ramure*Pc/MaxiM</f>
        <v>1.230955348183727E-3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'2022'!Wh/'2022'!Env_an*'2023'!Env_an</f>
        <v>44.11327270223822</v>
      </c>
      <c r="C279" s="829"/>
      <c r="D279" s="391">
        <f t="shared" si="102"/>
        <v>45.582906071978215</v>
      </c>
      <c r="E279" s="383">
        <f t="shared" si="100"/>
        <v>47.74745417337256</v>
      </c>
      <c r="F279" s="383">
        <f t="shared" si="103"/>
        <v>47.8072507513047</v>
      </c>
      <c r="G279" s="110">
        <f t="shared" si="101"/>
        <v>0.98985455070475237</v>
      </c>
      <c r="H279" s="412" t="b">
        <f>Wh_hp&gt;='2022'!Maxi_hp</f>
        <v>0</v>
      </c>
      <c r="I279" s="379">
        <f>IF(H279,Wh_hp,'2022'!Maxi_hp)</f>
        <v>47.807494573948958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3.2240888007871948E-2</v>
      </c>
      <c r="M279" s="832"/>
      <c r="N279" s="832"/>
      <c r="O279" s="48">
        <f>IF(t&lt;Tnet,'2022'!Resal+('2022'!Salim-'2022'!Resal)*(1-EXP(('2022'!Tnet-t)/('2022'!Tau_j))),Resal+(Salim-Resal)*(1-EXP((Tnet-t)/(Tau_j))))*Salcycl</f>
        <v>4.5333267267712328E-2</v>
      </c>
      <c r="P279" s="338">
        <f>(INDEX(Models!$BJ279:$BT279,,T279)*(1-R279)+INDEX(Models!$BJ279:$BT279,,T279+1)*R279-ERP_i)*Q279*Ramure*Pc/MaxiM</f>
        <v>1.2691460758644968E-3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44.564589490651038</v>
      </c>
      <c r="W279" s="400">
        <f t="shared" si="111"/>
        <v>44.11327270223822</v>
      </c>
      <c r="X279" s="157">
        <f t="shared" si="112"/>
        <v>45191</v>
      </c>
      <c r="Y279" s="383">
        <f t="shared" si="113"/>
        <v>41.850774963589899</v>
      </c>
      <c r="Z279" s="383">
        <f t="shared" si="114"/>
        <v>43.245033237083405</v>
      </c>
      <c r="AA279" s="384">
        <f t="shared" si="115"/>
        <v>47.74745417337256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9.4296565424005968E-2</v>
      </c>
      <c r="AD279" s="230">
        <f>(INDEX(Models!$BJ279:$BT279,,AH279)*(1-AF279)+INDEX(Models!$BJ279:$BT279,,AH279+1)*AF279-ERP_i)*AE279*Ramure*Pc/MaxiM</f>
        <v>1.2691460758644968E-3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'2022'!Wh/'2022'!Env_an*'2023'!Env_an</f>
        <v>27.999156596408323</v>
      </c>
      <c r="C280" s="829"/>
      <c r="D280" s="391">
        <f t="shared" si="102"/>
        <v>28.932502786260081</v>
      </c>
      <c r="E280" s="383">
        <f t="shared" si="100"/>
        <v>30.307716044123168</v>
      </c>
      <c r="F280" s="383">
        <f t="shared" si="103"/>
        <v>30.326559747422099</v>
      </c>
      <c r="G280" s="110">
        <f t="shared" si="101"/>
        <v>0.63198856397963077</v>
      </c>
      <c r="H280" s="412" t="b">
        <f>Wh_hp&gt;='2022'!Maxi_hp</f>
        <v>0</v>
      </c>
      <c r="I280" s="379">
        <f>IF(H280,Wh_hp,'2022'!Maxi_hp)</f>
        <v>41.863369362780062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3.2259434890472005E-2</v>
      </c>
      <c r="M280" s="832"/>
      <c r="N280" s="832"/>
      <c r="O280" s="48">
        <f>IF(t&lt;Tnet,'2022'!Resal+('2022'!Salim-'2022'!Resal)*(1-EXP(('2022'!Tnet-t)/('2022'!Tau_j))),Resal+(Salim-Resal)*(1-EXP((Tnet-t)/(Tau_j))))*Salcycl</f>
        <v>4.5375021194635684E-2</v>
      </c>
      <c r="P280" s="338">
        <f>(INDEX(Models!$BJ280:$BT280,,T280)*(1-R280)+INDEX(Models!$BJ280:$BT280,,T280+1)*R280-ERP_i)*Q280*Ramure*Pc/MaxiM</f>
        <v>1.3084273897532991E-3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44.272806369776781</v>
      </c>
      <c r="W280" s="400">
        <f t="shared" si="111"/>
        <v>27.999156596408323</v>
      </c>
      <c r="X280" s="157">
        <f t="shared" si="112"/>
        <v>45192</v>
      </c>
      <c r="Y280" s="383">
        <f t="shared" si="113"/>
        <v>26.564759253908555</v>
      </c>
      <c r="Z280" s="383">
        <f t="shared" si="114"/>
        <v>27.450290100117876</v>
      </c>
      <c r="AA280" s="384">
        <f t="shared" si="115"/>
        <v>30.307716044123168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9.4280477613203767E-2</v>
      </c>
      <c r="AD280" s="230">
        <f>(INDEX(Models!$BJ280:$BT280,,AH280)*(1-AF280)+INDEX(Models!$BJ280:$BT280,,AH280+1)*AF280-ERP_i)*AE280*Ramure*Pc/MaxiM</f>
        <v>1.3084273897532991E-3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'2022'!Wh/'2022'!Env_an*'2023'!Env_an</f>
        <v>16.961000320932445</v>
      </c>
      <c r="C281" s="829"/>
      <c r="D281" s="391">
        <f t="shared" si="102"/>
        <v>17.526727712343238</v>
      </c>
      <c r="E281" s="383">
        <f t="shared" si="100"/>
        <v>18.360596216909158</v>
      </c>
      <c r="F281" s="383">
        <f t="shared" si="103"/>
        <v>18.363627628376495</v>
      </c>
      <c r="G281" s="110">
        <f t="shared" si="101"/>
        <v>0.38521449552346776</v>
      </c>
      <c r="H281" s="412" t="b">
        <f>Wh_hp&gt;='2022'!Maxi_hp</f>
        <v>0</v>
      </c>
      <c r="I281" s="379">
        <f>IF(H281,Wh_hp,'2022'!Maxi_hp)</f>
        <v>40.4343470381435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3.2277981417625168E-2</v>
      </c>
      <c r="M281" s="832"/>
      <c r="N281" s="832"/>
      <c r="O281" s="48">
        <f>IF(t&lt;Tnet,'2022'!Resal+('2022'!Salim-'2022'!Resal)*(1-EXP(('2022'!Tnet-t)/('2022'!Tau_j))),Resal+(Salim-Resal)*(1-EXP((Tnet-t)/(Tau_j))))*Salcycl</f>
        <v>4.5416199709134158E-2</v>
      </c>
      <c r="P281" s="338">
        <f>(INDEX(Models!$BJ281:$BT281,,T281)*(1-R281)+INDEX(Models!$BJ281:$BT281,,T281+1)*R281-ERP_i)*Q281*Ramure*Pc/MaxiM</f>
        <v>1.3488078955988824E-3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43.97788749347005</v>
      </c>
      <c r="W281" s="400">
        <f t="shared" si="111"/>
        <v>16.961000320932445</v>
      </c>
      <c r="X281" s="157">
        <f t="shared" si="112"/>
        <v>45193</v>
      </c>
      <c r="Y281" s="383">
        <f t="shared" si="113"/>
        <v>16.093086537796768</v>
      </c>
      <c r="Z281" s="383">
        <f t="shared" si="114"/>
        <v>16.629865011619437</v>
      </c>
      <c r="AA281" s="384">
        <f t="shared" si="115"/>
        <v>18.360596216909158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9.4263344438445168E-2</v>
      </c>
      <c r="AD281" s="230">
        <f>(INDEX(Models!$BJ281:$BT281,,AH281)*(1-AF281)+INDEX(Models!$BJ281:$BT281,,AH281+1)*AF281-ERP_i)*AE281*Ramure*Pc/MaxiM</f>
        <v>1.3488078955988824E-3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'2022'!Wh/'2022'!Env_an*'2023'!Env_an</f>
        <v>35.71902446659773</v>
      </c>
      <c r="C282" s="829"/>
      <c r="D282" s="391">
        <f t="shared" si="102"/>
        <v>36.911125654656892</v>
      </c>
      <c r="E282" s="383">
        <f t="shared" si="100"/>
        <v>38.668889075181646</v>
      </c>
      <c r="F282" s="383">
        <f t="shared" si="103"/>
        <v>38.708764437607947</v>
      </c>
      <c r="G282" s="110">
        <f t="shared" si="101"/>
        <v>0.81744961271079319</v>
      </c>
      <c r="H282" s="412" t="b">
        <f>Wh_hp&gt;='2022'!Maxi_hp</f>
        <v>0</v>
      </c>
      <c r="I282" s="379">
        <f>IF(H282,Wh_hp,'2022'!Maxi_hp)</f>
        <v>38.712672418777252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3.2296527589338431E-2</v>
      </c>
      <c r="M282" s="832"/>
      <c r="N282" s="832"/>
      <c r="O282" s="48">
        <f>IF(t&lt;Tnet,'2022'!Resal+('2022'!Salim-'2022'!Resal)*(1-EXP(('2022'!Tnet-t)/('2022'!Tau_j))),Resal+(Salim-Resal)*(1-EXP((Tnet-t)/(Tau_j))))*Salcycl</f>
        <v>4.5456786128694783E-2</v>
      </c>
      <c r="P282" s="338">
        <f>(INDEX(Models!$BJ282:$BT282,,T282)*(1-R282)+INDEX(Models!$BJ282:$BT282,,T282+1)*R282-ERP_i)*Q282*Ramure*Pc/MaxiM</f>
        <v>1.3927598652568353E-3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43.679828149965374</v>
      </c>
      <c r="W282" s="400">
        <f t="shared" si="111"/>
        <v>35.71902446659773</v>
      </c>
      <c r="X282" s="157">
        <f t="shared" si="112"/>
        <v>45194</v>
      </c>
      <c r="Y282" s="383">
        <f t="shared" si="113"/>
        <v>33.893363580541667</v>
      </c>
      <c r="Z282" s="383">
        <f t="shared" si="114"/>
        <v>35.02453442283241</v>
      </c>
      <c r="AA282" s="384">
        <f t="shared" si="115"/>
        <v>38.668889075181646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9.4245134512753417E-2</v>
      </c>
      <c r="AD282" s="230">
        <f>(INDEX(Models!$BJ282:$BT282,,AH282)*(1-AF282)+INDEX(Models!$BJ282:$BT282,,AH282+1)*AF282-ERP_i)*AE282*Ramure*Pc/MaxiM</f>
        <v>1.3927598652568353E-3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'2022'!Wh/'2022'!Env_an*'2023'!Env_an</f>
        <v>32.704953119329154</v>
      </c>
      <c r="C283" s="829"/>
      <c r="D283" s="391">
        <f t="shared" si="102"/>
        <v>33.797109183491386</v>
      </c>
      <c r="E283" s="383">
        <f t="shared" si="100"/>
        <v>35.408061396248755</v>
      </c>
      <c r="F283" s="383">
        <f t="shared" si="103"/>
        <v>35.441153242151081</v>
      </c>
      <c r="G283" s="110">
        <f t="shared" si="101"/>
        <v>0.75355749940039873</v>
      </c>
      <c r="H283" s="412" t="b">
        <f>Wh_hp&gt;='2022'!Maxi_hp</f>
        <v>0</v>
      </c>
      <c r="I283" s="379">
        <f>IF(H283,Wh_hp,'2022'!Maxi_hp)</f>
        <v>39.693686966189702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3.2315073405618566E-2</v>
      </c>
      <c r="M283" s="832"/>
      <c r="N283" s="832"/>
      <c r="O283" s="48">
        <f>IF(t&lt;Tnet,'2022'!Resal+('2022'!Salim-'2022'!Resal)*(1-EXP(('2022'!Tnet-t)/('2022'!Tau_j))),Resal+(Salim-Resal)*(1-EXP((Tnet-t)/(Tau_j))))*Salcycl</f>
        <v>4.5496763991943315E-2</v>
      </c>
      <c r="P283" s="338">
        <f>(INDEX(Models!$BJ283:$BT283,,T283)*(1-R283)+INDEX(Models!$BJ283:$BT283,,T283+1)*R283-ERP_i)*Q283*Ramure*Pc/MaxiM</f>
        <v>1.4398367942476545E-3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43.378753316502596</v>
      </c>
      <c r="W283" s="400">
        <f t="shared" si="111"/>
        <v>32.704953119329154</v>
      </c>
      <c r="X283" s="157">
        <f t="shared" si="112"/>
        <v>45195</v>
      </c>
      <c r="Y283" s="383">
        <f t="shared" si="113"/>
        <v>31.035308287092729</v>
      </c>
      <c r="Z283" s="383">
        <f t="shared" si="114"/>
        <v>32.071707881527857</v>
      </c>
      <c r="AA283" s="384">
        <f t="shared" si="115"/>
        <v>35.408061396248755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9.4225817035957726E-2</v>
      </c>
      <c r="AD283" s="230">
        <f>(INDEX(Models!$BJ283:$BT283,,AH283)*(1-AF283)+INDEX(Models!$BJ283:$BT283,,AH283+1)*AF283-ERP_i)*AE283*Ramure*Pc/MaxiM</f>
        <v>1.4398367942476545E-3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'2022'!Wh/'2022'!Env_an*'2023'!Env_an</f>
        <v>17.342550575291334</v>
      </c>
      <c r="C284" s="829"/>
      <c r="D284" s="391">
        <f t="shared" si="102"/>
        <v>17.922034818421832</v>
      </c>
      <c r="E284" s="383">
        <f t="shared" si="100"/>
        <v>18.777069662632986</v>
      </c>
      <c r="F284" s="383">
        <f t="shared" si="103"/>
        <v>18.781172085693512</v>
      </c>
      <c r="G284" s="110">
        <f t="shared" si="101"/>
        <v>0.40210298541733741</v>
      </c>
      <c r="H284" s="412" t="b">
        <f>Wh_hp&gt;='2022'!Maxi_hp</f>
        <v>0</v>
      </c>
      <c r="I284" s="379">
        <f>IF(H284,Wh_hp,'2022'!Maxi_hp)</f>
        <v>37.960845399345402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3.2333618866472347E-2</v>
      </c>
      <c r="M284" s="832"/>
      <c r="N284" s="832"/>
      <c r="O284" s="48">
        <f>IF(t&lt;Tnet,'2022'!Resal+('2022'!Salim-'2022'!Resal)*(1-EXP(('2022'!Tnet-t)/('2022'!Tau_j))),Resal+(Salim-Resal)*(1-EXP((Tnet-t)/(Tau_j))))*Salcycl</f>
        <v>4.5536117167030744E-2</v>
      </c>
      <c r="P284" s="338">
        <f>(INDEX(Models!$BJ284:$BT284,,T284)*(1-R284)+INDEX(Models!$BJ284:$BT284,,T284+1)*R284-ERP_i)*Q284*Ramure*Pc/MaxiM</f>
        <v>1.4900629863040201E-3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43.07476709580903</v>
      </c>
      <c r="W284" s="400">
        <f t="shared" si="111"/>
        <v>17.342550575291334</v>
      </c>
      <c r="X284" s="157">
        <f t="shared" si="112"/>
        <v>45196</v>
      </c>
      <c r="Y284" s="383">
        <f t="shared" si="113"/>
        <v>16.458233362848805</v>
      </c>
      <c r="Z284" s="383">
        <f t="shared" si="114"/>
        <v>17.008169017476433</v>
      </c>
      <c r="AA284" s="384">
        <f t="shared" si="115"/>
        <v>18.777069662632986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9.4205362015390717E-2</v>
      </c>
      <c r="AD284" s="230">
        <f>(INDEX(Models!$BJ284:$BT284,,AH284)*(1-AF284)+INDEX(Models!$BJ284:$BT284,,AH284+1)*AF284-ERP_i)*AE284*Ramure*Pc/MaxiM</f>
        <v>1.4900629863040201E-3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'2022'!Wh/'2022'!Env_an*'2023'!Env_an</f>
        <v>19.656819179106108</v>
      </c>
      <c r="C285" s="829"/>
      <c r="D285" s="391">
        <f t="shared" si="102"/>
        <v>20.314021741413182</v>
      </c>
      <c r="E285" s="383">
        <f t="shared" si="100"/>
        <v>21.284038161617385</v>
      </c>
      <c r="F285" s="383">
        <f t="shared" si="103"/>
        <v>21.29153157027751</v>
      </c>
      <c r="G285" s="110">
        <f t="shared" si="101"/>
        <v>0.45906756404401772</v>
      </c>
      <c r="H285" s="412" t="b">
        <f>Wh_hp&gt;='2022'!Maxi_hp</f>
        <v>0</v>
      </c>
      <c r="I285" s="379">
        <f>IF(H285,Wh_hp,'2022'!Maxi_hp)</f>
        <v>38.326040675068562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3.2352163971906545E-2</v>
      </c>
      <c r="M285" s="832"/>
      <c r="N285" s="832"/>
      <c r="O285" s="48">
        <f>IF(t&lt;Tnet,'2022'!Resal+('2022'!Salim-'2022'!Resal)*(1-EXP(('2022'!Tnet-t)/('2022'!Tau_j))),Resal+(Salim-Resal)*(1-EXP((Tnet-t)/(Tau_j))))*Salcycl</f>
        <v>4.5574829965935912E-2</v>
      </c>
      <c r="P285" s="338">
        <f>(INDEX(Models!$BJ285:$BT285,,T285)*(1-R285)+INDEX(Models!$BJ285:$BT285,,T285+1)*R285-ERP_i)*Q285*Ramure*Pc/MaxiM</f>
        <v>1.5434613997151118E-3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42.767973632067452</v>
      </c>
      <c r="W285" s="400">
        <f t="shared" si="111"/>
        <v>19.656819179106108</v>
      </c>
      <c r="X285" s="157">
        <f t="shared" si="112"/>
        <v>45197</v>
      </c>
      <c r="Y285" s="383">
        <f t="shared" si="113"/>
        <v>18.655696624075272</v>
      </c>
      <c r="Z285" s="383">
        <f t="shared" si="114"/>
        <v>19.279427834666958</v>
      </c>
      <c r="AA285" s="384">
        <f t="shared" si="115"/>
        <v>21.284038161617385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9.4183740497395058E-2</v>
      </c>
      <c r="AD285" s="230">
        <f>(INDEX(Models!$BJ285:$BT285,,AH285)*(1-AF285)+INDEX(Models!$BJ285:$BT285,,AH285+1)*AF285-ERP_i)*AE285*Ramure*Pc/MaxiM</f>
        <v>1.5434613997151118E-3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'2022'!Wh/'2022'!Env_an*'2023'!Env_an</f>
        <v>23.618503184337577</v>
      </c>
      <c r="C286" s="829"/>
      <c r="D286" s="391">
        <f t="shared" si="102"/>
        <v>24.408627763987589</v>
      </c>
      <c r="E286" s="383">
        <f t="shared" si="100"/>
        <v>25.575185832102246</v>
      </c>
      <c r="F286" s="383">
        <f t="shared" si="103"/>
        <v>25.590176208516471</v>
      </c>
      <c r="G286" s="110">
        <f t="shared" si="101"/>
        <v>0.55570843035153228</v>
      </c>
      <c r="H286" s="412" t="b">
        <f>Wh_hp&gt;='2022'!Maxi_hp</f>
        <v>0</v>
      </c>
      <c r="I286" s="379">
        <f>IF(H286,Wh_hp,'2022'!Maxi_hp)</f>
        <v>44.025423023353014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3.2370708721928154E-2</v>
      </c>
      <c r="M286" s="832"/>
      <c r="N286" s="832"/>
      <c r="O286" s="48">
        <f>IF(t&lt;Tnet,'2022'!Resal+('2022'!Salim-'2022'!Resal)*(1-EXP(('2022'!Tnet-t)/('2022'!Tau_j))),Resal+(Salim-Resal)*(1-EXP((Tnet-t)/(Tau_j))))*Salcycl</f>
        <v>4.5612887263965854E-2</v>
      </c>
      <c r="P286" s="338">
        <f>(INDEX(Models!$BJ286:$BT286,,T286)*(1-R286)+INDEX(Models!$BJ286:$BT286,,T286+1)*R286-ERP_i)*Q286*Ramure*Pc/MaxiM</f>
        <v>1.6000534816871302E-3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42.458477114298908</v>
      </c>
      <c r="W286" s="400">
        <f t="shared" si="111"/>
        <v>23.618503184337577</v>
      </c>
      <c r="X286" s="157">
        <f t="shared" si="112"/>
        <v>45198</v>
      </c>
      <c r="Y286" s="383">
        <f t="shared" si="113"/>
        <v>22.417070386233416</v>
      </c>
      <c r="Z286" s="383">
        <f t="shared" si="114"/>
        <v>23.167002682012985</v>
      </c>
      <c r="AA286" s="384">
        <f t="shared" si="115"/>
        <v>25.575185832102246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9.4160924808080373E-2</v>
      </c>
      <c r="AD286" s="230">
        <f>(INDEX(Models!$BJ286:$BT286,,AH286)*(1-AF286)+INDEX(Models!$BJ286:$BT286,,AH286+1)*AF286-ERP_i)*AE286*Ramure*Pc/MaxiM</f>
        <v>1.6000534816871302E-3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'2022'!Wh/'2022'!Env_an*'2023'!Env_an</f>
        <v>28.027962244913972</v>
      </c>
      <c r="C287" s="829"/>
      <c r="D287" s="391">
        <f t="shared" si="102"/>
        <v>28.966154349967958</v>
      </c>
      <c r="E287" s="383">
        <f t="shared" si="100"/>
        <v>30.351718641240371</v>
      </c>
      <c r="F287" s="383">
        <f t="shared" si="103"/>
        <v>30.378011803902137</v>
      </c>
      <c r="G287" s="110">
        <f t="shared" si="101"/>
        <v>0.66448597567677259</v>
      </c>
      <c r="H287" s="412" t="b">
        <f>Wh_hp&gt;='2022'!Maxi_hp</f>
        <v>0</v>
      </c>
      <c r="I287" s="379">
        <f>IF(H287,Wh_hp,'2022'!Maxi_hp)</f>
        <v>36.159220038545989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3.2389253116543726E-2</v>
      </c>
      <c r="M287" s="832"/>
      <c r="N287" s="832"/>
      <c r="O287" s="48">
        <f>IF(t&lt;Tnet,'2022'!Resal+('2022'!Salim-'2022'!Resal)*(1-EXP(('2022'!Tnet-t)/('2022'!Tau_j))),Resal+(Salim-Resal)*(1-EXP((Tnet-t)/(Tau_j))))*Salcycl</f>
        <v>4.5650274623651073E-2</v>
      </c>
      <c r="P287" s="338">
        <f>(INDEX(Models!$BJ287:$BT287,,T287)*(1-R287)+INDEX(Models!$BJ287:$BT287,,T287+1)*R287-ERP_i)*Q287*Ramure*Pc/MaxiM</f>
        <v>1.659859009899372E-3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42.146381768698589</v>
      </c>
      <c r="W287" s="400">
        <f t="shared" si="111"/>
        <v>28.027962244913972</v>
      </c>
      <c r="X287" s="157">
        <f t="shared" si="112"/>
        <v>45199</v>
      </c>
      <c r="Y287" s="383">
        <f t="shared" si="113"/>
        <v>26.603975884958089</v>
      </c>
      <c r="Z287" s="383">
        <f t="shared" si="114"/>
        <v>27.494502278572149</v>
      </c>
      <c r="AA287" s="384">
        <f t="shared" si="115"/>
        <v>30.351718641240371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9.4136888801610766E-2</v>
      </c>
      <c r="AD287" s="230">
        <f>(INDEX(Models!$BJ287:$BT287,,AH287)*(1-AF287)+INDEX(Models!$BJ287:$BT287,,AH287+1)*AF287-ERP_i)*AE287*Ramure*Pc/MaxiM</f>
        <v>1.659859009899372E-3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'2022'!Wh/'2022'!Env_an*'2023'!Env_an</f>
        <v>36.622881982620598</v>
      </c>
      <c r="C288" s="829"/>
      <c r="D288" s="391">
        <f t="shared" si="102"/>
        <v>37.849500931247213</v>
      </c>
      <c r="E288" s="383">
        <f t="shared" si="100"/>
        <v>39.661515745292384</v>
      </c>
      <c r="F288" s="383">
        <f t="shared" si="103"/>
        <v>39.717772652850982</v>
      </c>
      <c r="G288" s="110">
        <f t="shared" si="101"/>
        <v>0.87521094059595794</v>
      </c>
      <c r="H288" s="412" t="b">
        <f>Wh_hp&gt;='2022'!Maxi_hp</f>
        <v>0</v>
      </c>
      <c r="I288" s="379">
        <f>IF(H288,Wh_hp,'2022'!Maxi_hp)</f>
        <v>44.503895100671492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3.2407797155760254E-2</v>
      </c>
      <c r="M288" s="832"/>
      <c r="N288" s="832"/>
      <c r="O288" s="48">
        <f>IF(t&lt;Tnet,'2022'!Resal+('2022'!Salim-'2022'!Resal)*(1-EXP(('2022'!Tnet-t)/('2022'!Tau_j))),Resal+(Salim-Resal)*(1-EXP((Tnet-t)/(Tau_j))))*Salcycl</f>
        <v>4.5686978422155973E-2</v>
      </c>
      <c r="P288" s="338">
        <f>(INDEX(Models!$BJ288:$BT288,,T288)*(1-R288)+INDEX(Models!$BJ288:$BT288,,T288+1)*R288-ERP_i)*Q288*Ramure*Pc/MaxiM</f>
        <v>1.7228959426560156E-3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41.831791860028908</v>
      </c>
      <c r="W288" s="400">
        <f t="shared" si="111"/>
        <v>36.622881982620598</v>
      </c>
      <c r="X288" s="157">
        <f t="shared" si="112"/>
        <v>45200</v>
      </c>
      <c r="Y288" s="383">
        <f t="shared" si="113"/>
        <v>34.76452999730428</v>
      </c>
      <c r="Z288" s="383">
        <f t="shared" si="114"/>
        <v>35.928906718257814</v>
      </c>
      <c r="AA288" s="384">
        <f t="shared" si="115"/>
        <v>39.661515745292384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9.4111608114160639E-2</v>
      </c>
      <c r="AD288" s="230">
        <f>(INDEX(Models!$BJ288:$BT288,,AH288)*(1-AF288)+INDEX(Models!$BJ288:$BT288,,AH288+1)*AF288-ERP_i)*AE288*Ramure*Pc/MaxiM</f>
        <v>1.7228959426560156E-3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'2022'!Wh/'2022'!Env_an*'2023'!Env_an</f>
        <v>39.05172585462892</v>
      </c>
      <c r="C289" s="829"/>
      <c r="D289" s="391">
        <f t="shared" si="102"/>
        <v>40.360468151349785</v>
      </c>
      <c r="E289" s="383">
        <f t="shared" si="100"/>
        <v>42.294289350405478</v>
      </c>
      <c r="F289" s="383">
        <f t="shared" si="103"/>
        <v>42.363667760351156</v>
      </c>
      <c r="G289" s="110">
        <f t="shared" si="101"/>
        <v>0.94056249816249815</v>
      </c>
      <c r="H289" s="412" t="b">
        <f>Wh_hp&gt;='2022'!Maxi_hp</f>
        <v>0</v>
      </c>
      <c r="I289" s="379">
        <f>IF(H289,Wh_hp,'2022'!Maxi_hp)</f>
        <v>42.365486176879408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3.2426340839584511E-2</v>
      </c>
      <c r="M289" s="832"/>
      <c r="N289" s="832"/>
      <c r="O289" s="48">
        <f>IF(t&lt;Tnet,'2022'!Resal+('2022'!Salim-'2022'!Resal)*(1-EXP(('2022'!Tnet-t)/('2022'!Tau_j))),Resal+(Salim-Resal)*(1-EXP((Tnet-t)/(Tau_j))))*Salcycl</f>
        <v>4.5722985981253988E-2</v>
      </c>
      <c r="P289" s="338">
        <f>(INDEX(Models!$BJ289:$BT289,,T289)*(1-R289)+INDEX(Models!$BJ289:$BT289,,T289+1)*R289-ERP_i)*Q289*Ramure*Pc/MaxiM</f>
        <v>1.7892478656951823E-3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41.513240738386003</v>
      </c>
      <c r="W289" s="400">
        <f t="shared" si="111"/>
        <v>39.05172585462892</v>
      </c>
      <c r="X289" s="157">
        <f t="shared" si="112"/>
        <v>45201</v>
      </c>
      <c r="Y289" s="383">
        <f t="shared" si="113"/>
        <v>37.072612405327767</v>
      </c>
      <c r="Z289" s="383">
        <f t="shared" si="114"/>
        <v>38.315028581386223</v>
      </c>
      <c r="AA289" s="384">
        <f t="shared" si="115"/>
        <v>42.294289350405478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9.4085060421546157E-2</v>
      </c>
      <c r="AD289" s="230">
        <f>(INDEX(Models!$BJ289:$BT289,,AH289)*(1-AF289)+INDEX(Models!$BJ289:$BT289,,AH289+1)*AF289-ERP_i)*AE289*Ramure*Pc/MaxiM</f>
        <v>1.7892478656951823E-3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'2022'!Wh/'2022'!Env_an*'2023'!Env_an</f>
        <v>37.699206030342573</v>
      </c>
      <c r="C290" s="829"/>
      <c r="D290" s="391">
        <f t="shared" si="102"/>
        <v>38.963367991626974</v>
      </c>
      <c r="E290" s="383">
        <f t="shared" si="100"/>
        <v>40.83175929922789</v>
      </c>
      <c r="F290" s="383">
        <f t="shared" si="103"/>
        <v>40.898667378269174</v>
      </c>
      <c r="G290" s="110">
        <f t="shared" si="101"/>
        <v>0.91505583039996174</v>
      </c>
      <c r="H290" s="412" t="b">
        <f>Wh_hp&gt;='2022'!Maxi_hp</f>
        <v>0</v>
      </c>
      <c r="I290" s="379">
        <f>IF(H290,Wh_hp,'2022'!Maxi_hp)</f>
        <v>40.901284481395429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3.2444884168023269E-2</v>
      </c>
      <c r="M290" s="832"/>
      <c r="N290" s="832"/>
      <c r="O290" s="48">
        <f>IF(t&lt;Tnet,'2022'!Resal+('2022'!Salim-'2022'!Resal)*(1-EXP(('2022'!Tnet-t)/('2022'!Tau_j))),Resal+(Salim-Resal)*(1-EXP((Tnet-t)/(Tau_j))))*Salcycl</f>
        <v>4.5758285698854179E-2</v>
      </c>
      <c r="P290" s="338">
        <f>(INDEX(Models!$BJ290:$BT290,,T290)*(1-R290)+INDEX(Models!$BJ290:$BT290,,T290+1)*R290-ERP_i)*Q290*Ramure*Pc/MaxiM</f>
        <v>1.8612601404544517E-3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41.189506429819772</v>
      </c>
      <c r="W290" s="400">
        <f t="shared" si="111"/>
        <v>37.699206030342573</v>
      </c>
      <c r="X290" s="157">
        <f t="shared" si="112"/>
        <v>45202</v>
      </c>
      <c r="Y290" s="383">
        <f t="shared" si="113"/>
        <v>35.791060889753489</v>
      </c>
      <c r="Z290" s="383">
        <f t="shared" si="114"/>
        <v>36.991237299156481</v>
      </c>
      <c r="AA290" s="384">
        <f t="shared" si="115"/>
        <v>40.83175929922789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9.405722569842917E-2</v>
      </c>
      <c r="AD290" s="230">
        <f>(INDEX(Models!$BJ290:$BT290,,AH290)*(1-AF290)+INDEX(Models!$BJ290:$BT290,,AH290+1)*AF290-ERP_i)*AE290*Ramure*Pc/MaxiM</f>
        <v>1.8612601404544517E-3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'2022'!Wh/'2022'!Env_an*'2023'!Env_an</f>
        <v>41.528336162077473</v>
      </c>
      <c r="C291" s="829"/>
      <c r="D291" s="391">
        <f t="shared" si="102"/>
        <v>42.921722368972418</v>
      </c>
      <c r="E291" s="383">
        <f t="shared" si="100"/>
        <v>44.981556826315042</v>
      </c>
      <c r="F291" s="383">
        <f t="shared" si="103"/>
        <v>45.068928153940959</v>
      </c>
      <c r="G291" s="110">
        <f t="shared" si="101"/>
        <v>1.0163264907080045</v>
      </c>
      <c r="H291" s="412" t="b">
        <f>Wh_hp&gt;='2022'!Maxi_hp</f>
        <v>1</v>
      </c>
      <c r="I291" s="379">
        <f>IF(H291,Wh_hp,'2022'!Maxi_hp)</f>
        <v>45.068928153940959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3.2463427141083412E-2</v>
      </c>
      <c r="M291" s="832"/>
      <c r="N291" s="832"/>
      <c r="O291" s="48">
        <f>IF(t&lt;Tnet,'2022'!Resal+('2022'!Salim-'2022'!Resal)*(1-EXP(('2022'!Tnet-t)/('2022'!Tau_j))),Resal+(Salim-Resal)*(1-EXP((Tnet-t)/(Tau_j))))*Salcycl</f>
        <v>4.5792867181012879E-2</v>
      </c>
      <c r="P291" s="338">
        <f>(INDEX(Models!$BJ291:$BT291,,T291)*(1-R291)+INDEX(Models!$BJ291:$BT291,,T291+1)*R291-ERP_i)*Q291*Ramure*Pc/MaxiM</f>
        <v>1.9386156095722103E-3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40.861215900362438</v>
      </c>
      <c r="W291" s="400">
        <f t="shared" si="111"/>
        <v>41.528336162077473</v>
      </c>
      <c r="X291" s="157">
        <f t="shared" si="112"/>
        <v>45203</v>
      </c>
      <c r="Y291" s="383">
        <f t="shared" si="113"/>
        <v>39.42907664820941</v>
      </c>
      <c r="Z291" s="383">
        <f t="shared" si="114"/>
        <v>40.752027111184816</v>
      </c>
      <c r="AA291" s="384">
        <f t="shared" si="115"/>
        <v>44.981556826315042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9.4028086476897449E-2</v>
      </c>
      <c r="AD291" s="230">
        <f>(INDEX(Models!$BJ291:$BT291,,AH291)*(1-AF291)+INDEX(Models!$BJ291:$BT291,,AH291+1)*AF291-ERP_i)*AE291*Ramure*Pc/MaxiM</f>
        <v>1.9386156095722103E-3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'2022'!Wh/'2022'!Env_an*'2023'!Env_an</f>
        <v>42.33970827451536</v>
      </c>
      <c r="C292" s="829"/>
      <c r="D292" s="391">
        <f t="shared" si="102"/>
        <v>43.761156847856292</v>
      </c>
      <c r="E292" s="383">
        <f t="shared" si="100"/>
        <v>45.86290334061826</v>
      </c>
      <c r="F292" s="383">
        <f t="shared" si="103"/>
        <v>45.955795501616805</v>
      </c>
      <c r="G292" s="110">
        <f t="shared" si="101"/>
        <v>1.0446773289765237</v>
      </c>
      <c r="H292" s="412" t="b">
        <f>Wh_hp&gt;='2022'!Maxi_hp</f>
        <v>1</v>
      </c>
      <c r="I292" s="379">
        <f>IF(H292,Wh_hp,'2022'!Maxi_hp)</f>
        <v>45.955795501616805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3.2481969758771712E-2</v>
      </c>
      <c r="M292" s="832"/>
      <c r="N292" s="832"/>
      <c r="O292" s="48">
        <f>IF(t&lt;Tnet,'2022'!Resal+('2022'!Salim-'2022'!Resal)*(1-EXP(('2022'!Tnet-t)/('2022'!Tau_j))),Resal+(Salim-Resal)*(1-EXP((Tnet-t)/(Tau_j))))*Salcycl</f>
        <v>4.5826721373318877E-2</v>
      </c>
      <c r="P292" s="338">
        <f>(INDEX(Models!$BJ292:$BT292,,T292)*(1-R292)+INDEX(Models!$BJ292:$BT292,,T292+1)*R292-ERP_i)*Q292*Ramure*Pc/MaxiM</f>
        <v>2.0213372434229058E-3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40.528981629184784</v>
      </c>
      <c r="W292" s="400">
        <f t="shared" si="111"/>
        <v>42.33970827451536</v>
      </c>
      <c r="X292" s="157">
        <f t="shared" si="112"/>
        <v>45204</v>
      </c>
      <c r="Y292" s="383">
        <f t="shared" si="113"/>
        <v>40.202211675204595</v>
      </c>
      <c r="Z292" s="383">
        <f t="shared" si="114"/>
        <v>41.551899208721828</v>
      </c>
      <c r="AA292" s="384">
        <f t="shared" si="115"/>
        <v>45.86290334061826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9.3997628102153188E-2</v>
      </c>
      <c r="AD292" s="230">
        <f>(INDEX(Models!$BJ292:$BT292,,AH292)*(1-AF292)+INDEX(Models!$BJ292:$BT292,,AH292+1)*AF292-ERP_i)*AE292*Ramure*Pc/MaxiM</f>
        <v>2.0213372434229058E-3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'2022'!Wh/'2022'!Env_an*'2023'!Env_an</f>
        <v>11.696047108354405</v>
      </c>
      <c r="C293" s="829"/>
      <c r="D293" s="391">
        <f t="shared" si="102"/>
        <v>12.088943977414715</v>
      </c>
      <c r="E293" s="383">
        <f t="shared" si="100"/>
        <v>12.669987589835253</v>
      </c>
      <c r="F293" s="383">
        <f t="shared" si="103"/>
        <v>12.669987589835253</v>
      </c>
      <c r="G293" s="110">
        <f t="shared" si="101"/>
        <v>0.29038026914671844</v>
      </c>
      <c r="H293" s="412" t="b">
        <f>Wh_hp&gt;='2022'!Maxi_hp</f>
        <v>0</v>
      </c>
      <c r="I293" s="379">
        <f>IF(H293,Wh_hp,'2022'!Maxi_hp)</f>
        <v>29.938480404074163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3.2500512021094941E-2</v>
      </c>
      <c r="M293" s="832"/>
      <c r="N293" s="832"/>
      <c r="O293" s="48">
        <f>IF(t&lt;Tnet,'2022'!Resal+('2022'!Salim-'2022'!Resal)*(1-EXP(('2022'!Tnet-t)/('2022'!Tau_j))),Resal+(Salim-Resal)*(1-EXP((Tnet-t)/(Tau_j))))*Salcycl</f>
        <v>4.5859840690506373E-2</v>
      </c>
      <c r="P293" s="338">
        <f>(INDEX(Models!$BJ293:$BT293,,T293)*(1-R293)+INDEX(Models!$BJ293:$BT293,,T293+1)*R293-ERP_i)*Q293*Ramure*Pc/MaxiM</f>
        <v>2.1094421604590354E-3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40.193416060153226</v>
      </c>
      <c r="W293" s="400">
        <f t="shared" si="111"/>
        <v>11.696047108354405</v>
      </c>
      <c r="X293" s="157">
        <f t="shared" si="112"/>
        <v>45205</v>
      </c>
      <c r="Y293" s="383">
        <f t="shared" si="113"/>
        <v>11.106353847114374</v>
      </c>
      <c r="Z293" s="383">
        <f t="shared" si="114"/>
        <v>11.479441576052318</v>
      </c>
      <c r="AA293" s="384">
        <f t="shared" si="115"/>
        <v>12.669987589835253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9.3965838982989464E-2</v>
      </c>
      <c r="AD293" s="230">
        <f>(INDEX(Models!$BJ293:$BT293,,AH293)*(1-AF293)+INDEX(Models!$BJ293:$BT293,,AH293+1)*AF293-ERP_i)*AE293*Ramure*Pc/MaxiM</f>
        <v>2.1094421604590354E-3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'2022'!Wh/'2022'!Env_an*'2023'!Env_an</f>
        <v>29.379284375107968</v>
      </c>
      <c r="C294" s="829"/>
      <c r="D294" s="391">
        <f t="shared" si="102"/>
        <v>30.366783443529833</v>
      </c>
      <c r="E294" s="383">
        <f t="shared" si="100"/>
        <v>31.827414106462662</v>
      </c>
      <c r="F294" s="383">
        <f t="shared" si="103"/>
        <v>31.871260748084808</v>
      </c>
      <c r="G294" s="110">
        <f t="shared" si="101"/>
        <v>0.73654124869544324</v>
      </c>
      <c r="H294" s="412" t="b">
        <f>Wh_hp&gt;='2022'!Maxi_hp</f>
        <v>0</v>
      </c>
      <c r="I294" s="379">
        <f>IF(H294,Wh_hp,'2022'!Maxi_hp)</f>
        <v>43.826307821277801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3.2519053928059982E-2</v>
      </c>
      <c r="M294" s="832"/>
      <c r="N294" s="832"/>
      <c r="O294" s="48">
        <f>IF(t&lt;Tnet,'2022'!Resal+('2022'!Salim-'2022'!Resal)*(1-EXP(('2022'!Tnet-t)/('2022'!Tau_j))),Resal+(Salim-Resal)*(1-EXP((Tnet-t)/(Tau_j))))*Salcycl</f>
        <v>4.5892219143126758E-2</v>
      </c>
      <c r="P294" s="338">
        <f>(INDEX(Models!$BJ294:$BT294,,T294)*(1-R294)+INDEX(Models!$BJ294:$BT294,,T294+1)*R294-ERP_i)*Q294*Ramure*Pc/MaxiM</f>
        <v>2.2029406719764155E-3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39.855131604532232</v>
      </c>
      <c r="W294" s="400">
        <f t="shared" si="111"/>
        <v>29.379284375107968</v>
      </c>
      <c r="X294" s="157">
        <f t="shared" si="112"/>
        <v>45206</v>
      </c>
      <c r="Y294" s="383">
        <f t="shared" si="113"/>
        <v>27.900001535951812</v>
      </c>
      <c r="Z294" s="383">
        <f t="shared" si="114"/>
        <v>28.837778820583843</v>
      </c>
      <c r="AA294" s="384">
        <f t="shared" si="115"/>
        <v>31.827414106462662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9.3932710834706515E-2</v>
      </c>
      <c r="AD294" s="230">
        <f>(INDEX(Models!$BJ294:$BT294,,AH294)*(1-AF294)+INDEX(Models!$BJ294:$BT294,,AH294+1)*AF294-ERP_i)*AE294*Ramure*Pc/MaxiM</f>
        <v>2.2029406719764155E-3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'2022'!Wh/'2022'!Env_an*'2023'!Env_an</f>
        <v>16.955440053217114</v>
      </c>
      <c r="C295" s="829"/>
      <c r="D295" s="391">
        <f t="shared" si="102"/>
        <v>17.525683658605548</v>
      </c>
      <c r="E295" s="383">
        <f t="shared" si="100"/>
        <v>18.36927136664691</v>
      </c>
      <c r="F295" s="383">
        <f t="shared" si="103"/>
        <v>18.377072366006722</v>
      </c>
      <c r="G295" s="110">
        <f t="shared" si="101"/>
        <v>0.42828562593391428</v>
      </c>
      <c r="H295" s="412" t="b">
        <f>Wh_hp&gt;='2022'!Maxi_hp</f>
        <v>0</v>
      </c>
      <c r="I295" s="379">
        <f>IF(H295,Wh_hp,'2022'!Maxi_hp)</f>
        <v>40.63677888339361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3.2537595479673609E-2</v>
      </c>
      <c r="M295" s="832"/>
      <c r="N295" s="832"/>
      <c r="O295" s="48">
        <f>IF(t&lt;Tnet,'2022'!Resal+('2022'!Salim-'2022'!Resal)*(1-EXP(('2022'!Tnet-t)/('2022'!Tau_j))),Resal+(Salim-Resal)*(1-EXP((Tnet-t)/(Tau_j))))*Salcycl</f>
        <v>4.5923852460096171E-2</v>
      </c>
      <c r="P295" s="338">
        <f>(INDEX(Models!$BJ295:$BT295,,T295)*(1-R295)+INDEX(Models!$BJ295:$BT295,,T295+1)*R295-ERP_i)*Q295*Ramure*Pc/MaxiM</f>
        <v>2.3018353113699735E-3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39.514740634700232</v>
      </c>
      <c r="W295" s="400">
        <f t="shared" si="111"/>
        <v>16.955440053217114</v>
      </c>
      <c r="X295" s="157">
        <f t="shared" si="112"/>
        <v>45207</v>
      </c>
      <c r="Y295" s="383">
        <f t="shared" si="113"/>
        <v>16.102859433028204</v>
      </c>
      <c r="Z295" s="383">
        <f t="shared" si="114"/>
        <v>16.64442913522009</v>
      </c>
      <c r="AA295" s="384">
        <f t="shared" si="115"/>
        <v>18.36927136664691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9.3898238912111506E-2</v>
      </c>
      <c r="AD295" s="230">
        <f>(INDEX(Models!$BJ295:$BT295,,AH295)*(1-AF295)+INDEX(Models!$BJ295:$BT295,,AH295+1)*AF295-ERP_i)*AE295*Ramure*Pc/MaxiM</f>
        <v>2.3018353113699735E-3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'2022'!Wh/'2022'!Env_an*'2023'!Env_an</f>
        <v>38.713813037407171</v>
      </c>
      <c r="C296" s="829"/>
      <c r="D296" s="391">
        <f t="shared" si="102"/>
        <v>40.016598900518837</v>
      </c>
      <c r="E296" s="383">
        <f t="shared" si="100"/>
        <v>41.944130433883572</v>
      </c>
      <c r="F296" s="383">
        <f t="shared" si="103"/>
        <v>42.043605545643246</v>
      </c>
      <c r="G296" s="110">
        <f t="shared" si="101"/>
        <v>0.98824187385746598</v>
      </c>
      <c r="H296" s="412" t="b">
        <f>Wh_hp&gt;='2022'!Maxi_hp</f>
        <v>0</v>
      </c>
      <c r="I296" s="379">
        <f>IF(H296,Wh_hp,'2022'!Maxi_hp)</f>
        <v>42.044091992831149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3.2556136675942593E-2</v>
      </c>
      <c r="M296" s="832"/>
      <c r="N296" s="832"/>
      <c r="O296" s="48">
        <f>IF(t&lt;Tnet,'2022'!Resal+('2022'!Salim-'2022'!Resal)*(1-EXP(('2022'!Tnet-t)/('2022'!Tau_j))),Resal+(Salim-Resal)*(1-EXP((Tnet-t)/(Tau_j))))*Salcycl</f>
        <v>4.5954738205935521E-2</v>
      </c>
      <c r="P296" s="338">
        <f>(INDEX(Models!$BJ296:$BT296,,T296)*(1-R296)+INDEX(Models!$BJ296:$BT296,,T296+1)*R296-ERP_i)*Q296*Ramure*Pc/MaxiM</f>
        <v>2.4062804957785946E-3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39.172849175051006</v>
      </c>
      <c r="W296" s="400">
        <f t="shared" si="111"/>
        <v>38.713813037407171</v>
      </c>
      <c r="X296" s="157">
        <f t="shared" si="112"/>
        <v>45208</v>
      </c>
      <c r="Y296" s="383">
        <f t="shared" si="113"/>
        <v>36.769786693326516</v>
      </c>
      <c r="Z296" s="383">
        <f t="shared" si="114"/>
        <v>38.007152753017174</v>
      </c>
      <c r="AA296" s="384">
        <f t="shared" si="115"/>
        <v>41.944130433883572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9.3862422230262907E-2</v>
      </c>
      <c r="AD296" s="230">
        <f>(INDEX(Models!$BJ296:$BT296,,AH296)*(1-AF296)+INDEX(Models!$BJ296:$BT296,,AH296+1)*AF296-ERP_i)*AE296*Ramure*Pc/MaxiM</f>
        <v>2.4062804957785946E-3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'2022'!Wh/'2022'!Env_an*'2023'!Env_an</f>
        <v>31.080216745835376</v>
      </c>
      <c r="C297" s="829"/>
      <c r="D297" s="391">
        <f t="shared" si="102"/>
        <v>32.126734770659752</v>
      </c>
      <c r="E297" s="383">
        <f t="shared" ref="E297:E360" si="125">Wh_pvt/(1-Psa)</f>
        <v>33.675288744171887</v>
      </c>
      <c r="F297" s="383">
        <f t="shared" si="103"/>
        <v>33.73591049156137</v>
      </c>
      <c r="G297" s="110">
        <f t="shared" ref="G297:G360" si="126">+Wh_hp/MaxiM</f>
        <v>0.79983941431268468</v>
      </c>
      <c r="H297" s="412" t="b">
        <f>Wh_hp&gt;='2022'!Maxi_hp</f>
        <v>0</v>
      </c>
      <c r="I297" s="379">
        <f>IF(H297,Wh_hp,'2022'!Maxi_hp)</f>
        <v>33.742851830860907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3.2574677516873707E-2</v>
      </c>
      <c r="M297" s="832"/>
      <c r="N297" s="832"/>
      <c r="O297" s="48">
        <f>IF(t&lt;Tnet,'2022'!Resal+('2022'!Salim-'2022'!Resal)*(1-EXP(('2022'!Tnet-t)/('2022'!Tau_j))),Resal+(Salim-Resal)*(1-EXP((Tnet-t)/(Tau_j))))*Salcycl</f>
        <v>4.5984875891528519E-2</v>
      </c>
      <c r="P297" s="338">
        <f>(INDEX(Models!$BJ297:$BT297,,T297)*(1-R297)+INDEX(Models!$BJ297:$BT297,,T297+1)*R297-ERP_i)*Q297*Ramure*Pc/MaxiM</f>
        <v>2.5136483104093526E-3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38.83017135023762</v>
      </c>
      <c r="W297" s="400">
        <f t="shared" si="111"/>
        <v>31.080216745835376</v>
      </c>
      <c r="X297" s="157">
        <f t="shared" si="112"/>
        <v>45209</v>
      </c>
      <c r="Y297" s="383">
        <f t="shared" si="113"/>
        <v>29.521656942207812</v>
      </c>
      <c r="Z297" s="383">
        <f t="shared" si="114"/>
        <v>30.515695895196835</v>
      </c>
      <c r="AA297" s="384">
        <f t="shared" si="115"/>
        <v>33.675288744171887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9.3825263770659556E-2</v>
      </c>
      <c r="AD297" s="230">
        <f>(INDEX(Models!$BJ297:$BT297,,AH297)*(1-AF297)+INDEX(Models!$BJ297:$BT297,,AH297+1)*AF297-ERP_i)*AE297*Ramure*Pc/MaxiM</f>
        <v>2.5136483104093526E-3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'2022'!Wh/'2022'!Env_an*'2023'!Env_an</f>
        <v>22.606383044278928</v>
      </c>
      <c r="C298" s="829"/>
      <c r="D298" s="391">
        <f t="shared" si="102"/>
        <v>23.368022082293752</v>
      </c>
      <c r="E298" s="383">
        <f t="shared" si="125"/>
        <v>24.49514838204178</v>
      </c>
      <c r="F298" s="383">
        <f t="shared" si="103"/>
        <v>24.521562746194338</v>
      </c>
      <c r="G298" s="110">
        <f t="shared" si="126"/>
        <v>0.58646279742114171</v>
      </c>
      <c r="H298" s="412" t="b">
        <f>Wh_hp&gt;='2022'!Maxi_hp</f>
        <v>0</v>
      </c>
      <c r="I298" s="379">
        <f>IF(H298,Wh_hp,'2022'!Maxi_hp)</f>
        <v>42.372842429013986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3.2593218002473945E-2</v>
      </c>
      <c r="M298" s="832"/>
      <c r="N298" s="832"/>
      <c r="O298" s="48">
        <f>IF(t&lt;Tnet,'2022'!Resal+('2022'!Salim-'2022'!Resal)*(1-EXP(('2022'!Tnet-t)/('2022'!Tau_j))),Resal+(Salim-Resal)*(1-EXP((Tnet-t)/(Tau_j))))*Salcycl</f>
        <v>4.6014267077245499E-2</v>
      </c>
      <c r="P298" s="338">
        <f>(INDEX(Models!$BJ298:$BT298,,T298)*(1-R298)+INDEX(Models!$BJ298:$BT298,,T298+1)*R298-ERP_i)*Q298*Ramure*Pc/MaxiM</f>
        <v>2.6238874731896651E-3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38.487317842795456</v>
      </c>
      <c r="W298" s="400">
        <f t="shared" si="111"/>
        <v>22.606383044278928</v>
      </c>
      <c r="X298" s="157">
        <f t="shared" si="112"/>
        <v>45210</v>
      </c>
      <c r="Y298" s="383">
        <f t="shared" si="113"/>
        <v>21.474328886710239</v>
      </c>
      <c r="Z298" s="383">
        <f t="shared" si="114"/>
        <v>22.197827518191986</v>
      </c>
      <c r="AA298" s="384">
        <f t="shared" si="115"/>
        <v>24.49514838204178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9.378677067063762E-2</v>
      </c>
      <c r="AD298" s="230">
        <f>(INDEX(Models!$BJ298:$BT298,,AH298)*(1-AF298)+INDEX(Models!$BJ298:$BT298,,AH298+1)*AF298-ERP_i)*AE298*Ramure*Pc/MaxiM</f>
        <v>2.6238874731896651E-3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'2022'!Wh/'2022'!Env_an*'2023'!Env_an</f>
        <v>28.058629376514862</v>
      </c>
      <c r="C299" s="829"/>
      <c r="D299" s="391">
        <f t="shared" si="102"/>
        <v>29.004517692251639</v>
      </c>
      <c r="E299" s="383">
        <f t="shared" si="125"/>
        <v>30.40442611363386</v>
      </c>
      <c r="F299" s="383">
        <f t="shared" si="103"/>
        <v>30.456295590925063</v>
      </c>
      <c r="G299" s="110">
        <f t="shared" si="126"/>
        <v>0.73481833381607997</v>
      </c>
      <c r="H299" s="412" t="b">
        <f>Wh_hp&gt;='2022'!Maxi_hp</f>
        <v>0</v>
      </c>
      <c r="I299" s="379">
        <f>IF(H299,Wh_hp,'2022'!Maxi_hp)</f>
        <v>40.061070375868503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3.2611758132749968E-2</v>
      </c>
      <c r="M299" s="832"/>
      <c r="N299" s="832"/>
      <c r="O299" s="48">
        <f>IF(t&lt;Tnet,'2022'!Resal+('2022'!Salim-'2022'!Resal)*(1-EXP(('2022'!Tnet-t)/('2022'!Tau_j))),Resal+(Salim-Resal)*(1-EXP((Tnet-t)/(Tau_j))))*Salcycl</f>
        <v>4.6042915467313462E-2</v>
      </c>
      <c r="P299" s="338">
        <f>(INDEX(Models!$BJ299:$BT299,,T299)*(1-R299)+INDEX(Models!$BJ299:$BT299,,T299+1)*R299-ERP_i)*Q299*Ramure*Pc/MaxiM</f>
        <v>2.7369369064595864E-3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38.144899170804067</v>
      </c>
      <c r="W299" s="400">
        <f t="shared" si="111"/>
        <v>28.058629376514862</v>
      </c>
      <c r="X299" s="157">
        <f t="shared" si="112"/>
        <v>45211</v>
      </c>
      <c r="Y299" s="383">
        <f t="shared" si="113"/>
        <v>26.655515997827088</v>
      </c>
      <c r="Z299" s="383">
        <f t="shared" si="114"/>
        <v>27.554103765388639</v>
      </c>
      <c r="AA299" s="384">
        <f t="shared" si="115"/>
        <v>30.40442611363386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9.3746954393823884E-2</v>
      </c>
      <c r="AD299" s="230">
        <f>(INDEX(Models!$BJ299:$BT299,,AH299)*(1-AF299)+INDEX(Models!$BJ299:$BT299,,AH299+1)*AF299-ERP_i)*AE299*Ramure*Pc/MaxiM</f>
        <v>2.7369369064595864E-3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'2022'!Wh/'2022'!Env_an*'2023'!Env_an</f>
        <v>23.493193788537063</v>
      </c>
      <c r="C300" s="829"/>
      <c r="D300" s="391">
        <f t="shared" si="102"/>
        <v>24.285641505749481</v>
      </c>
      <c r="E300" s="383">
        <f t="shared" si="125"/>
        <v>25.458537376763744</v>
      </c>
      <c r="F300" s="383">
        <f t="shared" si="103"/>
        <v>25.491932648513544</v>
      </c>
      <c r="G300" s="110">
        <f t="shared" si="126"/>
        <v>0.62049512726562051</v>
      </c>
      <c r="H300" s="412" t="b">
        <f>Wh_hp&gt;='2022'!Maxi_hp</f>
        <v>0</v>
      </c>
      <c r="I300" s="379">
        <f>IF(H300,Wh_hp,'2022'!Maxi_hp)</f>
        <v>39.39832701671196</v>
      </c>
      <c r="J300" s="85">
        <f>IF(H300,An,'2022'!An_max)</f>
        <v>2018</v>
      </c>
      <c r="K300" s="197">
        <f t="shared" si="104"/>
        <v>45212</v>
      </c>
      <c r="L300" s="147">
        <f>IF(t&lt;Tvie,1-EXP((T0-t)*PertePVj)+'2022'!Pspv,1-EXP((T0-t)*PertePVj)+Pspv)</f>
        <v>3.2630297907708661E-2</v>
      </c>
      <c r="M300" s="832"/>
      <c r="N300" s="832"/>
      <c r="O300" s="48">
        <f>IF(t&lt;Tnet,'2022'!Resal+('2022'!Salim-'2022'!Resal)*(1-EXP(('2022'!Tnet-t)/('2022'!Tau_j))),Resal+(Salim-Resal)*(1-EXP((Tnet-t)/(Tau_j))))*Salcycl</f>
        <v>4.6070826994357425E-2</v>
      </c>
      <c r="P300" s="338">
        <f>(INDEX(Models!$BJ300:$BT300,,T300)*(1-R300)+INDEX(Models!$BJ300:$BT300,,T300+1)*R300-ERP_i)*Q300*Ramure*Pc/MaxiM</f>
        <v>2.8527252139042688E-3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37.803525681357172</v>
      </c>
      <c r="W300" s="400">
        <f t="shared" si="111"/>
        <v>23.493193788537063</v>
      </c>
      <c r="X300" s="157">
        <f t="shared" si="112"/>
        <v>45212</v>
      </c>
      <c r="Y300" s="383">
        <f t="shared" si="113"/>
        <v>22.32004759586145</v>
      </c>
      <c r="Z300" s="383">
        <f t="shared" si="114"/>
        <v>23.0729239788947</v>
      </c>
      <c r="AA300" s="384">
        <f t="shared" si="115"/>
        <v>25.458537376763744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9.3705830879601784E-2</v>
      </c>
      <c r="AD300" s="230">
        <f>(INDEX(Models!$BJ300:$BT300,,AH300)*(1-AF300)+INDEX(Models!$BJ300:$BT300,,AH300+1)*AF300-ERP_i)*AE300*Ramure*Pc/MaxiM</f>
        <v>2.8527252139042688E-3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'2022'!Wh/'2022'!Env_an*'2023'!Env_an</f>
        <v>18.261964461918542</v>
      </c>
      <c r="C301" s="829"/>
      <c r="D301" s="391">
        <f t="shared" si="102"/>
        <v>18.878319649157735</v>
      </c>
      <c r="E301" s="383">
        <f t="shared" si="125"/>
        <v>19.790628224857766</v>
      </c>
      <c r="F301" s="383">
        <f t="shared" si="103"/>
        <v>19.806387437570525</v>
      </c>
      <c r="G301" s="110">
        <f t="shared" si="126"/>
        <v>0.4863948698825834</v>
      </c>
      <c r="H301" s="412" t="b">
        <f>Wh_hp&gt;='2022'!Maxi_hp</f>
        <v>0</v>
      </c>
      <c r="I301" s="379">
        <f>IF(H301,Wh_hp,'2022'!Maxi_hp)</f>
        <v>42.332847154201126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3.2648837327356794E-2</v>
      </c>
      <c r="M301" s="832"/>
      <c r="N301" s="832"/>
      <c r="O301" s="48">
        <f>IF(t&lt;Tnet,'2022'!Resal+('2022'!Salim-'2022'!Resal)*(1-EXP(('2022'!Tnet-t)/('2022'!Tau_j))),Resal+(Salim-Resal)*(1-EXP((Tnet-t)/(Tau_j))))*Salcycl</f>
        <v>4.6098009893093657E-2</v>
      </c>
      <c r="P301" s="338">
        <f>(INDEX(Models!$BJ301:$BT301,,T301)*(1-R301)+INDEX(Models!$BJ301:$BT301,,T301+1)*R301-ERP_i)*Q301*Ramure*Pc/MaxiM</f>
        <v>2.9711701811060936E-3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37.463807540192214</v>
      </c>
      <c r="W301" s="400">
        <f t="shared" si="111"/>
        <v>18.261964461918542</v>
      </c>
      <c r="X301" s="157">
        <f t="shared" si="112"/>
        <v>45213</v>
      </c>
      <c r="Y301" s="383">
        <f t="shared" si="113"/>
        <v>17.351349063033421</v>
      </c>
      <c r="Z301" s="383">
        <f t="shared" si="114"/>
        <v>17.936970288115745</v>
      </c>
      <c r="AA301" s="384">
        <f t="shared" si="115"/>
        <v>19.790628224857766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9.3663420669676214E-2</v>
      </c>
      <c r="AD301" s="230">
        <f>(INDEX(Models!$BJ301:$BT301,,AH301)*(1-AF301)+INDEX(Models!$BJ301:$BT301,,AH301+1)*AF301-ERP_i)*AE301*Ramure*Pc/MaxiM</f>
        <v>2.9711701811060936E-3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'2022'!Wh/'2022'!Env_an*'2023'!Env_an</f>
        <v>37.525095604494936</v>
      </c>
      <c r="C302" s="829"/>
      <c r="D302" s="391">
        <f t="shared" si="102"/>
        <v>38.792339562084223</v>
      </c>
      <c r="E302" s="383">
        <f t="shared" si="125"/>
        <v>40.668135973416703</v>
      </c>
      <c r="F302" s="383">
        <f t="shared" si="103"/>
        <v>40.794279158401729</v>
      </c>
      <c r="G302" s="110">
        <f t="shared" si="126"/>
        <v>1.0107401032289725</v>
      </c>
      <c r="H302" s="412" t="b">
        <f>Wh_hp&gt;='2022'!Maxi_hp</f>
        <v>1</v>
      </c>
      <c r="I302" s="379">
        <f>IF(H302,Wh_hp,'2022'!Maxi_hp)</f>
        <v>40.794279158401729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3.2667376391701142E-2</v>
      </c>
      <c r="M302" s="832"/>
      <c r="N302" s="832"/>
      <c r="O302" s="48">
        <f>IF(t&lt;Tnet,'2022'!Resal+('2022'!Salim-'2022'!Resal)*(1-EXP(('2022'!Tnet-t)/('2022'!Tau_j))),Resal+(Salim-Resal)*(1-EXP((Tnet-t)/(Tau_j))))*Salcycl</f>
        <v>4.6124474762222187E-2</v>
      </c>
      <c r="P302" s="338">
        <f>(INDEX(Models!$BJ302:$BT302,,T302)*(1-R302)+INDEX(Models!$BJ302:$BT302,,T302+1)*R302-ERP_i)*Q302*Ramure*Pc/MaxiM</f>
        <v>3.0921783050808713E-3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37.126354722262391</v>
      </c>
      <c r="W302" s="400">
        <f t="shared" si="111"/>
        <v>37.525095604494936</v>
      </c>
      <c r="X302" s="157">
        <f t="shared" si="112"/>
        <v>45214</v>
      </c>
      <c r="Y302" s="383">
        <f t="shared" si="113"/>
        <v>35.656649817017289</v>
      </c>
      <c r="Z302" s="383">
        <f t="shared" si="114"/>
        <v>36.860795290881974</v>
      </c>
      <c r="AA302" s="384">
        <f t="shared" si="115"/>
        <v>40.668135973416703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9.3619749009973066E-2</v>
      </c>
      <c r="AD302" s="230">
        <f>(INDEX(Models!$BJ302:$BT302,,AH302)*(1-AF302)+INDEX(Models!$BJ302:$BT302,,AH302+1)*AF302-ERP_i)*AE302*Ramure*Pc/MaxiM</f>
        <v>3.0921783050808713E-3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'2022'!Wh/'2022'!Env_an*'2023'!Env_an</f>
        <v>33.120536425055555</v>
      </c>
      <c r="C303" s="829"/>
      <c r="D303" s="391">
        <f t="shared" si="102"/>
        <v>34.239692093912964</v>
      </c>
      <c r="E303" s="383">
        <f t="shared" si="125"/>
        <v>35.896315474842247</v>
      </c>
      <c r="F303" s="383">
        <f t="shared" si="103"/>
        <v>35.995582190633968</v>
      </c>
      <c r="G303" s="110">
        <f t="shared" si="126"/>
        <v>0.89986617103555366</v>
      </c>
      <c r="H303" s="412" t="b">
        <f>Wh_hp&gt;='2022'!Maxi_hp</f>
        <v>0</v>
      </c>
      <c r="I303" s="379">
        <f>IF(H303,Wh_hp,'2022'!Maxi_hp)</f>
        <v>38.803370286376357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3.2685915100748475E-2</v>
      </c>
      <c r="M303" s="832"/>
      <c r="N303" s="832"/>
      <c r="O303" s="48">
        <f>IF(t&lt;Tnet,'2022'!Resal+('2022'!Salim-'2022'!Resal)*(1-EXP(('2022'!Tnet-t)/('2022'!Tau_j))),Resal+(Salim-Resal)*(1-EXP((Tnet-t)/(Tau_j))))*Salcycl</f>
        <v>4.6150234613642101E-2</v>
      </c>
      <c r="P303" s="338">
        <f>(INDEX(Models!$BJ303:$BT303,,T303)*(1-R303)+INDEX(Models!$BJ303:$BT303,,T303+1)*R303-ERP_i)*Q303*Ramure*Pc/MaxiM</f>
        <v>3.2158723135280232E-3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36.789160634053665</v>
      </c>
      <c r="W303" s="400">
        <f t="shared" si="111"/>
        <v>33.120536425055555</v>
      </c>
      <c r="X303" s="157">
        <f t="shared" si="112"/>
        <v>45215</v>
      </c>
      <c r="Y303" s="383">
        <f t="shared" si="113"/>
        <v>31.473811098464882</v>
      </c>
      <c r="Z303" s="383">
        <f t="shared" si="114"/>
        <v>32.537323284962781</v>
      </c>
      <c r="AA303" s="384">
        <f t="shared" si="115"/>
        <v>35.896315474842247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9.3574845926278918E-2</v>
      </c>
      <c r="AD303" s="230">
        <f>(INDEX(Models!$BJ303:$BT303,,AH303)*(1-AF303)+INDEX(Models!$BJ303:$BT303,,AH303+1)*AF303-ERP_i)*AE303*Ramure*Pc/MaxiM</f>
        <v>3.2158723135280232E-3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'2022'!Wh/'2022'!Env_an*'2023'!Env_an</f>
        <v>19.66245858883952</v>
      </c>
      <c r="C304" s="829"/>
      <c r="D304" s="391">
        <f t="shared" si="102"/>
        <v>20.327250196757468</v>
      </c>
      <c r="E304" s="383">
        <f t="shared" si="125"/>
        <v>21.311306261368181</v>
      </c>
      <c r="F304" s="383">
        <f t="shared" si="103"/>
        <v>21.335687119687773</v>
      </c>
      <c r="G304" s="110">
        <f t="shared" si="126"/>
        <v>0.53824626483850957</v>
      </c>
      <c r="H304" s="412" t="b">
        <f>Wh_hp&gt;='2022'!Maxi_hp</f>
        <v>0</v>
      </c>
      <c r="I304" s="379">
        <f>IF(H304,Wh_hp,'2022'!Maxi_hp)</f>
        <v>35.6425652403491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3.2704453454505789E-2</v>
      </c>
      <c r="M304" s="832"/>
      <c r="N304" s="832"/>
      <c r="O304" s="48">
        <f>IF(t&lt;Tnet,'2022'!Resal+('2022'!Salim-'2022'!Resal)*(1-EXP(('2022'!Tnet-t)/('2022'!Tau_j))),Resal+(Salim-Resal)*(1-EXP((Tnet-t)/(Tau_j))))*Salcycl</f>
        <v>4.6175304908200231E-2</v>
      </c>
      <c r="P304" s="338">
        <f>(INDEX(Models!$BJ304:$BT304,,T304)*(1-R304)+INDEX(Models!$BJ304:$BT304,,T304+1)*R304-ERP_i)*Q304*Ramure*Pc/MaxiM</f>
        <v>3.3408404983644802E-3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36.450208951732407</v>
      </c>
      <c r="W304" s="400">
        <f t="shared" si="111"/>
        <v>19.66245858883952</v>
      </c>
      <c r="X304" s="157">
        <f t="shared" si="112"/>
        <v>45216</v>
      </c>
      <c r="Y304" s="383">
        <f t="shared" si="113"/>
        <v>18.686299044375904</v>
      </c>
      <c r="Z304" s="383">
        <f t="shared" si="114"/>
        <v>19.318086505319233</v>
      </c>
      <c r="AA304" s="384">
        <f t="shared" si="115"/>
        <v>21.311306261368181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9.3528746272214011E-2</v>
      </c>
      <c r="AD304" s="230">
        <f>(INDEX(Models!$BJ304:$BT304,,AH304)*(1-AF304)+INDEX(Models!$BJ304:$BT304,,AH304+1)*AF304-ERP_i)*AE304*Ramure*Pc/MaxiM</f>
        <v>3.3408404983644802E-3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'2022'!Wh/'2022'!Env_an*'2023'!Env_an</f>
        <v>34.683918713589883</v>
      </c>
      <c r="C305" s="829"/>
      <c r="D305" s="391">
        <f t="shared" si="102"/>
        <v>35.857276051345188</v>
      </c>
      <c r="E305" s="383">
        <f t="shared" si="125"/>
        <v>37.594112924717905</v>
      </c>
      <c r="F305" s="383">
        <f t="shared" si="103"/>
        <v>37.717417430352661</v>
      </c>
      <c r="G305" s="110">
        <f t="shared" si="126"/>
        <v>0.96031644421090512</v>
      </c>
      <c r="H305" s="412" t="b">
        <f>Wh_hp&gt;='2022'!Maxi_hp</f>
        <v>0</v>
      </c>
      <c r="I305" s="379">
        <f>IF(H305,Wh_hp,'2022'!Maxi_hp)</f>
        <v>38.775386152374139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3.2722991452979744E-2</v>
      </c>
      <c r="M305" s="832"/>
      <c r="N305" s="832"/>
      <c r="O305" s="48">
        <f>IF(t&lt;Tnet,'2022'!Resal+('2022'!Salim-'2022'!Resal)*(1-EXP(('2022'!Tnet-t)/('2022'!Tau_j))),Resal+(Salim-Resal)*(1-EXP((Tnet-t)/(Tau_j))))*Salcycl</f>
        <v>4.6199703577278824E-2</v>
      </c>
      <c r="P305" s="338">
        <f>(INDEX(Models!$BJ305:$BT305,,T305)*(1-R305)+INDEX(Models!$BJ305:$BT305,,T305+1)*R305-ERP_i)*Q305*Ramure*Pc/MaxiM</f>
        <v>3.4646474294216349E-3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36.110093323094141</v>
      </c>
      <c r="W305" s="400">
        <f t="shared" si="111"/>
        <v>34.683918713589883</v>
      </c>
      <c r="X305" s="157">
        <f t="shared" si="112"/>
        <v>45217</v>
      </c>
      <c r="Y305" s="383">
        <f t="shared" si="113"/>
        <v>32.964567572328079</v>
      </c>
      <c r="Z305" s="383">
        <f t="shared" si="114"/>
        <v>34.079759242748132</v>
      </c>
      <c r="AA305" s="384">
        <f t="shared" si="115"/>
        <v>37.594112924717905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9.34814897483352E-2</v>
      </c>
      <c r="AD305" s="230">
        <f>(INDEX(Models!$BJ305:$BT305,,AH305)*(1-AF305)+INDEX(Models!$BJ305:$BT305,,AH305+1)*AF305-ERP_i)*AE305*Ramure*Pc/MaxiM</f>
        <v>3.4646474294216349E-3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'2022'!Wh/'2022'!Env_an*'2023'!Env_an</f>
        <v>16.121416298443471</v>
      </c>
      <c r="C306" s="829"/>
      <c r="D306" s="391">
        <f t="shared" si="102"/>
        <v>16.667123404336117</v>
      </c>
      <c r="E306" s="383">
        <f t="shared" si="125"/>
        <v>17.474872308748626</v>
      </c>
      <c r="F306" s="383">
        <f t="shared" si="103"/>
        <v>17.488378616720944</v>
      </c>
      <c r="G306" s="110">
        <f t="shared" si="126"/>
        <v>0.44943547300352837</v>
      </c>
      <c r="H306" s="412" t="b">
        <f>Wh_hp&gt;='2022'!Maxi_hp</f>
        <v>0</v>
      </c>
      <c r="I306" s="379">
        <f>IF(H306,Wh_hp,'2022'!Maxi_hp)</f>
        <v>38.555741543850147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3.2741529096177224E-2</v>
      </c>
      <c r="M306" s="832"/>
      <c r="N306" s="832"/>
      <c r="O306" s="48">
        <f>IF(t&lt;Tnet,'2022'!Resal+('2022'!Salim-'2022'!Resal)*(1-EXP(('2022'!Tnet-t)/('2022'!Tau_j))),Resal+(Salim-Resal)*(1-EXP((Tnet-t)/(Tau_j))))*Salcycl</f>
        <v>4.6223451029631775E-2</v>
      </c>
      <c r="P306" s="338">
        <f>(INDEX(Models!$BJ306:$BT306,,T306)*(1-R306)+INDEX(Models!$BJ306:$BT306,,T306+1)*R306-ERP_i)*Q306*Ramure*Pc/MaxiM</f>
        <v>3.5872120787547785E-3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35.769319181035144</v>
      </c>
      <c r="W306" s="400">
        <f t="shared" si="111"/>
        <v>16.121416298443471</v>
      </c>
      <c r="X306" s="157">
        <f t="shared" si="112"/>
        <v>45218</v>
      </c>
      <c r="Y306" s="383">
        <f t="shared" si="113"/>
        <v>15.323444549216649</v>
      </c>
      <c r="Z306" s="383">
        <f t="shared" si="114"/>
        <v>15.8421404517638</v>
      </c>
      <c r="AA306" s="384">
        <f t="shared" si="115"/>
        <v>17.474872308748626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9.343312089138496E-2</v>
      </c>
      <c r="AD306" s="230">
        <f>(INDEX(Models!$BJ306:$BT306,,AH306)*(1-AF306)+INDEX(Models!$BJ306:$BT306,,AH306+1)*AF306-ERP_i)*AE306*Ramure*Pc/MaxiM</f>
        <v>3.5872120787547785E-3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'2022'!Wh/'2022'!Env_an*'2023'!Env_an</f>
        <v>6.7887637873630826</v>
      </c>
      <c r="C307" s="829"/>
      <c r="D307" s="391">
        <f t="shared" si="102"/>
        <v>7.0186967591218163</v>
      </c>
      <c r="E307" s="383">
        <f t="shared" si="125"/>
        <v>7.3590264940636514</v>
      </c>
      <c r="F307" s="383">
        <f t="shared" si="103"/>
        <v>7.3590264940636514</v>
      </c>
      <c r="G307" s="110">
        <f t="shared" si="126"/>
        <v>0.19090869493268625</v>
      </c>
      <c r="H307" s="412" t="b">
        <f>Wh_hp&gt;='2022'!Maxi_hp</f>
        <v>0</v>
      </c>
      <c r="I307" s="379">
        <f>IF(H307,Wh_hp,'2022'!Maxi_hp)</f>
        <v>31.702695928532638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3.2760066384105002E-2</v>
      </c>
      <c r="M307" s="832"/>
      <c r="N307" s="832"/>
      <c r="O307" s="48">
        <f>IF(t&lt;Tnet,'2022'!Resal+('2022'!Salim-'2022'!Resal)*(1-EXP(('2022'!Tnet-t)/('2022'!Tau_j))),Resal+(Salim-Resal)*(1-EXP((Tnet-t)/(Tau_j))))*Salcycl</f>
        <v>4.6246570142989871E-2</v>
      </c>
      <c r="P307" s="338">
        <f>(INDEX(Models!$BJ307:$BT307,,T307)*(1-R307)+INDEX(Models!$BJ307:$BT307,,T307+1)*R307-ERP_i)*Q307*Ramure*Pc/MaxiM</f>
        <v>3.7084495023352992E-3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35.428391577760159</v>
      </c>
      <c r="W307" s="400">
        <f t="shared" si="111"/>
        <v>6.7887637873630826</v>
      </c>
      <c r="X307" s="157">
        <f t="shared" si="112"/>
        <v>45219</v>
      </c>
      <c r="Y307" s="383">
        <f t="shared" si="113"/>
        <v>6.453244400755322</v>
      </c>
      <c r="Z307" s="383">
        <f t="shared" si="114"/>
        <v>6.6718134523568988</v>
      </c>
      <c r="AA307" s="384">
        <f t="shared" si="115"/>
        <v>7.3590264940636514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9.338368903293276E-2</v>
      </c>
      <c r="AD307" s="230">
        <f>(INDEX(Models!$BJ307:$BT307,,AH307)*(1-AF307)+INDEX(Models!$BJ307:$BT307,,AH307+1)*AF307-ERP_i)*AE307*Ramure*Pc/MaxiM</f>
        <v>3.7084495023352992E-3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'2022'!Wh/'2022'!Env_an*'2023'!Env_an</f>
        <v>16.521845213472414</v>
      </c>
      <c r="C308" s="829"/>
      <c r="D308" s="391">
        <f t="shared" si="102"/>
        <v>17.081761497552353</v>
      </c>
      <c r="E308" s="383">
        <f t="shared" si="125"/>
        <v>17.910462218541625</v>
      </c>
      <c r="F308" s="383">
        <f t="shared" si="103"/>
        <v>17.927214987609105</v>
      </c>
      <c r="G308" s="110">
        <f t="shared" si="126"/>
        <v>0.46950742792918998</v>
      </c>
      <c r="H308" s="412" t="b">
        <f>Wh_hp&gt;='2022'!Maxi_hp</f>
        <v>0</v>
      </c>
      <c r="I308" s="379">
        <f>IF(H308,Wh_hp,'2022'!Maxi_hp)</f>
        <v>24.418087613545492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3.277860331676985E-2</v>
      </c>
      <c r="M308" s="832"/>
      <c r="N308" s="832"/>
      <c r="O308" s="48">
        <f>IF(t&lt;Tnet,'2022'!Resal+('2022'!Salim-'2022'!Resal)*(1-EXP(('2022'!Tnet-t)/('2022'!Tau_j))),Resal+(Salim-Resal)*(1-EXP((Tnet-t)/(Tau_j))))*Salcycl</f>
        <v>4.6269086240072969E-2</v>
      </c>
      <c r="P308" s="338">
        <f>(INDEX(Models!$BJ308:$BT308,,T308)*(1-R308)+INDEX(Models!$BJ308:$BT308,,T308+1)*R308-ERP_i)*Q308*Ramure*Pc/MaxiM</f>
        <v>3.8282711187515215E-3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35.087815182714124</v>
      </c>
      <c r="W308" s="400">
        <f t="shared" si="111"/>
        <v>16.521845213472414</v>
      </c>
      <c r="X308" s="157">
        <f t="shared" si="112"/>
        <v>45220</v>
      </c>
      <c r="Y308" s="383">
        <f t="shared" si="113"/>
        <v>15.706534743580423</v>
      </c>
      <c r="Z308" s="383">
        <f t="shared" si="114"/>
        <v>16.238820602439993</v>
      </c>
      <c r="AA308" s="384">
        <f t="shared" si="115"/>
        <v>17.910462218541625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9.3333248226898424E-2</v>
      </c>
      <c r="AD308" s="230">
        <f>(INDEX(Models!$BJ308:$BT308,,AH308)*(1-AF308)+INDEX(Models!$BJ308:$BT308,,AH308+1)*AF308-ERP_i)*AE308*Ramure*Pc/MaxiM</f>
        <v>3.8282711187515215E-3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'2022'!Wh/'2022'!Env_an*'2023'!Env_an</f>
        <v>33.380207049429593</v>
      </c>
      <c r="C309" s="829"/>
      <c r="D309" s="391">
        <f t="shared" si="102"/>
        <v>34.512105398217571</v>
      </c>
      <c r="E309" s="383">
        <f t="shared" si="125"/>
        <v>36.187250384591302</v>
      </c>
      <c r="F309" s="383">
        <f t="shared" si="103"/>
        <v>36.322538814221986</v>
      </c>
      <c r="G309" s="110">
        <f t="shared" si="126"/>
        <v>0.9604201759916664</v>
      </c>
      <c r="H309" s="412" t="b">
        <f>Wh_hp&gt;='2022'!Maxi_hp</f>
        <v>0</v>
      </c>
      <c r="I309" s="379">
        <f>IF(H309,Wh_hp,'2022'!Maxi_hp)</f>
        <v>36.324773470001581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3.2797139894178651E-2</v>
      </c>
      <c r="M309" s="832"/>
      <c r="N309" s="832"/>
      <c r="O309" s="48">
        <f>IF(t&lt;Tnet,'2022'!Resal+('2022'!Salim-'2022'!Resal)*(1-EXP(('2022'!Tnet-t)/('2022'!Tau_j))),Resal+(Salim-Resal)*(1-EXP((Tnet-t)/(Tau_j))))*Salcycl</f>
        <v>4.6291027048769959E-2</v>
      </c>
      <c r="P309" s="338">
        <f>(INDEX(Models!$BJ309:$BT309,,T309)*(1-R309)+INDEX(Models!$BJ309:$BT309,,T309+1)*R309-ERP_i)*Q309*Ramure*Pc/MaxiM</f>
        <v>3.9465849902602839E-3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34.748094283527038</v>
      </c>
      <c r="W309" s="400">
        <f t="shared" si="111"/>
        <v>33.380207049429593</v>
      </c>
      <c r="X309" s="157">
        <f t="shared" si="112"/>
        <v>45221</v>
      </c>
      <c r="Y309" s="383">
        <f t="shared" si="113"/>
        <v>31.735508632462714</v>
      </c>
      <c r="Z309" s="383">
        <f t="shared" si="114"/>
        <v>32.811636463720284</v>
      </c>
      <c r="AA309" s="384">
        <f t="shared" si="115"/>
        <v>36.187250384591302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9.328185714569702E-2</v>
      </c>
      <c r="AD309" s="230">
        <f>(INDEX(Models!$BJ309:$BT309,,AH309)*(1-AF309)+INDEX(Models!$BJ309:$BT309,,AH309+1)*AF309-ERP_i)*AE309*Ramure*Pc/MaxiM</f>
        <v>3.9465849902602839E-3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'2022'!Wh/'2022'!Env_an*'2023'!Env_an</f>
        <v>17.155911019502284</v>
      </c>
      <c r="C310" s="829"/>
      <c r="D310" s="391">
        <f t="shared" si="102"/>
        <v>17.737995329177696</v>
      </c>
      <c r="E310" s="383">
        <f t="shared" si="125"/>
        <v>18.599377563875379</v>
      </c>
      <c r="F310" s="383">
        <f t="shared" si="103"/>
        <v>18.620829911970382</v>
      </c>
      <c r="G310" s="110">
        <f t="shared" si="126"/>
        <v>0.49712413180904247</v>
      </c>
      <c r="H310" s="412" t="b">
        <f>Wh_hp&gt;='2022'!Maxi_hp</f>
        <v>0</v>
      </c>
      <c r="I310" s="379">
        <f>IF(H310,Wh_hp,'2022'!Maxi_hp)</f>
        <v>37.404529448025627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3.2815676116338066E-2</v>
      </c>
      <c r="M310" s="832"/>
      <c r="N310" s="832"/>
      <c r="O310" s="48">
        <f>IF(t&lt;Tnet,'2022'!Resal+('2022'!Salim-'2022'!Resal)*(1-EXP(('2022'!Tnet-t)/('2022'!Tau_j))),Resal+(Salim-Resal)*(1-EXP((Tnet-t)/(Tau_j))))*Salcycl</f>
        <v>4.631242264637396E-2</v>
      </c>
      <c r="P310" s="338">
        <f>(INDEX(Models!$BJ310:$BT310,,T310)*(1-R310)+INDEX(Models!$BJ310:$BT310,,T310+1)*R310-ERP_i)*Q310*Ramure*Pc/MaxiM</f>
        <v>4.0611277946482824E-3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34.409807703403708</v>
      </c>
      <c r="W310" s="400">
        <f t="shared" si="111"/>
        <v>17.155911019502284</v>
      </c>
      <c r="X310" s="157">
        <f t="shared" si="112"/>
        <v>45222</v>
      </c>
      <c r="Y310" s="383">
        <f t="shared" si="113"/>
        <v>16.31191705558712</v>
      </c>
      <c r="Z310" s="383">
        <f t="shared" si="114"/>
        <v>16.865365424956167</v>
      </c>
      <c r="AA310" s="384">
        <f t="shared" si="115"/>
        <v>18.599377563875379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9.3229578945001709E-2</v>
      </c>
      <c r="AD310" s="230">
        <f>(INDEX(Models!$BJ310:$BT310,,AH310)*(1-AF310)+INDEX(Models!$BJ310:$BT310,,AH310+1)*AF310-ERP_i)*AE310*Ramure*Pc/MaxiM</f>
        <v>4.0611277946482824E-3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'2022'!Wh/'2022'!Env_an*'2023'!Env_an</f>
        <v>25.383249960377796</v>
      </c>
      <c r="C311" s="829"/>
      <c r="D311" s="391">
        <f t="shared" si="102"/>
        <v>26.2449833057353</v>
      </c>
      <c r="E311" s="383">
        <f t="shared" si="125"/>
        <v>27.520079556107486</v>
      </c>
      <c r="F311" s="383">
        <f t="shared" si="103"/>
        <v>27.593249576580352</v>
      </c>
      <c r="G311" s="110">
        <f t="shared" si="126"/>
        <v>0.74382130703503491</v>
      </c>
      <c r="H311" s="412" t="b">
        <f>Wh_hp&gt;='2022'!Maxi_hp</f>
        <v>0</v>
      </c>
      <c r="I311" s="379">
        <f>IF(H311,Wh_hp,'2022'!Maxi_hp)</f>
        <v>38.420312161688102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3.283421198325509E-2</v>
      </c>
      <c r="M311" s="832"/>
      <c r="N311" s="832"/>
      <c r="O311" s="48">
        <f>IF(t&lt;Tnet,'2022'!Resal+('2022'!Salim-'2022'!Resal)*(1-EXP(('2022'!Tnet-t)/('2022'!Tau_j))),Resal+(Salim-Resal)*(1-EXP((Tnet-t)/(Tau_j))))*Salcycl</f>
        <v>4.633330538789103E-2</v>
      </c>
      <c r="P311" s="338">
        <f>(INDEX(Models!$BJ311:$BT311,,T311)*(1-R311)+INDEX(Models!$BJ311:$BT311,,T311+1)*R311-ERP_i)*Q311*Ramure*Pc/MaxiM</f>
        <v>4.1716773073338809E-3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34.073461056321854</v>
      </c>
      <c r="W311" s="400">
        <f t="shared" si="111"/>
        <v>25.383249960377796</v>
      </c>
      <c r="X311" s="157">
        <f t="shared" si="112"/>
        <v>45223</v>
      </c>
      <c r="Y311" s="383">
        <f t="shared" si="113"/>
        <v>24.136449537662468</v>
      </c>
      <c r="Z311" s="383">
        <f t="shared" si="114"/>
        <v>24.955855383549387</v>
      </c>
      <c r="AA311" s="384">
        <f t="shared" si="115"/>
        <v>27.520079556107486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9.3176481097381941E-2</v>
      </c>
      <c r="AD311" s="230">
        <f>(INDEX(Models!$BJ311:$BT311,,AH311)*(1-AF311)+INDEX(Models!$BJ311:$BT311,,AH311+1)*AF311-ERP_i)*AE311*Ramure*Pc/MaxiM</f>
        <v>4.1716773073338809E-3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'2022'!Wh/'2022'!Env_an*'2023'!Env_an</f>
        <v>22.443027434923913</v>
      </c>
      <c r="C312" s="829"/>
      <c r="D312" s="391">
        <f t="shared" si="102"/>
        <v>23.205388193776017</v>
      </c>
      <c r="E312" s="383">
        <f t="shared" si="125"/>
        <v>24.333328229443712</v>
      </c>
      <c r="F312" s="383">
        <f t="shared" si="103"/>
        <v>24.387758901338877</v>
      </c>
      <c r="G312" s="110">
        <f t="shared" si="126"/>
        <v>0.66382027111460984</v>
      </c>
      <c r="H312" s="412" t="b">
        <f>Wh_hp&gt;='2022'!Maxi_hp</f>
        <v>0</v>
      </c>
      <c r="I312" s="379">
        <f>IF(H312,Wh_hp,'2022'!Maxi_hp)</f>
        <v>35.228620832517834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3.2852747494936496E-2</v>
      </c>
      <c r="M312" s="832"/>
      <c r="N312" s="832"/>
      <c r="O312" s="48">
        <f>IF(t&lt;Tnet,'2022'!Resal+('2022'!Salim-'2022'!Resal)*(1-EXP(('2022'!Tnet-t)/('2022'!Tau_j))),Resal+(Salim-Resal)*(1-EXP((Tnet-t)/(Tau_j))))*Salcycl</f>
        <v>4.6353709818571835E-2</v>
      </c>
      <c r="P312" s="338">
        <f>(INDEX(Models!$BJ312:$BT312,,T312)*(1-R312)+INDEX(Models!$BJ312:$BT312,,T312+1)*R312-ERP_i)*Q312*Ramure*Pc/MaxiM</f>
        <v>4.2781651199687958E-3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33.739554152515261</v>
      </c>
      <c r="W312" s="400">
        <f t="shared" si="111"/>
        <v>22.443027434923913</v>
      </c>
      <c r="X312" s="157">
        <f t="shared" si="112"/>
        <v>45224</v>
      </c>
      <c r="Y312" s="383">
        <f t="shared" si="113"/>
        <v>21.342371682220303</v>
      </c>
      <c r="Z312" s="383">
        <f t="shared" si="114"/>
        <v>22.067344581644836</v>
      </c>
      <c r="AA312" s="384">
        <f t="shared" si="115"/>
        <v>24.333328229443712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9.3122635195336798E-2</v>
      </c>
      <c r="AD312" s="230">
        <f>(INDEX(Models!$BJ312:$BT312,,AH312)*(1-AF312)+INDEX(Models!$BJ312:$BT312,,AH312+1)*AF312-ERP_i)*AE312*Ramure*Pc/MaxiM</f>
        <v>4.2781651199687958E-3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'2022'!Wh/'2022'!Env_an*'2023'!Env_an</f>
        <v>12.51111591767825</v>
      </c>
      <c r="C313" s="829"/>
      <c r="D313" s="391">
        <f t="shared" si="102"/>
        <v>12.936350346391892</v>
      </c>
      <c r="E313" s="383">
        <f t="shared" si="125"/>
        <v>13.565429114428838</v>
      </c>
      <c r="F313" s="383">
        <f t="shared" si="103"/>
        <v>13.571755375664472</v>
      </c>
      <c r="G313" s="110">
        <f t="shared" si="126"/>
        <v>0.37302146053885354</v>
      </c>
      <c r="H313" s="412" t="b">
        <f>Wh_hp&gt;='2022'!Maxi_hp</f>
        <v>0</v>
      </c>
      <c r="I313" s="379">
        <f>IF(H313,Wh_hp,'2022'!Maxi_hp)</f>
        <v>35.899581400046522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3.2871282651389055E-2</v>
      </c>
      <c r="M313" s="832"/>
      <c r="N313" s="832"/>
      <c r="O313" s="48">
        <f>IF(t&lt;Tnet,'2022'!Resal+('2022'!Salim-'2022'!Resal)*(1-EXP(('2022'!Tnet-t)/('2022'!Tau_j))),Resal+(Salim-Resal)*(1-EXP((Tnet-t)/(Tau_j))))*Salcycl</f>
        <v>4.6373672570949223E-2</v>
      </c>
      <c r="P313" s="338">
        <f>(INDEX(Models!$BJ313:$BT313,,T313)*(1-R313)+INDEX(Models!$BJ313:$BT313,,T313+1)*R313-ERP_i)*Q313*Ramure*Pc/MaxiM</f>
        <v>4.3804899491179938E-3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33.408587549588582</v>
      </c>
      <c r="W313" s="400">
        <f t="shared" si="111"/>
        <v>12.51111591767825</v>
      </c>
      <c r="X313" s="157">
        <f t="shared" si="112"/>
        <v>45225</v>
      </c>
      <c r="Y313" s="383">
        <f t="shared" si="113"/>
        <v>11.898507407705948</v>
      </c>
      <c r="Z313" s="383">
        <f t="shared" si="114"/>
        <v>12.302920174189197</v>
      </c>
      <c r="AA313" s="384">
        <f t="shared" si="115"/>
        <v>13.565429114428838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9.3068116724503422E-2</v>
      </c>
      <c r="AD313" s="230">
        <f>(INDEX(Models!$BJ313:$BT313,,AH313)*(1-AF313)+INDEX(Models!$BJ313:$BT313,,AH313+1)*AF313-ERP_i)*AE313*Ramure*Pc/MaxiM</f>
        <v>4.3804899491179938E-3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'2022'!Wh/'2022'!Env_an*'2023'!Env_an</f>
        <v>14.473854484768504</v>
      </c>
      <c r="C314" s="829"/>
      <c r="D314" s="391">
        <f t="shared" si="102"/>
        <v>14.966086332215207</v>
      </c>
      <c r="E314" s="383">
        <f t="shared" si="125"/>
        <v>15.694190559780591</v>
      </c>
      <c r="F314" s="383">
        <f t="shared" si="103"/>
        <v>15.708011842718966</v>
      </c>
      <c r="G314" s="110">
        <f t="shared" si="126"/>
        <v>0.43595100831311523</v>
      </c>
      <c r="H314" s="412" t="b">
        <f>Wh_hp&gt;='2022'!Maxi_hp</f>
        <v>0</v>
      </c>
      <c r="I314" s="379">
        <f>IF(H314,Wh_hp,'2022'!Maxi_hp)</f>
        <v>30.879725572368368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3.2889817452619541E-2</v>
      </c>
      <c r="M314" s="832"/>
      <c r="N314" s="832"/>
      <c r="O314" s="48">
        <f>IF(t&lt;Tnet,'2022'!Resal+('2022'!Salim-'2022'!Resal)*(1-EXP(('2022'!Tnet-t)/('2022'!Tau_j))),Resal+(Salim-Resal)*(1-EXP((Tnet-t)/(Tau_j))))*Salcycl</f>
        <v>4.6393232246796597E-2</v>
      </c>
      <c r="P314" s="338">
        <f>(INDEX(Models!$BJ314:$BT314,,T314)*(1-R314)+INDEX(Models!$BJ314:$BT314,,T314+1)*R314-ERP_i)*Q314*Ramure*Pc/MaxiM</f>
        <v>4.4785507715313427E-3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33.081061427267393</v>
      </c>
      <c r="W314" s="400">
        <f t="shared" si="111"/>
        <v>14.473854484768504</v>
      </c>
      <c r="X314" s="157">
        <f t="shared" si="112"/>
        <v>45226</v>
      </c>
      <c r="Y314" s="383">
        <f t="shared" si="113"/>
        <v>13.766259040836369</v>
      </c>
      <c r="Z314" s="383">
        <f t="shared" si="114"/>
        <v>14.234426737784798</v>
      </c>
      <c r="AA314" s="384">
        <f t="shared" si="115"/>
        <v>15.694190559780591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9.3013004808079863E-2</v>
      </c>
      <c r="AD314" s="230">
        <f>(INDEX(Models!$BJ314:$BT314,,AH314)*(1-AF314)+INDEX(Models!$BJ314:$BT314,,AH314+1)*AF314-ERP_i)*AE314*Ramure*Pc/MaxiM</f>
        <v>4.4785507715313427E-3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'2022'!Wh/'2022'!Env_an*'2023'!Env_an</f>
        <v>17.411660550681127</v>
      </c>
      <c r="C315" s="829"/>
      <c r="D315" s="391">
        <f t="shared" si="102"/>
        <v>18.00414736789882</v>
      </c>
      <c r="E315" s="383">
        <f t="shared" si="125"/>
        <v>18.880434184341194</v>
      </c>
      <c r="F315" s="383">
        <f t="shared" si="103"/>
        <v>18.909030676549154</v>
      </c>
      <c r="G315" s="110">
        <f t="shared" si="126"/>
        <v>0.52990351377102995</v>
      </c>
      <c r="H315" s="412" t="b">
        <f>Wh_hp&gt;='2022'!Maxi_hp</f>
        <v>0</v>
      </c>
      <c r="I315" s="379">
        <f>IF(H315,Wh_hp,'2022'!Maxi_hp)</f>
        <v>35.461193234664123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3.2908351898634725E-2</v>
      </c>
      <c r="M315" s="832"/>
      <c r="N315" s="832"/>
      <c r="O315" s="48">
        <f>IF(t&lt;Tnet,'2022'!Resal+('2022'!Salim-'2022'!Resal)*(1-EXP(('2022'!Tnet-t)/('2022'!Tau_j))),Resal+(Salim-Resal)*(1-EXP((Tnet-t)/(Tau_j))))*Salcycl</f>
        <v>4.6412429284552005E-2</v>
      </c>
      <c r="P315" s="338">
        <f>(INDEX(Models!$BJ315:$BT315,,T315)*(1-R315)+INDEX(Models!$BJ315:$BT315,,T315+1)*R315-ERP_i)*Q315*Ramure*Pc/MaxiM</f>
        <v>4.572247286369859E-3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32.757475608849973</v>
      </c>
      <c r="W315" s="400">
        <f t="shared" si="111"/>
        <v>17.411660550681127</v>
      </c>
      <c r="X315" s="157">
        <f t="shared" si="112"/>
        <v>45227</v>
      </c>
      <c r="Y315" s="383">
        <f t="shared" si="113"/>
        <v>16.561791130620161</v>
      </c>
      <c r="Z315" s="383">
        <f t="shared" si="114"/>
        <v>17.125358452981121</v>
      </c>
      <c r="AA315" s="384">
        <f t="shared" si="115"/>
        <v>18.880434184341194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9.2957381923752302E-2</v>
      </c>
      <c r="AD315" s="230">
        <f>(INDEX(Models!$BJ315:$BT315,,AH315)*(1-AF315)+INDEX(Models!$BJ315:$BT315,,AH315+1)*AF315-ERP_i)*AE315*Ramure*Pc/MaxiM</f>
        <v>4.572247286369859E-3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'2022'!Wh/'2022'!Env_an*'2023'!Env_an</f>
        <v>27.041947368284024</v>
      </c>
      <c r="C316" s="829"/>
      <c r="D316" s="391">
        <f t="shared" si="102"/>
        <v>27.962671049904486</v>
      </c>
      <c r="E316" s="383">
        <f t="shared" si="125"/>
        <v>29.324233503430605</v>
      </c>
      <c r="F316" s="383">
        <f t="shared" si="103"/>
        <v>29.428813448439609</v>
      </c>
      <c r="G316" s="110">
        <f t="shared" si="126"/>
        <v>0.83271497669703287</v>
      </c>
      <c r="H316" s="412" t="b">
        <f>Wh_hp&gt;='2022'!Maxi_hp</f>
        <v>0</v>
      </c>
      <c r="I316" s="379">
        <f>IF(H316,Wh_hp,'2022'!Maxi_hp)</f>
        <v>29.777598995663187</v>
      </c>
      <c r="J316" s="85">
        <f>IF(H316,An,'2022'!An_max)</f>
        <v>2018</v>
      </c>
      <c r="K316" s="197">
        <f t="shared" si="104"/>
        <v>45228</v>
      </c>
      <c r="L316" s="147">
        <f>IF(t&lt;Tvie,1-EXP((T0-t)*PertePVj)+'2022'!Pspv,1-EXP((T0-t)*PertePVj)+Pspv)</f>
        <v>3.292688598944149E-2</v>
      </c>
      <c r="M316" s="832"/>
      <c r="N316" s="832"/>
      <c r="O316" s="48">
        <f>IF(t&lt;Tnet,'2022'!Resal+('2022'!Salim-'2022'!Resal)*(1-EXP(('2022'!Tnet-t)/('2022'!Tau_j))),Resal+(Salim-Resal)*(1-EXP((Tnet-t)/(Tau_j))))*Salcycl</f>
        <v>4.6431305812881019E-2</v>
      </c>
      <c r="P316" s="338">
        <f>(INDEX(Models!$BJ316:$BT316,,T316)*(1-R316)+INDEX(Models!$BJ316:$BT316,,T316+1)*R316-ERP_i)*Q316*Ramure*Pc/MaxiM</f>
        <v>4.6614803636770867E-3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32.43832958129223</v>
      </c>
      <c r="W316" s="400">
        <f t="shared" si="111"/>
        <v>27.041947368284024</v>
      </c>
      <c r="X316" s="157">
        <f t="shared" si="112"/>
        <v>45228</v>
      </c>
      <c r="Y316" s="383">
        <f t="shared" si="113"/>
        <v>25.724118822592505</v>
      </c>
      <c r="Z316" s="383">
        <f t="shared" si="114"/>
        <v>26.599973104320682</v>
      </c>
      <c r="AA316" s="384">
        <f t="shared" si="115"/>
        <v>29.324233503430605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9.2901333594660393E-2</v>
      </c>
      <c r="AD316" s="230">
        <f>(INDEX(Models!$BJ316:$BT316,,AH316)*(1-AF316)+INDEX(Models!$BJ316:$BT316,,AH316+1)*AF316-ERP_i)*AE316*Ramure*Pc/MaxiM</f>
        <v>4.6614803636770867E-3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'2022'!Wh/'2022'!Env_an*'2023'!Env_an</f>
        <v>23.249720396638441</v>
      </c>
      <c r="C317" s="829"/>
      <c r="D317" s="391">
        <f t="shared" si="102"/>
        <v>24.041787165754464</v>
      </c>
      <c r="E317" s="383">
        <f t="shared" si="125"/>
        <v>25.212925156426515</v>
      </c>
      <c r="F317" s="383">
        <f t="shared" si="103"/>
        <v>25.285584761057152</v>
      </c>
      <c r="G317" s="110">
        <f t="shared" si="126"/>
        <v>0.72243032930643247</v>
      </c>
      <c r="H317" s="412" t="b">
        <f>Wh_hp&gt;='2022'!Maxi_hp</f>
        <v>0</v>
      </c>
      <c r="I317" s="379">
        <f>IF(H317,Wh_hp,'2022'!Maxi_hp)</f>
        <v>28.491037803008169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3.2945419725046721E-2</v>
      </c>
      <c r="M317" s="832"/>
      <c r="N317" s="832"/>
      <c r="O317" s="48">
        <f>IF(t&lt;Tnet,'2022'!Resal+('2022'!Salim-'2022'!Resal)*(1-EXP(('2022'!Tnet-t)/('2022'!Tau_j))),Resal+(Salim-Resal)*(1-EXP((Tnet-t)/(Tau_j))))*Salcycl</f>
        <v>4.64499054911739E-2</v>
      </c>
      <c r="P317" s="338">
        <f>(INDEX(Models!$BJ317:$BT317,,T317)*(1-R317)+INDEX(Models!$BJ317:$BT317,,T317+1)*R317-ERP_i)*Q317*Ramure*Pc/MaxiM</f>
        <v>4.7464352847627796E-3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32.122199338877607</v>
      </c>
      <c r="W317" s="400">
        <f t="shared" si="111"/>
        <v>23.249720396638441</v>
      </c>
      <c r="X317" s="157">
        <f t="shared" si="112"/>
        <v>45229</v>
      </c>
      <c r="Y317" s="383">
        <f t="shared" si="113"/>
        <v>22.118503721564981</v>
      </c>
      <c r="Z317" s="383">
        <f t="shared" si="114"/>
        <v>22.872032429934038</v>
      </c>
      <c r="AA317" s="384">
        <f t="shared" si="115"/>
        <v>25.212925156426515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9.2844948056168108E-2</v>
      </c>
      <c r="AD317" s="230">
        <f>(INDEX(Models!$BJ317:$BT317,,AH317)*(1-AF317)+INDEX(Models!$BJ317:$BT317,,AH317+1)*AF317-ERP_i)*AE317*Ramure*Pc/MaxiM</f>
        <v>4.7464352847627796E-3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'2022'!Wh/'2022'!Env_an*'2023'!Env_an</f>
        <v>22.11405609767559</v>
      </c>
      <c r="C318" s="829"/>
      <c r="D318" s="391">
        <f t="shared" si="102"/>
        <v>22.867871542835228</v>
      </c>
      <c r="E318" s="383">
        <f t="shared" si="125"/>
        <v>23.982287010926719</v>
      </c>
      <c r="F318" s="383">
        <f t="shared" si="103"/>
        <v>24.047887256122038</v>
      </c>
      <c r="G318" s="110">
        <f t="shared" si="126"/>
        <v>0.69378240256111201</v>
      </c>
      <c r="H318" s="412" t="b">
        <f>Wh_hp&gt;='2022'!Maxi_hp</f>
        <v>0</v>
      </c>
      <c r="I318" s="379">
        <f>IF(H318,Wh_hp,'2022'!Maxi_hp)</f>
        <v>34.120858369867321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3.2963953105457078E-2</v>
      </c>
      <c r="M318" s="832"/>
      <c r="N318" s="832"/>
      <c r="O318" s="48">
        <f>IF(t&lt;Tnet,'2022'!Resal+('2022'!Salim-'2022'!Resal)*(1-EXP(('2022'!Tnet-t)/('2022'!Tau_j))),Resal+(Salim-Resal)*(1-EXP((Tnet-t)/(Tau_j))))*Salcycl</f>
        <v>4.6468273337890845E-2</v>
      </c>
      <c r="P318" s="338">
        <f>(INDEX(Models!$BJ318:$BT318,,T318)*(1-R318)+INDEX(Models!$BJ318:$BT318,,T318+1)*R318-ERP_i)*Q318*Ramure*Pc/MaxiM</f>
        <v>4.8312120020590522E-3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31.807402493708093</v>
      </c>
      <c r="W318" s="400">
        <f t="shared" si="111"/>
        <v>22.11405609767559</v>
      </c>
      <c r="X318" s="157">
        <f t="shared" si="112"/>
        <v>45230</v>
      </c>
      <c r="Y318" s="383">
        <f t="shared" si="113"/>
        <v>21.039813897827294</v>
      </c>
      <c r="Z318" s="383">
        <f t="shared" si="114"/>
        <v>21.757010987742142</v>
      </c>
      <c r="AA318" s="384">
        <f t="shared" si="115"/>
        <v>23.982287010926719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9.2788315900426965E-2</v>
      </c>
      <c r="AD318" s="230">
        <f>(INDEX(Models!$BJ318:$BT318,,AH318)*(1-AF318)+INDEX(Models!$BJ318:$BT318,,AH318+1)*AF318-ERP_i)*AE318*Ramure*Pc/MaxiM</f>
        <v>4.8312120020590522E-3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'2022'!Wh/'2022'!Env_an*'2023'!Env_an</f>
        <v>19.603953301453526</v>
      </c>
      <c r="C319" s="829"/>
      <c r="D319" s="391">
        <f t="shared" si="102"/>
        <v>20.272593846839818</v>
      </c>
      <c r="E319" s="383">
        <f t="shared" si="125"/>
        <v>21.260939569019055</v>
      </c>
      <c r="F319" s="383">
        <f t="shared" si="103"/>
        <v>21.30921037233837</v>
      </c>
      <c r="G319" s="110">
        <f t="shared" si="126"/>
        <v>0.62080795460557547</v>
      </c>
      <c r="H319" s="412" t="b">
        <f>Wh_hp&gt;='2022'!Maxi_hp</f>
        <v>0</v>
      </c>
      <c r="I319" s="379">
        <f>IF(H319,Wh_hp,'2022'!Maxi_hp)</f>
        <v>32.848992554762482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3.2982486130679445E-2</v>
      </c>
      <c r="M319" s="832"/>
      <c r="N319" s="832"/>
      <c r="O319" s="48">
        <f>IF(t&lt;Tnet,'2022'!Resal+('2022'!Salim-'2022'!Resal)*(1-EXP(('2022'!Tnet-t)/('2022'!Tau_j))),Resal+(Salim-Resal)*(1-EXP((Tnet-t)/(Tau_j))))*Salcycl</f>
        <v>4.6486455547779762E-2</v>
      </c>
      <c r="P319" s="338">
        <f>(INDEX(Models!$BJ319:$BT319,,T319)*(1-R319)+INDEX(Models!$BJ319:$BT319,,T319+1)*R319-ERP_i)*Q319*Ramure*Pc/MaxiM</f>
        <v>4.9174041546424822E-3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31.494188358331137</v>
      </c>
      <c r="W319" s="400">
        <f t="shared" si="111"/>
        <v>19.603953301453526</v>
      </c>
      <c r="X319" s="157">
        <f t="shared" si="112"/>
        <v>45231</v>
      </c>
      <c r="Y319" s="383">
        <f t="shared" si="113"/>
        <v>18.653168407630847</v>
      </c>
      <c r="Z319" s="383">
        <f t="shared" si="114"/>
        <v>19.289380119905019</v>
      </c>
      <c r="AA319" s="384">
        <f t="shared" si="115"/>
        <v>21.260939569019055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9.2731529700923646E-2</v>
      </c>
      <c r="AD319" s="230">
        <f>(INDEX(Models!$BJ319:$BT319,,AH319)*(1-AF319)+INDEX(Models!$BJ319:$BT319,,AH319+1)*AF319-ERP_i)*AE319*Ramure*Pc/MaxiM</f>
        <v>4.9174041546424822E-3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'2022'!Wh/'2022'!Env_an*'2023'!Env_an</f>
        <v>29.083459312181308</v>
      </c>
      <c r="C320" s="829"/>
      <c r="D320" s="391">
        <f t="shared" si="102"/>
        <v>30.075997883794855</v>
      </c>
      <c r="E320" s="383">
        <f t="shared" si="125"/>
        <v>31.542883906307161</v>
      </c>
      <c r="F320" s="383">
        <f t="shared" si="103"/>
        <v>31.686220562521473</v>
      </c>
      <c r="G320" s="110">
        <f t="shared" si="126"/>
        <v>0.93222357364722441</v>
      </c>
      <c r="H320" s="412" t="b">
        <f>Wh_hp&gt;='2022'!Maxi_hp</f>
        <v>0</v>
      </c>
      <c r="I320" s="379">
        <f>IF(H320,Wh_hp,'2022'!Maxi_hp)</f>
        <v>31.690418579569595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3.3001018800720594E-2</v>
      </c>
      <c r="M320" s="832"/>
      <c r="N320" s="832"/>
      <c r="O320" s="48">
        <f>IF(t&lt;Tnet,'2022'!Resal+('2022'!Salim-'2022'!Resal)*(1-EXP(('2022'!Tnet-t)/('2022'!Tau_j))),Resal+(Salim-Resal)*(1-EXP((Tnet-t)/(Tau_j))))*Salcycl</f>
        <v>4.650449929909526E-2</v>
      </c>
      <c r="P320" s="338">
        <f>(INDEX(Models!$BJ320:$BT320,,T320)*(1-R320)+INDEX(Models!$BJ320:$BT320,,T320+1)*R320-ERP_i)*Q320*Ramure*Pc/MaxiM</f>
        <v>5.0050046018854247E-3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31.1828582769242</v>
      </c>
      <c r="W320" s="400">
        <f t="shared" si="111"/>
        <v>29.083459312181308</v>
      </c>
      <c r="X320" s="157">
        <f t="shared" si="112"/>
        <v>45232</v>
      </c>
      <c r="Y320" s="383">
        <f t="shared" si="113"/>
        <v>27.675179277164673</v>
      </c>
      <c r="Z320" s="383">
        <f t="shared" si="114"/>
        <v>28.61965711984692</v>
      </c>
      <c r="AA320" s="384">
        <f t="shared" si="115"/>
        <v>31.542883906307161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9.2674683619392476E-2</v>
      </c>
      <c r="AD320" s="230">
        <f>(INDEX(Models!$BJ320:$BT320,,AH320)*(1-AF320)+INDEX(Models!$BJ320:$BT320,,AH320+1)*AF320-ERP_i)*AE320*Ramure*Pc/MaxiM</f>
        <v>5.0050046018854247E-3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'2022'!Wh/'2022'!Env_an*'2023'!Env_an</f>
        <v>10.209250857161019</v>
      </c>
      <c r="C321" s="829"/>
      <c r="D321" s="391">
        <f t="shared" si="102"/>
        <v>10.557866882354489</v>
      </c>
      <c r="E321" s="383">
        <f t="shared" si="125"/>
        <v>11.073010487360998</v>
      </c>
      <c r="F321" s="383">
        <f t="shared" si="103"/>
        <v>11.075483054473002</v>
      </c>
      <c r="G321" s="110">
        <f t="shared" si="126"/>
        <v>0.32906676305864713</v>
      </c>
      <c r="H321" s="412" t="b">
        <f>Wh_hp&gt;='2022'!Maxi_hp</f>
        <v>0</v>
      </c>
      <c r="I321" s="379">
        <f>IF(H321,Wh_hp,'2022'!Maxi_hp)</f>
        <v>29.614967506581426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3.3019551115587298E-2</v>
      </c>
      <c r="M321" s="832"/>
      <c r="N321" s="832"/>
      <c r="O321" s="48">
        <f>IF(t&lt;Tnet,'2022'!Resal+('2022'!Salim-'2022'!Resal)*(1-EXP(('2022'!Tnet-t)/('2022'!Tau_j))),Resal+(Salim-Resal)*(1-EXP((Tnet-t)/(Tau_j))))*Salcycl</f>
        <v>4.6522452552041467E-2</v>
      </c>
      <c r="P321" s="338">
        <f>(INDEX(Models!$BJ321:$BT321,,T321)*(1-R321)+INDEX(Models!$BJ321:$BT321,,T321+1)*R321-ERP_i)*Q321*Ramure*Pc/MaxiM</f>
        <v>5.0940076505897429E-3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30.873713408155908</v>
      </c>
      <c r="W321" s="400">
        <f t="shared" si="111"/>
        <v>10.209250857161019</v>
      </c>
      <c r="X321" s="157">
        <f t="shared" si="112"/>
        <v>45233</v>
      </c>
      <c r="Y321" s="383">
        <f t="shared" si="113"/>
        <v>9.7156894597741186</v>
      </c>
      <c r="Z321" s="383">
        <f t="shared" si="114"/>
        <v>10.047451808341036</v>
      </c>
      <c r="AA321" s="384">
        <f t="shared" si="115"/>
        <v>11.073010487360998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9.261787299764225E-2</v>
      </c>
      <c r="AD321" s="230">
        <f>(INDEX(Models!$BJ321:$BT321,,AH321)*(1-AF321)+INDEX(Models!$BJ321:$BT321,,AH321+1)*AF321-ERP_i)*AE321*Ramure*Pc/MaxiM</f>
        <v>5.0940076505897429E-3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'2022'!Wh/'2022'!Env_an*'2023'!Env_an</f>
        <v>17.632005866163833</v>
      </c>
      <c r="C322" s="829"/>
      <c r="D322" s="391">
        <f t="shared" si="102"/>
        <v>18.234436700713044</v>
      </c>
      <c r="E322" s="383">
        <f t="shared" si="125"/>
        <v>19.124497785922316</v>
      </c>
      <c r="F322" s="383">
        <f t="shared" si="103"/>
        <v>19.163789081568179</v>
      </c>
      <c r="G322" s="110">
        <f t="shared" si="126"/>
        <v>0.57501881204245209</v>
      </c>
      <c r="H322" s="412" t="b">
        <f>Wh_hp&gt;='2022'!Maxi_hp</f>
        <v>0</v>
      </c>
      <c r="I322" s="379">
        <f>IF(H322,Wh_hp,'2022'!Maxi_hp)</f>
        <v>19.180366016674423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3.3038083075286551E-2</v>
      </c>
      <c r="M322" s="832"/>
      <c r="N322" s="832"/>
      <c r="O322" s="48">
        <f>IF(t&lt;Tnet,'2022'!Resal+('2022'!Salim-'2022'!Resal)*(1-EXP(('2022'!Tnet-t)/('2022'!Tau_j))),Resal+(Salim-Resal)*(1-EXP((Tnet-t)/(Tau_j))))*Salcycl</f>
        <v>4.6540363839747564E-2</v>
      </c>
      <c r="P322" s="338">
        <f>(INDEX(Models!$BJ322:$BT322,,T322)*(1-R322)+INDEX(Models!$BJ322:$BT322,,T322+1)*R322-ERP_i)*Q322*Ramure*Pc/MaxiM</f>
        <v>5.18440899435619E-3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30.567054734612977</v>
      </c>
      <c r="W322" s="400">
        <f t="shared" si="111"/>
        <v>17.632005866163833</v>
      </c>
      <c r="X322" s="157">
        <f t="shared" si="112"/>
        <v>45234</v>
      </c>
      <c r="Y322" s="383">
        <f t="shared" si="113"/>
        <v>16.78095825442831</v>
      </c>
      <c r="Z322" s="383">
        <f t="shared" si="114"/>
        <v>17.354311437411919</v>
      </c>
      <c r="AA322" s="384">
        <f t="shared" si="115"/>
        <v>19.124497785922316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9.2561193936995592E-2</v>
      </c>
      <c r="AD322" s="230">
        <f>(INDEX(Models!$BJ322:$BT322,,AH322)*(1-AF322)+INDEX(Models!$BJ322:$BT322,,AH322+1)*AF322-ERP_i)*AE322*Ramure*Pc/MaxiM</f>
        <v>5.18440899435619E-3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'2022'!Wh/'2022'!Env_an*'2023'!Env_an</f>
        <v>30.034993985961322</v>
      </c>
      <c r="C323" s="829"/>
      <c r="D323" s="391">
        <f t="shared" si="102"/>
        <v>31.061791664272164</v>
      </c>
      <c r="E323" s="383">
        <f t="shared" si="125"/>
        <v>32.578595083044178</v>
      </c>
      <c r="F323" s="383">
        <f t="shared" si="103"/>
        <v>32.749527053115784</v>
      </c>
      <c r="G323" s="110">
        <f t="shared" si="126"/>
        <v>0.99240314430169096</v>
      </c>
      <c r="H323" s="412" t="b">
        <f>Wh_hp&gt;='2022'!Maxi_hp</f>
        <v>0</v>
      </c>
      <c r="I323" s="379">
        <f>IF(H323,Wh_hp,'2022'!Maxi_hp)</f>
        <v>32.750043405506759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3.3056614679824903E-2</v>
      </c>
      <c r="M323" s="832"/>
      <c r="N323" s="832"/>
      <c r="O323" s="48">
        <f>IF(t&lt;Tnet,'2022'!Resal+('2022'!Salim-'2022'!Resal)*(1-EXP(('2022'!Tnet-t)/('2022'!Tau_j))),Resal+(Salim-Resal)*(1-EXP((Tnet-t)/(Tau_j))))*Salcycl</f>
        <v>4.655828205315856E-2</v>
      </c>
      <c r="P323" s="338">
        <f>(INDEX(Models!$BJ323:$BT323,,T323)*(1-R323)+INDEX(Models!$BJ323:$BT323,,T323+1)*R323-ERP_i)*Q323*Ramure*Pc/MaxiM</f>
        <v>5.2762056087018172E-3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30.263183072564107</v>
      </c>
      <c r="W323" s="400">
        <f t="shared" si="111"/>
        <v>30.034993985961322</v>
      </c>
      <c r="X323" s="157">
        <f t="shared" si="112"/>
        <v>45235</v>
      </c>
      <c r="Y323" s="383">
        <f t="shared" si="113"/>
        <v>28.587604336149624</v>
      </c>
      <c r="Z323" s="383">
        <f t="shared" si="114"/>
        <v>29.564920521881096</v>
      </c>
      <c r="AA323" s="384">
        <f t="shared" si="115"/>
        <v>32.578595083044178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9.2504742868165415E-2</v>
      </c>
      <c r="AD323" s="230">
        <f>(INDEX(Models!$BJ323:$BT323,,AH323)*(1-AF323)+INDEX(Models!$BJ323:$BT323,,AH323+1)*AF323-ERP_i)*AE323*Ramure*Pc/MaxiM</f>
        <v>5.2762056087018172E-3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'2022'!Wh/'2022'!Env_an*'2023'!Env_an</f>
        <v>29.992544820178296</v>
      </c>
      <c r="C324" s="829"/>
      <c r="D324" s="391">
        <f t="shared" si="102"/>
        <v>31.018485763302632</v>
      </c>
      <c r="E324" s="383">
        <f t="shared" si="125"/>
        <v>32.533787799711007</v>
      </c>
      <c r="F324" s="383">
        <f t="shared" si="103"/>
        <v>32.709345157525121</v>
      </c>
      <c r="G324" s="110">
        <f t="shared" si="126"/>
        <v>1.0010039021295933</v>
      </c>
      <c r="H324" s="412" t="b">
        <f>Wh_hp&gt;='2022'!Maxi_hp</f>
        <v>1</v>
      </c>
      <c r="I324" s="379">
        <f>IF(H324,Wh_hp,'2022'!Maxi_hp)</f>
        <v>32.709345157525121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3.3075145929209349E-2</v>
      </c>
      <c r="M324" s="832"/>
      <c r="N324" s="832"/>
      <c r="O324" s="48">
        <f>IF(t&lt;Tnet,'2022'!Resal+('2022'!Salim-'2022'!Resal)*(1-EXP(('2022'!Tnet-t)/('2022'!Tau_j))),Resal+(Salim-Resal)*(1-EXP((Tnet-t)/(Tau_j))))*Salcycl</f>
        <v>4.6576256221288623E-2</v>
      </c>
      <c r="P324" s="338">
        <f>(INDEX(Models!$BJ324:$BT324,,T324)*(1-R324)+INDEX(Models!$BJ324:$BT324,,T324+1)*R324-ERP_i)*Q324*Ramure*Pc/MaxiM</f>
        <v>5.3671926774641401E-3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29.962465437317906</v>
      </c>
      <c r="W324" s="400">
        <f t="shared" si="111"/>
        <v>29.992544820178296</v>
      </c>
      <c r="X324" s="157">
        <f t="shared" si="112"/>
        <v>45236</v>
      </c>
      <c r="Y324" s="383">
        <f t="shared" si="113"/>
        <v>28.549504598994403</v>
      </c>
      <c r="Z324" s="383">
        <f t="shared" si="114"/>
        <v>29.526084140665013</v>
      </c>
      <c r="AA324" s="384">
        <f t="shared" si="115"/>
        <v>32.533787799711007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9.2448616114497173E-2</v>
      </c>
      <c r="AD324" s="230">
        <f>(INDEX(Models!$BJ324:$BT324,,AH324)*(1-AF324)+INDEX(Models!$BJ324:$BT324,,AH324+1)*AF324-ERP_i)*AE324*Ramure*Pc/MaxiM</f>
        <v>5.3671926774641401E-3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'2022'!Wh/'2022'!Env_an*'2023'!Env_an</f>
        <v>28.133641635823523</v>
      </c>
      <c r="C325" s="829"/>
      <c r="D325" s="391">
        <f t="shared" si="102"/>
        <v>29.096553576562378</v>
      </c>
      <c r="E325" s="383">
        <f t="shared" si="125"/>
        <v>30.518544889663442</v>
      </c>
      <c r="F325" s="383">
        <f t="shared" si="103"/>
        <v>30.673658724876038</v>
      </c>
      <c r="G325" s="110">
        <f t="shared" si="126"/>
        <v>0.94799015513275187</v>
      </c>
      <c r="H325" s="412" t="b">
        <f>Wh_hp&gt;='2022'!Maxi_hp</f>
        <v>0</v>
      </c>
      <c r="I325" s="379">
        <f>IF(H325,Wh_hp,'2022'!Maxi_hp)</f>
        <v>30.677102433110111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3.3093676823446661E-2</v>
      </c>
      <c r="M325" s="832"/>
      <c r="N325" s="832"/>
      <c r="O325" s="48">
        <f>IF(t&lt;Tnet,'2022'!Resal+('2022'!Salim-'2022'!Resal)*(1-EXP(('2022'!Tnet-t)/('2022'!Tau_j))),Resal+(Salim-Resal)*(1-EXP((Tnet-t)/(Tau_j))))*Salcycl</f>
        <v>4.6594335288334454E-2</v>
      </c>
      <c r="P325" s="338">
        <f>(INDEX(Models!$BJ325:$BT325,,T325)*(1-R325)+INDEX(Models!$BJ325:$BT325,,T325+1)*R325-ERP_i)*Q325*Ramure*Pc/MaxiM</f>
        <v>5.4595573300832935E-3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29.665135110948199</v>
      </c>
      <c r="W325" s="400">
        <f t="shared" si="111"/>
        <v>28.133641635823523</v>
      </c>
      <c r="X325" s="157">
        <f t="shared" si="112"/>
        <v>45237</v>
      </c>
      <c r="Y325" s="383">
        <f t="shared" si="113"/>
        <v>26.782191019752137</v>
      </c>
      <c r="Z325" s="383">
        <f t="shared" si="114"/>
        <v>27.69884773507869</v>
      </c>
      <c r="AA325" s="384">
        <f t="shared" si="115"/>
        <v>30.518544889663442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9.2392909451583238E-2</v>
      </c>
      <c r="AD325" s="230">
        <f>(INDEX(Models!$BJ325:$BT325,,AH325)*(1-AF325)+INDEX(Models!$BJ325:$BT325,,AH325+1)*AF325-ERP_i)*AE325*Ramure*Pc/MaxiM</f>
        <v>5.4595573300832935E-3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'2022'!Wh/'2022'!Env_an*'2023'!Env_an</f>
        <v>20.288337246255232</v>
      </c>
      <c r="C326" s="829"/>
      <c r="D326" s="391">
        <f t="shared" si="102"/>
        <v>20.983135169090435</v>
      </c>
      <c r="E326" s="383">
        <f t="shared" si="125"/>
        <v>22.009032699994247</v>
      </c>
      <c r="F326" s="383">
        <f t="shared" si="103"/>
        <v>22.077471211839217</v>
      </c>
      <c r="G326" s="110">
        <f t="shared" si="126"/>
        <v>0.68904934301574627</v>
      </c>
      <c r="H326" s="412" t="b">
        <f>Wh_hp&gt;='2022'!Maxi_hp</f>
        <v>0</v>
      </c>
      <c r="I326" s="379">
        <f>IF(H326,Wh_hp,'2022'!Maxi_hp)</f>
        <v>24.301685975957074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3.31122073625435E-2</v>
      </c>
      <c r="M326" s="832"/>
      <c r="N326" s="832"/>
      <c r="O326" s="48">
        <f>IF(t&lt;Tnet,'2022'!Resal+('2022'!Salim-'2022'!Resal)*(1-EXP(('2022'!Tnet-t)/('2022'!Tau_j))),Resal+(Salim-Resal)*(1-EXP((Tnet-t)/(Tau_j))))*Salcycl</f>
        <v>4.6612567889186753E-2</v>
      </c>
      <c r="P326" s="338">
        <f>(INDEX(Models!$BJ326:$BT326,,T326)*(1-R326)+INDEX(Models!$BJ326:$BT326,,T326+1)*R326-ERP_i)*Q326*Ramure*Pc/MaxiM</f>
        <v>5.5532993536386395E-3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29.371492467475175</v>
      </c>
      <c r="W326" s="400">
        <f t="shared" si="111"/>
        <v>20.288337246255232</v>
      </c>
      <c r="X326" s="157">
        <f t="shared" si="112"/>
        <v>45238</v>
      </c>
      <c r="Y326" s="383">
        <f t="shared" si="113"/>
        <v>19.315293939758206</v>
      </c>
      <c r="Z326" s="383">
        <f t="shared" si="114"/>
        <v>19.976768852433587</v>
      </c>
      <c r="AA326" s="384">
        <f t="shared" si="115"/>
        <v>22.009032699994247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9.233771766631034E-2</v>
      </c>
      <c r="AD326" s="230">
        <f>(INDEX(Models!$BJ326:$BT326,,AH326)*(1-AF326)+INDEX(Models!$BJ326:$BT326,,AH326+1)*AF326-ERP_i)*AE326*Ramure*Pc/MaxiM</f>
        <v>5.5532993536386395E-3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'2022'!Wh/'2022'!Env_an*'2023'!Env_an</f>
        <v>9.9935046609200686</v>
      </c>
      <c r="C327" s="829"/>
      <c r="D327" s="391">
        <f t="shared" si="102"/>
        <v>10.335942044078333</v>
      </c>
      <c r="E327" s="383">
        <f t="shared" si="125"/>
        <v>10.841491664943428</v>
      </c>
      <c r="F327" s="383">
        <f t="shared" si="103"/>
        <v>10.845310181139229</v>
      </c>
      <c r="G327" s="110">
        <f t="shared" si="126"/>
        <v>0.34181323777533729</v>
      </c>
      <c r="H327" s="412" t="b">
        <f>Wh_hp&gt;='2022'!Maxi_hp</f>
        <v>0</v>
      </c>
      <c r="I327" s="379">
        <f>IF(H327,Wh_hp,'2022'!Maxi_hp)</f>
        <v>24.305673600704964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3.3130737546506861E-2</v>
      </c>
      <c r="M327" s="832"/>
      <c r="N327" s="832"/>
      <c r="O327" s="48">
        <f>IF(t&lt;Tnet,'2022'!Resal+('2022'!Salim-'2022'!Resal)*(1-EXP(('2022'!Tnet-t)/('2022'!Tau_j))),Resal+(Salim-Resal)*(1-EXP((Tnet-t)/(Tau_j))))*Salcycl</f>
        <v>4.663100212490285E-2</v>
      </c>
      <c r="P327" s="338">
        <f>(INDEX(Models!$BJ327:$BT327,,T327)*(1-R327)+INDEX(Models!$BJ327:$BT327,,T327+1)*R327-ERP_i)*Q327*Ramure*Pc/MaxiM</f>
        <v>5.6484188697730102E-3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29.081837753749195</v>
      </c>
      <c r="W327" s="400">
        <f t="shared" si="111"/>
        <v>9.9935046609200686</v>
      </c>
      <c r="X327" s="157">
        <f t="shared" si="112"/>
        <v>45239</v>
      </c>
      <c r="Y327" s="383">
        <f t="shared" si="113"/>
        <v>9.514965087182004</v>
      </c>
      <c r="Z327" s="383">
        <f t="shared" si="114"/>
        <v>9.8410048355836306</v>
      </c>
      <c r="AA327" s="384">
        <f t="shared" si="115"/>
        <v>10.841491664943428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9.2283134118428325E-2</v>
      </c>
      <c r="AD327" s="230">
        <f>(INDEX(Models!$BJ327:$BT327,,AH327)*(1-AF327)+INDEX(Models!$BJ327:$BT327,,AH327+1)*AF327-ERP_i)*AE327*Ramure*Pc/MaxiM</f>
        <v>5.6484188697730102E-3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'2022'!Wh/'2022'!Env_an*'2023'!Env_an</f>
        <v>20.178082077263657</v>
      </c>
      <c r="C328" s="829"/>
      <c r="D328" s="391">
        <f t="shared" si="102"/>
        <v>20.869904108659384</v>
      </c>
      <c r="E328" s="383">
        <f t="shared" si="125"/>
        <v>21.891117868982061</v>
      </c>
      <c r="F328" s="383">
        <f t="shared" si="103"/>
        <v>21.963347996615127</v>
      </c>
      <c r="G328" s="110">
        <f t="shared" si="126"/>
        <v>0.69898690266224062</v>
      </c>
      <c r="H328" s="412" t="b">
        <f>Wh_hp&gt;='2022'!Maxi_hp</f>
        <v>0</v>
      </c>
      <c r="I328" s="379">
        <f>IF(H328,Wh_hp,'2022'!Maxi_hp)</f>
        <v>21.978449121102202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3.3149267375343405E-2</v>
      </c>
      <c r="M328" s="832"/>
      <c r="N328" s="832"/>
      <c r="O328" s="48">
        <f>IF(t&lt;Tnet,'2022'!Resal+('2022'!Salim-'2022'!Resal)*(1-EXP(('2022'!Tnet-t)/('2022'!Tau_j))),Resal+(Salim-Resal)*(1-EXP((Tnet-t)/(Tau_j))))*Salcycl</f>
        <v>4.6649685339717355E-2</v>
      </c>
      <c r="P328" s="338">
        <f>(INDEX(Models!$BJ328:$BT328,,T328)*(1-R328)+INDEX(Models!$BJ328:$BT328,,T328+1)*R328-ERP_i)*Q328*Ramure*Pc/MaxiM</f>
        <v>5.7449159444372547E-3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28.796471101922695</v>
      </c>
      <c r="W328" s="400">
        <f t="shared" si="111"/>
        <v>20.178082077263657</v>
      </c>
      <c r="X328" s="157">
        <f t="shared" si="112"/>
        <v>45240</v>
      </c>
      <c r="Y328" s="383">
        <f t="shared" si="113"/>
        <v>19.213370377033868</v>
      </c>
      <c r="Z328" s="383">
        <f t="shared" si="114"/>
        <v>19.872116479527701</v>
      </c>
      <c r="AA328" s="384">
        <f t="shared" si="115"/>
        <v>21.891117868982061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9.2229250307729632E-2</v>
      </c>
      <c r="AD328" s="230">
        <f>(INDEX(Models!$BJ328:$BT328,,AH328)*(1-AF328)+INDEX(Models!$BJ328:$BT328,,AH328+1)*AF328-ERP_i)*AE328*Ramure*Pc/MaxiM</f>
        <v>5.7449159444372547E-3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'2022'!Wh/'2022'!Env_an*'2023'!Env_an</f>
        <v>27.602169365648795</v>
      </c>
      <c r="C329" s="829"/>
      <c r="D329" s="391">
        <f t="shared" si="102"/>
        <v>28.549079432493418</v>
      </c>
      <c r="E329" s="383">
        <f t="shared" si="125"/>
        <v>29.946649555568264</v>
      </c>
      <c r="F329" s="383">
        <f t="shared" si="103"/>
        <v>30.114549985495429</v>
      </c>
      <c r="G329" s="110">
        <f t="shared" si="126"/>
        <v>0.96770391203648254</v>
      </c>
      <c r="H329" s="412" t="b">
        <f>Wh_hp&gt;='2022'!Maxi_hp</f>
        <v>0</v>
      </c>
      <c r="I329" s="379">
        <f>IF(H329,Wh_hp,'2022'!Maxi_hp)</f>
        <v>30.116810356519398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3.3167796849060127E-2</v>
      </c>
      <c r="M329" s="832"/>
      <c r="N329" s="832"/>
      <c r="O329" s="48">
        <f>IF(t&lt;Tnet,'2022'!Resal+('2022'!Salim-'2022'!Resal)*(1-EXP(('2022'!Tnet-t)/('2022'!Tau_j))),Resal+(Salim-Resal)*(1-EXP((Tnet-t)/(Tau_j))))*Salcycl</f>
        <v>4.666866390116698E-2</v>
      </c>
      <c r="P329" s="338">
        <f>(INDEX(Models!$BJ329:$BT329,,T329)*(1-R329)+INDEX(Models!$BJ329:$BT329,,T329+1)*R329-ERP_i)*Q329*Ramure*Pc/MaxiM</f>
        <v>5.8427901323219846E-3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28.515692538438085</v>
      </c>
      <c r="W329" s="400">
        <f t="shared" si="111"/>
        <v>27.602169365648795</v>
      </c>
      <c r="X329" s="157">
        <f t="shared" si="112"/>
        <v>45241</v>
      </c>
      <c r="Y329" s="383">
        <f t="shared" si="113"/>
        <v>26.28457343486334</v>
      </c>
      <c r="Z329" s="383">
        <f t="shared" si="114"/>
        <v>27.186282530930391</v>
      </c>
      <c r="AA329" s="384">
        <f t="shared" si="115"/>
        <v>29.946649555568264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9.2176155449904415E-2</v>
      </c>
      <c r="AD329" s="230">
        <f>(INDEX(Models!$BJ329:$BT329,,AH329)*(1-AF329)+INDEX(Models!$BJ329:$BT329,,AH329+1)*AF329-ERP_i)*AE329*Ramure*Pc/MaxiM</f>
        <v>5.8427901323219846E-3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'2022'!Wh/'2022'!Env_an*'2023'!Env_an</f>
        <v>27.181636481381645</v>
      </c>
      <c r="C330" s="829"/>
      <c r="D330" s="391">
        <f t="shared" si="102"/>
        <v>28.114658709794497</v>
      </c>
      <c r="E330" s="383">
        <f t="shared" si="125"/>
        <v>29.491560169170647</v>
      </c>
      <c r="F330" s="383">
        <f t="shared" si="103"/>
        <v>29.658357734726099</v>
      </c>
      <c r="G330" s="110">
        <f t="shared" si="126"/>
        <v>0.96222139894596015</v>
      </c>
      <c r="H330" s="412" t="b">
        <f>Wh_hp&gt;='2022'!Maxi_hp</f>
        <v>0</v>
      </c>
      <c r="I330" s="379">
        <f>IF(H330,Wh_hp,'2022'!Maxi_hp)</f>
        <v>29.661008081081796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3.3186325967663577E-2</v>
      </c>
      <c r="M330" s="832"/>
      <c r="N330" s="832"/>
      <c r="O330" s="48">
        <f>IF(t&lt;Tnet,'2022'!Resal+('2022'!Salim-'2022'!Resal)*(1-EXP(('2022'!Tnet-t)/('2022'!Tau_j))),Resal+(Salim-Resal)*(1-EXP((Tnet-t)/(Tau_j))))*Salcycl</f>
        <v>4.6687982984891761E-2</v>
      </c>
      <c r="P330" s="338">
        <f>(INDEX(Models!$BJ330:$BT330,,T330)*(1-R330)+INDEX(Models!$BJ330:$BT330,,T330+1)*R330-ERP_i)*Q330*Ramure*Pc/MaxiM</f>
        <v>5.9420399525377168E-3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28.239801998237816</v>
      </c>
      <c r="W330" s="400">
        <f t="shared" si="111"/>
        <v>27.181636481381645</v>
      </c>
      <c r="X330" s="157">
        <f t="shared" si="112"/>
        <v>45242</v>
      </c>
      <c r="Y330" s="383">
        <f t="shared" si="113"/>
        <v>25.886128255595626</v>
      </c>
      <c r="Z330" s="383">
        <f t="shared" si="114"/>
        <v>26.774681565715866</v>
      </c>
      <c r="AA330" s="384">
        <f t="shared" si="115"/>
        <v>29.491560169170647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9.2123936064084588E-2</v>
      </c>
      <c r="AD330" s="230">
        <f>(INDEX(Models!$BJ330:$BT330,,AH330)*(1-AF330)+INDEX(Models!$BJ330:$BT330,,AH330+1)*AF330-ERP_i)*AE330*Ramure*Pc/MaxiM</f>
        <v>5.9420399525377168E-3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'2022'!Wh/'2022'!Env_an*'2023'!Env_an</f>
        <v>26.141691009612096</v>
      </c>
      <c r="C331" s="829"/>
      <c r="D331" s="391">
        <f t="shared" si="102"/>
        <v>27.039534835834129</v>
      </c>
      <c r="E331" s="383">
        <f t="shared" si="125"/>
        <v>28.36436888151129</v>
      </c>
      <c r="F331" s="383">
        <f t="shared" si="103"/>
        <v>28.520649140402995</v>
      </c>
      <c r="G331" s="110">
        <f t="shared" si="126"/>
        <v>0.93419566353984707</v>
      </c>
      <c r="H331" s="412" t="b">
        <f>Wh_hp&gt;='2022'!Maxi_hp</f>
        <v>0</v>
      </c>
      <c r="I331" s="379">
        <f>IF(H331,Wh_hp,'2022'!Maxi_hp)</f>
        <v>29.071978311267806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3.3204854731160749E-2</v>
      </c>
      <c r="M331" s="832"/>
      <c r="N331" s="832"/>
      <c r="O331" s="48">
        <f>IF(t&lt;Tnet,'2022'!Resal+('2022'!Salim-'2022'!Resal)*(1-EXP(('2022'!Tnet-t)/('2022'!Tau_j))),Resal+(Salim-Resal)*(1-EXP((Tnet-t)/(Tau_j))))*Salcycl</f>
        <v>4.670768636564749E-2</v>
      </c>
      <c r="P331" s="338">
        <f>(INDEX(Models!$BJ331:$BT331,,T331)*(1-R331)+INDEX(Models!$BJ331:$BT331,,T331+1)*R331-ERP_i)*Q331*Ramure*Pc/MaxiM</f>
        <v>6.0430606034140551E-3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27.96724464212749</v>
      </c>
      <c r="W331" s="400">
        <f t="shared" si="111"/>
        <v>26.141691009612096</v>
      </c>
      <c r="X331" s="157">
        <f t="shared" si="112"/>
        <v>45243</v>
      </c>
      <c r="Y331" s="383">
        <f t="shared" si="113"/>
        <v>24.897668044563318</v>
      </c>
      <c r="Z331" s="383">
        <f t="shared" si="114"/>
        <v>25.752785547593909</v>
      </c>
      <c r="AA331" s="384">
        <f t="shared" si="115"/>
        <v>28.36436888151129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9.2072675575012822E-2</v>
      </c>
      <c r="AD331" s="230">
        <f>(INDEX(Models!$BJ331:$BT331,,AH331)*(1-AF331)+INDEX(Models!$BJ331:$BT331,,AH331+1)*AF331-ERP_i)*AE331*Ramure*Pc/MaxiM</f>
        <v>6.0430606034140551E-3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'2022'!Wh/'2022'!Env_an*'2023'!Env_an</f>
        <v>9.6797242068724909</v>
      </c>
      <c r="C332" s="829"/>
      <c r="D332" s="391">
        <f t="shared" si="102"/>
        <v>10.012368977548203</v>
      </c>
      <c r="E332" s="383">
        <f t="shared" si="125"/>
        <v>10.503158644370071</v>
      </c>
      <c r="F332" s="383">
        <f t="shared" si="103"/>
        <v>10.507719581615085</v>
      </c>
      <c r="G332" s="110">
        <f t="shared" si="126"/>
        <v>0.34749418341473454</v>
      </c>
      <c r="H332" s="412" t="b">
        <f>Wh_hp&gt;='2022'!Maxi_hp</f>
        <v>0</v>
      </c>
      <c r="I332" s="379">
        <f>IF(H332,Wh_hp,'2022'!Maxi_hp)</f>
        <v>19.875209801097167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3.3223383139558416E-2</v>
      </c>
      <c r="M332" s="832"/>
      <c r="N332" s="832"/>
      <c r="O332" s="48">
        <f>IF(t&lt;Tnet,'2022'!Resal+('2022'!Salim-'2022'!Resal)*(1-EXP(('2022'!Tnet-t)/('2022'!Tau_j))),Resal+(Salim-Resal)*(1-EXP((Tnet-t)/(Tau_j))))*Salcycl</f>
        <v>4.6727816216024003E-2</v>
      </c>
      <c r="P332" s="338">
        <f>(INDEX(Models!$BJ332:$BT332,,T332)*(1-R332)+INDEX(Models!$BJ332:$BT332,,T332+1)*R332-ERP_i)*Q332*Ramure*Pc/MaxiM</f>
        <v>6.1395221324853392E-3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27.696788447312951</v>
      </c>
      <c r="W332" s="400">
        <f t="shared" si="111"/>
        <v>9.6797242068724909</v>
      </c>
      <c r="X332" s="157">
        <f t="shared" si="112"/>
        <v>45244</v>
      </c>
      <c r="Y332" s="383">
        <f t="shared" si="113"/>
        <v>9.2197930260349494</v>
      </c>
      <c r="Z332" s="383">
        <f t="shared" si="114"/>
        <v>9.5366322118709945</v>
      </c>
      <c r="AA332" s="384">
        <f t="shared" si="115"/>
        <v>10.503158644370071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9.2022453932670653E-2</v>
      </c>
      <c r="AD332" s="230">
        <f>(INDEX(Models!$BJ332:$BT332,,AH332)*(1-AF332)+INDEX(Models!$BJ332:$BT332,,AH332+1)*AF332-ERP_i)*AE332*Ramure*Pc/MaxiM</f>
        <v>6.1395221324853392E-3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'2022'!Wh/'2022'!Env_an*'2023'!Env_an</f>
        <v>12.421087605545143</v>
      </c>
      <c r="C333" s="829"/>
      <c r="D333" s="391">
        <f t="shared" si="102"/>
        <v>12.84818585885459</v>
      </c>
      <c r="E333" s="383">
        <f t="shared" si="125"/>
        <v>13.478273766251418</v>
      </c>
      <c r="F333" s="383">
        <f t="shared" si="103"/>
        <v>13.496626271967658</v>
      </c>
      <c r="G333" s="110">
        <f t="shared" si="126"/>
        <v>0.45063711198215939</v>
      </c>
      <c r="H333" s="412" t="b">
        <f>Wh_hp&gt;='2022'!Maxi_hp</f>
        <v>0</v>
      </c>
      <c r="I333" s="379">
        <f>IF(H333,Wh_hp,'2022'!Maxi_hp)</f>
        <v>26.911873928380832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3.3241911192863349E-2</v>
      </c>
      <c r="M333" s="832"/>
      <c r="N333" s="832"/>
      <c r="O333" s="48">
        <f>IF(t&lt;Tnet,'2022'!Resal+('2022'!Salim-'2022'!Resal)*(1-EXP(('2022'!Tnet-t)/('2022'!Tau_j))),Resal+(Salim-Resal)*(1-EXP((Tnet-t)/(Tau_j))))*Salcycl</f>
        <v>4.6748412914309576E-2</v>
      </c>
      <c r="P333" s="338">
        <f>(INDEX(Models!$BJ333:$BT333,,T333)*(1-R333)+INDEX(Models!$BJ333:$BT333,,T333+1)*R333-ERP_i)*Q333*Ramure*Pc/MaxiM</f>
        <v>6.2275679887303466E-3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27.429037212436953</v>
      </c>
      <c r="W333" s="400">
        <f t="shared" si="111"/>
        <v>12.421087605545143</v>
      </c>
      <c r="X333" s="157">
        <f t="shared" si="112"/>
        <v>45245</v>
      </c>
      <c r="Y333" s="383">
        <f t="shared" si="113"/>
        <v>11.831796300946587</v>
      </c>
      <c r="Z333" s="383">
        <f t="shared" si="114"/>
        <v>12.238631812789487</v>
      </c>
      <c r="AA333" s="384">
        <f t="shared" si="115"/>
        <v>13.478273766251418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9.1973347252071735E-2</v>
      </c>
      <c r="AD333" s="230">
        <f>(INDEX(Models!$BJ333:$BT333,,AH333)*(1-AF333)+INDEX(Models!$BJ333:$BT333,,AH333+1)*AF333-ERP_i)*AE333*Ramure*Pc/MaxiM</f>
        <v>6.2275679887303466E-3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'2022'!Wh/'2022'!Env_an*'2023'!Env_an</f>
        <v>26.743314750951814</v>
      </c>
      <c r="C334" s="829"/>
      <c r="D334" s="391">
        <f t="shared" si="102"/>
        <v>27.663411974446738</v>
      </c>
      <c r="E334" s="383">
        <f t="shared" si="125"/>
        <v>29.0206958398601</v>
      </c>
      <c r="F334" s="383">
        <f t="shared" si="103"/>
        <v>29.200791660944976</v>
      </c>
      <c r="G334" s="110">
        <f t="shared" si="126"/>
        <v>0.98435716304953225</v>
      </c>
      <c r="H334" s="412" t="b">
        <f>Wh_hp&gt;='2022'!Maxi_hp</f>
        <v>0</v>
      </c>
      <c r="I334" s="379">
        <f>IF(H334,Wh_hp,'2022'!Maxi_hp)</f>
        <v>29.201940874416742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3.3260438891082433E-2</v>
      </c>
      <c r="M334" s="832"/>
      <c r="N334" s="832"/>
      <c r="O334" s="48">
        <f>IF(t&lt;Tnet,'2022'!Resal+('2022'!Salim-'2022'!Resal)*(1-EXP(('2022'!Tnet-t)/('2022'!Tau_j))),Resal+(Salim-Resal)*(1-EXP((Tnet-t)/(Tau_j))))*Salcycl</f>
        <v>4.6769514862876692E-2</v>
      </c>
      <c r="P334" s="338">
        <f>(INDEX(Models!$BJ334:$BT334,,T334)*(1-R334)+INDEX(Models!$BJ334:$BT334,,T334+1)*R334-ERP_i)*Q334*Ramure*Pc/MaxiM</f>
        <v>6.3071973598272397E-3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27.164485151313571</v>
      </c>
      <c r="W334" s="400">
        <f t="shared" si="111"/>
        <v>26.743314750951814</v>
      </c>
      <c r="X334" s="157">
        <f t="shared" si="112"/>
        <v>45246</v>
      </c>
      <c r="Y334" s="383">
        <f t="shared" si="113"/>
        <v>25.476445087525594</v>
      </c>
      <c r="Z334" s="383">
        <f t="shared" si="114"/>
        <v>26.352955969136442</v>
      </c>
      <c r="AA334" s="384">
        <f t="shared" si="115"/>
        <v>29.0206958398601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9.1925427475777491E-2</v>
      </c>
      <c r="AD334" s="230">
        <f>(INDEX(Models!$BJ334:$BT334,,AH334)*(1-AF334)+INDEX(Models!$BJ334:$BT334,,AH334+1)*AF334-ERP_i)*AE334*Ramure*Pc/MaxiM</f>
        <v>6.3071973598272397E-3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'2022'!Wh/'2022'!Env_an*'2023'!Env_an</f>
        <v>13.691222855275806</v>
      </c>
      <c r="C335" s="829"/>
      <c r="D335" s="391">
        <f t="shared" ref="D335:D379" si="127">Wh/(1-Ppv)</f>
        <v>14.162537461239296</v>
      </c>
      <c r="E335" s="383">
        <f t="shared" si="125"/>
        <v>14.857748734531553</v>
      </c>
      <c r="F335" s="383">
        <f t="shared" ref="F335:F379" si="128">Wh_sa/(1-Pvg*MEDIAN((-Sdif+Wh/Env_an)/Csdif,0,1))</f>
        <v>14.886084172223487</v>
      </c>
      <c r="G335" s="110">
        <f t="shared" si="126"/>
        <v>0.506617159673452</v>
      </c>
      <c r="H335" s="412" t="b">
        <f>Wh_hp&gt;='2022'!Maxi_hp</f>
        <v>0</v>
      </c>
      <c r="I335" s="379">
        <f>IF(H335,Wh_hp,'2022'!Maxi_hp)</f>
        <v>23.200751935750731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3.3278966234222329E-2</v>
      </c>
      <c r="M335" s="832"/>
      <c r="N335" s="832"/>
      <c r="O335" s="48">
        <f>IF(t&lt;Tnet,'2022'!Resal+('2022'!Salim-'2022'!Resal)*(1-EXP(('2022'!Tnet-t)/('2022'!Tau_j))),Resal+(Salim-Resal)*(1-EXP((Tnet-t)/(Tau_j))))*Salcycl</f>
        <v>4.6791158318385401E-2</v>
      </c>
      <c r="P335" s="338">
        <f>(INDEX(Models!$BJ335:$BT335,,T335)*(1-R335)+INDEX(Models!$BJ335:$BT335,,T335+1)*R335-ERP_i)*Q335*Ramure*Pc/MaxiM</f>
        <v>6.37839764723842E-3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26.903626782511648</v>
      </c>
      <c r="W335" s="400">
        <f t="shared" ref="W335:W379" si="136">Wh*(A335&gt;Tmaj)</f>
        <v>13.691222855275806</v>
      </c>
      <c r="X335" s="157">
        <f t="shared" ref="X335:X379" si="137">t</f>
        <v>45247</v>
      </c>
      <c r="Y335" s="383">
        <f t="shared" ref="Y335:Y379" si="138">Wh_pvt_s*(1-Ppv)</f>
        <v>13.043616156864813</v>
      </c>
      <c r="Z335" s="383">
        <f t="shared" ref="Z335:Z379" si="139">Wh_sa_s*(1-Psa_s)</f>
        <v>13.492637173781707</v>
      </c>
      <c r="AA335" s="384">
        <f t="shared" ref="AA335:AA379" si="140">Wh_hp*(1-Pvg_s*MEDIAN((-Sdif+Wh/Env_an)/Csdif,0,1))</f>
        <v>14.857748734531553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9.1878762061518071E-2</v>
      </c>
      <c r="AD335" s="230">
        <f>(INDEX(Models!$BJ335:$BT335,,AH335)*(1-AF335)+INDEX(Models!$BJ335:$BT335,,AH335+1)*AF335-ERP_i)*AE335*Ramure*Pc/MaxiM</f>
        <v>6.37839764723842E-3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'2022'!Wh/'2022'!Env_an*'2023'!Env_an</f>
        <v>15.672813482104521</v>
      </c>
      <c r="C336" s="829"/>
      <c r="D336" s="391">
        <f t="shared" si="127"/>
        <v>16.212654226320765</v>
      </c>
      <c r="E336" s="383">
        <f t="shared" si="125"/>
        <v>17.008898193819974</v>
      </c>
      <c r="F336" s="383">
        <f t="shared" si="128"/>
        <v>17.054118740441524</v>
      </c>
      <c r="G336" s="110">
        <f t="shared" si="126"/>
        <v>0.58593041727227957</v>
      </c>
      <c r="H336" s="412" t="b">
        <f>Wh_hp&gt;='2022'!Maxi_hp</f>
        <v>0</v>
      </c>
      <c r="I336" s="379">
        <f>IF(H336,Wh_hp,'2022'!Maxi_hp)</f>
        <v>27.250192771666942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3.329749322228992E-2</v>
      </c>
      <c r="M336" s="832"/>
      <c r="N336" s="832"/>
      <c r="O336" s="48">
        <f>IF(t&lt;Tnet,'2022'!Resal+('2022'!Salim-'2022'!Resal)*(1-EXP(('2022'!Tnet-t)/('2022'!Tau_j))),Resal+(Salim-Resal)*(1-EXP((Tnet-t)/(Tau_j))))*Salcycl</f>
        <v>4.6813377235011881E-2</v>
      </c>
      <c r="P336" s="338">
        <f>(INDEX(Models!$BJ336:$BT336,,T336)*(1-R336)+INDEX(Models!$BJ336:$BT336,,T336+1)*R336-ERP_i)*Q336*Ramure*Pc/MaxiM</f>
        <v>6.4411437738387811E-3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26.64695698068607</v>
      </c>
      <c r="W336" s="400">
        <f t="shared" si="136"/>
        <v>15.672813482104521</v>
      </c>
      <c r="X336" s="157">
        <f t="shared" si="137"/>
        <v>45248</v>
      </c>
      <c r="Y336" s="383">
        <f t="shared" si="138"/>
        <v>14.932569528217238</v>
      </c>
      <c r="Z336" s="383">
        <f t="shared" si="139"/>
        <v>15.446913009454864</v>
      </c>
      <c r="AA336" s="384">
        <f t="shared" si="140"/>
        <v>17.008898193819974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9.1833413697110719E-2</v>
      </c>
      <c r="AD336" s="230">
        <f>(INDEX(Models!$BJ336:$BT336,,AH336)*(1-AF336)+INDEX(Models!$BJ336:$BT336,,AH336+1)*AF336-ERP_i)*AE336*Ramure*Pc/MaxiM</f>
        <v>6.4411437738387811E-3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'2022'!Wh/'2022'!Env_an*'2023'!Env_an</f>
        <v>7.1628085606147014</v>
      </c>
      <c r="C337" s="829"/>
      <c r="D337" s="391">
        <f t="shared" si="127"/>
        <v>7.4096692484160789</v>
      </c>
      <c r="E337" s="383">
        <f t="shared" si="125"/>
        <v>7.773762781050106</v>
      </c>
      <c r="F337" s="383">
        <f t="shared" si="128"/>
        <v>7.773762781050106</v>
      </c>
      <c r="G337" s="110">
        <f t="shared" si="126"/>
        <v>0.2696075426228432</v>
      </c>
      <c r="H337" s="412" t="b">
        <f>Wh_hp&gt;='2022'!Maxi_hp</f>
        <v>0</v>
      </c>
      <c r="I337" s="379">
        <f>IF(H337,Wh_hp,'2022'!Maxi_hp)</f>
        <v>28.562272949049884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3.3316019855292089E-2</v>
      </c>
      <c r="M337" s="832"/>
      <c r="N337" s="832"/>
      <c r="O337" s="48">
        <f>IF(t&lt;Tnet,'2022'!Resal+('2022'!Salim-'2022'!Resal)*(1-EXP(('2022'!Tnet-t)/('2022'!Tau_j))),Resal+(Salim-Resal)*(1-EXP((Tnet-t)/(Tau_j))))*Salcycl</f>
        <v>4.6836203121809646E-2</v>
      </c>
      <c r="P337" s="338">
        <f>(INDEX(Models!$BJ337:$BT337,,T337)*(1-R337)+INDEX(Models!$BJ337:$BT337,,T337+1)*R337-ERP_i)*Q337*Ramure*Pc/MaxiM</f>
        <v>6.4953976062516513E-3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26.394971007881214</v>
      </c>
      <c r="W337" s="400">
        <f t="shared" si="136"/>
        <v>7.1628085606147014</v>
      </c>
      <c r="X337" s="157">
        <f t="shared" si="137"/>
        <v>45249</v>
      </c>
      <c r="Y337" s="383">
        <f t="shared" si="138"/>
        <v>6.8249952369101319</v>
      </c>
      <c r="Z337" s="383">
        <f t="shared" si="139"/>
        <v>7.0602134483375458</v>
      </c>
      <c r="AA337" s="384">
        <f t="shared" si="140"/>
        <v>7.773762781050106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9.1789440044653864E-2</v>
      </c>
      <c r="AD337" s="230">
        <f>(INDEX(Models!$BJ337:$BT337,,AH337)*(1-AF337)+INDEX(Models!$BJ337:$BT337,,AH337+1)*AF337-ERP_i)*AE337*Ramure*Pc/MaxiM</f>
        <v>6.4953976062516513E-3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'2022'!Wh/'2022'!Env_an*'2023'!Env_an</f>
        <v>15.762512530785829</v>
      </c>
      <c r="C338" s="829"/>
      <c r="D338" s="391">
        <f t="shared" si="127"/>
        <v>16.306067903569019</v>
      </c>
      <c r="E338" s="383">
        <f t="shared" si="125"/>
        <v>17.107730418436553</v>
      </c>
      <c r="F338" s="383">
        <f t="shared" si="128"/>
        <v>17.156321452150539</v>
      </c>
      <c r="G338" s="110">
        <f t="shared" si="126"/>
        <v>0.60057315215757157</v>
      </c>
      <c r="H338" s="412" t="b">
        <f>Wh_hp&gt;='2022'!Maxi_hp</f>
        <v>0</v>
      </c>
      <c r="I338" s="379">
        <f>IF(H338,Wh_hp,'2022'!Maxi_hp)</f>
        <v>28.66422438766487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3.3334546133235499E-2</v>
      </c>
      <c r="M338" s="832"/>
      <c r="N338" s="832"/>
      <c r="O338" s="48">
        <f>IF(t&lt;Tnet,'2022'!Resal+('2022'!Salim-'2022'!Resal)*(1-EXP(('2022'!Tnet-t)/('2022'!Tau_j))),Resal+(Salim-Resal)*(1-EXP((Tnet-t)/(Tau_j))))*Salcycl</f>
        <v>4.6859664915201348E-2</v>
      </c>
      <c r="P338" s="338">
        <f>(INDEX(Models!$BJ338:$BT338,,T338)*(1-R338)+INDEX(Models!$BJ338:$BT338,,T338+1)*R338-ERP_i)*Q338*Ramure*Pc/MaxiM</f>
        <v>6.5470711568013347E-3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26.148007590663365</v>
      </c>
      <c r="W338" s="400">
        <f t="shared" si="136"/>
        <v>15.762512530785829</v>
      </c>
      <c r="X338" s="157">
        <f t="shared" si="137"/>
        <v>45250</v>
      </c>
      <c r="Y338" s="383">
        <f t="shared" si="138"/>
        <v>15.020192142859518</v>
      </c>
      <c r="Z338" s="383">
        <f t="shared" si="139"/>
        <v>15.538149297440137</v>
      </c>
      <c r="AA338" s="384">
        <f t="shared" si="140"/>
        <v>17.107730418436553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9.1746893515747677E-2</v>
      </c>
      <c r="AD338" s="230">
        <f>(INDEX(Models!$BJ338:$BT338,,AH338)*(1-AF338)+INDEX(Models!$BJ338:$BT338,,AH338+1)*AF338-ERP_i)*AE338*Ramure*Pc/MaxiM</f>
        <v>6.5470711568013347E-3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'2022'!Wh/'2022'!Env_an*'2023'!Env_an</f>
        <v>3.1661246914788292</v>
      </c>
      <c r="C339" s="829"/>
      <c r="D339" s="391">
        <f t="shared" si="127"/>
        <v>3.2753682859297992</v>
      </c>
      <c r="E339" s="383">
        <f t="shared" si="125"/>
        <v>3.4364836603061408</v>
      </c>
      <c r="F339" s="383">
        <f t="shared" si="128"/>
        <v>3.4364836603061408</v>
      </c>
      <c r="G339" s="110">
        <f t="shared" si="126"/>
        <v>0.1214070777965396</v>
      </c>
      <c r="H339" s="412" t="b">
        <f>Wh_hp&gt;='2022'!Maxi_hp</f>
        <v>0</v>
      </c>
      <c r="I339" s="379">
        <f>IF(H339,Wh_hp,'2022'!Maxi_hp)</f>
        <v>27.981917732937102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3.3353072056127031E-2</v>
      </c>
      <c r="M339" s="832"/>
      <c r="N339" s="832"/>
      <c r="O339" s="48">
        <f>IF(t&lt;Tnet,'2022'!Resal+('2022'!Salim-'2022'!Resal)*(1-EXP(('2022'!Tnet-t)/('2022'!Tau_j))),Resal+(Salim-Resal)*(1-EXP((Tnet-t)/(Tau_j))))*Salcycl</f>
        <v>4.6883788867481013E-2</v>
      </c>
      <c r="P339" s="338">
        <f>(INDEX(Models!$BJ339:$BT339,,T339)*(1-R339)+INDEX(Models!$BJ339:$BT339,,T339+1)*R339-ERP_i)*Q339*Ramure*Pc/MaxiM</f>
        <v>6.5983119665973455E-3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25.906509489588856</v>
      </c>
      <c r="W339" s="400">
        <f t="shared" si="136"/>
        <v>3.1661246914788292</v>
      </c>
      <c r="X339" s="157">
        <f t="shared" si="137"/>
        <v>45251</v>
      </c>
      <c r="Y339" s="383">
        <f t="shared" si="138"/>
        <v>3.0172318898976784</v>
      </c>
      <c r="Z339" s="383">
        <f t="shared" si="139"/>
        <v>3.1213381046123492</v>
      </c>
      <c r="AA339" s="384">
        <f t="shared" si="140"/>
        <v>3.4364836603061408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9.1705821079247324E-2</v>
      </c>
      <c r="AD339" s="230">
        <f>(INDEX(Models!$BJ339:$BT339,,AH339)*(1-AF339)+INDEX(Models!$BJ339:$BT339,,AH339+1)*AF339-ERP_i)*AE339*Ramure*Pc/MaxiM</f>
        <v>6.5983119665973455E-3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'2022'!Wh/'2022'!Env_an*'2023'!Env_an</f>
        <v>7.8330308023383326</v>
      </c>
      <c r="C340" s="829"/>
      <c r="D340" s="391">
        <f t="shared" si="127"/>
        <v>8.1034560779347125</v>
      </c>
      <c r="E340" s="383">
        <f t="shared" si="125"/>
        <v>8.5022864174137549</v>
      </c>
      <c r="F340" s="383">
        <f t="shared" si="128"/>
        <v>8.502700879261166</v>
      </c>
      <c r="G340" s="110">
        <f t="shared" si="126"/>
        <v>0.30311769394885263</v>
      </c>
      <c r="H340" s="412" t="b">
        <f>Wh_hp&gt;='2022'!Maxi_hp</f>
        <v>0</v>
      </c>
      <c r="I340" s="379">
        <f>IF(H340,Wh_hp,'2022'!Maxi_hp)</f>
        <v>29.203443370360098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3.3371597623973459E-2</v>
      </c>
      <c r="M340" s="832"/>
      <c r="N340" s="832"/>
      <c r="O340" s="48">
        <f>IF(t&lt;Tnet,'2022'!Resal+('2022'!Salim-'2022'!Resal)*(1-EXP(('2022'!Tnet-t)/('2022'!Tau_j))),Resal+(Salim-Resal)*(1-EXP((Tnet-t)/(Tau_j))))*Salcycl</f>
        <v>4.6908598452080771E-2</v>
      </c>
      <c r="P340" s="338">
        <f>(INDEX(Models!$BJ340:$BT340,,T340)*(1-R340)+INDEX(Models!$BJ340:$BT340,,T340+1)*R340-ERP_i)*Q340*Ramure*Pc/MaxiM</f>
        <v>6.6490521558343696E-3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25.670978718992778</v>
      </c>
      <c r="W340" s="400">
        <f t="shared" si="136"/>
        <v>7.8330308023383326</v>
      </c>
      <c r="X340" s="157">
        <f t="shared" si="137"/>
        <v>45252</v>
      </c>
      <c r="Y340" s="383">
        <f t="shared" si="138"/>
        <v>7.4651876205475327</v>
      </c>
      <c r="Z340" s="383">
        <f t="shared" si="139"/>
        <v>7.7229135851974604</v>
      </c>
      <c r="AA340" s="384">
        <f t="shared" si="140"/>
        <v>8.5022864174137549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9.166626410279953E-2</v>
      </c>
      <c r="AD340" s="230">
        <f>(INDEX(Models!$BJ340:$BT340,,AH340)*(1-AF340)+INDEX(Models!$BJ340:$BT340,,AH340+1)*AF340-ERP_i)*AE340*Ramure*Pc/MaxiM</f>
        <v>6.6490521558343696E-3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'2022'!Wh/'2022'!Env_an*'2023'!Env_an</f>
        <v>13.136999340030975</v>
      </c>
      <c r="C341" s="829"/>
      <c r="D341" s="391">
        <f t="shared" si="127"/>
        <v>13.590797746227361</v>
      </c>
      <c r="E341" s="383">
        <f t="shared" si="125"/>
        <v>14.260082067724889</v>
      </c>
      <c r="F341" s="383">
        <f t="shared" si="128"/>
        <v>14.289669488630725</v>
      </c>
      <c r="G341" s="110">
        <f t="shared" si="126"/>
        <v>0.51395758331273622</v>
      </c>
      <c r="H341" s="412" t="b">
        <f>Wh_hp&gt;='2022'!Maxi_hp</f>
        <v>0</v>
      </c>
      <c r="I341" s="379">
        <f>IF(H341,Wh_hp,'2022'!Maxi_hp)</f>
        <v>29.107219927904186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3.3390122836781555E-2</v>
      </c>
      <c r="M341" s="832"/>
      <c r="N341" s="832"/>
      <c r="O341" s="48">
        <f>IF(t&lt;Tnet,'2022'!Resal+('2022'!Salim-'2022'!Resal)*(1-EXP(('2022'!Tnet-t)/('2022'!Tau_j))),Resal+(Salim-Resal)*(1-EXP((Tnet-t)/(Tau_j))))*Salcycl</f>
        <v>4.6934114286223572E-2</v>
      </c>
      <c r="P341" s="338">
        <f>(INDEX(Models!$BJ341:$BT341,,T341)*(1-R341)+INDEX(Models!$BJ341:$BT341,,T341+1)*R341-ERP_i)*Q341*Ramure*Pc/MaxiM</f>
        <v>6.6991694133712275E-3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25.441918518601025</v>
      </c>
      <c r="W341" s="400">
        <f t="shared" si="136"/>
        <v>13.136999340030975</v>
      </c>
      <c r="X341" s="157">
        <f t="shared" si="137"/>
        <v>45253</v>
      </c>
      <c r="Y341" s="383">
        <f t="shared" si="138"/>
        <v>12.520938112488798</v>
      </c>
      <c r="Z341" s="383">
        <f t="shared" si="139"/>
        <v>12.953455585654599</v>
      </c>
      <c r="AA341" s="384">
        <f t="shared" si="140"/>
        <v>14.260082067724889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9.1628258229144624E-2</v>
      </c>
      <c r="AD341" s="230">
        <f>(INDEX(Models!$BJ341:$BT341,,AH341)*(1-AF341)+INDEX(Models!$BJ341:$BT341,,AH341+1)*AF341-ERP_i)*AE341*Ramure*Pc/MaxiM</f>
        <v>6.6991694133712275E-3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'2022'!Wh/'2022'!Env_an*'2023'!Env_an</f>
        <v>13.786723282349321</v>
      </c>
      <c r="C342" s="829"/>
      <c r="D342" s="391">
        <f t="shared" si="127"/>
        <v>14.263238802484892</v>
      </c>
      <c r="E342" s="383">
        <f t="shared" si="125"/>
        <v>14.96604980015087</v>
      </c>
      <c r="F342" s="383">
        <f t="shared" si="128"/>
        <v>15.001724155660538</v>
      </c>
      <c r="G342" s="110">
        <f t="shared" si="126"/>
        <v>0.5442670866395013</v>
      </c>
      <c r="H342" s="412" t="b">
        <f>Wh_hp&gt;='2022'!Maxi_hp</f>
        <v>0</v>
      </c>
      <c r="I342" s="379">
        <f>IF(H342,Wh_hp,'2022'!Maxi_hp)</f>
        <v>27.112988230859333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3.3408647694558313E-2</v>
      </c>
      <c r="M342" s="832"/>
      <c r="N342" s="832"/>
      <c r="O342" s="48">
        <f>IF(t&lt;Tnet,'2022'!Resal+('2022'!Salim-'2022'!Resal)*(1-EXP(('2022'!Tnet-t)/('2022'!Tau_j))),Resal+(Salim-Resal)*(1-EXP((Tnet-t)/(Tau_j))))*Salcycl</f>
        <v>4.6960354071445956E-2</v>
      </c>
      <c r="P342" s="338">
        <f>(INDEX(Models!$BJ342:$BT342,,T342)*(1-R342)+INDEX(Models!$BJ342:$BT342,,T342+1)*R342-ERP_i)*Q342*Ramure*Pc/MaxiM</f>
        <v>6.7485546926610452E-3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25.219831579075578</v>
      </c>
      <c r="W342" s="400">
        <f t="shared" si="136"/>
        <v>13.786723282349321</v>
      </c>
      <c r="X342" s="157">
        <f t="shared" si="137"/>
        <v>45254</v>
      </c>
      <c r="Y342" s="383">
        <f t="shared" si="138"/>
        <v>13.141081879845476</v>
      </c>
      <c r="Z342" s="383">
        <f t="shared" si="139"/>
        <v>13.595281861877149</v>
      </c>
      <c r="AA342" s="384">
        <f t="shared" si="140"/>
        <v>14.96604980015087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9.1591833287892874E-2</v>
      </c>
      <c r="AD342" s="230">
        <f>(INDEX(Models!$BJ342:$BT342,,AH342)*(1-AF342)+INDEX(Models!$BJ342:$BT342,,AH342+1)*AF342-ERP_i)*AE342*Ramure*Pc/MaxiM</f>
        <v>6.7485546926610452E-3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'2022'!Wh/'2022'!Env_an*'2023'!Env_an</f>
        <v>4.7775743024546609</v>
      </c>
      <c r="C343" s="829"/>
      <c r="D343" s="391">
        <f t="shared" si="127"/>
        <v>4.9427980644930001</v>
      </c>
      <c r="E343" s="383">
        <f t="shared" si="125"/>
        <v>5.1864977595005843</v>
      </c>
      <c r="F343" s="383">
        <f t="shared" si="128"/>
        <v>5.1864977595005843</v>
      </c>
      <c r="G343" s="110">
        <f t="shared" si="126"/>
        <v>0.18976440050698287</v>
      </c>
      <c r="H343" s="412" t="b">
        <f>Wh_hp&gt;='2022'!Maxi_hp</f>
        <v>0</v>
      </c>
      <c r="I343" s="379">
        <f>IF(H343,Wh_hp,'2022'!Maxi_hp)</f>
        <v>25.709723482797013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3.3427172197310284E-2</v>
      </c>
      <c r="M343" s="832"/>
      <c r="N343" s="832"/>
      <c r="O343" s="48">
        <f>IF(t&lt;Tnet,'2022'!Resal+('2022'!Salim-'2022'!Resal)*(1-EXP(('2022'!Tnet-t)/('2022'!Tau_j))),Resal+(Salim-Resal)*(1-EXP((Tnet-t)/(Tau_j))))*Salcycl</f>
        <v>4.6987332552332957E-2</v>
      </c>
      <c r="P343" s="338">
        <f>(INDEX(Models!$BJ343:$BT343,,T343)*(1-R343)+INDEX(Models!$BJ343:$BT343,,T343+1)*R343-ERP_i)*Q343*Ramure*Pc/MaxiM</f>
        <v>6.7971192855275061E-3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25.005219879746605</v>
      </c>
      <c r="W343" s="400">
        <f t="shared" si="136"/>
        <v>4.7775743024546609</v>
      </c>
      <c r="X343" s="157">
        <f t="shared" si="137"/>
        <v>45255</v>
      </c>
      <c r="Y343" s="383">
        <f t="shared" si="138"/>
        <v>4.5541407968879595</v>
      </c>
      <c r="Z343" s="383">
        <f t="shared" si="139"/>
        <v>4.7116375154481522</v>
      </c>
      <c r="AA343" s="384">
        <f t="shared" si="140"/>
        <v>5.1864977595005843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9.1557013243202007E-2</v>
      </c>
      <c r="AD343" s="230">
        <f>(INDEX(Models!$BJ343:$BT343,,AH343)*(1-AF343)+INDEX(Models!$BJ343:$BT343,,AH343+1)*AF343-ERP_i)*AE343*Ramure*Pc/MaxiM</f>
        <v>6.7971192855275061E-3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'2022'!Wh/'2022'!Env_an*'2023'!Env_an</f>
        <v>10.978479370235089</v>
      </c>
      <c r="C344" s="829"/>
      <c r="D344" s="391">
        <f t="shared" si="127"/>
        <v>11.358367893785957</v>
      </c>
      <c r="E344" s="383">
        <f t="shared" si="125"/>
        <v>11.918727605064269</v>
      </c>
      <c r="F344" s="383">
        <f t="shared" si="128"/>
        <v>11.935382365251497</v>
      </c>
      <c r="G344" s="110">
        <f t="shared" si="126"/>
        <v>0.44029003854958632</v>
      </c>
      <c r="H344" s="412" t="b">
        <f>Wh_hp&gt;='2022'!Maxi_hp</f>
        <v>0</v>
      </c>
      <c r="I344" s="379">
        <f>IF(H344,Wh_hp,'2022'!Maxi_hp)</f>
        <v>26.915508219914461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3.3445696345044462E-2</v>
      </c>
      <c r="M344" s="832"/>
      <c r="N344" s="832"/>
      <c r="O344" s="48">
        <f>IF(t&lt;Tnet,'2022'!Resal+('2022'!Salim-'2022'!Resal)*(1-EXP(('2022'!Tnet-t)/('2022'!Tau_j))),Resal+(Salim-Resal)*(1-EXP((Tnet-t)/(Tau_j))))*Salcycl</f>
        <v>4.7015061493662781E-2</v>
      </c>
      <c r="P344" s="338">
        <f>(INDEX(Models!$BJ344:$BT344,,T344)*(1-R344)+INDEX(Models!$BJ344:$BT344,,T344+1)*R344-ERP_i)*Q344*Ramure*Pc/MaxiM</f>
        <v>6.8447604453082643E-3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24.798585574355563</v>
      </c>
      <c r="W344" s="400">
        <f t="shared" si="136"/>
        <v>10.978479370235089</v>
      </c>
      <c r="X344" s="157">
        <f t="shared" si="137"/>
        <v>45256</v>
      </c>
      <c r="Y344" s="383">
        <f t="shared" si="138"/>
        <v>10.465734178419963</v>
      </c>
      <c r="Z344" s="383">
        <f t="shared" si="139"/>
        <v>10.827880170668676</v>
      </c>
      <c r="AA344" s="384">
        <f t="shared" si="140"/>
        <v>11.918727605064269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9.1523816177499676E-2</v>
      </c>
      <c r="AD344" s="230">
        <f>(INDEX(Models!$BJ344:$BT344,,AH344)*(1-AF344)+INDEX(Models!$BJ344:$BT344,,AH344+1)*AF344-ERP_i)*AE344*Ramure*Pc/MaxiM</f>
        <v>6.8447604453082643E-3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'2022'!Wh/'2022'!Env_an*'2023'!Env_an</f>
        <v>14.452328826711536</v>
      </c>
      <c r="C345" s="829"/>
      <c r="D345" s="391">
        <f t="shared" si="127"/>
        <v>14.952709592159675</v>
      </c>
      <c r="E345" s="383">
        <f t="shared" si="125"/>
        <v>15.690863509110029</v>
      </c>
      <c r="F345" s="383">
        <f t="shared" si="128"/>
        <v>15.735412214427095</v>
      </c>
      <c r="G345" s="110">
        <f t="shared" si="126"/>
        <v>0.58515155137148833</v>
      </c>
      <c r="H345" s="412" t="b">
        <f>Wh_hp&gt;='2022'!Maxi_hp</f>
        <v>0</v>
      </c>
      <c r="I345" s="379">
        <f>IF(H345,Wh_hp,'2022'!Maxi_hp)</f>
        <v>23.300191289146664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3.3464220137767509E-2</v>
      </c>
      <c r="M345" s="832"/>
      <c r="N345" s="832"/>
      <c r="O345" s="48">
        <f>IF(t&lt;Tnet,'2022'!Resal+('2022'!Salim-'2022'!Resal)*(1-EXP(('2022'!Tnet-t)/('2022'!Tau_j))),Resal+(Salim-Resal)*(1-EXP((Tnet-t)/(Tau_j))))*Salcycl</f>
        <v>4.7043549676012777E-2</v>
      </c>
      <c r="P345" s="338">
        <f>(INDEX(Models!$BJ345:$BT345,,T345)*(1-R345)+INDEX(Models!$BJ345:$BT345,,T345+1)*R345-ERP_i)*Q345*Ramure*Pc/MaxiM</f>
        <v>6.8920783182671577E-3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24.59785286940393</v>
      </c>
      <c r="W345" s="400">
        <f t="shared" si="136"/>
        <v>14.452328826711536</v>
      </c>
      <c r="X345" s="157">
        <f t="shared" si="137"/>
        <v>45257</v>
      </c>
      <c r="Y345" s="383">
        <f t="shared" si="138"/>
        <v>13.778229506549099</v>
      </c>
      <c r="Z345" s="383">
        <f t="shared" si="139"/>
        <v>14.255271034573612</v>
      </c>
      <c r="AA345" s="384">
        <f t="shared" si="140"/>
        <v>15.690863509110029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9.1492254311110438E-2</v>
      </c>
      <c r="AD345" s="230">
        <f>(INDEX(Models!$BJ345:$BT345,,AH345)*(1-AF345)+INDEX(Models!$BJ345:$BT345,,AH345+1)*AF345-ERP_i)*AE345*Ramure*Pc/MaxiM</f>
        <v>6.8920783182671577E-3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'2022'!Wh/'2022'!Env_an*'2023'!Env_an</f>
        <v>10.485261726845764</v>
      </c>
      <c r="C346" s="829"/>
      <c r="D346" s="391">
        <f t="shared" si="127"/>
        <v>10.848499245253441</v>
      </c>
      <c r="E346" s="383">
        <f t="shared" si="125"/>
        <v>11.384394608926026</v>
      </c>
      <c r="F346" s="383">
        <f t="shared" si="128"/>
        <v>11.399060304447119</v>
      </c>
      <c r="G346" s="110">
        <f t="shared" si="126"/>
        <v>0.42727367791128551</v>
      </c>
      <c r="H346" s="412" t="b">
        <f>Wh_hp&gt;='2022'!Maxi_hp</f>
        <v>0</v>
      </c>
      <c r="I346" s="379">
        <f>IF(H346,Wh_hp,'2022'!Maxi_hp)</f>
        <v>16.384266753107251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3.3482743575486307E-2</v>
      </c>
      <c r="M346" s="832"/>
      <c r="N346" s="832"/>
      <c r="O346" s="48">
        <f>IF(t&lt;Tnet,'2022'!Resal+('2022'!Salim-'2022'!Resal)*(1-EXP(('2022'!Tnet-t)/('2022'!Tau_j))),Resal+(Salim-Resal)*(1-EXP((Tnet-t)/(Tau_j))))*Salcycl</f>
        <v>4.7072802909731593E-2</v>
      </c>
      <c r="P346" s="338">
        <f>(INDEX(Models!$BJ346:$BT346,,T346)*(1-R346)+INDEX(Models!$BJ346:$BT346,,T346+1)*R346-ERP_i)*Q346*Ramure*Pc/MaxiM</f>
        <v>6.943307364244233E-3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24.40092496257553</v>
      </c>
      <c r="W346" s="400">
        <f t="shared" si="136"/>
        <v>10.485261726845764</v>
      </c>
      <c r="X346" s="157">
        <f t="shared" si="137"/>
        <v>45258</v>
      </c>
      <c r="Y346" s="383">
        <f t="shared" si="138"/>
        <v>9.9968342232168457</v>
      </c>
      <c r="Z346" s="383">
        <f t="shared" si="139"/>
        <v>10.343151306163577</v>
      </c>
      <c r="AA346" s="384">
        <f t="shared" si="140"/>
        <v>11.384394608926026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9.1462334057364328E-2</v>
      </c>
      <c r="AD346" s="230">
        <f>(INDEX(Models!$BJ346:$BT346,,AH346)*(1-AF346)+INDEX(Models!$BJ346:$BT346,,AH346+1)*AF346-ERP_i)*AE346*Ramure*Pc/MaxiM</f>
        <v>6.943307364244233E-3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'2022'!Wh/'2022'!Env_an*'2023'!Env_an</f>
        <v>15.27092645489066</v>
      </c>
      <c r="C347" s="829"/>
      <c r="D347" s="391">
        <f t="shared" si="127"/>
        <v>15.800255011291622</v>
      </c>
      <c r="E347" s="383">
        <f t="shared" si="125"/>
        <v>16.581280132163169</v>
      </c>
      <c r="F347" s="383">
        <f t="shared" si="128"/>
        <v>16.636355936193706</v>
      </c>
      <c r="G347" s="110">
        <f t="shared" si="126"/>
        <v>0.62847683020780165</v>
      </c>
      <c r="H347" s="412" t="b">
        <f>Wh_hp&gt;='2022'!Maxi_hp</f>
        <v>0</v>
      </c>
      <c r="I347" s="379">
        <f>IF(H347,Wh_hp,'2022'!Maxi_hp)</f>
        <v>16.653825364085652</v>
      </c>
      <c r="J347" s="85">
        <f>IF(H347,An,'2022'!An_max)</f>
        <v>2022</v>
      </c>
      <c r="K347" s="197">
        <f t="shared" si="129"/>
        <v>45259</v>
      </c>
      <c r="L347" s="147">
        <f>IF(t&lt;Tvie,1-EXP((T0-t)*PertePVj)+'2022'!Pspv,1-EXP((T0-t)*PertePVj)+Pspv)</f>
        <v>3.3501266658207629E-2</v>
      </c>
      <c r="M347" s="832"/>
      <c r="N347" s="832"/>
      <c r="O347" s="48">
        <f>IF(t&lt;Tnet,'2022'!Resal+('2022'!Salim-'2022'!Resal)*(1-EXP(('2022'!Tnet-t)/('2022'!Tau_j))),Resal+(Salim-Resal)*(1-EXP((Tnet-t)/(Tau_j))))*Salcycl</f>
        <v>4.7102824067037606E-2</v>
      </c>
      <c r="P347" s="338">
        <f>(INDEX(Models!$BJ347:$BT347,,T347)*(1-R347)+INDEX(Models!$BJ347:$BT347,,T347+1)*R347-ERP_i)*Q347*Ramure*Pc/MaxiM</f>
        <v>7.0051154272428463E-3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24.208243131284704</v>
      </c>
      <c r="W347" s="400">
        <f t="shared" si="136"/>
        <v>15.27092645489066</v>
      </c>
      <c r="X347" s="157">
        <f t="shared" si="137"/>
        <v>45259</v>
      </c>
      <c r="Y347" s="383">
        <f t="shared" si="138"/>
        <v>14.560483606156298</v>
      </c>
      <c r="Z347" s="383">
        <f t="shared" si="139"/>
        <v>15.065186434142104</v>
      </c>
      <c r="AA347" s="384">
        <f t="shared" si="140"/>
        <v>16.581280132163169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9.1434056112486492E-2</v>
      </c>
      <c r="AD347" s="230">
        <f>(INDEX(Models!$BJ347:$BT347,,AH347)*(1-AF347)+INDEX(Models!$BJ347:$BT347,,AH347+1)*AF347-ERP_i)*AE347*Ramure*Pc/MaxiM</f>
        <v>7.0051154272428463E-3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'2022'!Wh/'2022'!Env_an*'2023'!Env_an</f>
        <v>3.9905841330125345</v>
      </c>
      <c r="C348" s="829"/>
      <c r="D348" s="391">
        <f t="shared" si="127"/>
        <v>4.1289869044261982</v>
      </c>
      <c r="E348" s="383">
        <f t="shared" si="125"/>
        <v>4.3332275766356538</v>
      </c>
      <c r="F348" s="383">
        <f t="shared" si="128"/>
        <v>4.3332275766356538</v>
      </c>
      <c r="G348" s="110">
        <f t="shared" si="126"/>
        <v>0.16495721744873637</v>
      </c>
      <c r="H348" s="412" t="b">
        <f>Wh_hp&gt;='2022'!Maxi_hp</f>
        <v>0</v>
      </c>
      <c r="I348" s="379">
        <f>IF(H348,Wh_hp,'2022'!Maxi_hp)</f>
        <v>25.310170680267795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3.3519789385938359E-2</v>
      </c>
      <c r="M348" s="832"/>
      <c r="N348" s="832"/>
      <c r="O348" s="48">
        <f>IF(t&lt;Tnet,'2022'!Resal+('2022'!Salim-'2022'!Resal)*(1-EXP(('2022'!Tnet-t)/('2022'!Tau_j))),Resal+(Salim-Resal)*(1-EXP((Tnet-t)/(Tau_j))))*Salcycl</f>
        <v>4.7133613131860867E-2</v>
      </c>
      <c r="P348" s="338">
        <f>(INDEX(Models!$BJ348:$BT348,,T348)*(1-R348)+INDEX(Models!$BJ348:$BT348,,T348+1)*R348-ERP_i)*Q348*Ramure*Pc/MaxiM</f>
        <v>7.0773982483264422E-3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24.020417179327882</v>
      </c>
      <c r="W348" s="400">
        <f t="shared" si="136"/>
        <v>3.9905841330125345</v>
      </c>
      <c r="X348" s="157">
        <f t="shared" si="137"/>
        <v>45260</v>
      </c>
      <c r="Y348" s="383">
        <f t="shared" si="138"/>
        <v>3.8051663913545717</v>
      </c>
      <c r="Z348" s="383">
        <f t="shared" si="139"/>
        <v>3.9371384427384459</v>
      </c>
      <c r="AA348" s="384">
        <f t="shared" si="140"/>
        <v>4.3332275766356538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9.1407415579297602E-2</v>
      </c>
      <c r="AD348" s="230">
        <f>(INDEX(Models!$BJ348:$BT348,,AH348)*(1-AF348)+INDEX(Models!$BJ348:$BT348,,AH348+1)*AF348-ERP_i)*AE348*Ramure*Pc/MaxiM</f>
        <v>7.0773982483264422E-3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'2022'!Wh/'2022'!Env_an*'2023'!Env_an</f>
        <v>3.7773155976483954</v>
      </c>
      <c r="C349" s="829"/>
      <c r="D349" s="391">
        <f t="shared" si="127"/>
        <v>3.9083966220347905</v>
      </c>
      <c r="E349" s="383">
        <f t="shared" si="125"/>
        <v>4.1018616110244599</v>
      </c>
      <c r="F349" s="383">
        <f t="shared" si="128"/>
        <v>4.1018616110244599</v>
      </c>
      <c r="G349" s="110">
        <f t="shared" si="126"/>
        <v>0.15732280270873719</v>
      </c>
      <c r="H349" s="412" t="b">
        <f>Wh_hp&gt;='2022'!Maxi_hp</f>
        <v>0</v>
      </c>
      <c r="I349" s="379">
        <f>IF(H349,Wh_hp,'2022'!Maxi_hp)</f>
        <v>26.146261330818092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3.3538311758685269E-2</v>
      </c>
      <c r="M349" s="832"/>
      <c r="N349" s="832"/>
      <c r="O349" s="48">
        <f>IF(t&lt;Tnet,'2022'!Resal+('2022'!Salim-'2022'!Resal)*(1-EXP(('2022'!Tnet-t)/('2022'!Tau_j))),Resal+(Salim-Resal)*(1-EXP((Tnet-t)/(Tau_j))))*Salcycl</f>
        <v>4.7165167266906123E-2</v>
      </c>
      <c r="P349" s="338">
        <f>(INDEX(Models!$BJ349:$BT349,,T349)*(1-R349)+INDEX(Models!$BJ349:$BT349,,T349+1)*R349-ERP_i)*Q349*Ramure*Pc/MaxiM</f>
        <v>7.1600380070657461E-3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23.838056593408712</v>
      </c>
      <c r="W349" s="400">
        <f t="shared" si="136"/>
        <v>3.7773155976483954</v>
      </c>
      <c r="X349" s="157">
        <f t="shared" si="137"/>
        <v>45261</v>
      </c>
      <c r="Y349" s="383">
        <f t="shared" si="138"/>
        <v>3.6020255629321176</v>
      </c>
      <c r="Z349" s="383">
        <f t="shared" si="139"/>
        <v>3.7270236438309099</v>
      </c>
      <c r="AA349" s="384">
        <f t="shared" si="140"/>
        <v>4.1018616110244599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9.138240212349158E-2</v>
      </c>
      <c r="AD349" s="230">
        <f>(INDEX(Models!$BJ349:$BT349,,AH349)*(1-AF349)+INDEX(Models!$BJ349:$BT349,,AH349+1)*AF349-ERP_i)*AE349*Ramure*Pc/MaxiM</f>
        <v>7.1600380070657461E-3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'2022'!Wh/'2022'!Env_an*'2023'!Env_an</f>
        <v>5.6747332900910497</v>
      </c>
      <c r="C350" s="829"/>
      <c r="D350" s="391">
        <f t="shared" si="127"/>
        <v>5.8717713450916413</v>
      </c>
      <c r="E350" s="383">
        <f t="shared" si="125"/>
        <v>6.1626320537242654</v>
      </c>
      <c r="F350" s="383">
        <f t="shared" si="128"/>
        <v>6.1626320537242654</v>
      </c>
      <c r="G350" s="110">
        <f t="shared" si="126"/>
        <v>0.23808763616403034</v>
      </c>
      <c r="H350" s="412" t="b">
        <f>Wh_hp&gt;='2022'!Maxi_hp</f>
        <v>0</v>
      </c>
      <c r="I350" s="379">
        <f>IF(H350,Wh_hp,'2022'!Maxi_hp)</f>
        <v>9.9498204075695913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3.355683377645502E-2</v>
      </c>
      <c r="M350" s="832"/>
      <c r="N350" s="832"/>
      <c r="O350" s="48">
        <f>IF(t&lt;Tnet,'2022'!Resal+('2022'!Salim-'2022'!Resal)*(1-EXP(('2022'!Tnet-t)/('2022'!Tau_j))),Resal+(Salim-Resal)*(1-EXP((Tnet-t)/(Tau_j))))*Salcycl</f>
        <v>4.7197480897281208E-2</v>
      </c>
      <c r="P350" s="338">
        <f>(INDEX(Models!$BJ350:$BT350,,T350)*(1-R350)+INDEX(Models!$BJ350:$BT350,,T350+1)*R350-ERP_i)*Q350*Ramure*Pc/MaxiM</f>
        <v>7.2529003794660814E-3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23.661770538041424</v>
      </c>
      <c r="W350" s="400">
        <f t="shared" si="136"/>
        <v>5.6747332900910497</v>
      </c>
      <c r="X350" s="157">
        <f t="shared" si="137"/>
        <v>45262</v>
      </c>
      <c r="Y350" s="383">
        <f t="shared" si="138"/>
        <v>5.4117146283195812</v>
      </c>
      <c r="Z350" s="383">
        <f t="shared" si="139"/>
        <v>5.5996201509358228</v>
      </c>
      <c r="AA350" s="384">
        <f t="shared" si="140"/>
        <v>6.1626320537242654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9.1359000161010229E-2</v>
      </c>
      <c r="AD350" s="230">
        <f>(INDEX(Models!$BJ350:$BT350,,AH350)*(1-AF350)+INDEX(Models!$BJ350:$BT350,,AH350+1)*AF350-ERP_i)*AE350*Ramure*Pc/MaxiM</f>
        <v>7.2529003794660814E-3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'2022'!Wh/'2022'!Env_an*'2023'!Env_an</f>
        <v>9.5102883412890815</v>
      </c>
      <c r="C351" s="829"/>
      <c r="D351" s="391">
        <f t="shared" si="127"/>
        <v>9.840693110233806</v>
      </c>
      <c r="E351" s="383">
        <f t="shared" si="125"/>
        <v>10.32851448685342</v>
      </c>
      <c r="F351" s="383">
        <f t="shared" si="128"/>
        <v>10.339904592224356</v>
      </c>
      <c r="G351" s="110">
        <f t="shared" si="126"/>
        <v>0.40229334971700559</v>
      </c>
      <c r="H351" s="412" t="b">
        <f>Wh_hp&gt;='2022'!Maxi_hp</f>
        <v>0</v>
      </c>
      <c r="I351" s="379">
        <f>IF(H351,Wh_hp,'2022'!Maxi_hp)</f>
        <v>16.647333469246274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3.3575355439254606E-2</v>
      </c>
      <c r="M351" s="832"/>
      <c r="N351" s="832"/>
      <c r="O351" s="48">
        <f>IF(t&lt;Tnet,'2022'!Resal+('2022'!Salim-'2022'!Resal)*(1-EXP(('2022'!Tnet-t)/('2022'!Tau_j))),Resal+(Salim-Resal)*(1-EXP((Tnet-t)/(Tau_j))))*Salcycl</f>
        <v>4.7230545809906585E-2</v>
      </c>
      <c r="P351" s="338">
        <f>(INDEX(Models!$BJ351:$BT351,,T351)*(1-R351)+INDEX(Models!$BJ351:$BT351,,T351+1)*R351-ERP_i)*Q351*Ramure*Pc/MaxiM</f>
        <v>7.3558314832628067E-3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23.492167849827609</v>
      </c>
      <c r="W351" s="400">
        <f t="shared" si="136"/>
        <v>9.5102883412890815</v>
      </c>
      <c r="X351" s="157">
        <f t="shared" si="137"/>
        <v>45263</v>
      </c>
      <c r="Y351" s="383">
        <f t="shared" si="138"/>
        <v>9.070027695473085</v>
      </c>
      <c r="Z351" s="383">
        <f t="shared" si="139"/>
        <v>9.3851370063059072</v>
      </c>
      <c r="AA351" s="384">
        <f t="shared" si="140"/>
        <v>10.32851448685342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9.1337189074797154E-2</v>
      </c>
      <c r="AD351" s="230">
        <f>(INDEX(Models!$BJ351:$BT351,,AH351)*(1-AF351)+INDEX(Models!$BJ351:$BT351,,AH351+1)*AF351-ERP_i)*AE351*Ramure*Pc/MaxiM</f>
        <v>7.3558314832628067E-3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'2022'!Wh/'2022'!Env_an*'2023'!Env_an</f>
        <v>17.440298009474748</v>
      </c>
      <c r="C352" s="829"/>
      <c r="D352" s="391">
        <f t="shared" si="127"/>
        <v>18.046551641012943</v>
      </c>
      <c r="E352" s="383">
        <f t="shared" si="125"/>
        <v>18.941824697152253</v>
      </c>
      <c r="F352" s="383">
        <f t="shared" si="128"/>
        <v>19.032633429653277</v>
      </c>
      <c r="G352" s="110">
        <f t="shared" si="126"/>
        <v>0.74552656948173757</v>
      </c>
      <c r="H352" s="412" t="b">
        <f>Wh_hp&gt;='2022'!Maxi_hp</f>
        <v>0</v>
      </c>
      <c r="I352" s="379">
        <f>IF(H352,Wh_hp,'2022'!Maxi_hp)</f>
        <v>19.047013282161593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3.359387674709069E-2</v>
      </c>
      <c r="M352" s="832"/>
      <c r="N352" s="832"/>
      <c r="O352" s="48">
        <f>IF(t&lt;Tnet,'2022'!Resal+('2022'!Salim-'2022'!Resal)*(1-EXP(('2022'!Tnet-t)/('2022'!Tau_j))),Resal+(Salim-Resal)*(1-EXP((Tnet-t)/(Tau_j))))*Salcycl</f>
        <v>4.7264351267800868E-2</v>
      </c>
      <c r="P352" s="338">
        <f>(INDEX(Models!$BJ352:$BT352,,T352)*(1-R352)+INDEX(Models!$BJ352:$BT352,,T352+1)*R352-ERP_i)*Q352*Ramure*Pc/MaxiM</f>
        <v>7.462546273046545E-3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23.330000605865795</v>
      </c>
      <c r="W352" s="400">
        <f t="shared" si="136"/>
        <v>17.440298009474748</v>
      </c>
      <c r="X352" s="157">
        <f t="shared" si="137"/>
        <v>45264</v>
      </c>
      <c r="Y352" s="383">
        <f t="shared" si="138"/>
        <v>16.633893486954115</v>
      </c>
      <c r="Z352" s="383">
        <f t="shared" si="139"/>
        <v>17.212115162272219</v>
      </c>
      <c r="AA352" s="384">
        <f t="shared" si="140"/>
        <v>18.941824697152253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9.131694345899416E-2</v>
      </c>
      <c r="AD352" s="230">
        <f>(INDEX(Models!$BJ352:$BT352,,AH352)*(1-AF352)+INDEX(Models!$BJ352:$BT352,,AH352+1)*AF352-ERP_i)*AE352*Ramure*Pc/MaxiM</f>
        <v>7.462546273046545E-3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'2022'!Wh/'2022'!Env_an*'2023'!Env_an</f>
        <v>23.120083385584639</v>
      </c>
      <c r="C353" s="829"/>
      <c r="D353" s="391">
        <f t="shared" si="127"/>
        <v>23.924234262275494</v>
      </c>
      <c r="E353" s="383">
        <f t="shared" si="125"/>
        <v>25.112004031437092</v>
      </c>
      <c r="F353" s="383">
        <f t="shared" si="128"/>
        <v>25.302805135472109</v>
      </c>
      <c r="G353" s="110">
        <f t="shared" si="126"/>
        <v>0.99756042208805829</v>
      </c>
      <c r="H353" s="412" t="b">
        <f>Wh_hp&gt;='2022'!Maxi_hp</f>
        <v>0</v>
      </c>
      <c r="I353" s="379">
        <f>IF(H353,Wh_hp,'2022'!Maxi_hp)</f>
        <v>25.302989911833503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3.3612397699970153E-2</v>
      </c>
      <c r="M353" s="832"/>
      <c r="N353" s="832"/>
      <c r="O353" s="48">
        <f>IF(t&lt;Tnet,'2022'!Resal+('2022'!Salim-'2022'!Resal)*(1-EXP(('2022'!Tnet-t)/('2022'!Tau_j))),Resal+(Salim-Resal)*(1-EXP((Tnet-t)/(Tau_j))))*Salcycl</f>
        <v>4.7298884138225597E-2</v>
      </c>
      <c r="P353" s="338">
        <f>(INDEX(Models!$BJ353:$BT353,,T353)*(1-R353)+INDEX(Models!$BJ353:$BT353,,T353+1)*R353-ERP_i)*Q353*Ramure*Pc/MaxiM</f>
        <v>7.5667972118626673E-3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23.176015348802306</v>
      </c>
      <c r="W353" s="400">
        <f t="shared" si="136"/>
        <v>23.120083385584639</v>
      </c>
      <c r="X353" s="157">
        <f t="shared" si="137"/>
        <v>45265</v>
      </c>
      <c r="Y353" s="383">
        <f t="shared" si="138"/>
        <v>22.052310285879287</v>
      </c>
      <c r="Z353" s="383">
        <f t="shared" si="139"/>
        <v>22.819322426523442</v>
      </c>
      <c r="AA353" s="384">
        <f t="shared" si="140"/>
        <v>25.112004031437092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9.1298233388442396E-2</v>
      </c>
      <c r="AD353" s="230">
        <f>(INDEX(Models!$BJ353:$BT353,,AH353)*(1-AF353)+INDEX(Models!$BJ353:$BT353,,AH353+1)*AF353-ERP_i)*AE353*Ramure*Pc/MaxiM</f>
        <v>7.5667972118626673E-3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'2022'!Wh/'2022'!Env_an*'2023'!Env_an</f>
        <v>11.365255573114862</v>
      </c>
      <c r="C354" s="829"/>
      <c r="D354" s="391">
        <f t="shared" si="127"/>
        <v>11.76078145328991</v>
      </c>
      <c r="E354" s="383">
        <f t="shared" si="125"/>
        <v>12.345127301935559</v>
      </c>
      <c r="F354" s="383">
        <f t="shared" si="128"/>
        <v>12.371348716318581</v>
      </c>
      <c r="G354" s="110">
        <f t="shared" si="126"/>
        <v>0.49073634165962893</v>
      </c>
      <c r="H354" s="412" t="b">
        <f>Wh_hp&gt;='2022'!Maxi_hp</f>
        <v>0</v>
      </c>
      <c r="I354" s="379">
        <f>IF(H354,Wh_hp,'2022'!Maxi_hp)</f>
        <v>18.881092862283797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3.363091829789977E-2</v>
      </c>
      <c r="M354" s="832"/>
      <c r="N354" s="832"/>
      <c r="O354" s="48">
        <f>IF(t&lt;Tnet,'2022'!Resal+('2022'!Salim-'2022'!Resal)*(1-EXP(('2022'!Tnet-t)/('2022'!Tau_j))),Resal+(Salim-Resal)*(1-EXP((Tnet-t)/(Tau_j))))*Salcycl</f>
        <v>4.7334129033568588E-2</v>
      </c>
      <c r="P354" s="338">
        <f>(INDEX(Models!$BJ354:$BT354,,T354)*(1-R354)+INDEX(Models!$BJ354:$BT354,,T354+1)*R354-ERP_i)*Q354*Ramure*Pc/MaxiM</f>
        <v>7.6683191407423213E-3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23.030815593765407</v>
      </c>
      <c r="W354" s="400">
        <f t="shared" si="136"/>
        <v>11.365255573114862</v>
      </c>
      <c r="X354" s="157">
        <f t="shared" si="137"/>
        <v>45266</v>
      </c>
      <c r="Y354" s="383">
        <f t="shared" si="138"/>
        <v>10.840971334282786</v>
      </c>
      <c r="Z354" s="383">
        <f t="shared" si="139"/>
        <v>11.218251431625065</v>
      </c>
      <c r="AA354" s="384">
        <f t="shared" si="140"/>
        <v>12.345127301935559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9.1281024711168002E-2</v>
      </c>
      <c r="AD354" s="230">
        <f>(INDEX(Models!$BJ354:$BT354,,AH354)*(1-AF354)+INDEX(Models!$BJ354:$BT354,,AH354+1)*AF354-ERP_i)*AE354*Ramure*Pc/MaxiM</f>
        <v>7.6683191407423213E-3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'2022'!Wh/'2022'!Env_an*'2023'!Env_an</f>
        <v>20.479389207607944</v>
      </c>
      <c r="C355" s="829"/>
      <c r="D355" s="391">
        <f t="shared" si="127"/>
        <v>21.192505105689257</v>
      </c>
      <c r="E355" s="383">
        <f t="shared" si="125"/>
        <v>22.24631454893867</v>
      </c>
      <c r="F355" s="383">
        <f t="shared" si="128"/>
        <v>22.394029102842094</v>
      </c>
      <c r="G355" s="110">
        <f t="shared" si="126"/>
        <v>0.89343747649906502</v>
      </c>
      <c r="H355" s="412" t="b">
        <f>Wh_hp&gt;='2022'!Maxi_hp</f>
        <v>0</v>
      </c>
      <c r="I355" s="379">
        <f>IF(H355,Wh_hp,'2022'!Maxi_hp)</f>
        <v>22.401278543576364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3.3649438540886423E-2</v>
      </c>
      <c r="M355" s="832"/>
      <c r="N355" s="832"/>
      <c r="O355" s="48">
        <f>IF(t&lt;Tnet,'2022'!Resal+('2022'!Salim-'2022'!Resal)*(1-EXP(('2022'!Tnet-t)/('2022'!Tau_j))),Resal+(Salim-Resal)*(1-EXP((Tnet-t)/(Tau_j))))*Salcycl</f>
        <v>4.7370068463753141E-2</v>
      </c>
      <c r="P355" s="338">
        <f>(INDEX(Models!$BJ355:$BT355,,T355)*(1-R355)+INDEX(Models!$BJ355:$BT355,,T355+1)*R355-ERP_i)*Q355*Ramure*Pc/MaxiM</f>
        <v>7.7668225294427323E-3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22.895005035325081</v>
      </c>
      <c r="W355" s="400">
        <f t="shared" si="136"/>
        <v>20.479389207607944</v>
      </c>
      <c r="X355" s="157">
        <f t="shared" si="137"/>
        <v>45267</v>
      </c>
      <c r="Y355" s="383">
        <f t="shared" si="138"/>
        <v>19.53574143992477</v>
      </c>
      <c r="Z355" s="383">
        <f t="shared" si="139"/>
        <v>20.215998436868844</v>
      </c>
      <c r="AA355" s="384">
        <f t="shared" si="140"/>
        <v>22.24631454893867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9.1265279361371257E-2</v>
      </c>
      <c r="AD355" s="230">
        <f>(INDEX(Models!$BJ355:$BT355,,AH355)*(1-AF355)+INDEX(Models!$BJ355:$BT355,,AH355+1)*AF355-ERP_i)*AE355*Ramure*Pc/MaxiM</f>
        <v>7.7668225294427323E-3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'2022'!Wh/'2022'!Env_an*'2023'!Env_an</f>
        <v>4.1129930922159046</v>
      </c>
      <c r="C356" s="829"/>
      <c r="D356" s="391">
        <f t="shared" si="127"/>
        <v>4.2562938154560186</v>
      </c>
      <c r="E356" s="383">
        <f t="shared" si="125"/>
        <v>4.4681121938324564</v>
      </c>
      <c r="F356" s="383">
        <f t="shared" si="128"/>
        <v>4.4681121938324564</v>
      </c>
      <c r="G356" s="110">
        <f t="shared" si="126"/>
        <v>0.17921837387499162</v>
      </c>
      <c r="H356" s="412" t="b">
        <f>Wh_hp&gt;='2022'!Maxi_hp</f>
        <v>0</v>
      </c>
      <c r="I356" s="379">
        <f>IF(H356,Wh_hp,'2022'!Maxi_hp)</f>
        <v>17.076709643331426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3.3667958428936773E-2</v>
      </c>
      <c r="M356" s="832"/>
      <c r="N356" s="832"/>
      <c r="O356" s="48">
        <f>IF(t&lt;Tnet,'2022'!Resal+('2022'!Salim-'2022'!Resal)*(1-EXP(('2022'!Tnet-t)/('2022'!Tau_j))),Resal+(Salim-Resal)*(1-EXP((Tnet-t)/(Tau_j))))*Salcycl</f>
        <v>4.7406682998878208E-2</v>
      </c>
      <c r="P356" s="338">
        <f>(INDEX(Models!$BJ356:$BT356,,T356)*(1-R356)+INDEX(Models!$BJ356:$BT356,,T356+1)*R356-ERP_i)*Q356*Ramure*Pc/MaxiM</f>
        <v>7.8619949555705504E-3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22.769187517117786</v>
      </c>
      <c r="W356" s="400">
        <f t="shared" si="136"/>
        <v>4.1129930922159046</v>
      </c>
      <c r="X356" s="157">
        <f t="shared" si="137"/>
        <v>45268</v>
      </c>
      <c r="Y356" s="383">
        <f t="shared" si="138"/>
        <v>3.9236875538558897</v>
      </c>
      <c r="Z356" s="383">
        <f t="shared" si="139"/>
        <v>4.0603926860137598</v>
      </c>
      <c r="AA356" s="384">
        <f t="shared" si="140"/>
        <v>4.4681121938324564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9.1250955690300423E-2</v>
      </c>
      <c r="AD356" s="230">
        <f>(INDEX(Models!$BJ356:$BT356,,AH356)*(1-AF356)+INDEX(Models!$BJ356:$BT356,,AH356+1)*AF356-ERP_i)*AE356*Ramure*Pc/MaxiM</f>
        <v>7.8619949555705504E-3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'2022'!Wh/'2022'!Env_an*'2023'!Env_an</f>
        <v>5.0196306400787538</v>
      </c>
      <c r="C357" s="829"/>
      <c r="D357" s="391">
        <f t="shared" si="127"/>
        <v>5.194619060584416</v>
      </c>
      <c r="E357" s="383">
        <f t="shared" si="125"/>
        <v>5.4533474103084947</v>
      </c>
      <c r="F357" s="383">
        <f t="shared" si="128"/>
        <v>5.4533474103084947</v>
      </c>
      <c r="G357" s="110">
        <f t="shared" si="126"/>
        <v>0.21981611388721253</v>
      </c>
      <c r="H357" s="412" t="b">
        <f>Wh_hp&gt;='2022'!Maxi_hp</f>
        <v>0</v>
      </c>
      <c r="I357" s="379">
        <f>IF(H357,Wh_hp,'2022'!Maxi_hp)</f>
        <v>11.827516861952027</v>
      </c>
      <c r="J357" s="85">
        <f>IF(H357,An,'2022'!An_max)</f>
        <v>2018</v>
      </c>
      <c r="K357" s="197">
        <f t="shared" si="129"/>
        <v>45269</v>
      </c>
      <c r="L357" s="147">
        <f>IF(t&lt;Tvie,1-EXP((T0-t)*PertePVj)+'2022'!Pspv,1-EXP((T0-t)*PertePVj)+Pspv)</f>
        <v>3.3686477962057704E-2</v>
      </c>
      <c r="M357" s="832"/>
      <c r="N357" s="832"/>
      <c r="O357" s="48">
        <f>IF(t&lt;Tnet,'2022'!Resal+('2022'!Salim-'2022'!Resal)*(1-EXP(('2022'!Tnet-t)/('2022'!Tau_j))),Resal+(Salim-Resal)*(1-EXP((Tnet-t)/(Tau_j))))*Salcycl</f>
        <v>4.744395144072483E-2</v>
      </c>
      <c r="P357" s="338">
        <f>(INDEX(Models!$BJ357:$BT357,,T357)*(1-R357)+INDEX(Models!$BJ357:$BT357,,T357+1)*R357-ERP_i)*Q357*Ramure*Pc/MaxiM</f>
        <v>7.9535030276442487E-3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22.653967011446284</v>
      </c>
      <c r="W357" s="400">
        <f t="shared" si="136"/>
        <v>5.0196306400787538</v>
      </c>
      <c r="X357" s="157">
        <f t="shared" si="137"/>
        <v>45269</v>
      </c>
      <c r="Y357" s="383">
        <f t="shared" si="138"/>
        <v>4.7888515771899138</v>
      </c>
      <c r="Z357" s="383">
        <f t="shared" si="139"/>
        <v>4.9557948512303645</v>
      </c>
      <c r="AA357" s="384">
        <f t="shared" si="140"/>
        <v>5.4533474103084947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9.1238008812276242E-2</v>
      </c>
      <c r="AD357" s="230">
        <f>(INDEX(Models!$BJ357:$BT357,,AH357)*(1-AF357)+INDEX(Models!$BJ357:$BT357,,AH357+1)*AF357-ERP_i)*AE357*Ramure*Pc/MaxiM</f>
        <v>7.9535030276442487E-3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'2022'!Wh/'2022'!Env_an*'2023'!Env_an</f>
        <v>12.151257794715825</v>
      </c>
      <c r="C358" s="829"/>
      <c r="D358" s="391">
        <f t="shared" si="127"/>
        <v>12.575101556723626</v>
      </c>
      <c r="E358" s="383">
        <f t="shared" si="125"/>
        <v>13.201954807840783</v>
      </c>
      <c r="F358" s="383">
        <f t="shared" si="128"/>
        <v>13.238278175569205</v>
      </c>
      <c r="G358" s="110">
        <f t="shared" si="126"/>
        <v>0.53599739962552539</v>
      </c>
      <c r="H358" s="412" t="b">
        <f>Wh_hp&gt;='2022'!Maxi_hp</f>
        <v>0</v>
      </c>
      <c r="I358" s="379">
        <f>IF(H358,Wh_hp,'2022'!Maxi_hp)</f>
        <v>21.581579026303849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3.3704997140256099E-2</v>
      </c>
      <c r="M358" s="832"/>
      <c r="N358" s="832"/>
      <c r="O358" s="48">
        <f>IF(t&lt;Tnet,'2022'!Resal+('2022'!Salim-'2022'!Resal)*(1-EXP(('2022'!Tnet-t)/('2022'!Tau_j))),Resal+(Salim-Resal)*(1-EXP((Tnet-t)/(Tau_j))))*Salcycl</f>
        <v>4.7481851001706474E-2</v>
      </c>
      <c r="P358" s="338">
        <f>(INDEX(Models!$BJ358:$BT358,,T358)*(1-R358)+INDEX(Models!$BJ358:$BT358,,T358+1)*R358-ERP_i)*Q358*Ramure*Pc/MaxiM</f>
        <v>8.0409947638400165E-3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22.549947613869765</v>
      </c>
      <c r="W358" s="400">
        <f t="shared" si="136"/>
        <v>12.151257794715825</v>
      </c>
      <c r="X358" s="157">
        <f t="shared" si="137"/>
        <v>45270</v>
      </c>
      <c r="Y358" s="383">
        <f t="shared" si="138"/>
        <v>11.593209443888647</v>
      </c>
      <c r="Z358" s="383">
        <f t="shared" si="139"/>
        <v>11.997588117064268</v>
      </c>
      <c r="AA358" s="384">
        <f t="shared" si="140"/>
        <v>13.201954807840783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9.122639096304358E-2</v>
      </c>
      <c r="AD358" s="230">
        <f>(INDEX(Models!$BJ358:$BT358,,AH358)*(1-AF358)+INDEX(Models!$BJ358:$BT358,,AH358+1)*AF358-ERP_i)*AE358*Ramure*Pc/MaxiM</f>
        <v>8.0409947638400165E-3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'2022'!Wh/'2022'!Env_an*'2023'!Env_an</f>
        <v>17.386554268223193</v>
      </c>
      <c r="C359" s="829"/>
      <c r="D359" s="391">
        <f t="shared" si="127"/>
        <v>17.993353409154402</v>
      </c>
      <c r="E359" s="383">
        <f t="shared" si="125"/>
        <v>18.891063500038673</v>
      </c>
      <c r="F359" s="383">
        <f t="shared" si="128"/>
        <v>18.995634997386372</v>
      </c>
      <c r="G359" s="110">
        <f t="shared" si="126"/>
        <v>0.77223834289995463</v>
      </c>
      <c r="H359" s="412" t="b">
        <f>Wh_hp&gt;='2022'!Maxi_hp</f>
        <v>0</v>
      </c>
      <c r="I359" s="379">
        <f>IF(H359,Wh_hp,'2022'!Maxi_hp)</f>
        <v>19.008979262712963</v>
      </c>
      <c r="J359" s="85">
        <f>IF(H359,An,'2022'!An_max)</f>
        <v>2022</v>
      </c>
      <c r="K359" s="197">
        <f t="shared" si="129"/>
        <v>45271</v>
      </c>
      <c r="L359" s="147">
        <f>IF(t&lt;Tvie,1-EXP((T0-t)*PertePVj)+'2022'!Pspv,1-EXP((T0-t)*PertePVj)+Pspv)</f>
        <v>3.3723515963538508E-2</v>
      </c>
      <c r="M359" s="832"/>
      <c r="N359" s="832"/>
      <c r="O359" s="48">
        <f>IF(t&lt;Tnet,'2022'!Resal+('2022'!Salim-'2022'!Resal)*(1-EXP(('2022'!Tnet-t)/('2022'!Tau_j))),Resal+(Salim-Resal)*(1-EXP((Tnet-t)/(Tau_j))))*Salcycl</f>
        <v>4.7520357489795856E-2</v>
      </c>
      <c r="P359" s="338">
        <f>(INDEX(Models!$BJ359:$BT359,,T359)*(1-R359)+INDEX(Models!$BJ359:$BT359,,T359+1)*R359-ERP_i)*Q359*Ramure*Pc/MaxiM</f>
        <v>8.1250194813453948E-3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22.455178044729884</v>
      </c>
      <c r="W359" s="400">
        <f t="shared" si="136"/>
        <v>17.386554268223193</v>
      </c>
      <c r="X359" s="157">
        <f t="shared" si="137"/>
        <v>45271</v>
      </c>
      <c r="Y359" s="383">
        <f t="shared" si="138"/>
        <v>16.588933481720581</v>
      </c>
      <c r="Z359" s="383">
        <f t="shared" si="139"/>
        <v>17.167895271985749</v>
      </c>
      <c r="AA359" s="384">
        <f t="shared" si="140"/>
        <v>18.891063500038673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9.1216051867561307E-2</v>
      </c>
      <c r="AD359" s="230">
        <f>(INDEX(Models!$BJ359:$BT359,,AH359)*(1-AF359)+INDEX(Models!$BJ359:$BT359,,AH359+1)*AF359-ERP_i)*AE359*Ramure*Pc/MaxiM</f>
        <v>8.1250194813453948E-3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'2022'!Wh/'2022'!Env_an*'2023'!Env_an</f>
        <v>5.313718843424974</v>
      </c>
      <c r="C360" s="829"/>
      <c r="D360" s="391">
        <f t="shared" si="127"/>
        <v>5.4992755897240153</v>
      </c>
      <c r="E360" s="383">
        <f t="shared" si="125"/>
        <v>5.7738780270638488</v>
      </c>
      <c r="F360" s="383">
        <f t="shared" si="128"/>
        <v>5.7738780270638488</v>
      </c>
      <c r="G360" s="110">
        <f t="shared" si="126"/>
        <v>0.23561347057228879</v>
      </c>
      <c r="H360" s="412" t="b">
        <f>Wh_hp&gt;='2022'!Maxi_hp</f>
        <v>0</v>
      </c>
      <c r="I360" s="379">
        <f>IF(H360,Wh_hp,'2022'!Maxi_hp)</f>
        <v>23.902821263615333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3.3742034431912038E-2</v>
      </c>
      <c r="M360" s="832"/>
      <c r="N360" s="832"/>
      <c r="O360" s="48">
        <f>IF(t&lt;Tnet,'2022'!Resal+('2022'!Salim-'2022'!Resal)*(1-EXP(('2022'!Tnet-t)/('2022'!Tau_j))),Resal+(Salim-Resal)*(1-EXP((Tnet-t)/(Tau_j))))*Salcycl</f>
        <v>4.7559445497929106E-2</v>
      </c>
      <c r="P360" s="338">
        <f>(INDEX(Models!$BJ360:$BT360,,T360)*(1-R360)+INDEX(Models!$BJ360:$BT360,,T360+1)*R360-ERP_i)*Q360*Ramure*Pc/MaxiM</f>
        <v>8.206193988398728E-3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22.367623646454842</v>
      </c>
      <c r="W360" s="400">
        <f t="shared" si="136"/>
        <v>5.313718843424974</v>
      </c>
      <c r="X360" s="157">
        <f t="shared" si="137"/>
        <v>45272</v>
      </c>
      <c r="Y360" s="383">
        <f t="shared" si="138"/>
        <v>5.0702070481729908</v>
      </c>
      <c r="Z360" s="383">
        <f t="shared" si="139"/>
        <v>5.2472602853960284</v>
      </c>
      <c r="AA360" s="384">
        <f t="shared" si="140"/>
        <v>5.7738780270638488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9.1206939114302304E-2</v>
      </c>
      <c r="AD360" s="230">
        <f>(INDEX(Models!$BJ360:$BT360,,AH360)*(1-AF360)+INDEX(Models!$BJ360:$BT360,,AH360+1)*AF360-ERP_i)*AE360*Ramure*Pc/MaxiM</f>
        <v>8.206193988398728E-3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'2022'!Wh/'2022'!Env_an*'2023'!Env_an</f>
        <v>5.3797714797990706</v>
      </c>
      <c r="C361" s="829"/>
      <c r="D361" s="391">
        <f t="shared" si="127"/>
        <v>5.5677415095927891</v>
      </c>
      <c r="E361" s="383">
        <f t="shared" ref="E361:E379" si="150">Wh_pvt/(1-Psa)</f>
        <v>5.8460060704763075</v>
      </c>
      <c r="F361" s="383">
        <f t="shared" si="128"/>
        <v>5.8460060704763075</v>
      </c>
      <c r="G361" s="110">
        <f t="shared" ref="G361:G379" si="151">+Wh_hp/MaxiM</f>
        <v>0.23937817351420052</v>
      </c>
      <c r="H361" s="412" t="b">
        <f>Wh_hp&gt;='2022'!Maxi_hp</f>
        <v>0</v>
      </c>
      <c r="I361" s="379">
        <f>IF(H361,Wh_hp,'2022'!Maxi_hp)</f>
        <v>25.0294040728553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3.3760552545383238E-2</v>
      </c>
      <c r="M361" s="832"/>
      <c r="N361" s="832"/>
      <c r="O361" s="48">
        <f>IF(t&lt;Tnet,'2022'!Resal+('2022'!Salim-'2022'!Resal)*(1-EXP(('2022'!Tnet-t)/('2022'!Tau_j))),Resal+(Salim-Resal)*(1-EXP((Tnet-t)/(Tau_j))))*Salcycl</f>
        <v>4.759908859636991E-2</v>
      </c>
      <c r="P361" s="338">
        <f>(INDEX(Models!$BJ361:$BT361,,T361)*(1-R361)+INDEX(Models!$BJ361:$BT361,,T361+1)*R361-ERP_i)*Q361*Ramure*Pc/MaxiM</f>
        <v>8.2777208851040601E-3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22.28791019139074</v>
      </c>
      <c r="W361" s="400">
        <f t="shared" si="136"/>
        <v>5.3797714797990706</v>
      </c>
      <c r="X361" s="157">
        <f t="shared" si="137"/>
        <v>45273</v>
      </c>
      <c r="Y361" s="383">
        <f t="shared" si="138"/>
        <v>5.1334912114886793</v>
      </c>
      <c r="Z361" s="383">
        <f t="shared" si="139"/>
        <v>5.3128561714303162</v>
      </c>
      <c r="AA361" s="384">
        <f t="shared" si="140"/>
        <v>5.8460060704763075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9.1198998533122078E-2</v>
      </c>
      <c r="AD361" s="230">
        <f>(INDEX(Models!$BJ361:$BT361,,AH361)*(1-AF361)+INDEX(Models!$BJ361:$BT361,,AH361+1)*AF361-ERP_i)*AE361*Ramure*Pc/MaxiM</f>
        <v>8.2777208851040601E-3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'2022'!Wh/'2022'!Env_an*'2023'!Env_an</f>
        <v>17.17822520576674</v>
      </c>
      <c r="C362" s="829"/>
      <c r="D362" s="391">
        <f t="shared" si="127"/>
        <v>17.778775720756496</v>
      </c>
      <c r="E362" s="383">
        <f t="shared" si="150"/>
        <v>18.668110690826406</v>
      </c>
      <c r="F362" s="383">
        <f t="shared" si="128"/>
        <v>18.773950675798449</v>
      </c>
      <c r="G362" s="110">
        <f t="shared" si="151"/>
        <v>0.77111783776400189</v>
      </c>
      <c r="H362" s="412" t="b">
        <f>Wh_hp&gt;='2022'!Maxi_hp</f>
        <v>0</v>
      </c>
      <c r="I362" s="379">
        <f>IF(H362,Wh_hp,'2022'!Maxi_hp)</f>
        <v>24.68921870882129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3.3779070303959102E-2</v>
      </c>
      <c r="M362" s="832"/>
      <c r="N362" s="832"/>
      <c r="O362" s="48">
        <f>IF(t&lt;Tnet,'2022'!Resal+('2022'!Salim-'2022'!Resal)*(1-EXP(('2022'!Tnet-t)/('2022'!Tau_j))),Resal+(Salim-Resal)*(1-EXP((Tnet-t)/(Tau_j))))*Salcycl</f>
        <v>4.763925952651081E-2</v>
      </c>
      <c r="P362" s="338">
        <f>(INDEX(Models!$BJ362:$BT362,,T362)*(1-R362)+INDEX(Models!$BJ362:$BT362,,T362+1)*R362-ERP_i)*Q362*Ramure*Pc/MaxiM</f>
        <v>8.3393123553997788E-3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22.216515530366095</v>
      </c>
      <c r="W362" s="400">
        <f t="shared" si="136"/>
        <v>17.17822520576674</v>
      </c>
      <c r="X362" s="157">
        <f t="shared" si="137"/>
        <v>45274</v>
      </c>
      <c r="Y362" s="383">
        <f t="shared" si="138"/>
        <v>16.392638661452224</v>
      </c>
      <c r="Z362" s="383">
        <f t="shared" si="139"/>
        <v>16.965725081746172</v>
      </c>
      <c r="AA362" s="384">
        <f t="shared" si="140"/>
        <v>18.668110690826406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9.1192174573766369E-2</v>
      </c>
      <c r="AD362" s="230">
        <f>(INDEX(Models!$BJ362:$BT362,,AH362)*(1-AF362)+INDEX(Models!$BJ362:$BT362,,AH362+1)*AF362-ERP_i)*AE362*Ramure*Pc/MaxiM</f>
        <v>8.3393123553997788E-3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'2022'!Wh/'2022'!Env_an*'2023'!Env_an</f>
        <v>5.8706980740786934</v>
      </c>
      <c r="C363" s="829"/>
      <c r="D363" s="391">
        <f t="shared" si="127"/>
        <v>6.076054043531343</v>
      </c>
      <c r="E363" s="383">
        <f t="shared" si="150"/>
        <v>6.3802646163374259</v>
      </c>
      <c r="F363" s="383">
        <f t="shared" si="128"/>
        <v>6.3802646163374259</v>
      </c>
      <c r="G363" s="110">
        <f t="shared" si="151"/>
        <v>0.26277243657355315</v>
      </c>
      <c r="H363" s="412" t="b">
        <f>Wh_hp&gt;='2022'!Maxi_hp</f>
        <v>0</v>
      </c>
      <c r="I363" s="379">
        <f>IF(H363,Wh_hp,'2022'!Maxi_hp)</f>
        <v>24.850474320764231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3.3797587707646293E-2</v>
      </c>
      <c r="M363" s="832"/>
      <c r="N363" s="832"/>
      <c r="O363" s="48">
        <f>IF(t&lt;Tnet,'2022'!Resal+('2022'!Salim-'2022'!Resal)*(1-EXP(('2022'!Tnet-t)/('2022'!Tau_j))),Resal+(Salim-Resal)*(1-EXP((Tnet-t)/(Tau_j))))*Salcycl</f>
        <v>4.7679930394597683E-2</v>
      </c>
      <c r="P363" s="338">
        <f>(INDEX(Models!$BJ363:$BT363,,T363)*(1-R363)+INDEX(Models!$BJ363:$BT363,,T363+1)*R363-ERP_i)*Q363*Ramure*Pc/MaxiM</f>
        <v>8.390674895492771E-3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22.153917781631609</v>
      </c>
      <c r="W363" s="400">
        <f t="shared" si="136"/>
        <v>5.8706980740786934</v>
      </c>
      <c r="X363" s="157">
        <f t="shared" si="137"/>
        <v>45275</v>
      </c>
      <c r="Y363" s="383">
        <f t="shared" si="138"/>
        <v>5.6024968482662754</v>
      </c>
      <c r="Z363" s="383">
        <f t="shared" si="139"/>
        <v>5.7984711867714429</v>
      </c>
      <c r="AA363" s="384">
        <f t="shared" si="140"/>
        <v>6.3802646163374259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9.1186410682126198E-2</v>
      </c>
      <c r="AD363" s="230">
        <f>(INDEX(Models!$BJ363:$BT363,,AH363)*(1-AF363)+INDEX(Models!$BJ363:$BT363,,AH363+1)*AF363-ERP_i)*AE363*Ramure*Pc/MaxiM</f>
        <v>8.390674895492771E-3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'2022'!Wh/'2022'!Env_an*'2023'!Env_an</f>
        <v>5.1852318203173606</v>
      </c>
      <c r="C364" s="829"/>
      <c r="D364" s="391">
        <f t="shared" si="127"/>
        <v>5.3667131545494318</v>
      </c>
      <c r="E364" s="383">
        <f t="shared" si="150"/>
        <v>5.6356525400486275</v>
      </c>
      <c r="F364" s="383">
        <f t="shared" si="128"/>
        <v>5.6356525400486275</v>
      </c>
      <c r="G364" s="110">
        <f t="shared" si="151"/>
        <v>0.23264135635140618</v>
      </c>
      <c r="H364" s="412" t="b">
        <f>Wh_hp&gt;='2022'!Maxi_hp</f>
        <v>0</v>
      </c>
      <c r="I364" s="379">
        <f>IF(H364,Wh_hp,'2022'!Maxi_hp)</f>
        <v>24.489416018785828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3.3816104756451693E-2</v>
      </c>
      <c r="M364" s="832"/>
      <c r="N364" s="832"/>
      <c r="O364" s="48">
        <f>IF(t&lt;Tnet,'2022'!Resal+('2022'!Salim-'2022'!Resal)*(1-EXP(('2022'!Tnet-t)/('2022'!Tau_j))),Resal+(Salim-Resal)*(1-EXP((Tnet-t)/(Tau_j))))*Salcycl</f>
        <v>4.7721072863884439E-2</v>
      </c>
      <c r="P364" s="338">
        <f>(INDEX(Models!$BJ364:$BT364,,T364)*(1-R364)+INDEX(Models!$BJ364:$BT364,,T364+1)*R364-ERP_i)*Q364*Ramure*Pc/MaxiM</f>
        <v>8.4315140270187841E-3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22.100595294521604</v>
      </c>
      <c r="W364" s="400">
        <f t="shared" si="136"/>
        <v>5.1852318203173606</v>
      </c>
      <c r="X364" s="157">
        <f t="shared" si="137"/>
        <v>45276</v>
      </c>
      <c r="Y364" s="383">
        <f t="shared" si="138"/>
        <v>4.9485856451578885</v>
      </c>
      <c r="Z364" s="383">
        <f t="shared" si="139"/>
        <v>5.1217844444721221</v>
      </c>
      <c r="AA364" s="384">
        <f t="shared" si="140"/>
        <v>5.6356525400486275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9.1181649671409973E-2</v>
      </c>
      <c r="AD364" s="230">
        <f>(INDEX(Models!$BJ364:$BT364,,AH364)*(1-AF364)+INDEX(Models!$BJ364:$BT364,,AH364+1)*AF364-ERP_i)*AE364*Ramure*Pc/MaxiM</f>
        <v>8.4315140270187841E-3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'2022'!Wh/'2022'!Env_an*'2023'!Env_an</f>
        <v>3.5154196526276085</v>
      </c>
      <c r="C365" s="829"/>
      <c r="D365" s="391">
        <f t="shared" si="127"/>
        <v>3.6385278655967408</v>
      </c>
      <c r="E365" s="383">
        <f t="shared" si="150"/>
        <v>3.8210304368742758</v>
      </c>
      <c r="F365" s="383">
        <f t="shared" si="128"/>
        <v>3.8210304368742758</v>
      </c>
      <c r="G365" s="110">
        <f t="shared" si="151"/>
        <v>0.15803008518423603</v>
      </c>
      <c r="H365" s="412" t="b">
        <f>Wh_hp&gt;='2022'!Maxi_hp</f>
        <v>0</v>
      </c>
      <c r="I365" s="379">
        <f>IF(H365,Wh_hp,'2022'!Maxi_hp)</f>
        <v>24.995973707121568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3.3834621450382074E-2</v>
      </c>
      <c r="M365" s="832"/>
      <c r="N365" s="832"/>
      <c r="O365" s="48">
        <f>IF(t&lt;Tnet,'2022'!Resal+('2022'!Salim-'2022'!Resal)*(1-EXP(('2022'!Tnet-t)/('2022'!Tau_j))),Resal+(Salim-Resal)*(1-EXP((Tnet-t)/(Tau_j))))*Salcycl</f>
        <v>4.7762658343760277E-2</v>
      </c>
      <c r="P365" s="338">
        <f>(INDEX(Models!$BJ365:$BT365,,T365)*(1-R365)+INDEX(Models!$BJ365:$BT365,,T365+1)*R365-ERP_i)*Q365*Ramure*Pc/MaxiM</f>
        <v>8.461539260998921E-3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22.057026591831004</v>
      </c>
      <c r="W365" s="400">
        <f t="shared" si="136"/>
        <v>3.5154196526276085</v>
      </c>
      <c r="X365" s="157">
        <f t="shared" si="137"/>
        <v>45277</v>
      </c>
      <c r="Y365" s="383">
        <f t="shared" si="138"/>
        <v>3.3551417940012054</v>
      </c>
      <c r="Z365" s="383">
        <f t="shared" si="139"/>
        <v>3.4726371576653432</v>
      </c>
      <c r="AA365" s="384">
        <f t="shared" si="140"/>
        <v>3.8210304368742758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9.1177834085490614E-2</v>
      </c>
      <c r="AD365" s="230">
        <f>(INDEX(Models!$BJ365:$BT365,,AH365)*(1-AF365)+INDEX(Models!$BJ365:$BT365,,AH365+1)*AF365-ERP_i)*AE365*Ramure*Pc/MaxiM</f>
        <v>8.461539260998921E-3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'2022'!Wh/'2022'!Env_an*'2023'!Env_an</f>
        <v>20.969913052140864</v>
      </c>
      <c r="C366" s="829"/>
      <c r="D366" s="391">
        <f t="shared" si="127"/>
        <v>21.704684735156565</v>
      </c>
      <c r="E366" s="383">
        <f t="shared" si="150"/>
        <v>22.79436138969557</v>
      </c>
      <c r="F366" s="383">
        <f t="shared" si="128"/>
        <v>22.9758269594887</v>
      </c>
      <c r="G366" s="110">
        <f t="shared" si="151"/>
        <v>0.9515936449064416</v>
      </c>
      <c r="H366" s="412" t="b">
        <f>Wh_hp&gt;='2022'!Maxi_hp</f>
        <v>0</v>
      </c>
      <c r="I366" s="379">
        <f>IF(H366,Wh_hp,'2022'!Maxi_hp)</f>
        <v>25.161787004742354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3.385313778944421E-2</v>
      </c>
      <c r="M366" s="832"/>
      <c r="N366" s="832"/>
      <c r="O366" s="48">
        <f>IF(t&lt;Tnet,'2022'!Resal+('2022'!Salim-'2022'!Resal)*(1-EXP(('2022'!Tnet-t)/('2022'!Tau_j))),Resal+(Salim-Resal)*(1-EXP((Tnet-t)/(Tau_j))))*Salcycl</f>
        <v>4.7804658174437999E-2</v>
      </c>
      <c r="P366" s="338">
        <f>(INDEX(Models!$BJ366:$BT366,,T366)*(1-R366)+INDEX(Models!$BJ366:$BT366,,T366+1)*R366-ERP_i)*Q366*Ramure*Pc/MaxiM</f>
        <v>8.4776161564025856E-3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22.023753722413481</v>
      </c>
      <c r="W366" s="400">
        <f t="shared" si="136"/>
        <v>20.969913052140864</v>
      </c>
      <c r="X366" s="157">
        <f t="shared" si="137"/>
        <v>45278</v>
      </c>
      <c r="Y366" s="383">
        <f t="shared" si="138"/>
        <v>20.014783051421428</v>
      </c>
      <c r="Z366" s="383">
        <f t="shared" si="139"/>
        <v>20.716087620082273</v>
      </c>
      <c r="AA366" s="384">
        <f t="shared" si="140"/>
        <v>22.79436138969557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9.1174906551793278E-2</v>
      </c>
      <c r="AD366" s="230">
        <f>(INDEX(Models!$BJ366:$BT366,,AH366)*(1-AF366)+INDEX(Models!$BJ366:$BT366,,AH366+1)*AF366-ERP_i)*AE366*Ramure*Pc/MaxiM</f>
        <v>8.4776161564025856E-3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'2022'!Wh/'2022'!Env_an*'2023'!Env_an</f>
        <v>17.844721871942319</v>
      </c>
      <c r="C367" s="829"/>
      <c r="D367" s="391">
        <f t="shared" si="127"/>
        <v>18.470342932844105</v>
      </c>
      <c r="E367" s="383">
        <f t="shared" si="150"/>
        <v>19.398504003675978</v>
      </c>
      <c r="F367" s="383">
        <f t="shared" si="128"/>
        <v>19.519436544298035</v>
      </c>
      <c r="G367" s="110">
        <f t="shared" si="151"/>
        <v>0.80921340611009196</v>
      </c>
      <c r="H367" s="412" t="b">
        <f>Wh_hp&gt;='2022'!Maxi_hp</f>
        <v>0</v>
      </c>
      <c r="I367" s="379">
        <f>IF(H367,Wh_hp,'2022'!Maxi_hp)</f>
        <v>24.884744497458982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3.3871653773644983E-2</v>
      </c>
      <c r="M367" s="832"/>
      <c r="N367" s="832"/>
      <c r="O367" s="48">
        <f>IF(t&lt;Tnet,'2022'!Resal+('2022'!Salim-'2022'!Resal)*(1-EXP(('2022'!Tnet-t)/('2022'!Tau_j))),Resal+(Salim-Resal)*(1-EXP((Tnet-t)/(Tau_j))))*Salcycl</f>
        <v>4.7847043805851627E-2</v>
      </c>
      <c r="P367" s="338">
        <f>(INDEX(Models!$BJ367:$BT367,,T367)*(1-R367)+INDEX(Models!$BJ367:$BT367,,T367+1)*R367-ERP_i)*Q367*Ramure*Pc/MaxiM</f>
        <v>8.4856080030569735E-3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22.001119251614849</v>
      </c>
      <c r="W367" s="400">
        <f t="shared" si="136"/>
        <v>17.844721871942319</v>
      </c>
      <c r="X367" s="157">
        <f t="shared" si="137"/>
        <v>45279</v>
      </c>
      <c r="Y367" s="383">
        <f t="shared" si="138"/>
        <v>17.032734423122275</v>
      </c>
      <c r="Z367" s="383">
        <f t="shared" si="139"/>
        <v>17.629887881513064</v>
      </c>
      <c r="AA367" s="384">
        <f t="shared" si="140"/>
        <v>19.398504003675978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9.1172810121221984E-2</v>
      </c>
      <c r="AD367" s="230">
        <f>(INDEX(Models!$BJ367:$BT367,,AH367)*(1-AF367)+INDEX(Models!$BJ367:$BT367,,AH367+1)*AF367-ERP_i)*AE367*Ramure*Pc/MaxiM</f>
        <v>8.4856080030569735E-3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'2022'!Wh/'2022'!Env_an*'2023'!Env_an</f>
        <v>4.548580451481322</v>
      </c>
      <c r="C368" s="829"/>
      <c r="D368" s="391">
        <f t="shared" si="127"/>
        <v>4.7081401176412001</v>
      </c>
      <c r="E368" s="383">
        <f t="shared" si="150"/>
        <v>4.9449528565137744</v>
      </c>
      <c r="F368" s="383">
        <f t="shared" si="128"/>
        <v>4.9449528565137744</v>
      </c>
      <c r="G368" s="110">
        <f t="shared" si="151"/>
        <v>0.20509623047716305</v>
      </c>
      <c r="H368" s="412" t="b">
        <f>Wh_hp&gt;='2022'!Maxi_hp</f>
        <v>0</v>
      </c>
      <c r="I368" s="379">
        <f>IF(H368,Wh_hp,'2022'!Maxi_hp)</f>
        <v>24.174700505084488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3.3890169402991055E-2</v>
      </c>
      <c r="M368" s="832"/>
      <c r="N368" s="832"/>
      <c r="O368" s="48">
        <f>IF(t&lt;Tnet,'2022'!Resal+('2022'!Salim-'2022'!Resal)*(1-EXP(('2022'!Tnet-t)/('2022'!Tau_j))),Resal+(Salim-Resal)*(1-EXP((Tnet-t)/(Tau_j))))*Salcycl</f>
        <v>4.7889786969481561E-2</v>
      </c>
      <c r="P368" s="338">
        <f>(INDEX(Models!$BJ368:$BT368,,T368)*(1-R368)+INDEX(Models!$BJ368:$BT368,,T368+1)*R368-ERP_i)*Q368*Ramure*Pc/MaxiM</f>
        <v>8.4852566017202622E-3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21.989602484084223</v>
      </c>
      <c r="W368" s="400">
        <f t="shared" si="136"/>
        <v>4.548580451481322</v>
      </c>
      <c r="X368" s="157">
        <f t="shared" si="137"/>
        <v>45280</v>
      </c>
      <c r="Y368" s="383">
        <f t="shared" si="138"/>
        <v>4.3418078539225471</v>
      </c>
      <c r="Z368" s="383">
        <f t="shared" si="139"/>
        <v>4.4941141435643202</v>
      </c>
      <c r="AA368" s="384">
        <f t="shared" si="140"/>
        <v>4.9449528565137744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9.1171488592774672E-2</v>
      </c>
      <c r="AD368" s="230">
        <f>(INDEX(Models!$BJ368:$BT368,,AH368)*(1-AF368)+INDEX(Models!$BJ368:$BT368,,AH368+1)*AF368-ERP_i)*AE368*Ramure*Pc/MaxiM</f>
        <v>8.4852566017202622E-3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'2022'!Wh/'2022'!Env_an*'2023'!Env_an</f>
        <v>20.82603877709106</v>
      </c>
      <c r="C369" s="829"/>
      <c r="D369" s="391">
        <f t="shared" si="127"/>
        <v>21.55700858374728</v>
      </c>
      <c r="E369" s="383">
        <f t="shared" si="150"/>
        <v>22.642319721451248</v>
      </c>
      <c r="F369" s="383">
        <f t="shared" si="128"/>
        <v>22.821135643280982</v>
      </c>
      <c r="G369" s="110">
        <f t="shared" si="151"/>
        <v>0.94647061223555096</v>
      </c>
      <c r="H369" s="412" t="b">
        <f>Wh_hp&gt;='2022'!Maxi_hp</f>
        <v>0</v>
      </c>
      <c r="I369" s="379">
        <f>IF(H369,Wh_hp,'2022'!Maxi_hp)</f>
        <v>22.824855300763012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3.390868467748942E-2</v>
      </c>
      <c r="M369" s="832"/>
      <c r="N369" s="832"/>
      <c r="O369" s="48">
        <f>IF(t&lt;Tnet,'2022'!Resal+('2022'!Salim-'2022'!Resal)*(1-EXP(('2022'!Tnet-t)/('2022'!Tau_j))),Resal+(Salim-Resal)*(1-EXP((Tnet-t)/(Tau_j))))*Salcycl</f>
        <v>4.793285984190683E-2</v>
      </c>
      <c r="P369" s="338">
        <f>(INDEX(Models!$BJ369:$BT369,,T369)*(1-R369)+INDEX(Models!$BJ369:$BT369,,T369+1)*R369-ERP_i)*Q369*Ramure*Pc/MaxiM</f>
        <v>8.4763224110464535E-3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21.989682678508551</v>
      </c>
      <c r="W369" s="400">
        <f t="shared" si="136"/>
        <v>20.82603877709106</v>
      </c>
      <c r="X369" s="157">
        <f t="shared" si="137"/>
        <v>45281</v>
      </c>
      <c r="Y369" s="383">
        <f t="shared" si="138"/>
        <v>19.880226461422808</v>
      </c>
      <c r="Z369" s="383">
        <f t="shared" si="139"/>
        <v>20.577999352769449</v>
      </c>
      <c r="AA369" s="384">
        <f t="shared" si="140"/>
        <v>22.642319721451248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9.1170886820667471E-2</v>
      </c>
      <c r="AD369" s="230">
        <f>(INDEX(Models!$BJ369:$BT369,,AH369)*(1-AF369)+INDEX(Models!$BJ369:$BT369,,AH369+1)*AF369-ERP_i)*AE369*Ramure*Pc/MaxiM</f>
        <v>8.4763224110464535E-3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'2022'!Wh/'2022'!Env_an*'2023'!Env_an</f>
        <v>17.608443980874405</v>
      </c>
      <c r="C370" s="829"/>
      <c r="D370" s="391">
        <f t="shared" si="127"/>
        <v>18.226829255033024</v>
      </c>
      <c r="E370" s="383">
        <f t="shared" si="150"/>
        <v>19.145351123501058</v>
      </c>
      <c r="F370" s="383">
        <f t="shared" si="128"/>
        <v>19.261801786815656</v>
      </c>
      <c r="G370" s="110">
        <f t="shared" si="151"/>
        <v>0.79837407854383546</v>
      </c>
      <c r="H370" s="412" t="b">
        <f>Wh_hp&gt;='2022'!Maxi_hp</f>
        <v>0</v>
      </c>
      <c r="I370" s="379">
        <f>IF(H370,Wh_hp,'2022'!Maxi_hp)</f>
        <v>24.5370383220707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3.392719959714674E-2</v>
      </c>
      <c r="M370" s="832"/>
      <c r="N370" s="832"/>
      <c r="O370" s="48">
        <f>IF(t&lt;Tnet,'2022'!Resal+('2022'!Salim-'2022'!Resal)*(1-EXP(('2022'!Tnet-t)/('2022'!Tau_j))),Resal+(Salim-Resal)*(1-EXP((Tnet-t)/(Tau_j))))*Salcycl</f>
        <v>4.7976235198974364E-2</v>
      </c>
      <c r="P370" s="338">
        <f>(INDEX(Models!$BJ370:$BT370,,T370)*(1-R370)+INDEX(Models!$BJ370:$BT370,,T370+1)*R370-ERP_i)*Q370*Ramure*Pc/MaxiM</f>
        <v>8.4585887302355157E-3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22.001839027342719</v>
      </c>
      <c r="W370" s="400">
        <f t="shared" si="136"/>
        <v>17.608443980874405</v>
      </c>
      <c r="X370" s="157">
        <f t="shared" si="137"/>
        <v>45282</v>
      </c>
      <c r="Y370" s="383">
        <f t="shared" si="138"/>
        <v>16.809523027839258</v>
      </c>
      <c r="Z370" s="383">
        <f t="shared" si="139"/>
        <v>17.399851254304718</v>
      </c>
      <c r="AA370" s="384">
        <f t="shared" si="140"/>
        <v>19.145351123501058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9.1170951001975906E-2</v>
      </c>
      <c r="AD370" s="230">
        <f>(INDEX(Models!$BJ370:$BT370,,AH370)*(1-AF370)+INDEX(Models!$BJ370:$BT370,,AH370+1)*AF370-ERP_i)*AE370*Ramure*Pc/MaxiM</f>
        <v>8.4585887302355157E-3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'2022'!Wh/'2022'!Env_an*'2023'!Env_an</f>
        <v>17.845537132420091</v>
      </c>
      <c r="C371" s="829"/>
      <c r="D371" s="391">
        <f t="shared" si="127"/>
        <v>18.472602827841598</v>
      </c>
      <c r="E371" s="383">
        <f t="shared" si="150"/>
        <v>19.40439991029038</v>
      </c>
      <c r="F371" s="383">
        <f t="shared" si="128"/>
        <v>19.524385152815682</v>
      </c>
      <c r="G371" s="110">
        <f t="shared" si="151"/>
        <v>0.80831910554697772</v>
      </c>
      <c r="H371" s="412" t="b">
        <f>Wh_hp&gt;='2022'!Maxi_hp</f>
        <v>0</v>
      </c>
      <c r="I371" s="379">
        <f>IF(H371,Wh_hp,'2022'!Maxi_hp)</f>
        <v>20.621523847427799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3.3945714161969787E-2</v>
      </c>
      <c r="M371" s="832"/>
      <c r="N371" s="832"/>
      <c r="O371" s="48">
        <f>IF(t&lt;Tnet,'2022'!Resal+('2022'!Salim-'2022'!Resal)*(1-EXP(('2022'!Tnet-t)/('2022'!Tau_j))),Resal+(Salim-Resal)*(1-EXP((Tnet-t)/(Tau_j))))*Salcycl</f>
        <v>4.8019886559575439E-2</v>
      </c>
      <c r="P371" s="338">
        <f>(INDEX(Models!$BJ371:$BT371,,T371)*(1-R371)+INDEX(Models!$BJ371:$BT371,,T371+1)*R371-ERP_i)*Q371*Ramure*Pc/MaxiM</f>
        <v>8.4318433493335392E-3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22.02655112243648</v>
      </c>
      <c r="W371" s="400">
        <f t="shared" si="136"/>
        <v>17.845537132420091</v>
      </c>
      <c r="X371" s="157">
        <f t="shared" si="137"/>
        <v>45283</v>
      </c>
      <c r="Y371" s="383">
        <f t="shared" si="138"/>
        <v>17.036627355671577</v>
      </c>
      <c r="Z371" s="383">
        <f t="shared" si="139"/>
        <v>17.635269161807702</v>
      </c>
      <c r="AA371" s="384">
        <f t="shared" si="140"/>
        <v>19.40439991029038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9.1171628943005095E-2</v>
      </c>
      <c r="AD371" s="230">
        <f>(INDEX(Models!$BJ371:$BT371,,AH371)*(1-AF371)+INDEX(Models!$BJ371:$BT371,,AH371+1)*AF371-ERP_i)*AE371*Ramure*Pc/MaxiM</f>
        <v>8.4318433493335392E-3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'2022'!Wh/'2022'!Env_an*'2023'!Env_an</f>
        <v>21.20973400290962</v>
      </c>
      <c r="C372" s="829"/>
      <c r="D372" s="391">
        <f t="shared" si="127"/>
        <v>21.955433355397822</v>
      </c>
      <c r="E372" s="383">
        <f t="shared" si="150"/>
        <v>23.063975386131318</v>
      </c>
      <c r="F372" s="383">
        <f t="shared" si="128"/>
        <v>23.248367378343087</v>
      </c>
      <c r="G372" s="110">
        <f t="shared" si="151"/>
        <v>0.9608192697932717</v>
      </c>
      <c r="H372" s="412" t="b">
        <f>Wh_hp&gt;='2022'!Maxi_hp</f>
        <v>0</v>
      </c>
      <c r="I372" s="379">
        <f>IF(H372,Wh_hp,'2022'!Maxi_hp)</f>
        <v>23.251123518369042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3.3964228371965555E-2</v>
      </c>
      <c r="M372" s="832"/>
      <c r="N372" s="832"/>
      <c r="O372" s="48">
        <f>IF(t&lt;Tnet,'2022'!Resal+('2022'!Salim-'2022'!Resal)*(1-EXP(('2022'!Tnet-t)/('2022'!Tau_j))),Resal+(Salim-Resal)*(1-EXP((Tnet-t)/(Tau_j))))*Salcycl</f>
        <v>4.8063788318126487E-2</v>
      </c>
      <c r="P372" s="338">
        <f>(INDEX(Models!$BJ372:$BT372,,T372)*(1-R372)+INDEX(Models!$BJ372:$BT372,,T372+1)*R372-ERP_i)*Q372*Ramure*Pc/MaxiM</f>
        <v>8.395937879638193E-3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22.064297702863545</v>
      </c>
      <c r="W372" s="400">
        <f t="shared" si="136"/>
        <v>21.20973400290962</v>
      </c>
      <c r="X372" s="157">
        <f t="shared" si="137"/>
        <v>45284</v>
      </c>
      <c r="Y372" s="383">
        <f t="shared" si="138"/>
        <v>20.24923670195134</v>
      </c>
      <c r="Z372" s="383">
        <f t="shared" si="139"/>
        <v>20.961166549584224</v>
      </c>
      <c r="AA372" s="384">
        <f t="shared" si="140"/>
        <v>23.063975386131318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9.1172870302816081E-2</v>
      </c>
      <c r="AD372" s="230">
        <f>(INDEX(Models!$BJ372:$BT372,,AH372)*(1-AF372)+INDEX(Models!$BJ372:$BT372,,AH372+1)*AF372-ERP_i)*AE372*Ramure*Pc/MaxiM</f>
        <v>8.395937879638193E-3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'2022'!Wh/'2022'!Env_an*'2023'!Env_an</f>
        <v>11.982962246410256</v>
      </c>
      <c r="C373" s="829"/>
      <c r="D373" s="391">
        <f t="shared" si="127"/>
        <v>12.404501213608569</v>
      </c>
      <c r="E373" s="383">
        <f t="shared" si="150"/>
        <v>13.03141545176342</v>
      </c>
      <c r="F373" s="383">
        <f t="shared" si="128"/>
        <v>13.069120120835949</v>
      </c>
      <c r="G373" s="110">
        <f t="shared" si="151"/>
        <v>0.53886627382053742</v>
      </c>
      <c r="H373" s="412" t="b">
        <f>Wh_hp&gt;='2022'!Maxi_hp</f>
        <v>0</v>
      </c>
      <c r="I373" s="379">
        <f>IF(H373,Wh_hp,'2022'!Maxi_hp)</f>
        <v>13.087340065687096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3.3982742227140594E-2</v>
      </c>
      <c r="M373" s="832"/>
      <c r="N373" s="832"/>
      <c r="O373" s="48">
        <f>IF(t&lt;Tnet,'2022'!Resal+('2022'!Salim-'2022'!Resal)*(1-EXP(('2022'!Tnet-t)/('2022'!Tau_j))),Resal+(Salim-Resal)*(1-EXP((Tnet-t)/(Tau_j))))*Salcycl</f>
        <v>4.8107915864965926E-2</v>
      </c>
      <c r="P373" s="338">
        <f>(INDEX(Models!$BJ373:$BT373,,T373)*(1-R373)+INDEX(Models!$BJ373:$BT373,,T373+1)*R373-ERP_i)*Q373*Ramure*Pc/MaxiM</f>
        <v>8.3507446927203275E-3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22.115463049840429</v>
      </c>
      <c r="W373" s="400">
        <f t="shared" si="136"/>
        <v>11.982962246410256</v>
      </c>
      <c r="X373" s="157">
        <f t="shared" si="137"/>
        <v>45285</v>
      </c>
      <c r="Y373" s="383">
        <f t="shared" si="138"/>
        <v>11.440813845385296</v>
      </c>
      <c r="Z373" s="383">
        <f t="shared" si="139"/>
        <v>11.843281011109417</v>
      </c>
      <c r="AA373" s="384">
        <f t="shared" si="140"/>
        <v>13.03141545176342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9.1174626812563553E-2</v>
      </c>
      <c r="AD373" s="230">
        <f>(INDEX(Models!$BJ373:$BT373,,AH373)*(1-AF373)+INDEX(Models!$BJ373:$BT373,,AH373+1)*AF373-ERP_i)*AE373*Ramure*Pc/MaxiM</f>
        <v>8.3507446927203275E-3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'2022'!Wh/'2022'!Env_an*'2023'!Env_an</f>
        <v>20.717040800696711</v>
      </c>
      <c r="C374" s="829"/>
      <c r="D374" s="391">
        <f t="shared" si="127"/>
        <v>21.446239887505122</v>
      </c>
      <c r="E374" s="383">
        <f t="shared" si="150"/>
        <v>22.531166135010444</v>
      </c>
      <c r="F374" s="383">
        <f t="shared" si="128"/>
        <v>22.70176467223801</v>
      </c>
      <c r="G374" s="110">
        <f t="shared" si="151"/>
        <v>0.93331447620091146</v>
      </c>
      <c r="H374" s="412" t="b">
        <f>Wh_hp&gt;='2022'!Maxi_hp</f>
        <v>0</v>
      </c>
      <c r="I374" s="379">
        <f>IF(H374,Wh_hp,'2022'!Maxi_hp)</f>
        <v>22.706326287460659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3.4001255727501789E-2</v>
      </c>
      <c r="M374" s="832"/>
      <c r="N374" s="832"/>
      <c r="O374" s="48">
        <f>IF(t&lt;Tnet,'2022'!Resal+('2022'!Salim-'2022'!Resal)*(1-EXP(('2022'!Tnet-t)/('2022'!Tau_j))),Resal+(Salim-Resal)*(1-EXP((Tnet-t)/(Tau_j))))*Salcycl</f>
        <v>4.8152245693998584E-2</v>
      </c>
      <c r="P374" s="338">
        <f>(INDEX(Models!$BJ374:$BT374,,T374)*(1-R374)+INDEX(Models!$BJ374:$BT374,,T374+1)*R374-ERP_i)*Q374*Ramure*Pc/MaxiM</f>
        <v>8.2964090037842015E-3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22.179796273244648</v>
      </c>
      <c r="W374" s="400">
        <f t="shared" si="136"/>
        <v>20.717040800696711</v>
      </c>
      <c r="X374" s="157">
        <f t="shared" si="137"/>
        <v>45286</v>
      </c>
      <c r="Y374" s="383">
        <f t="shared" si="138"/>
        <v>19.780606869986205</v>
      </c>
      <c r="Z374" s="383">
        <f t="shared" si="139"/>
        <v>20.476845324351995</v>
      </c>
      <c r="AA374" s="384">
        <f t="shared" si="140"/>
        <v>22.531166135010444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9.1176852469535719E-2</v>
      </c>
      <c r="AD374" s="230">
        <f>(INDEX(Models!$BJ374:$BT374,,AH374)*(1-AF374)+INDEX(Models!$BJ374:$BT374,,AH374+1)*AF374-ERP_i)*AE374*Ramure*Pc/MaxiM</f>
        <v>8.2964090037842015E-3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'2022'!Wh/'2022'!Env_an*'2023'!Env_an</f>
        <v>7.0199952788443092</v>
      </c>
      <c r="C375" s="829"/>
      <c r="D375" s="391">
        <f t="shared" si="127"/>
        <v>7.2672245793835293</v>
      </c>
      <c r="E375" s="383">
        <f t="shared" si="150"/>
        <v>7.6352172797840874</v>
      </c>
      <c r="F375" s="383">
        <f t="shared" si="128"/>
        <v>7.6366000989871923</v>
      </c>
      <c r="G375" s="110">
        <f t="shared" si="151"/>
        <v>0.31286850044230158</v>
      </c>
      <c r="H375" s="412" t="b">
        <f>Wh_hp&gt;='2022'!Maxi_hp</f>
        <v>0</v>
      </c>
      <c r="I375" s="379">
        <f>IF(H375,Wh_hp,'2022'!Maxi_hp)</f>
        <v>21.290446008401918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3.4019768873056133E-2</v>
      </c>
      <c r="M375" s="832"/>
      <c r="N375" s="832"/>
      <c r="O375" s="48">
        <f>IF(t&lt;Tnet,'2022'!Resal+('2022'!Salim-'2022'!Resal)*(1-EXP(('2022'!Tnet-t)/('2022'!Tau_j))),Resal+(Salim-Resal)*(1-EXP((Tnet-t)/(Tau_j))))*Salcycl</f>
        <v>4.8196755497043865E-2</v>
      </c>
      <c r="P375" s="338">
        <f>(INDEX(Models!$BJ375:$BT375,,T375)*(1-R375)+INDEX(Models!$BJ375:$BT375,,T375+1)*R375-ERP_i)*Q375*Ramure*Pc/MaxiM</f>
        <v>8.2271997024738232E-3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22.256958760136353</v>
      </c>
      <c r="W375" s="400">
        <f t="shared" si="136"/>
        <v>7.0199952788443092</v>
      </c>
      <c r="X375" s="157">
        <f t="shared" si="137"/>
        <v>45287</v>
      </c>
      <c r="Y375" s="383">
        <f t="shared" si="138"/>
        <v>6.7029773539375812</v>
      </c>
      <c r="Z375" s="383">
        <f t="shared" si="139"/>
        <v>6.9390419575333029</v>
      </c>
      <c r="AA375" s="384">
        <f t="shared" si="140"/>
        <v>7.6352172797840874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9.117950370503021E-2</v>
      </c>
      <c r="AD375" s="230">
        <f>(INDEX(Models!$BJ375:$BT375,,AH375)*(1-AF375)+INDEX(Models!$BJ375:$BT375,,AH375+1)*AF375-ERP_i)*AE375*Ramure*Pc/MaxiM</f>
        <v>8.2271997024738232E-3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'2022'!Wh/'2022'!Env_an*'2023'!Env_an</f>
        <v>21.793911397286184</v>
      </c>
      <c r="C376" s="829"/>
      <c r="D376" s="391">
        <f t="shared" si="127"/>
        <v>22.561878989184859</v>
      </c>
      <c r="E376" s="383">
        <f t="shared" si="150"/>
        <v>23.705464351896907</v>
      </c>
      <c r="F376" s="383">
        <f t="shared" si="128"/>
        <v>23.893229870003374</v>
      </c>
      <c r="G376" s="110">
        <f t="shared" si="151"/>
        <v>0.97499268549301654</v>
      </c>
      <c r="H376" s="412" t="b">
        <f>Wh_hp&gt;='2022'!Maxi_hp</f>
        <v>0</v>
      </c>
      <c r="I376" s="379">
        <f>IF(H376,Wh_hp,'2022'!Maxi_hp)</f>
        <v>23.895018418941333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3.4038281663810177E-2</v>
      </c>
      <c r="M376" s="832"/>
      <c r="N376" s="832"/>
      <c r="O376" s="48">
        <f>IF(t&lt;Tnet,'2022'!Resal+('2022'!Salim-'2022'!Resal)*(1-EXP(('2022'!Tnet-t)/('2022'!Tau_j))),Resal+(Salim-Resal)*(1-EXP((Tnet-t)/(Tau_j))))*Salcycl</f>
        <v>4.8241424244471157E-2</v>
      </c>
      <c r="P376" s="338">
        <f>(INDEX(Models!$BJ376:$BT376,,T376)*(1-R376)+INDEX(Models!$BJ376:$BT376,,T376+1)*R376-ERP_i)*Q376*Ramure*Pc/MaxiM</f>
        <v>8.1462551600778848E-3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22.346414760349493</v>
      </c>
      <c r="W376" s="400">
        <f t="shared" si="136"/>
        <v>21.793911397286184</v>
      </c>
      <c r="X376" s="157">
        <f t="shared" si="137"/>
        <v>45288</v>
      </c>
      <c r="Y376" s="383">
        <f t="shared" si="138"/>
        <v>20.810621216799685</v>
      </c>
      <c r="Z376" s="383">
        <f t="shared" si="139"/>
        <v>21.543939911661003</v>
      </c>
      <c r="AA376" s="384">
        <f t="shared" si="140"/>
        <v>23.705464351896907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9.1182539525446554E-2</v>
      </c>
      <c r="AD376" s="230">
        <f>(INDEX(Models!$BJ376:$BT376,,AH376)*(1-AF376)+INDEX(Models!$BJ376:$BT376,,AH376+1)*AF376-ERP_i)*AE376*Ramure*Pc/MaxiM</f>
        <v>8.1462551600778848E-3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'2022'!Wh/'2022'!Env_an*'2023'!Env_an</f>
        <v>10.351607161855874</v>
      </c>
      <c r="C377" s="829"/>
      <c r="D377" s="391">
        <f t="shared" si="127"/>
        <v>10.716579503459002</v>
      </c>
      <c r="E377" s="383">
        <f t="shared" si="150"/>
        <v>11.260296810474163</v>
      </c>
      <c r="F377" s="383">
        <f t="shared" si="128"/>
        <v>11.281212803184138</v>
      </c>
      <c r="G377" s="110">
        <f t="shared" si="151"/>
        <v>0.45827916773647265</v>
      </c>
      <c r="H377" s="412" t="b">
        <f>Wh_hp&gt;='2022'!Maxi_hp</f>
        <v>0</v>
      </c>
      <c r="I377" s="379">
        <f>IF(H377,Wh_hp,'2022'!Maxi_hp)</f>
        <v>25.022994124609578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3.4056794099770804E-2</v>
      </c>
      <c r="M377" s="832"/>
      <c r="N377" s="832"/>
      <c r="O377" s="48">
        <f>IF(t&lt;Tnet,'2022'!Resal+('2022'!Salim-'2022'!Resal)*(1-EXP(('2022'!Tnet-t)/('2022'!Tau_j))),Resal+(Salim-Resal)*(1-EXP((Tnet-t)/(Tau_j))))*Salcycl</f>
        <v>4.8286232251835835E-2</v>
      </c>
      <c r="P377" s="338">
        <f>(INDEX(Models!$BJ377:$BT377,,T377)*(1-R377)+INDEX(Models!$BJ377:$BT377,,T377+1)*R377-ERP_i)*Q377*Ramure*Pc/MaxiM</f>
        <v>8.0539310771386707E-3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22.447691267790375</v>
      </c>
      <c r="W377" s="400">
        <f t="shared" si="136"/>
        <v>10.351607161855874</v>
      </c>
      <c r="X377" s="157">
        <f t="shared" si="137"/>
        <v>45289</v>
      </c>
      <c r="Y377" s="383">
        <f t="shared" si="138"/>
        <v>9.8849955115694232</v>
      </c>
      <c r="Z377" s="383">
        <f t="shared" si="139"/>
        <v>10.233516268026248</v>
      </c>
      <c r="AA377" s="384">
        <f t="shared" si="140"/>
        <v>11.260296810474163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9.1185921626223701E-2</v>
      </c>
      <c r="AD377" s="230">
        <f>(INDEX(Models!$BJ377:$BT377,,AH377)*(1-AF377)+INDEX(Models!$BJ377:$BT377,,AH377+1)*AF377-ERP_i)*AE377*Ramure*Pc/MaxiM</f>
        <v>8.0539310771386707E-3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'2022'!Wh/'2022'!Env_an*'2023'!Env_an</f>
        <v>14.025687060898901</v>
      </c>
      <c r="C378" s="829"/>
      <c r="D378" s="391">
        <f t="shared" si="127"/>
        <v>14.520476752120706</v>
      </c>
      <c r="E378" s="383">
        <f t="shared" si="150"/>
        <v>15.257909222838425</v>
      </c>
      <c r="F378" s="383">
        <f t="shared" si="128"/>
        <v>15.3138636470721</v>
      </c>
      <c r="G378" s="110">
        <f t="shared" si="151"/>
        <v>0.61901621354237946</v>
      </c>
      <c r="H378" s="412" t="b">
        <f>Wh_hp&gt;='2022'!Maxi_hp</f>
        <v>0</v>
      </c>
      <c r="I378" s="379">
        <f>IF(H378,Wh_hp,'2022'!Maxi_hp)</f>
        <v>25.027651179472095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3.4075306180944787E-2</v>
      </c>
      <c r="M378" s="832"/>
      <c r="N378" s="832"/>
      <c r="O378" s="48">
        <f>IF(t&lt;Tnet,'2022'!Resal+('2022'!Salim-'2022'!Resal)*(1-EXP(('2022'!Tnet-t)/('2022'!Tau_j))),Resal+(Salim-Resal)*(1-EXP((Tnet-t)/(Tau_j))))*Salcycl</f>
        <v>4.8331161232360101E-2</v>
      </c>
      <c r="P378" s="338">
        <f>(INDEX(Models!$BJ378:$BT378,,T378)*(1-R378)+INDEX(Models!$BJ378:$BT378,,T378+1)*R378-ERP_i)*Q378*Ramure*Pc/MaxiM</f>
        <v>7.9506069292810573E-3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22.560315312814971</v>
      </c>
      <c r="W378" s="400">
        <f t="shared" si="136"/>
        <v>14.025687060898901</v>
      </c>
      <c r="X378" s="157">
        <f t="shared" si="137"/>
        <v>45290</v>
      </c>
      <c r="Y378" s="383">
        <f t="shared" si="138"/>
        <v>13.394039550066296</v>
      </c>
      <c r="Z378" s="383">
        <f t="shared" si="139"/>
        <v>13.866546363059825</v>
      </c>
      <c r="AA378" s="384">
        <f t="shared" si="140"/>
        <v>15.257909222838425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9.1189614478500991E-2</v>
      </c>
      <c r="AD378" s="230">
        <f>(INDEX(Models!$BJ378:$BT378,,AH378)*(1-AF378)+INDEX(Models!$BJ378:$BT378,,AH378+1)*AF378-ERP_i)*AE378*Ramure*Pc/MaxiM</f>
        <v>7.9506069292810573E-3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'2022'!Wh/'2022'!Env_an*'2023'!Env_an</f>
        <v>11.604692946064082</v>
      </c>
      <c r="C379" s="829"/>
      <c r="D379" s="391">
        <f t="shared" si="127"/>
        <v>12.014306525010754</v>
      </c>
      <c r="E379" s="383">
        <f t="shared" si="150"/>
        <v>12.625058824183176</v>
      </c>
      <c r="F379" s="383">
        <f t="shared" si="128"/>
        <v>12.655035390253955</v>
      </c>
      <c r="G379" s="110">
        <f t="shared" si="151"/>
        <v>0.50878078023310302</v>
      </c>
      <c r="H379" s="412" t="b">
        <f>Wh_hp&gt;='2022'!Maxi_hp</f>
        <v>0</v>
      </c>
      <c r="I379" s="379">
        <f>IF(H379,Wh_hp,'2022'!Maxi_hp)</f>
        <v>25.278911318099443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3.4093817907339008E-2</v>
      </c>
      <c r="M379" s="832"/>
      <c r="N379" s="832"/>
      <c r="O379" s="48">
        <f>IF(t&lt;Tnet,'2022'!Resal+('2022'!Salim-'2022'!Resal)*(1-EXP(('2022'!Tnet-t)/('2022'!Tau_j))),Resal+(Salim-Resal)*(1-EXP((Tnet-t)/(Tau_j))))*Salcycl</f>
        <v>4.8376194335232062E-2</v>
      </c>
      <c r="P379" s="338">
        <f>(INDEX(Models!$BJ379:$BT379,,T379)*(1-R379)+INDEX(Models!$BJ379:$BT379,,T379+1)*R379-ERP_i)*Q379*Ramure*Pc/MaxiM</f>
        <v>7.8366820364742275E-3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22.683813961825464</v>
      </c>
      <c r="W379" s="400">
        <f t="shared" si="136"/>
        <v>11.604692946064082</v>
      </c>
      <c r="X379" s="157">
        <f t="shared" si="137"/>
        <v>45291</v>
      </c>
      <c r="Y379" s="383">
        <f t="shared" si="138"/>
        <v>11.082551031403741</v>
      </c>
      <c r="Z379" s="383">
        <f t="shared" si="139"/>
        <v>11.473734444263629</v>
      </c>
      <c r="AA379" s="384">
        <f t="shared" si="140"/>
        <v>12.625058824183176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9.1193585388623807E-2</v>
      </c>
      <c r="AD379" s="230">
        <f>(INDEX(Models!$BJ379:$BT379,,AH379)*(1-AF379)+INDEX(Models!$BJ379:$BT379,,AH379+1)*AF379-ERP_i)*AE379*Ramure*Pc/MaxiM</f>
        <v>7.8366820364742275E-3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14.71093936617153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23.1016467342534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1.8361007929364559</v>
      </c>
      <c r="C381" s="374"/>
      <c r="D381" s="372">
        <f>MIN(D15:D380)</f>
        <v>1.8880210161031667</v>
      </c>
      <c r="E381" s="372">
        <f>MIN(E15:E380)</f>
        <v>1.94355810524934</v>
      </c>
      <c r="F381" s="373">
        <f>MIN(F15:F380)</f>
        <v>1.94355810524934</v>
      </c>
      <c r="G381" s="125">
        <f>+MIN(G15:G380)</f>
        <v>7.2640568481251E-2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2.7332056318268183E-2</v>
      </c>
      <c r="M381" s="833"/>
      <c r="N381" s="833"/>
      <c r="O381" s="47">
        <f t="shared" si="152"/>
        <v>2.7993507575275675E-2</v>
      </c>
      <c r="P381" s="340">
        <f t="shared" si="152"/>
        <v>1.3697323055610432E-4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21.989602484084223</v>
      </c>
      <c r="W381" s="390"/>
      <c r="X381" s="112" t="s">
        <v>7</v>
      </c>
      <c r="Y381" s="372">
        <f>MIN(Y15:Y380)</f>
        <v>1.7242189616304797</v>
      </c>
      <c r="Z381" s="372">
        <f>MIN(Z15:Z380)</f>
        <v>1.7729754534421072</v>
      </c>
      <c r="AA381" s="372">
        <f>MIN(AA15:AA380)</f>
        <v>1.94355810524934</v>
      </c>
      <c r="AB381" s="200" t="s">
        <v>7</v>
      </c>
      <c r="AC381" s="47">
        <f t="shared" ref="AC381:AH381" si="153">MIN(AC15:AC380)</f>
        <v>8.7692906233482207E-2</v>
      </c>
      <c r="AD381" s="168">
        <f t="shared" si="153"/>
        <v>1.3697323055610432E-4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31.245809780603011</v>
      </c>
      <c r="C382" s="374"/>
      <c r="D382" s="374">
        <f>AVERAGE(D15:D380)</f>
        <v>32.23308273335914</v>
      </c>
      <c r="E382" s="374">
        <f>AVERAGE(E15:E380)</f>
        <v>33.566008166592454</v>
      </c>
      <c r="F382" s="375">
        <f>AVERAGE(F15:F380)</f>
        <v>33.595692045045773</v>
      </c>
      <c r="G382" s="126">
        <f>AVERAGE(G15:G380)</f>
        <v>0.6880990512367493</v>
      </c>
      <c r="H382" s="94"/>
      <c r="I382" s="375">
        <f>AVERAGE(I15:I380)</f>
        <v>43.524232860290887</v>
      </c>
      <c r="J382" s="59">
        <f>AVERAGE(J15:J380)</f>
        <v>2020.4972677595629</v>
      </c>
      <c r="K382" s="200" t="s">
        <v>8</v>
      </c>
      <c r="L382" s="147">
        <f t="shared" ref="L382:V382" si="154">AVERAGE(L15:L380)</f>
        <v>3.0716857172639795E-2</v>
      </c>
      <c r="M382" s="832"/>
      <c r="N382" s="832"/>
      <c r="O382" s="48">
        <f t="shared" si="154"/>
        <v>3.9623922720588657E-2</v>
      </c>
      <c r="P382" s="169">
        <f t="shared" si="154"/>
        <v>2.2340920445445148E-3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43.930020198400889</v>
      </c>
      <c r="W382" s="390"/>
      <c r="X382" s="112" t="s">
        <v>8</v>
      </c>
      <c r="Y382" s="374">
        <f>AVERAGE(Y15:Y380)</f>
        <v>29.545276766014997</v>
      </c>
      <c r="Z382" s="374">
        <f>AVERAGE(Z15:Z380)</f>
        <v>30.478994068184104</v>
      </c>
      <c r="AA382" s="374">
        <f>AVERAGE(AA15:AA380)</f>
        <v>33.566008166592454</v>
      </c>
      <c r="AB382" s="200" t="s">
        <v>8</v>
      </c>
      <c r="AC382" s="48">
        <f t="shared" ref="AC382:AH382" si="155">AVERAGE(AC15:AC380)</f>
        <v>9.1459970116091249E-2</v>
      </c>
      <c r="AD382" s="169">
        <f t="shared" si="155"/>
        <v>2.2340920445445148E-3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60.589095700273404</v>
      </c>
      <c r="C383" s="376"/>
      <c r="D383" s="376">
        <f>MAX(D15:D380)</f>
        <v>62.468590412979829</v>
      </c>
      <c r="E383" s="376">
        <f>MAX(E15:E380)</f>
        <v>64.949485164737112</v>
      </c>
      <c r="F383" s="377">
        <f>MAX(F15:F380)</f>
        <v>64.959236791876052</v>
      </c>
      <c r="G383" s="127">
        <f>+MAX(G15:G380)</f>
        <v>1.0446773289765237</v>
      </c>
      <c r="H383" s="94"/>
      <c r="I383" s="377">
        <f>MAX(I15:I380)</f>
        <v>65.112138934007149</v>
      </c>
      <c r="J383" s="60">
        <f>MAX(J15:J380)</f>
        <v>2023</v>
      </c>
      <c r="K383" s="200" t="s">
        <v>9</v>
      </c>
      <c r="L383" s="148">
        <f t="shared" ref="L383:T383" si="156">MAX(L15:L380)</f>
        <v>3.4093817907339008E-2</v>
      </c>
      <c r="M383" s="834"/>
      <c r="N383" s="834"/>
      <c r="O383" s="49">
        <f t="shared" si="156"/>
        <v>4.8376194335232062E-2</v>
      </c>
      <c r="P383" s="170">
        <f t="shared" si="156"/>
        <v>8.4856080030569735E-3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59.769904195987195</v>
      </c>
      <c r="W383" s="390"/>
      <c r="X383" s="112" t="s">
        <v>9</v>
      </c>
      <c r="Y383" s="376">
        <f>MAX(Y15:Y380)</f>
        <v>57.206965367431991</v>
      </c>
      <c r="Z383" s="376">
        <f>MAX(Z15:Z380)</f>
        <v>58.981545226982242</v>
      </c>
      <c r="AA383" s="376">
        <f>MAX(AA15:AA380)</f>
        <v>64.949485164737112</v>
      </c>
      <c r="AB383" s="200" t="s">
        <v>9</v>
      </c>
      <c r="AC383" s="49">
        <f t="shared" ref="AC383:AH383" si="157">MAX(AC15:AC380)</f>
        <v>9.4446704884991434E-2</v>
      </c>
      <c r="AD383" s="170">
        <f t="shared" si="157"/>
        <v>8.4856080030569735E-3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2023-01-15T14:45:38Z</dcterms:modified>
</cp:coreProperties>
</file>